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Niti\Downloads\"/>
    </mc:Choice>
  </mc:AlternateContent>
  <bookViews>
    <workbookView xWindow="0" yWindow="0" windowWidth="28800" windowHeight="12180"/>
  </bookViews>
  <sheets>
    <sheet name="Sheet1" sheetId="1" r:id="rId1"/>
    <sheet name="LARGECAP" sheetId="2" r:id="rId2"/>
    <sheet name="MIDCAP" sheetId="3" r:id="rId3"/>
    <sheet name="SMALLCAP" sheetId="4" r:id="rId4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786" i="4" l="1"/>
  <c r="E4785" i="4"/>
  <c r="E4784" i="4"/>
  <c r="E4783" i="4"/>
  <c r="E4782" i="4"/>
  <c r="E4781" i="4"/>
  <c r="E4780" i="4"/>
  <c r="E4779" i="4"/>
  <c r="E4778" i="4"/>
  <c r="E4777" i="4"/>
  <c r="E4776" i="4"/>
  <c r="E4775" i="4"/>
  <c r="E4774" i="4"/>
  <c r="E4773" i="4"/>
  <c r="E4772" i="4"/>
  <c r="E4771" i="4"/>
  <c r="E4770" i="4"/>
  <c r="E4769" i="4"/>
  <c r="E4768" i="4"/>
  <c r="E4767" i="4"/>
  <c r="E4766" i="4"/>
  <c r="E4765" i="4"/>
  <c r="E4764" i="4"/>
  <c r="E4763" i="4"/>
  <c r="E4762" i="4"/>
  <c r="E4761" i="4"/>
  <c r="E4760" i="4"/>
  <c r="E4759" i="4"/>
  <c r="E4758" i="4"/>
  <c r="E4757" i="4"/>
  <c r="E4756" i="4"/>
  <c r="E4755" i="4"/>
  <c r="E4754" i="4"/>
  <c r="E4753" i="4"/>
  <c r="E4752" i="4"/>
  <c r="E4751" i="4"/>
  <c r="E4750" i="4"/>
  <c r="E4749" i="4"/>
  <c r="E4748" i="4"/>
  <c r="E4747" i="4"/>
  <c r="E4746" i="4"/>
  <c r="E4745" i="4"/>
  <c r="E4744" i="4"/>
  <c r="E4743" i="4"/>
  <c r="E4742" i="4"/>
  <c r="E4741" i="4"/>
  <c r="E4740" i="4"/>
  <c r="E4739" i="4"/>
  <c r="E4738" i="4"/>
  <c r="E4737" i="4"/>
  <c r="E4736" i="4"/>
  <c r="E4735" i="4"/>
  <c r="E4734" i="4"/>
  <c r="E4733" i="4"/>
  <c r="E4732" i="4"/>
  <c r="E4731" i="4"/>
  <c r="E4730" i="4"/>
  <c r="E4729" i="4"/>
  <c r="E4728" i="4"/>
  <c r="E4727" i="4"/>
  <c r="E4726" i="4"/>
  <c r="E4725" i="4"/>
  <c r="E4724" i="4"/>
  <c r="E4723" i="4"/>
  <c r="E4722" i="4"/>
  <c r="E4721" i="4"/>
  <c r="E4720" i="4"/>
  <c r="E4719" i="4"/>
  <c r="E4718" i="4"/>
  <c r="E4717" i="4"/>
  <c r="E4716" i="4"/>
  <c r="E4715" i="4"/>
  <c r="E4714" i="4"/>
  <c r="E4713" i="4"/>
  <c r="E4712" i="4"/>
  <c r="E4711" i="4"/>
  <c r="E4710" i="4"/>
  <c r="E4709" i="4"/>
  <c r="E4708" i="4"/>
  <c r="E4707" i="4"/>
  <c r="E4706" i="4"/>
  <c r="E4705" i="4"/>
  <c r="E4704" i="4"/>
  <c r="E4703" i="4"/>
  <c r="E4702" i="4"/>
  <c r="E4701" i="4"/>
  <c r="E4700" i="4"/>
  <c r="E4699" i="4"/>
  <c r="E4698" i="4"/>
  <c r="E4697" i="4"/>
  <c r="E4696" i="4"/>
  <c r="E4695" i="4"/>
  <c r="E4694" i="4"/>
  <c r="E4693" i="4"/>
  <c r="E4692" i="4"/>
  <c r="E4691" i="4"/>
  <c r="E4690" i="4"/>
  <c r="E4689" i="4"/>
  <c r="E4688" i="4"/>
  <c r="E4687" i="4"/>
  <c r="E4686" i="4"/>
  <c r="E4685" i="4"/>
  <c r="E4684" i="4"/>
  <c r="E4683" i="4"/>
  <c r="E4682" i="4"/>
  <c r="E4681" i="4"/>
  <c r="E4680" i="4"/>
  <c r="E4679" i="4"/>
  <c r="E4678" i="4"/>
  <c r="E4677" i="4"/>
  <c r="E4676" i="4"/>
  <c r="E4675" i="4"/>
  <c r="E4674" i="4"/>
  <c r="E4673" i="4"/>
  <c r="E4672" i="4"/>
  <c r="E4671" i="4"/>
  <c r="E4670" i="4"/>
  <c r="E4669" i="4"/>
  <c r="E4668" i="4"/>
  <c r="E4667" i="4"/>
  <c r="E4666" i="4"/>
  <c r="E4665" i="4"/>
  <c r="E4664" i="4"/>
  <c r="E4663" i="4"/>
  <c r="E4662" i="4"/>
  <c r="E4661" i="4"/>
  <c r="E4660" i="4"/>
  <c r="E4659" i="4"/>
  <c r="E4658" i="4"/>
  <c r="E4657" i="4"/>
  <c r="E4656" i="4"/>
  <c r="E4655" i="4"/>
  <c r="E4654" i="4"/>
  <c r="E4653" i="4"/>
  <c r="E4652" i="4"/>
  <c r="E4651" i="4"/>
  <c r="E4650" i="4"/>
  <c r="E4649" i="4"/>
  <c r="E4648" i="4"/>
  <c r="E4647" i="4"/>
  <c r="E4646" i="4"/>
  <c r="E4645" i="4"/>
  <c r="E4644" i="4"/>
  <c r="E4643" i="4"/>
  <c r="E4642" i="4"/>
  <c r="E4641" i="4"/>
  <c r="E4640" i="4"/>
  <c r="E4639" i="4"/>
  <c r="E4638" i="4"/>
  <c r="E4637" i="4"/>
  <c r="E4636" i="4"/>
  <c r="E4635" i="4"/>
  <c r="E4634" i="4"/>
  <c r="E4633" i="4"/>
  <c r="E4632" i="4"/>
  <c r="E4631" i="4"/>
  <c r="E4630" i="4"/>
  <c r="E4629" i="4"/>
  <c r="E4628" i="4"/>
  <c r="E4627" i="4"/>
  <c r="E4626" i="4"/>
  <c r="E4625" i="4"/>
  <c r="E4624" i="4"/>
  <c r="E4623" i="4"/>
  <c r="E4622" i="4"/>
  <c r="E4621" i="4"/>
  <c r="E4620" i="4"/>
  <c r="E4619" i="4"/>
  <c r="E4618" i="4"/>
  <c r="E4617" i="4"/>
  <c r="E4616" i="4"/>
  <c r="E4615" i="4"/>
  <c r="E4614" i="4"/>
  <c r="E4613" i="4"/>
  <c r="E4612" i="4"/>
  <c r="E4611" i="4"/>
  <c r="E4610" i="4"/>
  <c r="E4609" i="4"/>
  <c r="E4608" i="4"/>
  <c r="E4607" i="4"/>
  <c r="E4606" i="4"/>
  <c r="E4605" i="4"/>
  <c r="E4604" i="4"/>
  <c r="E4603" i="4"/>
  <c r="E4602" i="4"/>
  <c r="E4601" i="4"/>
  <c r="E4600" i="4"/>
  <c r="E4599" i="4"/>
  <c r="E4598" i="4"/>
  <c r="E4597" i="4"/>
  <c r="E4596" i="4"/>
  <c r="E4595" i="4"/>
  <c r="E4594" i="4"/>
  <c r="E4593" i="4"/>
  <c r="E4592" i="4"/>
  <c r="E4591" i="4"/>
  <c r="E4590" i="4"/>
  <c r="E4589" i="4"/>
  <c r="E4588" i="4"/>
  <c r="E4587" i="4"/>
  <c r="E4586" i="4"/>
  <c r="E4585" i="4"/>
  <c r="E4584" i="4"/>
  <c r="E4583" i="4"/>
  <c r="E4582" i="4"/>
  <c r="E4581" i="4"/>
  <c r="E4580" i="4"/>
  <c r="E4579" i="4"/>
  <c r="E4578" i="4"/>
  <c r="E4577" i="4"/>
  <c r="E4576" i="4"/>
  <c r="E4575" i="4"/>
  <c r="E4574" i="4"/>
  <c r="E4573" i="4"/>
  <c r="E4572" i="4"/>
  <c r="E4571" i="4"/>
  <c r="E4570" i="4"/>
  <c r="E4569" i="4"/>
  <c r="E4568" i="4"/>
  <c r="E4567" i="4"/>
  <c r="E4566" i="4"/>
  <c r="E4565" i="4"/>
  <c r="E4564" i="4"/>
  <c r="E4563" i="4"/>
  <c r="E4562" i="4"/>
  <c r="E4561" i="4"/>
  <c r="E4560" i="4"/>
  <c r="E4559" i="4"/>
  <c r="E4558" i="4"/>
  <c r="E4557" i="4"/>
  <c r="E4556" i="4"/>
  <c r="E4555" i="4"/>
  <c r="E4554" i="4"/>
  <c r="E4553" i="4"/>
  <c r="E4552" i="4"/>
  <c r="E4551" i="4"/>
  <c r="E4550" i="4"/>
  <c r="E4549" i="4"/>
  <c r="E4548" i="4"/>
  <c r="E4547" i="4"/>
  <c r="E4546" i="4"/>
  <c r="E4545" i="4"/>
  <c r="E4544" i="4"/>
  <c r="E4543" i="4"/>
  <c r="E4542" i="4"/>
  <c r="E4541" i="4"/>
  <c r="E4540" i="4"/>
  <c r="E4539" i="4"/>
  <c r="E4538" i="4"/>
  <c r="E4537" i="4"/>
  <c r="E4536" i="4"/>
  <c r="E4535" i="4"/>
  <c r="E4534" i="4"/>
  <c r="E4533" i="4"/>
  <c r="E4532" i="4"/>
  <c r="E4531" i="4"/>
  <c r="E4530" i="4"/>
  <c r="E4529" i="4"/>
  <c r="E4528" i="4"/>
  <c r="E4527" i="4"/>
  <c r="E4526" i="4"/>
  <c r="E4525" i="4"/>
  <c r="E4524" i="4"/>
  <c r="E4523" i="4"/>
  <c r="E4522" i="4"/>
  <c r="E4521" i="4"/>
  <c r="E4520" i="4"/>
  <c r="E4519" i="4"/>
  <c r="E4518" i="4"/>
  <c r="E4517" i="4"/>
  <c r="E4516" i="4"/>
  <c r="E4515" i="4"/>
  <c r="E4514" i="4"/>
  <c r="E4513" i="4"/>
  <c r="E4512" i="4"/>
  <c r="E4511" i="4"/>
  <c r="E4510" i="4"/>
  <c r="E4509" i="4"/>
  <c r="E4508" i="4"/>
  <c r="E4507" i="4"/>
  <c r="E4506" i="4"/>
  <c r="E4505" i="4"/>
  <c r="E4504" i="4"/>
  <c r="E4503" i="4"/>
  <c r="E4502" i="4"/>
  <c r="E4501" i="4"/>
  <c r="E4500" i="4"/>
  <c r="E4499" i="4"/>
  <c r="E4498" i="4"/>
  <c r="E4497" i="4"/>
  <c r="E4496" i="4"/>
  <c r="E4495" i="4"/>
  <c r="E4494" i="4"/>
  <c r="E4493" i="4"/>
  <c r="E4492" i="4"/>
  <c r="E4491" i="4"/>
  <c r="E4490" i="4"/>
  <c r="E4489" i="4"/>
  <c r="E4488" i="4"/>
  <c r="E4487" i="4"/>
  <c r="E4486" i="4"/>
  <c r="E4485" i="4"/>
  <c r="E4484" i="4"/>
  <c r="E4483" i="4"/>
  <c r="E4482" i="4"/>
  <c r="E4481" i="4"/>
  <c r="E4480" i="4"/>
  <c r="E4479" i="4"/>
  <c r="E4478" i="4"/>
  <c r="E4477" i="4"/>
  <c r="E4476" i="4"/>
  <c r="E4475" i="4"/>
  <c r="E4474" i="4"/>
  <c r="E4473" i="4"/>
  <c r="E4472" i="4"/>
  <c r="E4471" i="4"/>
  <c r="E4470" i="4"/>
  <c r="E4469" i="4"/>
  <c r="E4468" i="4"/>
  <c r="E4467" i="4"/>
  <c r="E4466" i="4"/>
  <c r="E4465" i="4"/>
  <c r="E4464" i="4"/>
  <c r="E4463" i="4"/>
  <c r="E4462" i="4"/>
  <c r="E4461" i="4"/>
  <c r="E4460" i="4"/>
  <c r="E4459" i="4"/>
  <c r="E4458" i="4"/>
  <c r="E4457" i="4"/>
  <c r="E4456" i="4"/>
  <c r="E4455" i="4"/>
  <c r="E4454" i="4"/>
  <c r="E4453" i="4"/>
  <c r="E4452" i="4"/>
  <c r="E4451" i="4"/>
  <c r="E4450" i="4"/>
  <c r="E4449" i="4"/>
  <c r="E4448" i="4"/>
  <c r="E4447" i="4"/>
  <c r="E4446" i="4"/>
  <c r="E4445" i="4"/>
  <c r="E4444" i="4"/>
  <c r="E4443" i="4"/>
  <c r="E4442" i="4"/>
  <c r="E4441" i="4"/>
  <c r="E4440" i="4"/>
  <c r="E4439" i="4"/>
  <c r="E4438" i="4"/>
  <c r="E4437" i="4"/>
  <c r="E4436" i="4"/>
  <c r="E4435" i="4"/>
  <c r="E4434" i="4"/>
  <c r="E4433" i="4"/>
  <c r="E4432" i="4"/>
  <c r="E4431" i="4"/>
  <c r="E4430" i="4"/>
  <c r="E4429" i="4"/>
  <c r="E4428" i="4"/>
  <c r="E4427" i="4"/>
  <c r="E4426" i="4"/>
  <c r="E4425" i="4"/>
  <c r="E4424" i="4"/>
  <c r="E4423" i="4"/>
  <c r="E4422" i="4"/>
  <c r="E4421" i="4"/>
  <c r="E4420" i="4"/>
  <c r="E4419" i="4"/>
  <c r="E4418" i="4"/>
  <c r="E4417" i="4"/>
  <c r="E4416" i="4"/>
  <c r="E4415" i="4"/>
  <c r="E4414" i="4"/>
  <c r="E4413" i="4"/>
  <c r="E4412" i="4"/>
  <c r="E4411" i="4"/>
  <c r="E4410" i="4"/>
  <c r="E4409" i="4"/>
  <c r="E4408" i="4"/>
  <c r="E4407" i="4"/>
  <c r="E4406" i="4"/>
  <c r="E4405" i="4"/>
  <c r="E4404" i="4"/>
  <c r="E4403" i="4"/>
  <c r="E4402" i="4"/>
  <c r="E4401" i="4"/>
  <c r="E4400" i="4"/>
  <c r="E4399" i="4"/>
  <c r="E4398" i="4"/>
  <c r="E4397" i="4"/>
  <c r="E4396" i="4"/>
  <c r="E4395" i="4"/>
  <c r="E4394" i="4"/>
  <c r="E4393" i="4"/>
  <c r="E4392" i="4"/>
  <c r="E4391" i="4"/>
  <c r="E4390" i="4"/>
  <c r="E4389" i="4"/>
  <c r="E4388" i="4"/>
  <c r="E4387" i="4"/>
  <c r="E4386" i="4"/>
  <c r="E4385" i="4"/>
  <c r="E4384" i="4"/>
  <c r="E4383" i="4"/>
  <c r="E4382" i="4"/>
  <c r="E4381" i="4"/>
  <c r="E4380" i="4"/>
  <c r="E4379" i="4"/>
  <c r="E4378" i="4"/>
  <c r="E4377" i="4"/>
  <c r="E4376" i="4"/>
  <c r="E4375" i="4"/>
  <c r="E4374" i="4"/>
  <c r="E4373" i="4"/>
  <c r="E4372" i="4"/>
  <c r="E4371" i="4"/>
  <c r="E4370" i="4"/>
  <c r="E4369" i="4"/>
  <c r="E4368" i="4"/>
  <c r="E4367" i="4"/>
  <c r="E4366" i="4"/>
  <c r="E4365" i="4"/>
  <c r="E4364" i="4"/>
  <c r="E4363" i="4"/>
  <c r="E4362" i="4"/>
  <c r="E4361" i="4"/>
  <c r="E4360" i="4"/>
  <c r="E4359" i="4"/>
  <c r="E4358" i="4"/>
  <c r="E4357" i="4"/>
  <c r="E4356" i="4"/>
  <c r="E4355" i="4"/>
  <c r="E4354" i="4"/>
  <c r="E4353" i="4"/>
  <c r="E4352" i="4"/>
  <c r="E4351" i="4"/>
  <c r="E4350" i="4"/>
  <c r="E4349" i="4"/>
  <c r="E4348" i="4"/>
  <c r="E4347" i="4"/>
  <c r="E4346" i="4"/>
  <c r="E4345" i="4"/>
  <c r="E4344" i="4"/>
  <c r="E4343" i="4"/>
  <c r="E4342" i="4"/>
  <c r="E4341" i="4"/>
  <c r="E4340" i="4"/>
  <c r="E4339" i="4"/>
  <c r="E4338" i="4"/>
  <c r="E4337" i="4"/>
  <c r="E4336" i="4"/>
  <c r="E4335" i="4"/>
  <c r="E4334" i="4"/>
  <c r="E4333" i="4"/>
  <c r="E4332" i="4"/>
  <c r="E4331" i="4"/>
  <c r="E4330" i="4"/>
  <c r="E4329" i="4"/>
  <c r="E4328" i="4"/>
  <c r="E4327" i="4"/>
  <c r="E4326" i="4"/>
  <c r="E4325" i="4"/>
  <c r="E4324" i="4"/>
  <c r="E4323" i="4"/>
  <c r="E4322" i="4"/>
  <c r="E4321" i="4"/>
  <c r="E4320" i="4"/>
  <c r="E4319" i="4"/>
  <c r="E4318" i="4"/>
  <c r="E4317" i="4"/>
  <c r="E4316" i="4"/>
  <c r="E4315" i="4"/>
  <c r="E4314" i="4"/>
  <c r="E4313" i="4"/>
  <c r="E4312" i="4"/>
  <c r="E4311" i="4"/>
  <c r="E4310" i="4"/>
  <c r="E4309" i="4"/>
  <c r="E4308" i="4"/>
  <c r="E4307" i="4"/>
  <c r="E4306" i="4"/>
  <c r="E4305" i="4"/>
  <c r="E4304" i="4"/>
  <c r="E4303" i="4"/>
  <c r="E4302" i="4"/>
  <c r="E4301" i="4"/>
  <c r="E4300" i="4"/>
  <c r="E4299" i="4"/>
  <c r="E4298" i="4"/>
  <c r="E4297" i="4"/>
  <c r="E4296" i="4"/>
  <c r="E4295" i="4"/>
  <c r="E4294" i="4"/>
  <c r="E4293" i="4"/>
  <c r="E4292" i="4"/>
  <c r="E4291" i="4"/>
  <c r="E4290" i="4"/>
  <c r="E4289" i="4"/>
  <c r="E4288" i="4"/>
  <c r="E4287" i="4"/>
  <c r="E4286" i="4"/>
  <c r="E4285" i="4"/>
  <c r="E4284" i="4"/>
  <c r="E4283" i="4"/>
  <c r="E4282" i="4"/>
  <c r="E4281" i="4"/>
  <c r="E4280" i="4"/>
  <c r="E4279" i="4"/>
  <c r="E4278" i="4"/>
  <c r="E4277" i="4"/>
  <c r="E4276" i="4"/>
  <c r="E4275" i="4"/>
  <c r="E4274" i="4"/>
  <c r="E4273" i="4"/>
  <c r="E4272" i="4"/>
  <c r="E4271" i="4"/>
  <c r="E4270" i="4"/>
  <c r="E4269" i="4"/>
  <c r="E4268" i="4"/>
  <c r="E4267" i="4"/>
  <c r="E4266" i="4"/>
  <c r="E4265" i="4"/>
  <c r="E4264" i="4"/>
  <c r="E4263" i="4"/>
  <c r="E4262" i="4"/>
  <c r="E4261" i="4"/>
  <c r="E4260" i="4"/>
  <c r="E4259" i="4"/>
  <c r="E4258" i="4"/>
  <c r="E4257" i="4"/>
  <c r="E4256" i="4"/>
  <c r="E4255" i="4"/>
  <c r="E4254" i="4"/>
  <c r="E4253" i="4"/>
  <c r="E4252" i="4"/>
  <c r="E4251" i="4"/>
  <c r="E4250" i="4"/>
  <c r="E4249" i="4"/>
  <c r="E4248" i="4"/>
  <c r="E4247" i="4"/>
  <c r="E4246" i="4"/>
  <c r="E4245" i="4"/>
  <c r="E4244" i="4"/>
  <c r="E4243" i="4"/>
  <c r="E4242" i="4"/>
  <c r="E4241" i="4"/>
  <c r="E4240" i="4"/>
  <c r="E4239" i="4"/>
  <c r="E4238" i="4"/>
  <c r="E4237" i="4"/>
  <c r="E4236" i="4"/>
  <c r="E4235" i="4"/>
  <c r="E4234" i="4"/>
  <c r="E4233" i="4"/>
  <c r="E4232" i="4"/>
  <c r="E4231" i="4"/>
  <c r="E4230" i="4"/>
  <c r="E4229" i="4"/>
  <c r="E4228" i="4"/>
  <c r="E4227" i="4"/>
  <c r="E4226" i="4"/>
  <c r="E4225" i="4"/>
  <c r="E4224" i="4"/>
  <c r="E4223" i="4"/>
  <c r="E4222" i="4"/>
  <c r="E4221" i="4"/>
  <c r="E4220" i="4"/>
  <c r="E4219" i="4"/>
  <c r="E4218" i="4"/>
  <c r="E4217" i="4"/>
  <c r="E4216" i="4"/>
  <c r="E4215" i="4"/>
  <c r="E4214" i="4"/>
  <c r="E4213" i="4"/>
  <c r="E4212" i="4"/>
  <c r="E4211" i="4"/>
  <c r="E4210" i="4"/>
  <c r="E4209" i="4"/>
  <c r="E4208" i="4"/>
  <c r="E4207" i="4"/>
  <c r="E4206" i="4"/>
  <c r="E4205" i="4"/>
  <c r="E4204" i="4"/>
  <c r="E4203" i="4"/>
  <c r="E4202" i="4"/>
  <c r="E4201" i="4"/>
  <c r="E4200" i="4"/>
  <c r="E4199" i="4"/>
  <c r="E4198" i="4"/>
  <c r="E4197" i="4"/>
  <c r="E4196" i="4"/>
  <c r="E4195" i="4"/>
  <c r="E4194" i="4"/>
  <c r="E4193" i="4"/>
  <c r="E4192" i="4"/>
  <c r="E4191" i="4"/>
  <c r="E4190" i="4"/>
  <c r="E4189" i="4"/>
  <c r="E4188" i="4"/>
  <c r="E4187" i="4"/>
  <c r="E4186" i="4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165" i="4"/>
  <c r="E4164" i="4"/>
  <c r="E4163" i="4"/>
  <c r="E4162" i="4"/>
  <c r="E4161" i="4"/>
  <c r="E4160" i="4"/>
  <c r="E4159" i="4"/>
  <c r="E4158" i="4"/>
  <c r="E4157" i="4"/>
  <c r="E4156" i="4"/>
  <c r="E4155" i="4"/>
  <c r="E4154" i="4"/>
  <c r="E4153" i="4"/>
  <c r="E4152" i="4"/>
  <c r="E4151" i="4"/>
  <c r="E4150" i="4"/>
  <c r="E4149" i="4"/>
  <c r="E4148" i="4"/>
  <c r="E4147" i="4"/>
  <c r="E4146" i="4"/>
  <c r="E4145" i="4"/>
  <c r="E4144" i="4"/>
  <c r="E4143" i="4"/>
  <c r="E4142" i="4"/>
  <c r="E4141" i="4"/>
  <c r="E4140" i="4"/>
  <c r="E4139" i="4"/>
  <c r="E4138" i="4"/>
  <c r="E4137" i="4"/>
  <c r="E4136" i="4"/>
  <c r="E4135" i="4"/>
  <c r="E4134" i="4"/>
  <c r="E4133" i="4"/>
  <c r="E4132" i="4"/>
  <c r="E4131" i="4"/>
  <c r="E4130" i="4"/>
  <c r="E4129" i="4"/>
  <c r="E4128" i="4"/>
  <c r="E4127" i="4"/>
  <c r="E4126" i="4"/>
  <c r="E4125" i="4"/>
  <c r="E4124" i="4"/>
  <c r="E4123" i="4"/>
  <c r="E4122" i="4"/>
  <c r="E4121" i="4"/>
  <c r="E4120" i="4"/>
  <c r="E4119" i="4"/>
  <c r="E4118" i="4"/>
  <c r="E4117" i="4"/>
  <c r="E4116" i="4"/>
  <c r="E4115" i="4"/>
  <c r="E4114" i="4"/>
  <c r="E4113" i="4"/>
  <c r="E4112" i="4"/>
  <c r="E4111" i="4"/>
  <c r="E4110" i="4"/>
  <c r="E4109" i="4"/>
  <c r="E4108" i="4"/>
  <c r="E4107" i="4"/>
  <c r="E4106" i="4"/>
  <c r="E4105" i="4"/>
  <c r="E4104" i="4"/>
  <c r="E4103" i="4"/>
  <c r="E4102" i="4"/>
  <c r="E4101" i="4"/>
  <c r="E4100" i="4"/>
  <c r="E4099" i="4"/>
  <c r="E4098" i="4"/>
  <c r="E4097" i="4"/>
  <c r="E4096" i="4"/>
  <c r="E4095" i="4"/>
  <c r="E4094" i="4"/>
  <c r="E4093" i="4"/>
  <c r="E4092" i="4"/>
  <c r="E4091" i="4"/>
  <c r="E4090" i="4"/>
  <c r="E4089" i="4"/>
  <c r="E4088" i="4"/>
  <c r="E4087" i="4"/>
  <c r="E4086" i="4"/>
  <c r="E4085" i="4"/>
  <c r="E4084" i="4"/>
  <c r="E4083" i="4"/>
  <c r="E4082" i="4"/>
  <c r="E4081" i="4"/>
  <c r="E4080" i="4"/>
  <c r="E4079" i="4"/>
  <c r="E4078" i="4"/>
  <c r="E4077" i="4"/>
  <c r="E4076" i="4"/>
  <c r="E4075" i="4"/>
  <c r="E4074" i="4"/>
  <c r="E4073" i="4"/>
  <c r="E4072" i="4"/>
  <c r="E4071" i="4"/>
  <c r="E4070" i="4"/>
  <c r="E4069" i="4"/>
  <c r="E4068" i="4"/>
  <c r="E4067" i="4"/>
  <c r="E4066" i="4"/>
  <c r="E4065" i="4"/>
  <c r="E4064" i="4"/>
  <c r="E4063" i="4"/>
  <c r="E4062" i="4"/>
  <c r="E4061" i="4"/>
  <c r="E4060" i="4"/>
  <c r="E4059" i="4"/>
  <c r="E4058" i="4"/>
  <c r="E4057" i="4"/>
  <c r="E4056" i="4"/>
  <c r="E4055" i="4"/>
  <c r="E4054" i="4"/>
  <c r="E4053" i="4"/>
  <c r="E4052" i="4"/>
  <c r="E4051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E4037" i="4"/>
  <c r="E4036" i="4"/>
  <c r="E4035" i="4"/>
  <c r="E4034" i="4"/>
  <c r="E4033" i="4"/>
  <c r="E4032" i="4"/>
  <c r="E4031" i="4"/>
  <c r="E4030" i="4"/>
  <c r="E4029" i="4"/>
  <c r="E4028" i="4"/>
  <c r="E4027" i="4"/>
  <c r="E4026" i="4"/>
  <c r="E4025" i="4"/>
  <c r="E4024" i="4"/>
  <c r="E4023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E4008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E14" i="1"/>
  <c r="Y9" i="1"/>
  <c r="M9" i="1"/>
  <c r="N9" i="1" s="1"/>
  <c r="H9" i="1"/>
  <c r="E9" i="1"/>
  <c r="E8" i="1"/>
  <c r="E5" i="1"/>
  <c r="E10" i="1"/>
  <c r="E7" i="1"/>
  <c r="E11" i="1"/>
  <c r="E4" i="1"/>
  <c r="E6" i="1"/>
  <c r="E2" i="1"/>
  <c r="E13" i="1"/>
  <c r="E3" i="1"/>
  <c r="E12" i="1"/>
  <c r="J4782" i="4"/>
  <c r="J4774" i="4"/>
  <c r="J4766" i="4"/>
  <c r="J4758" i="4"/>
  <c r="J4750" i="4"/>
  <c r="J4742" i="4"/>
  <c r="J4734" i="4"/>
  <c r="L4726" i="4"/>
  <c r="L4778" i="4"/>
  <c r="L4762" i="4"/>
  <c r="L4746" i="4"/>
  <c r="L4730" i="4"/>
  <c r="L4718" i="4"/>
  <c r="L4710" i="4"/>
  <c r="L4702" i="4"/>
  <c r="L4694" i="4"/>
  <c r="O4779" i="4"/>
  <c r="S4768" i="4"/>
  <c r="I4758" i="4"/>
  <c r="O4747" i="4"/>
  <c r="S4736" i="4"/>
  <c r="J4726" i="4"/>
  <c r="J4717" i="4"/>
  <c r="J4709" i="4"/>
  <c r="J4701" i="4"/>
  <c r="J4693" i="4"/>
  <c r="L4771" i="4"/>
  <c r="L4755" i="4"/>
  <c r="L4739" i="4"/>
  <c r="I4725" i="4"/>
  <c r="I4716" i="4"/>
  <c r="I4708" i="4"/>
  <c r="I4700" i="4"/>
  <c r="I4692" i="4"/>
  <c r="O4744" i="4"/>
  <c r="R4785" i="4"/>
  <c r="R4777" i="4"/>
  <c r="R4769" i="4"/>
  <c r="R4761" i="4"/>
  <c r="R4753" i="4"/>
  <c r="R4745" i="4"/>
  <c r="R4737" i="4"/>
  <c r="R4729" i="4"/>
  <c r="P4785" i="4"/>
  <c r="P4769" i="4"/>
  <c r="P4753" i="4"/>
  <c r="P4737" i="4"/>
  <c r="P4722" i="4"/>
  <c r="S4713" i="4"/>
  <c r="S4705" i="4"/>
  <c r="S4697" i="4"/>
  <c r="I4784" i="4"/>
  <c r="O4773" i="4"/>
  <c r="S4762" i="4"/>
  <c r="I4752" i="4"/>
  <c r="O4741" i="4"/>
  <c r="S4730" i="4"/>
  <c r="R4720" i="4"/>
  <c r="R4712" i="4"/>
  <c r="R4704" i="4"/>
  <c r="R4696" i="4"/>
  <c r="P4778" i="4"/>
  <c r="P4762" i="4"/>
  <c r="P4746" i="4"/>
  <c r="P4730" i="4"/>
  <c r="P4719" i="4"/>
  <c r="P4711" i="4"/>
  <c r="J4785" i="4"/>
  <c r="J4777" i="4"/>
  <c r="J4769" i="4"/>
  <c r="J4761" i="4"/>
  <c r="J4753" i="4"/>
  <c r="J4745" i="4"/>
  <c r="J4737" i="4"/>
  <c r="J4729" i="4"/>
  <c r="L4784" i="4"/>
  <c r="L4768" i="4"/>
  <c r="L4752" i="4"/>
  <c r="L4736" i="4"/>
  <c r="L4721" i="4"/>
  <c r="L4713" i="4"/>
  <c r="L4705" i="4"/>
  <c r="L4697" i="4"/>
  <c r="O4783" i="4"/>
  <c r="S4772" i="4"/>
  <c r="I4762" i="4"/>
  <c r="O4751" i="4"/>
  <c r="S4740" i="4"/>
  <c r="I4730" i="4"/>
  <c r="J4720" i="4"/>
  <c r="J4712" i="4"/>
  <c r="J4704" i="4"/>
  <c r="J4696" i="4"/>
  <c r="L4777" i="4"/>
  <c r="R4776" i="4"/>
  <c r="R4744" i="4"/>
  <c r="P4767" i="4"/>
  <c r="S4712" i="4"/>
  <c r="I4772" i="4"/>
  <c r="O4729" i="4"/>
  <c r="R4695" i="4"/>
  <c r="P4748" i="4"/>
  <c r="P4720" i="4"/>
  <c r="I4705" i="4"/>
  <c r="P4694" i="4"/>
  <c r="I4741" i="4"/>
  <c r="O4700" i="4"/>
  <c r="I4686" i="4"/>
  <c r="I4678" i="4"/>
  <c r="I4670" i="4"/>
  <c r="I4662" i="4"/>
  <c r="I4654" i="4"/>
  <c r="O4774" i="4"/>
  <c r="I4731" i="4"/>
  <c r="O4680" i="4"/>
  <c r="O4664" i="4"/>
  <c r="O4648" i="4"/>
  <c r="O4632" i="4"/>
  <c r="O4616" i="4"/>
  <c r="O4756" i="4"/>
  <c r="O4715" i="4"/>
  <c r="L4689" i="4"/>
  <c r="L4681" i="4"/>
  <c r="S4765" i="4"/>
  <c r="J4671" i="4"/>
  <c r="J4655" i="4"/>
  <c r="R4758" i="4"/>
  <c r="J4780" i="4"/>
  <c r="J4772" i="4"/>
  <c r="J4764" i="4"/>
  <c r="J4756" i="4"/>
  <c r="J4748" i="4"/>
  <c r="J4740" i="4"/>
  <c r="J4732" i="4"/>
  <c r="O4722" i="4"/>
  <c r="L4774" i="4"/>
  <c r="L4758" i="4"/>
  <c r="L4742" i="4"/>
  <c r="L4725" i="4"/>
  <c r="L4716" i="4"/>
  <c r="L4708" i="4"/>
  <c r="L4700" i="4"/>
  <c r="L4692" i="4"/>
  <c r="S4776" i="4"/>
  <c r="I4766" i="4"/>
  <c r="O4755" i="4"/>
  <c r="S4744" i="4"/>
  <c r="I4734" i="4"/>
  <c r="I4724" i="4"/>
  <c r="J4715" i="4"/>
  <c r="J4707" i="4"/>
  <c r="J4699" i="4"/>
  <c r="L4783" i="4"/>
  <c r="L4767" i="4"/>
  <c r="L4751" i="4"/>
  <c r="L4735" i="4"/>
  <c r="J4722" i="4"/>
  <c r="I4714" i="4"/>
  <c r="I4706" i="4"/>
  <c r="I4698" i="4"/>
  <c r="O4776" i="4"/>
  <c r="I4733" i="4"/>
  <c r="R4783" i="4"/>
  <c r="R4775" i="4"/>
  <c r="R4767" i="4"/>
  <c r="R4759" i="4"/>
  <c r="R4751" i="4"/>
  <c r="R4743" i="4"/>
  <c r="R4735" i="4"/>
  <c r="R4727" i="4"/>
  <c r="P4781" i="4"/>
  <c r="P4765" i="4"/>
  <c r="P4749" i="4"/>
  <c r="P4733" i="4"/>
  <c r="S4719" i="4"/>
  <c r="S4711" i="4"/>
  <c r="S4703" i="4"/>
  <c r="S4695" i="4"/>
  <c r="O4781" i="4"/>
  <c r="S4770" i="4"/>
  <c r="I4760" i="4"/>
  <c r="O4749" i="4"/>
  <c r="S4738" i="4"/>
  <c r="I4728" i="4"/>
  <c r="R4718" i="4"/>
  <c r="R4710" i="4"/>
  <c r="R4702" i="4"/>
  <c r="R4694" i="4"/>
  <c r="P4774" i="4"/>
  <c r="P4758" i="4"/>
  <c r="P4742" i="4"/>
  <c r="P4726" i="4"/>
  <c r="P4717" i="4"/>
  <c r="P4709" i="4"/>
  <c r="J4783" i="4"/>
  <c r="J4775" i="4"/>
  <c r="J4767" i="4"/>
  <c r="J4759" i="4"/>
  <c r="J4751" i="4"/>
  <c r="J4743" i="4"/>
  <c r="J4735" i="4"/>
  <c r="J4727" i="4"/>
  <c r="L4780" i="4"/>
  <c r="L4764" i="4"/>
  <c r="L4748" i="4"/>
  <c r="L4732" i="4"/>
  <c r="L4719" i="4"/>
  <c r="L4711" i="4"/>
  <c r="L4703" i="4"/>
  <c r="L4695" i="4"/>
  <c r="S4780" i="4"/>
  <c r="I4770" i="4"/>
  <c r="O4759" i="4"/>
  <c r="S4748" i="4"/>
  <c r="I4738" i="4"/>
  <c r="O4727" i="4"/>
  <c r="J4718" i="4"/>
  <c r="J4710" i="4"/>
  <c r="J4702" i="4"/>
  <c r="J4694" i="4"/>
  <c r="L4773" i="4"/>
  <c r="R4768" i="4"/>
  <c r="R4736" i="4"/>
  <c r="P4751" i="4"/>
  <c r="S4704" i="4"/>
  <c r="O4761" i="4"/>
  <c r="R4719" i="4"/>
  <c r="P4776" i="4"/>
  <c r="P4740" i="4"/>
  <c r="P4716" i="4"/>
  <c r="P4702" i="4"/>
  <c r="O4784" i="4"/>
  <c r="O4728" i="4"/>
  <c r="O4692" i="4"/>
  <c r="I4684" i="4"/>
  <c r="I4676" i="4"/>
  <c r="I4668" i="4"/>
  <c r="I4660" i="4"/>
  <c r="I4652" i="4"/>
  <c r="I4763" i="4"/>
  <c r="J4692" i="4"/>
  <c r="O4676" i="4"/>
  <c r="O4660" i="4"/>
  <c r="O4644" i="4"/>
  <c r="O4628" i="4"/>
  <c r="O4612" i="4"/>
  <c r="I4745" i="4"/>
  <c r="O4707" i="4"/>
  <c r="L4687" i="4"/>
  <c r="L4679" i="4"/>
  <c r="O4730" i="4"/>
  <c r="J4667" i="4"/>
  <c r="R4782" i="4"/>
  <c r="R4750" i="4"/>
  <c r="J4786" i="4"/>
  <c r="J4778" i="4"/>
  <c r="J4770" i="4"/>
  <c r="J4762" i="4"/>
  <c r="J4754" i="4"/>
  <c r="J4746" i="4"/>
  <c r="J4738" i="4"/>
  <c r="J4730" i="4"/>
  <c r="L4786" i="4"/>
  <c r="L4770" i="4"/>
  <c r="L4754" i="4"/>
  <c r="L4738" i="4"/>
  <c r="I4723" i="4"/>
  <c r="L4714" i="4"/>
  <c r="L4706" i="4"/>
  <c r="L4698" i="4"/>
  <c r="S4784" i="4"/>
  <c r="I4774" i="4"/>
  <c r="O4763" i="4"/>
  <c r="S4752" i="4"/>
  <c r="I4742" i="4"/>
  <c r="O4731" i="4"/>
  <c r="J4721" i="4"/>
  <c r="J4713" i="4"/>
  <c r="J4705" i="4"/>
  <c r="J4697" i="4"/>
  <c r="L4779" i="4"/>
  <c r="L4763" i="4"/>
  <c r="L4747" i="4"/>
  <c r="L4731" i="4"/>
  <c r="I4720" i="4"/>
  <c r="I4712" i="4"/>
  <c r="I4704" i="4"/>
  <c r="I4696" i="4"/>
  <c r="I4765" i="4"/>
  <c r="S4723" i="4"/>
  <c r="R4781" i="4"/>
  <c r="R4773" i="4"/>
  <c r="R4765" i="4"/>
  <c r="R4757" i="4"/>
  <c r="R4749" i="4"/>
  <c r="R4741" i="4"/>
  <c r="R4733" i="4"/>
  <c r="O4725" i="4"/>
  <c r="P4777" i="4"/>
  <c r="P4761" i="4"/>
  <c r="P4745" i="4"/>
  <c r="P4729" i="4"/>
  <c r="S4717" i="4"/>
  <c r="S4709" i="4"/>
  <c r="S4701" i="4"/>
  <c r="S4693" i="4"/>
  <c r="S4778" i="4"/>
  <c r="I4768" i="4"/>
  <c r="O4757" i="4"/>
  <c r="S4746" i="4"/>
  <c r="I4736" i="4"/>
  <c r="S4725" i="4"/>
  <c r="R4716" i="4"/>
  <c r="R4708" i="4"/>
  <c r="R4700" i="4"/>
  <c r="R4692" i="4"/>
  <c r="P4770" i="4"/>
  <c r="P4754" i="4"/>
  <c r="P4738" i="4"/>
  <c r="P4724" i="4"/>
  <c r="P4715" i="4"/>
  <c r="P4707" i="4"/>
  <c r="J4781" i="4"/>
  <c r="J4773" i="4"/>
  <c r="J4765" i="4"/>
  <c r="J4757" i="4"/>
  <c r="J4749" i="4"/>
  <c r="J4741" i="4"/>
  <c r="J4733" i="4"/>
  <c r="O4724" i="4"/>
  <c r="L4776" i="4"/>
  <c r="L4760" i="4"/>
  <c r="L4744" i="4"/>
  <c r="L4728" i="4"/>
  <c r="L4717" i="4"/>
  <c r="L4709" i="4"/>
  <c r="L4701" i="4"/>
  <c r="L4693" i="4"/>
  <c r="I4778" i="4"/>
  <c r="O4767" i="4"/>
  <c r="S4756" i="4"/>
  <c r="I4746" i="4"/>
  <c r="O4735" i="4"/>
  <c r="J4725" i="4"/>
  <c r="J4716" i="4"/>
  <c r="J4708" i="4"/>
  <c r="J4700" i="4"/>
  <c r="L4785" i="4"/>
  <c r="L4769" i="4"/>
  <c r="R4760" i="4"/>
  <c r="R4728" i="4"/>
  <c r="P4735" i="4"/>
  <c r="S4696" i="4"/>
  <c r="S4750" i="4"/>
  <c r="R4711" i="4"/>
  <c r="P4764" i="4"/>
  <c r="P4732" i="4"/>
  <c r="P4712" i="4"/>
  <c r="P4699" i="4"/>
  <c r="S4771" i="4"/>
  <c r="O4718" i="4"/>
  <c r="I4690" i="4"/>
  <c r="I4682" i="4"/>
  <c r="I4674" i="4"/>
  <c r="I4666" i="4"/>
  <c r="I4658" i="4"/>
  <c r="I4650" i="4"/>
  <c r="S4753" i="4"/>
  <c r="O4688" i="4"/>
  <c r="O4672" i="4"/>
  <c r="O4656" i="4"/>
  <c r="O4640" i="4"/>
  <c r="O4624" i="4"/>
  <c r="I4777" i="4"/>
  <c r="S4735" i="4"/>
  <c r="O4699" i="4"/>
  <c r="L4685" i="4"/>
  <c r="L4677" i="4"/>
  <c r="R4685" i="4"/>
  <c r="J4663" i="4"/>
  <c r="R4774" i="4"/>
  <c r="J4776" i="4"/>
  <c r="J4744" i="4"/>
  <c r="L4766" i="4"/>
  <c r="L4712" i="4"/>
  <c r="O4771" i="4"/>
  <c r="S4728" i="4"/>
  <c r="J4695" i="4"/>
  <c r="L4727" i="4"/>
  <c r="I4694" i="4"/>
  <c r="R4771" i="4"/>
  <c r="R4739" i="4"/>
  <c r="P4757" i="4"/>
  <c r="S4707" i="4"/>
  <c r="O4765" i="4"/>
  <c r="P4723" i="4"/>
  <c r="P4782" i="4"/>
  <c r="R4721" i="4"/>
  <c r="J4771" i="4"/>
  <c r="J4739" i="4"/>
  <c r="L4756" i="4"/>
  <c r="L4707" i="4"/>
  <c r="S4764" i="4"/>
  <c r="L4722" i="4"/>
  <c r="L4781" i="4"/>
  <c r="S4720" i="4"/>
  <c r="P4756" i="4"/>
  <c r="I4757" i="4"/>
  <c r="I4672" i="4"/>
  <c r="O4742" i="4"/>
  <c r="O4636" i="4"/>
  <c r="L4691" i="4"/>
  <c r="J4659" i="4"/>
  <c r="R4726" i="4"/>
  <c r="P4731" i="4"/>
  <c r="S4694" i="4"/>
  <c r="I4748" i="4"/>
  <c r="R4709" i="4"/>
  <c r="L4761" i="4"/>
  <c r="L4729" i="4"/>
  <c r="I4711" i="4"/>
  <c r="I4699" i="4"/>
  <c r="O4768" i="4"/>
  <c r="O4714" i="4"/>
  <c r="P4689" i="4"/>
  <c r="P4681" i="4"/>
  <c r="P4673" i="4"/>
  <c r="P4665" i="4"/>
  <c r="P4657" i="4"/>
  <c r="P4649" i="4"/>
  <c r="O4750" i="4"/>
  <c r="O4687" i="4"/>
  <c r="O4671" i="4"/>
  <c r="O4655" i="4"/>
  <c r="O4639" i="4"/>
  <c r="O4623" i="4"/>
  <c r="S4775" i="4"/>
  <c r="O4732" i="4"/>
  <c r="O4697" i="4"/>
  <c r="S4684" i="4"/>
  <c r="S4676" i="4"/>
  <c r="J4684" i="4"/>
  <c r="L4662" i="4"/>
  <c r="R4772" i="4"/>
  <c r="R4740" i="4"/>
  <c r="P4759" i="4"/>
  <c r="S4708" i="4"/>
  <c r="S4766" i="4"/>
  <c r="R4724" i="4"/>
  <c r="P4784" i="4"/>
  <c r="P4744" i="4"/>
  <c r="P4718" i="4"/>
  <c r="P4703" i="4"/>
  <c r="I4693" i="4"/>
  <c r="O4736" i="4"/>
  <c r="O4696" i="4"/>
  <c r="I4685" i="4"/>
  <c r="I4677" i="4"/>
  <c r="I4669" i="4"/>
  <c r="I4661" i="4"/>
  <c r="I4653" i="4"/>
  <c r="S4769" i="4"/>
  <c r="O4726" i="4"/>
  <c r="O4678" i="4"/>
  <c r="O4662" i="4"/>
  <c r="O4646" i="4"/>
  <c r="O4630" i="4"/>
  <c r="O4614" i="4"/>
  <c r="S4751" i="4"/>
  <c r="O4711" i="4"/>
  <c r="L4688" i="4"/>
  <c r="L4680" i="4"/>
  <c r="I4759" i="4"/>
  <c r="R4669" i="4"/>
  <c r="R4653" i="4"/>
  <c r="O4786" i="4"/>
  <c r="R4705" i="4"/>
  <c r="P4697" i="4"/>
  <c r="P4680" i="4"/>
  <c r="P4648" i="4"/>
  <c r="O4653" i="4"/>
  <c r="S4727" i="4"/>
  <c r="J4680" i="4"/>
  <c r="I4644" i="4"/>
  <c r="J4633" i="4"/>
  <c r="L4622" i="4"/>
  <c r="I4612" i="4"/>
  <c r="I4604" i="4"/>
  <c r="I4596" i="4"/>
  <c r="I4588" i="4"/>
  <c r="I4580" i="4"/>
  <c r="I4572" i="4"/>
  <c r="I4564" i="4"/>
  <c r="I4556" i="4"/>
  <c r="I4548" i="4"/>
  <c r="I4540" i="4"/>
  <c r="I4532" i="4"/>
  <c r="L4673" i="4"/>
  <c r="L4657" i="4"/>
  <c r="L4643" i="4"/>
  <c r="I4633" i="4"/>
  <c r="J4622" i="4"/>
  <c r="O4611" i="4"/>
  <c r="O4595" i="4"/>
  <c r="O4579" i="4"/>
  <c r="R4679" i="4"/>
  <c r="J4661" i="4"/>
  <c r="R4646" i="4"/>
  <c r="J4768" i="4"/>
  <c r="J4736" i="4"/>
  <c r="L4750" i="4"/>
  <c r="L4704" i="4"/>
  <c r="S4760" i="4"/>
  <c r="J4719" i="4"/>
  <c r="L4775" i="4"/>
  <c r="I4718" i="4"/>
  <c r="S4755" i="4"/>
  <c r="R4763" i="4"/>
  <c r="R4731" i="4"/>
  <c r="P4741" i="4"/>
  <c r="S4699" i="4"/>
  <c r="S4754" i="4"/>
  <c r="R4714" i="4"/>
  <c r="P4766" i="4"/>
  <c r="P4713" i="4"/>
  <c r="J4763" i="4"/>
  <c r="J4731" i="4"/>
  <c r="L4740" i="4"/>
  <c r="L4699" i="4"/>
  <c r="I4754" i="4"/>
  <c r="J4714" i="4"/>
  <c r="R4784" i="4"/>
  <c r="S4782" i="4"/>
  <c r="R4725" i="4"/>
  <c r="O4708" i="4"/>
  <c r="I4664" i="4"/>
  <c r="O4684" i="4"/>
  <c r="O4620" i="4"/>
  <c r="L4683" i="4"/>
  <c r="R4766" i="4"/>
  <c r="P4779" i="4"/>
  <c r="S4718" i="4"/>
  <c r="I4780" i="4"/>
  <c r="O4737" i="4"/>
  <c r="R4701" i="4"/>
  <c r="L4753" i="4"/>
  <c r="L4723" i="4"/>
  <c r="I4707" i="4"/>
  <c r="P4696" i="4"/>
  <c r="O4752" i="4"/>
  <c r="O4706" i="4"/>
  <c r="P4687" i="4"/>
  <c r="P4679" i="4"/>
  <c r="P4671" i="4"/>
  <c r="P4663" i="4"/>
  <c r="P4655" i="4"/>
  <c r="O4782" i="4"/>
  <c r="I4739" i="4"/>
  <c r="O4683" i="4"/>
  <c r="O4667" i="4"/>
  <c r="O4651" i="4"/>
  <c r="O4635" i="4"/>
  <c r="O4619" i="4"/>
  <c r="O4764" i="4"/>
  <c r="P4721" i="4"/>
  <c r="S4690" i="4"/>
  <c r="S4682" i="4"/>
  <c r="S4674" i="4"/>
  <c r="J4676" i="4"/>
  <c r="L4658" i="4"/>
  <c r="R4764" i="4"/>
  <c r="R4732" i="4"/>
  <c r="P4743" i="4"/>
  <c r="S4700" i="4"/>
  <c r="I4756" i="4"/>
  <c r="R4715" i="4"/>
  <c r="P4768" i="4"/>
  <c r="P4736" i="4"/>
  <c r="P4714" i="4"/>
  <c r="I4701" i="4"/>
  <c r="S4779" i="4"/>
  <c r="I4722" i="4"/>
  <c r="I4691" i="4"/>
  <c r="I4683" i="4"/>
  <c r="I4675" i="4"/>
  <c r="I4667" i="4"/>
  <c r="I4659" i="4"/>
  <c r="I4651" i="4"/>
  <c r="O4758" i="4"/>
  <c r="O4690" i="4"/>
  <c r="O4674" i="4"/>
  <c r="O4658" i="4"/>
  <c r="O4642" i="4"/>
  <c r="O4626" i="4"/>
  <c r="S4783" i="4"/>
  <c r="O4740" i="4"/>
  <c r="O4703" i="4"/>
  <c r="L4686" i="4"/>
  <c r="L4678" i="4"/>
  <c r="R4689" i="4"/>
  <c r="R4665" i="4"/>
  <c r="R4649" i="4"/>
  <c r="R4723" i="4"/>
  <c r="L4757" i="4"/>
  <c r="O4760" i="4"/>
  <c r="P4672" i="4"/>
  <c r="S4745" i="4"/>
  <c r="O4637" i="4"/>
  <c r="O4693" i="4"/>
  <c r="S4660" i="4"/>
  <c r="J4641" i="4"/>
  <c r="L4630" i="4"/>
  <c r="I4620" i="4"/>
  <c r="I4610" i="4"/>
  <c r="I4602" i="4"/>
  <c r="I4594" i="4"/>
  <c r="I4586" i="4"/>
  <c r="I4578" i="4"/>
  <c r="I4570" i="4"/>
  <c r="I4562" i="4"/>
  <c r="I4554" i="4"/>
  <c r="I4546" i="4"/>
  <c r="I4538" i="4"/>
  <c r="S4741" i="4"/>
  <c r="L4669" i="4"/>
  <c r="L4653" i="4"/>
  <c r="I4641" i="4"/>
  <c r="J4630" i="4"/>
  <c r="L4619" i="4"/>
  <c r="O4607" i="4"/>
  <c r="O4591" i="4"/>
  <c r="O4778" i="4"/>
  <c r="J4673" i="4"/>
  <c r="J4657" i="4"/>
  <c r="S4643" i="4"/>
  <c r="J4760" i="4"/>
  <c r="J4728" i="4"/>
  <c r="L4734" i="4"/>
  <c r="L4696" i="4"/>
  <c r="I4750" i="4"/>
  <c r="J4711" i="4"/>
  <c r="L4759" i="4"/>
  <c r="I4710" i="4"/>
  <c r="O4716" i="4"/>
  <c r="R4755" i="4"/>
  <c r="O4721" i="4"/>
  <c r="S4724" i="4"/>
  <c r="S4691" i="4"/>
  <c r="I4744" i="4"/>
  <c r="R4706" i="4"/>
  <c r="P4750" i="4"/>
  <c r="S4786" i="4"/>
  <c r="J4755" i="4"/>
  <c r="P4786" i="4"/>
  <c r="J4724" i="4"/>
  <c r="I4786" i="4"/>
  <c r="O4743" i="4"/>
  <c r="J4706" i="4"/>
  <c r="R4752" i="4"/>
  <c r="I4740" i="4"/>
  <c r="P4708" i="4"/>
  <c r="I4688" i="4"/>
  <c r="I4656" i="4"/>
  <c r="O4668" i="4"/>
  <c r="S4767" i="4"/>
  <c r="L4675" i="4"/>
  <c r="R4742" i="4"/>
  <c r="P4763" i="4"/>
  <c r="S4710" i="4"/>
  <c r="O4769" i="4"/>
  <c r="S4726" i="4"/>
  <c r="R4693" i="4"/>
  <c r="L4745" i="4"/>
  <c r="I4719" i="4"/>
  <c r="P4704" i="4"/>
  <c r="P4693" i="4"/>
  <c r="S4739" i="4"/>
  <c r="O4698" i="4"/>
  <c r="P4685" i="4"/>
  <c r="P4677" i="4"/>
  <c r="P4669" i="4"/>
  <c r="P4661" i="4"/>
  <c r="P4653" i="4"/>
  <c r="I4771" i="4"/>
  <c r="S4729" i="4"/>
  <c r="O4679" i="4"/>
  <c r="O4663" i="4"/>
  <c r="O4647" i="4"/>
  <c r="O4631" i="4"/>
  <c r="O4615" i="4"/>
  <c r="I4753" i="4"/>
  <c r="O4713" i="4"/>
  <c r="S4688" i="4"/>
  <c r="S4680" i="4"/>
  <c r="O4762" i="4"/>
  <c r="L4670" i="4"/>
  <c r="L4654" i="4"/>
  <c r="R4756" i="4"/>
  <c r="O4723" i="4"/>
  <c r="P4727" i="4"/>
  <c r="S4692" i="4"/>
  <c r="O4745" i="4"/>
  <c r="R4707" i="4"/>
  <c r="P4760" i="4"/>
  <c r="P4728" i="4"/>
  <c r="P4710" i="4"/>
  <c r="P4698" i="4"/>
  <c r="S4763" i="4"/>
  <c r="O4712" i="4"/>
  <c r="I4689" i="4"/>
  <c r="I4681" i="4"/>
  <c r="I4673" i="4"/>
  <c r="I4665" i="4"/>
  <c r="I4657" i="4"/>
  <c r="I4649" i="4"/>
  <c r="I4747" i="4"/>
  <c r="O4686" i="4"/>
  <c r="O4670" i="4"/>
  <c r="O4654" i="4"/>
  <c r="O4638" i="4"/>
  <c r="O4622" i="4"/>
  <c r="O4772" i="4"/>
  <c r="I4729" i="4"/>
  <c r="O4695" i="4"/>
  <c r="L4684" i="4"/>
  <c r="L4676" i="4"/>
  <c r="R4681" i="4"/>
  <c r="R4661" i="4"/>
  <c r="R4786" i="4"/>
  <c r="O4785" i="4"/>
  <c r="I4726" i="4"/>
  <c r="O4710" i="4"/>
  <c r="P4664" i="4"/>
  <c r="O4685" i="4"/>
  <c r="O4621" i="4"/>
  <c r="S4683" i="4"/>
  <c r="L4650" i="4"/>
  <c r="L4638" i="4"/>
  <c r="I4628" i="4"/>
  <c r="J4617" i="4"/>
  <c r="I4608" i="4"/>
  <c r="I4600" i="4"/>
  <c r="I4592" i="4"/>
  <c r="I4584" i="4"/>
  <c r="I4576" i="4"/>
  <c r="I4568" i="4"/>
  <c r="I4560" i="4"/>
  <c r="I4552" i="4"/>
  <c r="I4544" i="4"/>
  <c r="I4536" i="4"/>
  <c r="J4689" i="4"/>
  <c r="L4665" i="4"/>
  <c r="L4649" i="4"/>
  <c r="J4638" i="4"/>
  <c r="L4627" i="4"/>
  <c r="I4617" i="4"/>
  <c r="O4603" i="4"/>
  <c r="O4587" i="4"/>
  <c r="I4743" i="4"/>
  <c r="J4669" i="4"/>
  <c r="J4653" i="4"/>
  <c r="P4641" i="4"/>
  <c r="J4784" i="4"/>
  <c r="I4782" i="4"/>
  <c r="I4702" i="4"/>
  <c r="S4715" i="4"/>
  <c r="P4734" i="4"/>
  <c r="L4715" i="4"/>
  <c r="P4783" i="4"/>
  <c r="S4785" i="4"/>
  <c r="R4734" i="4"/>
  <c r="R4717" i="4"/>
  <c r="P4701" i="4"/>
  <c r="P4683" i="4"/>
  <c r="P4651" i="4"/>
  <c r="O4659" i="4"/>
  <c r="S4743" i="4"/>
  <c r="I4727" i="4"/>
  <c r="P4775" i="4"/>
  <c r="R4699" i="4"/>
  <c r="P4695" i="4"/>
  <c r="I4679" i="4"/>
  <c r="I4779" i="4"/>
  <c r="O4650" i="4"/>
  <c r="O4719" i="4"/>
  <c r="R4673" i="4"/>
  <c r="I4709" i="4"/>
  <c r="I4769" i="4"/>
  <c r="J4625" i="4"/>
  <c r="I4590" i="4"/>
  <c r="I4558" i="4"/>
  <c r="J4681" i="4"/>
  <c r="I4625" i="4"/>
  <c r="R4687" i="4"/>
  <c r="S4635" i="4"/>
  <c r="P4625" i="4"/>
  <c r="R4614" i="4"/>
  <c r="S4605" i="4"/>
  <c r="S4597" i="4"/>
  <c r="S4589" i="4"/>
  <c r="S4581" i="4"/>
  <c r="S4573" i="4"/>
  <c r="S4565" i="4"/>
  <c r="S4557" i="4"/>
  <c r="S4549" i="4"/>
  <c r="S4541" i="4"/>
  <c r="S4533" i="4"/>
  <c r="R4654" i="4"/>
  <c r="R4603" i="4"/>
  <c r="S4531" i="4"/>
  <c r="S4523" i="4"/>
  <c r="S4515" i="4"/>
  <c r="S4507" i="4"/>
  <c r="S4499" i="4"/>
  <c r="S4491" i="4"/>
  <c r="S4483" i="4"/>
  <c r="S4475" i="4"/>
  <c r="S4467" i="4"/>
  <c r="S4459" i="4"/>
  <c r="S4451" i="4"/>
  <c r="S4443" i="4"/>
  <c r="L4633" i="4"/>
  <c r="R4600" i="4"/>
  <c r="R4572" i="4"/>
  <c r="R4556" i="4"/>
  <c r="O4753" i="4"/>
  <c r="I4695" i="4"/>
  <c r="P4668" i="4"/>
  <c r="O4673" i="4"/>
  <c r="O4717" i="4"/>
  <c r="S4652" i="4"/>
  <c r="R4636" i="4"/>
  <c r="S4621" i="4"/>
  <c r="I4609" i="4"/>
  <c r="P4598" i="4"/>
  <c r="P4587" i="4"/>
  <c r="I4577" i="4"/>
  <c r="P4566" i="4"/>
  <c r="P4555" i="4"/>
  <c r="I4545" i="4"/>
  <c r="P4534" i="4"/>
  <c r="R4672" i="4"/>
  <c r="S4651" i="4"/>
  <c r="P4636" i="4"/>
  <c r="R4621" i="4"/>
  <c r="O4605" i="4"/>
  <c r="O4584" i="4"/>
  <c r="J4678" i="4"/>
  <c r="R4655" i="4"/>
  <c r="J4639" i="4"/>
  <c r="L4624" i="4"/>
  <c r="S4610" i="4"/>
  <c r="L4600" i="4"/>
  <c r="L4589" i="4"/>
  <c r="S4578" i="4"/>
  <c r="L4568" i="4"/>
  <c r="L4557" i="4"/>
  <c r="S4546" i="4"/>
  <c r="L4536" i="4"/>
  <c r="J4652" i="4"/>
  <c r="R4591" i="4"/>
  <c r="L4526" i="4"/>
  <c r="L4515" i="4"/>
  <c r="S4504" i="4"/>
  <c r="L4494" i="4"/>
  <c r="L4483" i="4"/>
  <c r="S4472" i="4"/>
  <c r="L4462" i="4"/>
  <c r="L4451" i="4"/>
  <c r="S4440" i="4"/>
  <c r="J4611" i="4"/>
  <c r="R4571" i="4"/>
  <c r="R4551" i="4"/>
  <c r="R4535" i="4"/>
  <c r="J4752" i="4"/>
  <c r="O4739" i="4"/>
  <c r="R4779" i="4"/>
  <c r="I4776" i="4"/>
  <c r="J4779" i="4"/>
  <c r="O4775" i="4"/>
  <c r="R4703" i="4"/>
  <c r="O4652" i="4"/>
  <c r="P4747" i="4"/>
  <c r="P4772" i="4"/>
  <c r="I4781" i="4"/>
  <c r="P4675" i="4"/>
  <c r="S4761" i="4"/>
  <c r="O4643" i="4"/>
  <c r="O4705" i="4"/>
  <c r="L4666" i="4"/>
  <c r="S4716" i="4"/>
  <c r="P4752" i="4"/>
  <c r="I4749" i="4"/>
  <c r="I4671" i="4"/>
  <c r="S4737" i="4"/>
  <c r="O4634" i="4"/>
  <c r="L4690" i="4"/>
  <c r="R4657" i="4"/>
  <c r="P4688" i="4"/>
  <c r="S4675" i="4"/>
  <c r="L4614" i="4"/>
  <c r="I4582" i="4"/>
  <c r="I4550" i="4"/>
  <c r="L4661" i="4"/>
  <c r="J4614" i="4"/>
  <c r="J4665" i="4"/>
  <c r="P4633" i="4"/>
  <c r="R4622" i="4"/>
  <c r="S4611" i="4"/>
  <c r="S4603" i="4"/>
  <c r="S4595" i="4"/>
  <c r="S4587" i="4"/>
  <c r="S4579" i="4"/>
  <c r="S4571" i="4"/>
  <c r="S4563" i="4"/>
  <c r="S4555" i="4"/>
  <c r="S4547" i="4"/>
  <c r="S4539" i="4"/>
  <c r="J4683" i="4"/>
  <c r="R4643" i="4"/>
  <c r="R4595" i="4"/>
  <c r="S4529" i="4"/>
  <c r="S4521" i="4"/>
  <c r="S4513" i="4"/>
  <c r="S4505" i="4"/>
  <c r="S4497" i="4"/>
  <c r="S4489" i="4"/>
  <c r="S4481" i="4"/>
  <c r="S4473" i="4"/>
  <c r="S4465" i="4"/>
  <c r="S4457" i="4"/>
  <c r="S4449" i="4"/>
  <c r="S4441" i="4"/>
  <c r="L4625" i="4"/>
  <c r="R4592" i="4"/>
  <c r="R4568" i="4"/>
  <c r="R4762" i="4"/>
  <c r="R4697" i="4"/>
  <c r="S4731" i="4"/>
  <c r="P4658" i="4"/>
  <c r="O4649" i="4"/>
  <c r="S4687" i="4"/>
  <c r="P4647" i="4"/>
  <c r="R4632" i="4"/>
  <c r="L4618" i="4"/>
  <c r="P4606" i="4"/>
  <c r="P4595" i="4"/>
  <c r="I4585" i="4"/>
  <c r="P4574" i="4"/>
  <c r="P4563" i="4"/>
  <c r="I4553" i="4"/>
  <c r="P4542" i="4"/>
  <c r="S4773" i="4"/>
  <c r="S4667" i="4"/>
  <c r="S4646" i="4"/>
  <c r="P4632" i="4"/>
  <c r="J4618" i="4"/>
  <c r="O4600" i="4"/>
  <c r="O4578" i="4"/>
  <c r="R4671" i="4"/>
  <c r="S4650" i="4"/>
  <c r="J4635" i="4"/>
  <c r="P4621" i="4"/>
  <c r="L4608" i="4"/>
  <c r="L4597" i="4"/>
  <c r="S4586" i="4"/>
  <c r="L4576" i="4"/>
  <c r="L4565" i="4"/>
  <c r="S4554" i="4"/>
  <c r="L4544" i="4"/>
  <c r="I4783" i="4"/>
  <c r="R4635" i="4"/>
  <c r="J4582" i="4"/>
  <c r="L4523" i="4"/>
  <c r="S4512" i="4"/>
  <c r="L4502" i="4"/>
  <c r="L4491" i="4"/>
  <c r="S4480" i="4"/>
  <c r="L4470" i="4"/>
  <c r="L4459" i="4"/>
  <c r="S4448" i="4"/>
  <c r="I4643" i="4"/>
  <c r="J4599" i="4"/>
  <c r="R4566" i="4"/>
  <c r="R4547" i="4"/>
  <c r="R4531" i="4"/>
  <c r="R4523" i="4"/>
  <c r="R4515" i="4"/>
  <c r="R4507" i="4"/>
  <c r="R4499" i="4"/>
  <c r="R4491" i="4"/>
  <c r="R4684" i="4"/>
  <c r="J4644" i="4"/>
  <c r="J4596" i="4"/>
  <c r="O4570" i="4"/>
  <c r="O4554" i="4"/>
  <c r="O4538" i="4"/>
  <c r="P4527" i="4"/>
  <c r="P4519" i="4"/>
  <c r="P4511" i="4"/>
  <c r="P4755" i="4"/>
  <c r="L4782" i="4"/>
  <c r="J4703" i="4"/>
  <c r="R4747" i="4"/>
  <c r="O4733" i="4"/>
  <c r="J4747" i="4"/>
  <c r="S4732" i="4"/>
  <c r="I4697" i="4"/>
  <c r="L4724" i="4"/>
  <c r="S4702" i="4"/>
  <c r="L4737" i="4"/>
  <c r="P4725" i="4"/>
  <c r="P4667" i="4"/>
  <c r="O4691" i="4"/>
  <c r="O4627" i="4"/>
  <c r="S4686" i="4"/>
  <c r="R4780" i="4"/>
  <c r="O4777" i="4"/>
  <c r="S4722" i="4"/>
  <c r="O4704" i="4"/>
  <c r="I4663" i="4"/>
  <c r="O4682" i="4"/>
  <c r="O4618" i="4"/>
  <c r="L4682" i="4"/>
  <c r="R4754" i="4"/>
  <c r="P4656" i="4"/>
  <c r="L4646" i="4"/>
  <c r="I4606" i="4"/>
  <c r="I4574" i="4"/>
  <c r="I4542" i="4"/>
  <c r="J4646" i="4"/>
  <c r="O4599" i="4"/>
  <c r="J4649" i="4"/>
  <c r="R4630" i="4"/>
  <c r="S4619" i="4"/>
  <c r="S4609" i="4"/>
  <c r="S4601" i="4"/>
  <c r="S4593" i="4"/>
  <c r="S4585" i="4"/>
  <c r="S4577" i="4"/>
  <c r="S4569" i="4"/>
  <c r="S4561" i="4"/>
  <c r="S4553" i="4"/>
  <c r="S4545" i="4"/>
  <c r="S4537" i="4"/>
  <c r="R4670" i="4"/>
  <c r="R4627" i="4"/>
  <c r="R4587" i="4"/>
  <c r="S4527" i="4"/>
  <c r="S4519" i="4"/>
  <c r="S4511" i="4"/>
  <c r="S4503" i="4"/>
  <c r="S4495" i="4"/>
  <c r="S4487" i="4"/>
  <c r="S4479" i="4"/>
  <c r="S4471" i="4"/>
  <c r="S4463" i="4"/>
  <c r="S4455" i="4"/>
  <c r="S4447" i="4"/>
  <c r="S4439" i="4"/>
  <c r="L4617" i="4"/>
  <c r="R4584" i="4"/>
  <c r="R4564" i="4"/>
  <c r="P4771" i="4"/>
  <c r="L4741" i="4"/>
  <c r="P4690" i="4"/>
  <c r="S4777" i="4"/>
  <c r="O4629" i="4"/>
  <c r="S4677" i="4"/>
  <c r="P4643" i="4"/>
  <c r="J4629" i="4"/>
  <c r="P4615" i="4"/>
  <c r="P4603" i="4"/>
  <c r="I4593" i="4"/>
  <c r="P4582" i="4"/>
  <c r="P4571" i="4"/>
  <c r="I4561" i="4"/>
  <c r="P4550" i="4"/>
  <c r="P4539" i="4"/>
  <c r="I4735" i="4"/>
  <c r="J4662" i="4"/>
  <c r="S4642" i="4"/>
  <c r="I4629" i="4"/>
  <c r="S4614" i="4"/>
  <c r="O4594" i="4"/>
  <c r="S4749" i="4"/>
  <c r="S4666" i="4"/>
  <c r="I4646" i="4"/>
  <c r="S4631" i="4"/>
  <c r="I4618" i="4"/>
  <c r="L4605" i="4"/>
  <c r="S4594" i="4"/>
  <c r="L4584" i="4"/>
  <c r="L4573" i="4"/>
  <c r="S4562" i="4"/>
  <c r="L4552" i="4"/>
  <c r="L4541" i="4"/>
  <c r="J4675" i="4"/>
  <c r="J4616" i="4"/>
  <c r="L4531" i="4"/>
  <c r="S4520" i="4"/>
  <c r="L4510" i="4"/>
  <c r="L4499" i="4"/>
  <c r="S4488" i="4"/>
  <c r="L4478" i="4"/>
  <c r="L4467" i="4"/>
  <c r="S4456" i="4"/>
  <c r="L4446" i="4"/>
  <c r="P4630" i="4"/>
  <c r="R4588" i="4"/>
  <c r="R4561" i="4"/>
  <c r="R4543" i="4"/>
  <c r="R4529" i="4"/>
  <c r="R4521" i="4"/>
  <c r="R4513" i="4"/>
  <c r="R4505" i="4"/>
  <c r="R4497" i="4"/>
  <c r="R4489" i="4"/>
  <c r="S4669" i="4"/>
  <c r="J4628" i="4"/>
  <c r="J4588" i="4"/>
  <c r="O4566" i="4"/>
  <c r="O4550" i="4"/>
  <c r="O4534" i="4"/>
  <c r="P4525" i="4"/>
  <c r="P4517" i="4"/>
  <c r="P4509" i="4"/>
  <c r="S4698" i="4"/>
  <c r="P4705" i="4"/>
  <c r="P4676" i="4"/>
  <c r="O4689" i="4"/>
  <c r="S4759" i="4"/>
  <c r="S4668" i="4"/>
  <c r="P4639" i="4"/>
  <c r="R4624" i="4"/>
  <c r="I4611" i="4"/>
  <c r="P4600" i="4"/>
  <c r="P4589" i="4"/>
  <c r="I4579" i="4"/>
  <c r="P4568" i="4"/>
  <c r="P4557" i="4"/>
  <c r="I4547" i="4"/>
  <c r="P4536" i="4"/>
  <c r="R4698" i="4"/>
  <c r="R4677" i="4"/>
  <c r="P4659" i="4"/>
  <c r="R4748" i="4"/>
  <c r="I4655" i="4"/>
  <c r="S4742" i="4"/>
  <c r="I4566" i="4"/>
  <c r="R4638" i="4"/>
  <c r="S4599" i="4"/>
  <c r="S4567" i="4"/>
  <c r="S4535" i="4"/>
  <c r="S4525" i="4"/>
  <c r="S4493" i="4"/>
  <c r="S4461" i="4"/>
  <c r="R4608" i="4"/>
  <c r="I4713" i="4"/>
  <c r="S4672" i="4"/>
  <c r="I4601" i="4"/>
  <c r="P4558" i="4"/>
  <c r="R4656" i="4"/>
  <c r="O4589" i="4"/>
  <c r="L4628" i="4"/>
  <c r="L4581" i="4"/>
  <c r="S4538" i="4"/>
  <c r="L4518" i="4"/>
  <c r="L4475" i="4"/>
  <c r="S4620" i="4"/>
  <c r="R4527" i="4"/>
  <c r="R4511" i="4"/>
  <c r="R4495" i="4"/>
  <c r="S4661" i="4"/>
  <c r="J4580" i="4"/>
  <c r="O4546" i="4"/>
  <c r="P4523" i="4"/>
  <c r="P4507" i="4"/>
  <c r="L4733" i="4"/>
  <c r="P4666" i="4"/>
  <c r="O4645" i="4"/>
  <c r="S4673" i="4"/>
  <c r="P4635" i="4"/>
  <c r="S4617" i="4"/>
  <c r="I4603" i="4"/>
  <c r="I4587" i="4"/>
  <c r="P4573" i="4"/>
  <c r="P4560" i="4"/>
  <c r="P4544" i="4"/>
  <c r="O4770" i="4"/>
  <c r="J4666" i="4"/>
  <c r="R4645" i="4"/>
  <c r="L4631" i="4"/>
  <c r="R4617" i="4"/>
  <c r="O4598" i="4"/>
  <c r="O4577" i="4"/>
  <c r="S4670" i="4"/>
  <c r="L4648" i="4"/>
  <c r="R4634" i="4"/>
  <c r="L4620" i="4"/>
  <c r="L4607" i="4"/>
  <c r="S4596" i="4"/>
  <c r="L4586" i="4"/>
  <c r="L4575" i="4"/>
  <c r="S4564" i="4"/>
  <c r="L4554" i="4"/>
  <c r="L4543" i="4"/>
  <c r="J4691" i="4"/>
  <c r="J4632" i="4"/>
  <c r="J4578" i="4"/>
  <c r="S4522" i="4"/>
  <c r="L4512" i="4"/>
  <c r="L4501" i="4"/>
  <c r="S4490" i="4"/>
  <c r="L4480" i="4"/>
  <c r="L4469" i="4"/>
  <c r="S4458" i="4"/>
  <c r="L4448" i="4"/>
  <c r="P4638" i="4"/>
  <c r="R4596" i="4"/>
  <c r="R4565" i="4"/>
  <c r="R4546" i="4"/>
  <c r="J4531" i="4"/>
  <c r="J4523" i="4"/>
  <c r="J4515" i="4"/>
  <c r="J4507" i="4"/>
  <c r="J4499" i="4"/>
  <c r="J4491" i="4"/>
  <c r="J4679" i="4"/>
  <c r="R4639" i="4"/>
  <c r="R4593" i="4"/>
  <c r="O4569" i="4"/>
  <c r="O4553" i="4"/>
  <c r="O4537" i="4"/>
  <c r="I4527" i="4"/>
  <c r="I4519" i="4"/>
  <c r="I4511" i="4"/>
  <c r="R4738" i="4"/>
  <c r="L4765" i="4"/>
  <c r="O4702" i="4"/>
  <c r="P4652" i="4"/>
  <c r="O4641" i="4"/>
  <c r="S4681" i="4"/>
  <c r="J4645" i="4"/>
  <c r="P4631" i="4"/>
  <c r="R4616" i="4"/>
  <c r="I4605" i="4"/>
  <c r="P4594" i="4"/>
  <c r="P4583" i="4"/>
  <c r="I4573" i="4"/>
  <c r="P4562" i="4"/>
  <c r="P4551" i="4"/>
  <c r="I4541" i="4"/>
  <c r="I4767" i="4"/>
  <c r="R4664" i="4"/>
  <c r="I4645" i="4"/>
  <c r="S4630" i="4"/>
  <c r="P4616" i="4"/>
  <c r="O4597" i="4"/>
  <c r="S4781" i="4"/>
  <c r="L4668" i="4"/>
  <c r="S4647" i="4"/>
  <c r="I4634" i="4"/>
  <c r="J4619" i="4"/>
  <c r="S4606" i="4"/>
  <c r="L4596" i="4"/>
  <c r="L4585" i="4"/>
  <c r="S4574" i="4"/>
  <c r="L4564" i="4"/>
  <c r="L4553" i="4"/>
  <c r="S4542" i="4"/>
  <c r="R4688" i="4"/>
  <c r="J4624" i="4"/>
  <c r="J4533" i="4"/>
  <c r="L4522" i="4"/>
  <c r="L4511" i="4"/>
  <c r="S4500" i="4"/>
  <c r="L4490" i="4"/>
  <c r="L4479" i="4"/>
  <c r="S4468" i="4"/>
  <c r="L4458" i="4"/>
  <c r="L4447" i="4"/>
  <c r="S4636" i="4"/>
  <c r="J4595" i="4"/>
  <c r="R4563" i="4"/>
  <c r="R4545" i="4"/>
  <c r="R4530" i="4"/>
  <c r="R4522" i="4"/>
  <c r="R4514" i="4"/>
  <c r="R4506" i="4"/>
  <c r="R4498" i="4"/>
  <c r="R4490" i="4"/>
  <c r="R4676" i="4"/>
  <c r="J4636" i="4"/>
  <c r="J4592" i="4"/>
  <c r="O4568" i="4"/>
  <c r="O4694" i="4"/>
  <c r="R4644" i="4"/>
  <c r="P4593" i="4"/>
  <c r="I4551" i="4"/>
  <c r="P4644" i="4"/>
  <c r="I4775" i="4"/>
  <c r="R4618" i="4"/>
  <c r="L4574" i="4"/>
  <c r="R4680" i="4"/>
  <c r="S4510" i="4"/>
  <c r="L4468" i="4"/>
  <c r="J4591" i="4"/>
  <c r="J4522" i="4"/>
  <c r="J4490" i="4"/>
  <c r="O4567" i="4"/>
  <c r="S4532" i="4"/>
  <c r="P4516" i="4"/>
  <c r="P4503" i="4"/>
  <c r="P4495" i="4"/>
  <c r="P4487" i="4"/>
  <c r="P4479" i="4"/>
  <c r="P4471" i="4"/>
  <c r="P4463" i="4"/>
  <c r="P4455" i="4"/>
  <c r="I4751" i="4"/>
  <c r="R4586" i="4"/>
  <c r="J4550" i="4"/>
  <c r="O4518" i="4"/>
  <c r="O4486" i="4"/>
  <c r="O4469" i="4"/>
  <c r="O4453" i="4"/>
  <c r="L4438" i="4"/>
  <c r="L4430" i="4"/>
  <c r="L4422" i="4"/>
  <c r="L4414" i="4"/>
  <c r="L4406" i="4"/>
  <c r="L4398" i="4"/>
  <c r="L4390" i="4"/>
  <c r="L4382" i="4"/>
  <c r="L4374" i="4"/>
  <c r="L4366" i="4"/>
  <c r="L4358" i="4"/>
  <c r="L4350" i="4"/>
  <c r="L4342" i="4"/>
  <c r="J4478" i="4"/>
  <c r="J4462" i="4"/>
  <c r="I4447" i="4"/>
  <c r="J4437" i="4"/>
  <c r="J4429" i="4"/>
  <c r="J4421" i="4"/>
  <c r="J4413" i="4"/>
  <c r="J4405" i="4"/>
  <c r="J4397" i="4"/>
  <c r="J4389" i="4"/>
  <c r="J4381" i="4"/>
  <c r="J4373" i="4"/>
  <c r="J4365" i="4"/>
  <c r="J4357" i="4"/>
  <c r="J4349" i="4"/>
  <c r="J4341" i="4"/>
  <c r="J4569" i="4"/>
  <c r="J4537" i="4"/>
  <c r="O4734" i="4"/>
  <c r="L4626" i="4"/>
  <c r="P4580" i="4"/>
  <c r="P4537" i="4"/>
  <c r="J4626" i="4"/>
  <c r="S4662" i="4"/>
  <c r="L4603" i="4"/>
  <c r="S4560" i="4"/>
  <c r="J4606" i="4"/>
  <c r="L4497" i="4"/>
  <c r="S4454" i="4"/>
  <c r="R4557" i="4"/>
  <c r="J4512" i="4"/>
  <c r="L4663" i="4"/>
  <c r="O4555" i="4"/>
  <c r="I4528" i="4"/>
  <c r="I4512" i="4"/>
  <c r="I4501" i="4"/>
  <c r="I4493" i="4"/>
  <c r="I4485" i="4"/>
  <c r="I4477" i="4"/>
  <c r="I4469" i="4"/>
  <c r="I4461" i="4"/>
  <c r="I4453" i="4"/>
  <c r="L4629" i="4"/>
  <c r="J4572" i="4"/>
  <c r="J4540" i="4"/>
  <c r="O4508" i="4"/>
  <c r="O4480" i="4"/>
  <c r="O4464" i="4"/>
  <c r="P4448" i="4"/>
  <c r="S4435" i="4"/>
  <c r="S4427" i="4"/>
  <c r="S4419" i="4"/>
  <c r="S4411" i="4"/>
  <c r="S4403" i="4"/>
  <c r="S4395" i="4"/>
  <c r="S4387" i="4"/>
  <c r="S4379" i="4"/>
  <c r="I4764" i="4"/>
  <c r="L4720" i="4"/>
  <c r="L4772" i="4"/>
  <c r="S4758" i="4"/>
  <c r="O4675" i="4"/>
  <c r="S4734" i="4"/>
  <c r="O4666" i="4"/>
  <c r="O4669" i="4"/>
  <c r="I4534" i="4"/>
  <c r="S4627" i="4"/>
  <c r="S4591" i="4"/>
  <c r="L4743" i="4"/>
  <c r="J4698" i="4"/>
  <c r="I4715" i="4"/>
  <c r="I4785" i="4"/>
  <c r="P4706" i="4"/>
  <c r="I4761" i="4"/>
  <c r="I4636" i="4"/>
  <c r="L4635" i="4"/>
  <c r="P4617" i="4"/>
  <c r="S4583" i="4"/>
  <c r="S4551" i="4"/>
  <c r="R4611" i="4"/>
  <c r="S4509" i="4"/>
  <c r="S4477" i="4"/>
  <c r="S4445" i="4"/>
  <c r="R4560" i="4"/>
  <c r="J4723" i="4"/>
  <c r="S4625" i="4"/>
  <c r="P4579" i="4"/>
  <c r="I4537" i="4"/>
  <c r="R4625" i="4"/>
  <c r="L4660" i="4"/>
  <c r="S4602" i="4"/>
  <c r="L4560" i="4"/>
  <c r="J4602" i="4"/>
  <c r="S4496" i="4"/>
  <c r="L4454" i="4"/>
  <c r="R4555" i="4"/>
  <c r="R4519" i="4"/>
  <c r="R4503" i="4"/>
  <c r="R4487" i="4"/>
  <c r="J4612" i="4"/>
  <c r="O4562" i="4"/>
  <c r="P4531" i="4"/>
  <c r="P4515" i="4"/>
  <c r="I4732" i="4"/>
  <c r="O4720" i="4"/>
  <c r="O4766" i="4"/>
  <c r="O4709" i="4"/>
  <c r="S4645" i="4"/>
  <c r="R4628" i="4"/>
  <c r="P4608" i="4"/>
  <c r="I4595" i="4"/>
  <c r="P4581" i="4"/>
  <c r="P4565" i="4"/>
  <c r="P4552" i="4"/>
  <c r="I4539" i="4"/>
  <c r="R4678" i="4"/>
  <c r="S4655" i="4"/>
  <c r="S4638" i="4"/>
  <c r="P4624" i="4"/>
  <c r="O4609" i="4"/>
  <c r="O4588" i="4"/>
  <c r="J4686" i="4"/>
  <c r="R4659" i="4"/>
  <c r="I4642" i="4"/>
  <c r="J4627" i="4"/>
  <c r="P4613" i="4"/>
  <c r="L4602" i="4"/>
  <c r="L4591" i="4"/>
  <c r="S4580" i="4"/>
  <c r="L4570" i="4"/>
  <c r="L4559" i="4"/>
  <c r="S4548" i="4"/>
  <c r="L4538" i="4"/>
  <c r="J4660" i="4"/>
  <c r="R4599" i="4"/>
  <c r="L4528" i="4"/>
  <c r="L4517" i="4"/>
  <c r="S4506" i="4"/>
  <c r="L4496" i="4"/>
  <c r="L4485" i="4"/>
  <c r="S4474" i="4"/>
  <c r="L4464" i="4"/>
  <c r="L4453" i="4"/>
  <c r="S4442" i="4"/>
  <c r="I4619" i="4"/>
  <c r="R4575" i="4"/>
  <c r="R4554" i="4"/>
  <c r="R4538" i="4"/>
  <c r="J4527" i="4"/>
  <c r="J4519" i="4"/>
  <c r="J4511" i="4"/>
  <c r="J4503" i="4"/>
  <c r="J4495" i="4"/>
  <c r="J4487" i="4"/>
  <c r="L4659" i="4"/>
  <c r="R4609" i="4"/>
  <c r="R4577" i="4"/>
  <c r="O4561" i="4"/>
  <c r="O4545" i="4"/>
  <c r="I4531" i="4"/>
  <c r="I4523" i="4"/>
  <c r="I4515" i="4"/>
  <c r="I4507" i="4"/>
  <c r="S4774" i="4"/>
  <c r="I4703" i="4"/>
  <c r="P4674" i="4"/>
  <c r="O4681" i="4"/>
  <c r="O4748" i="4"/>
  <c r="S4664" i="4"/>
  <c r="S4637" i="4"/>
  <c r="I4624" i="4"/>
  <c r="P4610" i="4"/>
  <c r="P4599" i="4"/>
  <c r="I4589" i="4"/>
  <c r="P4578" i="4"/>
  <c r="P4567" i="4"/>
  <c r="I4557" i="4"/>
  <c r="P4546" i="4"/>
  <c r="P4535" i="4"/>
  <c r="J4677" i="4"/>
  <c r="J4654" i="4"/>
  <c r="R4637" i="4"/>
  <c r="L4623" i="4"/>
  <c r="O4608" i="4"/>
  <c r="O4586" i="4"/>
  <c r="R4683" i="4"/>
  <c r="S4658" i="4"/>
  <c r="L4640" i="4"/>
  <c r="R4626" i="4"/>
  <c r="L4612" i="4"/>
  <c r="L4601" i="4"/>
  <c r="S4590" i="4"/>
  <c r="L4580" i="4"/>
  <c r="L4569" i="4"/>
  <c r="S4558" i="4"/>
  <c r="L4548" i="4"/>
  <c r="L4537" i="4"/>
  <c r="R4658" i="4"/>
  <c r="J4598" i="4"/>
  <c r="L4527" i="4"/>
  <c r="S4516" i="4"/>
  <c r="L4506" i="4"/>
  <c r="L4495" i="4"/>
  <c r="S4484" i="4"/>
  <c r="L4474" i="4"/>
  <c r="L4463" i="4"/>
  <c r="S4452" i="4"/>
  <c r="L4442" i="4"/>
  <c r="P4614" i="4"/>
  <c r="R4574" i="4"/>
  <c r="R4553" i="4"/>
  <c r="R4537" i="4"/>
  <c r="R4526" i="4"/>
  <c r="R4518" i="4"/>
  <c r="R4510" i="4"/>
  <c r="R4502" i="4"/>
  <c r="R4494" i="4"/>
  <c r="R4486" i="4"/>
  <c r="S4657" i="4"/>
  <c r="J4608" i="4"/>
  <c r="O4576" i="4"/>
  <c r="R4730" i="4"/>
  <c r="O4633" i="4"/>
  <c r="I4616" i="4"/>
  <c r="P4572" i="4"/>
  <c r="O4738" i="4"/>
  <c r="L4615" i="4"/>
  <c r="J4647" i="4"/>
  <c r="L4595" i="4"/>
  <c r="S4552" i="4"/>
  <c r="O4532" i="4"/>
  <c r="L4489" i="4"/>
  <c r="S4446" i="4"/>
  <c r="R4544" i="4"/>
  <c r="J4506" i="4"/>
  <c r="R4631" i="4"/>
  <c r="O4548" i="4"/>
  <c r="P4524" i="4"/>
  <c r="P4508" i="4"/>
  <c r="P4499" i="4"/>
  <c r="P4491" i="4"/>
  <c r="P4483" i="4"/>
  <c r="P4475" i="4"/>
  <c r="P4467" i="4"/>
  <c r="P4459" i="4"/>
  <c r="P4451" i="4"/>
  <c r="P4618" i="4"/>
  <c r="J4566" i="4"/>
  <c r="J4534" i="4"/>
  <c r="O4502" i="4"/>
  <c r="O4477" i="4"/>
  <c r="O4461" i="4"/>
  <c r="J4445" i="4"/>
  <c r="L4434" i="4"/>
  <c r="L4426" i="4"/>
  <c r="L4418" i="4"/>
  <c r="L4410" i="4"/>
  <c r="L4402" i="4"/>
  <c r="L4394" i="4"/>
  <c r="L4386" i="4"/>
  <c r="L4378" i="4"/>
  <c r="L4370" i="4"/>
  <c r="L4362" i="4"/>
  <c r="L4354" i="4"/>
  <c r="L4346" i="4"/>
  <c r="I4623" i="4"/>
  <c r="J4470" i="4"/>
  <c r="J4454" i="4"/>
  <c r="R4441" i="4"/>
  <c r="J4433" i="4"/>
  <c r="J4425" i="4"/>
  <c r="J4417" i="4"/>
  <c r="J4409" i="4"/>
  <c r="J4401" i="4"/>
  <c r="J4393" i="4"/>
  <c r="J4385" i="4"/>
  <c r="J4377" i="4"/>
  <c r="J4369" i="4"/>
  <c r="J4361" i="4"/>
  <c r="J4353" i="4"/>
  <c r="J4345" i="4"/>
  <c r="J4593" i="4"/>
  <c r="J4553" i="4"/>
  <c r="I4717" i="4"/>
  <c r="J4688" i="4"/>
  <c r="P4601" i="4"/>
  <c r="I4559" i="4"/>
  <c r="J4658" i="4"/>
  <c r="O4590" i="4"/>
  <c r="P4629" i="4"/>
  <c r="L4582" i="4"/>
  <c r="L4539" i="4"/>
  <c r="S4518" i="4"/>
  <c r="L4476" i="4"/>
  <c r="P4622" i="4"/>
  <c r="J4528" i="4"/>
  <c r="J4496" i="4"/>
  <c r="R4581" i="4"/>
  <c r="O4539" i="4"/>
  <c r="I4520" i="4"/>
  <c r="I4505" i="4"/>
  <c r="I4497" i="4"/>
  <c r="I4489" i="4"/>
  <c r="I4481" i="4"/>
  <c r="I4473" i="4"/>
  <c r="I4465" i="4"/>
  <c r="I4457" i="4"/>
  <c r="I4449" i="4"/>
  <c r="J4597" i="4"/>
  <c r="J4556" i="4"/>
  <c r="O4524" i="4"/>
  <c r="O4492" i="4"/>
  <c r="O4472" i="4"/>
  <c r="O4456" i="4"/>
  <c r="P4440" i="4"/>
  <c r="S4431" i="4"/>
  <c r="S4423" i="4"/>
  <c r="S4415" i="4"/>
  <c r="S4407" i="4"/>
  <c r="S4399" i="4"/>
  <c r="S4391" i="4"/>
  <c r="S4383" i="4"/>
  <c r="S4375" i="4"/>
  <c r="P4691" i="4"/>
  <c r="I4598" i="4"/>
  <c r="S4559" i="4"/>
  <c r="S4517" i="4"/>
  <c r="S4453" i="4"/>
  <c r="P4678" i="4"/>
  <c r="P4590" i="4"/>
  <c r="L4639" i="4"/>
  <c r="I4614" i="4"/>
  <c r="J4664" i="4"/>
  <c r="S4464" i="4"/>
  <c r="R4525" i="4"/>
  <c r="R4493" i="4"/>
  <c r="O4574" i="4"/>
  <c r="P4521" i="4"/>
  <c r="P4692" i="4"/>
  <c r="O4625" i="4"/>
  <c r="I4632" i="4"/>
  <c r="P4597" i="4"/>
  <c r="I4571" i="4"/>
  <c r="P4541" i="4"/>
  <c r="R4660" i="4"/>
  <c r="P4628" i="4"/>
  <c r="O4593" i="4"/>
  <c r="L4664" i="4"/>
  <c r="J4631" i="4"/>
  <c r="S4604" i="4"/>
  <c r="L4583" i="4"/>
  <c r="L4562" i="4"/>
  <c r="S4540" i="4"/>
  <c r="J4610" i="4"/>
  <c r="L4520" i="4"/>
  <c r="S4498" i="4"/>
  <c r="L4477" i="4"/>
  <c r="L4456" i="4"/>
  <c r="S4628" i="4"/>
  <c r="R4559" i="4"/>
  <c r="J4529" i="4"/>
  <c r="J4513" i="4"/>
  <c r="J4497" i="4"/>
  <c r="L4667" i="4"/>
  <c r="R4585" i="4"/>
  <c r="O4549" i="4"/>
  <c r="I4525" i="4"/>
  <c r="I4509" i="4"/>
  <c r="I4721" i="4"/>
  <c r="I4755" i="4"/>
  <c r="S4733" i="4"/>
  <c r="P4627" i="4"/>
  <c r="P4602" i="4"/>
  <c r="I4581" i="4"/>
  <c r="P4559" i="4"/>
  <c r="P4538" i="4"/>
  <c r="S4659" i="4"/>
  <c r="S4626" i="4"/>
  <c r="O4592" i="4"/>
  <c r="R4663" i="4"/>
  <c r="I4630" i="4"/>
  <c r="L4604" i="4"/>
  <c r="S4582" i="4"/>
  <c r="L4561" i="4"/>
  <c r="L4540" i="4"/>
  <c r="R4607" i="4"/>
  <c r="L4519" i="4"/>
  <c r="L4498" i="4"/>
  <c r="S4476" i="4"/>
  <c r="L4455" i="4"/>
  <c r="I4627" i="4"/>
  <c r="R4558" i="4"/>
  <c r="R4528" i="4"/>
  <c r="R4512" i="4"/>
  <c r="R4496" i="4"/>
  <c r="S4665" i="4"/>
  <c r="J4584" i="4"/>
  <c r="P4650" i="4"/>
  <c r="I4583" i="4"/>
  <c r="R4629" i="4"/>
  <c r="L4606" i="4"/>
  <c r="R4619" i="4"/>
  <c r="L4457" i="4"/>
  <c r="J4514" i="4"/>
  <c r="O4556" i="4"/>
  <c r="P4512" i="4"/>
  <c r="P4493" i="4"/>
  <c r="P4477" i="4"/>
  <c r="P4461" i="4"/>
  <c r="P4634" i="4"/>
  <c r="J4542" i="4"/>
  <c r="O4481" i="4"/>
  <c r="O4449" i="4"/>
  <c r="L4428" i="4"/>
  <c r="L4412" i="4"/>
  <c r="L4396" i="4"/>
  <c r="L4380" i="4"/>
  <c r="L4364" i="4"/>
  <c r="L4348" i="4"/>
  <c r="J4474" i="4"/>
  <c r="O4444" i="4"/>
  <c r="J4427" i="4"/>
  <c r="J4411" i="4"/>
  <c r="J4395" i="4"/>
  <c r="J4379" i="4"/>
  <c r="J4363" i="4"/>
  <c r="J4347" i="4"/>
  <c r="J4561" i="4"/>
  <c r="O4613" i="4"/>
  <c r="P4569" i="4"/>
  <c r="P4612" i="4"/>
  <c r="S4592" i="4"/>
  <c r="L4529" i="4"/>
  <c r="L4444" i="4"/>
  <c r="J4504" i="4"/>
  <c r="O4547" i="4"/>
  <c r="I4508" i="4"/>
  <c r="I4491" i="4"/>
  <c r="I4475" i="4"/>
  <c r="I4459" i="4"/>
  <c r="L4613" i="4"/>
  <c r="R4532" i="4"/>
  <c r="O4476" i="4"/>
  <c r="P4444" i="4"/>
  <c r="S4425" i="4"/>
  <c r="S4409" i="4"/>
  <c r="S4393" i="4"/>
  <c r="S4377" i="4"/>
  <c r="O4677" i="4"/>
  <c r="P4623" i="4"/>
  <c r="P4577" i="4"/>
  <c r="I4535" i="4"/>
  <c r="S4622" i="4"/>
  <c r="L4656" i="4"/>
  <c r="S4600" i="4"/>
  <c r="L4558" i="4"/>
  <c r="J4594" i="4"/>
  <c r="S4494" i="4"/>
  <c r="L4452" i="4"/>
  <c r="R4552" i="4"/>
  <c r="J4510" i="4"/>
  <c r="L4655" i="4"/>
  <c r="O4552" i="4"/>
  <c r="P4526" i="4"/>
  <c r="P4510" i="4"/>
  <c r="P4500" i="4"/>
  <c r="P4492" i="4"/>
  <c r="P4484" i="4"/>
  <c r="P4476" i="4"/>
  <c r="P4468" i="4"/>
  <c r="P4460" i="4"/>
  <c r="P4452" i="4"/>
  <c r="P4626" i="4"/>
  <c r="J4570" i="4"/>
  <c r="J4538" i="4"/>
  <c r="O4506" i="4"/>
  <c r="O4479" i="4"/>
  <c r="O4463" i="4"/>
  <c r="J4447" i="4"/>
  <c r="L4435" i="4"/>
  <c r="L4427" i="4"/>
  <c r="L4419" i="4"/>
  <c r="L4411" i="4"/>
  <c r="L4403" i="4"/>
  <c r="L4395" i="4"/>
  <c r="L4387" i="4"/>
  <c r="L4379" i="4"/>
  <c r="L4371" i="4"/>
  <c r="L4363" i="4"/>
  <c r="L4355" i="4"/>
  <c r="L4347" i="4"/>
  <c r="I4639" i="4"/>
  <c r="J4472" i="4"/>
  <c r="J4456" i="4"/>
  <c r="I4443" i="4"/>
  <c r="J4434" i="4"/>
  <c r="J4426" i="4"/>
  <c r="J4418" i="4"/>
  <c r="J4410" i="4"/>
  <c r="J4402" i="4"/>
  <c r="J4394" i="4"/>
  <c r="J4386" i="4"/>
  <c r="J4378" i="4"/>
  <c r="J4370" i="4"/>
  <c r="J4362" i="4"/>
  <c r="J4354" i="4"/>
  <c r="J4346" i="4"/>
  <c r="J4601" i="4"/>
  <c r="J4557" i="4"/>
  <c r="O4525" i="4"/>
  <c r="O4493" i="4"/>
  <c r="R4770" i="4"/>
  <c r="P4532" i="4"/>
  <c r="L4555" i="4"/>
  <c r="R4548" i="4"/>
  <c r="I4526" i="4"/>
  <c r="I4484" i="4"/>
  <c r="I4452" i="4"/>
  <c r="O4504" i="4"/>
  <c r="S4434" i="4"/>
  <c r="S4402" i="4"/>
  <c r="S4371" i="4"/>
  <c r="S4355" i="4"/>
  <c r="I4647" i="4"/>
  <c r="J4457" i="4"/>
  <c r="R4434" i="4"/>
  <c r="R4418" i="4"/>
  <c r="R4402" i="4"/>
  <c r="R4386" i="4"/>
  <c r="R4370" i="4"/>
  <c r="R4354" i="4"/>
  <c r="R4606" i="4"/>
  <c r="O4529" i="4"/>
  <c r="O4487" i="4"/>
  <c r="P4435" i="4"/>
  <c r="P4427" i="4"/>
  <c r="P4419" i="4"/>
  <c r="P4411" i="4"/>
  <c r="P4403" i="4"/>
  <c r="P4395" i="4"/>
  <c r="P4387" i="4"/>
  <c r="P4379" i="4"/>
  <c r="P4371" i="4"/>
  <c r="P4363" i="4"/>
  <c r="P4355" i="4"/>
  <c r="P4347" i="4"/>
  <c r="P4339" i="4"/>
  <c r="O4425" i="4"/>
  <c r="O4393" i="4"/>
  <c r="O4361" i="4"/>
  <c r="I4336" i="4"/>
  <c r="I4328" i="4"/>
  <c r="I4320" i="4"/>
  <c r="I4312" i="4"/>
  <c r="I4304" i="4"/>
  <c r="I4296" i="4"/>
  <c r="I4288" i="4"/>
  <c r="I4280" i="4"/>
  <c r="I4272" i="4"/>
  <c r="I4264" i="4"/>
  <c r="I4256" i="4"/>
  <c r="I4248" i="4"/>
  <c r="I4240" i="4"/>
  <c r="I4232" i="4"/>
  <c r="I4224" i="4"/>
  <c r="I4216" i="4"/>
  <c r="I4208" i="4"/>
  <c r="I4200" i="4"/>
  <c r="I4192" i="4"/>
  <c r="I4184" i="4"/>
  <c r="I4176" i="4"/>
  <c r="I4168" i="4"/>
  <c r="I4160" i="4"/>
  <c r="I4152" i="4"/>
  <c r="I4144" i="4"/>
  <c r="I4136" i="4"/>
  <c r="R4470" i="4"/>
  <c r="S4338" i="4"/>
  <c r="S4678" i="4"/>
  <c r="O4583" i="4"/>
  <c r="S4543" i="4"/>
  <c r="S4501" i="4"/>
  <c r="L4641" i="4"/>
  <c r="O4780" i="4"/>
  <c r="I4569" i="4"/>
  <c r="O4610" i="4"/>
  <c r="L4592" i="4"/>
  <c r="S4528" i="4"/>
  <c r="L4443" i="4"/>
  <c r="R4517" i="4"/>
  <c r="R4485" i="4"/>
  <c r="O4558" i="4"/>
  <c r="P4513" i="4"/>
  <c r="P4686" i="4"/>
  <c r="S4685" i="4"/>
  <c r="J4621" i="4"/>
  <c r="P4592" i="4"/>
  <c r="I4563" i="4"/>
  <c r="P4533" i="4"/>
  <c r="J4650" i="4"/>
  <c r="I4621" i="4"/>
  <c r="O4582" i="4"/>
  <c r="S4654" i="4"/>
  <c r="S4623" i="4"/>
  <c r="L4599" i="4"/>
  <c r="L4578" i="4"/>
  <c r="S4556" i="4"/>
  <c r="L4535" i="4"/>
  <c r="J4590" i="4"/>
  <c r="S4514" i="4"/>
  <c r="L4493" i="4"/>
  <c r="L4472" i="4"/>
  <c r="S4450" i="4"/>
  <c r="J4607" i="4"/>
  <c r="R4550" i="4"/>
  <c r="J4525" i="4"/>
  <c r="J4509" i="4"/>
  <c r="J4493" i="4"/>
  <c r="L4651" i="4"/>
  <c r="O4573" i="4"/>
  <c r="O4541" i="4"/>
  <c r="I4521" i="4"/>
  <c r="R4778" i="4"/>
  <c r="I4773" i="4"/>
  <c r="O4661" i="4"/>
  <c r="S4648" i="4"/>
  <c r="R4620" i="4"/>
  <c r="I4597" i="4"/>
  <c r="P4575" i="4"/>
  <c r="P4554" i="4"/>
  <c r="I4533" i="4"/>
  <c r="R4648" i="4"/>
  <c r="P4620" i="4"/>
  <c r="O4581" i="4"/>
  <c r="L4652" i="4"/>
  <c r="J4623" i="4"/>
  <c r="S4598" i="4"/>
  <c r="L4577" i="4"/>
  <c r="L4556" i="4"/>
  <c r="S4534" i="4"/>
  <c r="J4586" i="4"/>
  <c r="L4514" i="4"/>
  <c r="S4492" i="4"/>
  <c r="L4471" i="4"/>
  <c r="L4450" i="4"/>
  <c r="R4604" i="4"/>
  <c r="R4549" i="4"/>
  <c r="R4524" i="4"/>
  <c r="R4508" i="4"/>
  <c r="R4492" i="4"/>
  <c r="S4649" i="4"/>
  <c r="O4572" i="4"/>
  <c r="S4679" i="4"/>
  <c r="P4561" i="4"/>
  <c r="O4596" i="4"/>
  <c r="S4584" i="4"/>
  <c r="L4521" i="4"/>
  <c r="I4635" i="4"/>
  <c r="J4498" i="4"/>
  <c r="P4773" i="4"/>
  <c r="I4687" i="4"/>
  <c r="S4607" i="4"/>
  <c r="R4662" i="4"/>
  <c r="S4485" i="4"/>
  <c r="R4576" i="4"/>
  <c r="I4640" i="4"/>
  <c r="P4547" i="4"/>
  <c r="J4690" i="4"/>
  <c r="S4570" i="4"/>
  <c r="L4507" i="4"/>
  <c r="J4579" i="4"/>
  <c r="R4509" i="4"/>
  <c r="S4653" i="4"/>
  <c r="O4542" i="4"/>
  <c r="R4746" i="4"/>
  <c r="P4654" i="4"/>
  <c r="J4651" i="4"/>
  <c r="S4613" i="4"/>
  <c r="P4584" i="4"/>
  <c r="I4555" i="4"/>
  <c r="R4690" i="4"/>
  <c r="J4642" i="4"/>
  <c r="R4613" i="4"/>
  <c r="O4746" i="4"/>
  <c r="P4645" i="4"/>
  <c r="L4616" i="4"/>
  <c r="L4594" i="4"/>
  <c r="S4572" i="4"/>
  <c r="L4551" i="4"/>
  <c r="J4672" i="4"/>
  <c r="S4530" i="4"/>
  <c r="L4509" i="4"/>
  <c r="L4488" i="4"/>
  <c r="S4466" i="4"/>
  <c r="L4445" i="4"/>
  <c r="J4587" i="4"/>
  <c r="R4542" i="4"/>
  <c r="J4521" i="4"/>
  <c r="J4505" i="4"/>
  <c r="J4489" i="4"/>
  <c r="R4623" i="4"/>
  <c r="O4565" i="4"/>
  <c r="O4533" i="4"/>
  <c r="I4517" i="4"/>
  <c r="P4739" i="4"/>
  <c r="P4684" i="4"/>
  <c r="O4617" i="4"/>
  <c r="S4641" i="4"/>
  <c r="J4613" i="4"/>
  <c r="P4591" i="4"/>
  <c r="P4570" i="4"/>
  <c r="I4549" i="4"/>
  <c r="R4686" i="4"/>
  <c r="R4641" i="4"/>
  <c r="I4613" i="4"/>
  <c r="R4722" i="4"/>
  <c r="L4644" i="4"/>
  <c r="S4615" i="4"/>
  <c r="L4593" i="4"/>
  <c r="L4572" i="4"/>
  <c r="S4550" i="4"/>
  <c r="J4668" i="4"/>
  <c r="L4530" i="4"/>
  <c r="S4508" i="4"/>
  <c r="L4487" i="4"/>
  <c r="L4466" i="4"/>
  <c r="S4444" i="4"/>
  <c r="J4583" i="4"/>
  <c r="R4541" i="4"/>
  <c r="R4520" i="4"/>
  <c r="R4504" i="4"/>
  <c r="R4488" i="4"/>
  <c r="J4620" i="4"/>
  <c r="O4564" i="4"/>
  <c r="S4629" i="4"/>
  <c r="P4540" i="4"/>
  <c r="R4667" i="4"/>
  <c r="L4563" i="4"/>
  <c r="L4500" i="4"/>
  <c r="R4562" i="4"/>
  <c r="L4671" i="4"/>
  <c r="P4528" i="4"/>
  <c r="P4501" i="4"/>
  <c r="P4485" i="4"/>
  <c r="P4469" i="4"/>
  <c r="P4453" i="4"/>
  <c r="J4574" i="4"/>
  <c r="O4510" i="4"/>
  <c r="O4465" i="4"/>
  <c r="L4436" i="4"/>
  <c r="L4420" i="4"/>
  <c r="L4404" i="4"/>
  <c r="L4388" i="4"/>
  <c r="L4372" i="4"/>
  <c r="L4356" i="4"/>
  <c r="L4340" i="4"/>
  <c r="J4458" i="4"/>
  <c r="J4435" i="4"/>
  <c r="J4419" i="4"/>
  <c r="J4403" i="4"/>
  <c r="J4387" i="4"/>
  <c r="J4371" i="4"/>
  <c r="J4355" i="4"/>
  <c r="J4609" i="4"/>
  <c r="S4714" i="4"/>
  <c r="R4612" i="4"/>
  <c r="J4685" i="4"/>
  <c r="J4643" i="4"/>
  <c r="L4550" i="4"/>
  <c r="S4486" i="4"/>
  <c r="R4540" i="4"/>
  <c r="R4615" i="4"/>
  <c r="I4524" i="4"/>
  <c r="I4499" i="4"/>
  <c r="I4483" i="4"/>
  <c r="I4467" i="4"/>
  <c r="I4451" i="4"/>
  <c r="J4564" i="4"/>
  <c r="O4500" i="4"/>
  <c r="O4460" i="4"/>
  <c r="S4433" i="4"/>
  <c r="S4417" i="4"/>
  <c r="S4401" i="4"/>
  <c r="S4385" i="4"/>
  <c r="P4700" i="4"/>
  <c r="S4656" i="4"/>
  <c r="I4599" i="4"/>
  <c r="P4556" i="4"/>
  <c r="R4652" i="4"/>
  <c r="O4585" i="4"/>
  <c r="I4626" i="4"/>
  <c r="L4579" i="4"/>
  <c r="S4536" i="4"/>
  <c r="L4516" i="4"/>
  <c r="L4473" i="4"/>
  <c r="S4612" i="4"/>
  <c r="J4526" i="4"/>
  <c r="J4494" i="4"/>
  <c r="O4575" i="4"/>
  <c r="O4536" i="4"/>
  <c r="P4518" i="4"/>
  <c r="P4504" i="4"/>
  <c r="P4496" i="4"/>
  <c r="P4488" i="4"/>
  <c r="P4480" i="4"/>
  <c r="P4472" i="4"/>
  <c r="P4464" i="4"/>
  <c r="P4456" i="4"/>
  <c r="S4757" i="4"/>
  <c r="R4594" i="4"/>
  <c r="J4554" i="4"/>
  <c r="O4522" i="4"/>
  <c r="O4490" i="4"/>
  <c r="O4471" i="4"/>
  <c r="O4455" i="4"/>
  <c r="L4439" i="4"/>
  <c r="L4431" i="4"/>
  <c r="L4423" i="4"/>
  <c r="L4415" i="4"/>
  <c r="L4407" i="4"/>
  <c r="L4399" i="4"/>
  <c r="L4391" i="4"/>
  <c r="L4383" i="4"/>
  <c r="L4375" i="4"/>
  <c r="L4367" i="4"/>
  <c r="L4359" i="4"/>
  <c r="L4351" i="4"/>
  <c r="L4343" i="4"/>
  <c r="J4480" i="4"/>
  <c r="J4464" i="4"/>
  <c r="O4448" i="4"/>
  <c r="J4438" i="4"/>
  <c r="J4430" i="4"/>
  <c r="J4422" i="4"/>
  <c r="J4414" i="4"/>
  <c r="J4406" i="4"/>
  <c r="J4398" i="4"/>
  <c r="J4390" i="4"/>
  <c r="J4382" i="4"/>
  <c r="J4374" i="4"/>
  <c r="J4366" i="4"/>
  <c r="J4358" i="4"/>
  <c r="J4350" i="4"/>
  <c r="J4342" i="4"/>
  <c r="J4573" i="4"/>
  <c r="J4541" i="4"/>
  <c r="O4509" i="4"/>
  <c r="P4445" i="4"/>
  <c r="P4619" i="4"/>
  <c r="R4651" i="4"/>
  <c r="L4492" i="4"/>
  <c r="R4647" i="4"/>
  <c r="I4500" i="4"/>
  <c r="I4468" i="4"/>
  <c r="J4568" i="4"/>
  <c r="O4462" i="4"/>
  <c r="S4418" i="4"/>
  <c r="S4386" i="4"/>
  <c r="S4363" i="4"/>
  <c r="S4347" i="4"/>
  <c r="J4473" i="4"/>
  <c r="R4443" i="4"/>
  <c r="R4426" i="4"/>
  <c r="R4410" i="4"/>
  <c r="R4394" i="4"/>
  <c r="R4378" i="4"/>
  <c r="R4362" i="4"/>
  <c r="R4346" i="4"/>
  <c r="J4559" i="4"/>
  <c r="O4507" i="4"/>
  <c r="P4439" i="4"/>
  <c r="P4431" i="4"/>
  <c r="P4423" i="4"/>
  <c r="P4415" i="4"/>
  <c r="P4407" i="4"/>
  <c r="P4399" i="4"/>
  <c r="P4391" i="4"/>
  <c r="P4383" i="4"/>
  <c r="P4375" i="4"/>
  <c r="P4367" i="4"/>
  <c r="P4359" i="4"/>
  <c r="P4351" i="4"/>
  <c r="P4343" i="4"/>
  <c r="R4442" i="4"/>
  <c r="O4409" i="4"/>
  <c r="O4377" i="4"/>
  <c r="O4345" i="4"/>
  <c r="I4332" i="4"/>
  <c r="I4324" i="4"/>
  <c r="I4316" i="4"/>
  <c r="I4308" i="4"/>
  <c r="I4300" i="4"/>
  <c r="I4292" i="4"/>
  <c r="I4284" i="4"/>
  <c r="I4276" i="4"/>
  <c r="I4268" i="4"/>
  <c r="I4260" i="4"/>
  <c r="I4252" i="4"/>
  <c r="I4244" i="4"/>
  <c r="I4236" i="4"/>
  <c r="L4674" i="4"/>
  <c r="S4706" i="4"/>
  <c r="L4549" i="4"/>
  <c r="J4604" i="4"/>
  <c r="L4642" i="4"/>
  <c r="S4671" i="4"/>
  <c r="I4638" i="4"/>
  <c r="L4546" i="4"/>
  <c r="S4482" i="4"/>
  <c r="R4534" i="4"/>
  <c r="R4601" i="4"/>
  <c r="S4721" i="4"/>
  <c r="P4607" i="4"/>
  <c r="J4670" i="4"/>
  <c r="P4637" i="4"/>
  <c r="L4545" i="4"/>
  <c r="L4482" i="4"/>
  <c r="R4533" i="4"/>
  <c r="J4600" i="4"/>
  <c r="L4632" i="4"/>
  <c r="R4589" i="4"/>
  <c r="P4497" i="4"/>
  <c r="P4465" i="4"/>
  <c r="J4558" i="4"/>
  <c r="O4457" i="4"/>
  <c r="L4416" i="4"/>
  <c r="L4384" i="4"/>
  <c r="L4352" i="4"/>
  <c r="J4450" i="4"/>
  <c r="J4415" i="4"/>
  <c r="J4383" i="4"/>
  <c r="J4351" i="4"/>
  <c r="P4682" i="4"/>
  <c r="P4640" i="4"/>
  <c r="R4666" i="4"/>
  <c r="J4520" i="4"/>
  <c r="I4516" i="4"/>
  <c r="I4479" i="4"/>
  <c r="L4645" i="4"/>
  <c r="O4484" i="4"/>
  <c r="S4429" i="4"/>
  <c r="S4397" i="4"/>
  <c r="P4670" i="4"/>
  <c r="P4588" i="4"/>
  <c r="I4637" i="4"/>
  <c r="L4611" i="4"/>
  <c r="J4656" i="4"/>
  <c r="S4462" i="4"/>
  <c r="J4518" i="4"/>
  <c r="O4560" i="4"/>
  <c r="P4514" i="4"/>
  <c r="P4494" i="4"/>
  <c r="P4478" i="4"/>
  <c r="P4462" i="4"/>
  <c r="P4642" i="4"/>
  <c r="J4546" i="4"/>
  <c r="O4483" i="4"/>
  <c r="O4451" i="4"/>
  <c r="L4429" i="4"/>
  <c r="L4413" i="4"/>
  <c r="L4397" i="4"/>
  <c r="L4381" i="4"/>
  <c r="L4365" i="4"/>
  <c r="L4349" i="4"/>
  <c r="J4476" i="4"/>
  <c r="R4445" i="4"/>
  <c r="J4428" i="4"/>
  <c r="J4412" i="4"/>
  <c r="J4396" i="4"/>
  <c r="J4380" i="4"/>
  <c r="J4364" i="4"/>
  <c r="J4348" i="4"/>
  <c r="J4565" i="4"/>
  <c r="O4501" i="4"/>
  <c r="I4575" i="4"/>
  <c r="L4449" i="4"/>
  <c r="I4492" i="4"/>
  <c r="J4536" i="4"/>
  <c r="S4410" i="4"/>
  <c r="S4359" i="4"/>
  <c r="J4465" i="4"/>
  <c r="R4422" i="4"/>
  <c r="R4390" i="4"/>
  <c r="R4358" i="4"/>
  <c r="J4543" i="4"/>
  <c r="P4437" i="4"/>
  <c r="P4421" i="4"/>
  <c r="P4405" i="4"/>
  <c r="P4389" i="4"/>
  <c r="P4373" i="4"/>
  <c r="P4357" i="4"/>
  <c r="P4341" i="4"/>
  <c r="O4401" i="4"/>
  <c r="L4338" i="4"/>
  <c r="I4322" i="4"/>
  <c r="I4306" i="4"/>
  <c r="I4290" i="4"/>
  <c r="I4274" i="4"/>
  <c r="I4258" i="4"/>
  <c r="I4242" i="4"/>
  <c r="I4228" i="4"/>
  <c r="I4218" i="4"/>
  <c r="I4206" i="4"/>
  <c r="I4196" i="4"/>
  <c r="I4186" i="4"/>
  <c r="I4174" i="4"/>
  <c r="I4164" i="4"/>
  <c r="I4154" i="4"/>
  <c r="I4142" i="4"/>
  <c r="I4132" i="4"/>
  <c r="O4445" i="4"/>
  <c r="O4323" i="4"/>
  <c r="O4307" i="4"/>
  <c r="O4291" i="4"/>
  <c r="O4275" i="4"/>
  <c r="O4259" i="4"/>
  <c r="O4243" i="4"/>
  <c r="O4227" i="4"/>
  <c r="O4211" i="4"/>
  <c r="O4195" i="4"/>
  <c r="O4179" i="4"/>
  <c r="O4163" i="4"/>
  <c r="O4147" i="4"/>
  <c r="O4131" i="4"/>
  <c r="O4115" i="4"/>
  <c r="O4099" i="4"/>
  <c r="O4083" i="4"/>
  <c r="O4067" i="4"/>
  <c r="O4051" i="4"/>
  <c r="O4035" i="4"/>
  <c r="O4019" i="4"/>
  <c r="O4443" i="4"/>
  <c r="O4410" i="4"/>
  <c r="O4378" i="4"/>
  <c r="O4346" i="4"/>
  <c r="L4332" i="4"/>
  <c r="L4324" i="4"/>
  <c r="L4316" i="4"/>
  <c r="L4308" i="4"/>
  <c r="L4300" i="4"/>
  <c r="L4292" i="4"/>
  <c r="L4284" i="4"/>
  <c r="L4276" i="4"/>
  <c r="L4268" i="4"/>
  <c r="L4260" i="4"/>
  <c r="L4252" i="4"/>
  <c r="L4244" i="4"/>
  <c r="L4236" i="4"/>
  <c r="L4228" i="4"/>
  <c r="L4220" i="4"/>
  <c r="L4212" i="4"/>
  <c r="L4204" i="4"/>
  <c r="L4196" i="4"/>
  <c r="L4188" i="4"/>
  <c r="L4180" i="4"/>
  <c r="L4172" i="4"/>
  <c r="L4164" i="4"/>
  <c r="L4156" i="4"/>
  <c r="L4148" i="4"/>
  <c r="L4140" i="4"/>
  <c r="L4132" i="4"/>
  <c r="L4124" i="4"/>
  <c r="L4116" i="4"/>
  <c r="R4449" i="4"/>
  <c r="J4310" i="4"/>
  <c r="J4278" i="4"/>
  <c r="J4246" i="4"/>
  <c r="J4214" i="4"/>
  <c r="J4182" i="4"/>
  <c r="J4150" i="4"/>
  <c r="P4124" i="4"/>
  <c r="I4109" i="4"/>
  <c r="S4689" i="4"/>
  <c r="O4601" i="4"/>
  <c r="L4524" i="4"/>
  <c r="J4500" i="4"/>
  <c r="I4506" i="4"/>
  <c r="I4474" i="4"/>
  <c r="J4605" i="4"/>
  <c r="O4474" i="4"/>
  <c r="S4424" i="4"/>
  <c r="S4392" i="4"/>
  <c r="S4366" i="4"/>
  <c r="S4350" i="4"/>
  <c r="J4479" i="4"/>
  <c r="R4447" i="4"/>
  <c r="R4429" i="4"/>
  <c r="R4413" i="4"/>
  <c r="R4397" i="4"/>
  <c r="R4381" i="4"/>
  <c r="R4365" i="4"/>
  <c r="R4349" i="4"/>
  <c r="J4571" i="4"/>
  <c r="O4515" i="4"/>
  <c r="P4443" i="4"/>
  <c r="I4433" i="4"/>
  <c r="I4425" i="4"/>
  <c r="I4417" i="4"/>
  <c r="I4409" i="4"/>
  <c r="I4401" i="4"/>
  <c r="I4393" i="4"/>
  <c r="I4385" i="4"/>
  <c r="I4377" i="4"/>
  <c r="I4369" i="4"/>
  <c r="I4361" i="4"/>
  <c r="I4353" i="4"/>
  <c r="I4345" i="4"/>
  <c r="S4624" i="4"/>
  <c r="O4415" i="4"/>
  <c r="O4383" i="4"/>
  <c r="O4351" i="4"/>
  <c r="P4333" i="4"/>
  <c r="P4325" i="4"/>
  <c r="P4317" i="4"/>
  <c r="P4309" i="4"/>
  <c r="P4301" i="4"/>
  <c r="P4293" i="4"/>
  <c r="P4285" i="4"/>
  <c r="P4277" i="4"/>
  <c r="P4269" i="4"/>
  <c r="P4261" i="4"/>
  <c r="P4253" i="4"/>
  <c r="P4245" i="4"/>
  <c r="P4237" i="4"/>
  <c r="P4229" i="4"/>
  <c r="P4221" i="4"/>
  <c r="P4213" i="4"/>
  <c r="P4205" i="4"/>
  <c r="P4197" i="4"/>
  <c r="P4189" i="4"/>
  <c r="P4181" i="4"/>
  <c r="P4173" i="4"/>
  <c r="P4165" i="4"/>
  <c r="P4157" i="4"/>
  <c r="P4149" i="4"/>
  <c r="P4141" i="4"/>
  <c r="P4133" i="4"/>
  <c r="R4460" i="4"/>
  <c r="O4334" i="4"/>
  <c r="O4318" i="4"/>
  <c r="O4302" i="4"/>
  <c r="O4286" i="4"/>
  <c r="O4270" i="4"/>
  <c r="O4254" i="4"/>
  <c r="O4238" i="4"/>
  <c r="O4222" i="4"/>
  <c r="O4206" i="4"/>
  <c r="O4190" i="4"/>
  <c r="O4174" i="4"/>
  <c r="O4158" i="4"/>
  <c r="O4142" i="4"/>
  <c r="O4126" i="4"/>
  <c r="O4110" i="4"/>
  <c r="O4094" i="4"/>
  <c r="O4078" i="4"/>
  <c r="O4062" i="4"/>
  <c r="S4575" i="4"/>
  <c r="P4611" i="4"/>
  <c r="L4486" i="4"/>
  <c r="P4529" i="4"/>
  <c r="P4605" i="4"/>
  <c r="S4634" i="4"/>
  <c r="L4610" i="4"/>
  <c r="R4650" i="4"/>
  <c r="L4461" i="4"/>
  <c r="J4517" i="4"/>
  <c r="O4557" i="4"/>
  <c r="P4662" i="4"/>
  <c r="P4586" i="4"/>
  <c r="J4634" i="4"/>
  <c r="L4609" i="4"/>
  <c r="J4648" i="4"/>
  <c r="S4460" i="4"/>
  <c r="R4516" i="4"/>
  <c r="L4749" i="4"/>
  <c r="L4542" i="4"/>
  <c r="O4540" i="4"/>
  <c r="P4489" i="4"/>
  <c r="P4457" i="4"/>
  <c r="O4526" i="4"/>
  <c r="J4441" i="4"/>
  <c r="L4408" i="4"/>
  <c r="L4376" i="4"/>
  <c r="L4344" i="4"/>
  <c r="J4439" i="4"/>
  <c r="J4407" i="4"/>
  <c r="J4375" i="4"/>
  <c r="J4343" i="4"/>
  <c r="R4640" i="4"/>
  <c r="R4691" i="4"/>
  <c r="L4508" i="4"/>
  <c r="J4488" i="4"/>
  <c r="I4503" i="4"/>
  <c r="I4471" i="4"/>
  <c r="J4581" i="4"/>
  <c r="O4468" i="4"/>
  <c r="S4421" i="4"/>
  <c r="S4389" i="4"/>
  <c r="I4737" i="4"/>
  <c r="I4567" i="4"/>
  <c r="O4606" i="4"/>
  <c r="L4590" i="4"/>
  <c r="S4526" i="4"/>
  <c r="L4441" i="4"/>
  <c r="J4502" i="4"/>
  <c r="O4544" i="4"/>
  <c r="P4506" i="4"/>
  <c r="P4490" i="4"/>
  <c r="P4474" i="4"/>
  <c r="P4458" i="4"/>
  <c r="R4610" i="4"/>
  <c r="O4530" i="4"/>
  <c r="O4475" i="4"/>
  <c r="J4443" i="4"/>
  <c r="L4425" i="4"/>
  <c r="L4409" i="4"/>
  <c r="L4393" i="4"/>
  <c r="L4377" i="4"/>
  <c r="L4361" i="4"/>
  <c r="L4345" i="4"/>
  <c r="J4468" i="4"/>
  <c r="O4440" i="4"/>
  <c r="J4424" i="4"/>
  <c r="J4408" i="4"/>
  <c r="J4392" i="4"/>
  <c r="J4376" i="4"/>
  <c r="J4360" i="4"/>
  <c r="J4344" i="4"/>
  <c r="J4549" i="4"/>
  <c r="O4485" i="4"/>
  <c r="S4618" i="4"/>
  <c r="J4508" i="4"/>
  <c r="I4476" i="4"/>
  <c r="O4478" i="4"/>
  <c r="S4394" i="4"/>
  <c r="S4351" i="4"/>
  <c r="J4449" i="4"/>
  <c r="R4414" i="4"/>
  <c r="R4382" i="4"/>
  <c r="R4350" i="4"/>
  <c r="O4519" i="4"/>
  <c r="P4433" i="4"/>
  <c r="P4417" i="4"/>
  <c r="P4401" i="4"/>
  <c r="P4385" i="4"/>
  <c r="P4369" i="4"/>
  <c r="P4353" i="4"/>
  <c r="P4337" i="4"/>
  <c r="O4385" i="4"/>
  <c r="I4334" i="4"/>
  <c r="I4318" i="4"/>
  <c r="I4302" i="4"/>
  <c r="I4286" i="4"/>
  <c r="I4270" i="4"/>
  <c r="I4254" i="4"/>
  <c r="I4238" i="4"/>
  <c r="I4226" i="4"/>
  <c r="I4214" i="4"/>
  <c r="I4204" i="4"/>
  <c r="I4194" i="4"/>
  <c r="I4182" i="4"/>
  <c r="I4172" i="4"/>
  <c r="I4162" i="4"/>
  <c r="I4150" i="4"/>
  <c r="I4140" i="4"/>
  <c r="R4478" i="4"/>
  <c r="O4335" i="4"/>
  <c r="O4319" i="4"/>
  <c r="O4303" i="4"/>
  <c r="O4287" i="4"/>
  <c r="O4271" i="4"/>
  <c r="O4255" i="4"/>
  <c r="O4239" i="4"/>
  <c r="O4223" i="4"/>
  <c r="O4207" i="4"/>
  <c r="O4191" i="4"/>
  <c r="O4175" i="4"/>
  <c r="O4159" i="4"/>
  <c r="O4143" i="4"/>
  <c r="O4127" i="4"/>
  <c r="O4111" i="4"/>
  <c r="O4095" i="4"/>
  <c r="O4079" i="4"/>
  <c r="O4063" i="4"/>
  <c r="O4047" i="4"/>
  <c r="O4031" i="4"/>
  <c r="O4015" i="4"/>
  <c r="O4434" i="4"/>
  <c r="O4402" i="4"/>
  <c r="O4370" i="4"/>
  <c r="L4339" i="4"/>
  <c r="L4330" i="4"/>
  <c r="L4322" i="4"/>
  <c r="L4314" i="4"/>
  <c r="L4306" i="4"/>
  <c r="L4298" i="4"/>
  <c r="L4290" i="4"/>
  <c r="L4282" i="4"/>
  <c r="L4274" i="4"/>
  <c r="L4266" i="4"/>
  <c r="L4258" i="4"/>
  <c r="L4250" i="4"/>
  <c r="L4242" i="4"/>
  <c r="L4234" i="4"/>
  <c r="L4226" i="4"/>
  <c r="L4218" i="4"/>
  <c r="L4210" i="4"/>
  <c r="L4202" i="4"/>
  <c r="L4194" i="4"/>
  <c r="L4186" i="4"/>
  <c r="L4178" i="4"/>
  <c r="L4170" i="4"/>
  <c r="L4162" i="4"/>
  <c r="L4154" i="4"/>
  <c r="L4146" i="4"/>
  <c r="L4138" i="4"/>
  <c r="L4130" i="4"/>
  <c r="L4122" i="4"/>
  <c r="L4114" i="4"/>
  <c r="J4334" i="4"/>
  <c r="J4302" i="4"/>
  <c r="J4270" i="4"/>
  <c r="J4238" i="4"/>
  <c r="J4206" i="4"/>
  <c r="J4174" i="4"/>
  <c r="J4142" i="4"/>
  <c r="P4120" i="4"/>
  <c r="J4106" i="4"/>
  <c r="I4607" i="4"/>
  <c r="L4636" i="4"/>
  <c r="L4481" i="4"/>
  <c r="R4597" i="4"/>
  <c r="I4498" i="4"/>
  <c r="I4466" i="4"/>
  <c r="J4560" i="4"/>
  <c r="O4458" i="4"/>
  <c r="S4416" i="4"/>
  <c r="S4384" i="4"/>
  <c r="S4362" i="4"/>
  <c r="S4346" i="4"/>
  <c r="J4471" i="4"/>
  <c r="O4442" i="4"/>
  <c r="R4425" i="4"/>
  <c r="R4409" i="4"/>
  <c r="R4393" i="4"/>
  <c r="R4377" i="4"/>
  <c r="R4361" i="4"/>
  <c r="R4345" i="4"/>
  <c r="J4555" i="4"/>
  <c r="O4505" i="4"/>
  <c r="I4439" i="4"/>
  <c r="I4431" i="4"/>
  <c r="I4423" i="4"/>
  <c r="I4415" i="4"/>
  <c r="I4407" i="4"/>
  <c r="I4399" i="4"/>
  <c r="I4391" i="4"/>
  <c r="I4383" i="4"/>
  <c r="I4375" i="4"/>
  <c r="I4367" i="4"/>
  <c r="I4359" i="4"/>
  <c r="I4351" i="4"/>
  <c r="I4343" i="4"/>
  <c r="O4439" i="4"/>
  <c r="O4407" i="4"/>
  <c r="O4375" i="4"/>
  <c r="O4343" i="4"/>
  <c r="P4331" i="4"/>
  <c r="P4323" i="4"/>
  <c r="P4315" i="4"/>
  <c r="P4307" i="4"/>
  <c r="P4299" i="4"/>
  <c r="P4291" i="4"/>
  <c r="P4283" i="4"/>
  <c r="P4275" i="4"/>
  <c r="P4267" i="4"/>
  <c r="P4259" i="4"/>
  <c r="P4251" i="4"/>
  <c r="P4243" i="4"/>
  <c r="P4235" i="4"/>
  <c r="P4227" i="4"/>
  <c r="P4219" i="4"/>
  <c r="P4211" i="4"/>
  <c r="P4203" i="4"/>
  <c r="P4195" i="4"/>
  <c r="P4187" i="4"/>
  <c r="P4179" i="4"/>
  <c r="P4171" i="4"/>
  <c r="P4163" i="4"/>
  <c r="P4155" i="4"/>
  <c r="P4147" i="4"/>
  <c r="P4139" i="4"/>
  <c r="S4616" i="4"/>
  <c r="R4452" i="4"/>
  <c r="O4330" i="4"/>
  <c r="O4314" i="4"/>
  <c r="O4298" i="4"/>
  <c r="O4282" i="4"/>
  <c r="O4266" i="4"/>
  <c r="O4250" i="4"/>
  <c r="O4234" i="4"/>
  <c r="O4218" i="4"/>
  <c r="O4202" i="4"/>
  <c r="O4186" i="4"/>
  <c r="O4170" i="4"/>
  <c r="O4154" i="4"/>
  <c r="O4138" i="4"/>
  <c r="O4122" i="4"/>
  <c r="O4106" i="4"/>
  <c r="O4090" i="4"/>
  <c r="O4074" i="4"/>
  <c r="R4579" i="4"/>
  <c r="R4682" i="4"/>
  <c r="R4539" i="4"/>
  <c r="P4780" i="4"/>
  <c r="P4576" i="4"/>
  <c r="O4604" i="4"/>
  <c r="S4588" i="4"/>
  <c r="L4525" i="4"/>
  <c r="L4440" i="4"/>
  <c r="J4501" i="4"/>
  <c r="I4529" i="4"/>
  <c r="O4701" i="4"/>
  <c r="I4565" i="4"/>
  <c r="O4602" i="4"/>
  <c r="L4588" i="4"/>
  <c r="S4524" i="4"/>
  <c r="P4646" i="4"/>
  <c r="R4500" i="4"/>
  <c r="P4604" i="4"/>
  <c r="S4478" i="4"/>
  <c r="P4520" i="4"/>
  <c r="P4481" i="4"/>
  <c r="P4449" i="4"/>
  <c r="O4494" i="4"/>
  <c r="L4432" i="4"/>
  <c r="L4400" i="4"/>
  <c r="L4368" i="4"/>
  <c r="J4482" i="4"/>
  <c r="J4431" i="4"/>
  <c r="J4399" i="4"/>
  <c r="J4367" i="4"/>
  <c r="J4577" i="4"/>
  <c r="I4591" i="4"/>
  <c r="J4615" i="4"/>
  <c r="L4465" i="4"/>
  <c r="O4563" i="4"/>
  <c r="I4495" i="4"/>
  <c r="I4463" i="4"/>
  <c r="J4548" i="4"/>
  <c r="O4452" i="4"/>
  <c r="S4413" i="4"/>
  <c r="S4381" i="4"/>
  <c r="J4637" i="4"/>
  <c r="P4545" i="4"/>
  <c r="J4682" i="4"/>
  <c r="S4568" i="4"/>
  <c r="L4505" i="4"/>
  <c r="R4573" i="4"/>
  <c r="J4486" i="4"/>
  <c r="P4530" i="4"/>
  <c r="P4502" i="4"/>
  <c r="P4486" i="4"/>
  <c r="P4470" i="4"/>
  <c r="P4454" i="4"/>
  <c r="R4578" i="4"/>
  <c r="O4514" i="4"/>
  <c r="O4467" i="4"/>
  <c r="L4437" i="4"/>
  <c r="L4421" i="4"/>
  <c r="L4405" i="4"/>
  <c r="L4389" i="4"/>
  <c r="L4373" i="4"/>
  <c r="L4357" i="4"/>
  <c r="L4341" i="4"/>
  <c r="J4460" i="4"/>
  <c r="J4436" i="4"/>
  <c r="J4420" i="4"/>
  <c r="J4404" i="4"/>
  <c r="J4388" i="4"/>
  <c r="J4372" i="4"/>
  <c r="J4356" i="4"/>
  <c r="J4340" i="4"/>
  <c r="L4533" i="4"/>
  <c r="P4441" i="4"/>
  <c r="L4598" i="4"/>
  <c r="O4551" i="4"/>
  <c r="I4460" i="4"/>
  <c r="P4446" i="4"/>
  <c r="S4378" i="4"/>
  <c r="S4343" i="4"/>
  <c r="R4438" i="4"/>
  <c r="R4406" i="4"/>
  <c r="R4374" i="4"/>
  <c r="R4342" i="4"/>
  <c r="O4497" i="4"/>
  <c r="P4429" i="4"/>
  <c r="P4413" i="4"/>
  <c r="P4397" i="4"/>
  <c r="P4381" i="4"/>
  <c r="P4365" i="4"/>
  <c r="P4349" i="4"/>
  <c r="O4433" i="4"/>
  <c r="O4369" i="4"/>
  <c r="I4330" i="4"/>
  <c r="I4314" i="4"/>
  <c r="I4298" i="4"/>
  <c r="I4282" i="4"/>
  <c r="I4266" i="4"/>
  <c r="I4250" i="4"/>
  <c r="I4234" i="4"/>
  <c r="I4222" i="4"/>
  <c r="I4212" i="4"/>
  <c r="I4202" i="4"/>
  <c r="I4190" i="4"/>
  <c r="I4180" i="4"/>
  <c r="I4170" i="4"/>
  <c r="I4158" i="4"/>
  <c r="I4148" i="4"/>
  <c r="I4138" i="4"/>
  <c r="R4462" i="4"/>
  <c r="O4331" i="4"/>
  <c r="O4315" i="4"/>
  <c r="O4299" i="4"/>
  <c r="O4283" i="4"/>
  <c r="O4267" i="4"/>
  <c r="O4251" i="4"/>
  <c r="O4235" i="4"/>
  <c r="O4219" i="4"/>
  <c r="O4203" i="4"/>
  <c r="O4187" i="4"/>
  <c r="O4171" i="4"/>
  <c r="O4155" i="4"/>
  <c r="O4139" i="4"/>
  <c r="O4123" i="4"/>
  <c r="O4107" i="4"/>
  <c r="O4091" i="4"/>
  <c r="O4075" i="4"/>
  <c r="O4059" i="4"/>
  <c r="O4043" i="4"/>
  <c r="O4027" i="4"/>
  <c r="O4011" i="4"/>
  <c r="O4426" i="4"/>
  <c r="O4394" i="4"/>
  <c r="O4362" i="4"/>
  <c r="L4336" i="4"/>
  <c r="L4328" i="4"/>
  <c r="L4320" i="4"/>
  <c r="L4312" i="4"/>
  <c r="L4304" i="4"/>
  <c r="L4296" i="4"/>
  <c r="L4288" i="4"/>
  <c r="L4280" i="4"/>
  <c r="L4272" i="4"/>
  <c r="L4264" i="4"/>
  <c r="L4256" i="4"/>
  <c r="L4248" i="4"/>
  <c r="L4240" i="4"/>
  <c r="L4232" i="4"/>
  <c r="L4224" i="4"/>
  <c r="L4216" i="4"/>
  <c r="L4208" i="4"/>
  <c r="L4200" i="4"/>
  <c r="L4192" i="4"/>
  <c r="L4184" i="4"/>
  <c r="L4176" i="4"/>
  <c r="L4168" i="4"/>
  <c r="L4160" i="4"/>
  <c r="L4152" i="4"/>
  <c r="L4144" i="4"/>
  <c r="L4136" i="4"/>
  <c r="L4128" i="4"/>
  <c r="L4120" i="4"/>
  <c r="L4112" i="4"/>
  <c r="J4326" i="4"/>
  <c r="J4294" i="4"/>
  <c r="J4262" i="4"/>
  <c r="J4230" i="4"/>
  <c r="J4198" i="4"/>
  <c r="J4166" i="4"/>
  <c r="J4134" i="4"/>
  <c r="P4116" i="4"/>
  <c r="L4103" i="4"/>
  <c r="P4564" i="4"/>
  <c r="L4587" i="4"/>
  <c r="S4644" i="4"/>
  <c r="O4543" i="4"/>
  <c r="I4490" i="4"/>
  <c r="I4458" i="4"/>
  <c r="O4528" i="4"/>
  <c r="P4442" i="4"/>
  <c r="S4408" i="4"/>
  <c r="S4376" i="4"/>
  <c r="S4358" i="4"/>
  <c r="S4342" i="4"/>
  <c r="J4463" i="4"/>
  <c r="R4437" i="4"/>
  <c r="R4421" i="4"/>
  <c r="R4405" i="4"/>
  <c r="R4389" i="4"/>
  <c r="R4373" i="4"/>
  <c r="R4357" i="4"/>
  <c r="R4341" i="4"/>
  <c r="J4539" i="4"/>
  <c r="O4495" i="4"/>
  <c r="I4437" i="4"/>
  <c r="I4429" i="4"/>
  <c r="I4421" i="4"/>
  <c r="I4413" i="4"/>
  <c r="I4405" i="4"/>
  <c r="I4397" i="4"/>
  <c r="I4389" i="4"/>
  <c r="I4381" i="4"/>
  <c r="I4373" i="4"/>
  <c r="I4365" i="4"/>
  <c r="I4357" i="4"/>
  <c r="I4349" i="4"/>
  <c r="I4341" i="4"/>
  <c r="O4431" i="4"/>
  <c r="O4399" i="4"/>
  <c r="O4367" i="4"/>
  <c r="R4337" i="4"/>
  <c r="P4329" i="4"/>
  <c r="P4321" i="4"/>
  <c r="P4313" i="4"/>
  <c r="P4305" i="4"/>
  <c r="P4297" i="4"/>
  <c r="P4289" i="4"/>
  <c r="P4281" i="4"/>
  <c r="P4273" i="4"/>
  <c r="P4265" i="4"/>
  <c r="P4257" i="4"/>
  <c r="P4249" i="4"/>
  <c r="P4241" i="4"/>
  <c r="P4233" i="4"/>
  <c r="P4225" i="4"/>
  <c r="P4217" i="4"/>
  <c r="P4209" i="4"/>
  <c r="P4201" i="4"/>
  <c r="P4193" i="4"/>
  <c r="P4185" i="4"/>
  <c r="P4177" i="4"/>
  <c r="P4169" i="4"/>
  <c r="P4161" i="4"/>
  <c r="P4153" i="4"/>
  <c r="P4145" i="4"/>
  <c r="P4137" i="4"/>
  <c r="R4476" i="4"/>
  <c r="I4442" i="4"/>
  <c r="O4326" i="4"/>
  <c r="O4310" i="4"/>
  <c r="O4294" i="4"/>
  <c r="O4278" i="4"/>
  <c r="O4262" i="4"/>
  <c r="O4246" i="4"/>
  <c r="O4230" i="4"/>
  <c r="O4214" i="4"/>
  <c r="O4198" i="4"/>
  <c r="O4182" i="4"/>
  <c r="O4166" i="4"/>
  <c r="O4150" i="4"/>
  <c r="O4134" i="4"/>
  <c r="O4118" i="4"/>
  <c r="O4102" i="4"/>
  <c r="O4086" i="4"/>
  <c r="O4070" i="4"/>
  <c r="I4680" i="4"/>
  <c r="O4665" i="4"/>
  <c r="L4504" i="4"/>
  <c r="L4634" i="4"/>
  <c r="L4503" i="4"/>
  <c r="J4530" i="4"/>
  <c r="O4473" i="4"/>
  <c r="J4466" i="4"/>
  <c r="J4545" i="4"/>
  <c r="J4532" i="4"/>
  <c r="S4437" i="4"/>
  <c r="R4674" i="4"/>
  <c r="R4536" i="4"/>
  <c r="P4482" i="4"/>
  <c r="O4498" i="4"/>
  <c r="L4401" i="4"/>
  <c r="J4484" i="4"/>
  <c r="J4400" i="4"/>
  <c r="J4585" i="4"/>
  <c r="I4510" i="4"/>
  <c r="J4481" i="4"/>
  <c r="J4575" i="4"/>
  <c r="P4393" i="4"/>
  <c r="O4417" i="4"/>
  <c r="I4294" i="4"/>
  <c r="I4230" i="4"/>
  <c r="I4188" i="4"/>
  <c r="I4146" i="4"/>
  <c r="O4311" i="4"/>
  <c r="O4247" i="4"/>
  <c r="O4183" i="4"/>
  <c r="O4119" i="4"/>
  <c r="O4055" i="4"/>
  <c r="O4418" i="4"/>
  <c r="L4326" i="4"/>
  <c r="L4294" i="4"/>
  <c r="L4262" i="4"/>
  <c r="L4230" i="4"/>
  <c r="L4198" i="4"/>
  <c r="L4166" i="4"/>
  <c r="L4134" i="4"/>
  <c r="J4318" i="4"/>
  <c r="J4190" i="4"/>
  <c r="R4713" i="4"/>
  <c r="I4522" i="4"/>
  <c r="S4432" i="4"/>
  <c r="I4631" i="4"/>
  <c r="R4401" i="4"/>
  <c r="R4598" i="4"/>
  <c r="I4427" i="4"/>
  <c r="I4395" i="4"/>
  <c r="I4363" i="4"/>
  <c r="O4423" i="4"/>
  <c r="P4327" i="4"/>
  <c r="P4295" i="4"/>
  <c r="P4263" i="4"/>
  <c r="P4231" i="4"/>
  <c r="P4199" i="4"/>
  <c r="P4167" i="4"/>
  <c r="P4135" i="4"/>
  <c r="O4306" i="4"/>
  <c r="O4242" i="4"/>
  <c r="O4178" i="4"/>
  <c r="O4114" i="4"/>
  <c r="O4058" i="4"/>
  <c r="O4042" i="4"/>
  <c r="O4026" i="4"/>
  <c r="O4010" i="4"/>
  <c r="O4424" i="4"/>
  <c r="O4392" i="4"/>
  <c r="O4360" i="4"/>
  <c r="S4335" i="4"/>
  <c r="S4327" i="4"/>
  <c r="S4319" i="4"/>
  <c r="S4311" i="4"/>
  <c r="S4303" i="4"/>
  <c r="S4295" i="4"/>
  <c r="S4287" i="4"/>
  <c r="S4279" i="4"/>
  <c r="S4271" i="4"/>
  <c r="S4263" i="4"/>
  <c r="S4255" i="4"/>
  <c r="S4247" i="4"/>
  <c r="S4239" i="4"/>
  <c r="S4231" i="4"/>
  <c r="S4223" i="4"/>
  <c r="S4215" i="4"/>
  <c r="S4207" i="4"/>
  <c r="S4199" i="4"/>
  <c r="S4191" i="4"/>
  <c r="S4183" i="4"/>
  <c r="S4175" i="4"/>
  <c r="S4167" i="4"/>
  <c r="S4747" i="4"/>
  <c r="L4647" i="4"/>
  <c r="L4534" i="4"/>
  <c r="J4524" i="4"/>
  <c r="I4518" i="4"/>
  <c r="I4480" i="4"/>
  <c r="O4754" i="4"/>
  <c r="O4488" i="4"/>
  <c r="S4430" i="4"/>
  <c r="S4398" i="4"/>
  <c r="S4369" i="4"/>
  <c r="S4353" i="4"/>
  <c r="I4615" i="4"/>
  <c r="J4453" i="4"/>
  <c r="R4432" i="4"/>
  <c r="R4416" i="4"/>
  <c r="R4400" i="4"/>
  <c r="R4384" i="4"/>
  <c r="R4368" i="4"/>
  <c r="R4352" i="4"/>
  <c r="R4590" i="4"/>
  <c r="O4523" i="4"/>
  <c r="P4447" i="4"/>
  <c r="P4434" i="4"/>
  <c r="P4426" i="4"/>
  <c r="P4418" i="4"/>
  <c r="P4410" i="4"/>
  <c r="P4402" i="4"/>
  <c r="P4394" i="4"/>
  <c r="P4386" i="4"/>
  <c r="P4378" i="4"/>
  <c r="P4370" i="4"/>
  <c r="P4362" i="4"/>
  <c r="P4354" i="4"/>
  <c r="P4346" i="4"/>
  <c r="P4338" i="4"/>
  <c r="O4421" i="4"/>
  <c r="O4389" i="4"/>
  <c r="O4357" i="4"/>
  <c r="I4335" i="4"/>
  <c r="I4327" i="4"/>
  <c r="I4319" i="4"/>
  <c r="I4311" i="4"/>
  <c r="I4303" i="4"/>
  <c r="I4295" i="4"/>
  <c r="I4287" i="4"/>
  <c r="I4279" i="4"/>
  <c r="I4271" i="4"/>
  <c r="I4263" i="4"/>
  <c r="I4255" i="4"/>
  <c r="I4247" i="4"/>
  <c r="I4239" i="4"/>
  <c r="I4231" i="4"/>
  <c r="I4223" i="4"/>
  <c r="I4215" i="4"/>
  <c r="I4207" i="4"/>
  <c r="I4199" i="4"/>
  <c r="I4191" i="4"/>
  <c r="I4183" i="4"/>
  <c r="I4175" i="4"/>
  <c r="I4167" i="4"/>
  <c r="I4159" i="4"/>
  <c r="I4151" i="4"/>
  <c r="I4143" i="4"/>
  <c r="I4135" i="4"/>
  <c r="R4466" i="4"/>
  <c r="O4337" i="4"/>
  <c r="O4321" i="4"/>
  <c r="O4305" i="4"/>
  <c r="O4289" i="4"/>
  <c r="O4273" i="4"/>
  <c r="O4257" i="4"/>
  <c r="O4241" i="4"/>
  <c r="O4225" i="4"/>
  <c r="O4209" i="4"/>
  <c r="O4193" i="4"/>
  <c r="O4177" i="4"/>
  <c r="O4161" i="4"/>
  <c r="O4145" i="4"/>
  <c r="O4129" i="4"/>
  <c r="O4113" i="4"/>
  <c r="O4097" i="4"/>
  <c r="O4081" i="4"/>
  <c r="O4065" i="4"/>
  <c r="O4049" i="4"/>
  <c r="O4033" i="4"/>
  <c r="O4017" i="4"/>
  <c r="O4438" i="4"/>
  <c r="O4406" i="4"/>
  <c r="O4374" i="4"/>
  <c r="O4342" i="4"/>
  <c r="L4331" i="4"/>
  <c r="L4323" i="4"/>
  <c r="L4315" i="4"/>
  <c r="L4307" i="4"/>
  <c r="L4299" i="4"/>
  <c r="L4291" i="4"/>
  <c r="P4660" i="4"/>
  <c r="R4633" i="4"/>
  <c r="I4502" i="4"/>
  <c r="S4420" i="4"/>
  <c r="J4475" i="4"/>
  <c r="R4395" i="4"/>
  <c r="J4563" i="4"/>
  <c r="I4424" i="4"/>
  <c r="I4392" i="4"/>
  <c r="I4360" i="4"/>
  <c r="O4411" i="4"/>
  <c r="P4324" i="4"/>
  <c r="P4292" i="4"/>
  <c r="P4260" i="4"/>
  <c r="P4228" i="4"/>
  <c r="P4196" i="4"/>
  <c r="P4164" i="4"/>
  <c r="P4132" i="4"/>
  <c r="O4300" i="4"/>
  <c r="O4236" i="4"/>
  <c r="O4172" i="4"/>
  <c r="O4108" i="4"/>
  <c r="O4044" i="4"/>
  <c r="O4396" i="4"/>
  <c r="S4320" i="4"/>
  <c r="S4288" i="4"/>
  <c r="S4270" i="4"/>
  <c r="S4254" i="4"/>
  <c r="S4238" i="4"/>
  <c r="S4222" i="4"/>
  <c r="S4206" i="4"/>
  <c r="S4190" i="4"/>
  <c r="S4174" i="4"/>
  <c r="L4159" i="4"/>
  <c r="S4148" i="4"/>
  <c r="S4137" i="4"/>
  <c r="L4127" i="4"/>
  <c r="S4116" i="4"/>
  <c r="O4559" i="4"/>
  <c r="O4450" i="4"/>
  <c r="S4344" i="4"/>
  <c r="R4407" i="4"/>
  <c r="R4343" i="4"/>
  <c r="I4430" i="4"/>
  <c r="I4398" i="4"/>
  <c r="I4366" i="4"/>
  <c r="O4435" i="4"/>
  <c r="P4330" i="4"/>
  <c r="P4298" i="4"/>
  <c r="P4266" i="4"/>
  <c r="P4234" i="4"/>
  <c r="P4202" i="4"/>
  <c r="P4170" i="4"/>
  <c r="P4138" i="4"/>
  <c r="O4312" i="4"/>
  <c r="O4248" i="4"/>
  <c r="O4184" i="4"/>
  <c r="O4120" i="4"/>
  <c r="O4056" i="4"/>
  <c r="O4420" i="4"/>
  <c r="S4326" i="4"/>
  <c r="S4294" i="4"/>
  <c r="L4273" i="4"/>
  <c r="L4257" i="4"/>
  <c r="L4241" i="4"/>
  <c r="L4225" i="4"/>
  <c r="L4209" i="4"/>
  <c r="L4193" i="4"/>
  <c r="L4177" i="4"/>
  <c r="L4161" i="4"/>
  <c r="I4530" i="4"/>
  <c r="S4436" i="4"/>
  <c r="S4340" i="4"/>
  <c r="R4403" i="4"/>
  <c r="R4339" i="4"/>
  <c r="I4428" i="4"/>
  <c r="I4396" i="4"/>
  <c r="I4364" i="4"/>
  <c r="O4427" i="4"/>
  <c r="P4328" i="4"/>
  <c r="P4296" i="4"/>
  <c r="P4264" i="4"/>
  <c r="P4232" i="4"/>
  <c r="P4200" i="4"/>
  <c r="P4168" i="4"/>
  <c r="P4136" i="4"/>
  <c r="O4308" i="4"/>
  <c r="O4244" i="4"/>
  <c r="O4180" i="4"/>
  <c r="O4116" i="4"/>
  <c r="O4052" i="4"/>
  <c r="O4412" i="4"/>
  <c r="S4324" i="4"/>
  <c r="S4292" i="4"/>
  <c r="S4272" i="4"/>
  <c r="S4256" i="4"/>
  <c r="S4240" i="4"/>
  <c r="S4224" i="4"/>
  <c r="S4208" i="4"/>
  <c r="S4192" i="4"/>
  <c r="S4176" i="4"/>
  <c r="I4514" i="4"/>
  <c r="S4428" i="4"/>
  <c r="J4483" i="4"/>
  <c r="R4399" i="4"/>
  <c r="R4582" i="4"/>
  <c r="I4426" i="4"/>
  <c r="I4394" i="4"/>
  <c r="I4362" i="4"/>
  <c r="O4419" i="4"/>
  <c r="P4326" i="4"/>
  <c r="P4294" i="4"/>
  <c r="P4262" i="4"/>
  <c r="P4230" i="4"/>
  <c r="P4198" i="4"/>
  <c r="P4166" i="4"/>
  <c r="P4134" i="4"/>
  <c r="O4304" i="4"/>
  <c r="O4240" i="4"/>
  <c r="O4176" i="4"/>
  <c r="O4112" i="4"/>
  <c r="O4048" i="4"/>
  <c r="O4404" i="4"/>
  <c r="S4322" i="4"/>
  <c r="S4290" i="4"/>
  <c r="L4271" i="4"/>
  <c r="L4255" i="4"/>
  <c r="L4239" i="4"/>
  <c r="L4223" i="4"/>
  <c r="L4207" i="4"/>
  <c r="L4191" i="4"/>
  <c r="L4175" i="4"/>
  <c r="S4159" i="4"/>
  <c r="S4149" i="4"/>
  <c r="S4135" i="4"/>
  <c r="L4121" i="4"/>
  <c r="R4457" i="4"/>
  <c r="R4299" i="4"/>
  <c r="J4258" i="4"/>
  <c r="R4215" i="4"/>
  <c r="R4171" i="4"/>
  <c r="I4130" i="4"/>
  <c r="R4109" i="4"/>
  <c r="I4097" i="4"/>
  <c r="J4086" i="4"/>
  <c r="L4075" i="4"/>
  <c r="I4065" i="4"/>
  <c r="J4054" i="4"/>
  <c r="L4043" i="4"/>
  <c r="I4033" i="4"/>
  <c r="J4022" i="4"/>
  <c r="L4011" i="4"/>
  <c r="L4002" i="4"/>
  <c r="L3994" i="4"/>
  <c r="L3986" i="4"/>
  <c r="L3978" i="4"/>
  <c r="L3970" i="4"/>
  <c r="L3962" i="4"/>
  <c r="L3954" i="4"/>
  <c r="L3946" i="4"/>
  <c r="L3938" i="4"/>
  <c r="L3930" i="4"/>
  <c r="L3922" i="4"/>
  <c r="L3914" i="4"/>
  <c r="L3906" i="4"/>
  <c r="L3898" i="4"/>
  <c r="R4316" i="4"/>
  <c r="R4284" i="4"/>
  <c r="R4252" i="4"/>
  <c r="R4220" i="4"/>
  <c r="R4188" i="4"/>
  <c r="R4156" i="4"/>
  <c r="J4128" i="4"/>
  <c r="J4112" i="4"/>
  <c r="P4101" i="4"/>
  <c r="R4090" i="4"/>
  <c r="S4079" i="4"/>
  <c r="P4069" i="4"/>
  <c r="R4058" i="4"/>
  <c r="S4047" i="4"/>
  <c r="P4037" i="4"/>
  <c r="R4026" i="4"/>
  <c r="S4015" i="4"/>
  <c r="R4005" i="4"/>
  <c r="R3997" i="4"/>
  <c r="R3989" i="4"/>
  <c r="R3981" i="4"/>
  <c r="R3973" i="4"/>
  <c r="R3965" i="4"/>
  <c r="R3957" i="4"/>
  <c r="R3949" i="4"/>
  <c r="R3941" i="4"/>
  <c r="R3933" i="4"/>
  <c r="R3925" i="4"/>
  <c r="S4155" i="4"/>
  <c r="S4141" i="4"/>
  <c r="S4127" i="4"/>
  <c r="L4113" i="4"/>
  <c r="R4319" i="4"/>
  <c r="R4275" i="4"/>
  <c r="J4234" i="4"/>
  <c r="R4191" i="4"/>
  <c r="R4147" i="4"/>
  <c r="I4118" i="4"/>
  <c r="R4101" i="4"/>
  <c r="S4090" i="4"/>
  <c r="P4080" i="4"/>
  <c r="R4069" i="4"/>
  <c r="S4058" i="4"/>
  <c r="P4048" i="4"/>
  <c r="R4037" i="4"/>
  <c r="S4026" i="4"/>
  <c r="P4016" i="4"/>
  <c r="S4005" i="4"/>
  <c r="S3997" i="4"/>
  <c r="S3989" i="4"/>
  <c r="S3981" i="4"/>
  <c r="S3973" i="4"/>
  <c r="S3965" i="4"/>
  <c r="S3957" i="4"/>
  <c r="S3949" i="4"/>
  <c r="S3941" i="4"/>
  <c r="S3933" i="4"/>
  <c r="S3925" i="4"/>
  <c r="S3917" i="4"/>
  <c r="S3909" i="4"/>
  <c r="S3901" i="4"/>
  <c r="J4331" i="4"/>
  <c r="J4299" i="4"/>
  <c r="J4267" i="4"/>
  <c r="J4235" i="4"/>
  <c r="J4203" i="4"/>
  <c r="J4171" i="4"/>
  <c r="J4139" i="4"/>
  <c r="P4119" i="4"/>
  <c r="I4106" i="4"/>
  <c r="J4095" i="4"/>
  <c r="L4084" i="4"/>
  <c r="I4074" i="4"/>
  <c r="J4063" i="4"/>
  <c r="L4052" i="4"/>
  <c r="I4042" i="4"/>
  <c r="J4031" i="4"/>
  <c r="L4020" i="4"/>
  <c r="I4010" i="4"/>
  <c r="J4001" i="4"/>
  <c r="J3993" i="4"/>
  <c r="J3985" i="4"/>
  <c r="J3977" i="4"/>
  <c r="J3969" i="4"/>
  <c r="J3961" i="4"/>
  <c r="J3953" i="4"/>
  <c r="J3945" i="4"/>
  <c r="J3937" i="4"/>
  <c r="J3929" i="4"/>
  <c r="J3921" i="4"/>
  <c r="S4151" i="4"/>
  <c r="L4137" i="4"/>
  <c r="L4123" i="4"/>
  <c r="R4473" i="4"/>
  <c r="J4306" i="4"/>
  <c r="R4263" i="4"/>
  <c r="R4219" i="4"/>
  <c r="J4178" i="4"/>
  <c r="R4135" i="4"/>
  <c r="R4111" i="4"/>
  <c r="J4098" i="4"/>
  <c r="L4087" i="4"/>
  <c r="I4077" i="4"/>
  <c r="J4066" i="4"/>
  <c r="L4055" i="4"/>
  <c r="I4045" i="4"/>
  <c r="J4034" i="4"/>
  <c r="L4023" i="4"/>
  <c r="I4013" i="4"/>
  <c r="L4003" i="4"/>
  <c r="L3995" i="4"/>
  <c r="L3987" i="4"/>
  <c r="L3979" i="4"/>
  <c r="L3971" i="4"/>
  <c r="L3963" i="4"/>
  <c r="L3955" i="4"/>
  <c r="L3947" i="4"/>
  <c r="L3939" i="4"/>
  <c r="L3931" i="4"/>
  <c r="L3923" i="4"/>
  <c r="L3915" i="4"/>
  <c r="L3907" i="4"/>
  <c r="L3899" i="4"/>
  <c r="R4320" i="4"/>
  <c r="R4288" i="4"/>
  <c r="R4256" i="4"/>
  <c r="R4224" i="4"/>
  <c r="R4192" i="4"/>
  <c r="R4160" i="4"/>
  <c r="R4130" i="4"/>
  <c r="R4114" i="4"/>
  <c r="R4102" i="4"/>
  <c r="S4091" i="4"/>
  <c r="P4081" i="4"/>
  <c r="R4070" i="4"/>
  <c r="S4059" i="4"/>
  <c r="P4049" i="4"/>
  <c r="R4038" i="4"/>
  <c r="S4027" i="4"/>
  <c r="P4017" i="4"/>
  <c r="R4006" i="4"/>
  <c r="R3998" i="4"/>
  <c r="R3990" i="4"/>
  <c r="R3982" i="4"/>
  <c r="R3974" i="4"/>
  <c r="R3966" i="4"/>
  <c r="R3958" i="4"/>
  <c r="R3950" i="4"/>
  <c r="L4147" i="4"/>
  <c r="L4133" i="4"/>
  <c r="S4118" i="4"/>
  <c r="R4335" i="4"/>
  <c r="R4291" i="4"/>
  <c r="J4250" i="4"/>
  <c r="R4207" i="4"/>
  <c r="S4469" i="4"/>
  <c r="P4549" i="4"/>
  <c r="R4570" i="4"/>
  <c r="P4543" i="4"/>
  <c r="R4569" i="4"/>
  <c r="P4505" i="4"/>
  <c r="L4424" i="4"/>
  <c r="J4423" i="4"/>
  <c r="P4548" i="4"/>
  <c r="I4487" i="4"/>
  <c r="S4405" i="4"/>
  <c r="S4639" i="4"/>
  <c r="R4605" i="4"/>
  <c r="P4466" i="4"/>
  <c r="O4459" i="4"/>
  <c r="L4385" i="4"/>
  <c r="J4452" i="4"/>
  <c r="J4384" i="4"/>
  <c r="O4517" i="4"/>
  <c r="L4621" i="4"/>
  <c r="R4430" i="4"/>
  <c r="J4444" i="4"/>
  <c r="P4377" i="4"/>
  <c r="O4353" i="4"/>
  <c r="I4278" i="4"/>
  <c r="I4220" i="4"/>
  <c r="I4178" i="4"/>
  <c r="I4134" i="4"/>
  <c r="O4295" i="4"/>
  <c r="O4231" i="4"/>
  <c r="O4167" i="4"/>
  <c r="O4103" i="4"/>
  <c r="O4039" i="4"/>
  <c r="O4386" i="4"/>
  <c r="L4318" i="4"/>
  <c r="L4286" i="4"/>
  <c r="L4254" i="4"/>
  <c r="L4222" i="4"/>
  <c r="L4190" i="4"/>
  <c r="L4158" i="4"/>
  <c r="L4126" i="4"/>
  <c r="J4286" i="4"/>
  <c r="J4158" i="4"/>
  <c r="R4668" i="4"/>
  <c r="I4482" i="4"/>
  <c r="S4400" i="4"/>
  <c r="J4455" i="4"/>
  <c r="R4385" i="4"/>
  <c r="O4527" i="4"/>
  <c r="I4419" i="4"/>
  <c r="I4387" i="4"/>
  <c r="I4355" i="4"/>
  <c r="O4391" i="4"/>
  <c r="P4319" i="4"/>
  <c r="P4287" i="4"/>
  <c r="P4255" i="4"/>
  <c r="P4223" i="4"/>
  <c r="P4191" i="4"/>
  <c r="P4159" i="4"/>
  <c r="R4468" i="4"/>
  <c r="O4290" i="4"/>
  <c r="O4226" i="4"/>
  <c r="O4162" i="4"/>
  <c r="O4098" i="4"/>
  <c r="O4054" i="4"/>
  <c r="O4038" i="4"/>
  <c r="O4022" i="4"/>
  <c r="S4640" i="4"/>
  <c r="O4416" i="4"/>
  <c r="O4384" i="4"/>
  <c r="O4352" i="4"/>
  <c r="S4333" i="4"/>
  <c r="S4325" i="4"/>
  <c r="S4317" i="4"/>
  <c r="S4309" i="4"/>
  <c r="S4301" i="4"/>
  <c r="S4293" i="4"/>
  <c r="S4285" i="4"/>
  <c r="S4277" i="4"/>
  <c r="S4269" i="4"/>
  <c r="S4261" i="4"/>
  <c r="S4253" i="4"/>
  <c r="S4245" i="4"/>
  <c r="S4237" i="4"/>
  <c r="S4229" i="4"/>
  <c r="S4221" i="4"/>
  <c r="S4213" i="4"/>
  <c r="S4205" i="4"/>
  <c r="S4197" i="4"/>
  <c r="S4189" i="4"/>
  <c r="S4181" i="4"/>
  <c r="S4173" i="4"/>
  <c r="S4165" i="4"/>
  <c r="I4648" i="4"/>
  <c r="O4580" i="4"/>
  <c r="L4513" i="4"/>
  <c r="J4492" i="4"/>
  <c r="I4504" i="4"/>
  <c r="I4472" i="4"/>
  <c r="J4589" i="4"/>
  <c r="O4470" i="4"/>
  <c r="S4422" i="4"/>
  <c r="S4390" i="4"/>
  <c r="S4365" i="4"/>
  <c r="S4349" i="4"/>
  <c r="J4477" i="4"/>
  <c r="O4446" i="4"/>
  <c r="R4428" i="4"/>
  <c r="R4412" i="4"/>
  <c r="R4396" i="4"/>
  <c r="R4380" i="4"/>
  <c r="R4364" i="4"/>
  <c r="R4348" i="4"/>
  <c r="J4567" i="4"/>
  <c r="O4513" i="4"/>
  <c r="J4442" i="4"/>
  <c r="P4432" i="4"/>
  <c r="P4424" i="4"/>
  <c r="P4416" i="4"/>
  <c r="P4408" i="4"/>
  <c r="P4400" i="4"/>
  <c r="P4392" i="4"/>
  <c r="P4384" i="4"/>
  <c r="P4376" i="4"/>
  <c r="P4368" i="4"/>
  <c r="P4360" i="4"/>
  <c r="P4352" i="4"/>
  <c r="P4344" i="4"/>
  <c r="O4447" i="4"/>
  <c r="O4413" i="4"/>
  <c r="O4381" i="4"/>
  <c r="O4349" i="4"/>
  <c r="I4333" i="4"/>
  <c r="I4325" i="4"/>
  <c r="I4317" i="4"/>
  <c r="I4309" i="4"/>
  <c r="I4301" i="4"/>
  <c r="I4293" i="4"/>
  <c r="I4285" i="4"/>
  <c r="I4277" i="4"/>
  <c r="I4269" i="4"/>
  <c r="I4261" i="4"/>
  <c r="I4253" i="4"/>
  <c r="I4245" i="4"/>
  <c r="I4237" i="4"/>
  <c r="I4229" i="4"/>
  <c r="I4221" i="4"/>
  <c r="I4213" i="4"/>
  <c r="I4205" i="4"/>
  <c r="I4197" i="4"/>
  <c r="I4189" i="4"/>
  <c r="I4181" i="4"/>
  <c r="I4173" i="4"/>
  <c r="I4165" i="4"/>
  <c r="I4157" i="4"/>
  <c r="I4149" i="4"/>
  <c r="I4141" i="4"/>
  <c r="I4133" i="4"/>
  <c r="R4458" i="4"/>
  <c r="O4333" i="4"/>
  <c r="O4317" i="4"/>
  <c r="O4301" i="4"/>
  <c r="O4285" i="4"/>
  <c r="O4269" i="4"/>
  <c r="O4253" i="4"/>
  <c r="O4237" i="4"/>
  <c r="O4221" i="4"/>
  <c r="O4205" i="4"/>
  <c r="O4189" i="4"/>
  <c r="O4173" i="4"/>
  <c r="O4157" i="4"/>
  <c r="O4141" i="4"/>
  <c r="O4125" i="4"/>
  <c r="O4109" i="4"/>
  <c r="O4093" i="4"/>
  <c r="O4077" i="4"/>
  <c r="O4061" i="4"/>
  <c r="O4045" i="4"/>
  <c r="O4029" i="4"/>
  <c r="O4013" i="4"/>
  <c r="O4430" i="4"/>
  <c r="O4398" i="4"/>
  <c r="O4366" i="4"/>
  <c r="L4337" i="4"/>
  <c r="L4329" i="4"/>
  <c r="L4321" i="4"/>
  <c r="L4313" i="4"/>
  <c r="L4305" i="4"/>
  <c r="L4297" i="4"/>
  <c r="L4289" i="4"/>
  <c r="S4633" i="4"/>
  <c r="L4672" i="4"/>
  <c r="I4470" i="4"/>
  <c r="S4388" i="4"/>
  <c r="I4445" i="4"/>
  <c r="R4379" i="4"/>
  <c r="O4511" i="4"/>
  <c r="I4416" i="4"/>
  <c r="I4384" i="4"/>
  <c r="I4352" i="4"/>
  <c r="O4379" i="4"/>
  <c r="P4316" i="4"/>
  <c r="P4284" i="4"/>
  <c r="P4252" i="4"/>
  <c r="P4220" i="4"/>
  <c r="P4188" i="4"/>
  <c r="P4156" i="4"/>
  <c r="R4456" i="4"/>
  <c r="O4284" i="4"/>
  <c r="O4220" i="4"/>
  <c r="O4156" i="4"/>
  <c r="O4092" i="4"/>
  <c r="O4028" i="4"/>
  <c r="O4364" i="4"/>
  <c r="S4312" i="4"/>
  <c r="S4282" i="4"/>
  <c r="S4266" i="4"/>
  <c r="S4250" i="4"/>
  <c r="S4234" i="4"/>
  <c r="S4218" i="4"/>
  <c r="R4642" i="4"/>
  <c r="R4675" i="4"/>
  <c r="J4485" i="4"/>
  <c r="J4674" i="4"/>
  <c r="R4484" i="4"/>
  <c r="P4473" i="4"/>
  <c r="L4392" i="4"/>
  <c r="J4391" i="4"/>
  <c r="L4571" i="4"/>
  <c r="I4455" i="4"/>
  <c r="S4373" i="4"/>
  <c r="L4547" i="4"/>
  <c r="P4522" i="4"/>
  <c r="P4450" i="4"/>
  <c r="L4433" i="4"/>
  <c r="L4369" i="4"/>
  <c r="J4432" i="4"/>
  <c r="J4368" i="4"/>
  <c r="O4657" i="4"/>
  <c r="S4426" i="4"/>
  <c r="R4398" i="4"/>
  <c r="P4425" i="4"/>
  <c r="P4361" i="4"/>
  <c r="I4326" i="4"/>
  <c r="I4262" i="4"/>
  <c r="I4210" i="4"/>
  <c r="I4166" i="4"/>
  <c r="R4454" i="4"/>
  <c r="O4279" i="4"/>
  <c r="O4215" i="4"/>
  <c r="O4151" i="4"/>
  <c r="O4087" i="4"/>
  <c r="O4023" i="4"/>
  <c r="O4354" i="4"/>
  <c r="L4310" i="4"/>
  <c r="L4278" i="4"/>
  <c r="L4246" i="4"/>
  <c r="L4214" i="4"/>
  <c r="L4182" i="4"/>
  <c r="L4150" i="4"/>
  <c r="L4118" i="4"/>
  <c r="J4254" i="4"/>
  <c r="P4128" i="4"/>
  <c r="S4544" i="4"/>
  <c r="I4450" i="4"/>
  <c r="S4370" i="4"/>
  <c r="R4433" i="4"/>
  <c r="R4369" i="4"/>
  <c r="J4448" i="4"/>
  <c r="I4411" i="4"/>
  <c r="I4379" i="4"/>
  <c r="I4347" i="4"/>
  <c r="O4359" i="4"/>
  <c r="P4311" i="4"/>
  <c r="P4279" i="4"/>
  <c r="P4247" i="4"/>
  <c r="P4215" i="4"/>
  <c r="P4183" i="4"/>
  <c r="P4151" i="4"/>
  <c r="J4338" i="4"/>
  <c r="O4274" i="4"/>
  <c r="O4210" i="4"/>
  <c r="O4146" i="4"/>
  <c r="O4082" i="4"/>
  <c r="O4050" i="4"/>
  <c r="O4034" i="4"/>
  <c r="O4018" i="4"/>
  <c r="I4440" i="4"/>
  <c r="O4408" i="4"/>
  <c r="O4376" i="4"/>
  <c r="O4344" i="4"/>
  <c r="S4331" i="4"/>
  <c r="S4323" i="4"/>
  <c r="S4315" i="4"/>
  <c r="S4307" i="4"/>
  <c r="S4299" i="4"/>
  <c r="S4291" i="4"/>
  <c r="S4283" i="4"/>
  <c r="S4275" i="4"/>
  <c r="S4267" i="4"/>
  <c r="S4259" i="4"/>
  <c r="S4251" i="4"/>
  <c r="S4243" i="4"/>
  <c r="S4235" i="4"/>
  <c r="S4227" i="4"/>
  <c r="S4219" i="4"/>
  <c r="S4211" i="4"/>
  <c r="S4203" i="4"/>
  <c r="S4195" i="4"/>
  <c r="S4187" i="4"/>
  <c r="S4179" i="4"/>
  <c r="S4171" i="4"/>
  <c r="S4163" i="4"/>
  <c r="P4596" i="4"/>
  <c r="I4622" i="4"/>
  <c r="S4470" i="4"/>
  <c r="O4571" i="4"/>
  <c r="I4496" i="4"/>
  <c r="I4464" i="4"/>
  <c r="J4552" i="4"/>
  <c r="O4454" i="4"/>
  <c r="S4414" i="4"/>
  <c r="S4382" i="4"/>
  <c r="S4361" i="4"/>
  <c r="S4345" i="4"/>
  <c r="J4469" i="4"/>
  <c r="I4441" i="4"/>
  <c r="R4424" i="4"/>
  <c r="R4408" i="4"/>
  <c r="R4392" i="4"/>
  <c r="R4376" i="4"/>
  <c r="R4360" i="4"/>
  <c r="R4344" i="4"/>
  <c r="J4551" i="4"/>
  <c r="O4503" i="4"/>
  <c r="P4438" i="4"/>
  <c r="P4430" i="4"/>
  <c r="P4422" i="4"/>
  <c r="P4414" i="4"/>
  <c r="P4406" i="4"/>
  <c r="P4398" i="4"/>
  <c r="P4390" i="4"/>
  <c r="P4382" i="4"/>
  <c r="P4374" i="4"/>
  <c r="P4366" i="4"/>
  <c r="P4358" i="4"/>
  <c r="P4350" i="4"/>
  <c r="P4342" i="4"/>
  <c r="O4437" i="4"/>
  <c r="O4405" i="4"/>
  <c r="O4373" i="4"/>
  <c r="O4341" i="4"/>
  <c r="I4331" i="4"/>
  <c r="I4323" i="4"/>
  <c r="I4315" i="4"/>
  <c r="I4307" i="4"/>
  <c r="I4299" i="4"/>
  <c r="I4291" i="4"/>
  <c r="I4283" i="4"/>
  <c r="I4275" i="4"/>
  <c r="I4267" i="4"/>
  <c r="I4259" i="4"/>
  <c r="I4251" i="4"/>
  <c r="I4243" i="4"/>
  <c r="I4235" i="4"/>
  <c r="I4227" i="4"/>
  <c r="I4219" i="4"/>
  <c r="I4211" i="4"/>
  <c r="I4203" i="4"/>
  <c r="I4195" i="4"/>
  <c r="I4187" i="4"/>
  <c r="I4179" i="4"/>
  <c r="I4171" i="4"/>
  <c r="I4163" i="4"/>
  <c r="I4155" i="4"/>
  <c r="I4147" i="4"/>
  <c r="I4139" i="4"/>
  <c r="R4482" i="4"/>
  <c r="R4450" i="4"/>
  <c r="O4329" i="4"/>
  <c r="O4313" i="4"/>
  <c r="O4297" i="4"/>
  <c r="O4281" i="4"/>
  <c r="O4265" i="4"/>
  <c r="O4249" i="4"/>
  <c r="O4233" i="4"/>
  <c r="O4217" i="4"/>
  <c r="O4201" i="4"/>
  <c r="O4185" i="4"/>
  <c r="O4169" i="4"/>
  <c r="O4153" i="4"/>
  <c r="O4137" i="4"/>
  <c r="O4121" i="4"/>
  <c r="O4105" i="4"/>
  <c r="O4089" i="4"/>
  <c r="O4073" i="4"/>
  <c r="O4057" i="4"/>
  <c r="O4041" i="4"/>
  <c r="O4025" i="4"/>
  <c r="O4009" i="4"/>
  <c r="O4422" i="4"/>
  <c r="O4390" i="4"/>
  <c r="O4358" i="4"/>
  <c r="L4335" i="4"/>
  <c r="L4327" i="4"/>
  <c r="S4566" i="4"/>
  <c r="J4359" i="4"/>
  <c r="L4484" i="4"/>
  <c r="L4353" i="4"/>
  <c r="S4367" i="4"/>
  <c r="I4310" i="4"/>
  <c r="O4327" i="4"/>
  <c r="O4071" i="4"/>
  <c r="L4270" i="4"/>
  <c r="L4142" i="4"/>
  <c r="L4532" i="4"/>
  <c r="R4353" i="4"/>
  <c r="I4339" i="4"/>
  <c r="P4239" i="4"/>
  <c r="O4322" i="4"/>
  <c r="O4066" i="4"/>
  <c r="O4432" i="4"/>
  <c r="S4329" i="4"/>
  <c r="S4297" i="4"/>
  <c r="S4265" i="4"/>
  <c r="S4233" i="4"/>
  <c r="S4201" i="4"/>
  <c r="S4169" i="4"/>
  <c r="J4603" i="4"/>
  <c r="O4520" i="4"/>
  <c r="S4357" i="4"/>
  <c r="R4420" i="4"/>
  <c r="R4356" i="4"/>
  <c r="P4436" i="4"/>
  <c r="P4404" i="4"/>
  <c r="P4372" i="4"/>
  <c r="P4340" i="4"/>
  <c r="I4337" i="4"/>
  <c r="I4305" i="4"/>
  <c r="I4273" i="4"/>
  <c r="I4241" i="4"/>
  <c r="I4209" i="4"/>
  <c r="I4177" i="4"/>
  <c r="I4145" i="4"/>
  <c r="O4325" i="4"/>
  <c r="O4261" i="4"/>
  <c r="O4197" i="4"/>
  <c r="O4133" i="4"/>
  <c r="O4069" i="4"/>
  <c r="I4448" i="4"/>
  <c r="L4333" i="4"/>
  <c r="L4311" i="4"/>
  <c r="L4295" i="4"/>
  <c r="P4585" i="4"/>
  <c r="J4576" i="4"/>
  <c r="R4427" i="4"/>
  <c r="J4440" i="4"/>
  <c r="I4376" i="4"/>
  <c r="O4347" i="4"/>
  <c r="P4276" i="4"/>
  <c r="P4212" i="4"/>
  <c r="P4148" i="4"/>
  <c r="O4268" i="4"/>
  <c r="O4140" i="4"/>
  <c r="O4012" i="4"/>
  <c r="S4304" i="4"/>
  <c r="S4262" i="4"/>
  <c r="S4230" i="4"/>
  <c r="S4202" i="4"/>
  <c r="S4182" i="4"/>
  <c r="S4162" i="4"/>
  <c r="S4145" i="4"/>
  <c r="S4132" i="4"/>
  <c r="L4119" i="4"/>
  <c r="I4494" i="4"/>
  <c r="S4380" i="4"/>
  <c r="R4423" i="4"/>
  <c r="J4547" i="4"/>
  <c r="I4414" i="4"/>
  <c r="I4374" i="4"/>
  <c r="O4403" i="4"/>
  <c r="P4314" i="4"/>
  <c r="P4274" i="4"/>
  <c r="P4226" i="4"/>
  <c r="P4186" i="4"/>
  <c r="P4146" i="4"/>
  <c r="O4296" i="4"/>
  <c r="O4216" i="4"/>
  <c r="O4136" i="4"/>
  <c r="O4040" i="4"/>
  <c r="O4356" i="4"/>
  <c r="S4302" i="4"/>
  <c r="L4269" i="4"/>
  <c r="L4249" i="4"/>
  <c r="L4229" i="4"/>
  <c r="L4205" i="4"/>
  <c r="L4185" i="4"/>
  <c r="L4165" i="4"/>
  <c r="I4486" i="4"/>
  <c r="S4372" i="4"/>
  <c r="R4419" i="4"/>
  <c r="O4531" i="4"/>
  <c r="I4412" i="4"/>
  <c r="I4372" i="4"/>
  <c r="O4395" i="4"/>
  <c r="P4312" i="4"/>
  <c r="P4272" i="4"/>
  <c r="P4224" i="4"/>
  <c r="P4184" i="4"/>
  <c r="P4144" i="4"/>
  <c r="O4292" i="4"/>
  <c r="O4212" i="4"/>
  <c r="O4132" i="4"/>
  <c r="O4036" i="4"/>
  <c r="O4348" i="4"/>
  <c r="S4300" i="4"/>
  <c r="S4268" i="4"/>
  <c r="S4248" i="4"/>
  <c r="S4228" i="4"/>
  <c r="S4204" i="4"/>
  <c r="S4184" i="4"/>
  <c r="J4516" i="4"/>
  <c r="S4396" i="4"/>
  <c r="R4431" i="4"/>
  <c r="R4351" i="4"/>
  <c r="I4418" i="4"/>
  <c r="I4378" i="4"/>
  <c r="I4338" i="4"/>
  <c r="P4318" i="4"/>
  <c r="P4278" i="4"/>
  <c r="P4238" i="4"/>
  <c r="P4190" i="4"/>
  <c r="P4150" i="4"/>
  <c r="O4320" i="4"/>
  <c r="O4224" i="4"/>
  <c r="O4144" i="4"/>
  <c r="O4064" i="4"/>
  <c r="O4372" i="4"/>
  <c r="S4306" i="4"/>
  <c r="L4275" i="4"/>
  <c r="L4251" i="4"/>
  <c r="L4231" i="4"/>
  <c r="L4211" i="4"/>
  <c r="L4187" i="4"/>
  <c r="L4167" i="4"/>
  <c r="L4153" i="4"/>
  <c r="S4131" i="4"/>
  <c r="S4114" i="4"/>
  <c r="R4311" i="4"/>
  <c r="R4247" i="4"/>
  <c r="J4194" i="4"/>
  <c r="R4139" i="4"/>
  <c r="R4105" i="4"/>
  <c r="L4091" i="4"/>
  <c r="J4078" i="4"/>
  <c r="J4062" i="4"/>
  <c r="I4049" i="4"/>
  <c r="L4035" i="4"/>
  <c r="L4019" i="4"/>
  <c r="L4006" i="4"/>
  <c r="L3996" i="4"/>
  <c r="L3984" i="4"/>
  <c r="L3974" i="4"/>
  <c r="L3964" i="4"/>
  <c r="L3952" i="4"/>
  <c r="L3942" i="4"/>
  <c r="L3932" i="4"/>
  <c r="L3920" i="4"/>
  <c r="L3910" i="4"/>
  <c r="L3900" i="4"/>
  <c r="R4308" i="4"/>
  <c r="R4268" i="4"/>
  <c r="R4228" i="4"/>
  <c r="R4180" i="4"/>
  <c r="R4140" i="4"/>
  <c r="J4116" i="4"/>
  <c r="R4098" i="4"/>
  <c r="P4085" i="4"/>
  <c r="S4071" i="4"/>
  <c r="S4055" i="4"/>
  <c r="R4042" i="4"/>
  <c r="P4029" i="4"/>
  <c r="P4013" i="4"/>
  <c r="R4001" i="4"/>
  <c r="R3991" i="4"/>
  <c r="R3979" i="4"/>
  <c r="R3969" i="4"/>
  <c r="R3959" i="4"/>
  <c r="R3947" i="4"/>
  <c r="R3937" i="4"/>
  <c r="R3927" i="4"/>
  <c r="S4152" i="4"/>
  <c r="S4134" i="4"/>
  <c r="L4117" i="4"/>
  <c r="R4307" i="4"/>
  <c r="R4255" i="4"/>
  <c r="J4202" i="4"/>
  <c r="J4138" i="4"/>
  <c r="P4108" i="4"/>
  <c r="R4093" i="4"/>
  <c r="R4077" i="4"/>
  <c r="P4064" i="4"/>
  <c r="S4050" i="4"/>
  <c r="S4034" i="4"/>
  <c r="R4021" i="4"/>
  <c r="P4008" i="4"/>
  <c r="S3995" i="4"/>
  <c r="S3985" i="4"/>
  <c r="S3975" i="4"/>
  <c r="S3963" i="4"/>
  <c r="S3953" i="4"/>
  <c r="S3943" i="4"/>
  <c r="S3931" i="4"/>
  <c r="S3921" i="4"/>
  <c r="S3911" i="4"/>
  <c r="S3899" i="4"/>
  <c r="J4315" i="4"/>
  <c r="J4275" i="4"/>
  <c r="J4227" i="4"/>
  <c r="J4187" i="4"/>
  <c r="J4147" i="4"/>
  <c r="P4115" i="4"/>
  <c r="L4100" i="4"/>
  <c r="J4087" i="4"/>
  <c r="J4071" i="4"/>
  <c r="I4058" i="4"/>
  <c r="L4044" i="4"/>
  <c r="L4028" i="4"/>
  <c r="J4015" i="4"/>
  <c r="J4003" i="4"/>
  <c r="J3991" i="4"/>
  <c r="J3981" i="4"/>
  <c r="J3971" i="4"/>
  <c r="J3959" i="4"/>
  <c r="J3949" i="4"/>
  <c r="J3939" i="4"/>
  <c r="J3927" i="4"/>
  <c r="S4160" i="4"/>
  <c r="L4141" i="4"/>
  <c r="S4119" i="4"/>
  <c r="R4327" i="4"/>
  <c r="J4274" i="4"/>
  <c r="J4210" i="4"/>
  <c r="R4155" i="4"/>
  <c r="J4117" i="4"/>
  <c r="L4095" i="4"/>
  <c r="J4082" i="4"/>
  <c r="I4069" i="4"/>
  <c r="I4053" i="4"/>
  <c r="L4039" i="4"/>
  <c r="J4026" i="4"/>
  <c r="J4010" i="4"/>
  <c r="L3999" i="4"/>
  <c r="L3989" i="4"/>
  <c r="L3977" i="4"/>
  <c r="L3967" i="4"/>
  <c r="L3957" i="4"/>
  <c r="L3945" i="4"/>
  <c r="L3935" i="4"/>
  <c r="L3925" i="4"/>
  <c r="L3913" i="4"/>
  <c r="L3903" i="4"/>
  <c r="R4328" i="4"/>
  <c r="R4280" i="4"/>
  <c r="R4240" i="4"/>
  <c r="R4200" i="4"/>
  <c r="R4152" i="4"/>
  <c r="R4122" i="4"/>
  <c r="P4105" i="4"/>
  <c r="P4089" i="4"/>
  <c r="S4075" i="4"/>
  <c r="R4062" i="4"/>
  <c r="R4046" i="4"/>
  <c r="P4033" i="4"/>
  <c r="S4019" i="4"/>
  <c r="R4004" i="4"/>
  <c r="R3994" i="4"/>
  <c r="R3984" i="4"/>
  <c r="R3972" i="4"/>
  <c r="R3962" i="4"/>
  <c r="R3952" i="4"/>
  <c r="S4143" i="4"/>
  <c r="S4125" i="4"/>
  <c r="R4465" i="4"/>
  <c r="J4282" i="4"/>
  <c r="R4227" i="4"/>
  <c r="R4175" i="4"/>
  <c r="R4131" i="4"/>
  <c r="J4110" i="4"/>
  <c r="R4097" i="4"/>
  <c r="S4086" i="4"/>
  <c r="P4076" i="4"/>
  <c r="R4065" i="4"/>
  <c r="S4054" i="4"/>
  <c r="P4044" i="4"/>
  <c r="R4033" i="4"/>
  <c r="S4022" i="4"/>
  <c r="P4012" i="4"/>
  <c r="S4002" i="4"/>
  <c r="S3994" i="4"/>
  <c r="S3986" i="4"/>
  <c r="S3978" i="4"/>
  <c r="S3970" i="4"/>
  <c r="S3962" i="4"/>
  <c r="S3954" i="4"/>
  <c r="S3946" i="4"/>
  <c r="S3938" i="4"/>
  <c r="S3930" i="4"/>
  <c r="S3922" i="4"/>
  <c r="S3914" i="4"/>
  <c r="S3906" i="4"/>
  <c r="S3898" i="4"/>
  <c r="J4319" i="4"/>
  <c r="J4287" i="4"/>
  <c r="J4255" i="4"/>
  <c r="J4223" i="4"/>
  <c r="J4191" i="4"/>
  <c r="J4159" i="4"/>
  <c r="I4129" i="4"/>
  <c r="I4113" i="4"/>
  <c r="I4102" i="4"/>
  <c r="J4091" i="4"/>
  <c r="L4080" i="4"/>
  <c r="I4070" i="4"/>
  <c r="J4059" i="4"/>
  <c r="L4048" i="4"/>
  <c r="I4038" i="4"/>
  <c r="J4027" i="4"/>
  <c r="L4016" i="4"/>
  <c r="J4006" i="4"/>
  <c r="J3998" i="4"/>
  <c r="J3990" i="4"/>
  <c r="J3982" i="4"/>
  <c r="J3974" i="4"/>
  <c r="J3966" i="4"/>
  <c r="J3958" i="4"/>
  <c r="J3950" i="4"/>
  <c r="J3942" i="4"/>
  <c r="J3934" i="4"/>
  <c r="J3926" i="4"/>
  <c r="J3918" i="4"/>
  <c r="J3910" i="4"/>
  <c r="J3902" i="4"/>
  <c r="R3924" i="4"/>
  <c r="R3910" i="4"/>
  <c r="J3900" i="4"/>
  <c r="R4453" i="4"/>
  <c r="R4309" i="4"/>
  <c r="R4277" i="4"/>
  <c r="R4245" i="4"/>
  <c r="R4213" i="4"/>
  <c r="R4181" i="4"/>
  <c r="R4149" i="4"/>
  <c r="R4125" i="4"/>
  <c r="L4109" i="4"/>
  <c r="I4099" i="4"/>
  <c r="J4088" i="4"/>
  <c r="L4077" i="4"/>
  <c r="I4067" i="4"/>
  <c r="J4056" i="4"/>
  <c r="L4045" i="4"/>
  <c r="I4035" i="4"/>
  <c r="J4024" i="4"/>
  <c r="L4013" i="4"/>
  <c r="I4004" i="4"/>
  <c r="I3996" i="4"/>
  <c r="I3988" i="4"/>
  <c r="I3980" i="4"/>
  <c r="I3972" i="4"/>
  <c r="I3964" i="4"/>
  <c r="I3956" i="4"/>
  <c r="I3948" i="4"/>
  <c r="I3940" i="4"/>
  <c r="I3932" i="4"/>
  <c r="I3924" i="4"/>
  <c r="I3916" i="4"/>
  <c r="I3908" i="4"/>
  <c r="S4632" i="4"/>
  <c r="J4277" i="4"/>
  <c r="J4213" i="4"/>
  <c r="J4149" i="4"/>
  <c r="R4064" i="4"/>
  <c r="P3898" i="4"/>
  <c r="L3889" i="4"/>
  <c r="L3881" i="4"/>
  <c r="L3873" i="4"/>
  <c r="L3865" i="4"/>
  <c r="L3857" i="4"/>
  <c r="L3849" i="4"/>
  <c r="L3841" i="4"/>
  <c r="L3833" i="4"/>
  <c r="L3825" i="4"/>
  <c r="L3817" i="4"/>
  <c r="L3809" i="4"/>
  <c r="L3801" i="4"/>
  <c r="L3793" i="4"/>
  <c r="L3785" i="4"/>
  <c r="L3777" i="4"/>
  <c r="L3769" i="4"/>
  <c r="L3761" i="4"/>
  <c r="L3753" i="4"/>
  <c r="L3745" i="4"/>
  <c r="L3737" i="4"/>
  <c r="L3729" i="4"/>
  <c r="L3721" i="4"/>
  <c r="L3713" i="4"/>
  <c r="L3705" i="4"/>
  <c r="L3697" i="4"/>
  <c r="L3689" i="4"/>
  <c r="R4444" i="4"/>
  <c r="L4102" i="4"/>
  <c r="L4070" i="4"/>
  <c r="L4038" i="4"/>
  <c r="O4006" i="4"/>
  <c r="O3974" i="4"/>
  <c r="O3942" i="4"/>
  <c r="O3910" i="4"/>
  <c r="R3891" i="4"/>
  <c r="R3883" i="4"/>
  <c r="R3875" i="4"/>
  <c r="R3867" i="4"/>
  <c r="R3859" i="4"/>
  <c r="R3851" i="4"/>
  <c r="R3843" i="4"/>
  <c r="R3835" i="4"/>
  <c r="R3827" i="4"/>
  <c r="R3819" i="4"/>
  <c r="R3811" i="4"/>
  <c r="R3803" i="4"/>
  <c r="R3795" i="4"/>
  <c r="R3787" i="4"/>
  <c r="R3779" i="4"/>
  <c r="R3771" i="4"/>
  <c r="R3763" i="4"/>
  <c r="R3755" i="4"/>
  <c r="R3747" i="4"/>
  <c r="R3739" i="4"/>
  <c r="R3731" i="4"/>
  <c r="R3723" i="4"/>
  <c r="R3715" i="4"/>
  <c r="R3707" i="4"/>
  <c r="R3699" i="4"/>
  <c r="R3691" i="4"/>
  <c r="R3683" i="4"/>
  <c r="R4479" i="4"/>
  <c r="R4278" i="4"/>
  <c r="R4214" i="4"/>
  <c r="R4150" i="4"/>
  <c r="J4065" i="4"/>
  <c r="I3899" i="4"/>
  <c r="P3889" i="4"/>
  <c r="P3881" i="4"/>
  <c r="P3873" i="4"/>
  <c r="P3865" i="4"/>
  <c r="P3857" i="4"/>
  <c r="P3849" i="4"/>
  <c r="P3841" i="4"/>
  <c r="P3833" i="4"/>
  <c r="P3825" i="4"/>
  <c r="P3817" i="4"/>
  <c r="P3809" i="4"/>
  <c r="P3801" i="4"/>
  <c r="P3793" i="4"/>
  <c r="P3785" i="4"/>
  <c r="P3777" i="4"/>
  <c r="P3769" i="4"/>
  <c r="P3761" i="4"/>
  <c r="P3753" i="4"/>
  <c r="P3745" i="4"/>
  <c r="P3737" i="4"/>
  <c r="P3729" i="4"/>
  <c r="P3721" i="4"/>
  <c r="R3946" i="4"/>
  <c r="R3917" i="4"/>
  <c r="J3907" i="4"/>
  <c r="R3897" i="4"/>
  <c r="J4332" i="4"/>
  <c r="J4300" i="4"/>
  <c r="J4268" i="4"/>
  <c r="J4236" i="4"/>
  <c r="J4204" i="4"/>
  <c r="J4172" i="4"/>
  <c r="J4140" i="4"/>
  <c r="I4120" i="4"/>
  <c r="P4106" i="4"/>
  <c r="R4095" i="4"/>
  <c r="S4084" i="4"/>
  <c r="P4074" i="4"/>
  <c r="R4063" i="4"/>
  <c r="S4052" i="4"/>
  <c r="P4042" i="4"/>
  <c r="R4031" i="4"/>
  <c r="S4020" i="4"/>
  <c r="P4010" i="4"/>
  <c r="P4001" i="4"/>
  <c r="P3993" i="4"/>
  <c r="P3985" i="4"/>
  <c r="P3977" i="4"/>
  <c r="P3969" i="4"/>
  <c r="P3961" i="4"/>
  <c r="P3953" i="4"/>
  <c r="P3945" i="4"/>
  <c r="P3937" i="4"/>
  <c r="P3929" i="4"/>
  <c r="P3921" i="4"/>
  <c r="P3913" i="4"/>
  <c r="P3905" i="4"/>
  <c r="R4322" i="4"/>
  <c r="R4258" i="4"/>
  <c r="R4194" i="4"/>
  <c r="J4109" i="4"/>
  <c r="J4045" i="4"/>
  <c r="I3895" i="4"/>
  <c r="S3886" i="4"/>
  <c r="S3878" i="4"/>
  <c r="S3870" i="4"/>
  <c r="S3862" i="4"/>
  <c r="S3854" i="4"/>
  <c r="S3846" i="4"/>
  <c r="S3838" i="4"/>
  <c r="S3830" i="4"/>
  <c r="S3822" i="4"/>
  <c r="S3814" i="4"/>
  <c r="S3806" i="4"/>
  <c r="S3798" i="4"/>
  <c r="S3790" i="4"/>
  <c r="S3782" i="4"/>
  <c r="S3774" i="4"/>
  <c r="S3766" i="4"/>
  <c r="S3758" i="4"/>
  <c r="S3750" i="4"/>
  <c r="S3742" i="4"/>
  <c r="S3734" i="4"/>
  <c r="S3726" i="4"/>
  <c r="S3718" i="4"/>
  <c r="S3710" i="4"/>
  <c r="S3702" i="4"/>
  <c r="S3694" i="4"/>
  <c r="S3686" i="4"/>
  <c r="R4124" i="4"/>
  <c r="P4091" i="4"/>
  <c r="P4059" i="4"/>
  <c r="P4027" i="4"/>
  <c r="O3996" i="4"/>
  <c r="O3964" i="4"/>
  <c r="R4501" i="4"/>
  <c r="S4663" i="4"/>
  <c r="R4580" i="4"/>
  <c r="P4498" i="4"/>
  <c r="J4416" i="4"/>
  <c r="R4366" i="4"/>
  <c r="I4246" i="4"/>
  <c r="O4263" i="4"/>
  <c r="O4007" i="4"/>
  <c r="L4238" i="4"/>
  <c r="R4481" i="4"/>
  <c r="O4496" i="4"/>
  <c r="I4435" i="4"/>
  <c r="P4335" i="4"/>
  <c r="P4207" i="4"/>
  <c r="O4258" i="4"/>
  <c r="O4046" i="4"/>
  <c r="O4400" i="4"/>
  <c r="S4321" i="4"/>
  <c r="S4289" i="4"/>
  <c r="S4257" i="4"/>
  <c r="S4225" i="4"/>
  <c r="S4193" i="4"/>
  <c r="S4161" i="4"/>
  <c r="O4535" i="4"/>
  <c r="S4438" i="4"/>
  <c r="S4341" i="4"/>
  <c r="R4404" i="4"/>
  <c r="R4340" i="4"/>
  <c r="P4428" i="4"/>
  <c r="P4396" i="4"/>
  <c r="P4364" i="4"/>
  <c r="O4429" i="4"/>
  <c r="I4329" i="4"/>
  <c r="I4297" i="4"/>
  <c r="I4265" i="4"/>
  <c r="I4233" i="4"/>
  <c r="I4201" i="4"/>
  <c r="I4169" i="4"/>
  <c r="I4137" i="4"/>
  <c r="O4309" i="4"/>
  <c r="O4245" i="4"/>
  <c r="O4181" i="4"/>
  <c r="O4117" i="4"/>
  <c r="O4053" i="4"/>
  <c r="O4414" i="4"/>
  <c r="L4325" i="4"/>
  <c r="L4309" i="4"/>
  <c r="L4293" i="4"/>
  <c r="I4543" i="4"/>
  <c r="O4466" i="4"/>
  <c r="R4411" i="4"/>
  <c r="I4432" i="4"/>
  <c r="I4368" i="4"/>
  <c r="P4332" i="4"/>
  <c r="P4268" i="4"/>
  <c r="P4204" i="4"/>
  <c r="P4140" i="4"/>
  <c r="O4252" i="4"/>
  <c r="O4124" i="4"/>
  <c r="O4428" i="4"/>
  <c r="S4296" i="4"/>
  <c r="S4258" i="4"/>
  <c r="S4226" i="4"/>
  <c r="S4198" i="4"/>
  <c r="S4178" i="4"/>
  <c r="S4156" i="4"/>
  <c r="L4143" i="4"/>
  <c r="S4129" i="4"/>
  <c r="S4113" i="4"/>
  <c r="I4462" i="4"/>
  <c r="S4360" i="4"/>
  <c r="R4391" i="4"/>
  <c r="O4499" i="4"/>
  <c r="I4406" i="4"/>
  <c r="I4358" i="4"/>
  <c r="O4371" i="4"/>
  <c r="P4306" i="4"/>
  <c r="P4258" i="4"/>
  <c r="P4218" i="4"/>
  <c r="P4178" i="4"/>
  <c r="R4480" i="4"/>
  <c r="O4280" i="4"/>
  <c r="O4200" i="4"/>
  <c r="O4104" i="4"/>
  <c r="O4024" i="4"/>
  <c r="S4334" i="4"/>
  <c r="S4286" i="4"/>
  <c r="L4265" i="4"/>
  <c r="L4245" i="4"/>
  <c r="L4221" i="4"/>
  <c r="L4201" i="4"/>
  <c r="L4181" i="4"/>
  <c r="S4158" i="4"/>
  <c r="I4454" i="4"/>
  <c r="S4356" i="4"/>
  <c r="R4387" i="4"/>
  <c r="O4489" i="4"/>
  <c r="I4404" i="4"/>
  <c r="I4356" i="4"/>
  <c r="O4363" i="4"/>
  <c r="P4304" i="4"/>
  <c r="P4256" i="4"/>
  <c r="P4216" i="4"/>
  <c r="P4176" i="4"/>
  <c r="R4472" i="4"/>
  <c r="O4276" i="4"/>
  <c r="O4196" i="4"/>
  <c r="O4100" i="4"/>
  <c r="O4020" i="4"/>
  <c r="S4332" i="4"/>
  <c r="S4284" i="4"/>
  <c r="S4264" i="4"/>
  <c r="S4244" i="4"/>
  <c r="S4220" i="4"/>
  <c r="S4200" i="4"/>
  <c r="S4180" i="4"/>
  <c r="I4478" i="4"/>
  <c r="S4368" i="4"/>
  <c r="R4415" i="4"/>
  <c r="O4521" i="4"/>
  <c r="I4410" i="4"/>
  <c r="I4370" i="4"/>
  <c r="O4387" i="4"/>
  <c r="P4310" i="4"/>
  <c r="P4270" i="4"/>
  <c r="P4222" i="4"/>
  <c r="P4182" i="4"/>
  <c r="P4142" i="4"/>
  <c r="O4288" i="4"/>
  <c r="O4208" i="4"/>
  <c r="O4128" i="4"/>
  <c r="O4032" i="4"/>
  <c r="O4340" i="4"/>
  <c r="S4298" i="4"/>
  <c r="L4267" i="4"/>
  <c r="L4247" i="4"/>
  <c r="L4227" i="4"/>
  <c r="L4203" i="4"/>
  <c r="L4183" i="4"/>
  <c r="L4163" i="4"/>
  <c r="L4567" i="4"/>
  <c r="R4602" i="4"/>
  <c r="O4516" i="4"/>
  <c r="J4562" i="4"/>
  <c r="J4352" i="4"/>
  <c r="P4409" i="4"/>
  <c r="I4198" i="4"/>
  <c r="O4199" i="4"/>
  <c r="L4334" i="4"/>
  <c r="L4206" i="4"/>
  <c r="J4222" i="4"/>
  <c r="S4354" i="4"/>
  <c r="I4403" i="4"/>
  <c r="P4303" i="4"/>
  <c r="P4175" i="4"/>
  <c r="O4194" i="4"/>
  <c r="O4030" i="4"/>
  <c r="O4368" i="4"/>
  <c r="S4313" i="4"/>
  <c r="S4281" i="4"/>
  <c r="S4249" i="4"/>
  <c r="S4217" i="4"/>
  <c r="S4185" i="4"/>
  <c r="P4553" i="4"/>
  <c r="I4488" i="4"/>
  <c r="S4406" i="4"/>
  <c r="J4461" i="4"/>
  <c r="R4388" i="4"/>
  <c r="J4535" i="4"/>
  <c r="P4420" i="4"/>
  <c r="P4388" i="4"/>
  <c r="P4356" i="4"/>
  <c r="O4397" i="4"/>
  <c r="I4321" i="4"/>
  <c r="I4289" i="4"/>
  <c r="I4257" i="4"/>
  <c r="I4225" i="4"/>
  <c r="I4193" i="4"/>
  <c r="I4161" i="4"/>
  <c r="R4474" i="4"/>
  <c r="O4293" i="4"/>
  <c r="O4229" i="4"/>
  <c r="O4165" i="4"/>
  <c r="O4101" i="4"/>
  <c r="O4037" i="4"/>
  <c r="O4382" i="4"/>
  <c r="L4319" i="4"/>
  <c r="L4303" i="4"/>
  <c r="L4287" i="4"/>
  <c r="S4502" i="4"/>
  <c r="S4364" i="4"/>
  <c r="R4363" i="4"/>
  <c r="I4408" i="4"/>
  <c r="I4344" i="4"/>
  <c r="P4308" i="4"/>
  <c r="P4244" i="4"/>
  <c r="P4180" i="4"/>
  <c r="O4332" i="4"/>
  <c r="O4204" i="4"/>
  <c r="O4076" i="4"/>
  <c r="S4336" i="4"/>
  <c r="S4278" i="4"/>
  <c r="S4246" i="4"/>
  <c r="S4214" i="4"/>
  <c r="S4194" i="4"/>
  <c r="S4170" i="4"/>
  <c r="S4153" i="4"/>
  <c r="S4140" i="4"/>
  <c r="S4124" i="4"/>
  <c r="S4608" i="4"/>
  <c r="J4544" i="4"/>
  <c r="J4467" i="4"/>
  <c r="R4375" i="4"/>
  <c r="I4438" i="4"/>
  <c r="I4390" i="4"/>
  <c r="I4350" i="4"/>
  <c r="S4339" i="4"/>
  <c r="P4290" i="4"/>
  <c r="P4250" i="4"/>
  <c r="P4210" i="4"/>
  <c r="P4162" i="4"/>
  <c r="R4448" i="4"/>
  <c r="O4264" i="4"/>
  <c r="O4168" i="4"/>
  <c r="O4088" i="4"/>
  <c r="O4008" i="4"/>
  <c r="S4318" i="4"/>
  <c r="L4281" i="4"/>
  <c r="L4261" i="4"/>
  <c r="L4237" i="4"/>
  <c r="L4217" i="4"/>
  <c r="L4197" i="4"/>
  <c r="L4173" i="4"/>
  <c r="L4566" i="4"/>
  <c r="O4512" i="4"/>
  <c r="J4459" i="4"/>
  <c r="R4371" i="4"/>
  <c r="I4436" i="4"/>
  <c r="I4388" i="4"/>
  <c r="I4348" i="4"/>
  <c r="P4336" i="4"/>
  <c r="P4288" i="4"/>
  <c r="P4248" i="4"/>
  <c r="P4208" i="4"/>
  <c r="P4160" i="4"/>
  <c r="O4339" i="4"/>
  <c r="O4260" i="4"/>
  <c r="O4164" i="4"/>
  <c r="O4084" i="4"/>
  <c r="R4446" i="4"/>
  <c r="S4316" i="4"/>
  <c r="S4280" i="4"/>
  <c r="S4260" i="4"/>
  <c r="S4236" i="4"/>
  <c r="S4216" i="4"/>
  <c r="S4196" i="4"/>
  <c r="S4172" i="4"/>
  <c r="L4637" i="4"/>
  <c r="S4352" i="4"/>
  <c r="R4383" i="4"/>
  <c r="J4446" i="4"/>
  <c r="I4402" i="4"/>
  <c r="I4354" i="4"/>
  <c r="O4355" i="4"/>
  <c r="P4302" i="4"/>
  <c r="P4254" i="4"/>
  <c r="P4214" i="4"/>
  <c r="P4174" i="4"/>
  <c r="R4464" i="4"/>
  <c r="O4272" i="4"/>
  <c r="O4192" i="4"/>
  <c r="O4096" i="4"/>
  <c r="O4016" i="4"/>
  <c r="S4330" i="4"/>
  <c r="L4283" i="4"/>
  <c r="L4263" i="4"/>
  <c r="L4243" i="4"/>
  <c r="L4219" i="4"/>
  <c r="L4199" i="4"/>
  <c r="L4179" i="4"/>
  <c r="S4168" i="4"/>
  <c r="S4142" i="4"/>
  <c r="L4125" i="4"/>
  <c r="R4331" i="4"/>
  <c r="R4279" i="4"/>
  <c r="J4226" i="4"/>
  <c r="J4162" i="4"/>
  <c r="R4119" i="4"/>
  <c r="L4099" i="4"/>
  <c r="L4083" i="4"/>
  <c r="J4070" i="4"/>
  <c r="I4057" i="4"/>
  <c r="I4041" i="4"/>
  <c r="L4027" i="4"/>
  <c r="J4014" i="4"/>
  <c r="L4000" i="4"/>
  <c r="L3990" i="4"/>
  <c r="L3980" i="4"/>
  <c r="L3968" i="4"/>
  <c r="L3958" i="4"/>
  <c r="L3948" i="4"/>
  <c r="L3936" i="4"/>
  <c r="L3926" i="4"/>
  <c r="L3916" i="4"/>
  <c r="L3904" i="4"/>
  <c r="R4332" i="4"/>
  <c r="R4292" i="4"/>
  <c r="R4244" i="4"/>
  <c r="R4204" i="4"/>
  <c r="R4164" i="4"/>
  <c r="J4124" i="4"/>
  <c r="R4106" i="4"/>
  <c r="P4093" i="4"/>
  <c r="P4077" i="4"/>
  <c r="S4063" i="4"/>
  <c r="R4050" i="4"/>
  <c r="R4034" i="4"/>
  <c r="P4021" i="4"/>
  <c r="S4007" i="4"/>
  <c r="R3995" i="4"/>
  <c r="R3985" i="4"/>
  <c r="R3975" i="4"/>
  <c r="R3963" i="4"/>
  <c r="R3953" i="4"/>
  <c r="R3943" i="4"/>
  <c r="R3931" i="4"/>
  <c r="R3921" i="4"/>
  <c r="L4145" i="4"/>
  <c r="S4123" i="4"/>
  <c r="I4446" i="4"/>
  <c r="R4287" i="4"/>
  <c r="R4223" i="4"/>
  <c r="J4170" i="4"/>
  <c r="R4123" i="4"/>
  <c r="S4098" i="4"/>
  <c r="R4085" i="4"/>
  <c r="P4072" i="4"/>
  <c r="P4056" i="4"/>
  <c r="S4042" i="4"/>
  <c r="R4029" i="4"/>
  <c r="R4013" i="4"/>
  <c r="S4001" i="4"/>
  <c r="S3991" i="4"/>
  <c r="S3979" i="4"/>
  <c r="S3969" i="4"/>
  <c r="S3959" i="4"/>
  <c r="S3947" i="4"/>
  <c r="S3937" i="4"/>
  <c r="S3927" i="4"/>
  <c r="S3915" i="4"/>
  <c r="S3905" i="4"/>
  <c r="R4451" i="4"/>
  <c r="J4291" i="4"/>
  <c r="J4251" i="4"/>
  <c r="J4211" i="4"/>
  <c r="J4163" i="4"/>
  <c r="P4127" i="4"/>
  <c r="L4108" i="4"/>
  <c r="L4092" i="4"/>
  <c r="J4079" i="4"/>
  <c r="I4066" i="4"/>
  <c r="I4050" i="4"/>
  <c r="L4036" i="4"/>
  <c r="J4023" i="4"/>
  <c r="J4007" i="4"/>
  <c r="J3997" i="4"/>
  <c r="J3987" i="4"/>
  <c r="J3975" i="4"/>
  <c r="J3965" i="4"/>
  <c r="J3955" i="4"/>
  <c r="J3943" i="4"/>
  <c r="J3933" i="4"/>
  <c r="J3923" i="4"/>
  <c r="S4147" i="4"/>
  <c r="S4130" i="4"/>
  <c r="S4112" i="4"/>
  <c r="R4295" i="4"/>
  <c r="J4242" i="4"/>
  <c r="R4187" i="4"/>
  <c r="R4127" i="4"/>
  <c r="P4104" i="4"/>
  <c r="J4090" i="4"/>
  <c r="J4074" i="4"/>
  <c r="I4061" i="4"/>
  <c r="L4047" i="4"/>
  <c r="L4031" i="4"/>
  <c r="J4018" i="4"/>
  <c r="L4005" i="4"/>
  <c r="L3993" i="4"/>
  <c r="L3983" i="4"/>
  <c r="L3973" i="4"/>
  <c r="L3961" i="4"/>
  <c r="L3951" i="4"/>
  <c r="L3941" i="4"/>
  <c r="L3929" i="4"/>
  <c r="L3919" i="4"/>
  <c r="L3909" i="4"/>
  <c r="R4475" i="4"/>
  <c r="R4304" i="4"/>
  <c r="R4264" i="4"/>
  <c r="R4216" i="4"/>
  <c r="R4176" i="4"/>
  <c r="R4136" i="4"/>
  <c r="R4110" i="4"/>
  <c r="P4097" i="4"/>
  <c r="S4083" i="4"/>
  <c r="S4067" i="4"/>
  <c r="R4054" i="4"/>
  <c r="P4041" i="4"/>
  <c r="P4025" i="4"/>
  <c r="S4011" i="4"/>
  <c r="R4000" i="4"/>
  <c r="R3988" i="4"/>
  <c r="R3978" i="4"/>
  <c r="R3968" i="4"/>
  <c r="R3956" i="4"/>
  <c r="S4154" i="4"/>
  <c r="S4136" i="4"/>
  <c r="L4115" i="4"/>
  <c r="J4314" i="4"/>
  <c r="R4259" i="4"/>
  <c r="R4195" i="4"/>
  <c r="J4154" i="4"/>
  <c r="J4121" i="4"/>
  <c r="S4102" i="4"/>
  <c r="P4092" i="4"/>
  <c r="R4081" i="4"/>
  <c r="S4070" i="4"/>
  <c r="P4060" i="4"/>
  <c r="R4049" i="4"/>
  <c r="S4038" i="4"/>
  <c r="P4028" i="4"/>
  <c r="R4017" i="4"/>
  <c r="S4006" i="4"/>
  <c r="S3998" i="4"/>
  <c r="S3990" i="4"/>
  <c r="S3982" i="4"/>
  <c r="S3974" i="4"/>
  <c r="S3966" i="4"/>
  <c r="S3958" i="4"/>
  <c r="S3950" i="4"/>
  <c r="S3942" i="4"/>
  <c r="S3934" i="4"/>
  <c r="S3926" i="4"/>
  <c r="S3918" i="4"/>
  <c r="S3910" i="4"/>
  <c r="S3902" i="4"/>
  <c r="J4335" i="4"/>
  <c r="J4303" i="4"/>
  <c r="J4271" i="4"/>
  <c r="J4239" i="4"/>
  <c r="J4207" i="4"/>
  <c r="J4175" i="4"/>
  <c r="J4143" i="4"/>
  <c r="I4121" i="4"/>
  <c r="J4107" i="4"/>
  <c r="L4096" i="4"/>
  <c r="I4086" i="4"/>
  <c r="J4075" i="4"/>
  <c r="L4064" i="4"/>
  <c r="I4054" i="4"/>
  <c r="J4043" i="4"/>
  <c r="L4032" i="4"/>
  <c r="I4022" i="4"/>
  <c r="J4011" i="4"/>
  <c r="J4002" i="4"/>
  <c r="J3994" i="4"/>
  <c r="J3986" i="4"/>
  <c r="J3978" i="4"/>
  <c r="J3970" i="4"/>
  <c r="J3962" i="4"/>
  <c r="J3954" i="4"/>
  <c r="J3946" i="4"/>
  <c r="J3938" i="4"/>
  <c r="J3930" i="4"/>
  <c r="J3922" i="4"/>
  <c r="J3914" i="4"/>
  <c r="J3906" i="4"/>
  <c r="R3940" i="4"/>
  <c r="R3915" i="4"/>
  <c r="J3905" i="4"/>
  <c r="J3896" i="4"/>
  <c r="R4325" i="4"/>
  <c r="R4293" i="4"/>
  <c r="R4261" i="4"/>
  <c r="R4229" i="4"/>
  <c r="R4197" i="4"/>
  <c r="R4165" i="4"/>
  <c r="R4133" i="4"/>
  <c r="R4117" i="4"/>
  <c r="J4104" i="4"/>
  <c r="L4093" i="4"/>
  <c r="I4083" i="4"/>
  <c r="J4072" i="4"/>
  <c r="L4061" i="4"/>
  <c r="I4051" i="4"/>
  <c r="J4040" i="4"/>
  <c r="L4029" i="4"/>
  <c r="I4019" i="4"/>
  <c r="J4008" i="4"/>
  <c r="I4000" i="4"/>
  <c r="I3992" i="4"/>
  <c r="I3984" i="4"/>
  <c r="I3976" i="4"/>
  <c r="I3968" i="4"/>
  <c r="I3960" i="4"/>
  <c r="I3952" i="4"/>
  <c r="I3944" i="4"/>
  <c r="I3936" i="4"/>
  <c r="I3928" i="4"/>
  <c r="I3920" i="4"/>
  <c r="I3912" i="4"/>
  <c r="I3904" i="4"/>
  <c r="J4309" i="4"/>
  <c r="J4245" i="4"/>
  <c r="J4181" i="4"/>
  <c r="R4096" i="4"/>
  <c r="R4032" i="4"/>
  <c r="L3893" i="4"/>
  <c r="L3885" i="4"/>
  <c r="L3877" i="4"/>
  <c r="L3869" i="4"/>
  <c r="L3861" i="4"/>
  <c r="L3853" i="4"/>
  <c r="L3845" i="4"/>
  <c r="L3837" i="4"/>
  <c r="L3829" i="4"/>
  <c r="L3821" i="4"/>
  <c r="L3813" i="4"/>
  <c r="L3805" i="4"/>
  <c r="L3797" i="4"/>
  <c r="L3789" i="4"/>
  <c r="L3781" i="4"/>
  <c r="L3773" i="4"/>
  <c r="L3765" i="4"/>
  <c r="L3757" i="4"/>
  <c r="L3749" i="4"/>
  <c r="L3741" i="4"/>
  <c r="L3733" i="4"/>
  <c r="L3725" i="4"/>
  <c r="L3717" i="4"/>
  <c r="L3709" i="4"/>
  <c r="L3701" i="4"/>
  <c r="L3693" i="4"/>
  <c r="L3685" i="4"/>
  <c r="J4118" i="4"/>
  <c r="L4086" i="4"/>
  <c r="L4054" i="4"/>
  <c r="L4022" i="4"/>
  <c r="O3990" i="4"/>
  <c r="O3958" i="4"/>
  <c r="O3926" i="4"/>
  <c r="P3897" i="4"/>
  <c r="R3887" i="4"/>
  <c r="R3879" i="4"/>
  <c r="R3871" i="4"/>
  <c r="R3863" i="4"/>
  <c r="R3855" i="4"/>
  <c r="R3847" i="4"/>
  <c r="R3839" i="4"/>
  <c r="R3831" i="4"/>
  <c r="R3823" i="4"/>
  <c r="R3815" i="4"/>
  <c r="R3807" i="4"/>
  <c r="R3799" i="4"/>
  <c r="R3791" i="4"/>
  <c r="R3783" i="4"/>
  <c r="R3775" i="4"/>
  <c r="R3767" i="4"/>
  <c r="R3759" i="4"/>
  <c r="R3751" i="4"/>
  <c r="R3743" i="4"/>
  <c r="R3735" i="4"/>
  <c r="R3727" i="4"/>
  <c r="R3719" i="4"/>
  <c r="R3711" i="4"/>
  <c r="R3703" i="4"/>
  <c r="R3695" i="4"/>
  <c r="R3687" i="4"/>
  <c r="R3679" i="4"/>
  <c r="R4310" i="4"/>
  <c r="R4246" i="4"/>
  <c r="R4182" i="4"/>
  <c r="J4097" i="4"/>
  <c r="J4033" i="4"/>
  <c r="P3893" i="4"/>
  <c r="P3885" i="4"/>
  <c r="P3877" i="4"/>
  <c r="P3869" i="4"/>
  <c r="P3861" i="4"/>
  <c r="P3853" i="4"/>
  <c r="P3845" i="4"/>
  <c r="P3837" i="4"/>
  <c r="P3829" i="4"/>
  <c r="P3821" i="4"/>
  <c r="P3813" i="4"/>
  <c r="P3805" i="4"/>
  <c r="P3797" i="4"/>
  <c r="P3789" i="4"/>
  <c r="P3781" i="4"/>
  <c r="P3773" i="4"/>
  <c r="P3765" i="4"/>
  <c r="P3757" i="4"/>
  <c r="P3749" i="4"/>
  <c r="P3741" i="4"/>
  <c r="P3733" i="4"/>
  <c r="P3725" i="4"/>
  <c r="P3717" i="4"/>
  <c r="R3930" i="4"/>
  <c r="R3912" i="4"/>
  <c r="R3901" i="4"/>
  <c r="R4477" i="4"/>
  <c r="J4316" i="4"/>
  <c r="J4284" i="4"/>
  <c r="J4252" i="4"/>
  <c r="J4220" i="4"/>
  <c r="J4188" i="4"/>
  <c r="J4156" i="4"/>
  <c r="I4128" i="4"/>
  <c r="I4112" i="4"/>
  <c r="S4100" i="4"/>
  <c r="P4090" i="4"/>
  <c r="R4079" i="4"/>
  <c r="S4068" i="4"/>
  <c r="P4058" i="4"/>
  <c r="R4047" i="4"/>
  <c r="S4036" i="4"/>
  <c r="P4026" i="4"/>
  <c r="R4015" i="4"/>
  <c r="P4005" i="4"/>
  <c r="P3997" i="4"/>
  <c r="P3989" i="4"/>
  <c r="P3981" i="4"/>
  <c r="P3973" i="4"/>
  <c r="P3965" i="4"/>
  <c r="P3957" i="4"/>
  <c r="P3949" i="4"/>
  <c r="P3941" i="4"/>
  <c r="P3933" i="4"/>
  <c r="P3925" i="4"/>
  <c r="P3917" i="4"/>
  <c r="P3909" i="4"/>
  <c r="P3901" i="4"/>
  <c r="R4290" i="4"/>
  <c r="R4226" i="4"/>
  <c r="R4162" i="4"/>
  <c r="J4077" i="4"/>
  <c r="J4013" i="4"/>
  <c r="S3890" i="4"/>
  <c r="S3882" i="4"/>
  <c r="S3874" i="4"/>
  <c r="P4609" i="4"/>
  <c r="I4156" i="4"/>
  <c r="P4112" i="4"/>
  <c r="P4143" i="4"/>
  <c r="S4305" i="4"/>
  <c r="S4177" i="4"/>
  <c r="R4436" i="4"/>
  <c r="P4380" i="4"/>
  <c r="I4281" i="4"/>
  <c r="I4153" i="4"/>
  <c r="O4149" i="4"/>
  <c r="L4317" i="4"/>
  <c r="S4348" i="4"/>
  <c r="P4300" i="4"/>
  <c r="O4188" i="4"/>
  <c r="S4242" i="4"/>
  <c r="L4151" i="4"/>
  <c r="S4412" i="4"/>
  <c r="I4382" i="4"/>
  <c r="P4242" i="4"/>
  <c r="O4232" i="4"/>
  <c r="S4310" i="4"/>
  <c r="L4213" i="4"/>
  <c r="S4404" i="4"/>
  <c r="I4380" i="4"/>
  <c r="P4240" i="4"/>
  <c r="O4228" i="4"/>
  <c r="S4308" i="4"/>
  <c r="S4212" i="4"/>
  <c r="J4451" i="4"/>
  <c r="I4346" i="4"/>
  <c r="P4206" i="4"/>
  <c r="O4160" i="4"/>
  <c r="L4279" i="4"/>
  <c r="L4195" i="4"/>
  <c r="L4139" i="4"/>
  <c r="J4322" i="4"/>
  <c r="R4203" i="4"/>
  <c r="I4114" i="4"/>
  <c r="I4081" i="4"/>
  <c r="L4051" i="4"/>
  <c r="I4025" i="4"/>
  <c r="L3998" i="4"/>
  <c r="L3976" i="4"/>
  <c r="L3956" i="4"/>
  <c r="L3934" i="4"/>
  <c r="L3912" i="4"/>
  <c r="R4324" i="4"/>
  <c r="R4236" i="4"/>
  <c r="R4148" i="4"/>
  <c r="S4103" i="4"/>
  <c r="R4074" i="4"/>
  <c r="P4045" i="4"/>
  <c r="R4018" i="4"/>
  <c r="R3993" i="4"/>
  <c r="R3971" i="4"/>
  <c r="R3951" i="4"/>
  <c r="R3929" i="4"/>
  <c r="S4138" i="4"/>
  <c r="J4330" i="4"/>
  <c r="R4211" i="4"/>
  <c r="J4113" i="4"/>
  <c r="S4082" i="4"/>
  <c r="R4053" i="4"/>
  <c r="P4024" i="4"/>
  <c r="S3999" i="4"/>
  <c r="S3977" i="4"/>
  <c r="S3955" i="4"/>
  <c r="S3935" i="4"/>
  <c r="S3913" i="4"/>
  <c r="J4323" i="4"/>
  <c r="J4243" i="4"/>
  <c r="J4155" i="4"/>
  <c r="J4103" i="4"/>
  <c r="L4076" i="4"/>
  <c r="J4047" i="4"/>
  <c r="I4018" i="4"/>
  <c r="J3995" i="4"/>
  <c r="J3973" i="4"/>
  <c r="J3951" i="4"/>
  <c r="J3931" i="4"/>
  <c r="S4144" i="4"/>
  <c r="O4338" i="4"/>
  <c r="R4231" i="4"/>
  <c r="I4122" i="4"/>
  <c r="I4085" i="4"/>
  <c r="J4058" i="4"/>
  <c r="I4029" i="4"/>
  <c r="L4001" i="4"/>
  <c r="L3981" i="4"/>
  <c r="L3959" i="4"/>
  <c r="L3937" i="4"/>
  <c r="L3917" i="4"/>
  <c r="R4336" i="4"/>
  <c r="R4248" i="4"/>
  <c r="R4168" i="4"/>
  <c r="S4107" i="4"/>
  <c r="R4078" i="4"/>
  <c r="S4051" i="4"/>
  <c r="R4022" i="4"/>
  <c r="R3996" i="4"/>
  <c r="R3976" i="4"/>
  <c r="R3954" i="4"/>
  <c r="L4129" i="4"/>
  <c r="R4303" i="4"/>
  <c r="J4186" i="4"/>
  <c r="R4115" i="4"/>
  <c r="R4089" i="4"/>
  <c r="P4068" i="4"/>
  <c r="S4046" i="4"/>
  <c r="R4025" i="4"/>
  <c r="S4004" i="4"/>
  <c r="S3988" i="4"/>
  <c r="S3972" i="4"/>
  <c r="S3956" i="4"/>
  <c r="S3940" i="4"/>
  <c r="S3924" i="4"/>
  <c r="S3908" i="4"/>
  <c r="J4327" i="4"/>
  <c r="J4263" i="4"/>
  <c r="J4199" i="4"/>
  <c r="J4135" i="4"/>
  <c r="L4104" i="4"/>
  <c r="J4083" i="4"/>
  <c r="I4062" i="4"/>
  <c r="L4040" i="4"/>
  <c r="J4019" i="4"/>
  <c r="J4000" i="4"/>
  <c r="J3984" i="4"/>
  <c r="J3968" i="4"/>
  <c r="J3952" i="4"/>
  <c r="J3936" i="4"/>
  <c r="J3920" i="4"/>
  <c r="J3904" i="4"/>
  <c r="J3913" i="4"/>
  <c r="J3894" i="4"/>
  <c r="R4285" i="4"/>
  <c r="R4221" i="4"/>
  <c r="R4157" i="4"/>
  <c r="R4113" i="4"/>
  <c r="I4091" i="4"/>
  <c r="L4069" i="4"/>
  <c r="J4048" i="4"/>
  <c r="I4027" i="4"/>
  <c r="I4006" i="4"/>
  <c r="I3990" i="4"/>
  <c r="I3974" i="4"/>
  <c r="I3958" i="4"/>
  <c r="I3942" i="4"/>
  <c r="I3926" i="4"/>
  <c r="I3910" i="4"/>
  <c r="J4293" i="4"/>
  <c r="J4165" i="4"/>
  <c r="R4016" i="4"/>
  <c r="L3883" i="4"/>
  <c r="L3867" i="4"/>
  <c r="L3851" i="4"/>
  <c r="L3835" i="4"/>
  <c r="L3819" i="4"/>
  <c r="L3803" i="4"/>
  <c r="L3787" i="4"/>
  <c r="L3771" i="4"/>
  <c r="L3755" i="4"/>
  <c r="L3739" i="4"/>
  <c r="L3723" i="4"/>
  <c r="L3707" i="4"/>
  <c r="L3691" i="4"/>
  <c r="L4110" i="4"/>
  <c r="L4046" i="4"/>
  <c r="O3982" i="4"/>
  <c r="O3918" i="4"/>
  <c r="R3885" i="4"/>
  <c r="R3869" i="4"/>
  <c r="R3853" i="4"/>
  <c r="R3837" i="4"/>
  <c r="R3821" i="4"/>
  <c r="R3805" i="4"/>
  <c r="R3789" i="4"/>
  <c r="R3773" i="4"/>
  <c r="R3757" i="4"/>
  <c r="R3741" i="4"/>
  <c r="R3725" i="4"/>
  <c r="R3709" i="4"/>
  <c r="R3693" i="4"/>
  <c r="R3677" i="4"/>
  <c r="R4230" i="4"/>
  <c r="J4081" i="4"/>
  <c r="P3891" i="4"/>
  <c r="P3875" i="4"/>
  <c r="P3859" i="4"/>
  <c r="P3843" i="4"/>
  <c r="P3827" i="4"/>
  <c r="P3811" i="4"/>
  <c r="P3795" i="4"/>
  <c r="P3779" i="4"/>
  <c r="P3763" i="4"/>
  <c r="P3747" i="4"/>
  <c r="P3731" i="4"/>
  <c r="P3715" i="4"/>
  <c r="R3909" i="4"/>
  <c r="J4339" i="4"/>
  <c r="J4276" i="4"/>
  <c r="J4212" i="4"/>
  <c r="J4148" i="4"/>
  <c r="S4108" i="4"/>
  <c r="R4087" i="4"/>
  <c r="P4066" i="4"/>
  <c r="S4044" i="4"/>
  <c r="R4023" i="4"/>
  <c r="P4003" i="4"/>
  <c r="P3987" i="4"/>
  <c r="P3971" i="4"/>
  <c r="P3955" i="4"/>
  <c r="P3939" i="4"/>
  <c r="P3923" i="4"/>
  <c r="P3907" i="4"/>
  <c r="R4274" i="4"/>
  <c r="R4146" i="4"/>
  <c r="S3897" i="4"/>
  <c r="S3880" i="4"/>
  <c r="S3866" i="4"/>
  <c r="S3856" i="4"/>
  <c r="S3844" i="4"/>
  <c r="S3834" i="4"/>
  <c r="S3824" i="4"/>
  <c r="S3812" i="4"/>
  <c r="S3802" i="4"/>
  <c r="S3792" i="4"/>
  <c r="S3780" i="4"/>
  <c r="S3770" i="4"/>
  <c r="S3760" i="4"/>
  <c r="S3748" i="4"/>
  <c r="S3738" i="4"/>
  <c r="S3728" i="4"/>
  <c r="S3716" i="4"/>
  <c r="S3706" i="4"/>
  <c r="S3696" i="4"/>
  <c r="S3684" i="4"/>
  <c r="P4107" i="4"/>
  <c r="P4067" i="4"/>
  <c r="P4019" i="4"/>
  <c r="O3980" i="4"/>
  <c r="O3940" i="4"/>
  <c r="O3908" i="4"/>
  <c r="J3891" i="4"/>
  <c r="J3883" i="4"/>
  <c r="J3875" i="4"/>
  <c r="J3867" i="4"/>
  <c r="J3859" i="4"/>
  <c r="J3851" i="4"/>
  <c r="J3843" i="4"/>
  <c r="J3835" i="4"/>
  <c r="J3827" i="4"/>
  <c r="J3819" i="4"/>
  <c r="J3811" i="4"/>
  <c r="J3803" i="4"/>
  <c r="J3795" i="4"/>
  <c r="J3787" i="4"/>
  <c r="J3779" i="4"/>
  <c r="J3771" i="4"/>
  <c r="J3763" i="4"/>
  <c r="J3755" i="4"/>
  <c r="J3747" i="4"/>
  <c r="R3936" i="4"/>
  <c r="R3914" i="4"/>
  <c r="R3903" i="4"/>
  <c r="J3895" i="4"/>
  <c r="R4321" i="4"/>
  <c r="R4289" i="4"/>
  <c r="R4257" i="4"/>
  <c r="R4225" i="4"/>
  <c r="R4193" i="4"/>
  <c r="R4161" i="4"/>
  <c r="J4131" i="4"/>
  <c r="J4115" i="4"/>
  <c r="I4103" i="4"/>
  <c r="J4092" i="4"/>
  <c r="L4081" i="4"/>
  <c r="I4071" i="4"/>
  <c r="J4060" i="4"/>
  <c r="L4049" i="4"/>
  <c r="I4039" i="4"/>
  <c r="J4028" i="4"/>
  <c r="L4017" i="4"/>
  <c r="I4007" i="4"/>
  <c r="I3999" i="4"/>
  <c r="I3991" i="4"/>
  <c r="I3983" i="4"/>
  <c r="I3975" i="4"/>
  <c r="I3967" i="4"/>
  <c r="I3959" i="4"/>
  <c r="I3951" i="4"/>
  <c r="I3943" i="4"/>
  <c r="I3935" i="4"/>
  <c r="I3927" i="4"/>
  <c r="I3919" i="4"/>
  <c r="I3911" i="4"/>
  <c r="I3903" i="4"/>
  <c r="J4301" i="4"/>
  <c r="J4237" i="4"/>
  <c r="J4173" i="4"/>
  <c r="R4088" i="4"/>
  <c r="R4024" i="4"/>
  <c r="L3892" i="4"/>
  <c r="L3884" i="4"/>
  <c r="L3876" i="4"/>
  <c r="L3868" i="4"/>
  <c r="L3860" i="4"/>
  <c r="L3852" i="4"/>
  <c r="L3844" i="4"/>
  <c r="L3836" i="4"/>
  <c r="L3828" i="4"/>
  <c r="L3820" i="4"/>
  <c r="L3812" i="4"/>
  <c r="L3804" i="4"/>
  <c r="L3796" i="4"/>
  <c r="L3788" i="4"/>
  <c r="L3780" i="4"/>
  <c r="L3772" i="4"/>
  <c r="L3764" i="4"/>
  <c r="L3756" i="4"/>
  <c r="L3748" i="4"/>
  <c r="L3740" i="4"/>
  <c r="L3732" i="4"/>
  <c r="L3724" i="4"/>
  <c r="L3716" i="4"/>
  <c r="L3708" i="4"/>
  <c r="L3700" i="4"/>
  <c r="L3692" i="4"/>
  <c r="L3684" i="4"/>
  <c r="J4114" i="4"/>
  <c r="S4081" i="4"/>
  <c r="S4049" i="4"/>
  <c r="S4017" i="4"/>
  <c r="O3986" i="4"/>
  <c r="O3954" i="4"/>
  <c r="O3922" i="4"/>
  <c r="P3895" i="4"/>
  <c r="R3886" i="4"/>
  <c r="R3878" i="4"/>
  <c r="R3870" i="4"/>
  <c r="R3862" i="4"/>
  <c r="R3854" i="4"/>
  <c r="R3846" i="4"/>
  <c r="R3838" i="4"/>
  <c r="R3830" i="4"/>
  <c r="R3822" i="4"/>
  <c r="R3814" i="4"/>
  <c r="R3806" i="4"/>
  <c r="R3798" i="4"/>
  <c r="R3790" i="4"/>
  <c r="R3782" i="4"/>
  <c r="R3774" i="4"/>
  <c r="R3766" i="4"/>
  <c r="R3758" i="4"/>
  <c r="R3750" i="4"/>
  <c r="R3742" i="4"/>
  <c r="R3734" i="4"/>
  <c r="R3726" i="4"/>
  <c r="R3718" i="4"/>
  <c r="R3710" i="4"/>
  <c r="R3702" i="4"/>
  <c r="R3694" i="4"/>
  <c r="R3686" i="4"/>
  <c r="R3678" i="4"/>
  <c r="R4302" i="4"/>
  <c r="R4238" i="4"/>
  <c r="R4174" i="4"/>
  <c r="J4089" i="4"/>
  <c r="J4025" i="4"/>
  <c r="P3892" i="4"/>
  <c r="P3884" i="4"/>
  <c r="P3876" i="4"/>
  <c r="P3868" i="4"/>
  <c r="P3860" i="4"/>
  <c r="P3852" i="4"/>
  <c r="P3844" i="4"/>
  <c r="P3836" i="4"/>
  <c r="P3828" i="4"/>
  <c r="P3820" i="4"/>
  <c r="P3812" i="4"/>
  <c r="P3804" i="4"/>
  <c r="P3796" i="4"/>
  <c r="P3788" i="4"/>
  <c r="P3780" i="4"/>
  <c r="P3772" i="4"/>
  <c r="P3764" i="4"/>
  <c r="P3756" i="4"/>
  <c r="P3748" i="4"/>
  <c r="P3740" i="4"/>
  <c r="P3732" i="4"/>
  <c r="R3926" i="4"/>
  <c r="J3911" i="4"/>
  <c r="R3900" i="4"/>
  <c r="R4461" i="4"/>
  <c r="J4312" i="4"/>
  <c r="J4280" i="4"/>
  <c r="J4248" i="4"/>
  <c r="J4216" i="4"/>
  <c r="J4184" i="4"/>
  <c r="J4152" i="4"/>
  <c r="P4126" i="4"/>
  <c r="P4110" i="4"/>
  <c r="R4099" i="4"/>
  <c r="S4088" i="4"/>
  <c r="P4078" i="4"/>
  <c r="R4067" i="4"/>
  <c r="S4056" i="4"/>
  <c r="P4046" i="4"/>
  <c r="R4035" i="4"/>
  <c r="S4024" i="4"/>
  <c r="P4014" i="4"/>
  <c r="P4004" i="4"/>
  <c r="P3996" i="4"/>
  <c r="P3988" i="4"/>
  <c r="P3980" i="4"/>
  <c r="P3972" i="4"/>
  <c r="P3964" i="4"/>
  <c r="P3956" i="4"/>
  <c r="P3948" i="4"/>
  <c r="P3940" i="4"/>
  <c r="P3932" i="4"/>
  <c r="P3924" i="4"/>
  <c r="P3916" i="4"/>
  <c r="P3908" i="4"/>
  <c r="P3900" i="4"/>
  <c r="R4282" i="4"/>
  <c r="R4218" i="4"/>
  <c r="R4154" i="4"/>
  <c r="J4069" i="4"/>
  <c r="P3899" i="4"/>
  <c r="S3889" i="4"/>
  <c r="S3881" i="4"/>
  <c r="S3873" i="4"/>
  <c r="S3865" i="4"/>
  <c r="S3857" i="4"/>
  <c r="S3849" i="4"/>
  <c r="S3841" i="4"/>
  <c r="S3833" i="4"/>
  <c r="S3825" i="4"/>
  <c r="S3817" i="4"/>
  <c r="S3809" i="4"/>
  <c r="S3801" i="4"/>
  <c r="S3793" i="4"/>
  <c r="S3785" i="4"/>
  <c r="S3777" i="4"/>
  <c r="S3769" i="4"/>
  <c r="S3761" i="4"/>
  <c r="S3753" i="4"/>
  <c r="S3745" i="4"/>
  <c r="S3737" i="4"/>
  <c r="S3729" i="4"/>
  <c r="S3721" i="4"/>
  <c r="S3713" i="4"/>
  <c r="S3705" i="4"/>
  <c r="S3697" i="4"/>
  <c r="S3689" i="4"/>
  <c r="R4455" i="4"/>
  <c r="I4104" i="4"/>
  <c r="I4072" i="4"/>
  <c r="I4040" i="4"/>
  <c r="I4008" i="4"/>
  <c r="O3976" i="4"/>
  <c r="O3944" i="4"/>
  <c r="O3912" i="4"/>
  <c r="J3892" i="4"/>
  <c r="J3884" i="4"/>
  <c r="J3876" i="4"/>
  <c r="J3868" i="4"/>
  <c r="J3860" i="4"/>
  <c r="J3852" i="4"/>
  <c r="J3844" i="4"/>
  <c r="J3836" i="4"/>
  <c r="J3828" i="4"/>
  <c r="J3820" i="4"/>
  <c r="J3812" i="4"/>
  <c r="J3804" i="4"/>
  <c r="J3796" i="4"/>
  <c r="J3788" i="4"/>
  <c r="J3780" i="4"/>
  <c r="J3772" i="4"/>
  <c r="J3764" i="4"/>
  <c r="J3756" i="4"/>
  <c r="J3748" i="4"/>
  <c r="J3740" i="4"/>
  <c r="J3732" i="4"/>
  <c r="J3724" i="4"/>
  <c r="J3716" i="4"/>
  <c r="J3708" i="4"/>
  <c r="J3700" i="4"/>
  <c r="J3692" i="4"/>
  <c r="J3684" i="4"/>
  <c r="J3676" i="4"/>
  <c r="J4281" i="4"/>
  <c r="J4217" i="4"/>
  <c r="J4153" i="4"/>
  <c r="R4068" i="4"/>
  <c r="I3900" i="4"/>
  <c r="I3890" i="4"/>
  <c r="I3882" i="4"/>
  <c r="I3874" i="4"/>
  <c r="I3866" i="4"/>
  <c r="I3858" i="4"/>
  <c r="I3850" i="4"/>
  <c r="I3842" i="4"/>
  <c r="I3834" i="4"/>
  <c r="I3826" i="4"/>
  <c r="I3818" i="4"/>
  <c r="I3810" i="4"/>
  <c r="I3802" i="4"/>
  <c r="I3794" i="4"/>
  <c r="I3786" i="4"/>
  <c r="J3741" i="4"/>
  <c r="J3709" i="4"/>
  <c r="J3677" i="4"/>
  <c r="R4076" i="4"/>
  <c r="I3875" i="4"/>
  <c r="I3843" i="4"/>
  <c r="I3811" i="4"/>
  <c r="I3779" i="4"/>
  <c r="I3763" i="4"/>
  <c r="I3747" i="4"/>
  <c r="I3731" i="4"/>
  <c r="I3720" i="4"/>
  <c r="P3710" i="4"/>
  <c r="P3702" i="4"/>
  <c r="P3694" i="4"/>
  <c r="P3686" i="4"/>
  <c r="P3678" i="4"/>
  <c r="P4117" i="4"/>
  <c r="O3989" i="4"/>
  <c r="L3671" i="4"/>
  <c r="L3663" i="4"/>
  <c r="L3655" i="4"/>
  <c r="L3647" i="4"/>
  <c r="L3639" i="4"/>
  <c r="L3631" i="4"/>
  <c r="L3623" i="4"/>
  <c r="L3615" i="4"/>
  <c r="L3607" i="4"/>
  <c r="L3599" i="4"/>
  <c r="L3591" i="4"/>
  <c r="L3583" i="4"/>
  <c r="L3575" i="4"/>
  <c r="L3567" i="4"/>
  <c r="L3559" i="4"/>
  <c r="L3551" i="4"/>
  <c r="L3543" i="4"/>
  <c r="L3535" i="4"/>
  <c r="L3527" i="4"/>
  <c r="L3519" i="4"/>
  <c r="L3511" i="4"/>
  <c r="L3503" i="4"/>
  <c r="L3495" i="4"/>
  <c r="L3487" i="4"/>
  <c r="L3479" i="4"/>
  <c r="L3471" i="4"/>
  <c r="L3463" i="4"/>
  <c r="L3455" i="4"/>
  <c r="L3447" i="4"/>
  <c r="L3439" i="4"/>
  <c r="L3431" i="4"/>
  <c r="L3423" i="4"/>
  <c r="L3415" i="4"/>
  <c r="L3407" i="4"/>
  <c r="L3399" i="4"/>
  <c r="L3391" i="4"/>
  <c r="L3383" i="4"/>
  <c r="L3375" i="4"/>
  <c r="L3367" i="4"/>
  <c r="L3359" i="4"/>
  <c r="L3351" i="4"/>
  <c r="L3343" i="4"/>
  <c r="L3335" i="4"/>
  <c r="L3327" i="4"/>
  <c r="L3319" i="4"/>
  <c r="L3311" i="4"/>
  <c r="L3303" i="4"/>
  <c r="L3295" i="4"/>
  <c r="L3287" i="4"/>
  <c r="L3279" i="4"/>
  <c r="L3271" i="4"/>
  <c r="L3263" i="4"/>
  <c r="L3255" i="4"/>
  <c r="L3247" i="4"/>
  <c r="I4119" i="4"/>
  <c r="L4050" i="4"/>
  <c r="O3967" i="4"/>
  <c r="O3883" i="4"/>
  <c r="O3851" i="4"/>
  <c r="O3819" i="4"/>
  <c r="O3787" i="4"/>
  <c r="O3755" i="4"/>
  <c r="O3723" i="4"/>
  <c r="O3691" i="4"/>
  <c r="O3672" i="4"/>
  <c r="J3664" i="4"/>
  <c r="J3656" i="4"/>
  <c r="J3648" i="4"/>
  <c r="J3640" i="4"/>
  <c r="J3632" i="4"/>
  <c r="J3624" i="4"/>
  <c r="J3616" i="4"/>
  <c r="J3608" i="4"/>
  <c r="J3600" i="4"/>
  <c r="J3592" i="4"/>
  <c r="J3584" i="4"/>
  <c r="J3576" i="4"/>
  <c r="J3568" i="4"/>
  <c r="J3560" i="4"/>
  <c r="J3552" i="4"/>
  <c r="J3544" i="4"/>
  <c r="J3536" i="4"/>
  <c r="J3528" i="4"/>
  <c r="J3520" i="4"/>
  <c r="J3512" i="4"/>
  <c r="J3504" i="4"/>
  <c r="J3496" i="4"/>
  <c r="J3488" i="4"/>
  <c r="J3480" i="4"/>
  <c r="J3472" i="4"/>
  <c r="J3464" i="4"/>
  <c r="J3456" i="4"/>
  <c r="J3448" i="4"/>
  <c r="J3440" i="4"/>
  <c r="J3432" i="4"/>
  <c r="J3424" i="4"/>
  <c r="J3416" i="4"/>
  <c r="J3408" i="4"/>
  <c r="J3400" i="4"/>
  <c r="J3392" i="4"/>
  <c r="J3384" i="4"/>
  <c r="J3376" i="4"/>
  <c r="J3368" i="4"/>
  <c r="J3360" i="4"/>
  <c r="J3352" i="4"/>
  <c r="J3344" i="4"/>
  <c r="J3336" i="4"/>
  <c r="J3328" i="4"/>
  <c r="J3320" i="4"/>
  <c r="L4417" i="4"/>
  <c r="O4135" i="4"/>
  <c r="R4417" i="4"/>
  <c r="O4130" i="4"/>
  <c r="S4273" i="4"/>
  <c r="S4576" i="4"/>
  <c r="R4372" i="4"/>
  <c r="P4348" i="4"/>
  <c r="I4249" i="4"/>
  <c r="R4440" i="4"/>
  <c r="O4085" i="4"/>
  <c r="L4301" i="4"/>
  <c r="R4347" i="4"/>
  <c r="P4236" i="4"/>
  <c r="O4060" i="4"/>
  <c r="S4210" i="4"/>
  <c r="L4135" i="4"/>
  <c r="R4439" i="4"/>
  <c r="I4342" i="4"/>
  <c r="P4194" i="4"/>
  <c r="O4152" i="4"/>
  <c r="L4277" i="4"/>
  <c r="L4189" i="4"/>
  <c r="R4435" i="4"/>
  <c r="I4340" i="4"/>
  <c r="P4192" i="4"/>
  <c r="O4148" i="4"/>
  <c r="S4276" i="4"/>
  <c r="S4188" i="4"/>
  <c r="R4367" i="4"/>
  <c r="P4334" i="4"/>
  <c r="P4158" i="4"/>
  <c r="O4080" i="4"/>
  <c r="L4259" i="4"/>
  <c r="L4171" i="4"/>
  <c r="S4128" i="4"/>
  <c r="J4290" i="4"/>
  <c r="R4183" i="4"/>
  <c r="J4102" i="4"/>
  <c r="I4073" i="4"/>
  <c r="J4046" i="4"/>
  <c r="I4017" i="4"/>
  <c r="L3992" i="4"/>
  <c r="L3972" i="4"/>
  <c r="L3950" i="4"/>
  <c r="L3928" i="4"/>
  <c r="L3908" i="4"/>
  <c r="R4300" i="4"/>
  <c r="R4212" i="4"/>
  <c r="R4132" i="4"/>
  <c r="S4095" i="4"/>
  <c r="R4066" i="4"/>
  <c r="S4039" i="4"/>
  <c r="R4010" i="4"/>
  <c r="R3987" i="4"/>
  <c r="R3967" i="4"/>
  <c r="R3945" i="4"/>
  <c r="R3923" i="4"/>
  <c r="L4131" i="4"/>
  <c r="J4298" i="4"/>
  <c r="R4179" i="4"/>
  <c r="I4105" i="4"/>
  <c r="S4074" i="4"/>
  <c r="R4045" i="4"/>
  <c r="S4018" i="4"/>
  <c r="S3993" i="4"/>
  <c r="S3971" i="4"/>
  <c r="S3951" i="4"/>
  <c r="S3929" i="4"/>
  <c r="S3907" i="4"/>
  <c r="J4307" i="4"/>
  <c r="J4219" i="4"/>
  <c r="P4131" i="4"/>
  <c r="I4098" i="4"/>
  <c r="L4068" i="4"/>
  <c r="J4039" i="4"/>
  <c r="L4012" i="4"/>
  <c r="J3989" i="4"/>
  <c r="J3967" i="4"/>
  <c r="J3947" i="4"/>
  <c r="J3925" i="4"/>
  <c r="S4133" i="4"/>
  <c r="R4315" i="4"/>
  <c r="R4199" i="4"/>
  <c r="L4107" i="4"/>
  <c r="L4079" i="4"/>
  <c r="J4050" i="4"/>
  <c r="I4021" i="4"/>
  <c r="L3997" i="4"/>
  <c r="L3975" i="4"/>
  <c r="L3953" i="4"/>
  <c r="L3933" i="4"/>
  <c r="L3911" i="4"/>
  <c r="R4312" i="4"/>
  <c r="R4232" i="4"/>
  <c r="R4144" i="4"/>
  <c r="S4099" i="4"/>
  <c r="P4073" i="4"/>
  <c r="S4043" i="4"/>
  <c r="R4014" i="4"/>
  <c r="R3992" i="4"/>
  <c r="R3970" i="4"/>
  <c r="S4157" i="4"/>
  <c r="S4122" i="4"/>
  <c r="R4271" i="4"/>
  <c r="R4163" i="4"/>
  <c r="S4106" i="4"/>
  <c r="P4084" i="4"/>
  <c r="S4062" i="4"/>
  <c r="R4041" i="4"/>
  <c r="P4020" i="4"/>
  <c r="S4000" i="4"/>
  <c r="S3984" i="4"/>
  <c r="S3968" i="4"/>
  <c r="S3952" i="4"/>
  <c r="S3936" i="4"/>
  <c r="S3920" i="4"/>
  <c r="S3904" i="4"/>
  <c r="J4311" i="4"/>
  <c r="J4247" i="4"/>
  <c r="J4183" i="4"/>
  <c r="I4125" i="4"/>
  <c r="J4099" i="4"/>
  <c r="I4078" i="4"/>
  <c r="L4056" i="4"/>
  <c r="J4035" i="4"/>
  <c r="I4014" i="4"/>
  <c r="J3996" i="4"/>
  <c r="J3980" i="4"/>
  <c r="J3964" i="4"/>
  <c r="J3948" i="4"/>
  <c r="J3932" i="4"/>
  <c r="J3916" i="4"/>
  <c r="R3948" i="4"/>
  <c r="R3907" i="4"/>
  <c r="R4333" i="4"/>
  <c r="R4269" i="4"/>
  <c r="R4205" i="4"/>
  <c r="R4141" i="4"/>
  <c r="I4107" i="4"/>
  <c r="L4085" i="4"/>
  <c r="J4064" i="4"/>
  <c r="I4043" i="4"/>
  <c r="L4021" i="4"/>
  <c r="I4002" i="4"/>
  <c r="I3986" i="4"/>
  <c r="I3970" i="4"/>
  <c r="I3954" i="4"/>
  <c r="I3938" i="4"/>
  <c r="I3922" i="4"/>
  <c r="I3906" i="4"/>
  <c r="J4261" i="4"/>
  <c r="J4133" i="4"/>
  <c r="S3895" i="4"/>
  <c r="L3879" i="4"/>
  <c r="L3863" i="4"/>
  <c r="L3847" i="4"/>
  <c r="L3831" i="4"/>
  <c r="L3815" i="4"/>
  <c r="L3799" i="4"/>
  <c r="L3783" i="4"/>
  <c r="L3767" i="4"/>
  <c r="L3751" i="4"/>
  <c r="L3735" i="4"/>
  <c r="L3719" i="4"/>
  <c r="L3703" i="4"/>
  <c r="L3687" i="4"/>
  <c r="L4094" i="4"/>
  <c r="L4030" i="4"/>
  <c r="O3966" i="4"/>
  <c r="O3902" i="4"/>
  <c r="R3881" i="4"/>
  <c r="R3865" i="4"/>
  <c r="R3849" i="4"/>
  <c r="R3833" i="4"/>
  <c r="R3817" i="4"/>
  <c r="R3801" i="4"/>
  <c r="R3785" i="4"/>
  <c r="R3769" i="4"/>
  <c r="R3753" i="4"/>
  <c r="R3737" i="4"/>
  <c r="R3721" i="4"/>
  <c r="R3705" i="4"/>
  <c r="R3689" i="4"/>
  <c r="R4326" i="4"/>
  <c r="R4198" i="4"/>
  <c r="J4049" i="4"/>
  <c r="P3887" i="4"/>
  <c r="P3871" i="4"/>
  <c r="P3855" i="4"/>
  <c r="P3839" i="4"/>
  <c r="P3823" i="4"/>
  <c r="P3807" i="4"/>
  <c r="P3791" i="4"/>
  <c r="P3775" i="4"/>
  <c r="P3759" i="4"/>
  <c r="P3743" i="4"/>
  <c r="P3727" i="4"/>
  <c r="R3938" i="4"/>
  <c r="R3904" i="4"/>
  <c r="J4324" i="4"/>
  <c r="J4260" i="4"/>
  <c r="J4196" i="4"/>
  <c r="J4132" i="4"/>
  <c r="R4103" i="4"/>
  <c r="P4082" i="4"/>
  <c r="S4060" i="4"/>
  <c r="R4039" i="4"/>
  <c r="P4018" i="4"/>
  <c r="P3999" i="4"/>
  <c r="P3983" i="4"/>
  <c r="P3967" i="4"/>
  <c r="P3951" i="4"/>
  <c r="P3935" i="4"/>
  <c r="P3919" i="4"/>
  <c r="P3903" i="4"/>
  <c r="R4242" i="4"/>
  <c r="J4093" i="4"/>
  <c r="S3892" i="4"/>
  <c r="S3876" i="4"/>
  <c r="S3864" i="4"/>
  <c r="S3852" i="4"/>
  <c r="S3842" i="4"/>
  <c r="S3832" i="4"/>
  <c r="S3820" i="4"/>
  <c r="S3810" i="4"/>
  <c r="S3800" i="4"/>
  <c r="S3788" i="4"/>
  <c r="S3778" i="4"/>
  <c r="S3768" i="4"/>
  <c r="S3756" i="4"/>
  <c r="S3746" i="4"/>
  <c r="S3736" i="4"/>
  <c r="S3724" i="4"/>
  <c r="S3714" i="4"/>
  <c r="S3704" i="4"/>
  <c r="S3692" i="4"/>
  <c r="S3682" i="4"/>
  <c r="P4099" i="4"/>
  <c r="P4051" i="4"/>
  <c r="P4011" i="4"/>
  <c r="O3972" i="4"/>
  <c r="O3932" i="4"/>
  <c r="O3900" i="4"/>
  <c r="J3889" i="4"/>
  <c r="J3881" i="4"/>
  <c r="J3873" i="4"/>
  <c r="J3865" i="4"/>
  <c r="J3857" i="4"/>
  <c r="J3849" i="4"/>
  <c r="J3841" i="4"/>
  <c r="J3833" i="4"/>
  <c r="J3825" i="4"/>
  <c r="J3817" i="4"/>
  <c r="J3809" i="4"/>
  <c r="J3801" i="4"/>
  <c r="J3793" i="4"/>
  <c r="J3785" i="4"/>
  <c r="J3777" i="4"/>
  <c r="J3769" i="4"/>
  <c r="J3761" i="4"/>
  <c r="J3753" i="4"/>
  <c r="J3745" i="4"/>
  <c r="R3928" i="4"/>
  <c r="R3911" i="4"/>
  <c r="J3901" i="4"/>
  <c r="R4469" i="4"/>
  <c r="R4313" i="4"/>
  <c r="R4281" i="4"/>
  <c r="R4249" i="4"/>
  <c r="R4217" i="4"/>
  <c r="R4185" i="4"/>
  <c r="R4153" i="4"/>
  <c r="J4127" i="4"/>
  <c r="J4111" i="4"/>
  <c r="J4100" i="4"/>
  <c r="L4089" i="4"/>
  <c r="I4079" i="4"/>
  <c r="J4068" i="4"/>
  <c r="L4057" i="4"/>
  <c r="I4047" i="4"/>
  <c r="J4036" i="4"/>
  <c r="L4025" i="4"/>
  <c r="I4015" i="4"/>
  <c r="I4005" i="4"/>
  <c r="I3997" i="4"/>
  <c r="I3989" i="4"/>
  <c r="I3981" i="4"/>
  <c r="I3973" i="4"/>
  <c r="I3965" i="4"/>
  <c r="I3957" i="4"/>
  <c r="I3949" i="4"/>
  <c r="I3941" i="4"/>
  <c r="I3933" i="4"/>
  <c r="I3925" i="4"/>
  <c r="I3917" i="4"/>
  <c r="I3909" i="4"/>
  <c r="I3901" i="4"/>
  <c r="J4285" i="4"/>
  <c r="J4221" i="4"/>
  <c r="J4157" i="4"/>
  <c r="R4072" i="4"/>
  <c r="R4008" i="4"/>
  <c r="L3890" i="4"/>
  <c r="L3882" i="4"/>
  <c r="L3874" i="4"/>
  <c r="L3866" i="4"/>
  <c r="L3858" i="4"/>
  <c r="L3850" i="4"/>
  <c r="L3842" i="4"/>
  <c r="L3834" i="4"/>
  <c r="L3826" i="4"/>
  <c r="L3818" i="4"/>
  <c r="L3810" i="4"/>
  <c r="L3802" i="4"/>
  <c r="L3794" i="4"/>
  <c r="L3786" i="4"/>
  <c r="L3778" i="4"/>
  <c r="L3770" i="4"/>
  <c r="L3762" i="4"/>
  <c r="L3754" i="4"/>
  <c r="L3746" i="4"/>
  <c r="L3738" i="4"/>
  <c r="L3730" i="4"/>
  <c r="L3722" i="4"/>
  <c r="L3714" i="4"/>
  <c r="L3706" i="4"/>
  <c r="L3698" i="4"/>
  <c r="L3690" i="4"/>
  <c r="L3682" i="4"/>
  <c r="S4105" i="4"/>
  <c r="S4073" i="4"/>
  <c r="S4041" i="4"/>
  <c r="S4009" i="4"/>
  <c r="O3978" i="4"/>
  <c r="O3946" i="4"/>
  <c r="O3914" i="4"/>
  <c r="R3892" i="4"/>
  <c r="R3884" i="4"/>
  <c r="R3876" i="4"/>
  <c r="R3868" i="4"/>
  <c r="R3860" i="4"/>
  <c r="R3852" i="4"/>
  <c r="R3844" i="4"/>
  <c r="R3836" i="4"/>
  <c r="R3828" i="4"/>
  <c r="R3820" i="4"/>
  <c r="R3812" i="4"/>
  <c r="R3804" i="4"/>
  <c r="R3796" i="4"/>
  <c r="R3788" i="4"/>
  <c r="R3780" i="4"/>
  <c r="R3772" i="4"/>
  <c r="R3764" i="4"/>
  <c r="R3756" i="4"/>
  <c r="R3748" i="4"/>
  <c r="R3740" i="4"/>
  <c r="R3732" i="4"/>
  <c r="R3724" i="4"/>
  <c r="R3716" i="4"/>
  <c r="R3708" i="4"/>
  <c r="R3700" i="4"/>
  <c r="R3692" i="4"/>
  <c r="R3684" i="4"/>
  <c r="R3676" i="4"/>
  <c r="R4286" i="4"/>
  <c r="R4222" i="4"/>
  <c r="R4158" i="4"/>
  <c r="J4073" i="4"/>
  <c r="J4009" i="4"/>
  <c r="P3890" i="4"/>
  <c r="P3882" i="4"/>
  <c r="P3874" i="4"/>
  <c r="P3866" i="4"/>
  <c r="P3858" i="4"/>
  <c r="P3850" i="4"/>
  <c r="P3842" i="4"/>
  <c r="P3834" i="4"/>
  <c r="P3826" i="4"/>
  <c r="P3818" i="4"/>
  <c r="P3810" i="4"/>
  <c r="P3802" i="4"/>
  <c r="P3794" i="4"/>
  <c r="P3786" i="4"/>
  <c r="P3778" i="4"/>
  <c r="P3770" i="4"/>
  <c r="P3762" i="4"/>
  <c r="P3754" i="4"/>
  <c r="P3746" i="4"/>
  <c r="P3738" i="4"/>
  <c r="P3730" i="4"/>
  <c r="R3919" i="4"/>
  <c r="R3908" i="4"/>
  <c r="R3898" i="4"/>
  <c r="J4336" i="4"/>
  <c r="J4304" i="4"/>
  <c r="J4272" i="4"/>
  <c r="J4240" i="4"/>
  <c r="J4208" i="4"/>
  <c r="J4176" i="4"/>
  <c r="J4144" i="4"/>
  <c r="P4122" i="4"/>
  <c r="R4107" i="4"/>
  <c r="S4096" i="4"/>
  <c r="P4086" i="4"/>
  <c r="R4075" i="4"/>
  <c r="S4064" i="4"/>
  <c r="P4054" i="4"/>
  <c r="R4043" i="4"/>
  <c r="S4032" i="4"/>
  <c r="P4022" i="4"/>
  <c r="R4011" i="4"/>
  <c r="P4002" i="4"/>
  <c r="P3994" i="4"/>
  <c r="P3986" i="4"/>
  <c r="P3978" i="4"/>
  <c r="P3970" i="4"/>
  <c r="P3962" i="4"/>
  <c r="P3954" i="4"/>
  <c r="P3946" i="4"/>
  <c r="P3938" i="4"/>
  <c r="P3930" i="4"/>
  <c r="P3922" i="4"/>
  <c r="P3914" i="4"/>
  <c r="P3906" i="4"/>
  <c r="R4330" i="4"/>
  <c r="R4266" i="4"/>
  <c r="R4202" i="4"/>
  <c r="R4138" i="4"/>
  <c r="J4053" i="4"/>
  <c r="O3896" i="4"/>
  <c r="S3887" i="4"/>
  <c r="S3879" i="4"/>
  <c r="S3871" i="4"/>
  <c r="S3863" i="4"/>
  <c r="S3855" i="4"/>
  <c r="S3847" i="4"/>
  <c r="S3839" i="4"/>
  <c r="S3831" i="4"/>
  <c r="S3823" i="4"/>
  <c r="S3815" i="4"/>
  <c r="S3807" i="4"/>
  <c r="S3799" i="4"/>
  <c r="S3791" i="4"/>
  <c r="S3783" i="4"/>
  <c r="S3775" i="4"/>
  <c r="S3767" i="4"/>
  <c r="S3759" i="4"/>
  <c r="S3751" i="4"/>
  <c r="S3743" i="4"/>
  <c r="S3735" i="4"/>
  <c r="S3727" i="4"/>
  <c r="S3719" i="4"/>
  <c r="S3711" i="4"/>
  <c r="S3703" i="4"/>
  <c r="S3695" i="4"/>
  <c r="S3687" i="4"/>
  <c r="R4128" i="4"/>
  <c r="I4096" i="4"/>
  <c r="I4064" i="4"/>
  <c r="I4032" i="4"/>
  <c r="O4000" i="4"/>
  <c r="O3968" i="4"/>
  <c r="O3936" i="4"/>
  <c r="O3904" i="4"/>
  <c r="J3890" i="4"/>
  <c r="J3882" i="4"/>
  <c r="J3874" i="4"/>
  <c r="J3866" i="4"/>
  <c r="J3858" i="4"/>
  <c r="J3850" i="4"/>
  <c r="J3842" i="4"/>
  <c r="J3834" i="4"/>
  <c r="J3826" i="4"/>
  <c r="J3818" i="4"/>
  <c r="J3810" i="4"/>
  <c r="J3802" i="4"/>
  <c r="J3794" i="4"/>
  <c r="J3786" i="4"/>
  <c r="J3778" i="4"/>
  <c r="J3770" i="4"/>
  <c r="J3762" i="4"/>
  <c r="J3754" i="4"/>
  <c r="J3746" i="4"/>
  <c r="J3738" i="4"/>
  <c r="J3730" i="4"/>
  <c r="J3722" i="4"/>
  <c r="J3714" i="4"/>
  <c r="J3706" i="4"/>
  <c r="J3698" i="4"/>
  <c r="J3690" i="4"/>
  <c r="J3682" i="4"/>
  <c r="J4329" i="4"/>
  <c r="J4265" i="4"/>
  <c r="J4201" i="4"/>
  <c r="J4137" i="4"/>
  <c r="R4052" i="4"/>
  <c r="S3896" i="4"/>
  <c r="I3888" i="4"/>
  <c r="I3880" i="4"/>
  <c r="I3872" i="4"/>
  <c r="I3864" i="4"/>
  <c r="I3856" i="4"/>
  <c r="I3848" i="4"/>
  <c r="I3840" i="4"/>
  <c r="I3832" i="4"/>
  <c r="I3824" i="4"/>
  <c r="I3816" i="4"/>
  <c r="I3808" i="4"/>
  <c r="I3800" i="4"/>
  <c r="I3792" i="4"/>
  <c r="I4513" i="4"/>
  <c r="R4583" i="4"/>
  <c r="L4302" i="4"/>
  <c r="I4371" i="4"/>
  <c r="O4014" i="4"/>
  <c r="S4241" i="4"/>
  <c r="I4456" i="4"/>
  <c r="O4491" i="4"/>
  <c r="O4365" i="4"/>
  <c r="I4217" i="4"/>
  <c r="O4277" i="4"/>
  <c r="O4021" i="4"/>
  <c r="L4285" i="4"/>
  <c r="I4400" i="4"/>
  <c r="P4172" i="4"/>
  <c r="S4328" i="4"/>
  <c r="S4186" i="4"/>
  <c r="S4121" i="4"/>
  <c r="R4359" i="4"/>
  <c r="P4322" i="4"/>
  <c r="P4154" i="4"/>
  <c r="O4072" i="4"/>
  <c r="L4253" i="4"/>
  <c r="L4169" i="4"/>
  <c r="R4355" i="4"/>
  <c r="P4320" i="4"/>
  <c r="P4152" i="4"/>
  <c r="O4068" i="4"/>
  <c r="S4252" i="4"/>
  <c r="J4640" i="4"/>
  <c r="I4434" i="4"/>
  <c r="P4286" i="4"/>
  <c r="O4336" i="4"/>
  <c r="O4436" i="4"/>
  <c r="L4235" i="4"/>
  <c r="L4157" i="4"/>
  <c r="S4117" i="4"/>
  <c r="R4267" i="4"/>
  <c r="R4151" i="4"/>
  <c r="J4094" i="4"/>
  <c r="L4067" i="4"/>
  <c r="J4038" i="4"/>
  <c r="I4009" i="4"/>
  <c r="L3988" i="4"/>
  <c r="L3966" i="4"/>
  <c r="L3944" i="4"/>
  <c r="L3924" i="4"/>
  <c r="L3902" i="4"/>
  <c r="R4276" i="4"/>
  <c r="R4196" i="4"/>
  <c r="J4120" i="4"/>
  <c r="S4087" i="4"/>
  <c r="P4061" i="4"/>
  <c r="S4031" i="4"/>
  <c r="R4003" i="4"/>
  <c r="R3983" i="4"/>
  <c r="R3961" i="4"/>
  <c r="R3939" i="4"/>
  <c r="S4164" i="4"/>
  <c r="S4120" i="4"/>
  <c r="J4266" i="4"/>
  <c r="R4159" i="4"/>
  <c r="P4096" i="4"/>
  <c r="S4066" i="4"/>
  <c r="P4040" i="4"/>
  <c r="S4010" i="4"/>
  <c r="S3987" i="4"/>
  <c r="S3967" i="4"/>
  <c r="S3945" i="4"/>
  <c r="S3923" i="4"/>
  <c r="S3903" i="4"/>
  <c r="J4283" i="4"/>
  <c r="J4195" i="4"/>
  <c r="P4123" i="4"/>
  <c r="I4090" i="4"/>
  <c r="L4060" i="4"/>
  <c r="I4034" i="4"/>
  <c r="J4005" i="4"/>
  <c r="J3983" i="4"/>
  <c r="J3963" i="4"/>
  <c r="J3941" i="4"/>
  <c r="J3919" i="4"/>
  <c r="S4126" i="4"/>
  <c r="R4283" i="4"/>
  <c r="R4167" i="4"/>
  <c r="I4101" i="4"/>
  <c r="L4071" i="4"/>
  <c r="J4042" i="4"/>
  <c r="L4015" i="4"/>
  <c r="L3991" i="4"/>
  <c r="L3969" i="4"/>
  <c r="L3949" i="4"/>
  <c r="L3927" i="4"/>
  <c r="L3905" i="4"/>
  <c r="R4296" i="4"/>
  <c r="R4208" i="4"/>
  <c r="R4126" i="4"/>
  <c r="R4094" i="4"/>
  <c r="P4065" i="4"/>
  <c r="S4035" i="4"/>
  <c r="P4009" i="4"/>
  <c r="R3986" i="4"/>
  <c r="R3964" i="4"/>
  <c r="S4150" i="4"/>
  <c r="S4111" i="4"/>
  <c r="R4239" i="4"/>
  <c r="R4143" i="4"/>
  <c r="P4100" i="4"/>
  <c r="S4078" i="4"/>
  <c r="R4057" i="4"/>
  <c r="P4036" i="4"/>
  <c r="S4014" i="4"/>
  <c r="S3996" i="4"/>
  <c r="S3980" i="4"/>
  <c r="S3964" i="4"/>
  <c r="S3948" i="4"/>
  <c r="S3932" i="4"/>
  <c r="S3916" i="4"/>
  <c r="S3900" i="4"/>
  <c r="J4295" i="4"/>
  <c r="J4231" i="4"/>
  <c r="J4167" i="4"/>
  <c r="I4117" i="4"/>
  <c r="I4094" i="4"/>
  <c r="L4072" i="4"/>
  <c r="J4051" i="4"/>
  <c r="I4030" i="4"/>
  <c r="L4008" i="4"/>
  <c r="J3992" i="4"/>
  <c r="J3976" i="4"/>
  <c r="J3960" i="4"/>
  <c r="J3944" i="4"/>
  <c r="J3928" i="4"/>
  <c r="J3912" i="4"/>
  <c r="R3932" i="4"/>
  <c r="R3902" i="4"/>
  <c r="R4317" i="4"/>
  <c r="R4253" i="4"/>
  <c r="R4189" i="4"/>
  <c r="R4129" i="4"/>
  <c r="L4101" i="4"/>
  <c r="J4080" i="4"/>
  <c r="I4059" i="4"/>
  <c r="L4037" i="4"/>
  <c r="J4016" i="4"/>
  <c r="I3998" i="4"/>
  <c r="I3982" i="4"/>
  <c r="I3966" i="4"/>
  <c r="I3950" i="4"/>
  <c r="I3934" i="4"/>
  <c r="I3918" i="4"/>
  <c r="I3902" i="4"/>
  <c r="J4229" i="4"/>
  <c r="R4080" i="4"/>
  <c r="L3891" i="4"/>
  <c r="L3875" i="4"/>
  <c r="L3859" i="4"/>
  <c r="L3843" i="4"/>
  <c r="L3827" i="4"/>
  <c r="L3811" i="4"/>
  <c r="L3795" i="4"/>
  <c r="L3779" i="4"/>
  <c r="L3763" i="4"/>
  <c r="L3747" i="4"/>
  <c r="L3731" i="4"/>
  <c r="L3715" i="4"/>
  <c r="L3699" i="4"/>
  <c r="L3683" i="4"/>
  <c r="L4078" i="4"/>
  <c r="L4014" i="4"/>
  <c r="O3950" i="4"/>
  <c r="R3893" i="4"/>
  <c r="R3877" i="4"/>
  <c r="R3861" i="4"/>
  <c r="R3845" i="4"/>
  <c r="R3829" i="4"/>
  <c r="R3813" i="4"/>
  <c r="R3797" i="4"/>
  <c r="R3781" i="4"/>
  <c r="R3765" i="4"/>
  <c r="R3749" i="4"/>
  <c r="R3733" i="4"/>
  <c r="R3717" i="4"/>
  <c r="R3701" i="4"/>
  <c r="R3685" i="4"/>
  <c r="R4294" i="4"/>
  <c r="R4166" i="4"/>
  <c r="J4017" i="4"/>
  <c r="P3883" i="4"/>
  <c r="P3867" i="4"/>
  <c r="P3851" i="4"/>
  <c r="P3835" i="4"/>
  <c r="P3819" i="4"/>
  <c r="P3803" i="4"/>
  <c r="P3787" i="4"/>
  <c r="P3771" i="4"/>
  <c r="P3755" i="4"/>
  <c r="P3739" i="4"/>
  <c r="P3723" i="4"/>
  <c r="R3922" i="4"/>
  <c r="R3899" i="4"/>
  <c r="J4308" i="4"/>
  <c r="J4244" i="4"/>
  <c r="J4180" i="4"/>
  <c r="I4124" i="4"/>
  <c r="P4098" i="4"/>
  <c r="S4076" i="4"/>
  <c r="R4055" i="4"/>
  <c r="P4034" i="4"/>
  <c r="S4012" i="4"/>
  <c r="P3995" i="4"/>
  <c r="P3979" i="4"/>
  <c r="P3963" i="4"/>
  <c r="P3947" i="4"/>
  <c r="P3931" i="4"/>
  <c r="P3915" i="4"/>
  <c r="R4463" i="4"/>
  <c r="R4210" i="4"/>
  <c r="J4061" i="4"/>
  <c r="S3888" i="4"/>
  <c r="S3872" i="4"/>
  <c r="S3860" i="4"/>
  <c r="S3850" i="4"/>
  <c r="S3840" i="4"/>
  <c r="S3828" i="4"/>
  <c r="S3818" i="4"/>
  <c r="S3808" i="4"/>
  <c r="S3796" i="4"/>
  <c r="S3786" i="4"/>
  <c r="S3776" i="4"/>
  <c r="S3764" i="4"/>
  <c r="S3754" i="4"/>
  <c r="S3744" i="4"/>
  <c r="S3732" i="4"/>
  <c r="S3722" i="4"/>
  <c r="S3712" i="4"/>
  <c r="S3700" i="4"/>
  <c r="S3690" i="4"/>
  <c r="O4441" i="4"/>
  <c r="P4083" i="4"/>
  <c r="P4043" i="4"/>
  <c r="O4004" i="4"/>
  <c r="O3956" i="4"/>
  <c r="O3924" i="4"/>
  <c r="L3896" i="4"/>
  <c r="J3887" i="4"/>
  <c r="J3879" i="4"/>
  <c r="J3871" i="4"/>
  <c r="J3863" i="4"/>
  <c r="J3855" i="4"/>
  <c r="J3847" i="4"/>
  <c r="J3839" i="4"/>
  <c r="J3831" i="4"/>
  <c r="J3823" i="4"/>
  <c r="J3815" i="4"/>
  <c r="J3807" i="4"/>
  <c r="J3799" i="4"/>
  <c r="J3791" i="4"/>
  <c r="J3783" i="4"/>
  <c r="J3775" i="4"/>
  <c r="J3767" i="4"/>
  <c r="J3759" i="4"/>
  <c r="J3751" i="4"/>
  <c r="J3743" i="4"/>
  <c r="R3920" i="4"/>
  <c r="J3909" i="4"/>
  <c r="J3899" i="4"/>
  <c r="S4337" i="4"/>
  <c r="R4305" i="4"/>
  <c r="R4273" i="4"/>
  <c r="R4241" i="4"/>
  <c r="R4209" i="4"/>
  <c r="R4177" i="4"/>
  <c r="R4145" i="4"/>
  <c r="J4123" i="4"/>
  <c r="J4108" i="4"/>
  <c r="L4097" i="4"/>
  <c r="I4087" i="4"/>
  <c r="J4076" i="4"/>
  <c r="L4065" i="4"/>
  <c r="I4055" i="4"/>
  <c r="J4044" i="4"/>
  <c r="L4033" i="4"/>
  <c r="I4023" i="4"/>
  <c r="J4012" i="4"/>
  <c r="I4003" i="4"/>
  <c r="I3995" i="4"/>
  <c r="I3987" i="4"/>
  <c r="I3979" i="4"/>
  <c r="I3971" i="4"/>
  <c r="I3963" i="4"/>
  <c r="I3955" i="4"/>
  <c r="I3947" i="4"/>
  <c r="I3939" i="4"/>
  <c r="I3931" i="4"/>
  <c r="I3923" i="4"/>
  <c r="I3915" i="4"/>
  <c r="I3907" i="4"/>
  <c r="J4333" i="4"/>
  <c r="J4269" i="4"/>
  <c r="J4205" i="4"/>
  <c r="J4141" i="4"/>
  <c r="R4056" i="4"/>
  <c r="I3897" i="4"/>
  <c r="L3888" i="4"/>
  <c r="L3880" i="4"/>
  <c r="L3872" i="4"/>
  <c r="L3864" i="4"/>
  <c r="L3856" i="4"/>
  <c r="L3848" i="4"/>
  <c r="L3840" i="4"/>
  <c r="L3832" i="4"/>
  <c r="L3824" i="4"/>
  <c r="L3816" i="4"/>
  <c r="L3808" i="4"/>
  <c r="L3800" i="4"/>
  <c r="L3792" i="4"/>
  <c r="L3784" i="4"/>
  <c r="L3776" i="4"/>
  <c r="L3768" i="4"/>
  <c r="L3760" i="4"/>
  <c r="L3752" i="4"/>
  <c r="L3744" i="4"/>
  <c r="L3736" i="4"/>
  <c r="L3728" i="4"/>
  <c r="L3720" i="4"/>
  <c r="L3712" i="4"/>
  <c r="L3704" i="4"/>
  <c r="L3696" i="4"/>
  <c r="L3688" i="4"/>
  <c r="J4130" i="4"/>
  <c r="S4097" i="4"/>
  <c r="S4065" i="4"/>
  <c r="S4033" i="4"/>
  <c r="O4002" i="4"/>
  <c r="O3970" i="4"/>
  <c r="O3938" i="4"/>
  <c r="O3906" i="4"/>
  <c r="R3890" i="4"/>
  <c r="R3882" i="4"/>
  <c r="R3874" i="4"/>
  <c r="R3866" i="4"/>
  <c r="R3858" i="4"/>
  <c r="R3850" i="4"/>
  <c r="R3842" i="4"/>
  <c r="R3834" i="4"/>
  <c r="R3826" i="4"/>
  <c r="R3818" i="4"/>
  <c r="R3810" i="4"/>
  <c r="R3802" i="4"/>
  <c r="R3794" i="4"/>
  <c r="R3786" i="4"/>
  <c r="R3778" i="4"/>
  <c r="R3770" i="4"/>
  <c r="R3762" i="4"/>
  <c r="R3754" i="4"/>
  <c r="R3746" i="4"/>
  <c r="R3738" i="4"/>
  <c r="R3730" i="4"/>
  <c r="R3722" i="4"/>
  <c r="R3714" i="4"/>
  <c r="R3706" i="4"/>
  <c r="R3698" i="4"/>
  <c r="R3690" i="4"/>
  <c r="R3682" i="4"/>
  <c r="R4334" i="4"/>
  <c r="R4270" i="4"/>
  <c r="R4206" i="4"/>
  <c r="R4142" i="4"/>
  <c r="J4057" i="4"/>
  <c r="O3897" i="4"/>
  <c r="P3888" i="4"/>
  <c r="P3880" i="4"/>
  <c r="P3872" i="4"/>
  <c r="P3864" i="4"/>
  <c r="P3856" i="4"/>
  <c r="P3848" i="4"/>
  <c r="P3840" i="4"/>
  <c r="P3832" i="4"/>
  <c r="P3824" i="4"/>
  <c r="P3816" i="4"/>
  <c r="P3808" i="4"/>
  <c r="P3800" i="4"/>
  <c r="P3792" i="4"/>
  <c r="P3784" i="4"/>
  <c r="P3776" i="4"/>
  <c r="P3768" i="4"/>
  <c r="P3760" i="4"/>
  <c r="P3752" i="4"/>
  <c r="P3744" i="4"/>
  <c r="P3736" i="4"/>
  <c r="R3942" i="4"/>
  <c r="R3916" i="4"/>
  <c r="R3905" i="4"/>
  <c r="R3896" i="4"/>
  <c r="J4328" i="4"/>
  <c r="J4296" i="4"/>
  <c r="J4264" i="4"/>
  <c r="J4232" i="4"/>
  <c r="J4200" i="4"/>
  <c r="J4168" i="4"/>
  <c r="J4136" i="4"/>
  <c r="P4118" i="4"/>
  <c r="S4104" i="4"/>
  <c r="P4094" i="4"/>
  <c r="R4083" i="4"/>
  <c r="S4072" i="4"/>
  <c r="P4062" i="4"/>
  <c r="R4051" i="4"/>
  <c r="S4040" i="4"/>
  <c r="P4030" i="4"/>
  <c r="R4019" i="4"/>
  <c r="S4008" i="4"/>
  <c r="P4000" i="4"/>
  <c r="P3992" i="4"/>
  <c r="P3984" i="4"/>
  <c r="P3976" i="4"/>
  <c r="P3968" i="4"/>
  <c r="P3960" i="4"/>
  <c r="P3952" i="4"/>
  <c r="P3944" i="4"/>
  <c r="P3936" i="4"/>
  <c r="P3928" i="4"/>
  <c r="P3920" i="4"/>
  <c r="P3912" i="4"/>
  <c r="P3904" i="4"/>
  <c r="R4314" i="4"/>
  <c r="R4250" i="4"/>
  <c r="R4186" i="4"/>
  <c r="J4101" i="4"/>
  <c r="J4037" i="4"/>
  <c r="S3893" i="4"/>
  <c r="S3885" i="4"/>
  <c r="S3877" i="4"/>
  <c r="S3869" i="4"/>
  <c r="S3861" i="4"/>
  <c r="S3853" i="4"/>
  <c r="S3845" i="4"/>
  <c r="S3837" i="4"/>
  <c r="S3829" i="4"/>
  <c r="S3821" i="4"/>
  <c r="S3813" i="4"/>
  <c r="S3805" i="4"/>
  <c r="S3797" i="4"/>
  <c r="S3789" i="4"/>
  <c r="S3781" i="4"/>
  <c r="S3773" i="4"/>
  <c r="S3765" i="4"/>
  <c r="S3757" i="4"/>
  <c r="S3749" i="4"/>
  <c r="S3741" i="4"/>
  <c r="S3733" i="4"/>
  <c r="S3725" i="4"/>
  <c r="S3717" i="4"/>
  <c r="S3709" i="4"/>
  <c r="S3701" i="4"/>
  <c r="S3693" i="4"/>
  <c r="S3685" i="4"/>
  <c r="R4120" i="4"/>
  <c r="I4088" i="4"/>
  <c r="I4056" i="4"/>
  <c r="I4024" i="4"/>
  <c r="O3992" i="4"/>
  <c r="O3960" i="4"/>
  <c r="O3928" i="4"/>
  <c r="O3898" i="4"/>
  <c r="J3888" i="4"/>
  <c r="J3880" i="4"/>
  <c r="J3872" i="4"/>
  <c r="J3864" i="4"/>
  <c r="J3856" i="4"/>
  <c r="J3848" i="4"/>
  <c r="J3840" i="4"/>
  <c r="J3832" i="4"/>
  <c r="J3824" i="4"/>
  <c r="J3816" i="4"/>
  <c r="J3808" i="4"/>
  <c r="J3800" i="4"/>
  <c r="J3792" i="4"/>
  <c r="J3784" i="4"/>
  <c r="J3776" i="4"/>
  <c r="J3768" i="4"/>
  <c r="J3760" i="4"/>
  <c r="J3752" i="4"/>
  <c r="J3744" i="4"/>
  <c r="J3736" i="4"/>
  <c r="J3728" i="4"/>
  <c r="J3720" i="4"/>
  <c r="J3712" i="4"/>
  <c r="J3704" i="4"/>
  <c r="J3696" i="4"/>
  <c r="J3688" i="4"/>
  <c r="J3680" i="4"/>
  <c r="J4313" i="4"/>
  <c r="J4249" i="4"/>
  <c r="J4185" i="4"/>
  <c r="R4100" i="4"/>
  <c r="R4036" i="4"/>
  <c r="I3894" i="4"/>
  <c r="I3886" i="4"/>
  <c r="I3878" i="4"/>
  <c r="I3870" i="4"/>
  <c r="I3862" i="4"/>
  <c r="I3854" i="4"/>
  <c r="I3846" i="4"/>
  <c r="I3838" i="4"/>
  <c r="I3830" i="4"/>
  <c r="I3822" i="4"/>
  <c r="I3814" i="4"/>
  <c r="I3806" i="4"/>
  <c r="I3798" i="4"/>
  <c r="I3790" i="4"/>
  <c r="I3782" i="4"/>
  <c r="J3725" i="4"/>
  <c r="J3693" i="4"/>
  <c r="J4225" i="4"/>
  <c r="I3891" i="4"/>
  <c r="I3859" i="4"/>
  <c r="I3827" i="4"/>
  <c r="I3795" i="4"/>
  <c r="I3771" i="4"/>
  <c r="I3755" i="4"/>
  <c r="I3739" i="4"/>
  <c r="I3725" i="4"/>
  <c r="P3714" i="4"/>
  <c r="P3706" i="4"/>
  <c r="P3698" i="4"/>
  <c r="P3690" i="4"/>
  <c r="P3682" i="4"/>
  <c r="P3674" i="4"/>
  <c r="S4053" i="4"/>
  <c r="O3925" i="4"/>
  <c r="L3667" i="4"/>
  <c r="L3659" i="4"/>
  <c r="L3651" i="4"/>
  <c r="L3643" i="4"/>
  <c r="L3635" i="4"/>
  <c r="L3627" i="4"/>
  <c r="L3619" i="4"/>
  <c r="L3611" i="4"/>
  <c r="L3603" i="4"/>
  <c r="L3595" i="4"/>
  <c r="L3587" i="4"/>
  <c r="L3579" i="4"/>
  <c r="L3571" i="4"/>
  <c r="L3563" i="4"/>
  <c r="L3555" i="4"/>
  <c r="L3547" i="4"/>
  <c r="L3539" i="4"/>
  <c r="L3531" i="4"/>
  <c r="L3523" i="4"/>
  <c r="L3515" i="4"/>
  <c r="L3507" i="4"/>
  <c r="L3499" i="4"/>
  <c r="L3491" i="4"/>
  <c r="L3483" i="4"/>
  <c r="L3475" i="4"/>
  <c r="L3467" i="4"/>
  <c r="L3459" i="4"/>
  <c r="L3451" i="4"/>
  <c r="L3443" i="4"/>
  <c r="L3435" i="4"/>
  <c r="L3427" i="4"/>
  <c r="L3419" i="4"/>
  <c r="L3411" i="4"/>
  <c r="L3403" i="4"/>
  <c r="L3395" i="4"/>
  <c r="L3387" i="4"/>
  <c r="L3379" i="4"/>
  <c r="L3371" i="4"/>
  <c r="L3363" i="4"/>
  <c r="L3355" i="4"/>
  <c r="L3347" i="4"/>
  <c r="L3339" i="4"/>
  <c r="L3331" i="4"/>
  <c r="L3323" i="4"/>
  <c r="L3315" i="4"/>
  <c r="L3307" i="4"/>
  <c r="L3299" i="4"/>
  <c r="L3291" i="4"/>
  <c r="L3283" i="4"/>
  <c r="L3275" i="4"/>
  <c r="L3267" i="4"/>
  <c r="L3259" i="4"/>
  <c r="L3251" i="4"/>
  <c r="L3243" i="4"/>
  <c r="L4082" i="4"/>
  <c r="L4018" i="4"/>
  <c r="O3903" i="4"/>
  <c r="O3867" i="4"/>
  <c r="O3835" i="4"/>
  <c r="O3803" i="4"/>
  <c r="O3771" i="4"/>
  <c r="O3739" i="4"/>
  <c r="O3707" i="4"/>
  <c r="S3678" i="4"/>
  <c r="J3668" i="4"/>
  <c r="J3660" i="4"/>
  <c r="J3652" i="4"/>
  <c r="J3644" i="4"/>
  <c r="J3636" i="4"/>
  <c r="J3628" i="4"/>
  <c r="J3620" i="4"/>
  <c r="J3612" i="4"/>
  <c r="J3604" i="4"/>
  <c r="J3596" i="4"/>
  <c r="J3588" i="4"/>
  <c r="J3580" i="4"/>
  <c r="J3572" i="4"/>
  <c r="J3564" i="4"/>
  <c r="J3556" i="4"/>
  <c r="J3548" i="4"/>
  <c r="J3540" i="4"/>
  <c r="J3532" i="4"/>
  <c r="J3524" i="4"/>
  <c r="J3516" i="4"/>
  <c r="J3508" i="4"/>
  <c r="J3500" i="4"/>
  <c r="J3492" i="4"/>
  <c r="J3484" i="4"/>
  <c r="J3476" i="4"/>
  <c r="J3468" i="4"/>
  <c r="J3460" i="4"/>
  <c r="J3452" i="4"/>
  <c r="J3444" i="4"/>
  <c r="J3436" i="4"/>
  <c r="J3428" i="4"/>
  <c r="J3420" i="4"/>
  <c r="J3412" i="4"/>
  <c r="J3404" i="4"/>
  <c r="J3396" i="4"/>
  <c r="J3388" i="4"/>
  <c r="J3380" i="4"/>
  <c r="J3372" i="4"/>
  <c r="J3364" i="4"/>
  <c r="J3356" i="4"/>
  <c r="J3348" i="4"/>
  <c r="J3340" i="4"/>
  <c r="J3332" i="4"/>
  <c r="J3324" i="4"/>
  <c r="P4345" i="4"/>
  <c r="S4209" i="4"/>
  <c r="I4185" i="4"/>
  <c r="I4444" i="4"/>
  <c r="L4460" i="4"/>
  <c r="O4388" i="4"/>
  <c r="P4280" i="4"/>
  <c r="O4482" i="4"/>
  <c r="S4314" i="4"/>
  <c r="R4235" i="4"/>
  <c r="J4030" i="4"/>
  <c r="L3940" i="4"/>
  <c r="R4172" i="4"/>
  <c r="S4023" i="4"/>
  <c r="R3935" i="4"/>
  <c r="J4129" i="4"/>
  <c r="S4003" i="4"/>
  <c r="S3919" i="4"/>
  <c r="P4111" i="4"/>
  <c r="J3999" i="4"/>
  <c r="L4155" i="4"/>
  <c r="I4093" i="4"/>
  <c r="L3985" i="4"/>
  <c r="L3901" i="4"/>
  <c r="R4086" i="4"/>
  <c r="R3980" i="4"/>
  <c r="J4218" i="4"/>
  <c r="P4052" i="4"/>
  <c r="S3976" i="4"/>
  <c r="S3912" i="4"/>
  <c r="J4151" i="4"/>
  <c r="I4046" i="4"/>
  <c r="J3972" i="4"/>
  <c r="J3908" i="4"/>
  <c r="R4237" i="4"/>
  <c r="I4075" i="4"/>
  <c r="I3994" i="4"/>
  <c r="I3930" i="4"/>
  <c r="R4048" i="4"/>
  <c r="L3839" i="4"/>
  <c r="L3775" i="4"/>
  <c r="L3711" i="4"/>
  <c r="O3998" i="4"/>
  <c r="R3857" i="4"/>
  <c r="R3793" i="4"/>
  <c r="R3729" i="4"/>
  <c r="R4262" i="4"/>
  <c r="P3863" i="4"/>
  <c r="P3799" i="4"/>
  <c r="P3735" i="4"/>
  <c r="J4292" i="4"/>
  <c r="S4092" i="4"/>
  <c r="R4007" i="4"/>
  <c r="P3943" i="4"/>
  <c r="R4178" i="4"/>
  <c r="S3858" i="4"/>
  <c r="S3816" i="4"/>
  <c r="S3772" i="4"/>
  <c r="S3730" i="4"/>
  <c r="S3688" i="4"/>
  <c r="O3988" i="4"/>
  <c r="J3885" i="4"/>
  <c r="J3853" i="4"/>
  <c r="J3821" i="4"/>
  <c r="J3789" i="4"/>
  <c r="J3757" i="4"/>
  <c r="R3906" i="4"/>
  <c r="R4265" i="4"/>
  <c r="R4137" i="4"/>
  <c r="J4084" i="4"/>
  <c r="L4041" i="4"/>
  <c r="I4001" i="4"/>
  <c r="I3969" i="4"/>
  <c r="I3937" i="4"/>
  <c r="I3905" i="4"/>
  <c r="R4104" i="4"/>
  <c r="L3878" i="4"/>
  <c r="L3846" i="4"/>
  <c r="L3814" i="4"/>
  <c r="L3782" i="4"/>
  <c r="L3750" i="4"/>
  <c r="L3718" i="4"/>
  <c r="L3686" i="4"/>
  <c r="S4025" i="4"/>
  <c r="O3899" i="4"/>
  <c r="R3864" i="4"/>
  <c r="R3832" i="4"/>
  <c r="R3800" i="4"/>
  <c r="R3768" i="4"/>
  <c r="R3736" i="4"/>
  <c r="R3704" i="4"/>
  <c r="R4318" i="4"/>
  <c r="J4041" i="4"/>
  <c r="P3870" i="4"/>
  <c r="P3838" i="4"/>
  <c r="P3806" i="4"/>
  <c r="P3774" i="4"/>
  <c r="P3742" i="4"/>
  <c r="J3903" i="4"/>
  <c r="J4256" i="4"/>
  <c r="P4130" i="4"/>
  <c r="S4080" i="4"/>
  <c r="P4038" i="4"/>
  <c r="P3998" i="4"/>
  <c r="P3966" i="4"/>
  <c r="P3934" i="4"/>
  <c r="P3902" i="4"/>
  <c r="J4085" i="4"/>
  <c r="S3875" i="4"/>
  <c r="S3843" i="4"/>
  <c r="S3811" i="4"/>
  <c r="S3779" i="4"/>
  <c r="S3747" i="4"/>
  <c r="S3715" i="4"/>
  <c r="S3683" i="4"/>
  <c r="I4016" i="4"/>
  <c r="L3894" i="4"/>
  <c r="J3862" i="4"/>
  <c r="J3830" i="4"/>
  <c r="J3798" i="4"/>
  <c r="J3766" i="4"/>
  <c r="J3734" i="4"/>
  <c r="J3702" i="4"/>
  <c r="J4297" i="4"/>
  <c r="R4020" i="4"/>
  <c r="I3868" i="4"/>
  <c r="I3836" i="4"/>
  <c r="I3804" i="4"/>
  <c r="I3780" i="4"/>
  <c r="J3685" i="4"/>
  <c r="I3883" i="4"/>
  <c r="I3819" i="4"/>
  <c r="I3767" i="4"/>
  <c r="I3735" i="4"/>
  <c r="P3712" i="4"/>
  <c r="P3696" i="4"/>
  <c r="P3680" i="4"/>
  <c r="S4021" i="4"/>
  <c r="L3665" i="4"/>
  <c r="L3649" i="4"/>
  <c r="L3633" i="4"/>
  <c r="L3617" i="4"/>
  <c r="L3601" i="4"/>
  <c r="L3585" i="4"/>
  <c r="L3569" i="4"/>
  <c r="L3553" i="4"/>
  <c r="L3537" i="4"/>
  <c r="L3521" i="4"/>
  <c r="L3505" i="4"/>
  <c r="L3489" i="4"/>
  <c r="L3473" i="4"/>
  <c r="L3457" i="4"/>
  <c r="L3441" i="4"/>
  <c r="L3425" i="4"/>
  <c r="L3409" i="4"/>
  <c r="L3393" i="4"/>
  <c r="L3377" i="4"/>
  <c r="L3361" i="4"/>
  <c r="L3345" i="4"/>
  <c r="L3329" i="4"/>
  <c r="L3313" i="4"/>
  <c r="L3297" i="4"/>
  <c r="L3281" i="4"/>
  <c r="L3265" i="4"/>
  <c r="L3249" i="4"/>
  <c r="L4066" i="4"/>
  <c r="O3891" i="4"/>
  <c r="O3827" i="4"/>
  <c r="O3763" i="4"/>
  <c r="O3699" i="4"/>
  <c r="J3666" i="4"/>
  <c r="J3650" i="4"/>
  <c r="J3634" i="4"/>
  <c r="J3618" i="4"/>
  <c r="J3602" i="4"/>
  <c r="J3586" i="4"/>
  <c r="J3570" i="4"/>
  <c r="J3554" i="4"/>
  <c r="J3538" i="4"/>
  <c r="J3522" i="4"/>
  <c r="J3506" i="4"/>
  <c r="J3490" i="4"/>
  <c r="J3474" i="4"/>
  <c r="J3458" i="4"/>
  <c r="J3442" i="4"/>
  <c r="J3426" i="4"/>
  <c r="J3410" i="4"/>
  <c r="J3394" i="4"/>
  <c r="J3378" i="4"/>
  <c r="J3362" i="4"/>
  <c r="J3346" i="4"/>
  <c r="J3330" i="4"/>
  <c r="J3316" i="4"/>
  <c r="J3308" i="4"/>
  <c r="J3300" i="4"/>
  <c r="J3739" i="4"/>
  <c r="J3707" i="4"/>
  <c r="J4337" i="4"/>
  <c r="R4060" i="4"/>
  <c r="I3873" i="4"/>
  <c r="I3841" i="4"/>
  <c r="I3809" i="4"/>
  <c r="I3778" i="4"/>
  <c r="I3762" i="4"/>
  <c r="I3746" i="4"/>
  <c r="I3730" i="4"/>
  <c r="I3719" i="4"/>
  <c r="I3710" i="4"/>
  <c r="I3702" i="4"/>
  <c r="I3694" i="4"/>
  <c r="I3686" i="4"/>
  <c r="I3678" i="4"/>
  <c r="S4109" i="4"/>
  <c r="O3981" i="4"/>
  <c r="S3670" i="4"/>
  <c r="S3662" i="4"/>
  <c r="S3654" i="4"/>
  <c r="S3646" i="4"/>
  <c r="S3638" i="4"/>
  <c r="S3630" i="4"/>
  <c r="S3622" i="4"/>
  <c r="S3614" i="4"/>
  <c r="S3606" i="4"/>
  <c r="S3598" i="4"/>
  <c r="S3590" i="4"/>
  <c r="S3582" i="4"/>
  <c r="S3574" i="4"/>
  <c r="S3566" i="4"/>
  <c r="S3558" i="4"/>
  <c r="S3550" i="4"/>
  <c r="S3542" i="4"/>
  <c r="S3534" i="4"/>
  <c r="S3526" i="4"/>
  <c r="S3518" i="4"/>
  <c r="S3510" i="4"/>
  <c r="S3502" i="4"/>
  <c r="S3494" i="4"/>
  <c r="S3486" i="4"/>
  <c r="S3478" i="4"/>
  <c r="S3470" i="4"/>
  <c r="S3462" i="4"/>
  <c r="S3454" i="4"/>
  <c r="S3446" i="4"/>
  <c r="S3438" i="4"/>
  <c r="S3430" i="4"/>
  <c r="S3422" i="4"/>
  <c r="S3414" i="4"/>
  <c r="S3406" i="4"/>
  <c r="S3398" i="4"/>
  <c r="S3390" i="4"/>
  <c r="S3382" i="4"/>
  <c r="S3374" i="4"/>
  <c r="S3366" i="4"/>
  <c r="S3358" i="4"/>
  <c r="S3350" i="4"/>
  <c r="S3342" i="4"/>
  <c r="S3334" i="4"/>
  <c r="S3326" i="4"/>
  <c r="S3318" i="4"/>
  <c r="S3310" i="4"/>
  <c r="S3302" i="4"/>
  <c r="S3294" i="4"/>
  <c r="S3286" i="4"/>
  <c r="S3278" i="4"/>
  <c r="S3270" i="4"/>
  <c r="S3262" i="4"/>
  <c r="S3254" i="4"/>
  <c r="S3246" i="4"/>
  <c r="I4111" i="4"/>
  <c r="P4047" i="4"/>
  <c r="O3959" i="4"/>
  <c r="O3881" i="4"/>
  <c r="O3849" i="4"/>
  <c r="O3817" i="4"/>
  <c r="O3785" i="4"/>
  <c r="O3753" i="4"/>
  <c r="O3721" i="4"/>
  <c r="O3689" i="4"/>
  <c r="S3671" i="4"/>
  <c r="R3663" i="4"/>
  <c r="R3655" i="4"/>
  <c r="R3647" i="4"/>
  <c r="R3639" i="4"/>
  <c r="R3631" i="4"/>
  <c r="R3623" i="4"/>
  <c r="R3615" i="4"/>
  <c r="R3607" i="4"/>
  <c r="R3599" i="4"/>
  <c r="R3591" i="4"/>
  <c r="R3583" i="4"/>
  <c r="R3575" i="4"/>
  <c r="R3567" i="4"/>
  <c r="R3559" i="4"/>
  <c r="R3551" i="4"/>
  <c r="R3543" i="4"/>
  <c r="R3535" i="4"/>
  <c r="R3527" i="4"/>
  <c r="R3519" i="4"/>
  <c r="R3511" i="4"/>
  <c r="R3503" i="4"/>
  <c r="R3495" i="4"/>
  <c r="R3487" i="4"/>
  <c r="R3479" i="4"/>
  <c r="R3471" i="4"/>
  <c r="R3463" i="4"/>
  <c r="R3455" i="4"/>
  <c r="R3447" i="4"/>
  <c r="R3439" i="4"/>
  <c r="R3431" i="4"/>
  <c r="R3423" i="4"/>
  <c r="R3415" i="4"/>
  <c r="R3407" i="4"/>
  <c r="R3399" i="4"/>
  <c r="R3391" i="4"/>
  <c r="R3383" i="4"/>
  <c r="R3375" i="4"/>
  <c r="R3367" i="4"/>
  <c r="R3359" i="4"/>
  <c r="R3351" i="4"/>
  <c r="R3343" i="4"/>
  <c r="R3335" i="4"/>
  <c r="R3327" i="4"/>
  <c r="J3713" i="4"/>
  <c r="J3681" i="4"/>
  <c r="R4108" i="4"/>
  <c r="I3879" i="4"/>
  <c r="I3847" i="4"/>
  <c r="I3815" i="4"/>
  <c r="I3783" i="4"/>
  <c r="I3765" i="4"/>
  <c r="I3749" i="4"/>
  <c r="I3733" i="4"/>
  <c r="I3721" i="4"/>
  <c r="P3711" i="4"/>
  <c r="P3703" i="4"/>
  <c r="P3695" i="4"/>
  <c r="P3687" i="4"/>
  <c r="P3679" i="4"/>
  <c r="P3671" i="4"/>
  <c r="O4005" i="4"/>
  <c r="L3673" i="4"/>
  <c r="L3664" i="4"/>
  <c r="L3656" i="4"/>
  <c r="L3648" i="4"/>
  <c r="L3640" i="4"/>
  <c r="L3632" i="4"/>
  <c r="L3624" i="4"/>
  <c r="L3616" i="4"/>
  <c r="L3608" i="4"/>
  <c r="L3600" i="4"/>
  <c r="L3592" i="4"/>
  <c r="L3584" i="4"/>
  <c r="L3576" i="4"/>
  <c r="L3568" i="4"/>
  <c r="L3560" i="4"/>
  <c r="L3552" i="4"/>
  <c r="L3544" i="4"/>
  <c r="L3536" i="4"/>
  <c r="L3528" i="4"/>
  <c r="L3520" i="4"/>
  <c r="L3512" i="4"/>
  <c r="L3504" i="4"/>
  <c r="L3496" i="4"/>
  <c r="L3488" i="4"/>
  <c r="L3480" i="4"/>
  <c r="L3472" i="4"/>
  <c r="L3464" i="4"/>
  <c r="L3456" i="4"/>
  <c r="L3448" i="4"/>
  <c r="L3440" i="4"/>
  <c r="L3432" i="4"/>
  <c r="L3424" i="4"/>
  <c r="L3416" i="4"/>
  <c r="L3408" i="4"/>
  <c r="L3400" i="4"/>
  <c r="L3392" i="4"/>
  <c r="L3384" i="4"/>
  <c r="L3376" i="4"/>
  <c r="L3368" i="4"/>
  <c r="L3360" i="4"/>
  <c r="L3352" i="4"/>
  <c r="L3344" i="4"/>
  <c r="L3336" i="4"/>
  <c r="L3328" i="4"/>
  <c r="L3320" i="4"/>
  <c r="L3312" i="4"/>
  <c r="L3304" i="4"/>
  <c r="L3296" i="4"/>
  <c r="L3288" i="4"/>
  <c r="L3280" i="4"/>
  <c r="L3272" i="4"/>
  <c r="L3264" i="4"/>
  <c r="L3256" i="4"/>
  <c r="L3248" i="4"/>
  <c r="L3240" i="4"/>
  <c r="L4058" i="4"/>
  <c r="O3983" i="4"/>
  <c r="O3887" i="4"/>
  <c r="O3855" i="4"/>
  <c r="O3823" i="4"/>
  <c r="O3791" i="4"/>
  <c r="O3759" i="4"/>
  <c r="O3727" i="4"/>
  <c r="O3695" i="4"/>
  <c r="S3673" i="4"/>
  <c r="J3665" i="4"/>
  <c r="J3657" i="4"/>
  <c r="J3649" i="4"/>
  <c r="J3641" i="4"/>
  <c r="J3633" i="4"/>
  <c r="J3625" i="4"/>
  <c r="J3617" i="4"/>
  <c r="J3609" i="4"/>
  <c r="J3601" i="4"/>
  <c r="J3593" i="4"/>
  <c r="J3585" i="4"/>
  <c r="J3577" i="4"/>
  <c r="J3569" i="4"/>
  <c r="J3561" i="4"/>
  <c r="J3553" i="4"/>
  <c r="J3545" i="4"/>
  <c r="J3537" i="4"/>
  <c r="J3529" i="4"/>
  <c r="J3521" i="4"/>
  <c r="J3513" i="4"/>
  <c r="J3505" i="4"/>
  <c r="J3497" i="4"/>
  <c r="J3489" i="4"/>
  <c r="J3481" i="4"/>
  <c r="J3473" i="4"/>
  <c r="J3465" i="4"/>
  <c r="J3457" i="4"/>
  <c r="J3449" i="4"/>
  <c r="J3441" i="4"/>
  <c r="J3433" i="4"/>
  <c r="J3425" i="4"/>
  <c r="J3417" i="4"/>
  <c r="J3409" i="4"/>
  <c r="J3401" i="4"/>
  <c r="J3393" i="4"/>
  <c r="J3385" i="4"/>
  <c r="J3377" i="4"/>
  <c r="J3369" i="4"/>
  <c r="J3361" i="4"/>
  <c r="J3353" i="4"/>
  <c r="J3345" i="4"/>
  <c r="J3337" i="4"/>
  <c r="J3329" i="4"/>
  <c r="J3321" i="4"/>
  <c r="J3313" i="4"/>
  <c r="J3305" i="4"/>
  <c r="J3297" i="4"/>
  <c r="J3289" i="4"/>
  <c r="J3281" i="4"/>
  <c r="J3273" i="4"/>
  <c r="J3265" i="4"/>
  <c r="J3257" i="4"/>
  <c r="J3249" i="4"/>
  <c r="R4471" i="4"/>
  <c r="I4012" i="4"/>
  <c r="J3735" i="4"/>
  <c r="J3703" i="4"/>
  <c r="J4305" i="4"/>
  <c r="R4028" i="4"/>
  <c r="I3869" i="4"/>
  <c r="I3837" i="4"/>
  <c r="I3805" i="4"/>
  <c r="I3776" i="4"/>
  <c r="I3760" i="4"/>
  <c r="I3744" i="4"/>
  <c r="P3728" i="4"/>
  <c r="I3718" i="4"/>
  <c r="I3709" i="4"/>
  <c r="I3701" i="4"/>
  <c r="I3693" i="4"/>
  <c r="I3685" i="4"/>
  <c r="I3677" i="4"/>
  <c r="S4093" i="4"/>
  <c r="O3965" i="4"/>
  <c r="S3669" i="4"/>
  <c r="S3661" i="4"/>
  <c r="S3653" i="4"/>
  <c r="S3645" i="4"/>
  <c r="S3637" i="4"/>
  <c r="S3629" i="4"/>
  <c r="S3621" i="4"/>
  <c r="S3613" i="4"/>
  <c r="S3605" i="4"/>
  <c r="S3597" i="4"/>
  <c r="S3589" i="4"/>
  <c r="S3581" i="4"/>
  <c r="S3573" i="4"/>
  <c r="S3565" i="4"/>
  <c r="S3557" i="4"/>
  <c r="S3549" i="4"/>
  <c r="S3541" i="4"/>
  <c r="S3533" i="4"/>
  <c r="S3525" i="4"/>
  <c r="S3517" i="4"/>
  <c r="S3509" i="4"/>
  <c r="S3501" i="4"/>
  <c r="S3493" i="4"/>
  <c r="S3485" i="4"/>
  <c r="S3477" i="4"/>
  <c r="S3469" i="4"/>
  <c r="S3461" i="4"/>
  <c r="S3453" i="4"/>
  <c r="S3445" i="4"/>
  <c r="S3437" i="4"/>
  <c r="S3429" i="4"/>
  <c r="S3421" i="4"/>
  <c r="S3413" i="4"/>
  <c r="S3405" i="4"/>
  <c r="S3397" i="4"/>
  <c r="S3389" i="4"/>
  <c r="S3381" i="4"/>
  <c r="S3373" i="4"/>
  <c r="S3365" i="4"/>
  <c r="S3357" i="4"/>
  <c r="S3349" i="4"/>
  <c r="S3341" i="4"/>
  <c r="S3333" i="4"/>
  <c r="S3325" i="4"/>
  <c r="S3317" i="4"/>
  <c r="S3309" i="4"/>
  <c r="S3301" i="4"/>
  <c r="S3293" i="4"/>
  <c r="S3285" i="4"/>
  <c r="S3277" i="4"/>
  <c r="S3269" i="4"/>
  <c r="S3261" i="4"/>
  <c r="S3253" i="4"/>
  <c r="S3245" i="4"/>
  <c r="P4103" i="4"/>
  <c r="P4039" i="4"/>
  <c r="O3943" i="4"/>
  <c r="O3877" i="4"/>
  <c r="O3845" i="4"/>
  <c r="O3813" i="4"/>
  <c r="O3781" i="4"/>
  <c r="O3749" i="4"/>
  <c r="O3717" i="4"/>
  <c r="O3685" i="4"/>
  <c r="R3670" i="4"/>
  <c r="R3662" i="4"/>
  <c r="R3654" i="4"/>
  <c r="R3646" i="4"/>
  <c r="R3638" i="4"/>
  <c r="R3630" i="4"/>
  <c r="R3622" i="4"/>
  <c r="R3614" i="4"/>
  <c r="R3606" i="4"/>
  <c r="R3598" i="4"/>
  <c r="R3590" i="4"/>
  <c r="R3582" i="4"/>
  <c r="R3574" i="4"/>
  <c r="R3566" i="4"/>
  <c r="R3558" i="4"/>
  <c r="R3550" i="4"/>
  <c r="R3542" i="4"/>
  <c r="R3534" i="4"/>
  <c r="R3526" i="4"/>
  <c r="R3518" i="4"/>
  <c r="R3510" i="4"/>
  <c r="R3502" i="4"/>
  <c r="R3494" i="4"/>
  <c r="R3486" i="4"/>
  <c r="R3478" i="4"/>
  <c r="R3470" i="4"/>
  <c r="R3462" i="4"/>
  <c r="R3454" i="4"/>
  <c r="R3446" i="4"/>
  <c r="R3438" i="4"/>
  <c r="R3430" i="4"/>
  <c r="R3422" i="4"/>
  <c r="R3414" i="4"/>
  <c r="R3406" i="4"/>
  <c r="R3398" i="4"/>
  <c r="R3390" i="4"/>
  <c r="R3382" i="4"/>
  <c r="R3374" i="4"/>
  <c r="R3366" i="4"/>
  <c r="R3358" i="4"/>
  <c r="R3350" i="4"/>
  <c r="R3342" i="4"/>
  <c r="R3334" i="4"/>
  <c r="R3326" i="4"/>
  <c r="R3318" i="4"/>
  <c r="R3317" i="4"/>
  <c r="R3299" i="4"/>
  <c r="R3286" i="4"/>
  <c r="J3276" i="4"/>
  <c r="R3265" i="4"/>
  <c r="R3254" i="4"/>
  <c r="J3244" i="4"/>
  <c r="I4020" i="4"/>
  <c r="O3676" i="4"/>
  <c r="I3666" i="4"/>
  <c r="I3658" i="4"/>
  <c r="I3650" i="4"/>
  <c r="I3642" i="4"/>
  <c r="I3634" i="4"/>
  <c r="I3626" i="4"/>
  <c r="I3618" i="4"/>
  <c r="I3610" i="4"/>
  <c r="I3602" i="4"/>
  <c r="I3594" i="4"/>
  <c r="I3586" i="4"/>
  <c r="I3578" i="4"/>
  <c r="I3570" i="4"/>
  <c r="L4174" i="4"/>
  <c r="S4374" i="4"/>
  <c r="O4213" i="4"/>
  <c r="O4316" i="4"/>
  <c r="I4422" i="4"/>
  <c r="L4233" i="4"/>
  <c r="O4324" i="4"/>
  <c r="I4386" i="4"/>
  <c r="L4215" i="4"/>
  <c r="J4125" i="4"/>
  <c r="L4004" i="4"/>
  <c r="L3918" i="4"/>
  <c r="P4109" i="4"/>
  <c r="R3999" i="4"/>
  <c r="L4149" i="4"/>
  <c r="P4088" i="4"/>
  <c r="S3983" i="4"/>
  <c r="R4483" i="4"/>
  <c r="I4082" i="4"/>
  <c r="J3979" i="4"/>
  <c r="S4115" i="4"/>
  <c r="L4063" i="4"/>
  <c r="L3965" i="4"/>
  <c r="R4272" i="4"/>
  <c r="P4057" i="4"/>
  <c r="R3960" i="4"/>
  <c r="I4126" i="4"/>
  <c r="S4030" i="4"/>
  <c r="S3960" i="4"/>
  <c r="R4467" i="4"/>
  <c r="I4110" i="4"/>
  <c r="L4024" i="4"/>
  <c r="J3956" i="4"/>
  <c r="R3918" i="4"/>
  <c r="R4173" i="4"/>
  <c r="L4053" i="4"/>
  <c r="I3978" i="4"/>
  <c r="I3914" i="4"/>
  <c r="L3887" i="4"/>
  <c r="L3823" i="4"/>
  <c r="L3759" i="4"/>
  <c r="L3695" i="4"/>
  <c r="O3934" i="4"/>
  <c r="R3841" i="4"/>
  <c r="R3777" i="4"/>
  <c r="R3713" i="4"/>
  <c r="R4134" i="4"/>
  <c r="P3847" i="4"/>
  <c r="P3783" i="4"/>
  <c r="P3719" i="4"/>
  <c r="J4228" i="4"/>
  <c r="R4071" i="4"/>
  <c r="P3991" i="4"/>
  <c r="P3927" i="4"/>
  <c r="J4029" i="4"/>
  <c r="S3848" i="4"/>
  <c r="S3804" i="4"/>
  <c r="S3762" i="4"/>
  <c r="S3720" i="4"/>
  <c r="R4116" i="4"/>
  <c r="O3948" i="4"/>
  <c r="J3877" i="4"/>
  <c r="J3845" i="4"/>
  <c r="J3813" i="4"/>
  <c r="J3781" i="4"/>
  <c r="J3749" i="4"/>
  <c r="J3897" i="4"/>
  <c r="R4233" i="4"/>
  <c r="J4119" i="4"/>
  <c r="L4073" i="4"/>
  <c r="I4031" i="4"/>
  <c r="I3993" i="4"/>
  <c r="I3961" i="4"/>
  <c r="I3929" i="4"/>
  <c r="J4317" i="4"/>
  <c r="R4040" i="4"/>
  <c r="L3870" i="4"/>
  <c r="L3838" i="4"/>
  <c r="L3806" i="4"/>
  <c r="L3774" i="4"/>
  <c r="L3742" i="4"/>
  <c r="L3710" i="4"/>
  <c r="J4122" i="4"/>
  <c r="O3994" i="4"/>
  <c r="R3888" i="4"/>
  <c r="R3856" i="4"/>
  <c r="R3824" i="4"/>
  <c r="R3792" i="4"/>
  <c r="R3760" i="4"/>
  <c r="R3728" i="4"/>
  <c r="R3696" i="4"/>
  <c r="R4254" i="4"/>
  <c r="S3894" i="4"/>
  <c r="P3862" i="4"/>
  <c r="P3830" i="4"/>
  <c r="P3798" i="4"/>
  <c r="P3766" i="4"/>
  <c r="P3734" i="4"/>
  <c r="R3894" i="4"/>
  <c r="J4224" i="4"/>
  <c r="P4114" i="4"/>
  <c r="P4070" i="4"/>
  <c r="R4027" i="4"/>
  <c r="P3990" i="4"/>
  <c r="P3958" i="4"/>
  <c r="P3926" i="4"/>
  <c r="R4298" i="4"/>
  <c r="J4021" i="4"/>
  <c r="S3867" i="4"/>
  <c r="S3835" i="4"/>
  <c r="S3803" i="4"/>
  <c r="S3771" i="4"/>
  <c r="S3739" i="4"/>
  <c r="S3707" i="4"/>
  <c r="R4112" i="4"/>
  <c r="O3984" i="4"/>
  <c r="J3886" i="4"/>
  <c r="J3854" i="4"/>
  <c r="J3822" i="4"/>
  <c r="J3790" i="4"/>
  <c r="J3758" i="4"/>
  <c r="J3726" i="4"/>
  <c r="J3694" i="4"/>
  <c r="J4233" i="4"/>
  <c r="I3892" i="4"/>
  <c r="I3860" i="4"/>
  <c r="I3828" i="4"/>
  <c r="I3796" i="4"/>
  <c r="J3733" i="4"/>
  <c r="J4289" i="4"/>
  <c r="I3867" i="4"/>
  <c r="I3803" i="4"/>
  <c r="I3759" i="4"/>
  <c r="I3728" i="4"/>
  <c r="P3708" i="4"/>
  <c r="P3692" i="4"/>
  <c r="P3676" i="4"/>
  <c r="O3957" i="4"/>
  <c r="L3661" i="4"/>
  <c r="L3645" i="4"/>
  <c r="L3629" i="4"/>
  <c r="L3613" i="4"/>
  <c r="L3597" i="4"/>
  <c r="L3581" i="4"/>
  <c r="L3565" i="4"/>
  <c r="L3549" i="4"/>
  <c r="L3533" i="4"/>
  <c r="L3517" i="4"/>
  <c r="L3501" i="4"/>
  <c r="L3485" i="4"/>
  <c r="L3469" i="4"/>
  <c r="L3453" i="4"/>
  <c r="L3437" i="4"/>
  <c r="L3421" i="4"/>
  <c r="L3405" i="4"/>
  <c r="L3389" i="4"/>
  <c r="L3373" i="4"/>
  <c r="L3357" i="4"/>
  <c r="L3341" i="4"/>
  <c r="L3325" i="4"/>
  <c r="L3309" i="4"/>
  <c r="L3293" i="4"/>
  <c r="L3277" i="4"/>
  <c r="L3261" i="4"/>
  <c r="L3245" i="4"/>
  <c r="L4034" i="4"/>
  <c r="O3875" i="4"/>
  <c r="O3811" i="4"/>
  <c r="O3747" i="4"/>
  <c r="O3683" i="4"/>
  <c r="J3662" i="4"/>
  <c r="J3646" i="4"/>
  <c r="J3630" i="4"/>
  <c r="J3614" i="4"/>
  <c r="J3598" i="4"/>
  <c r="J3582" i="4"/>
  <c r="J3566" i="4"/>
  <c r="J3550" i="4"/>
  <c r="J3534" i="4"/>
  <c r="J3518" i="4"/>
  <c r="J3502" i="4"/>
  <c r="J3486" i="4"/>
  <c r="J3470" i="4"/>
  <c r="J3454" i="4"/>
  <c r="J3438" i="4"/>
  <c r="J3422" i="4"/>
  <c r="J3406" i="4"/>
  <c r="J3390" i="4"/>
  <c r="J3374" i="4"/>
  <c r="J3358" i="4"/>
  <c r="J3342" i="4"/>
  <c r="J3326" i="4"/>
  <c r="J3314" i="4"/>
  <c r="J3306" i="4"/>
  <c r="J3298" i="4"/>
  <c r="J3731" i="4"/>
  <c r="J3699" i="4"/>
  <c r="J4273" i="4"/>
  <c r="I3898" i="4"/>
  <c r="I3865" i="4"/>
  <c r="I3833" i="4"/>
  <c r="I3801" i="4"/>
  <c r="I3774" i="4"/>
  <c r="I3758" i="4"/>
  <c r="I3742" i="4"/>
  <c r="I3727" i="4"/>
  <c r="P3716" i="4"/>
  <c r="I3708" i="4"/>
  <c r="I3700" i="4"/>
  <c r="I3692" i="4"/>
  <c r="I3684" i="4"/>
  <c r="I3676" i="4"/>
  <c r="S4077" i="4"/>
  <c r="O3949" i="4"/>
  <c r="S3668" i="4"/>
  <c r="S3660" i="4"/>
  <c r="S3652" i="4"/>
  <c r="S3644" i="4"/>
  <c r="S3636" i="4"/>
  <c r="S3628" i="4"/>
  <c r="S3620" i="4"/>
  <c r="S3612" i="4"/>
  <c r="S3604" i="4"/>
  <c r="S3596" i="4"/>
  <c r="S3588" i="4"/>
  <c r="S3580" i="4"/>
  <c r="S3572" i="4"/>
  <c r="S3564" i="4"/>
  <c r="S3556" i="4"/>
  <c r="S3548" i="4"/>
  <c r="S3540" i="4"/>
  <c r="S3532" i="4"/>
  <c r="S3524" i="4"/>
  <c r="S3516" i="4"/>
  <c r="S3508" i="4"/>
  <c r="S3500" i="4"/>
  <c r="S3492" i="4"/>
  <c r="S3484" i="4"/>
  <c r="S3476" i="4"/>
  <c r="S3468" i="4"/>
  <c r="S3460" i="4"/>
  <c r="S3452" i="4"/>
  <c r="S3444" i="4"/>
  <c r="S3436" i="4"/>
  <c r="S3428" i="4"/>
  <c r="S3420" i="4"/>
  <c r="S3412" i="4"/>
  <c r="S3404" i="4"/>
  <c r="S3396" i="4"/>
  <c r="S3388" i="4"/>
  <c r="S3380" i="4"/>
  <c r="S3372" i="4"/>
  <c r="S3364" i="4"/>
  <c r="S3356" i="4"/>
  <c r="S3348" i="4"/>
  <c r="S3340" i="4"/>
  <c r="S3332" i="4"/>
  <c r="S3324" i="4"/>
  <c r="S3316" i="4"/>
  <c r="S3308" i="4"/>
  <c r="S3300" i="4"/>
  <c r="S3292" i="4"/>
  <c r="S3284" i="4"/>
  <c r="S3276" i="4"/>
  <c r="S3268" i="4"/>
  <c r="S3260" i="4"/>
  <c r="S3252" i="4"/>
  <c r="S3244" i="4"/>
  <c r="P4095" i="4"/>
  <c r="P4031" i="4"/>
  <c r="O3927" i="4"/>
  <c r="O3873" i="4"/>
  <c r="O3841" i="4"/>
  <c r="O3809" i="4"/>
  <c r="O3777" i="4"/>
  <c r="O3745" i="4"/>
  <c r="O3713" i="4"/>
  <c r="S3681" i="4"/>
  <c r="R3669" i="4"/>
  <c r="R3661" i="4"/>
  <c r="R3653" i="4"/>
  <c r="R3645" i="4"/>
  <c r="R3637" i="4"/>
  <c r="R3629" i="4"/>
  <c r="R3621" i="4"/>
  <c r="R3613" i="4"/>
  <c r="R3605" i="4"/>
  <c r="R3597" i="4"/>
  <c r="R3589" i="4"/>
  <c r="R3581" i="4"/>
  <c r="R3573" i="4"/>
  <c r="R3565" i="4"/>
  <c r="R3557" i="4"/>
  <c r="R3549" i="4"/>
  <c r="R3541" i="4"/>
  <c r="R3533" i="4"/>
  <c r="R3525" i="4"/>
  <c r="R3517" i="4"/>
  <c r="R3509" i="4"/>
  <c r="R3501" i="4"/>
  <c r="R3493" i="4"/>
  <c r="R3485" i="4"/>
  <c r="R3477" i="4"/>
  <c r="R3469" i="4"/>
  <c r="R3461" i="4"/>
  <c r="R3453" i="4"/>
  <c r="R3445" i="4"/>
  <c r="R3437" i="4"/>
  <c r="R3429" i="4"/>
  <c r="R3421" i="4"/>
  <c r="R3413" i="4"/>
  <c r="R3405" i="4"/>
  <c r="R3397" i="4"/>
  <c r="R3389" i="4"/>
  <c r="R3381" i="4"/>
  <c r="R3373" i="4"/>
  <c r="R3365" i="4"/>
  <c r="R3357" i="4"/>
  <c r="R3349" i="4"/>
  <c r="R3341" i="4"/>
  <c r="R3333" i="4"/>
  <c r="J3737" i="4"/>
  <c r="J3705" i="4"/>
  <c r="J4321" i="4"/>
  <c r="R4044" i="4"/>
  <c r="I3871" i="4"/>
  <c r="I3839" i="4"/>
  <c r="I3807" i="4"/>
  <c r="I3777" i="4"/>
  <c r="I3761" i="4"/>
  <c r="I3745" i="4"/>
  <c r="I3729" i="4"/>
  <c r="P3718" i="4"/>
  <c r="P3709" i="4"/>
  <c r="P3701" i="4"/>
  <c r="P3693" i="4"/>
  <c r="P3685" i="4"/>
  <c r="P3677" i="4"/>
  <c r="S4101" i="4"/>
  <c r="O3973" i="4"/>
  <c r="L3670" i="4"/>
  <c r="L3662" i="4"/>
  <c r="L3654" i="4"/>
  <c r="L3646" i="4"/>
  <c r="L3638" i="4"/>
  <c r="L3630" i="4"/>
  <c r="L3622" i="4"/>
  <c r="L3614" i="4"/>
  <c r="L3606" i="4"/>
  <c r="L3598" i="4"/>
  <c r="L3590" i="4"/>
  <c r="L3582" i="4"/>
  <c r="L3574" i="4"/>
  <c r="L3566" i="4"/>
  <c r="L3558" i="4"/>
  <c r="L3550" i="4"/>
  <c r="L3542" i="4"/>
  <c r="L3534" i="4"/>
  <c r="L3526" i="4"/>
  <c r="L3518" i="4"/>
  <c r="L3510" i="4"/>
  <c r="L3502" i="4"/>
  <c r="L3494" i="4"/>
  <c r="L3486" i="4"/>
  <c r="L3478" i="4"/>
  <c r="L3470" i="4"/>
  <c r="L3462" i="4"/>
  <c r="L3454" i="4"/>
  <c r="L3446" i="4"/>
  <c r="L3438" i="4"/>
  <c r="L3430" i="4"/>
  <c r="L3422" i="4"/>
  <c r="L3414" i="4"/>
  <c r="L3406" i="4"/>
  <c r="L3398" i="4"/>
  <c r="L3390" i="4"/>
  <c r="L3382" i="4"/>
  <c r="L3374" i="4"/>
  <c r="L3366" i="4"/>
  <c r="L3358" i="4"/>
  <c r="L3350" i="4"/>
  <c r="L3342" i="4"/>
  <c r="L3334" i="4"/>
  <c r="L3326" i="4"/>
  <c r="L3318" i="4"/>
  <c r="L3310" i="4"/>
  <c r="L3302" i="4"/>
  <c r="L3294" i="4"/>
  <c r="L3286" i="4"/>
  <c r="L3278" i="4"/>
  <c r="L3270" i="4"/>
  <c r="L3262" i="4"/>
  <c r="L3254" i="4"/>
  <c r="L3246" i="4"/>
  <c r="L4106" i="4"/>
  <c r="L4042" i="4"/>
  <c r="O3951" i="4"/>
  <c r="O3879" i="4"/>
  <c r="O3847" i="4"/>
  <c r="O3815" i="4"/>
  <c r="O3783" i="4"/>
  <c r="O3751" i="4"/>
  <c r="O3719" i="4"/>
  <c r="O3687" i="4"/>
  <c r="J3671" i="4"/>
  <c r="J3663" i="4"/>
  <c r="J3655" i="4"/>
  <c r="J3647" i="4"/>
  <c r="J3639" i="4"/>
  <c r="J3631" i="4"/>
  <c r="J3623" i="4"/>
  <c r="J3615" i="4"/>
  <c r="J3607" i="4"/>
  <c r="J3599" i="4"/>
  <c r="J3591" i="4"/>
  <c r="J3583" i="4"/>
  <c r="J3575" i="4"/>
  <c r="J3567" i="4"/>
  <c r="J3559" i="4"/>
  <c r="J3551" i="4"/>
  <c r="J3543" i="4"/>
  <c r="J3535" i="4"/>
  <c r="J3527" i="4"/>
  <c r="J3519" i="4"/>
  <c r="J3511" i="4"/>
  <c r="J3503" i="4"/>
  <c r="J3495" i="4"/>
  <c r="J3487" i="4"/>
  <c r="J3479" i="4"/>
  <c r="J3471" i="4"/>
  <c r="J3463" i="4"/>
  <c r="J3455" i="4"/>
  <c r="J3447" i="4"/>
  <c r="J3439" i="4"/>
  <c r="J3431" i="4"/>
  <c r="J3423" i="4"/>
  <c r="J3415" i="4"/>
  <c r="J3407" i="4"/>
  <c r="J3399" i="4"/>
  <c r="J3391" i="4"/>
  <c r="J3383" i="4"/>
  <c r="J3375" i="4"/>
  <c r="J3367" i="4"/>
  <c r="J3359" i="4"/>
  <c r="J3351" i="4"/>
  <c r="J3343" i="4"/>
  <c r="J3335" i="4"/>
  <c r="J3327" i="4"/>
  <c r="J3319" i="4"/>
  <c r="J3311" i="4"/>
  <c r="J3303" i="4"/>
  <c r="J3295" i="4"/>
  <c r="J3287" i="4"/>
  <c r="J3279" i="4"/>
  <c r="J3271" i="4"/>
  <c r="J3263" i="4"/>
  <c r="J3255" i="4"/>
  <c r="J3247" i="4"/>
  <c r="I4108" i="4"/>
  <c r="O3977" i="4"/>
  <c r="J3727" i="4"/>
  <c r="J3695" i="4"/>
  <c r="J4241" i="4"/>
  <c r="I3893" i="4"/>
  <c r="I3861" i="4"/>
  <c r="I3829" i="4"/>
  <c r="I3797" i="4"/>
  <c r="I3772" i="4"/>
  <c r="I3756" i="4"/>
  <c r="I3740" i="4"/>
  <c r="I3726" i="4"/>
  <c r="I3715" i="4"/>
  <c r="I3707" i="4"/>
  <c r="I3699" i="4"/>
  <c r="I3691" i="4"/>
  <c r="I3683" i="4"/>
  <c r="I3675" i="4"/>
  <c r="S4061" i="4"/>
  <c r="O3933" i="4"/>
  <c r="S3667" i="4"/>
  <c r="S3659" i="4"/>
  <c r="S3651" i="4"/>
  <c r="S3643" i="4"/>
  <c r="S3635" i="4"/>
  <c r="S3627" i="4"/>
  <c r="S3619" i="4"/>
  <c r="S3611" i="4"/>
  <c r="S3603" i="4"/>
  <c r="S3595" i="4"/>
  <c r="S3587" i="4"/>
  <c r="S3579" i="4"/>
  <c r="S3571" i="4"/>
  <c r="S3563" i="4"/>
  <c r="S3555" i="4"/>
  <c r="S3547" i="4"/>
  <c r="S3539" i="4"/>
  <c r="S3531" i="4"/>
  <c r="S3523" i="4"/>
  <c r="S3515" i="4"/>
  <c r="S3507" i="4"/>
  <c r="S3499" i="4"/>
  <c r="S3491" i="4"/>
  <c r="S3483" i="4"/>
  <c r="S3475" i="4"/>
  <c r="S3467" i="4"/>
  <c r="S3459" i="4"/>
  <c r="S3451" i="4"/>
  <c r="S3443" i="4"/>
  <c r="S3435" i="4"/>
  <c r="S3427" i="4"/>
  <c r="S3419" i="4"/>
  <c r="S3411" i="4"/>
  <c r="S3403" i="4"/>
  <c r="S3395" i="4"/>
  <c r="S3387" i="4"/>
  <c r="S3379" i="4"/>
  <c r="S3371" i="4"/>
  <c r="S3363" i="4"/>
  <c r="S3355" i="4"/>
  <c r="S3347" i="4"/>
  <c r="S3339" i="4"/>
  <c r="S3331" i="4"/>
  <c r="S3323" i="4"/>
  <c r="S3315" i="4"/>
  <c r="S3307" i="4"/>
  <c r="S3299" i="4"/>
  <c r="S3291" i="4"/>
  <c r="S3283" i="4"/>
  <c r="S3275" i="4"/>
  <c r="S3267" i="4"/>
  <c r="S3259" i="4"/>
  <c r="S3251" i="4"/>
  <c r="S3243" i="4"/>
  <c r="P4087" i="4"/>
  <c r="P4023" i="4"/>
  <c r="O3911" i="4"/>
  <c r="O3869" i="4"/>
  <c r="O3837" i="4"/>
  <c r="O3805" i="4"/>
  <c r="O3773" i="4"/>
  <c r="O3741" i="4"/>
  <c r="O3709" i="4"/>
  <c r="S3679" i="4"/>
  <c r="R3668" i="4"/>
  <c r="R3660" i="4"/>
  <c r="R3652" i="4"/>
  <c r="R3644" i="4"/>
  <c r="R3636" i="4"/>
  <c r="R3628" i="4"/>
  <c r="R3620" i="4"/>
  <c r="R3612" i="4"/>
  <c r="R3604" i="4"/>
  <c r="R3596" i="4"/>
  <c r="R3588" i="4"/>
  <c r="R3580" i="4"/>
  <c r="R3572" i="4"/>
  <c r="R3564" i="4"/>
  <c r="R3556" i="4"/>
  <c r="R3548" i="4"/>
  <c r="R3540" i="4"/>
  <c r="R3532" i="4"/>
  <c r="R3524" i="4"/>
  <c r="R3516" i="4"/>
  <c r="R3508" i="4"/>
  <c r="R3500" i="4"/>
  <c r="R3492" i="4"/>
  <c r="R3484" i="4"/>
  <c r="R3476" i="4"/>
  <c r="R3468" i="4"/>
  <c r="R3460" i="4"/>
  <c r="R3452" i="4"/>
  <c r="R3444" i="4"/>
  <c r="R3436" i="4"/>
  <c r="R3428" i="4"/>
  <c r="R3420" i="4"/>
  <c r="R3412" i="4"/>
  <c r="R3404" i="4"/>
  <c r="R3396" i="4"/>
  <c r="R3388" i="4"/>
  <c r="R3380" i="4"/>
  <c r="R3372" i="4"/>
  <c r="R3364" i="4"/>
  <c r="R3356" i="4"/>
  <c r="R3348" i="4"/>
  <c r="R3340" i="4"/>
  <c r="R3332" i="4"/>
  <c r="R3324" i="4"/>
  <c r="R3316" i="4"/>
  <c r="R3311" i="4"/>
  <c r="R3295" i="4"/>
  <c r="J3284" i="4"/>
  <c r="R3273" i="4"/>
  <c r="R3262" i="4"/>
  <c r="J3252" i="4"/>
  <c r="R3241" i="4"/>
  <c r="O3969" i="4"/>
  <c r="L3672" i="4"/>
  <c r="I3664" i="4"/>
  <c r="I3656" i="4"/>
  <c r="I3648" i="4"/>
  <c r="I3640" i="4"/>
  <c r="I3632" i="4"/>
  <c r="I3624" i="4"/>
  <c r="I3616" i="4"/>
  <c r="I3608" i="4"/>
  <c r="I3600" i="4"/>
  <c r="I3592" i="4"/>
  <c r="I3584" i="4"/>
  <c r="I3576" i="4"/>
  <c r="I3568" i="4"/>
  <c r="I3560" i="4"/>
  <c r="I3552" i="4"/>
  <c r="P4271" i="4"/>
  <c r="P4412" i="4"/>
  <c r="O4350" i="4"/>
  <c r="S4274" i="4"/>
  <c r="P4282" i="4"/>
  <c r="R4567" i="4"/>
  <c r="O4380" i="4"/>
  <c r="P4246" i="4"/>
  <c r="S4146" i="4"/>
  <c r="I4089" i="4"/>
  <c r="L3982" i="4"/>
  <c r="R4459" i="4"/>
  <c r="R4082" i="4"/>
  <c r="R3977" i="4"/>
  <c r="S4110" i="4"/>
  <c r="R4061" i="4"/>
  <c r="S3961" i="4"/>
  <c r="J4259" i="4"/>
  <c r="J4055" i="4"/>
  <c r="J3957" i="4"/>
  <c r="R4251" i="4"/>
  <c r="I4037" i="4"/>
  <c r="L3943" i="4"/>
  <c r="R4184" i="4"/>
  <c r="R4030" i="4"/>
  <c r="S4139" i="4"/>
  <c r="S4094" i="4"/>
  <c r="R4009" i="4"/>
  <c r="S3944" i="4"/>
  <c r="J4279" i="4"/>
  <c r="L4088" i="4"/>
  <c r="J4004" i="4"/>
  <c r="J3940" i="4"/>
  <c r="J3898" i="4"/>
  <c r="R4121" i="4"/>
  <c r="J4032" i="4"/>
  <c r="I3962" i="4"/>
  <c r="J4325" i="4"/>
  <c r="L3871" i="4"/>
  <c r="L3807" i="4"/>
  <c r="L3743" i="4"/>
  <c r="J4126" i="4"/>
  <c r="R3889" i="4"/>
  <c r="R3825" i="4"/>
  <c r="R3761" i="4"/>
  <c r="R3697" i="4"/>
  <c r="I3896" i="4"/>
  <c r="P3831" i="4"/>
  <c r="P3767" i="4"/>
  <c r="J3915" i="4"/>
  <c r="J4164" i="4"/>
  <c r="P4050" i="4"/>
  <c r="P3975" i="4"/>
  <c r="P3911" i="4"/>
  <c r="S3884" i="4"/>
  <c r="S3836" i="4"/>
  <c r="S3794" i="4"/>
  <c r="S3752" i="4"/>
  <c r="S3708" i="4"/>
  <c r="P4075" i="4"/>
  <c r="O3916" i="4"/>
  <c r="J3869" i="4"/>
  <c r="J3837" i="4"/>
  <c r="J3805" i="4"/>
  <c r="J3773" i="4"/>
  <c r="R3944" i="4"/>
  <c r="R4329" i="4"/>
  <c r="R4201" i="4"/>
  <c r="L4105" i="4"/>
  <c r="I4063" i="4"/>
  <c r="J4020" i="4"/>
  <c r="I3985" i="4"/>
  <c r="I3953" i="4"/>
  <c r="I3921" i="4"/>
  <c r="J4253" i="4"/>
  <c r="O3894" i="4"/>
  <c r="L3862" i="4"/>
  <c r="L3830" i="4"/>
  <c r="L3798" i="4"/>
  <c r="L3766" i="4"/>
  <c r="L3734" i="4"/>
  <c r="L3702" i="4"/>
  <c r="S4089" i="4"/>
  <c r="O3962" i="4"/>
  <c r="R3880" i="4"/>
  <c r="R3848" i="4"/>
  <c r="R3816" i="4"/>
  <c r="R3784" i="4"/>
  <c r="R3752" i="4"/>
  <c r="R3720" i="4"/>
  <c r="R3688" i="4"/>
  <c r="R4190" i="4"/>
  <c r="P3886" i="4"/>
  <c r="P3854" i="4"/>
  <c r="P3822" i="4"/>
  <c r="P3790" i="4"/>
  <c r="P3758" i="4"/>
  <c r="R3934" i="4"/>
  <c r="J4320" i="4"/>
  <c r="J4192" i="4"/>
  <c r="P4102" i="4"/>
  <c r="R4059" i="4"/>
  <c r="S4016" i="4"/>
  <c r="P3982" i="4"/>
  <c r="P3950" i="4"/>
  <c r="P3918" i="4"/>
  <c r="R4234" i="4"/>
  <c r="S3891" i="4"/>
  <c r="S3859" i="4"/>
  <c r="S3827" i="4"/>
  <c r="S3795" i="4"/>
  <c r="S3763" i="4"/>
  <c r="S3731" i="4"/>
  <c r="S3699" i="4"/>
  <c r="I4080" i="4"/>
  <c r="O3952" i="4"/>
  <c r="J3878" i="4"/>
  <c r="J3846" i="4"/>
  <c r="J3814" i="4"/>
  <c r="J3782" i="4"/>
  <c r="J3750" i="4"/>
  <c r="J3718" i="4"/>
  <c r="J3686" i="4"/>
  <c r="J4169" i="4"/>
  <c r="I3884" i="4"/>
  <c r="I3852" i="4"/>
  <c r="I3820" i="4"/>
  <c r="I3788" i="4"/>
  <c r="J3717" i="4"/>
  <c r="J4161" i="4"/>
  <c r="I3851" i="4"/>
  <c r="I3787" i="4"/>
  <c r="I3751" i="4"/>
  <c r="P3722" i="4"/>
  <c r="P3704" i="4"/>
  <c r="P3688" i="4"/>
  <c r="P3672" i="4"/>
  <c r="L3675" i="4"/>
  <c r="L3657" i="4"/>
  <c r="L3641" i="4"/>
  <c r="L3625" i="4"/>
  <c r="L3609" i="4"/>
  <c r="L3593" i="4"/>
  <c r="L3577" i="4"/>
  <c r="L3561" i="4"/>
  <c r="L3545" i="4"/>
  <c r="L3529" i="4"/>
  <c r="L3513" i="4"/>
  <c r="L3497" i="4"/>
  <c r="L3481" i="4"/>
  <c r="L3465" i="4"/>
  <c r="L3449" i="4"/>
  <c r="L3433" i="4"/>
  <c r="L3417" i="4"/>
  <c r="L3401" i="4"/>
  <c r="L3385" i="4"/>
  <c r="L3369" i="4"/>
  <c r="L3353" i="4"/>
  <c r="L3337" i="4"/>
  <c r="L3321" i="4"/>
  <c r="L3305" i="4"/>
  <c r="L3289" i="4"/>
  <c r="L3273" i="4"/>
  <c r="L3257" i="4"/>
  <c r="L3241" i="4"/>
  <c r="O3999" i="4"/>
  <c r="O3859" i="4"/>
  <c r="O3795" i="4"/>
  <c r="O3731" i="4"/>
  <c r="J3675" i="4"/>
  <c r="J3658" i="4"/>
  <c r="J3642" i="4"/>
  <c r="J3626" i="4"/>
  <c r="J3610" i="4"/>
  <c r="J3594" i="4"/>
  <c r="J3578" i="4"/>
  <c r="J3562" i="4"/>
  <c r="J3546" i="4"/>
  <c r="J3530" i="4"/>
  <c r="J3514" i="4"/>
  <c r="J3498" i="4"/>
  <c r="J3482" i="4"/>
  <c r="J3466" i="4"/>
  <c r="J3450" i="4"/>
  <c r="J3434" i="4"/>
  <c r="J3418" i="4"/>
  <c r="J3402" i="4"/>
  <c r="J3386" i="4"/>
  <c r="J3370" i="4"/>
  <c r="J3354" i="4"/>
  <c r="J3338" i="4"/>
  <c r="J3322" i="4"/>
  <c r="J3312" i="4"/>
  <c r="J3304" i="4"/>
  <c r="J3296" i="4"/>
  <c r="J3723" i="4"/>
  <c r="J3691" i="4"/>
  <c r="J4209" i="4"/>
  <c r="I3889" i="4"/>
  <c r="I3857" i="4"/>
  <c r="I3825" i="4"/>
  <c r="I3793" i="4"/>
  <c r="I3770" i="4"/>
  <c r="I3754" i="4"/>
  <c r="I3738" i="4"/>
  <c r="P3724" i="4"/>
  <c r="I3714" i="4"/>
  <c r="I3706" i="4"/>
  <c r="I3698" i="4"/>
  <c r="I3690" i="4"/>
  <c r="I3682" i="4"/>
  <c r="I3674" i="4"/>
  <c r="S4045" i="4"/>
  <c r="O3917" i="4"/>
  <c r="S3666" i="4"/>
  <c r="S3658" i="4"/>
  <c r="S3650" i="4"/>
  <c r="S3642" i="4"/>
  <c r="S3634" i="4"/>
  <c r="S3626" i="4"/>
  <c r="S3618" i="4"/>
  <c r="S3610" i="4"/>
  <c r="S3602" i="4"/>
  <c r="S3594" i="4"/>
  <c r="S3586" i="4"/>
  <c r="S3578" i="4"/>
  <c r="S3570" i="4"/>
  <c r="S3562" i="4"/>
  <c r="S3554" i="4"/>
  <c r="S3546" i="4"/>
  <c r="S3538" i="4"/>
  <c r="S3530" i="4"/>
  <c r="S3522" i="4"/>
  <c r="S3514" i="4"/>
  <c r="S3506" i="4"/>
  <c r="S3498" i="4"/>
  <c r="S3490" i="4"/>
  <c r="S3482" i="4"/>
  <c r="S3474" i="4"/>
  <c r="S3466" i="4"/>
  <c r="S3458" i="4"/>
  <c r="S3450" i="4"/>
  <c r="S3442" i="4"/>
  <c r="S3434" i="4"/>
  <c r="S3426" i="4"/>
  <c r="S3418" i="4"/>
  <c r="S3410" i="4"/>
  <c r="S3402" i="4"/>
  <c r="S3394" i="4"/>
  <c r="S3386" i="4"/>
  <c r="S3378" i="4"/>
  <c r="S3370" i="4"/>
  <c r="S3362" i="4"/>
  <c r="S3354" i="4"/>
  <c r="S3346" i="4"/>
  <c r="S3338" i="4"/>
  <c r="S3330" i="4"/>
  <c r="S3322" i="4"/>
  <c r="S3314" i="4"/>
  <c r="S3306" i="4"/>
  <c r="S3298" i="4"/>
  <c r="S3290" i="4"/>
  <c r="S3282" i="4"/>
  <c r="S3274" i="4"/>
  <c r="S3266" i="4"/>
  <c r="S3258" i="4"/>
  <c r="S3250" i="4"/>
  <c r="S3242" i="4"/>
  <c r="P4079" i="4"/>
  <c r="P4015" i="4"/>
  <c r="L3897" i="4"/>
  <c r="O3865" i="4"/>
  <c r="O3833" i="4"/>
  <c r="O3801" i="4"/>
  <c r="O3769" i="4"/>
  <c r="O3737" i="4"/>
  <c r="O3705" i="4"/>
  <c r="S3677" i="4"/>
  <c r="R3667" i="4"/>
  <c r="R3659" i="4"/>
  <c r="R3651" i="4"/>
  <c r="R3643" i="4"/>
  <c r="R3635" i="4"/>
  <c r="R3627" i="4"/>
  <c r="R3619" i="4"/>
  <c r="R3611" i="4"/>
  <c r="R3603" i="4"/>
  <c r="R3595" i="4"/>
  <c r="R3587" i="4"/>
  <c r="R3579" i="4"/>
  <c r="R3571" i="4"/>
  <c r="R3563" i="4"/>
  <c r="R3555" i="4"/>
  <c r="R3547" i="4"/>
  <c r="R3539" i="4"/>
  <c r="R3531" i="4"/>
  <c r="R3523" i="4"/>
  <c r="R3515" i="4"/>
  <c r="R3507" i="4"/>
  <c r="R3499" i="4"/>
  <c r="R3491" i="4"/>
  <c r="R3483" i="4"/>
  <c r="R3475" i="4"/>
  <c r="R3467" i="4"/>
  <c r="R3459" i="4"/>
  <c r="R3451" i="4"/>
  <c r="R3443" i="4"/>
  <c r="R3435" i="4"/>
  <c r="R3427" i="4"/>
  <c r="R3419" i="4"/>
  <c r="R3411" i="4"/>
  <c r="R3403" i="4"/>
  <c r="R3395" i="4"/>
  <c r="R3387" i="4"/>
  <c r="R3379" i="4"/>
  <c r="R3371" i="4"/>
  <c r="R3363" i="4"/>
  <c r="R3355" i="4"/>
  <c r="R3347" i="4"/>
  <c r="R3339" i="4"/>
  <c r="R3331" i="4"/>
  <c r="J3729" i="4"/>
  <c r="J3697" i="4"/>
  <c r="J4257" i="4"/>
  <c r="O3895" i="4"/>
  <c r="I3863" i="4"/>
  <c r="I3831" i="4"/>
  <c r="I3799" i="4"/>
  <c r="I3773" i="4"/>
  <c r="I3757" i="4"/>
  <c r="I3741" i="4"/>
  <c r="P3726" i="4"/>
  <c r="I3716" i="4"/>
  <c r="P3707" i="4"/>
  <c r="P3699" i="4"/>
  <c r="P3691" i="4"/>
  <c r="P3683" i="4"/>
  <c r="P3675" i="4"/>
  <c r="S4069" i="4"/>
  <c r="O3941" i="4"/>
  <c r="L3668" i="4"/>
  <c r="L3660" i="4"/>
  <c r="L3652" i="4"/>
  <c r="L3644" i="4"/>
  <c r="L3636" i="4"/>
  <c r="L3628" i="4"/>
  <c r="L3620" i="4"/>
  <c r="L3612" i="4"/>
  <c r="L3604" i="4"/>
  <c r="L3596" i="4"/>
  <c r="L3588" i="4"/>
  <c r="L3580" i="4"/>
  <c r="L3572" i="4"/>
  <c r="L3564" i="4"/>
  <c r="L3556" i="4"/>
  <c r="L3548" i="4"/>
  <c r="L3540" i="4"/>
  <c r="L3532" i="4"/>
  <c r="L3524" i="4"/>
  <c r="L3516" i="4"/>
  <c r="L3508" i="4"/>
  <c r="L3500" i="4"/>
  <c r="L3492" i="4"/>
  <c r="L3484" i="4"/>
  <c r="L3476" i="4"/>
  <c r="L3468" i="4"/>
  <c r="L3460" i="4"/>
  <c r="L3452" i="4"/>
  <c r="L3444" i="4"/>
  <c r="L3436" i="4"/>
  <c r="L3428" i="4"/>
  <c r="L3420" i="4"/>
  <c r="L3412" i="4"/>
  <c r="L3404" i="4"/>
  <c r="L3396" i="4"/>
  <c r="L3388" i="4"/>
  <c r="L3380" i="4"/>
  <c r="L3372" i="4"/>
  <c r="L3364" i="4"/>
  <c r="L3356" i="4"/>
  <c r="L3348" i="4"/>
  <c r="L3340" i="4"/>
  <c r="L3332" i="4"/>
  <c r="L3324" i="4"/>
  <c r="L3316" i="4"/>
  <c r="L3308" i="4"/>
  <c r="L3300" i="4"/>
  <c r="L3292" i="4"/>
  <c r="L3284" i="4"/>
  <c r="L3276" i="4"/>
  <c r="L3268" i="4"/>
  <c r="L3260" i="4"/>
  <c r="L3252" i="4"/>
  <c r="L3244" i="4"/>
  <c r="L4090" i="4"/>
  <c r="L4026" i="4"/>
  <c r="O3919" i="4"/>
  <c r="O3871" i="4"/>
  <c r="O3839" i="4"/>
  <c r="O3807" i="4"/>
  <c r="O3775" i="4"/>
  <c r="O3743" i="4"/>
  <c r="O3711" i="4"/>
  <c r="S3680" i="4"/>
  <c r="J3669" i="4"/>
  <c r="J3661" i="4"/>
  <c r="J3653" i="4"/>
  <c r="J3645" i="4"/>
  <c r="J3637" i="4"/>
  <c r="J3629" i="4"/>
  <c r="J3621" i="4"/>
  <c r="J3613" i="4"/>
  <c r="J3605" i="4"/>
  <c r="J3597" i="4"/>
  <c r="J3589" i="4"/>
  <c r="J3581" i="4"/>
  <c r="J3573" i="4"/>
  <c r="J3565" i="4"/>
  <c r="J3557" i="4"/>
  <c r="J3549" i="4"/>
  <c r="J3541" i="4"/>
  <c r="J3533" i="4"/>
  <c r="J3525" i="4"/>
  <c r="J3517" i="4"/>
  <c r="J3509" i="4"/>
  <c r="J3501" i="4"/>
  <c r="J3493" i="4"/>
  <c r="J3485" i="4"/>
  <c r="J3477" i="4"/>
  <c r="J3469" i="4"/>
  <c r="J3461" i="4"/>
  <c r="J3453" i="4"/>
  <c r="J3445" i="4"/>
  <c r="J3437" i="4"/>
  <c r="J3429" i="4"/>
  <c r="J3421" i="4"/>
  <c r="J3413" i="4"/>
  <c r="J3405" i="4"/>
  <c r="J3397" i="4"/>
  <c r="J3389" i="4"/>
  <c r="J3381" i="4"/>
  <c r="J3373" i="4"/>
  <c r="J3365" i="4"/>
  <c r="J3357" i="4"/>
  <c r="J3349" i="4"/>
  <c r="J3341" i="4"/>
  <c r="J3333" i="4"/>
  <c r="J3325" i="4"/>
  <c r="J3317" i="4"/>
  <c r="J3309" i="4"/>
  <c r="J3301" i="4"/>
  <c r="J3293" i="4"/>
  <c r="J3285" i="4"/>
  <c r="J3277" i="4"/>
  <c r="J3269" i="4"/>
  <c r="J3261" i="4"/>
  <c r="J3253" i="4"/>
  <c r="J3245" i="4"/>
  <c r="I4076" i="4"/>
  <c r="O3945" i="4"/>
  <c r="J3719" i="4"/>
  <c r="J3687" i="4"/>
  <c r="J4177" i="4"/>
  <c r="I3885" i="4"/>
  <c r="I3853" i="4"/>
  <c r="I3821" i="4"/>
  <c r="I3789" i="4"/>
  <c r="I3768" i="4"/>
  <c r="I3752" i="4"/>
  <c r="I3736" i="4"/>
  <c r="I3723" i="4"/>
  <c r="I3713" i="4"/>
  <c r="I3705" i="4"/>
  <c r="I3697" i="4"/>
  <c r="I3689" i="4"/>
  <c r="I3681" i="4"/>
  <c r="I3673" i="4"/>
  <c r="S4029" i="4"/>
  <c r="O3901" i="4"/>
  <c r="S3665" i="4"/>
  <c r="S3657" i="4"/>
  <c r="S3649" i="4"/>
  <c r="S3641" i="4"/>
  <c r="S3633" i="4"/>
  <c r="S3625" i="4"/>
  <c r="S3617" i="4"/>
  <c r="S3609" i="4"/>
  <c r="S3601" i="4"/>
  <c r="S3593" i="4"/>
  <c r="S3585" i="4"/>
  <c r="S3577" i="4"/>
  <c r="S3569" i="4"/>
  <c r="S3561" i="4"/>
  <c r="S3553" i="4"/>
  <c r="S3545" i="4"/>
  <c r="S3537" i="4"/>
  <c r="S3529" i="4"/>
  <c r="S3521" i="4"/>
  <c r="S3513" i="4"/>
  <c r="S3505" i="4"/>
  <c r="S3497" i="4"/>
  <c r="S3489" i="4"/>
  <c r="S3481" i="4"/>
  <c r="S3473" i="4"/>
  <c r="S3465" i="4"/>
  <c r="S3457" i="4"/>
  <c r="S3449" i="4"/>
  <c r="S3441" i="4"/>
  <c r="S3433" i="4"/>
  <c r="S3425" i="4"/>
  <c r="S3417" i="4"/>
  <c r="S3409" i="4"/>
  <c r="S3401" i="4"/>
  <c r="S3393" i="4"/>
  <c r="S3385" i="4"/>
  <c r="S3377" i="4"/>
  <c r="S3369" i="4"/>
  <c r="S3361" i="4"/>
  <c r="S3353" i="4"/>
  <c r="S3345" i="4"/>
  <c r="S3337" i="4"/>
  <c r="S3329" i="4"/>
  <c r="S3321" i="4"/>
  <c r="S3313" i="4"/>
  <c r="S3305" i="4"/>
  <c r="S3297" i="4"/>
  <c r="S3289" i="4"/>
  <c r="S3281" i="4"/>
  <c r="S3273" i="4"/>
  <c r="S3265" i="4"/>
  <c r="S3257" i="4"/>
  <c r="S3249" i="4"/>
  <c r="S3241" i="4"/>
  <c r="P4071" i="4"/>
  <c r="P4007" i="4"/>
  <c r="O3893" i="4"/>
  <c r="O3861" i="4"/>
  <c r="O3829" i="4"/>
  <c r="O3797" i="4"/>
  <c r="O3765" i="4"/>
  <c r="O3733" i="4"/>
  <c r="O3701" i="4"/>
  <c r="S3675" i="4"/>
  <c r="R3666" i="4"/>
  <c r="R3658" i="4"/>
  <c r="R3650" i="4"/>
  <c r="R3642" i="4"/>
  <c r="R3634" i="4"/>
  <c r="R3626" i="4"/>
  <c r="R3618" i="4"/>
  <c r="R3610" i="4"/>
  <c r="R3602" i="4"/>
  <c r="R3594" i="4"/>
  <c r="R3586" i="4"/>
  <c r="R3578" i="4"/>
  <c r="R3570" i="4"/>
  <c r="R3562" i="4"/>
  <c r="R3554" i="4"/>
  <c r="R3546" i="4"/>
  <c r="R3538" i="4"/>
  <c r="R3530" i="4"/>
  <c r="R3522" i="4"/>
  <c r="R3514" i="4"/>
  <c r="R3506" i="4"/>
  <c r="R3498" i="4"/>
  <c r="R3490" i="4"/>
  <c r="R3482" i="4"/>
  <c r="R3474" i="4"/>
  <c r="R3466" i="4"/>
  <c r="R3458" i="4"/>
  <c r="R3450" i="4"/>
  <c r="R3442" i="4"/>
  <c r="R3434" i="4"/>
  <c r="R3426" i="4"/>
  <c r="R3418" i="4"/>
  <c r="R3410" i="4"/>
  <c r="R3402" i="4"/>
  <c r="R3394" i="4"/>
  <c r="R3386" i="4"/>
  <c r="R3378" i="4"/>
  <c r="R3370" i="4"/>
  <c r="R3362" i="4"/>
  <c r="R3354" i="4"/>
  <c r="R3346" i="4"/>
  <c r="R3338" i="4"/>
  <c r="R3330" i="4"/>
  <c r="R3322" i="4"/>
  <c r="R3314" i="4"/>
  <c r="R3307" i="4"/>
  <c r="J3292" i="4"/>
  <c r="R3281" i="4"/>
  <c r="R3270" i="4"/>
  <c r="J3260" i="4"/>
  <c r="R3249" i="4"/>
  <c r="I4100" i="4"/>
  <c r="O3929" i="4"/>
  <c r="I3670" i="4"/>
  <c r="I3662" i="4"/>
  <c r="I3654" i="4"/>
  <c r="I3646" i="4"/>
  <c r="I3638" i="4"/>
  <c r="I3630" i="4"/>
  <c r="I3622" i="4"/>
  <c r="I3614" i="4"/>
  <c r="I3606" i="4"/>
  <c r="I3598" i="4"/>
  <c r="I3590" i="4"/>
  <c r="I3582" i="4"/>
  <c r="I3574" i="4"/>
  <c r="I3566" i="4"/>
  <c r="I3558" i="4"/>
  <c r="I3550" i="4"/>
  <c r="I3542" i="4"/>
  <c r="I3534" i="4"/>
  <c r="I3526" i="4"/>
  <c r="I3518" i="4"/>
  <c r="I3510" i="4"/>
  <c r="I3502" i="4"/>
  <c r="I3494" i="4"/>
  <c r="I3486" i="4"/>
  <c r="I3478" i="4"/>
  <c r="I3470" i="4"/>
  <c r="I3462" i="4"/>
  <c r="I3454" i="4"/>
  <c r="I3446" i="4"/>
  <c r="I3438" i="4"/>
  <c r="I3430" i="4"/>
  <c r="I3422" i="4"/>
  <c r="I3414" i="4"/>
  <c r="I3406" i="4"/>
  <c r="I3398" i="4"/>
  <c r="I3390" i="4"/>
  <c r="I3382" i="4"/>
  <c r="I3374" i="4"/>
  <c r="I3366" i="4"/>
  <c r="I3358" i="4"/>
  <c r="I3350" i="4"/>
  <c r="I3342" i="4"/>
  <c r="I3334" i="4"/>
  <c r="I3326" i="4"/>
  <c r="I3318" i="4"/>
  <c r="I3310" i="4"/>
  <c r="I3302" i="4"/>
  <c r="I3294" i="4"/>
  <c r="I3286" i="4"/>
  <c r="I3278" i="4"/>
  <c r="I3270" i="4"/>
  <c r="I3262" i="4"/>
  <c r="I3254" i="4"/>
  <c r="I3246" i="4"/>
  <c r="O3892" i="4"/>
  <c r="O3764" i="4"/>
  <c r="J3239" i="4"/>
  <c r="J3231" i="4"/>
  <c r="J3223" i="4"/>
  <c r="J3215" i="4"/>
  <c r="J3207" i="4"/>
  <c r="J3199" i="4"/>
  <c r="J3191" i="4"/>
  <c r="J3183" i="4"/>
  <c r="J3175" i="4"/>
  <c r="J3167" i="4"/>
  <c r="J3159" i="4"/>
  <c r="J3151" i="4"/>
  <c r="J3143" i="4"/>
  <c r="J3135" i="4"/>
  <c r="J3127" i="4"/>
  <c r="J3119" i="4"/>
  <c r="J3111" i="4"/>
  <c r="J3103" i="4"/>
  <c r="J3095" i="4"/>
  <c r="J3087" i="4"/>
  <c r="J3079" i="4"/>
  <c r="J3071" i="4"/>
  <c r="J3063" i="4"/>
  <c r="J3055" i="4"/>
  <c r="J3047" i="4"/>
  <c r="J3039" i="4"/>
  <c r="J3031" i="4"/>
  <c r="J3023" i="4"/>
  <c r="J3015" i="4"/>
  <c r="J3007" i="4"/>
  <c r="J2999" i="4"/>
  <c r="J2991" i="4"/>
  <c r="J2983" i="4"/>
  <c r="J2975" i="4"/>
  <c r="J2967" i="4"/>
  <c r="J2959" i="4"/>
  <c r="J2951" i="4"/>
  <c r="J2943" i="4"/>
  <c r="J2935" i="4"/>
  <c r="J2927" i="4"/>
  <c r="J2919" i="4"/>
  <c r="J2911" i="4"/>
  <c r="J2903" i="4"/>
  <c r="J2895" i="4"/>
  <c r="J2887" i="4"/>
  <c r="J2879" i="4"/>
  <c r="J2871" i="4"/>
  <c r="J2863" i="4"/>
  <c r="J2855" i="4"/>
  <c r="J2847" i="4"/>
  <c r="J2839" i="4"/>
  <c r="J2831" i="4"/>
  <c r="J2823" i="4"/>
  <c r="J2815" i="4"/>
  <c r="J2807" i="4"/>
  <c r="J2799" i="4"/>
  <c r="J2791" i="4"/>
  <c r="J2783" i="4"/>
  <c r="J2775" i="4"/>
  <c r="J2767" i="4"/>
  <c r="J2759" i="4"/>
  <c r="J2751" i="4"/>
  <c r="O3886" i="4"/>
  <c r="O3758" i="4"/>
  <c r="O3668" i="4"/>
  <c r="R3315" i="4"/>
  <c r="R3298" i="4"/>
  <c r="J3286" i="4"/>
  <c r="R3275" i="4"/>
  <c r="R3264" i="4"/>
  <c r="J3254" i="4"/>
  <c r="R3243" i="4"/>
  <c r="O4001" i="4"/>
  <c r="R3675" i="4"/>
  <c r="P3665" i="4"/>
  <c r="P3657" i="4"/>
  <c r="P3649" i="4"/>
  <c r="P3641" i="4"/>
  <c r="P3633" i="4"/>
  <c r="P3625" i="4"/>
  <c r="P3617" i="4"/>
  <c r="P3609" i="4"/>
  <c r="P3601" i="4"/>
  <c r="P3593" i="4"/>
  <c r="P3585" i="4"/>
  <c r="P3577" i="4"/>
  <c r="P3569" i="4"/>
  <c r="P3561" i="4"/>
  <c r="P3553" i="4"/>
  <c r="P3545" i="4"/>
  <c r="P3537" i="4"/>
  <c r="P3529" i="4"/>
  <c r="P3521" i="4"/>
  <c r="P3513" i="4"/>
  <c r="P3505" i="4"/>
  <c r="P3497" i="4"/>
  <c r="P3489" i="4"/>
  <c r="P3481" i="4"/>
  <c r="P3473" i="4"/>
  <c r="P3465" i="4"/>
  <c r="P3457" i="4"/>
  <c r="P3449" i="4"/>
  <c r="P3441" i="4"/>
  <c r="P3433" i="4"/>
  <c r="P3425" i="4"/>
  <c r="P3417" i="4"/>
  <c r="P3409" i="4"/>
  <c r="P3401" i="4"/>
  <c r="P3393" i="4"/>
  <c r="P3385" i="4"/>
  <c r="P3377" i="4"/>
  <c r="P3369" i="4"/>
  <c r="P3361" i="4"/>
  <c r="P3353" i="4"/>
  <c r="P3345" i="4"/>
  <c r="P3337" i="4"/>
  <c r="P3329" i="4"/>
  <c r="P3321" i="4"/>
  <c r="P3313" i="4"/>
  <c r="P3305" i="4"/>
  <c r="P3297" i="4"/>
  <c r="P3289" i="4"/>
  <c r="P3281" i="4"/>
  <c r="P3273" i="4"/>
  <c r="P3265" i="4"/>
  <c r="P3257" i="4"/>
  <c r="P3249" i="4"/>
  <c r="P3241" i="4"/>
  <c r="O3820" i="4"/>
  <c r="O3692" i="4"/>
  <c r="R3234" i="4"/>
  <c r="R3226" i="4"/>
  <c r="R3218" i="4"/>
  <c r="R3210" i="4"/>
  <c r="R3202" i="4"/>
  <c r="R3194" i="4"/>
  <c r="R3186" i="4"/>
  <c r="R3178" i="4"/>
  <c r="R3170" i="4"/>
  <c r="R3162" i="4"/>
  <c r="R3154" i="4"/>
  <c r="R3146" i="4"/>
  <c r="R3138" i="4"/>
  <c r="R3130" i="4"/>
  <c r="R3122" i="4"/>
  <c r="R3114" i="4"/>
  <c r="R3106" i="4"/>
  <c r="R3098" i="4"/>
  <c r="R3090" i="4"/>
  <c r="R3082" i="4"/>
  <c r="R3074" i="4"/>
  <c r="R3066" i="4"/>
  <c r="R3058" i="4"/>
  <c r="R3050" i="4"/>
  <c r="R3042" i="4"/>
  <c r="R3034" i="4"/>
  <c r="R3026" i="4"/>
  <c r="R3018" i="4"/>
  <c r="R3010" i="4"/>
  <c r="R3002" i="4"/>
  <c r="R2994" i="4"/>
  <c r="R2986" i="4"/>
  <c r="R2978" i="4"/>
  <c r="R2970" i="4"/>
  <c r="R2962" i="4"/>
  <c r="R2954" i="4"/>
  <c r="R2946" i="4"/>
  <c r="R2938" i="4"/>
  <c r="R2930" i="4"/>
  <c r="R2922" i="4"/>
  <c r="R2914" i="4"/>
  <c r="R2906" i="4"/>
  <c r="R2898" i="4"/>
  <c r="R2890" i="4"/>
  <c r="R2882" i="4"/>
  <c r="R2874" i="4"/>
  <c r="R2866" i="4"/>
  <c r="R2858" i="4"/>
  <c r="R2850" i="4"/>
  <c r="R2842" i="4"/>
  <c r="R2834" i="4"/>
  <c r="R2826" i="4"/>
  <c r="R2818" i="4"/>
  <c r="R2810" i="4"/>
  <c r="R2802" i="4"/>
  <c r="R2794" i="4"/>
  <c r="R2786" i="4"/>
  <c r="R2778" i="4"/>
  <c r="R2770" i="4"/>
  <c r="R2762" i="4"/>
  <c r="R2754" i="4"/>
  <c r="R2746" i="4"/>
  <c r="O3814" i="4"/>
  <c r="R3309" i="4"/>
  <c r="R3293" i="4"/>
  <c r="R3282" i="4"/>
  <c r="J3272" i="4"/>
  <c r="R3261" i="4"/>
  <c r="R3250" i="4"/>
  <c r="P4121" i="4"/>
  <c r="O3953" i="4"/>
  <c r="I3671" i="4"/>
  <c r="I3663" i="4"/>
  <c r="I3655" i="4"/>
  <c r="I3647" i="4"/>
  <c r="I3639" i="4"/>
  <c r="I3631" i="4"/>
  <c r="I3623" i="4"/>
  <c r="I3615" i="4"/>
  <c r="I3607" i="4"/>
  <c r="I3599" i="4"/>
  <c r="I3591" i="4"/>
  <c r="I3583" i="4"/>
  <c r="I3575" i="4"/>
  <c r="I3567" i="4"/>
  <c r="I3559" i="4"/>
  <c r="I3551" i="4"/>
  <c r="I3543" i="4"/>
  <c r="I3535" i="4"/>
  <c r="I3527" i="4"/>
  <c r="I3519" i="4"/>
  <c r="I3511" i="4"/>
  <c r="I3503" i="4"/>
  <c r="I3495" i="4"/>
  <c r="I3487" i="4"/>
  <c r="I3479" i="4"/>
  <c r="I3471" i="4"/>
  <c r="I3463" i="4"/>
  <c r="I3455" i="4"/>
  <c r="I3447" i="4"/>
  <c r="I3439" i="4"/>
  <c r="I3431" i="4"/>
  <c r="I3423" i="4"/>
  <c r="I3415" i="4"/>
  <c r="I3407" i="4"/>
  <c r="I3399" i="4"/>
  <c r="I3391" i="4"/>
  <c r="I3383" i="4"/>
  <c r="I3375" i="4"/>
  <c r="I3367" i="4"/>
  <c r="I3359" i="4"/>
  <c r="I3351" i="4"/>
  <c r="I3343" i="4"/>
  <c r="I3335" i="4"/>
  <c r="I3327" i="4"/>
  <c r="I3319" i="4"/>
  <c r="I3311" i="4"/>
  <c r="I3303" i="4"/>
  <c r="I3295" i="4"/>
  <c r="I3287" i="4"/>
  <c r="I3279" i="4"/>
  <c r="I3271" i="4"/>
  <c r="I3263" i="4"/>
  <c r="I3255" i="4"/>
  <c r="I3247" i="4"/>
  <c r="O3955" i="4"/>
  <c r="O3780" i="4"/>
  <c r="J3240" i="4"/>
  <c r="J3232" i="4"/>
  <c r="J3224" i="4"/>
  <c r="J3216" i="4"/>
  <c r="J3208" i="4"/>
  <c r="J3200" i="4"/>
  <c r="J3192" i="4"/>
  <c r="J3184" i="4"/>
  <c r="J3176" i="4"/>
  <c r="J3168" i="4"/>
  <c r="J3160" i="4"/>
  <c r="J3152" i="4"/>
  <c r="J3144" i="4"/>
  <c r="J3136" i="4"/>
  <c r="J3128" i="4"/>
  <c r="J3120" i="4"/>
  <c r="J3112" i="4"/>
  <c r="J3104" i="4"/>
  <c r="J3096" i="4"/>
  <c r="J3088" i="4"/>
  <c r="J3080" i="4"/>
  <c r="J3072" i="4"/>
  <c r="J3064" i="4"/>
  <c r="J3056" i="4"/>
  <c r="J3048" i="4"/>
  <c r="J3040" i="4"/>
  <c r="J3032" i="4"/>
  <c r="J3024" i="4"/>
  <c r="J3016" i="4"/>
  <c r="J3008" i="4"/>
  <c r="J3000" i="4"/>
  <c r="J2992" i="4"/>
  <c r="R3300" i="4"/>
  <c r="R3255" i="4"/>
  <c r="P3666" i="4"/>
  <c r="P3634" i="4"/>
  <c r="P3602" i="4"/>
  <c r="P3570" i="4"/>
  <c r="P3538" i="4"/>
  <c r="P3506" i="4"/>
  <c r="P3474" i="4"/>
  <c r="P3442" i="4"/>
  <c r="P3410" i="4"/>
  <c r="P3378" i="4"/>
  <c r="P3346" i="4"/>
  <c r="P3314" i="4"/>
  <c r="P3282" i="4"/>
  <c r="P3250" i="4"/>
  <c r="R3235" i="4"/>
  <c r="R3203" i="4"/>
  <c r="R3171" i="4"/>
  <c r="R3139" i="4"/>
  <c r="R3107" i="4"/>
  <c r="R3075" i="4"/>
  <c r="R3043" i="4"/>
  <c r="R3011" i="4"/>
  <c r="R2983" i="4"/>
  <c r="R2967" i="4"/>
  <c r="R2951" i="4"/>
  <c r="R2935" i="4"/>
  <c r="R2919" i="4"/>
  <c r="R2903" i="4"/>
  <c r="R2887" i="4"/>
  <c r="R2871" i="4"/>
  <c r="R2855" i="4"/>
  <c r="R2839" i="4"/>
  <c r="R2823" i="4"/>
  <c r="R2807" i="4"/>
  <c r="R2791" i="4"/>
  <c r="R2775" i="4"/>
  <c r="R2759" i="4"/>
  <c r="P3894" i="4"/>
  <c r="L3681" i="4"/>
  <c r="O3640" i="4"/>
  <c r="O3608" i="4"/>
  <c r="O3576" i="4"/>
  <c r="O3544" i="4"/>
  <c r="O3512" i="4"/>
  <c r="O3480" i="4"/>
  <c r="O3448" i="4"/>
  <c r="O3416" i="4"/>
  <c r="O3384" i="4"/>
  <c r="O3352" i="4"/>
  <c r="O3320" i="4"/>
  <c r="O3288" i="4"/>
  <c r="O3256" i="4"/>
  <c r="I3236" i="4"/>
  <c r="I3228" i="4"/>
  <c r="I3220" i="4"/>
  <c r="I3212" i="4"/>
  <c r="I3204" i="4"/>
  <c r="I3196" i="4"/>
  <c r="I3188" i="4"/>
  <c r="I3180" i="4"/>
  <c r="I3172" i="4"/>
  <c r="I3164" i="4"/>
  <c r="I3156" i="4"/>
  <c r="I3148" i="4"/>
  <c r="I3140" i="4"/>
  <c r="I3132" i="4"/>
  <c r="I3124" i="4"/>
  <c r="I3116" i="4"/>
  <c r="I3108" i="4"/>
  <c r="I3100" i="4"/>
  <c r="I3092" i="4"/>
  <c r="I3084" i="4"/>
  <c r="I3076" i="4"/>
  <c r="I3068" i="4"/>
  <c r="I3060" i="4"/>
  <c r="I3052" i="4"/>
  <c r="I3044" i="4"/>
  <c r="I3036" i="4"/>
  <c r="I3028" i="4"/>
  <c r="I3020" i="4"/>
  <c r="L4360" i="4"/>
  <c r="S4166" i="4"/>
  <c r="O4256" i="4"/>
  <c r="R4260" i="4"/>
  <c r="P4032" i="4"/>
  <c r="J3935" i="4"/>
  <c r="R4118" i="4"/>
  <c r="S3992" i="4"/>
  <c r="J3988" i="4"/>
  <c r="I4011" i="4"/>
  <c r="L3791" i="4"/>
  <c r="R3809" i="4"/>
  <c r="P3815" i="4"/>
  <c r="S4028" i="4"/>
  <c r="S3826" i="4"/>
  <c r="P4035" i="4"/>
  <c r="J3797" i="4"/>
  <c r="R4169" i="4"/>
  <c r="I3977" i="4"/>
  <c r="L3886" i="4"/>
  <c r="L3758" i="4"/>
  <c r="O3930" i="4"/>
  <c r="R3776" i="4"/>
  <c r="J4105" i="4"/>
  <c r="P3782" i="4"/>
  <c r="J4160" i="4"/>
  <c r="P3974" i="4"/>
  <c r="S3883" i="4"/>
  <c r="S3755" i="4"/>
  <c r="O3920" i="4"/>
  <c r="J3774" i="4"/>
  <c r="R4084" i="4"/>
  <c r="I3784" i="4"/>
  <c r="I3775" i="4"/>
  <c r="P3684" i="4"/>
  <c r="L3637" i="4"/>
  <c r="L3573" i="4"/>
  <c r="L3509" i="4"/>
  <c r="L3445" i="4"/>
  <c r="L3381" i="4"/>
  <c r="L3317" i="4"/>
  <c r="L3253" i="4"/>
  <c r="O3779" i="4"/>
  <c r="J3638" i="4"/>
  <c r="J3574" i="4"/>
  <c r="J3510" i="4"/>
  <c r="J3446" i="4"/>
  <c r="J3382" i="4"/>
  <c r="J3318" i="4"/>
  <c r="J3715" i="4"/>
  <c r="I3849" i="4"/>
  <c r="I3750" i="4"/>
  <c r="I3704" i="4"/>
  <c r="I3672" i="4"/>
  <c r="S3656" i="4"/>
  <c r="S3624" i="4"/>
  <c r="S3592" i="4"/>
  <c r="S3560" i="4"/>
  <c r="S3528" i="4"/>
  <c r="S3496" i="4"/>
  <c r="S3464" i="4"/>
  <c r="S3432" i="4"/>
  <c r="S3400" i="4"/>
  <c r="S3368" i="4"/>
  <c r="S3336" i="4"/>
  <c r="S3304" i="4"/>
  <c r="S3272" i="4"/>
  <c r="S3240" i="4"/>
  <c r="O3857" i="4"/>
  <c r="O3729" i="4"/>
  <c r="R3657" i="4"/>
  <c r="R3625" i="4"/>
  <c r="R3593" i="4"/>
  <c r="R3561" i="4"/>
  <c r="R3529" i="4"/>
  <c r="R3497" i="4"/>
  <c r="R3465" i="4"/>
  <c r="R3433" i="4"/>
  <c r="R3401" i="4"/>
  <c r="R3369" i="4"/>
  <c r="R3337" i="4"/>
  <c r="J4193" i="4"/>
  <c r="I3791" i="4"/>
  <c r="I3724" i="4"/>
  <c r="P3689" i="4"/>
  <c r="O3909" i="4"/>
  <c r="L3642" i="4"/>
  <c r="L3610" i="4"/>
  <c r="L3578" i="4"/>
  <c r="L3546" i="4"/>
  <c r="L3514" i="4"/>
  <c r="L3482" i="4"/>
  <c r="L3450" i="4"/>
  <c r="L3418" i="4"/>
  <c r="L3386" i="4"/>
  <c r="L3354" i="4"/>
  <c r="L3322" i="4"/>
  <c r="L3290" i="4"/>
  <c r="L3258" i="4"/>
  <c r="L4010" i="4"/>
  <c r="O3799" i="4"/>
  <c r="S3676" i="4"/>
  <c r="J3643" i="4"/>
  <c r="J3611" i="4"/>
  <c r="J3579" i="4"/>
  <c r="J3547" i="4"/>
  <c r="J3515" i="4"/>
  <c r="J3483" i="4"/>
  <c r="J3451" i="4"/>
  <c r="J3419" i="4"/>
  <c r="J3387" i="4"/>
  <c r="J3355" i="4"/>
  <c r="J3323" i="4"/>
  <c r="J3291" i="4"/>
  <c r="J3259" i="4"/>
  <c r="O3913" i="4"/>
  <c r="I3877" i="4"/>
  <c r="I3764" i="4"/>
  <c r="I3711" i="4"/>
  <c r="I3679" i="4"/>
  <c r="S3663" i="4"/>
  <c r="S3631" i="4"/>
  <c r="S3599" i="4"/>
  <c r="S3567" i="4"/>
  <c r="S3535" i="4"/>
  <c r="S3503" i="4"/>
  <c r="S3471" i="4"/>
  <c r="S3439" i="4"/>
  <c r="S3407" i="4"/>
  <c r="S3375" i="4"/>
  <c r="S3343" i="4"/>
  <c r="S3311" i="4"/>
  <c r="S3279" i="4"/>
  <c r="S3247" i="4"/>
  <c r="O3885" i="4"/>
  <c r="O3757" i="4"/>
  <c r="R3664" i="4"/>
  <c r="R3632" i="4"/>
  <c r="R3600" i="4"/>
  <c r="R3568" i="4"/>
  <c r="R3536" i="4"/>
  <c r="R3504" i="4"/>
  <c r="R3472" i="4"/>
  <c r="R3440" i="4"/>
  <c r="R3408" i="4"/>
  <c r="R3376" i="4"/>
  <c r="R3344" i="4"/>
  <c r="R3325" i="4"/>
  <c r="J3268" i="4"/>
  <c r="O3680" i="4"/>
  <c r="I3644" i="4"/>
  <c r="I3612" i="4"/>
  <c r="I3580" i="4"/>
  <c r="I3556" i="4"/>
  <c r="I3544" i="4"/>
  <c r="I3532" i="4"/>
  <c r="I3522" i="4"/>
  <c r="I3512" i="4"/>
  <c r="I3500" i="4"/>
  <c r="I3490" i="4"/>
  <c r="I3480" i="4"/>
  <c r="I3468" i="4"/>
  <c r="I3458" i="4"/>
  <c r="I3448" i="4"/>
  <c r="I3436" i="4"/>
  <c r="I3426" i="4"/>
  <c r="I3416" i="4"/>
  <c r="I3404" i="4"/>
  <c r="I3394" i="4"/>
  <c r="I3384" i="4"/>
  <c r="I3372" i="4"/>
  <c r="I3362" i="4"/>
  <c r="I3352" i="4"/>
  <c r="I3340" i="4"/>
  <c r="I3330" i="4"/>
  <c r="I3320" i="4"/>
  <c r="I3308" i="4"/>
  <c r="I3298" i="4"/>
  <c r="I3288" i="4"/>
  <c r="I3276" i="4"/>
  <c r="I3266" i="4"/>
  <c r="I3256" i="4"/>
  <c r="I3244" i="4"/>
  <c r="O3828" i="4"/>
  <c r="S3672" i="4"/>
  <c r="J3229" i="4"/>
  <c r="J3219" i="4"/>
  <c r="J3209" i="4"/>
  <c r="J3197" i="4"/>
  <c r="J3187" i="4"/>
  <c r="J3177" i="4"/>
  <c r="J3165" i="4"/>
  <c r="J3155" i="4"/>
  <c r="J3145" i="4"/>
  <c r="J3133" i="4"/>
  <c r="J3123" i="4"/>
  <c r="J3113" i="4"/>
  <c r="J3101" i="4"/>
  <c r="J3091" i="4"/>
  <c r="J3081" i="4"/>
  <c r="J3069" i="4"/>
  <c r="J3059" i="4"/>
  <c r="J3049" i="4"/>
  <c r="J3037" i="4"/>
  <c r="J3027" i="4"/>
  <c r="J3017" i="4"/>
  <c r="J3005" i="4"/>
  <c r="J2995" i="4"/>
  <c r="J2985" i="4"/>
  <c r="J2973" i="4"/>
  <c r="J2963" i="4"/>
  <c r="J2953" i="4"/>
  <c r="J2941" i="4"/>
  <c r="J2931" i="4"/>
  <c r="J2921" i="4"/>
  <c r="J2909" i="4"/>
  <c r="J2899" i="4"/>
  <c r="J2889" i="4"/>
  <c r="J2877" i="4"/>
  <c r="J2867" i="4"/>
  <c r="J2857" i="4"/>
  <c r="J2845" i="4"/>
  <c r="J2835" i="4"/>
  <c r="J2825" i="4"/>
  <c r="J2813" i="4"/>
  <c r="J2803" i="4"/>
  <c r="J2793" i="4"/>
  <c r="J2781" i="4"/>
  <c r="J2771" i="4"/>
  <c r="J2761" i="4"/>
  <c r="J2749" i="4"/>
  <c r="O3822" i="4"/>
  <c r="L3677" i="4"/>
  <c r="R3310" i="4"/>
  <c r="R3291" i="4"/>
  <c r="J3278" i="4"/>
  <c r="J3262" i="4"/>
  <c r="R3248" i="4"/>
  <c r="I4052" i="4"/>
  <c r="R3671" i="4"/>
  <c r="P3661" i="4"/>
  <c r="P3651" i="4"/>
  <c r="P3639" i="4"/>
  <c r="P3629" i="4"/>
  <c r="P3619" i="4"/>
  <c r="P3607" i="4"/>
  <c r="P3597" i="4"/>
  <c r="P3587" i="4"/>
  <c r="P3575" i="4"/>
  <c r="P3565" i="4"/>
  <c r="P3555" i="4"/>
  <c r="P3543" i="4"/>
  <c r="P3533" i="4"/>
  <c r="P3523" i="4"/>
  <c r="P3511" i="4"/>
  <c r="P3501" i="4"/>
  <c r="P3491" i="4"/>
  <c r="P3479" i="4"/>
  <c r="P3469" i="4"/>
  <c r="P3459" i="4"/>
  <c r="P3447" i="4"/>
  <c r="P3437" i="4"/>
  <c r="P3427" i="4"/>
  <c r="P3415" i="4"/>
  <c r="P3405" i="4"/>
  <c r="P3395" i="4"/>
  <c r="P3383" i="4"/>
  <c r="P3373" i="4"/>
  <c r="P3363" i="4"/>
  <c r="P3351" i="4"/>
  <c r="P3341" i="4"/>
  <c r="P3331" i="4"/>
  <c r="P3319" i="4"/>
  <c r="P3309" i="4"/>
  <c r="P3299" i="4"/>
  <c r="P3287" i="4"/>
  <c r="P3277" i="4"/>
  <c r="P3267" i="4"/>
  <c r="P3255" i="4"/>
  <c r="P3245" i="4"/>
  <c r="O3852" i="4"/>
  <c r="J3241" i="4"/>
  <c r="R3230" i="4"/>
  <c r="R3220" i="4"/>
  <c r="R3208" i="4"/>
  <c r="R3198" i="4"/>
  <c r="R3188" i="4"/>
  <c r="R3176" i="4"/>
  <c r="R3166" i="4"/>
  <c r="R3156" i="4"/>
  <c r="R3144" i="4"/>
  <c r="R3134" i="4"/>
  <c r="R3124" i="4"/>
  <c r="R3112" i="4"/>
  <c r="R3102" i="4"/>
  <c r="R3092" i="4"/>
  <c r="R3080" i="4"/>
  <c r="R3070" i="4"/>
  <c r="R3060" i="4"/>
  <c r="R3048" i="4"/>
  <c r="R3038" i="4"/>
  <c r="R3028" i="4"/>
  <c r="R3016" i="4"/>
  <c r="R3006" i="4"/>
  <c r="R2996" i="4"/>
  <c r="R2984" i="4"/>
  <c r="R2974" i="4"/>
  <c r="R2964" i="4"/>
  <c r="R2952" i="4"/>
  <c r="R2942" i="4"/>
  <c r="R2932" i="4"/>
  <c r="R2920" i="4"/>
  <c r="R2910" i="4"/>
  <c r="R2900" i="4"/>
  <c r="R2888" i="4"/>
  <c r="R2878" i="4"/>
  <c r="R2868" i="4"/>
  <c r="R2856" i="4"/>
  <c r="R2846" i="4"/>
  <c r="R2836" i="4"/>
  <c r="R2824" i="4"/>
  <c r="R2814" i="4"/>
  <c r="R2804" i="4"/>
  <c r="R2792" i="4"/>
  <c r="R2782" i="4"/>
  <c r="R2772" i="4"/>
  <c r="R2760" i="4"/>
  <c r="R2750" i="4"/>
  <c r="O3846" i="4"/>
  <c r="R3305" i="4"/>
  <c r="J3288" i="4"/>
  <c r="R3274" i="4"/>
  <c r="R3258" i="4"/>
  <c r="R3245" i="4"/>
  <c r="O3993" i="4"/>
  <c r="I3669" i="4"/>
  <c r="I3659" i="4"/>
  <c r="I3649" i="4"/>
  <c r="I3637" i="4"/>
  <c r="I3627" i="4"/>
  <c r="I3617" i="4"/>
  <c r="I3605" i="4"/>
  <c r="I3595" i="4"/>
  <c r="I3585" i="4"/>
  <c r="I3573" i="4"/>
  <c r="I3563" i="4"/>
  <c r="I3553" i="4"/>
  <c r="I3541" i="4"/>
  <c r="I3531" i="4"/>
  <c r="I3521" i="4"/>
  <c r="I3509" i="4"/>
  <c r="I3499" i="4"/>
  <c r="I3489" i="4"/>
  <c r="I3477" i="4"/>
  <c r="I3467" i="4"/>
  <c r="I3457" i="4"/>
  <c r="I3445" i="4"/>
  <c r="I3435" i="4"/>
  <c r="I3425" i="4"/>
  <c r="I3413" i="4"/>
  <c r="I3403" i="4"/>
  <c r="I3393" i="4"/>
  <c r="I3381" i="4"/>
  <c r="I3371" i="4"/>
  <c r="I3361" i="4"/>
  <c r="I3349" i="4"/>
  <c r="I3339" i="4"/>
  <c r="I3329" i="4"/>
  <c r="I3317" i="4"/>
  <c r="I3307" i="4"/>
  <c r="I3297" i="4"/>
  <c r="I3285" i="4"/>
  <c r="I3275" i="4"/>
  <c r="I3265" i="4"/>
  <c r="I3253" i="4"/>
  <c r="I3243" i="4"/>
  <c r="O3812" i="4"/>
  <c r="J3238" i="4"/>
  <c r="J3228" i="4"/>
  <c r="J3218" i="4"/>
  <c r="J3206" i="4"/>
  <c r="J3196" i="4"/>
  <c r="J3186" i="4"/>
  <c r="J3174" i="4"/>
  <c r="J3164" i="4"/>
  <c r="J3154" i="4"/>
  <c r="J3142" i="4"/>
  <c r="J3132" i="4"/>
  <c r="J3122" i="4"/>
  <c r="J3110" i="4"/>
  <c r="J3100" i="4"/>
  <c r="J3090" i="4"/>
  <c r="J3078" i="4"/>
  <c r="J3068" i="4"/>
  <c r="J3058" i="4"/>
  <c r="J3046" i="4"/>
  <c r="J3036" i="4"/>
  <c r="J3026" i="4"/>
  <c r="J3014" i="4"/>
  <c r="J3004" i="4"/>
  <c r="J2994" i="4"/>
  <c r="R3287" i="4"/>
  <c r="I4028" i="4"/>
  <c r="P3642" i="4"/>
  <c r="P3594" i="4"/>
  <c r="P3554" i="4"/>
  <c r="P3514" i="4"/>
  <c r="P3466" i="4"/>
  <c r="P3426" i="4"/>
  <c r="P3386" i="4"/>
  <c r="P3338" i="4"/>
  <c r="P3298" i="4"/>
  <c r="P3258" i="4"/>
  <c r="R3227" i="4"/>
  <c r="R3187" i="4"/>
  <c r="R3147" i="4"/>
  <c r="R3099" i="4"/>
  <c r="R3059" i="4"/>
  <c r="R3019" i="4"/>
  <c r="R2979" i="4"/>
  <c r="R2959" i="4"/>
  <c r="R2939" i="4"/>
  <c r="R2915" i="4"/>
  <c r="R2895" i="4"/>
  <c r="R2875" i="4"/>
  <c r="R2851" i="4"/>
  <c r="R2831" i="4"/>
  <c r="R2811" i="4"/>
  <c r="R2787" i="4"/>
  <c r="R2767" i="4"/>
  <c r="R2747" i="4"/>
  <c r="O3670" i="4"/>
  <c r="O3624" i="4"/>
  <c r="O3584" i="4"/>
  <c r="O3536" i="4"/>
  <c r="O3496" i="4"/>
  <c r="O3456" i="4"/>
  <c r="O3408" i="4"/>
  <c r="O3368" i="4"/>
  <c r="O3328" i="4"/>
  <c r="O3280" i="4"/>
  <c r="I3240" i="4"/>
  <c r="I3230" i="4"/>
  <c r="I3218" i="4"/>
  <c r="I3208" i="4"/>
  <c r="I3198" i="4"/>
  <c r="I3186" i="4"/>
  <c r="I3176" i="4"/>
  <c r="I3166" i="4"/>
  <c r="I3154" i="4"/>
  <c r="I3144" i="4"/>
  <c r="I3134" i="4"/>
  <c r="I3122" i="4"/>
  <c r="I3112" i="4"/>
  <c r="I3102" i="4"/>
  <c r="I3090" i="4"/>
  <c r="I3080" i="4"/>
  <c r="I3070" i="4"/>
  <c r="I3058" i="4"/>
  <c r="I3048" i="4"/>
  <c r="I3038" i="4"/>
  <c r="I3026" i="4"/>
  <c r="I3016" i="4"/>
  <c r="I3008" i="4"/>
  <c r="I3000" i="4"/>
  <c r="I2992" i="4"/>
  <c r="I2984" i="4"/>
  <c r="I2976" i="4"/>
  <c r="I2968" i="4"/>
  <c r="I2960" i="4"/>
  <c r="I2952" i="4"/>
  <c r="I2944" i="4"/>
  <c r="I2936" i="4"/>
  <c r="I2928" i="4"/>
  <c r="I2920" i="4"/>
  <c r="I2912" i="4"/>
  <c r="I2904" i="4"/>
  <c r="I2896" i="4"/>
  <c r="I2888" i="4"/>
  <c r="I2880" i="4"/>
  <c r="I2872" i="4"/>
  <c r="I2864" i="4"/>
  <c r="I2856" i="4"/>
  <c r="I2848" i="4"/>
  <c r="I2840" i="4"/>
  <c r="I2832" i="4"/>
  <c r="I2824" i="4"/>
  <c r="I2816" i="4"/>
  <c r="I2808" i="4"/>
  <c r="I2800" i="4"/>
  <c r="I2792" i="4"/>
  <c r="I2784" i="4"/>
  <c r="I2776" i="4"/>
  <c r="I2768" i="4"/>
  <c r="I2760" i="4"/>
  <c r="O3971" i="4"/>
  <c r="O3792" i="4"/>
  <c r="O3239" i="4"/>
  <c r="O3223" i="4"/>
  <c r="O3207" i="4"/>
  <c r="O3191" i="4"/>
  <c r="O3175" i="4"/>
  <c r="O3159" i="4"/>
  <c r="O3143" i="4"/>
  <c r="O3127" i="4"/>
  <c r="O3111" i="4"/>
  <c r="O3095" i="4"/>
  <c r="O3079" i="4"/>
  <c r="O3063" i="4"/>
  <c r="O3047" i="4"/>
  <c r="O3031" i="4"/>
  <c r="O3015" i="4"/>
  <c r="O2999" i="4"/>
  <c r="O2983" i="4"/>
  <c r="O2967" i="4"/>
  <c r="O2951" i="4"/>
  <c r="O2935" i="4"/>
  <c r="O2919" i="4"/>
  <c r="O2903" i="4"/>
  <c r="O2887" i="4"/>
  <c r="O2871" i="4"/>
  <c r="O2855" i="4"/>
  <c r="O2839" i="4"/>
  <c r="O2823" i="4"/>
  <c r="O2807" i="4"/>
  <c r="O2791" i="4"/>
  <c r="O2775" i="4"/>
  <c r="O2759" i="4"/>
  <c r="O2743" i="4"/>
  <c r="O2727" i="4"/>
  <c r="O2711" i="4"/>
  <c r="O2695" i="4"/>
  <c r="O2679" i="4"/>
  <c r="O2663" i="4"/>
  <c r="O2647" i="4"/>
  <c r="O2631" i="4"/>
  <c r="O2615" i="4"/>
  <c r="O2599" i="4"/>
  <c r="O2583" i="4"/>
  <c r="O2567" i="4"/>
  <c r="O2551" i="4"/>
  <c r="O3802" i="4"/>
  <c r="O3577" i="4"/>
  <c r="O3449" i="4"/>
  <c r="O3321" i="4"/>
  <c r="L3230" i="4"/>
  <c r="L3198" i="4"/>
  <c r="L3166" i="4"/>
  <c r="L3134" i="4"/>
  <c r="L3102" i="4"/>
  <c r="L3070" i="4"/>
  <c r="L3038" i="4"/>
  <c r="L3006" i="4"/>
  <c r="L2974" i="4"/>
  <c r="L2942" i="4"/>
  <c r="L2910" i="4"/>
  <c r="L2878" i="4"/>
  <c r="L2846" i="4"/>
  <c r="L2814" i="4"/>
  <c r="L2782" i="4"/>
  <c r="L2751" i="4"/>
  <c r="P2739" i="4"/>
  <c r="R2728" i="4"/>
  <c r="S2717" i="4"/>
  <c r="P2707" i="4"/>
  <c r="R2696" i="4"/>
  <c r="S2685" i="4"/>
  <c r="P2675" i="4"/>
  <c r="R2664" i="4"/>
  <c r="S2653" i="4"/>
  <c r="P2643" i="4"/>
  <c r="R2632" i="4"/>
  <c r="S2621" i="4"/>
  <c r="P2611" i="4"/>
  <c r="R2600" i="4"/>
  <c r="S2589" i="4"/>
  <c r="P2579" i="4"/>
  <c r="R2568" i="4"/>
  <c r="S2557" i="4"/>
  <c r="P2547" i="4"/>
  <c r="O2535" i="4"/>
  <c r="O2519" i="4"/>
  <c r="O2503" i="4"/>
  <c r="O2487" i="4"/>
  <c r="O2471" i="4"/>
  <c r="O2455" i="4"/>
  <c r="O2439" i="4"/>
  <c r="O2423" i="4"/>
  <c r="O2407" i="4"/>
  <c r="O2391" i="4"/>
  <c r="O2375" i="4"/>
  <c r="O2359" i="4"/>
  <c r="O2343" i="4"/>
  <c r="O2327" i="4"/>
  <c r="O2311" i="4"/>
  <c r="O2295" i="4"/>
  <c r="O2279" i="4"/>
  <c r="O2263" i="4"/>
  <c r="O3826" i="4"/>
  <c r="O3587" i="4"/>
  <c r="O3459" i="4"/>
  <c r="O3331" i="4"/>
  <c r="L3231" i="4"/>
  <c r="L3199" i="4"/>
  <c r="L3167" i="4"/>
  <c r="L3135" i="4"/>
  <c r="L3103" i="4"/>
  <c r="L3071" i="4"/>
  <c r="L3039" i="4"/>
  <c r="L3007" i="4"/>
  <c r="L2975" i="4"/>
  <c r="L2943" i="4"/>
  <c r="L2911" i="4"/>
  <c r="L2879" i="4"/>
  <c r="L2847" i="4"/>
  <c r="L2815" i="4"/>
  <c r="L2783" i="4"/>
  <c r="I2751" i="4"/>
  <c r="S2738" i="4"/>
  <c r="P2728" i="4"/>
  <c r="R2717" i="4"/>
  <c r="S2706" i="4"/>
  <c r="P2696" i="4"/>
  <c r="R2685" i="4"/>
  <c r="S2674" i="4"/>
  <c r="P2664" i="4"/>
  <c r="R2653" i="4"/>
  <c r="S2642" i="4"/>
  <c r="P2632" i="4"/>
  <c r="R2621" i="4"/>
  <c r="S2610" i="4"/>
  <c r="P2600" i="4"/>
  <c r="R2589" i="4"/>
  <c r="S2578" i="4"/>
  <c r="P2568" i="4"/>
  <c r="R2557" i="4"/>
  <c r="R3312" i="4"/>
  <c r="R3263" i="4"/>
  <c r="R3673" i="4"/>
  <c r="P3640" i="4"/>
  <c r="P3608" i="4"/>
  <c r="P3576" i="4"/>
  <c r="P3544" i="4"/>
  <c r="P3512" i="4"/>
  <c r="P3480" i="4"/>
  <c r="P3448" i="4"/>
  <c r="P3416" i="4"/>
  <c r="P3384" i="4"/>
  <c r="P3352" i="4"/>
  <c r="P3320" i="4"/>
  <c r="P3288" i="4"/>
  <c r="P3256" i="4"/>
  <c r="J3674" i="4"/>
  <c r="R3209" i="4"/>
  <c r="R3177" i="4"/>
  <c r="R3145" i="4"/>
  <c r="R3113" i="4"/>
  <c r="R3081" i="4"/>
  <c r="R3049" i="4"/>
  <c r="R3017" i="4"/>
  <c r="J2986" i="4"/>
  <c r="J2970" i="4"/>
  <c r="J2954" i="4"/>
  <c r="J2938" i="4"/>
  <c r="J2922" i="4"/>
  <c r="J2906" i="4"/>
  <c r="J2890" i="4"/>
  <c r="J2874" i="4"/>
  <c r="J2858" i="4"/>
  <c r="J2842" i="4"/>
  <c r="J2826" i="4"/>
  <c r="J2810" i="4"/>
  <c r="J2794" i="4"/>
  <c r="J2778" i="4"/>
  <c r="J2762" i="4"/>
  <c r="J2746" i="4"/>
  <c r="O3710" i="4"/>
  <c r="O3646" i="4"/>
  <c r="O3614" i="4"/>
  <c r="O3582" i="4"/>
  <c r="O3550" i="4"/>
  <c r="O3518" i="4"/>
  <c r="O3486" i="4"/>
  <c r="O3454" i="4"/>
  <c r="O3422" i="4"/>
  <c r="O3390" i="4"/>
  <c r="O3358" i="4"/>
  <c r="O3326" i="4"/>
  <c r="O3294" i="4"/>
  <c r="O3262" i="4"/>
  <c r="P3237" i="4"/>
  <c r="P3229" i="4"/>
  <c r="P3221" i="4"/>
  <c r="P3213" i="4"/>
  <c r="P3205" i="4"/>
  <c r="P3197" i="4"/>
  <c r="P3189" i="4"/>
  <c r="P3181" i="4"/>
  <c r="P3173" i="4"/>
  <c r="P3165" i="4"/>
  <c r="P3157" i="4"/>
  <c r="P3149" i="4"/>
  <c r="P3141" i="4"/>
  <c r="P3133" i="4"/>
  <c r="P3125" i="4"/>
  <c r="P3117" i="4"/>
  <c r="P3109" i="4"/>
  <c r="P3101" i="4"/>
  <c r="P3093" i="4"/>
  <c r="P3085" i="4"/>
  <c r="P3077" i="4"/>
  <c r="P3069" i="4"/>
  <c r="P3061" i="4"/>
  <c r="P3053" i="4"/>
  <c r="P3045" i="4"/>
  <c r="P3037" i="4"/>
  <c r="P3029" i="4"/>
  <c r="P3021" i="4"/>
  <c r="P3013" i="4"/>
  <c r="P3005" i="4"/>
  <c r="P2997" i="4"/>
  <c r="P2989" i="4"/>
  <c r="P2981" i="4"/>
  <c r="P2973" i="4"/>
  <c r="P2965" i="4"/>
  <c r="P2957" i="4"/>
  <c r="P2949" i="4"/>
  <c r="P2941" i="4"/>
  <c r="P2933" i="4"/>
  <c r="P2925" i="4"/>
  <c r="P2917" i="4"/>
  <c r="P2909" i="4"/>
  <c r="P2901" i="4"/>
  <c r="P2893" i="4"/>
  <c r="P2885" i="4"/>
  <c r="P2877" i="4"/>
  <c r="P2869" i="4"/>
  <c r="P2861" i="4"/>
  <c r="P2853" i="4"/>
  <c r="P2845" i="4"/>
  <c r="P2837" i="4"/>
  <c r="P2829" i="4"/>
  <c r="P2821" i="4"/>
  <c r="P2813" i="4"/>
  <c r="P2805" i="4"/>
  <c r="P2797" i="4"/>
  <c r="P2789" i="4"/>
  <c r="P2781" i="4"/>
  <c r="P2773" i="4"/>
  <c r="P2765" i="4"/>
  <c r="P2757" i="4"/>
  <c r="O3880" i="4"/>
  <c r="O3752" i="4"/>
  <c r="O3234" i="4"/>
  <c r="O3218" i="4"/>
  <c r="O3202" i="4"/>
  <c r="O3186" i="4"/>
  <c r="O3170" i="4"/>
  <c r="O3154" i="4"/>
  <c r="O3138" i="4"/>
  <c r="O3122" i="4"/>
  <c r="O3106" i="4"/>
  <c r="O3090" i="4"/>
  <c r="O3074" i="4"/>
  <c r="O3058" i="4"/>
  <c r="O3042" i="4"/>
  <c r="O3026" i="4"/>
  <c r="O3010" i="4"/>
  <c r="O2994" i="4"/>
  <c r="O2978" i="4"/>
  <c r="O2962" i="4"/>
  <c r="O2946" i="4"/>
  <c r="O2930" i="4"/>
  <c r="O2914" i="4"/>
  <c r="O2898" i="4"/>
  <c r="O2882" i="4"/>
  <c r="O2866" i="4"/>
  <c r="O2850" i="4"/>
  <c r="O2834" i="4"/>
  <c r="O2818" i="4"/>
  <c r="O2802" i="4"/>
  <c r="O2786" i="4"/>
  <c r="O2770" i="4"/>
  <c r="O2754" i="4"/>
  <c r="O2738" i="4"/>
  <c r="O2722" i="4"/>
  <c r="O2706" i="4"/>
  <c r="O2690" i="4"/>
  <c r="O2674" i="4"/>
  <c r="O2658" i="4"/>
  <c r="O2642" i="4"/>
  <c r="O2626" i="4"/>
  <c r="O2610" i="4"/>
  <c r="O2594" i="4"/>
  <c r="O2578" i="4"/>
  <c r="O2562" i="4"/>
  <c r="O2546" i="4"/>
  <c r="O3665" i="4"/>
  <c r="O3537" i="4"/>
  <c r="O3409" i="4"/>
  <c r="O3281" i="4"/>
  <c r="S3219" i="4"/>
  <c r="S3187" i="4"/>
  <c r="S3155" i="4"/>
  <c r="S3123" i="4"/>
  <c r="S3091" i="4"/>
  <c r="S3059" i="4"/>
  <c r="S3027" i="4"/>
  <c r="S2995" i="4"/>
  <c r="S2963" i="4"/>
  <c r="S2931" i="4"/>
  <c r="S2899" i="4"/>
  <c r="S2867" i="4"/>
  <c r="S2835" i="4"/>
  <c r="S2803" i="4"/>
  <c r="S2771" i="4"/>
  <c r="P2746" i="4"/>
  <c r="I2736" i="4"/>
  <c r="J2725" i="4"/>
  <c r="L2714" i="4"/>
  <c r="I2704" i="4"/>
  <c r="J2693" i="4"/>
  <c r="L2682" i="4"/>
  <c r="I2672" i="4"/>
  <c r="J2661" i="4"/>
  <c r="L2650" i="4"/>
  <c r="I2640" i="4"/>
  <c r="J2629" i="4"/>
  <c r="L2618" i="4"/>
  <c r="I2608" i="4"/>
  <c r="J2597" i="4"/>
  <c r="L2586" i="4"/>
  <c r="I2576" i="4"/>
  <c r="J2565" i="4"/>
  <c r="L2554" i="4"/>
  <c r="I2544" i="4"/>
  <c r="O2530" i="4"/>
  <c r="O2514" i="4"/>
  <c r="O2498" i="4"/>
  <c r="O2482" i="4"/>
  <c r="O2466" i="4"/>
  <c r="O2450" i="4"/>
  <c r="O2434" i="4"/>
  <c r="O2418" i="4"/>
  <c r="O2402" i="4"/>
  <c r="O2386" i="4"/>
  <c r="O2370" i="4"/>
  <c r="O2354" i="4"/>
  <c r="O2338" i="4"/>
  <c r="O2322" i="4"/>
  <c r="O2306" i="4"/>
  <c r="O2290" i="4"/>
  <c r="O2274" i="4"/>
  <c r="O2258" i="4"/>
  <c r="L3678" i="4"/>
  <c r="O3547" i="4"/>
  <c r="O3419" i="4"/>
  <c r="O3291" i="4"/>
  <c r="S3220" i="4"/>
  <c r="S3188" i="4"/>
  <c r="S3156" i="4"/>
  <c r="S3124" i="4"/>
  <c r="S3092" i="4"/>
  <c r="S3060" i="4"/>
  <c r="S3028" i="4"/>
  <c r="S2996" i="4"/>
  <c r="S2964" i="4"/>
  <c r="S2932" i="4"/>
  <c r="S2900" i="4"/>
  <c r="S2868" i="4"/>
  <c r="S2836" i="4"/>
  <c r="S2804" i="4"/>
  <c r="S2772" i="4"/>
  <c r="L2746" i="4"/>
  <c r="L2735" i="4"/>
  <c r="I2725" i="4"/>
  <c r="J2714" i="4"/>
  <c r="L2703" i="4"/>
  <c r="I2693" i="4"/>
  <c r="J2682" i="4"/>
  <c r="L2671" i="4"/>
  <c r="I2661" i="4"/>
  <c r="J2650" i="4"/>
  <c r="L2639" i="4"/>
  <c r="I2629" i="4"/>
  <c r="J2618" i="4"/>
  <c r="L2607" i="4"/>
  <c r="I2597" i="4"/>
  <c r="J2586" i="4"/>
  <c r="L2575" i="4"/>
  <c r="I2565" i="4"/>
  <c r="J2554" i="4"/>
  <c r="R3292" i="4"/>
  <c r="J3250" i="4"/>
  <c r="P3662" i="4"/>
  <c r="P3630" i="4"/>
  <c r="P3598" i="4"/>
  <c r="P3566" i="4"/>
  <c r="P3534" i="4"/>
  <c r="P3502" i="4"/>
  <c r="P3470" i="4"/>
  <c r="P3438" i="4"/>
  <c r="P3406" i="4"/>
  <c r="P3374" i="4"/>
  <c r="P3342" i="4"/>
  <c r="P3310" i="4"/>
  <c r="P3278" i="4"/>
  <c r="P3246" i="4"/>
  <c r="R3231" i="4"/>
  <c r="R3199" i="4"/>
  <c r="R3167" i="4"/>
  <c r="R3135" i="4"/>
  <c r="R3103" i="4"/>
  <c r="R3071" i="4"/>
  <c r="R3039" i="4"/>
  <c r="R3007" i="4"/>
  <c r="R2981" i="4"/>
  <c r="R2965" i="4"/>
  <c r="R2949" i="4"/>
  <c r="R2933" i="4"/>
  <c r="R2917" i="4"/>
  <c r="R2901" i="4"/>
  <c r="R2885" i="4"/>
  <c r="R2869" i="4"/>
  <c r="R2853" i="4"/>
  <c r="R2837" i="4"/>
  <c r="R2821" i="4"/>
  <c r="R2805" i="4"/>
  <c r="R2789" i="4"/>
  <c r="R2773" i="4"/>
  <c r="R2757" i="4"/>
  <c r="O3862" i="4"/>
  <c r="O3675" i="4"/>
  <c r="O3636" i="4"/>
  <c r="O3604" i="4"/>
  <c r="O3572" i="4"/>
  <c r="O3540" i="4"/>
  <c r="O3508" i="4"/>
  <c r="O3476" i="4"/>
  <c r="O3444" i="4"/>
  <c r="O3412" i="4"/>
  <c r="O3380" i="4"/>
  <c r="O3348" i="4"/>
  <c r="O3316" i="4"/>
  <c r="O3284" i="4"/>
  <c r="O3252" i="4"/>
  <c r="I3235" i="4"/>
  <c r="I3227" i="4"/>
  <c r="I3219" i="4"/>
  <c r="I3211" i="4"/>
  <c r="I3203" i="4"/>
  <c r="I3195" i="4"/>
  <c r="I3187" i="4"/>
  <c r="I3179" i="4"/>
  <c r="I3171" i="4"/>
  <c r="I3163" i="4"/>
  <c r="I3155" i="4"/>
  <c r="I3147" i="4"/>
  <c r="I3139" i="4"/>
  <c r="I3131" i="4"/>
  <c r="I3123" i="4"/>
  <c r="I3115" i="4"/>
  <c r="I3107" i="4"/>
  <c r="I3099" i="4"/>
  <c r="I3091" i="4"/>
  <c r="I3083" i="4"/>
  <c r="I3075" i="4"/>
  <c r="I3067" i="4"/>
  <c r="I3059" i="4"/>
  <c r="I3051" i="4"/>
  <c r="I3043" i="4"/>
  <c r="I3035" i="4"/>
  <c r="I3027" i="4"/>
  <c r="I3019" i="4"/>
  <c r="I3011" i="4"/>
  <c r="I3003" i="4"/>
  <c r="I2995" i="4"/>
  <c r="I2987" i="4"/>
  <c r="I2979" i="4"/>
  <c r="I2971" i="4"/>
  <c r="I2963" i="4"/>
  <c r="I2955" i="4"/>
  <c r="I2947" i="4"/>
  <c r="I2939" i="4"/>
  <c r="I2931" i="4"/>
  <c r="I2923" i="4"/>
  <c r="I2915" i="4"/>
  <c r="I2907" i="4"/>
  <c r="I2899" i="4"/>
  <c r="I2891" i="4"/>
  <c r="I2883" i="4"/>
  <c r="I2875" i="4"/>
  <c r="I2867" i="4"/>
  <c r="I2859" i="4"/>
  <c r="I2851" i="4"/>
  <c r="I2843" i="4"/>
  <c r="I2835" i="4"/>
  <c r="I2827" i="4"/>
  <c r="I2819" i="4"/>
  <c r="I2811" i="4"/>
  <c r="I2803" i="4"/>
  <c r="I2795" i="4"/>
  <c r="I2787" i="4"/>
  <c r="I2779" i="4"/>
  <c r="I2771" i="4"/>
  <c r="I2763" i="4"/>
  <c r="I2755" i="4"/>
  <c r="O3840" i="4"/>
  <c r="O3712" i="4"/>
  <c r="O3229" i="4"/>
  <c r="O3213" i="4"/>
  <c r="O3197" i="4"/>
  <c r="O3181" i="4"/>
  <c r="O3165" i="4"/>
  <c r="O3149" i="4"/>
  <c r="O3133" i="4"/>
  <c r="O3117" i="4"/>
  <c r="O3101" i="4"/>
  <c r="O3085" i="4"/>
  <c r="O3069" i="4"/>
  <c r="O3053" i="4"/>
  <c r="O3037" i="4"/>
  <c r="O3021" i="4"/>
  <c r="R4338" i="4"/>
  <c r="O4328" i="4"/>
  <c r="L4111" i="4"/>
  <c r="P4053" i="4"/>
  <c r="S3939" i="4"/>
  <c r="J4146" i="4"/>
  <c r="R4002" i="4"/>
  <c r="S3928" i="4"/>
  <c r="J3924" i="4"/>
  <c r="I3946" i="4"/>
  <c r="L3727" i="4"/>
  <c r="R3745" i="4"/>
  <c r="P3751" i="4"/>
  <c r="P3959" i="4"/>
  <c r="S3784" i="4"/>
  <c r="J3893" i="4"/>
  <c r="J3765" i="4"/>
  <c r="I4095" i="4"/>
  <c r="I3945" i="4"/>
  <c r="L3854" i="4"/>
  <c r="L3726" i="4"/>
  <c r="R3872" i="4"/>
  <c r="R3744" i="4"/>
  <c r="P3878" i="4"/>
  <c r="P3750" i="4"/>
  <c r="R4091" i="4"/>
  <c r="P3942" i="4"/>
  <c r="S3851" i="4"/>
  <c r="S3723" i="4"/>
  <c r="J3870" i="4"/>
  <c r="J3742" i="4"/>
  <c r="I3876" i="4"/>
  <c r="J3701" i="4"/>
  <c r="I3743" i="4"/>
  <c r="S4085" i="4"/>
  <c r="L3621" i="4"/>
  <c r="L3557" i="4"/>
  <c r="L3493" i="4"/>
  <c r="L3429" i="4"/>
  <c r="L3365" i="4"/>
  <c r="L3301" i="4"/>
  <c r="L4098" i="4"/>
  <c r="O3715" i="4"/>
  <c r="J3622" i="4"/>
  <c r="J3558" i="4"/>
  <c r="J3494" i="4"/>
  <c r="J3430" i="4"/>
  <c r="J3366" i="4"/>
  <c r="J3310" i="4"/>
  <c r="J3683" i="4"/>
  <c r="I3817" i="4"/>
  <c r="I3734" i="4"/>
  <c r="I3696" i="4"/>
  <c r="S4013" i="4"/>
  <c r="S3648" i="4"/>
  <c r="S3616" i="4"/>
  <c r="S3584" i="4"/>
  <c r="S3552" i="4"/>
  <c r="S3520" i="4"/>
  <c r="S3488" i="4"/>
  <c r="S3456" i="4"/>
  <c r="S3424" i="4"/>
  <c r="S3392" i="4"/>
  <c r="S3360" i="4"/>
  <c r="S3328" i="4"/>
  <c r="S3296" i="4"/>
  <c r="S3264" i="4"/>
  <c r="P4063" i="4"/>
  <c r="O3825" i="4"/>
  <c r="O3697" i="4"/>
  <c r="R3649" i="4"/>
  <c r="R3617" i="4"/>
  <c r="R3585" i="4"/>
  <c r="R3553" i="4"/>
  <c r="R3521" i="4"/>
  <c r="R3489" i="4"/>
  <c r="R3457" i="4"/>
  <c r="R3425" i="4"/>
  <c r="R3393" i="4"/>
  <c r="R3361" i="4"/>
  <c r="R3329" i="4"/>
  <c r="I3887" i="4"/>
  <c r="I3769" i="4"/>
  <c r="P3713" i="4"/>
  <c r="P3681" i="4"/>
  <c r="L3666" i="4"/>
  <c r="L3634" i="4"/>
  <c r="L3602" i="4"/>
  <c r="L3570" i="4"/>
  <c r="L3538" i="4"/>
  <c r="L3506" i="4"/>
  <c r="L3474" i="4"/>
  <c r="L3442" i="4"/>
  <c r="L3410" i="4"/>
  <c r="L3378" i="4"/>
  <c r="L3346" i="4"/>
  <c r="L3314" i="4"/>
  <c r="L3282" i="4"/>
  <c r="L3250" i="4"/>
  <c r="L3895" i="4"/>
  <c r="O3767" i="4"/>
  <c r="J3667" i="4"/>
  <c r="J3635" i="4"/>
  <c r="J3603" i="4"/>
  <c r="J3571" i="4"/>
  <c r="J3539" i="4"/>
  <c r="J3507" i="4"/>
  <c r="J3475" i="4"/>
  <c r="J3443" i="4"/>
  <c r="J3411" i="4"/>
  <c r="J3379" i="4"/>
  <c r="J3347" i="4"/>
  <c r="J3315" i="4"/>
  <c r="J3283" i="4"/>
  <c r="J3251" i="4"/>
  <c r="J3711" i="4"/>
  <c r="I3845" i="4"/>
  <c r="I3748" i="4"/>
  <c r="I3703" i="4"/>
  <c r="P4125" i="4"/>
  <c r="S3655" i="4"/>
  <c r="S3623" i="4"/>
  <c r="S3591" i="4"/>
  <c r="S3559" i="4"/>
  <c r="S3527" i="4"/>
  <c r="S3495" i="4"/>
  <c r="S3463" i="4"/>
  <c r="S3431" i="4"/>
  <c r="S3399" i="4"/>
  <c r="S3367" i="4"/>
  <c r="S3335" i="4"/>
  <c r="S3303" i="4"/>
  <c r="S3271" i="4"/>
  <c r="I4127" i="4"/>
  <c r="O3853" i="4"/>
  <c r="O3725" i="4"/>
  <c r="R3656" i="4"/>
  <c r="R3624" i="4"/>
  <c r="R3592" i="4"/>
  <c r="R3560" i="4"/>
  <c r="R3528" i="4"/>
  <c r="R3496" i="4"/>
  <c r="R3464" i="4"/>
  <c r="R3432" i="4"/>
  <c r="R3400" i="4"/>
  <c r="R3368" i="4"/>
  <c r="R3336" i="4"/>
  <c r="R3303" i="4"/>
  <c r="R3257" i="4"/>
  <c r="I3668" i="4"/>
  <c r="I3636" i="4"/>
  <c r="I3604" i="4"/>
  <c r="I3572" i="4"/>
  <c r="I3554" i="4"/>
  <c r="I3540" i="4"/>
  <c r="I3530" i="4"/>
  <c r="I3520" i="4"/>
  <c r="I3508" i="4"/>
  <c r="I3498" i="4"/>
  <c r="I3488" i="4"/>
  <c r="I3476" i="4"/>
  <c r="I3466" i="4"/>
  <c r="I3456" i="4"/>
  <c r="I3444" i="4"/>
  <c r="I3434" i="4"/>
  <c r="I3424" i="4"/>
  <c r="I3412" i="4"/>
  <c r="I3402" i="4"/>
  <c r="I3392" i="4"/>
  <c r="I3380" i="4"/>
  <c r="I3370" i="4"/>
  <c r="I3360" i="4"/>
  <c r="I3348" i="4"/>
  <c r="I3338" i="4"/>
  <c r="I3328" i="4"/>
  <c r="I3316" i="4"/>
  <c r="I3306" i="4"/>
  <c r="I3296" i="4"/>
  <c r="I3284" i="4"/>
  <c r="I3274" i="4"/>
  <c r="I3264" i="4"/>
  <c r="I3252" i="4"/>
  <c r="I3242" i="4"/>
  <c r="O3796" i="4"/>
  <c r="J3237" i="4"/>
  <c r="J3227" i="4"/>
  <c r="J3217" i="4"/>
  <c r="J3205" i="4"/>
  <c r="J3195" i="4"/>
  <c r="J3185" i="4"/>
  <c r="J3173" i="4"/>
  <c r="J3163" i="4"/>
  <c r="J3153" i="4"/>
  <c r="J3141" i="4"/>
  <c r="J3131" i="4"/>
  <c r="J3121" i="4"/>
  <c r="J3109" i="4"/>
  <c r="J3099" i="4"/>
  <c r="J3089" i="4"/>
  <c r="J3077" i="4"/>
  <c r="J3067" i="4"/>
  <c r="J3057" i="4"/>
  <c r="J3045" i="4"/>
  <c r="J3035" i="4"/>
  <c r="J3025" i="4"/>
  <c r="J3013" i="4"/>
  <c r="J3003" i="4"/>
  <c r="J2993" i="4"/>
  <c r="J2981" i="4"/>
  <c r="J2971" i="4"/>
  <c r="J2961" i="4"/>
  <c r="J2949" i="4"/>
  <c r="J2939" i="4"/>
  <c r="J2929" i="4"/>
  <c r="J2917" i="4"/>
  <c r="J2907" i="4"/>
  <c r="J2897" i="4"/>
  <c r="J2885" i="4"/>
  <c r="J2875" i="4"/>
  <c r="J2865" i="4"/>
  <c r="J2853" i="4"/>
  <c r="J2843" i="4"/>
  <c r="J2833" i="4"/>
  <c r="J2821" i="4"/>
  <c r="J2811" i="4"/>
  <c r="J2801" i="4"/>
  <c r="J2789" i="4"/>
  <c r="J2779" i="4"/>
  <c r="J2769" i="4"/>
  <c r="J2757" i="4"/>
  <c r="J2747" i="4"/>
  <c r="O3790" i="4"/>
  <c r="O3660" i="4"/>
  <c r="R3306" i="4"/>
  <c r="R3288" i="4"/>
  <c r="R3272" i="4"/>
  <c r="R3259" i="4"/>
  <c r="J3246" i="4"/>
  <c r="O3961" i="4"/>
  <c r="P3669" i="4"/>
  <c r="P3659" i="4"/>
  <c r="P3647" i="4"/>
  <c r="P3637" i="4"/>
  <c r="P3627" i="4"/>
  <c r="P3615" i="4"/>
  <c r="P3605" i="4"/>
  <c r="P3595" i="4"/>
  <c r="P3583" i="4"/>
  <c r="P3573" i="4"/>
  <c r="P3563" i="4"/>
  <c r="P3551" i="4"/>
  <c r="P3541" i="4"/>
  <c r="P3531" i="4"/>
  <c r="P3519" i="4"/>
  <c r="P3509" i="4"/>
  <c r="P3499" i="4"/>
  <c r="P3487" i="4"/>
  <c r="P3477" i="4"/>
  <c r="P3467" i="4"/>
  <c r="P3455" i="4"/>
  <c r="P3445" i="4"/>
  <c r="P3435" i="4"/>
  <c r="P3423" i="4"/>
  <c r="P3413" i="4"/>
  <c r="P3403" i="4"/>
  <c r="P3391" i="4"/>
  <c r="P3381" i="4"/>
  <c r="P3371" i="4"/>
  <c r="P3359" i="4"/>
  <c r="P3349" i="4"/>
  <c r="P3339" i="4"/>
  <c r="P3327" i="4"/>
  <c r="P3317" i="4"/>
  <c r="P3307" i="4"/>
  <c r="P3295" i="4"/>
  <c r="P3285" i="4"/>
  <c r="P3275" i="4"/>
  <c r="P3263" i="4"/>
  <c r="P3253" i="4"/>
  <c r="P3243" i="4"/>
  <c r="O3788" i="4"/>
  <c r="R3238" i="4"/>
  <c r="R3228" i="4"/>
  <c r="R3216" i="4"/>
  <c r="R3206" i="4"/>
  <c r="R3196" i="4"/>
  <c r="R3184" i="4"/>
  <c r="R3174" i="4"/>
  <c r="R3164" i="4"/>
  <c r="R3152" i="4"/>
  <c r="R3142" i="4"/>
  <c r="R3132" i="4"/>
  <c r="R3120" i="4"/>
  <c r="R3110" i="4"/>
  <c r="R3100" i="4"/>
  <c r="R3088" i="4"/>
  <c r="R3078" i="4"/>
  <c r="R3068" i="4"/>
  <c r="R3056" i="4"/>
  <c r="R3046" i="4"/>
  <c r="R3036" i="4"/>
  <c r="R3024" i="4"/>
  <c r="R3014" i="4"/>
  <c r="R3004" i="4"/>
  <c r="R2992" i="4"/>
  <c r="R2982" i="4"/>
  <c r="R2972" i="4"/>
  <c r="R2960" i="4"/>
  <c r="R2950" i="4"/>
  <c r="R2940" i="4"/>
  <c r="R2928" i="4"/>
  <c r="R2918" i="4"/>
  <c r="R2908" i="4"/>
  <c r="R2896" i="4"/>
  <c r="R2886" i="4"/>
  <c r="R2876" i="4"/>
  <c r="R2864" i="4"/>
  <c r="R2854" i="4"/>
  <c r="R2844" i="4"/>
  <c r="R2832" i="4"/>
  <c r="R2822" i="4"/>
  <c r="R2812" i="4"/>
  <c r="R2800" i="4"/>
  <c r="R2790" i="4"/>
  <c r="R2780" i="4"/>
  <c r="R2768" i="4"/>
  <c r="R2758" i="4"/>
  <c r="R2748" i="4"/>
  <c r="O3782" i="4"/>
  <c r="R3301" i="4"/>
  <c r="R3285" i="4"/>
  <c r="R3269" i="4"/>
  <c r="J3256" i="4"/>
  <c r="R3242" i="4"/>
  <c r="O3905" i="4"/>
  <c r="I3667" i="4"/>
  <c r="I3657" i="4"/>
  <c r="I3645" i="4"/>
  <c r="I3635" i="4"/>
  <c r="I3625" i="4"/>
  <c r="I3613" i="4"/>
  <c r="I3603" i="4"/>
  <c r="I3593" i="4"/>
  <c r="I3581" i="4"/>
  <c r="I3571" i="4"/>
  <c r="I3561" i="4"/>
  <c r="I3549" i="4"/>
  <c r="I3539" i="4"/>
  <c r="I3529" i="4"/>
  <c r="I3517" i="4"/>
  <c r="I3507" i="4"/>
  <c r="I3497" i="4"/>
  <c r="I3485" i="4"/>
  <c r="I3475" i="4"/>
  <c r="I3465" i="4"/>
  <c r="I3453" i="4"/>
  <c r="I3443" i="4"/>
  <c r="I3433" i="4"/>
  <c r="I3421" i="4"/>
  <c r="I3411" i="4"/>
  <c r="I3401" i="4"/>
  <c r="I3389" i="4"/>
  <c r="I3379" i="4"/>
  <c r="I3369" i="4"/>
  <c r="I3357" i="4"/>
  <c r="I3347" i="4"/>
  <c r="I3337" i="4"/>
  <c r="I3325" i="4"/>
  <c r="I3315" i="4"/>
  <c r="I3305" i="4"/>
  <c r="I3293" i="4"/>
  <c r="I3283" i="4"/>
  <c r="I3273" i="4"/>
  <c r="I3261" i="4"/>
  <c r="I3251" i="4"/>
  <c r="I3241" i="4"/>
  <c r="O3748" i="4"/>
  <c r="J3236" i="4"/>
  <c r="J3226" i="4"/>
  <c r="J3214" i="4"/>
  <c r="J3204" i="4"/>
  <c r="J3194" i="4"/>
  <c r="J3182" i="4"/>
  <c r="J3172" i="4"/>
  <c r="J3162" i="4"/>
  <c r="J3150" i="4"/>
  <c r="J3140" i="4"/>
  <c r="J3130" i="4"/>
  <c r="J3118" i="4"/>
  <c r="J3108" i="4"/>
  <c r="J3098" i="4"/>
  <c r="J3086" i="4"/>
  <c r="J3076" i="4"/>
  <c r="J3066" i="4"/>
  <c r="J3054" i="4"/>
  <c r="J3044" i="4"/>
  <c r="J3034" i="4"/>
  <c r="J3022" i="4"/>
  <c r="J3012" i="4"/>
  <c r="J3002" i="4"/>
  <c r="J2990" i="4"/>
  <c r="R3276" i="4"/>
  <c r="O3677" i="4"/>
  <c r="P3626" i="4"/>
  <c r="P3586" i="4"/>
  <c r="P3546" i="4"/>
  <c r="P3498" i="4"/>
  <c r="P3458" i="4"/>
  <c r="P3418" i="4"/>
  <c r="P3370" i="4"/>
  <c r="P3330" i="4"/>
  <c r="P3290" i="4"/>
  <c r="P3242" i="4"/>
  <c r="R3219" i="4"/>
  <c r="R3179" i="4"/>
  <c r="R3131" i="4"/>
  <c r="R3091" i="4"/>
  <c r="R3051" i="4"/>
  <c r="R3003" i="4"/>
  <c r="R2975" i="4"/>
  <c r="R2955" i="4"/>
  <c r="R2931" i="4"/>
  <c r="R2911" i="4"/>
  <c r="R2891" i="4"/>
  <c r="R2867" i="4"/>
  <c r="R2847" i="4"/>
  <c r="R2827" i="4"/>
  <c r="R2803" i="4"/>
  <c r="R2783" i="4"/>
  <c r="R2763" i="4"/>
  <c r="O3830" i="4"/>
  <c r="O3658" i="4"/>
  <c r="O3616" i="4"/>
  <c r="O3568" i="4"/>
  <c r="O3528" i="4"/>
  <c r="O3488" i="4"/>
  <c r="O3440" i="4"/>
  <c r="O3400" i="4"/>
  <c r="O3360" i="4"/>
  <c r="O3312" i="4"/>
  <c r="O3272" i="4"/>
  <c r="I3238" i="4"/>
  <c r="I3226" i="4"/>
  <c r="I3216" i="4"/>
  <c r="I3206" i="4"/>
  <c r="I3194" i="4"/>
  <c r="I3184" i="4"/>
  <c r="I3174" i="4"/>
  <c r="I3162" i="4"/>
  <c r="I3152" i="4"/>
  <c r="I3142" i="4"/>
  <c r="I3130" i="4"/>
  <c r="I3120" i="4"/>
  <c r="I3110" i="4"/>
  <c r="I3098" i="4"/>
  <c r="I3088" i="4"/>
  <c r="I3078" i="4"/>
  <c r="I3066" i="4"/>
  <c r="I3056" i="4"/>
  <c r="I3046" i="4"/>
  <c r="I3034" i="4"/>
  <c r="I3024" i="4"/>
  <c r="I3014" i="4"/>
  <c r="I3006" i="4"/>
  <c r="I2998" i="4"/>
  <c r="I2990" i="4"/>
  <c r="I2982" i="4"/>
  <c r="I2974" i="4"/>
  <c r="I2966" i="4"/>
  <c r="I2958" i="4"/>
  <c r="I2950" i="4"/>
  <c r="I2942" i="4"/>
  <c r="I2934" i="4"/>
  <c r="I2926" i="4"/>
  <c r="I2918" i="4"/>
  <c r="I2910" i="4"/>
  <c r="I2902" i="4"/>
  <c r="I2894" i="4"/>
  <c r="I2886" i="4"/>
  <c r="I2878" i="4"/>
  <c r="I2870" i="4"/>
  <c r="I2862" i="4"/>
  <c r="I2854" i="4"/>
  <c r="I2846" i="4"/>
  <c r="I2838" i="4"/>
  <c r="I2830" i="4"/>
  <c r="I2822" i="4"/>
  <c r="I2814" i="4"/>
  <c r="I2806" i="4"/>
  <c r="I2798" i="4"/>
  <c r="I2790" i="4"/>
  <c r="I2782" i="4"/>
  <c r="I2774" i="4"/>
  <c r="I2766" i="4"/>
  <c r="I2758" i="4"/>
  <c r="O3888" i="4"/>
  <c r="O3760" i="4"/>
  <c r="O3235" i="4"/>
  <c r="O3219" i="4"/>
  <c r="O3203" i="4"/>
  <c r="O3187" i="4"/>
  <c r="O3171" i="4"/>
  <c r="O3155" i="4"/>
  <c r="O3139" i="4"/>
  <c r="O3123" i="4"/>
  <c r="O3107" i="4"/>
  <c r="O3091" i="4"/>
  <c r="O3075" i="4"/>
  <c r="O3059" i="4"/>
  <c r="O3043" i="4"/>
  <c r="O3027" i="4"/>
  <c r="O3011" i="4"/>
  <c r="O2995" i="4"/>
  <c r="O2979" i="4"/>
  <c r="O2963" i="4"/>
  <c r="O2947" i="4"/>
  <c r="O2931" i="4"/>
  <c r="O2915" i="4"/>
  <c r="O2899" i="4"/>
  <c r="O2883" i="4"/>
  <c r="O2867" i="4"/>
  <c r="O2851" i="4"/>
  <c r="O2835" i="4"/>
  <c r="O2819" i="4"/>
  <c r="O2803" i="4"/>
  <c r="O2787" i="4"/>
  <c r="O2771" i="4"/>
  <c r="O2755" i="4"/>
  <c r="O2739" i="4"/>
  <c r="O2723" i="4"/>
  <c r="O2707" i="4"/>
  <c r="O2691" i="4"/>
  <c r="O2675" i="4"/>
  <c r="O2659" i="4"/>
  <c r="O2643" i="4"/>
  <c r="O2627" i="4"/>
  <c r="O2611" i="4"/>
  <c r="O2595" i="4"/>
  <c r="O2579" i="4"/>
  <c r="O2563" i="4"/>
  <c r="O2547" i="4"/>
  <c r="L3676" i="4"/>
  <c r="O3545" i="4"/>
  <c r="O3417" i="4"/>
  <c r="O3289" i="4"/>
  <c r="L3222" i="4"/>
  <c r="L3190" i="4"/>
  <c r="L3158" i="4"/>
  <c r="L3126" i="4"/>
  <c r="L3094" i="4"/>
  <c r="L3062" i="4"/>
  <c r="L3030" i="4"/>
  <c r="L2998" i="4"/>
  <c r="L2966" i="4"/>
  <c r="L2934" i="4"/>
  <c r="L2902" i="4"/>
  <c r="L2870" i="4"/>
  <c r="L2838" i="4"/>
  <c r="L2806" i="4"/>
  <c r="L2774" i="4"/>
  <c r="L2747" i="4"/>
  <c r="R2736" i="4"/>
  <c r="S2725" i="4"/>
  <c r="P2715" i="4"/>
  <c r="R2704" i="4"/>
  <c r="S2693" i="4"/>
  <c r="P2683" i="4"/>
  <c r="R2672" i="4"/>
  <c r="S2661" i="4"/>
  <c r="P2651" i="4"/>
  <c r="R2640" i="4"/>
  <c r="S2629" i="4"/>
  <c r="P2619" i="4"/>
  <c r="R2608" i="4"/>
  <c r="S2597" i="4"/>
  <c r="P2587" i="4"/>
  <c r="R2576" i="4"/>
  <c r="S2565" i="4"/>
  <c r="P2555" i="4"/>
  <c r="R2544" i="4"/>
  <c r="O2531" i="4"/>
  <c r="O2515" i="4"/>
  <c r="O2499" i="4"/>
  <c r="O2483" i="4"/>
  <c r="O2467" i="4"/>
  <c r="O2451" i="4"/>
  <c r="O2435" i="4"/>
  <c r="O2419" i="4"/>
  <c r="O2403" i="4"/>
  <c r="O2387" i="4"/>
  <c r="O2371" i="4"/>
  <c r="O2355" i="4"/>
  <c r="O2339" i="4"/>
  <c r="O2323" i="4"/>
  <c r="O2307" i="4"/>
  <c r="O2291" i="4"/>
  <c r="O2275" i="4"/>
  <c r="O2259" i="4"/>
  <c r="O3698" i="4"/>
  <c r="O3555" i="4"/>
  <c r="O3427" i="4"/>
  <c r="O3299" i="4"/>
  <c r="L3223" i="4"/>
  <c r="L3191" i="4"/>
  <c r="L3159" i="4"/>
  <c r="L3127" i="4"/>
  <c r="L3095" i="4"/>
  <c r="L3063" i="4"/>
  <c r="L3031" i="4"/>
  <c r="L2999" i="4"/>
  <c r="L2967" i="4"/>
  <c r="L2935" i="4"/>
  <c r="L2903" i="4"/>
  <c r="L2871" i="4"/>
  <c r="L2839" i="4"/>
  <c r="L2807" i="4"/>
  <c r="L2775" i="4"/>
  <c r="I2747" i="4"/>
  <c r="P2736" i="4"/>
  <c r="R2725" i="4"/>
  <c r="S2714" i="4"/>
  <c r="P2704" i="4"/>
  <c r="R2693" i="4"/>
  <c r="S2682" i="4"/>
  <c r="P2672" i="4"/>
  <c r="R2661" i="4"/>
  <c r="S2650" i="4"/>
  <c r="P2640" i="4"/>
  <c r="R2629" i="4"/>
  <c r="S2618" i="4"/>
  <c r="P2608" i="4"/>
  <c r="R2597" i="4"/>
  <c r="S2586" i="4"/>
  <c r="P2576" i="4"/>
  <c r="R2565" i="4"/>
  <c r="S2554" i="4"/>
  <c r="R3296" i="4"/>
  <c r="R3252" i="4"/>
  <c r="P3664" i="4"/>
  <c r="P3632" i="4"/>
  <c r="P3600" i="4"/>
  <c r="P3568" i="4"/>
  <c r="P3536" i="4"/>
  <c r="P3504" i="4"/>
  <c r="P3472" i="4"/>
  <c r="P3440" i="4"/>
  <c r="P3408" i="4"/>
  <c r="P3376" i="4"/>
  <c r="P3344" i="4"/>
  <c r="P3312" i="4"/>
  <c r="P3280" i="4"/>
  <c r="P3248" i="4"/>
  <c r="R3233" i="4"/>
  <c r="R3201" i="4"/>
  <c r="I4313" i="4"/>
  <c r="I4420" i="4"/>
  <c r="L4059" i="4"/>
  <c r="R3955" i="4"/>
  <c r="J4179" i="4"/>
  <c r="L4007" i="4"/>
  <c r="R4323" i="4"/>
  <c r="J4215" i="4"/>
  <c r="R4301" i="4"/>
  <c r="J4197" i="4"/>
  <c r="L4062" i="4"/>
  <c r="R3681" i="4"/>
  <c r="R3895" i="4"/>
  <c r="R4306" i="4"/>
  <c r="S3740" i="4"/>
  <c r="J3861" i="4"/>
  <c r="J3917" i="4"/>
  <c r="J4052" i="4"/>
  <c r="I3913" i="4"/>
  <c r="L3822" i="4"/>
  <c r="L3694" i="4"/>
  <c r="R3840" i="4"/>
  <c r="R3712" i="4"/>
  <c r="P3846" i="4"/>
  <c r="R3913" i="4"/>
  <c r="S4048" i="4"/>
  <c r="P3910" i="4"/>
  <c r="S3819" i="4"/>
  <c r="S3691" i="4"/>
  <c r="J3838" i="4"/>
  <c r="J3710" i="4"/>
  <c r="I3844" i="4"/>
  <c r="R4012" i="4"/>
  <c r="I3717" i="4"/>
  <c r="L3669" i="4"/>
  <c r="L3605" i="4"/>
  <c r="L3541" i="4"/>
  <c r="L3477" i="4"/>
  <c r="L3413" i="4"/>
  <c r="L3349" i="4"/>
  <c r="L3285" i="4"/>
  <c r="O3935" i="4"/>
  <c r="J3670" i="4"/>
  <c r="J3606" i="4"/>
  <c r="J3542" i="4"/>
  <c r="J3478" i="4"/>
  <c r="J3414" i="4"/>
  <c r="J3350" i="4"/>
  <c r="J3302" i="4"/>
  <c r="J4145" i="4"/>
  <c r="I3785" i="4"/>
  <c r="I3722" i="4"/>
  <c r="I3688" i="4"/>
  <c r="R3674" i="4"/>
  <c r="S3640" i="4"/>
  <c r="S3608" i="4"/>
  <c r="S3576" i="4"/>
  <c r="S3544" i="4"/>
  <c r="S3512" i="4"/>
  <c r="S3480" i="4"/>
  <c r="S3448" i="4"/>
  <c r="S3416" i="4"/>
  <c r="S3384" i="4"/>
  <c r="S3352" i="4"/>
  <c r="S3320" i="4"/>
  <c r="S3288" i="4"/>
  <c r="S3256" i="4"/>
  <c r="O3991" i="4"/>
  <c r="O3793" i="4"/>
  <c r="O3674" i="4"/>
  <c r="R3641" i="4"/>
  <c r="R3609" i="4"/>
  <c r="R3577" i="4"/>
  <c r="R3545" i="4"/>
  <c r="R3513" i="4"/>
  <c r="R3481" i="4"/>
  <c r="R3449" i="4"/>
  <c r="R3417" i="4"/>
  <c r="R3385" i="4"/>
  <c r="R3353" i="4"/>
  <c r="J3721" i="4"/>
  <c r="I3855" i="4"/>
  <c r="I3753" i="4"/>
  <c r="P3705" i="4"/>
  <c r="P3673" i="4"/>
  <c r="L3658" i="4"/>
  <c r="L3626" i="4"/>
  <c r="L3594" i="4"/>
  <c r="L3562" i="4"/>
  <c r="L3530" i="4"/>
  <c r="L3498" i="4"/>
  <c r="L3466" i="4"/>
  <c r="L3434" i="4"/>
  <c r="L3402" i="4"/>
  <c r="L3370" i="4"/>
  <c r="L3338" i="4"/>
  <c r="L3306" i="4"/>
  <c r="L3274" i="4"/>
  <c r="L3242" i="4"/>
  <c r="O3863" i="4"/>
  <c r="O3735" i="4"/>
  <c r="J3659" i="4"/>
  <c r="J3627" i="4"/>
  <c r="J3595" i="4"/>
  <c r="J3563" i="4"/>
  <c r="J3531" i="4"/>
  <c r="J3499" i="4"/>
  <c r="J3467" i="4"/>
  <c r="J3435" i="4"/>
  <c r="J3403" i="4"/>
  <c r="J3371" i="4"/>
  <c r="J3339" i="4"/>
  <c r="J3307" i="4"/>
  <c r="J3275" i="4"/>
  <c r="J3243" i="4"/>
  <c r="J3679" i="4"/>
  <c r="I3813" i="4"/>
  <c r="I3732" i="4"/>
  <c r="I3695" i="4"/>
  <c r="O3997" i="4"/>
  <c r="S3647" i="4"/>
  <c r="S3615" i="4"/>
  <c r="S3583" i="4"/>
  <c r="S3551" i="4"/>
  <c r="S3519" i="4"/>
  <c r="S3487" i="4"/>
  <c r="S3455" i="4"/>
  <c r="S3423" i="4"/>
  <c r="S3391" i="4"/>
  <c r="S3359" i="4"/>
  <c r="S3327" i="4"/>
  <c r="S3295" i="4"/>
  <c r="S3263" i="4"/>
  <c r="P4055" i="4"/>
  <c r="O3821" i="4"/>
  <c r="O3693" i="4"/>
  <c r="R3648" i="4"/>
  <c r="R3616" i="4"/>
  <c r="R3584" i="4"/>
  <c r="R3552" i="4"/>
  <c r="R3520" i="4"/>
  <c r="R3488" i="4"/>
  <c r="R3456" i="4"/>
  <c r="R3424" i="4"/>
  <c r="R3392" i="4"/>
  <c r="R3360" i="4"/>
  <c r="R3328" i="4"/>
  <c r="R3289" i="4"/>
  <c r="R3246" i="4"/>
  <c r="I3660" i="4"/>
  <c r="I3628" i="4"/>
  <c r="I3596" i="4"/>
  <c r="I3564" i="4"/>
  <c r="I3548" i="4"/>
  <c r="I3538" i="4"/>
  <c r="I3528" i="4"/>
  <c r="I3516" i="4"/>
  <c r="I3506" i="4"/>
  <c r="I3496" i="4"/>
  <c r="I3484" i="4"/>
  <c r="I3474" i="4"/>
  <c r="I3464" i="4"/>
  <c r="I3452" i="4"/>
  <c r="I3442" i="4"/>
  <c r="I3432" i="4"/>
  <c r="I3420" i="4"/>
  <c r="I3410" i="4"/>
  <c r="I3400" i="4"/>
  <c r="I3388" i="4"/>
  <c r="I3378" i="4"/>
  <c r="I3368" i="4"/>
  <c r="I3356" i="4"/>
  <c r="I3346" i="4"/>
  <c r="I3336" i="4"/>
  <c r="I3324" i="4"/>
  <c r="I3314" i="4"/>
  <c r="I3304" i="4"/>
  <c r="I3292" i="4"/>
  <c r="I3282" i="4"/>
  <c r="I3272" i="4"/>
  <c r="I3260" i="4"/>
  <c r="I3250" i="4"/>
  <c r="I4123" i="4"/>
  <c r="O3732" i="4"/>
  <c r="J3235" i="4"/>
  <c r="J3225" i="4"/>
  <c r="J3213" i="4"/>
  <c r="J3203" i="4"/>
  <c r="J3193" i="4"/>
  <c r="J3181" i="4"/>
  <c r="J3171" i="4"/>
  <c r="J3161" i="4"/>
  <c r="J3149" i="4"/>
  <c r="J3139" i="4"/>
  <c r="J3129" i="4"/>
  <c r="J3117" i="4"/>
  <c r="J3107" i="4"/>
  <c r="J3097" i="4"/>
  <c r="J3085" i="4"/>
  <c r="J3075" i="4"/>
  <c r="J3065" i="4"/>
  <c r="J3053" i="4"/>
  <c r="J3043" i="4"/>
  <c r="J3033" i="4"/>
  <c r="J3021" i="4"/>
  <c r="J3011" i="4"/>
  <c r="J3001" i="4"/>
  <c r="J2989" i="4"/>
  <c r="J2979" i="4"/>
  <c r="J2969" i="4"/>
  <c r="J2957" i="4"/>
  <c r="J2947" i="4"/>
  <c r="J2937" i="4"/>
  <c r="J2925" i="4"/>
  <c r="J2915" i="4"/>
  <c r="J2905" i="4"/>
  <c r="J2893" i="4"/>
  <c r="J2883" i="4"/>
  <c r="J2873" i="4"/>
  <c r="J2861" i="4"/>
  <c r="J2851" i="4"/>
  <c r="J2841" i="4"/>
  <c r="J2829" i="4"/>
  <c r="J2819" i="4"/>
  <c r="J2809" i="4"/>
  <c r="J2797" i="4"/>
  <c r="J2787" i="4"/>
  <c r="J2777" i="4"/>
  <c r="J2765" i="4"/>
  <c r="J2755" i="4"/>
  <c r="O3979" i="4"/>
  <c r="O3726" i="4"/>
  <c r="O3652" i="4"/>
  <c r="R3302" i="4"/>
  <c r="R3283" i="4"/>
  <c r="J3270" i="4"/>
  <c r="R3256" i="4"/>
  <c r="P4129" i="4"/>
  <c r="O3921" i="4"/>
  <c r="P3667" i="4"/>
  <c r="P3655" i="4"/>
  <c r="P3645" i="4"/>
  <c r="P3635" i="4"/>
  <c r="P3623" i="4"/>
  <c r="P3613" i="4"/>
  <c r="P3603" i="4"/>
  <c r="P3591" i="4"/>
  <c r="P3581" i="4"/>
  <c r="P3571" i="4"/>
  <c r="P3559" i="4"/>
  <c r="P3549" i="4"/>
  <c r="P3539" i="4"/>
  <c r="P3527" i="4"/>
  <c r="P3517" i="4"/>
  <c r="P3507" i="4"/>
  <c r="P3495" i="4"/>
  <c r="P3485" i="4"/>
  <c r="P3475" i="4"/>
  <c r="P3463" i="4"/>
  <c r="P3453" i="4"/>
  <c r="P3443" i="4"/>
  <c r="P3431" i="4"/>
  <c r="P3421" i="4"/>
  <c r="P3411" i="4"/>
  <c r="P3399" i="4"/>
  <c r="P3389" i="4"/>
  <c r="P3379" i="4"/>
  <c r="P3367" i="4"/>
  <c r="P3357" i="4"/>
  <c r="P3347" i="4"/>
  <c r="P3335" i="4"/>
  <c r="P3325" i="4"/>
  <c r="P3315" i="4"/>
  <c r="P3303" i="4"/>
  <c r="P3293" i="4"/>
  <c r="P3283" i="4"/>
  <c r="P3271" i="4"/>
  <c r="P3261" i="4"/>
  <c r="P3251" i="4"/>
  <c r="O3987" i="4"/>
  <c r="O3756" i="4"/>
  <c r="R3236" i="4"/>
  <c r="R3224" i="4"/>
  <c r="R3214" i="4"/>
  <c r="R3204" i="4"/>
  <c r="R3192" i="4"/>
  <c r="R3182" i="4"/>
  <c r="R3172" i="4"/>
  <c r="R3160" i="4"/>
  <c r="R3150" i="4"/>
  <c r="R3140" i="4"/>
  <c r="R3128" i="4"/>
  <c r="R3118" i="4"/>
  <c r="R3108" i="4"/>
  <c r="R3096" i="4"/>
  <c r="R3086" i="4"/>
  <c r="R3076" i="4"/>
  <c r="R3064" i="4"/>
  <c r="R3054" i="4"/>
  <c r="R3044" i="4"/>
  <c r="R3032" i="4"/>
  <c r="R3022" i="4"/>
  <c r="R3012" i="4"/>
  <c r="R3000" i="4"/>
  <c r="R2990" i="4"/>
  <c r="R2980" i="4"/>
  <c r="R2968" i="4"/>
  <c r="R2958" i="4"/>
  <c r="R2948" i="4"/>
  <c r="R2936" i="4"/>
  <c r="R2926" i="4"/>
  <c r="R2916" i="4"/>
  <c r="R2904" i="4"/>
  <c r="R2894" i="4"/>
  <c r="R2884" i="4"/>
  <c r="R2872" i="4"/>
  <c r="R2862" i="4"/>
  <c r="R2852" i="4"/>
  <c r="R2840" i="4"/>
  <c r="R2830" i="4"/>
  <c r="R2820" i="4"/>
  <c r="R2808" i="4"/>
  <c r="R2798" i="4"/>
  <c r="R2788" i="4"/>
  <c r="R2776" i="4"/>
  <c r="R2766" i="4"/>
  <c r="R2756" i="4"/>
  <c r="O3947" i="4"/>
  <c r="R3321" i="4"/>
  <c r="R3297" i="4"/>
  <c r="J3280" i="4"/>
  <c r="R3266" i="4"/>
  <c r="R3253" i="4"/>
  <c r="I4084" i="4"/>
  <c r="O3678" i="4"/>
  <c r="I3665" i="4"/>
  <c r="I3653" i="4"/>
  <c r="I3643" i="4"/>
  <c r="I3633" i="4"/>
  <c r="I3621" i="4"/>
  <c r="I3611" i="4"/>
  <c r="I3601" i="4"/>
  <c r="I3589" i="4"/>
  <c r="I3579" i="4"/>
  <c r="I3569" i="4"/>
  <c r="I3557" i="4"/>
  <c r="I3547" i="4"/>
  <c r="I3537" i="4"/>
  <c r="I3525" i="4"/>
  <c r="I3515" i="4"/>
  <c r="I3505" i="4"/>
  <c r="I3493" i="4"/>
  <c r="I3483" i="4"/>
  <c r="I3473" i="4"/>
  <c r="I3461" i="4"/>
  <c r="I3451" i="4"/>
  <c r="I3441" i="4"/>
  <c r="I3429" i="4"/>
  <c r="I3419" i="4"/>
  <c r="I3409" i="4"/>
  <c r="I3397" i="4"/>
  <c r="I3387" i="4"/>
  <c r="I3377" i="4"/>
  <c r="I3365" i="4"/>
  <c r="I3355" i="4"/>
  <c r="I3345" i="4"/>
  <c r="I3333" i="4"/>
  <c r="I3323" i="4"/>
  <c r="I3313" i="4"/>
  <c r="I3301" i="4"/>
  <c r="I3291" i="4"/>
  <c r="I3281" i="4"/>
  <c r="I3269" i="4"/>
  <c r="I3259" i="4"/>
  <c r="I3249" i="4"/>
  <c r="O3876" i="4"/>
  <c r="O3716" i="4"/>
  <c r="J3234" i="4"/>
  <c r="J3222" i="4"/>
  <c r="J3212" i="4"/>
  <c r="J3202" i="4"/>
  <c r="J3190" i="4"/>
  <c r="J3180" i="4"/>
  <c r="J3170" i="4"/>
  <c r="J3158" i="4"/>
  <c r="J3148" i="4"/>
  <c r="J3138" i="4"/>
  <c r="J3126" i="4"/>
  <c r="J3116" i="4"/>
  <c r="J3106" i="4"/>
  <c r="J3094" i="4"/>
  <c r="J3084" i="4"/>
  <c r="J3074" i="4"/>
  <c r="J3062" i="4"/>
  <c r="J3052" i="4"/>
  <c r="J3042" i="4"/>
  <c r="J3030" i="4"/>
  <c r="J3020" i="4"/>
  <c r="J3010" i="4"/>
  <c r="J2998" i="4"/>
  <c r="J2988" i="4"/>
  <c r="J3266" i="4"/>
  <c r="P3658" i="4"/>
  <c r="P3618" i="4"/>
  <c r="P3578" i="4"/>
  <c r="P3530" i="4"/>
  <c r="P3490" i="4"/>
  <c r="P3450" i="4"/>
  <c r="P3402" i="4"/>
  <c r="P3362" i="4"/>
  <c r="P3322" i="4"/>
  <c r="P3274" i="4"/>
  <c r="O3836" i="4"/>
  <c r="R3211" i="4"/>
  <c r="R3163" i="4"/>
  <c r="R3123" i="4"/>
  <c r="R3083" i="4"/>
  <c r="R3035" i="4"/>
  <c r="R2995" i="4"/>
  <c r="R2971" i="4"/>
  <c r="R2947" i="4"/>
  <c r="R2927" i="4"/>
  <c r="R2907" i="4"/>
  <c r="R2883" i="4"/>
  <c r="R2863" i="4"/>
  <c r="R2843" i="4"/>
  <c r="R2819" i="4"/>
  <c r="R2799" i="4"/>
  <c r="R2779" i="4"/>
  <c r="R2755" i="4"/>
  <c r="O3766" i="4"/>
  <c r="O3648" i="4"/>
  <c r="O3600" i="4"/>
  <c r="O3560" i="4"/>
  <c r="O3520" i="4"/>
  <c r="O3472" i="4"/>
  <c r="O3432" i="4"/>
  <c r="O3392" i="4"/>
  <c r="O3344" i="4"/>
  <c r="O3304" i="4"/>
  <c r="O3264" i="4"/>
  <c r="I3234" i="4"/>
  <c r="I3224" i="4"/>
  <c r="I3214" i="4"/>
  <c r="I3202" i="4"/>
  <c r="I3192" i="4"/>
  <c r="I3182" i="4"/>
  <c r="I3170" i="4"/>
  <c r="I3160" i="4"/>
  <c r="I3150" i="4"/>
  <c r="I3138" i="4"/>
  <c r="I3128" i="4"/>
  <c r="I3118" i="4"/>
  <c r="I3106" i="4"/>
  <c r="I3096" i="4"/>
  <c r="I3086" i="4"/>
  <c r="I3074" i="4"/>
  <c r="I3064" i="4"/>
  <c r="I3054" i="4"/>
  <c r="I3042" i="4"/>
  <c r="I3032" i="4"/>
  <c r="I3022" i="4"/>
  <c r="I3012" i="4"/>
  <c r="I3004" i="4"/>
  <c r="I2996" i="4"/>
  <c r="I2988" i="4"/>
  <c r="I2980" i="4"/>
  <c r="I2972" i="4"/>
  <c r="I2964" i="4"/>
  <c r="I2956" i="4"/>
  <c r="I2948" i="4"/>
  <c r="I2940" i="4"/>
  <c r="I2932" i="4"/>
  <c r="I2924" i="4"/>
  <c r="I2916" i="4"/>
  <c r="I2908" i="4"/>
  <c r="I2900" i="4"/>
  <c r="I2892" i="4"/>
  <c r="I2884" i="4"/>
  <c r="I2876" i="4"/>
  <c r="I2868" i="4"/>
  <c r="I2860" i="4"/>
  <c r="I2852" i="4"/>
  <c r="I2844" i="4"/>
  <c r="I2836" i="4"/>
  <c r="I2828" i="4"/>
  <c r="I2820" i="4"/>
  <c r="I2812" i="4"/>
  <c r="I2804" i="4"/>
  <c r="I2796" i="4"/>
  <c r="I2788" i="4"/>
  <c r="I2780" i="4"/>
  <c r="I2772" i="4"/>
  <c r="I2764" i="4"/>
  <c r="I2756" i="4"/>
  <c r="O3856" i="4"/>
  <c r="O3728" i="4"/>
  <c r="O3231" i="4"/>
  <c r="O3215" i="4"/>
  <c r="O3199" i="4"/>
  <c r="O3183" i="4"/>
  <c r="O3167" i="4"/>
  <c r="O3151" i="4"/>
  <c r="O3135" i="4"/>
  <c r="O3119" i="4"/>
  <c r="O3103" i="4"/>
  <c r="O3087" i="4"/>
  <c r="O3071" i="4"/>
  <c r="O3055" i="4"/>
  <c r="O3039" i="4"/>
  <c r="O3023" i="4"/>
  <c r="O3007" i="4"/>
  <c r="O2991" i="4"/>
  <c r="O2975" i="4"/>
  <c r="O2959" i="4"/>
  <c r="O2943" i="4"/>
  <c r="O2927" i="4"/>
  <c r="O2911" i="4"/>
  <c r="O2895" i="4"/>
  <c r="O2879" i="4"/>
  <c r="O2863" i="4"/>
  <c r="O2847" i="4"/>
  <c r="O2831" i="4"/>
  <c r="O2815" i="4"/>
  <c r="O2799" i="4"/>
  <c r="O2783" i="4"/>
  <c r="O2767" i="4"/>
  <c r="O2751" i="4"/>
  <c r="O2735" i="4"/>
  <c r="O2719" i="4"/>
  <c r="O2703" i="4"/>
  <c r="O2687" i="4"/>
  <c r="O2671" i="4"/>
  <c r="O2655" i="4"/>
  <c r="O2639" i="4"/>
  <c r="O2623" i="4"/>
  <c r="O2607" i="4"/>
  <c r="O2591" i="4"/>
  <c r="O2575" i="4"/>
  <c r="O2559" i="4"/>
  <c r="O2543" i="4"/>
  <c r="O3641" i="4"/>
  <c r="O3513" i="4"/>
  <c r="O3385" i="4"/>
  <c r="O3257" i="4"/>
  <c r="L3214" i="4"/>
  <c r="L3182" i="4"/>
  <c r="L3150" i="4"/>
  <c r="L3118" i="4"/>
  <c r="L3086" i="4"/>
  <c r="L3054" i="4"/>
  <c r="L3022" i="4"/>
  <c r="L2990" i="4"/>
  <c r="L2958" i="4"/>
  <c r="L2926" i="4"/>
  <c r="L2894" i="4"/>
  <c r="L2862" i="4"/>
  <c r="L2830" i="4"/>
  <c r="L2798" i="4"/>
  <c r="L2766" i="4"/>
  <c r="R2744" i="4"/>
  <c r="S2733" i="4"/>
  <c r="P2723" i="4"/>
  <c r="R2712" i="4"/>
  <c r="S2701" i="4"/>
  <c r="P2691" i="4"/>
  <c r="R2680" i="4"/>
  <c r="S2669" i="4"/>
  <c r="P2659" i="4"/>
  <c r="R2648" i="4"/>
  <c r="S2637" i="4"/>
  <c r="P2627" i="4"/>
  <c r="R2616" i="4"/>
  <c r="S2605" i="4"/>
  <c r="P2595" i="4"/>
  <c r="R2584" i="4"/>
  <c r="S2573" i="4"/>
  <c r="P2563" i="4"/>
  <c r="R2552" i="4"/>
  <c r="S2541" i="4"/>
  <c r="O2527" i="4"/>
  <c r="O2511" i="4"/>
  <c r="O2495" i="4"/>
  <c r="O2479" i="4"/>
  <c r="O2463" i="4"/>
  <c r="O2447" i="4"/>
  <c r="O2431" i="4"/>
  <c r="O2415" i="4"/>
  <c r="O2399" i="4"/>
  <c r="O2383" i="4"/>
  <c r="O2367" i="4"/>
  <c r="O2351" i="4"/>
  <c r="O2335" i="4"/>
  <c r="O2319" i="4"/>
  <c r="O2303" i="4"/>
  <c r="O2287" i="4"/>
  <c r="O2271" i="4"/>
  <c r="O2255" i="4"/>
  <c r="O3651" i="4"/>
  <c r="O3523" i="4"/>
  <c r="O3395" i="4"/>
  <c r="O3267" i="4"/>
  <c r="L3215" i="4"/>
  <c r="L3183" i="4"/>
  <c r="L3151" i="4"/>
  <c r="L3119" i="4"/>
  <c r="L3087" i="4"/>
  <c r="L3055" i="4"/>
  <c r="L3023" i="4"/>
  <c r="L2991" i="4"/>
  <c r="L2959" i="4"/>
  <c r="L2927" i="4"/>
  <c r="L2895" i="4"/>
  <c r="L2863" i="4"/>
  <c r="L2831" i="4"/>
  <c r="L2799" i="4"/>
  <c r="L2767" i="4"/>
  <c r="P2744" i="4"/>
  <c r="R2733" i="4"/>
  <c r="S2722" i="4"/>
  <c r="P2712" i="4"/>
  <c r="R2701" i="4"/>
  <c r="S2690" i="4"/>
  <c r="P2680" i="4"/>
  <c r="R2669" i="4"/>
  <c r="S2658" i="4"/>
  <c r="P2648" i="4"/>
  <c r="R2637" i="4"/>
  <c r="S2626" i="4"/>
  <c r="P2616" i="4"/>
  <c r="R2605" i="4"/>
  <c r="S2594" i="4"/>
  <c r="P2584" i="4"/>
  <c r="R2573" i="4"/>
  <c r="S2562" i="4"/>
  <c r="P2552" i="4"/>
  <c r="R3284" i="4"/>
  <c r="J3242" i="4"/>
  <c r="P3656" i="4"/>
  <c r="P3624" i="4"/>
  <c r="P3592" i="4"/>
  <c r="P3560" i="4"/>
  <c r="P3528" i="4"/>
  <c r="P3496" i="4"/>
  <c r="P3464" i="4"/>
  <c r="P3432" i="4"/>
  <c r="P3400" i="4"/>
  <c r="P3368" i="4"/>
  <c r="P3336" i="4"/>
  <c r="P3304" i="4"/>
  <c r="P3272" i="4"/>
  <c r="P3240" i="4"/>
  <c r="R3225" i="4"/>
  <c r="R3193" i="4"/>
  <c r="R3161" i="4"/>
  <c r="R3129" i="4"/>
  <c r="R3097" i="4"/>
  <c r="R3065" i="4"/>
  <c r="R3033" i="4"/>
  <c r="R3001" i="4"/>
  <c r="J2978" i="4"/>
  <c r="J2962" i="4"/>
  <c r="J2946" i="4"/>
  <c r="J2930" i="4"/>
  <c r="J2914" i="4"/>
  <c r="J2898" i="4"/>
  <c r="J2882" i="4"/>
  <c r="J2866" i="4"/>
  <c r="J2850" i="4"/>
  <c r="J2834" i="4"/>
  <c r="J2818" i="4"/>
  <c r="J2802" i="4"/>
  <c r="J2786" i="4"/>
  <c r="J2770" i="4"/>
  <c r="J2754" i="4"/>
  <c r="O3806" i="4"/>
  <c r="O3666" i="4"/>
  <c r="O3630" i="4"/>
  <c r="O3598" i="4"/>
  <c r="O3566" i="4"/>
  <c r="O3534" i="4"/>
  <c r="O3502" i="4"/>
  <c r="O3470" i="4"/>
  <c r="O3438" i="4"/>
  <c r="O3406" i="4"/>
  <c r="O3374" i="4"/>
  <c r="O3342" i="4"/>
  <c r="O3310" i="4"/>
  <c r="O3278" i="4"/>
  <c r="O3246" i="4"/>
  <c r="P3233" i="4"/>
  <c r="P3225" i="4"/>
  <c r="P3217" i="4"/>
  <c r="P3209" i="4"/>
  <c r="P3201" i="4"/>
  <c r="P3193" i="4"/>
  <c r="P3185" i="4"/>
  <c r="P3177" i="4"/>
  <c r="P3169" i="4"/>
  <c r="P3161" i="4"/>
  <c r="P3153" i="4"/>
  <c r="P3145" i="4"/>
  <c r="P3137" i="4"/>
  <c r="P3129" i="4"/>
  <c r="P3121" i="4"/>
  <c r="P3113" i="4"/>
  <c r="P3105" i="4"/>
  <c r="P3097" i="4"/>
  <c r="P3089" i="4"/>
  <c r="P3081" i="4"/>
  <c r="P3073" i="4"/>
  <c r="P3065" i="4"/>
  <c r="P3057" i="4"/>
  <c r="P3049" i="4"/>
  <c r="P3041" i="4"/>
  <c r="P3033" i="4"/>
  <c r="P3025" i="4"/>
  <c r="P3017" i="4"/>
  <c r="P3009" i="4"/>
  <c r="P3001" i="4"/>
  <c r="P2993" i="4"/>
  <c r="P2985" i="4"/>
  <c r="P2977" i="4"/>
  <c r="P2969" i="4"/>
  <c r="P2961" i="4"/>
  <c r="P2953" i="4"/>
  <c r="P2945" i="4"/>
  <c r="P2937" i="4"/>
  <c r="P2929" i="4"/>
  <c r="P2921" i="4"/>
  <c r="P2913" i="4"/>
  <c r="P2905" i="4"/>
  <c r="P2897" i="4"/>
  <c r="P2889" i="4"/>
  <c r="P2881" i="4"/>
  <c r="P2873" i="4"/>
  <c r="P2865" i="4"/>
  <c r="P2857" i="4"/>
  <c r="P2849" i="4"/>
  <c r="P2841" i="4"/>
  <c r="P2833" i="4"/>
  <c r="P2825" i="4"/>
  <c r="P2817" i="4"/>
  <c r="P2809" i="4"/>
  <c r="P2801" i="4"/>
  <c r="P2793" i="4"/>
  <c r="P2785" i="4"/>
  <c r="P2777" i="4"/>
  <c r="P2769" i="4"/>
  <c r="P2761" i="4"/>
  <c r="P2753" i="4"/>
  <c r="O3816" i="4"/>
  <c r="O3688" i="4"/>
  <c r="O3226" i="4"/>
  <c r="O3210" i="4"/>
  <c r="O3194" i="4"/>
  <c r="O3178" i="4"/>
  <c r="O3162" i="4"/>
  <c r="O3146" i="4"/>
  <c r="O3130" i="4"/>
  <c r="O3114" i="4"/>
  <c r="O3098" i="4"/>
  <c r="O3082" i="4"/>
  <c r="O3066" i="4"/>
  <c r="O3050" i="4"/>
  <c r="O3034" i="4"/>
  <c r="O3018" i="4"/>
  <c r="O3002" i="4"/>
  <c r="O2986" i="4"/>
  <c r="O2970" i="4"/>
  <c r="O2954" i="4"/>
  <c r="O2938" i="4"/>
  <c r="O2922" i="4"/>
  <c r="O2906" i="4"/>
  <c r="O2890" i="4"/>
  <c r="O2874" i="4"/>
  <c r="O2858" i="4"/>
  <c r="O2842" i="4"/>
  <c r="O2826" i="4"/>
  <c r="O2810" i="4"/>
  <c r="O2794" i="4"/>
  <c r="O2778" i="4"/>
  <c r="O2762" i="4"/>
  <c r="O2746" i="4"/>
  <c r="O2730" i="4"/>
  <c r="O2714" i="4"/>
  <c r="O2698" i="4"/>
  <c r="O2682" i="4"/>
  <c r="O2666" i="4"/>
  <c r="O2650" i="4"/>
  <c r="O2634" i="4"/>
  <c r="O2618" i="4"/>
  <c r="O2602" i="4"/>
  <c r="O2586" i="4"/>
  <c r="O2570" i="4"/>
  <c r="O2554" i="4"/>
  <c r="I4131" i="4"/>
  <c r="O3601" i="4"/>
  <c r="O3473" i="4"/>
  <c r="O3345" i="4"/>
  <c r="S3235" i="4"/>
  <c r="S3203" i="4"/>
  <c r="S3171" i="4"/>
  <c r="S3139" i="4"/>
  <c r="S3107" i="4"/>
  <c r="S3075" i="4"/>
  <c r="S3043" i="4"/>
  <c r="S3011" i="4"/>
  <c r="S2979" i="4"/>
  <c r="S2947" i="4"/>
  <c r="S2915" i="4"/>
  <c r="S2883" i="4"/>
  <c r="S2851" i="4"/>
  <c r="S2819" i="4"/>
  <c r="S2787" i="4"/>
  <c r="S2755" i="4"/>
  <c r="J2741" i="4"/>
  <c r="L2730" i="4"/>
  <c r="I2720" i="4"/>
  <c r="J2709" i="4"/>
  <c r="L2698" i="4"/>
  <c r="I2688" i="4"/>
  <c r="J2677" i="4"/>
  <c r="L2666" i="4"/>
  <c r="I2656" i="4"/>
  <c r="J2645" i="4"/>
  <c r="L2634" i="4"/>
  <c r="I2624" i="4"/>
  <c r="J2613" i="4"/>
  <c r="L2602" i="4"/>
  <c r="I2592" i="4"/>
  <c r="J2581" i="4"/>
  <c r="L2570" i="4"/>
  <c r="I2560" i="4"/>
  <c r="J2549" i="4"/>
  <c r="O2538" i="4"/>
  <c r="O2522" i="4"/>
  <c r="O2506" i="4"/>
  <c r="O2490" i="4"/>
  <c r="O2474" i="4"/>
  <c r="O2458" i="4"/>
  <c r="O2442" i="4"/>
  <c r="O2426" i="4"/>
  <c r="O2410" i="4"/>
  <c r="O2394" i="4"/>
  <c r="O2378" i="4"/>
  <c r="O2362" i="4"/>
  <c r="O2346" i="4"/>
  <c r="O2330" i="4"/>
  <c r="O2314" i="4"/>
  <c r="O2298" i="4"/>
  <c r="O2282" i="4"/>
  <c r="O2266" i="4"/>
  <c r="O3995" i="4"/>
  <c r="O3611" i="4"/>
  <c r="O3483" i="4"/>
  <c r="O3355" i="4"/>
  <c r="S3236" i="4"/>
  <c r="S3204" i="4"/>
  <c r="S3172" i="4"/>
  <c r="S3140" i="4"/>
  <c r="S3108" i="4"/>
  <c r="S3076" i="4"/>
  <c r="S3044" i="4"/>
  <c r="S3012" i="4"/>
  <c r="S2980" i="4"/>
  <c r="S2948" i="4"/>
  <c r="S2916" i="4"/>
  <c r="S2884" i="4"/>
  <c r="S2852" i="4"/>
  <c r="S2820" i="4"/>
  <c r="S2788" i="4"/>
  <c r="S2756" i="4"/>
  <c r="I2741" i="4"/>
  <c r="J2730" i="4"/>
  <c r="L2719" i="4"/>
  <c r="I2709" i="4"/>
  <c r="J2698" i="4"/>
  <c r="L2687" i="4"/>
  <c r="I2677" i="4"/>
  <c r="J2666" i="4"/>
  <c r="L2655" i="4"/>
  <c r="I2645" i="4"/>
  <c r="J2634" i="4"/>
  <c r="L2623" i="4"/>
  <c r="I2613" i="4"/>
  <c r="J2602" i="4"/>
  <c r="L2591" i="4"/>
  <c r="I2581" i="4"/>
  <c r="J2570" i="4"/>
  <c r="L2559" i="4"/>
  <c r="I2549" i="4"/>
  <c r="R3271" i="4"/>
  <c r="O3937" i="4"/>
  <c r="P3646" i="4"/>
  <c r="P3614" i="4"/>
  <c r="P3582" i="4"/>
  <c r="P3550" i="4"/>
  <c r="P3518" i="4"/>
  <c r="P3486" i="4"/>
  <c r="P3454" i="4"/>
  <c r="P3422" i="4"/>
  <c r="P3390" i="4"/>
  <c r="P3358" i="4"/>
  <c r="P3326" i="4"/>
  <c r="P3294" i="4"/>
  <c r="P3262" i="4"/>
  <c r="O3772" i="4"/>
  <c r="R3215" i="4"/>
  <c r="R3183" i="4"/>
  <c r="R3151" i="4"/>
  <c r="R3119" i="4"/>
  <c r="R3087" i="4"/>
  <c r="R3055" i="4"/>
  <c r="R3023" i="4"/>
  <c r="R2991" i="4"/>
  <c r="R2973" i="4"/>
  <c r="R2957" i="4"/>
  <c r="R2941" i="4"/>
  <c r="R2925" i="4"/>
  <c r="R2909" i="4"/>
  <c r="R2893" i="4"/>
  <c r="R2877" i="4"/>
  <c r="R2861" i="4"/>
  <c r="R2845" i="4"/>
  <c r="R2829" i="4"/>
  <c r="R2813" i="4"/>
  <c r="R2797" i="4"/>
  <c r="R2781" i="4"/>
  <c r="R2765" i="4"/>
  <c r="R2749" i="4"/>
  <c r="O3742" i="4"/>
  <c r="O3654" i="4"/>
  <c r="O3620" i="4"/>
  <c r="O3588" i="4"/>
  <c r="O3556" i="4"/>
  <c r="O3524" i="4"/>
  <c r="O3492" i="4"/>
  <c r="O3460" i="4"/>
  <c r="O3428" i="4"/>
  <c r="O3396" i="4"/>
  <c r="O3364" i="4"/>
  <c r="O3332" i="4"/>
  <c r="O3300" i="4"/>
  <c r="O3268" i="4"/>
  <c r="I3239" i="4"/>
  <c r="I3231" i="4"/>
  <c r="I3223" i="4"/>
  <c r="I3215" i="4"/>
  <c r="I3207" i="4"/>
  <c r="I3199" i="4"/>
  <c r="I3191" i="4"/>
  <c r="I3183" i="4"/>
  <c r="I3175" i="4"/>
  <c r="I3167" i="4"/>
  <c r="I3159" i="4"/>
  <c r="I3151" i="4"/>
  <c r="I3143" i="4"/>
  <c r="I3135" i="4"/>
  <c r="I3127" i="4"/>
  <c r="I3119" i="4"/>
  <c r="I3111" i="4"/>
  <c r="I3103" i="4"/>
  <c r="I3095" i="4"/>
  <c r="I3087" i="4"/>
  <c r="I3079" i="4"/>
  <c r="I3071" i="4"/>
  <c r="I3063" i="4"/>
  <c r="I3055" i="4"/>
  <c r="I3047" i="4"/>
  <c r="I3039" i="4"/>
  <c r="J4687" i="4"/>
  <c r="I4026" i="4"/>
  <c r="J4096" i="4"/>
  <c r="I4116" i="4"/>
  <c r="R4297" i="4"/>
  <c r="S4057" i="4"/>
  <c r="J4288" i="4"/>
  <c r="I4048" i="4"/>
  <c r="I3835" i="4"/>
  <c r="L3525" i="4"/>
  <c r="L3269" i="4"/>
  <c r="J3526" i="4"/>
  <c r="J3294" i="4"/>
  <c r="I3680" i="4"/>
  <c r="S3568" i="4"/>
  <c r="S3440" i="4"/>
  <c r="S3312" i="4"/>
  <c r="O3761" i="4"/>
  <c r="R3569" i="4"/>
  <c r="R3441" i="4"/>
  <c r="J3689" i="4"/>
  <c r="S4037" i="4"/>
  <c r="L3554" i="4"/>
  <c r="L3426" i="4"/>
  <c r="L3298" i="4"/>
  <c r="O3703" i="4"/>
  <c r="J3555" i="4"/>
  <c r="J3427" i="4"/>
  <c r="J3299" i="4"/>
  <c r="I3781" i="4"/>
  <c r="S3639" i="4"/>
  <c r="S3511" i="4"/>
  <c r="S3383" i="4"/>
  <c r="S3255" i="4"/>
  <c r="R3640" i="4"/>
  <c r="R3512" i="4"/>
  <c r="R3384" i="4"/>
  <c r="I4060" i="4"/>
  <c r="I3562" i="4"/>
  <c r="I3514" i="4"/>
  <c r="I3472" i="4"/>
  <c r="I3428" i="4"/>
  <c r="I3386" i="4"/>
  <c r="I3344" i="4"/>
  <c r="I3300" i="4"/>
  <c r="I3258" i="4"/>
  <c r="J3233" i="4"/>
  <c r="J3189" i="4"/>
  <c r="J3147" i="4"/>
  <c r="J3105" i="4"/>
  <c r="J3061" i="4"/>
  <c r="J3019" i="4"/>
  <c r="J2977" i="4"/>
  <c r="J2933" i="4"/>
  <c r="J2891" i="4"/>
  <c r="J2849" i="4"/>
  <c r="J2805" i="4"/>
  <c r="J2763" i="4"/>
  <c r="R3323" i="4"/>
  <c r="R3251" i="4"/>
  <c r="P3653" i="4"/>
  <c r="P3611" i="4"/>
  <c r="P3567" i="4"/>
  <c r="P3525" i="4"/>
  <c r="P3483" i="4"/>
  <c r="P3439" i="4"/>
  <c r="P3397" i="4"/>
  <c r="P3355" i="4"/>
  <c r="P3311" i="4"/>
  <c r="P3269" i="4"/>
  <c r="O3724" i="4"/>
  <c r="R3200" i="4"/>
  <c r="R3158" i="4"/>
  <c r="R3116" i="4"/>
  <c r="R3072" i="4"/>
  <c r="R3030" i="4"/>
  <c r="R2988" i="4"/>
  <c r="R2944" i="4"/>
  <c r="R2902" i="4"/>
  <c r="R2860" i="4"/>
  <c r="R2816" i="4"/>
  <c r="R2774" i="4"/>
  <c r="R3313" i="4"/>
  <c r="J3248" i="4"/>
  <c r="I3651" i="4"/>
  <c r="I3609" i="4"/>
  <c r="I3565" i="4"/>
  <c r="I3523" i="4"/>
  <c r="I3481" i="4"/>
  <c r="I3437" i="4"/>
  <c r="I3395" i="4"/>
  <c r="I3353" i="4"/>
  <c r="I3309" i="4"/>
  <c r="I3267" i="4"/>
  <c r="O3684" i="4"/>
  <c r="J3198" i="4"/>
  <c r="J3156" i="4"/>
  <c r="J3114" i="4"/>
  <c r="J3070" i="4"/>
  <c r="J3028" i="4"/>
  <c r="R3319" i="4"/>
  <c r="P3562" i="4"/>
  <c r="P3394" i="4"/>
  <c r="O3708" i="4"/>
  <c r="R3067" i="4"/>
  <c r="R2943" i="4"/>
  <c r="R2859" i="4"/>
  <c r="R2771" i="4"/>
  <c r="O3592" i="4"/>
  <c r="S4232" i="4"/>
  <c r="L3921" i="4"/>
  <c r="L3855" i="4"/>
  <c r="S3868" i="4"/>
  <c r="L4009" i="4"/>
  <c r="R3808" i="4"/>
  <c r="P4006" i="4"/>
  <c r="J3806" i="4"/>
  <c r="P3700" i="4"/>
  <c r="L3461" i="4"/>
  <c r="O3843" i="4"/>
  <c r="J3462" i="4"/>
  <c r="I3881" i="4"/>
  <c r="S3664" i="4"/>
  <c r="S3536" i="4"/>
  <c r="S3408" i="4"/>
  <c r="S3280" i="4"/>
  <c r="R3665" i="4"/>
  <c r="R3537" i="4"/>
  <c r="R3409" i="4"/>
  <c r="I3823" i="4"/>
  <c r="L3650" i="4"/>
  <c r="L3522" i="4"/>
  <c r="L3394" i="4"/>
  <c r="L3266" i="4"/>
  <c r="J3651" i="4"/>
  <c r="J3523" i="4"/>
  <c r="J3395" i="4"/>
  <c r="J3267" i="4"/>
  <c r="P3720" i="4"/>
  <c r="S3607" i="4"/>
  <c r="S3479" i="4"/>
  <c r="S3351" i="4"/>
  <c r="O3975" i="4"/>
  <c r="R3608" i="4"/>
  <c r="R3480" i="4"/>
  <c r="R3352" i="4"/>
  <c r="I3652" i="4"/>
  <c r="I3546" i="4"/>
  <c r="I3504" i="4"/>
  <c r="I3460" i="4"/>
  <c r="I3418" i="4"/>
  <c r="I3376" i="4"/>
  <c r="I3332" i="4"/>
  <c r="I3290" i="4"/>
  <c r="I3248" i="4"/>
  <c r="J3221" i="4"/>
  <c r="J3179" i="4"/>
  <c r="J3137" i="4"/>
  <c r="J3093" i="4"/>
  <c r="J3051" i="4"/>
  <c r="J3009" i="4"/>
  <c r="J2965" i="4"/>
  <c r="J2923" i="4"/>
  <c r="J2881" i="4"/>
  <c r="J2837" i="4"/>
  <c r="J2795" i="4"/>
  <c r="J2753" i="4"/>
  <c r="R3294" i="4"/>
  <c r="I4092" i="4"/>
  <c r="P3643" i="4"/>
  <c r="P3599" i="4"/>
  <c r="P3557" i="4"/>
  <c r="P3515" i="4"/>
  <c r="P3471" i="4"/>
  <c r="P3429" i="4"/>
  <c r="P3387" i="4"/>
  <c r="P3343" i="4"/>
  <c r="P3301" i="4"/>
  <c r="P3259" i="4"/>
  <c r="R3232" i="4"/>
  <c r="R3190" i="4"/>
  <c r="R3148" i="4"/>
  <c r="R3104" i="4"/>
  <c r="R3062" i="4"/>
  <c r="R3020" i="4"/>
  <c r="R2976" i="4"/>
  <c r="R2934" i="4"/>
  <c r="R2892" i="4"/>
  <c r="R2848" i="4"/>
  <c r="R2806" i="4"/>
  <c r="R2764" i="4"/>
  <c r="R3290" i="4"/>
  <c r="I4036" i="4"/>
  <c r="I3641" i="4"/>
  <c r="I3597" i="4"/>
  <c r="I3555" i="4"/>
  <c r="I3513" i="4"/>
  <c r="I3469" i="4"/>
  <c r="I3427" i="4"/>
  <c r="I3385" i="4"/>
  <c r="I3341" i="4"/>
  <c r="I3299" i="4"/>
  <c r="I3257" i="4"/>
  <c r="J3230" i="4"/>
  <c r="J3188" i="4"/>
  <c r="J3146" i="4"/>
  <c r="J3102" i="4"/>
  <c r="J3060" i="4"/>
  <c r="J3018" i="4"/>
  <c r="R3244" i="4"/>
  <c r="P3522" i="4"/>
  <c r="P3354" i="4"/>
  <c r="R3195" i="4"/>
  <c r="R3027" i="4"/>
  <c r="R2923" i="4"/>
  <c r="R2835" i="4"/>
  <c r="R2751" i="4"/>
  <c r="O3552" i="4"/>
  <c r="O3376" i="4"/>
  <c r="I3232" i="4"/>
  <c r="I3190" i="4"/>
  <c r="I3146" i="4"/>
  <c r="I3104" i="4"/>
  <c r="I3062" i="4"/>
  <c r="I3018" i="4"/>
  <c r="I2986" i="4"/>
  <c r="I2954" i="4"/>
  <c r="I2922" i="4"/>
  <c r="I2890" i="4"/>
  <c r="I2858" i="4"/>
  <c r="I2826" i="4"/>
  <c r="I2794" i="4"/>
  <c r="I2762" i="4"/>
  <c r="O3227" i="4"/>
  <c r="O3163" i="4"/>
  <c r="O3099" i="4"/>
  <c r="O3035" i="4"/>
  <c r="O2971" i="4"/>
  <c r="O2907" i="4"/>
  <c r="O2843" i="4"/>
  <c r="O2779" i="4"/>
  <c r="O2715" i="4"/>
  <c r="O2651" i="4"/>
  <c r="O2587" i="4"/>
  <c r="O3609" i="4"/>
  <c r="L3206" i="4"/>
  <c r="L3078" i="4"/>
  <c r="L2950" i="4"/>
  <c r="L2822" i="4"/>
  <c r="P2731" i="4"/>
  <c r="R2688" i="4"/>
  <c r="S2645" i="4"/>
  <c r="P2603" i="4"/>
  <c r="R2560" i="4"/>
  <c r="O2507" i="4"/>
  <c r="O2443" i="4"/>
  <c r="O2379" i="4"/>
  <c r="O2315" i="4"/>
  <c r="O2251" i="4"/>
  <c r="L3239" i="4"/>
  <c r="L3111" i="4"/>
  <c r="L2983" i="4"/>
  <c r="L2855" i="4"/>
  <c r="R2741" i="4"/>
  <c r="S2698" i="4"/>
  <c r="P2656" i="4"/>
  <c r="R2613" i="4"/>
  <c r="S2570" i="4"/>
  <c r="O3985" i="4"/>
  <c r="P3552" i="4"/>
  <c r="P3424" i="4"/>
  <c r="P3296" i="4"/>
  <c r="R3185" i="4"/>
  <c r="R3121" i="4"/>
  <c r="R3057" i="4"/>
  <c r="R2993" i="4"/>
  <c r="J2958" i="4"/>
  <c r="J2926" i="4"/>
  <c r="J2894" i="4"/>
  <c r="J2862" i="4"/>
  <c r="J2830" i="4"/>
  <c r="J2798" i="4"/>
  <c r="J2766" i="4"/>
  <c r="O3750" i="4"/>
  <c r="O3622" i="4"/>
  <c r="O3558" i="4"/>
  <c r="O3494" i="4"/>
  <c r="O3430" i="4"/>
  <c r="O3366" i="4"/>
  <c r="O3302" i="4"/>
  <c r="P3239" i="4"/>
  <c r="P3223" i="4"/>
  <c r="P3207" i="4"/>
  <c r="P3191" i="4"/>
  <c r="P3175" i="4"/>
  <c r="P3159" i="4"/>
  <c r="P3143" i="4"/>
  <c r="P3127" i="4"/>
  <c r="P3111" i="4"/>
  <c r="P3095" i="4"/>
  <c r="P3079" i="4"/>
  <c r="P3063" i="4"/>
  <c r="P3047" i="4"/>
  <c r="P3031" i="4"/>
  <c r="P3015" i="4"/>
  <c r="P2999" i="4"/>
  <c r="P2983" i="4"/>
  <c r="P2967" i="4"/>
  <c r="P2951" i="4"/>
  <c r="P2935" i="4"/>
  <c r="P2919" i="4"/>
  <c r="P2903" i="4"/>
  <c r="P2887" i="4"/>
  <c r="P2871" i="4"/>
  <c r="P2855" i="4"/>
  <c r="P2839" i="4"/>
  <c r="P2823" i="4"/>
  <c r="P2807" i="4"/>
  <c r="P2791" i="4"/>
  <c r="P2775" i="4"/>
  <c r="P2759" i="4"/>
  <c r="O3784" i="4"/>
  <c r="O3222" i="4"/>
  <c r="O3190" i="4"/>
  <c r="O3158" i="4"/>
  <c r="O3126" i="4"/>
  <c r="O3094" i="4"/>
  <c r="O3062" i="4"/>
  <c r="L3960" i="4"/>
  <c r="R4073" i="4"/>
  <c r="R3873" i="4"/>
  <c r="S3698" i="4"/>
  <c r="J4189" i="4"/>
  <c r="R3680" i="4"/>
  <c r="R4170" i="4"/>
  <c r="J3678" i="4"/>
  <c r="L3653" i="4"/>
  <c r="L3397" i="4"/>
  <c r="J3654" i="4"/>
  <c r="J3398" i="4"/>
  <c r="I3766" i="4"/>
  <c r="S3632" i="4"/>
  <c r="S3504" i="4"/>
  <c r="S3376" i="4"/>
  <c r="S3248" i="4"/>
  <c r="R3633" i="4"/>
  <c r="R3505" i="4"/>
  <c r="R3377" i="4"/>
  <c r="I3737" i="4"/>
  <c r="L3618" i="4"/>
  <c r="L3490" i="4"/>
  <c r="L3362" i="4"/>
  <c r="L4074" i="4"/>
  <c r="J3619" i="4"/>
  <c r="J3491" i="4"/>
  <c r="J3363" i="4"/>
  <c r="I4044" i="4"/>
  <c r="I3687" i="4"/>
  <c r="S3575" i="4"/>
  <c r="S3447" i="4"/>
  <c r="S3319" i="4"/>
  <c r="O3789" i="4"/>
  <c r="R3576" i="4"/>
  <c r="R3448" i="4"/>
  <c r="R3320" i="4"/>
  <c r="I3620" i="4"/>
  <c r="I3536" i="4"/>
  <c r="I3492" i="4"/>
  <c r="I3450" i="4"/>
  <c r="I3408" i="4"/>
  <c r="I3364" i="4"/>
  <c r="I3322" i="4"/>
  <c r="I3280" i="4"/>
  <c r="O3860" i="4"/>
  <c r="J3211" i="4"/>
  <c r="J3169" i="4"/>
  <c r="J3125" i="4"/>
  <c r="J3083" i="4"/>
  <c r="J3041" i="4"/>
  <c r="J2997" i="4"/>
  <c r="J2955" i="4"/>
  <c r="J2913" i="4"/>
  <c r="J2869" i="4"/>
  <c r="J2827" i="4"/>
  <c r="J2785" i="4"/>
  <c r="O3854" i="4"/>
  <c r="R3280" i="4"/>
  <c r="O3679" i="4"/>
  <c r="P3631" i="4"/>
  <c r="P3589" i="4"/>
  <c r="P3547" i="4"/>
  <c r="P3503" i="4"/>
  <c r="P3461" i="4"/>
  <c r="P3419" i="4"/>
  <c r="P3375" i="4"/>
  <c r="P3333" i="4"/>
  <c r="P3291" i="4"/>
  <c r="P3247" i="4"/>
  <c r="R3222" i="4"/>
  <c r="R3180" i="4"/>
  <c r="R3136" i="4"/>
  <c r="R3094" i="4"/>
  <c r="R3052" i="4"/>
  <c r="R3008" i="4"/>
  <c r="R2966" i="4"/>
  <c r="R2924" i="4"/>
  <c r="R2880" i="4"/>
  <c r="R2838" i="4"/>
  <c r="R2796" i="4"/>
  <c r="R2752" i="4"/>
  <c r="R3277" i="4"/>
  <c r="L3674" i="4"/>
  <c r="I3629" i="4"/>
  <c r="I3587" i="4"/>
  <c r="I3545" i="4"/>
  <c r="I3501" i="4"/>
  <c r="I3459" i="4"/>
  <c r="I3417" i="4"/>
  <c r="I3373" i="4"/>
  <c r="I3331" i="4"/>
  <c r="I3289" i="4"/>
  <c r="I3245" i="4"/>
  <c r="J3220" i="4"/>
  <c r="J3178" i="4"/>
  <c r="J3134" i="4"/>
  <c r="J3092" i="4"/>
  <c r="J3050" i="4"/>
  <c r="J3006" i="4"/>
  <c r="P3650" i="4"/>
  <c r="P3482" i="4"/>
  <c r="P3306" i="4"/>
  <c r="R3155" i="4"/>
  <c r="R2987" i="4"/>
  <c r="R2899" i="4"/>
  <c r="R2815" i="4"/>
  <c r="O3718" i="4"/>
  <c r="O3504" i="4"/>
  <c r="O3336" i="4"/>
  <c r="I3222" i="4"/>
  <c r="I3178" i="4"/>
  <c r="I3136" i="4"/>
  <c r="I3094" i="4"/>
  <c r="I3050" i="4"/>
  <c r="I3010" i="4"/>
  <c r="I2978" i="4"/>
  <c r="I2946" i="4"/>
  <c r="I2914" i="4"/>
  <c r="I2882" i="4"/>
  <c r="I2850" i="4"/>
  <c r="I2818" i="4"/>
  <c r="I2786" i="4"/>
  <c r="I2754" i="4"/>
  <c r="O3211" i="4"/>
  <c r="O3147" i="4"/>
  <c r="O3083" i="4"/>
  <c r="J3829" i="4"/>
  <c r="I3812" i="4"/>
  <c r="J3334" i="4"/>
  <c r="S3344" i="4"/>
  <c r="R3345" i="4"/>
  <c r="L3330" i="4"/>
  <c r="J3331" i="4"/>
  <c r="S3415" i="4"/>
  <c r="R3416" i="4"/>
  <c r="I3482" i="4"/>
  <c r="I3312" i="4"/>
  <c r="J3157" i="4"/>
  <c r="J2987" i="4"/>
  <c r="J2817" i="4"/>
  <c r="P3663" i="4"/>
  <c r="P3493" i="4"/>
  <c r="P3323" i="4"/>
  <c r="R3168" i="4"/>
  <c r="R2998" i="4"/>
  <c r="R2828" i="4"/>
  <c r="I3661" i="4"/>
  <c r="I3491" i="4"/>
  <c r="I3321" i="4"/>
  <c r="J3166" i="4"/>
  <c r="J2996" i="4"/>
  <c r="R3115" i="4"/>
  <c r="O3632" i="4"/>
  <c r="O3248" i="4"/>
  <c r="I3158" i="4"/>
  <c r="I3072" i="4"/>
  <c r="I2994" i="4"/>
  <c r="I2930" i="4"/>
  <c r="I2866" i="4"/>
  <c r="I2802" i="4"/>
  <c r="O3696" i="4"/>
  <c r="O3115" i="4"/>
  <c r="O3003" i="4"/>
  <c r="O2923" i="4"/>
  <c r="O2827" i="4"/>
  <c r="O2747" i="4"/>
  <c r="O2667" i="4"/>
  <c r="O2571" i="4"/>
  <c r="O3353" i="4"/>
  <c r="L3110" i="4"/>
  <c r="L2918" i="4"/>
  <c r="L2758" i="4"/>
  <c r="P2699" i="4"/>
  <c r="P2635" i="4"/>
  <c r="S2581" i="4"/>
  <c r="O2523" i="4"/>
  <c r="O2427" i="4"/>
  <c r="O2347" i="4"/>
  <c r="O2267" i="4"/>
  <c r="L3207" i="4"/>
  <c r="L3047" i="4"/>
  <c r="L2887" i="4"/>
  <c r="S2730" i="4"/>
  <c r="R2677" i="4"/>
  <c r="P2624" i="4"/>
  <c r="P2560" i="4"/>
  <c r="P3616" i="4"/>
  <c r="P3456" i="4"/>
  <c r="P3264" i="4"/>
  <c r="R3153" i="4"/>
  <c r="R3073" i="4"/>
  <c r="J2982" i="4"/>
  <c r="J2942" i="4"/>
  <c r="J2902" i="4"/>
  <c r="J2854" i="4"/>
  <c r="J2814" i="4"/>
  <c r="J2774" i="4"/>
  <c r="L3679" i="4"/>
  <c r="O3590" i="4"/>
  <c r="O3510" i="4"/>
  <c r="O3414" i="4"/>
  <c r="O3334" i="4"/>
  <c r="O3254" i="4"/>
  <c r="P3219" i="4"/>
  <c r="P3199" i="4"/>
  <c r="P3179" i="4"/>
  <c r="P3155" i="4"/>
  <c r="P3135" i="4"/>
  <c r="P3115" i="4"/>
  <c r="P3091" i="4"/>
  <c r="P3071" i="4"/>
  <c r="P3051" i="4"/>
  <c r="P3027" i="4"/>
  <c r="P3007" i="4"/>
  <c r="P2987" i="4"/>
  <c r="P2963" i="4"/>
  <c r="P2943" i="4"/>
  <c r="P2923" i="4"/>
  <c r="P2899" i="4"/>
  <c r="P2879" i="4"/>
  <c r="P2859" i="4"/>
  <c r="P2835" i="4"/>
  <c r="P2815" i="4"/>
  <c r="P2795" i="4"/>
  <c r="P2771" i="4"/>
  <c r="O3939" i="4"/>
  <c r="O3230" i="4"/>
  <c r="O3182" i="4"/>
  <c r="O3142" i="4"/>
  <c r="O3102" i="4"/>
  <c r="O3054" i="4"/>
  <c r="O3022" i="4"/>
  <c r="O2990" i="4"/>
  <c r="O2958" i="4"/>
  <c r="O2926" i="4"/>
  <c r="O2894" i="4"/>
  <c r="O2862" i="4"/>
  <c r="O2830" i="4"/>
  <c r="O2798" i="4"/>
  <c r="O2766" i="4"/>
  <c r="O2734" i="4"/>
  <c r="O2702" i="4"/>
  <c r="O2670" i="4"/>
  <c r="O2638" i="4"/>
  <c r="O2606" i="4"/>
  <c r="O2574" i="4"/>
  <c r="O2542" i="4"/>
  <c r="O3505" i="4"/>
  <c r="O3249" i="4"/>
  <c r="S3179" i="4"/>
  <c r="S3115" i="4"/>
  <c r="S3051" i="4"/>
  <c r="S2987" i="4"/>
  <c r="S2923" i="4"/>
  <c r="S2859" i="4"/>
  <c r="S2795" i="4"/>
  <c r="I2744" i="4"/>
  <c r="L2722" i="4"/>
  <c r="J2701" i="4"/>
  <c r="I2680" i="4"/>
  <c r="L2658" i="4"/>
  <c r="J2637" i="4"/>
  <c r="I2616" i="4"/>
  <c r="L2594" i="4"/>
  <c r="J2573" i="4"/>
  <c r="I2552" i="4"/>
  <c r="O2526" i="4"/>
  <c r="O2494" i="4"/>
  <c r="O2462" i="4"/>
  <c r="O2430" i="4"/>
  <c r="O2398" i="4"/>
  <c r="O2366" i="4"/>
  <c r="O2334" i="4"/>
  <c r="O2302" i="4"/>
  <c r="O2270" i="4"/>
  <c r="O3643" i="4"/>
  <c r="O3387" i="4"/>
  <c r="S3212" i="4"/>
  <c r="S3148" i="4"/>
  <c r="S3084" i="4"/>
  <c r="S3020" i="4"/>
  <c r="S2956" i="4"/>
  <c r="S2892" i="4"/>
  <c r="S2828" i="4"/>
  <c r="S2764" i="4"/>
  <c r="I2733" i="4"/>
  <c r="L2711" i="4"/>
  <c r="J2690" i="4"/>
  <c r="I2669" i="4"/>
  <c r="L2647" i="4"/>
  <c r="J2626" i="4"/>
  <c r="I2605" i="4"/>
  <c r="L2583" i="4"/>
  <c r="J2562" i="4"/>
  <c r="J3282" i="4"/>
  <c r="P3654" i="4"/>
  <c r="P3590" i="4"/>
  <c r="P3526" i="4"/>
  <c r="P3462" i="4"/>
  <c r="P3398" i="4"/>
  <c r="P3334" i="4"/>
  <c r="P3270" i="4"/>
  <c r="R3223" i="4"/>
  <c r="R3159" i="4"/>
  <c r="R3095" i="4"/>
  <c r="R3031" i="4"/>
  <c r="R2977" i="4"/>
  <c r="R2945" i="4"/>
  <c r="R2913" i="4"/>
  <c r="R2881" i="4"/>
  <c r="R2849" i="4"/>
  <c r="R2817" i="4"/>
  <c r="R2785" i="4"/>
  <c r="R2753" i="4"/>
  <c r="O3664" i="4"/>
  <c r="O3596" i="4"/>
  <c r="O3532" i="4"/>
  <c r="O3468" i="4"/>
  <c r="O3404" i="4"/>
  <c r="O3340" i="4"/>
  <c r="O3276" i="4"/>
  <c r="I3233" i="4"/>
  <c r="I3217" i="4"/>
  <c r="I3201" i="4"/>
  <c r="I3185" i="4"/>
  <c r="I3169" i="4"/>
  <c r="I3153" i="4"/>
  <c r="I3137" i="4"/>
  <c r="I3121" i="4"/>
  <c r="I3105" i="4"/>
  <c r="I3089" i="4"/>
  <c r="I3073" i="4"/>
  <c r="I3057" i="4"/>
  <c r="I3041" i="4"/>
  <c r="I3029" i="4"/>
  <c r="I3017" i="4"/>
  <c r="I3007" i="4"/>
  <c r="I2997" i="4"/>
  <c r="I2985" i="4"/>
  <c r="I2975" i="4"/>
  <c r="I2965" i="4"/>
  <c r="I2953" i="4"/>
  <c r="I2943" i="4"/>
  <c r="I2933" i="4"/>
  <c r="I2921" i="4"/>
  <c r="I2911" i="4"/>
  <c r="I2901" i="4"/>
  <c r="I2889" i="4"/>
  <c r="I2879" i="4"/>
  <c r="I2869" i="4"/>
  <c r="I2857" i="4"/>
  <c r="I2847" i="4"/>
  <c r="I2837" i="4"/>
  <c r="I2825" i="4"/>
  <c r="I2815" i="4"/>
  <c r="I2805" i="4"/>
  <c r="I2793" i="4"/>
  <c r="I2783" i="4"/>
  <c r="I2773" i="4"/>
  <c r="I2761" i="4"/>
  <c r="O3907" i="4"/>
  <c r="O3744" i="4"/>
  <c r="O3225" i="4"/>
  <c r="O3205" i="4"/>
  <c r="O3185" i="4"/>
  <c r="O3161" i="4"/>
  <c r="O3141" i="4"/>
  <c r="O3121" i="4"/>
  <c r="O3097" i="4"/>
  <c r="O3077" i="4"/>
  <c r="O3057" i="4"/>
  <c r="O3033" i="4"/>
  <c r="O3013" i="4"/>
  <c r="O2997" i="4"/>
  <c r="O2981" i="4"/>
  <c r="O2965" i="4"/>
  <c r="O2949" i="4"/>
  <c r="O2933" i="4"/>
  <c r="O2917" i="4"/>
  <c r="O2901" i="4"/>
  <c r="O2885" i="4"/>
  <c r="O2869" i="4"/>
  <c r="O2853" i="4"/>
  <c r="O2837" i="4"/>
  <c r="O2821" i="4"/>
  <c r="O2805" i="4"/>
  <c r="O2789" i="4"/>
  <c r="O2773" i="4"/>
  <c r="O2757" i="4"/>
  <c r="O2741" i="4"/>
  <c r="O2725" i="4"/>
  <c r="O2709" i="4"/>
  <c r="O2693" i="4"/>
  <c r="O2677" i="4"/>
  <c r="O2661" i="4"/>
  <c r="O2645" i="4"/>
  <c r="O2629" i="4"/>
  <c r="O2613" i="4"/>
  <c r="O2597" i="4"/>
  <c r="O2581" i="4"/>
  <c r="O2565" i="4"/>
  <c r="O2549" i="4"/>
  <c r="O3738" i="4"/>
  <c r="O3561" i="4"/>
  <c r="O3433" i="4"/>
  <c r="O3305" i="4"/>
  <c r="L3226" i="4"/>
  <c r="L3194" i="4"/>
  <c r="L3162" i="4"/>
  <c r="L3130" i="4"/>
  <c r="L3098" i="4"/>
  <c r="L3066" i="4"/>
  <c r="L3034" i="4"/>
  <c r="L3002" i="4"/>
  <c r="L2970" i="4"/>
  <c r="L2938" i="4"/>
  <c r="L2906" i="4"/>
  <c r="L2874" i="4"/>
  <c r="L2842" i="4"/>
  <c r="L2810" i="4"/>
  <c r="L2778" i="4"/>
  <c r="S2749" i="4"/>
  <c r="S2737" i="4"/>
  <c r="P2727" i="4"/>
  <c r="R2716" i="4"/>
  <c r="S2705" i="4"/>
  <c r="P2695" i="4"/>
  <c r="R2684" i="4"/>
  <c r="S2673" i="4"/>
  <c r="P2663" i="4"/>
  <c r="R2652" i="4"/>
  <c r="S2641" i="4"/>
  <c r="P2631" i="4"/>
  <c r="R2620" i="4"/>
  <c r="S2609" i="4"/>
  <c r="P2599" i="4"/>
  <c r="R2588" i="4"/>
  <c r="S2577" i="4"/>
  <c r="P2567" i="4"/>
  <c r="R2556" i="4"/>
  <c r="S2545" i="4"/>
  <c r="O2533" i="4"/>
  <c r="O2517" i="4"/>
  <c r="O2501" i="4"/>
  <c r="O2485" i="4"/>
  <c r="O2469" i="4"/>
  <c r="O2453" i="4"/>
  <c r="O2437" i="4"/>
  <c r="O2421" i="4"/>
  <c r="O2405" i="4"/>
  <c r="O2389" i="4"/>
  <c r="O2373" i="4"/>
  <c r="O2357" i="4"/>
  <c r="O2341" i="4"/>
  <c r="O2325" i="4"/>
  <c r="O2309" i="4"/>
  <c r="O2293" i="4"/>
  <c r="O2277" i="4"/>
  <c r="O2261" i="4"/>
  <c r="O3762" i="4"/>
  <c r="O3571" i="4"/>
  <c r="O3443" i="4"/>
  <c r="O3315" i="4"/>
  <c r="L3227" i="4"/>
  <c r="L3195" i="4"/>
  <c r="L3163" i="4"/>
  <c r="L3131" i="4"/>
  <c r="L3099" i="4"/>
  <c r="L3067" i="4"/>
  <c r="L3035" i="4"/>
  <c r="L3003" i="4"/>
  <c r="L2971" i="4"/>
  <c r="L2939" i="4"/>
  <c r="L2907" i="4"/>
  <c r="L2875" i="4"/>
  <c r="L2843" i="4"/>
  <c r="L2811" i="4"/>
  <c r="L2779" i="4"/>
  <c r="P2749" i="4"/>
  <c r="R2737" i="4"/>
  <c r="S2726" i="4"/>
  <c r="P2716" i="4"/>
  <c r="R2705" i="4"/>
  <c r="S2694" i="4"/>
  <c r="P2684" i="4"/>
  <c r="R2673" i="4"/>
  <c r="S2662" i="4"/>
  <c r="P2652" i="4"/>
  <c r="R2641" i="4"/>
  <c r="S2630" i="4"/>
  <c r="P2620" i="4"/>
  <c r="R2609" i="4"/>
  <c r="S2598" i="4"/>
  <c r="P2588" i="4"/>
  <c r="R2577" i="4"/>
  <c r="S2566" i="4"/>
  <c r="P2556" i="4"/>
  <c r="R3304" i="4"/>
  <c r="J3258" i="4"/>
  <c r="P3668" i="4"/>
  <c r="P3636" i="4"/>
  <c r="P3604" i="4"/>
  <c r="P3572" i="4"/>
  <c r="P3540" i="4"/>
  <c r="P3508" i="4"/>
  <c r="P3476" i="4"/>
  <c r="P3444" i="4"/>
  <c r="P3412" i="4"/>
  <c r="P3380" i="4"/>
  <c r="P3348" i="4"/>
  <c r="P3316" i="4"/>
  <c r="P3284" i="4"/>
  <c r="P3252" i="4"/>
  <c r="R3237" i="4"/>
  <c r="R3205" i="4"/>
  <c r="R3173" i="4"/>
  <c r="R3141" i="4"/>
  <c r="R3109" i="4"/>
  <c r="R3077" i="4"/>
  <c r="R3045" i="4"/>
  <c r="R3013" i="4"/>
  <c r="J2984" i="4"/>
  <c r="J2968" i="4"/>
  <c r="J2952" i="4"/>
  <c r="J2936" i="4"/>
  <c r="J2920" i="4"/>
  <c r="J2904" i="4"/>
  <c r="J2888" i="4"/>
  <c r="J2872" i="4"/>
  <c r="J2856" i="4"/>
  <c r="J2840" i="4"/>
  <c r="J2824" i="4"/>
  <c r="J2808" i="4"/>
  <c r="J2792" i="4"/>
  <c r="J2776" i="4"/>
  <c r="J2760" i="4"/>
  <c r="O3915" i="4"/>
  <c r="O3686" i="4"/>
  <c r="O3642" i="4"/>
  <c r="O3610" i="4"/>
  <c r="O3578" i="4"/>
  <c r="O3546" i="4"/>
  <c r="O3514" i="4"/>
  <c r="O3482" i="4"/>
  <c r="O3450" i="4"/>
  <c r="O3418" i="4"/>
  <c r="O3386" i="4"/>
  <c r="O3354" i="4"/>
  <c r="O3322" i="4"/>
  <c r="O3290" i="4"/>
  <c r="O3258" i="4"/>
  <c r="P3236" i="4"/>
  <c r="P3228" i="4"/>
  <c r="P3220" i="4"/>
  <c r="P3212" i="4"/>
  <c r="P3204" i="4"/>
  <c r="P3196" i="4"/>
  <c r="P3188" i="4"/>
  <c r="P3180" i="4"/>
  <c r="P3172" i="4"/>
  <c r="P3164" i="4"/>
  <c r="P3156" i="4"/>
  <c r="P3148" i="4"/>
  <c r="P3140" i="4"/>
  <c r="P3132" i="4"/>
  <c r="P3124" i="4"/>
  <c r="P3116" i="4"/>
  <c r="P3108" i="4"/>
  <c r="P3100" i="4"/>
  <c r="P3092" i="4"/>
  <c r="P3084" i="4"/>
  <c r="P3076" i="4"/>
  <c r="P3068" i="4"/>
  <c r="P3060" i="4"/>
  <c r="P3052" i="4"/>
  <c r="P3044" i="4"/>
  <c r="P3036" i="4"/>
  <c r="P3028" i="4"/>
  <c r="P3020" i="4"/>
  <c r="P3012" i="4"/>
  <c r="P3004" i="4"/>
  <c r="P2996" i="4"/>
  <c r="P2988" i="4"/>
  <c r="P2980" i="4"/>
  <c r="P2972" i="4"/>
  <c r="P2964" i="4"/>
  <c r="P2956" i="4"/>
  <c r="P2948" i="4"/>
  <c r="P2940" i="4"/>
  <c r="P2932" i="4"/>
  <c r="P2924" i="4"/>
  <c r="P2916" i="4"/>
  <c r="P2908" i="4"/>
  <c r="P2900" i="4"/>
  <c r="P2892" i="4"/>
  <c r="P2884" i="4"/>
  <c r="P2876" i="4"/>
  <c r="P2868" i="4"/>
  <c r="P2860" i="4"/>
  <c r="P2852" i="4"/>
  <c r="P2844" i="4"/>
  <c r="P2836" i="4"/>
  <c r="P2828" i="4"/>
  <c r="P2820" i="4"/>
  <c r="P2812" i="4"/>
  <c r="P2804" i="4"/>
  <c r="P2796" i="4"/>
  <c r="P2788" i="4"/>
  <c r="P2780" i="4"/>
  <c r="P2772" i="4"/>
  <c r="P2764" i="4"/>
  <c r="P2756" i="4"/>
  <c r="O3864" i="4"/>
  <c r="O3736" i="4"/>
  <c r="O3232" i="4"/>
  <c r="O3216" i="4"/>
  <c r="O3200" i="4"/>
  <c r="O3184" i="4"/>
  <c r="O3168" i="4"/>
  <c r="O3152" i="4"/>
  <c r="O3136" i="4"/>
  <c r="O3120" i="4"/>
  <c r="O3104" i="4"/>
  <c r="O3088" i="4"/>
  <c r="O3072" i="4"/>
  <c r="O3056" i="4"/>
  <c r="O3040" i="4"/>
  <c r="O3024" i="4"/>
  <c r="O3008" i="4"/>
  <c r="O2992" i="4"/>
  <c r="O2976" i="4"/>
  <c r="O2960" i="4"/>
  <c r="O2944" i="4"/>
  <c r="O2928" i="4"/>
  <c r="O2912" i="4"/>
  <c r="O2896" i="4"/>
  <c r="O2880" i="4"/>
  <c r="O2864" i="4"/>
  <c r="O2848" i="4"/>
  <c r="O2832" i="4"/>
  <c r="O2816" i="4"/>
  <c r="O2800" i="4"/>
  <c r="O2784" i="4"/>
  <c r="O2768" i="4"/>
  <c r="O2752" i="4"/>
  <c r="O2736" i="4"/>
  <c r="O2720" i="4"/>
  <c r="O2704" i="4"/>
  <c r="O2688" i="4"/>
  <c r="O2672" i="4"/>
  <c r="O2632" i="4"/>
  <c r="O2568" i="4"/>
  <c r="O3457" i="4"/>
  <c r="S3167" i="4"/>
  <c r="S3039" i="4"/>
  <c r="S2911" i="4"/>
  <c r="S2783" i="4"/>
  <c r="L2718" i="4"/>
  <c r="I2676" i="4"/>
  <c r="J2633" i="4"/>
  <c r="L2590" i="4"/>
  <c r="I2548" i="4"/>
  <c r="O2488" i="4"/>
  <c r="O2424" i="4"/>
  <c r="O2360" i="4"/>
  <c r="O2296" i="4"/>
  <c r="O3595" i="4"/>
  <c r="S3200" i="4"/>
  <c r="S3072" i="4"/>
  <c r="S2944" i="4"/>
  <c r="S2816" i="4"/>
  <c r="I2729" i="4"/>
  <c r="J2686" i="4"/>
  <c r="L2643" i="4"/>
  <c r="I2601" i="4"/>
  <c r="J2558" i="4"/>
  <c r="L2539" i="4"/>
  <c r="L2531" i="4"/>
  <c r="L2523" i="4"/>
  <c r="L2515" i="4"/>
  <c r="L2507" i="4"/>
  <c r="L2499" i="4"/>
  <c r="L2491" i="4"/>
  <c r="L2483" i="4"/>
  <c r="L2475" i="4"/>
  <c r="L2467" i="4"/>
  <c r="L2459" i="4"/>
  <c r="L2451" i="4"/>
  <c r="L2443" i="4"/>
  <c r="L2435" i="4"/>
  <c r="L2427" i="4"/>
  <c r="L2419" i="4"/>
  <c r="L2411" i="4"/>
  <c r="L2403" i="4"/>
  <c r="L2395" i="4"/>
  <c r="L2387" i="4"/>
  <c r="L2379" i="4"/>
  <c r="L2371" i="4"/>
  <c r="L2363" i="4"/>
  <c r="L2355" i="4"/>
  <c r="L2347" i="4"/>
  <c r="L2339" i="4"/>
  <c r="O3722" i="4"/>
  <c r="O3565" i="4"/>
  <c r="O3437" i="4"/>
  <c r="O3309" i="4"/>
  <c r="S3225" i="4"/>
  <c r="S3193" i="4"/>
  <c r="S3161" i="4"/>
  <c r="S3129" i="4"/>
  <c r="S3097" i="4"/>
  <c r="S3065" i="4"/>
  <c r="S3033" i="4"/>
  <c r="S3001" i="4"/>
  <c r="S2969" i="4"/>
  <c r="S2937" i="4"/>
  <c r="S2905" i="4"/>
  <c r="S2873" i="4"/>
  <c r="S2841" i="4"/>
  <c r="S2809" i="4"/>
  <c r="S2777" i="4"/>
  <c r="L2749" i="4"/>
  <c r="P2737" i="4"/>
  <c r="R2726" i="4"/>
  <c r="S2715" i="4"/>
  <c r="P2705" i="4"/>
  <c r="R2694" i="4"/>
  <c r="S2683" i="4"/>
  <c r="P2673" i="4"/>
  <c r="R2662" i="4"/>
  <c r="S2651" i="4"/>
  <c r="P2641" i="4"/>
  <c r="R2630" i="4"/>
  <c r="S2619" i="4"/>
  <c r="P2609" i="4"/>
  <c r="R2598" i="4"/>
  <c r="S2587" i="4"/>
  <c r="P2577" i="4"/>
  <c r="R2566" i="4"/>
  <c r="S2555" i="4"/>
  <c r="P2545" i="4"/>
  <c r="R2535" i="4"/>
  <c r="R2527" i="4"/>
  <c r="R2519" i="4"/>
  <c r="R2511" i="4"/>
  <c r="R2503" i="4"/>
  <c r="R2495" i="4"/>
  <c r="R2487" i="4"/>
  <c r="R2479" i="4"/>
  <c r="R2471" i="4"/>
  <c r="R2463" i="4"/>
  <c r="R2455" i="4"/>
  <c r="R2447" i="4"/>
  <c r="R2439" i="4"/>
  <c r="R2431" i="4"/>
  <c r="R2423" i="4"/>
  <c r="R2415" i="4"/>
  <c r="R2407" i="4"/>
  <c r="R2399" i="4"/>
  <c r="R2391" i="4"/>
  <c r="R2383" i="4"/>
  <c r="R2375" i="4"/>
  <c r="R2367" i="4"/>
  <c r="R2359" i="4"/>
  <c r="R2351" i="4"/>
  <c r="R2343" i="4"/>
  <c r="O3495" i="4"/>
  <c r="J2712" i="4"/>
  <c r="J2648" i="4"/>
  <c r="J2584" i="4"/>
  <c r="I2530" i="4"/>
  <c r="I2498" i="4"/>
  <c r="I2466" i="4"/>
  <c r="I2434" i="4"/>
  <c r="I2402" i="4"/>
  <c r="I2370" i="4"/>
  <c r="R2338" i="4"/>
  <c r="R2326" i="4"/>
  <c r="S2315" i="4"/>
  <c r="P2305" i="4"/>
  <c r="R2294" i="4"/>
  <c r="S2283" i="4"/>
  <c r="P2273" i="4"/>
  <c r="R2262" i="4"/>
  <c r="S2251" i="4"/>
  <c r="R2243" i="4"/>
  <c r="R2235" i="4"/>
  <c r="R2227" i="4"/>
  <c r="R2219" i="4"/>
  <c r="R2211" i="4"/>
  <c r="R2203" i="4"/>
  <c r="R2195" i="4"/>
  <c r="R2187" i="4"/>
  <c r="R2179" i="4"/>
  <c r="R2171" i="4"/>
  <c r="R2163" i="4"/>
  <c r="R2155" i="4"/>
  <c r="R2147" i="4"/>
  <c r="R2139" i="4"/>
  <c r="R2131" i="4"/>
  <c r="R2123" i="4"/>
  <c r="R2115" i="4"/>
  <c r="R2107" i="4"/>
  <c r="R2099" i="4"/>
  <c r="R2091" i="4"/>
  <c r="R2083" i="4"/>
  <c r="R2075" i="4"/>
  <c r="R2067" i="4"/>
  <c r="R2059" i="4"/>
  <c r="R2051" i="4"/>
  <c r="R2043" i="4"/>
  <c r="R2035" i="4"/>
  <c r="R2027" i="4"/>
  <c r="O3931" i="4"/>
  <c r="S3238" i="4"/>
  <c r="S3174" i="4"/>
  <c r="S3110" i="4"/>
  <c r="S3046" i="4"/>
  <c r="S2982" i="4"/>
  <c r="S2918" i="4"/>
  <c r="S2854" i="4"/>
  <c r="S2790" i="4"/>
  <c r="I2739" i="4"/>
  <c r="I2707" i="4"/>
  <c r="I2675" i="4"/>
  <c r="I2643" i="4"/>
  <c r="I2611" i="4"/>
  <c r="I2579" i="4"/>
  <c r="I2547" i="4"/>
  <c r="I2515" i="4"/>
  <c r="I2483" i="4"/>
  <c r="I2451" i="4"/>
  <c r="I2419" i="4"/>
  <c r="I2387" i="4"/>
  <c r="I2355" i="4"/>
  <c r="J2332" i="4"/>
  <c r="L2321" i="4"/>
  <c r="I2311" i="4"/>
  <c r="J2300" i="4"/>
  <c r="L2289" i="4"/>
  <c r="I2279" i="4"/>
  <c r="J2268" i="4"/>
  <c r="L2257" i="4"/>
  <c r="I2248" i="4"/>
  <c r="I2240" i="4"/>
  <c r="I2232" i="4"/>
  <c r="I2224" i="4"/>
  <c r="I2216" i="4"/>
  <c r="I2208" i="4"/>
  <c r="I2200" i="4"/>
  <c r="I2192" i="4"/>
  <c r="I2184" i="4"/>
  <c r="I2176" i="4"/>
  <c r="I2168" i="4"/>
  <c r="I2160" i="4"/>
  <c r="I2152" i="4"/>
  <c r="I2144" i="4"/>
  <c r="I2136" i="4"/>
  <c r="I2128" i="4"/>
  <c r="I2120" i="4"/>
  <c r="I2112" i="4"/>
  <c r="I2104" i="4"/>
  <c r="I2096" i="4"/>
  <c r="I2088" i="4"/>
  <c r="I2080" i="4"/>
  <c r="I2072" i="4"/>
  <c r="I2064" i="4"/>
  <c r="I2056" i="4"/>
  <c r="I2048" i="4"/>
  <c r="I2040" i="4"/>
  <c r="I2032" i="4"/>
  <c r="I2024" i="4"/>
  <c r="O3511" i="4"/>
  <c r="J2716" i="4"/>
  <c r="J2652" i="4"/>
  <c r="J2588" i="4"/>
  <c r="I2532" i="4"/>
  <c r="I2500" i="4"/>
  <c r="I2468" i="4"/>
  <c r="I2436" i="4"/>
  <c r="I2404" i="4"/>
  <c r="I2372" i="4"/>
  <c r="I2340" i="4"/>
  <c r="I2328" i="4"/>
  <c r="J2317" i="4"/>
  <c r="L2306" i="4"/>
  <c r="I2296" i="4"/>
  <c r="J2285" i="4"/>
  <c r="L2274" i="4"/>
  <c r="I2264" i="4"/>
  <c r="J2253" i="4"/>
  <c r="O2238" i="4"/>
  <c r="O2222" i="4"/>
  <c r="O2206" i="4"/>
  <c r="O2190" i="4"/>
  <c r="O2174" i="4"/>
  <c r="O2158" i="4"/>
  <c r="O2142" i="4"/>
  <c r="O2126" i="4"/>
  <c r="O2110" i="4"/>
  <c r="O2094" i="4"/>
  <c r="O2078" i="4"/>
  <c r="O2062" i="4"/>
  <c r="O2046" i="4"/>
  <c r="O2030" i="4"/>
  <c r="O2014" i="4"/>
  <c r="O2612" i="4"/>
  <c r="O2548" i="4"/>
  <c r="O3297" i="4"/>
  <c r="S3127" i="4"/>
  <c r="S2999" i="4"/>
  <c r="S2871" i="4"/>
  <c r="I2748" i="4"/>
  <c r="J2705" i="4"/>
  <c r="L2662" i="4"/>
  <c r="I2620" i="4"/>
  <c r="J2577" i="4"/>
  <c r="O2532" i="4"/>
  <c r="O2468" i="4"/>
  <c r="O2404" i="4"/>
  <c r="O2340" i="4"/>
  <c r="O2276" i="4"/>
  <c r="O3435" i="4"/>
  <c r="R4243" i="4"/>
  <c r="L3790" i="4"/>
  <c r="L3589" i="4"/>
  <c r="I3712" i="4"/>
  <c r="O3889" i="4"/>
  <c r="P3697" i="4"/>
  <c r="O3831" i="4"/>
  <c r="R4092" i="4"/>
  <c r="S3287" i="4"/>
  <c r="R3278" i="4"/>
  <c r="I3440" i="4"/>
  <c r="I3268" i="4"/>
  <c r="J3115" i="4"/>
  <c r="J2945" i="4"/>
  <c r="J2773" i="4"/>
  <c r="P3621" i="4"/>
  <c r="P3451" i="4"/>
  <c r="P3279" i="4"/>
  <c r="R3126" i="4"/>
  <c r="R2956" i="4"/>
  <c r="R2784" i="4"/>
  <c r="I3619" i="4"/>
  <c r="I3449" i="4"/>
  <c r="I3277" i="4"/>
  <c r="J3124" i="4"/>
  <c r="P3610" i="4"/>
  <c r="R2963" i="4"/>
  <c r="O3464" i="4"/>
  <c r="I3210" i="4"/>
  <c r="I3126" i="4"/>
  <c r="I3040" i="4"/>
  <c r="I2970" i="4"/>
  <c r="I2906" i="4"/>
  <c r="I2842" i="4"/>
  <c r="I2778" i="4"/>
  <c r="O3195" i="4"/>
  <c r="O3067" i="4"/>
  <c r="O2987" i="4"/>
  <c r="O2891" i="4"/>
  <c r="O2811" i="4"/>
  <c r="O2731" i="4"/>
  <c r="O2635" i="4"/>
  <c r="O2555" i="4"/>
  <c r="L3238" i="4"/>
  <c r="L3046" i="4"/>
  <c r="L2886" i="4"/>
  <c r="S2741" i="4"/>
  <c r="S2677" i="4"/>
  <c r="R2624" i="4"/>
  <c r="P2571" i="4"/>
  <c r="O2491" i="4"/>
  <c r="O2411" i="4"/>
  <c r="O2331" i="4"/>
  <c r="O3619" i="4"/>
  <c r="L3175" i="4"/>
  <c r="L3015" i="4"/>
  <c r="L2823" i="4"/>
  <c r="P2720" i="4"/>
  <c r="S2666" i="4"/>
  <c r="S2602" i="4"/>
  <c r="R2549" i="4"/>
  <c r="P3584" i="4"/>
  <c r="P3392" i="4"/>
  <c r="O3804" i="4"/>
  <c r="R3137" i="4"/>
  <c r="R3041" i="4"/>
  <c r="J2974" i="4"/>
  <c r="J2934" i="4"/>
  <c r="J2886" i="4"/>
  <c r="J2846" i="4"/>
  <c r="J2806" i="4"/>
  <c r="J2758" i="4"/>
  <c r="O3656" i="4"/>
  <c r="O3574" i="4"/>
  <c r="O3478" i="4"/>
  <c r="O3398" i="4"/>
  <c r="O3318" i="4"/>
  <c r="P3235" i="4"/>
  <c r="P3215" i="4"/>
  <c r="P3195" i="4"/>
  <c r="P3171" i="4"/>
  <c r="P3151" i="4"/>
  <c r="P3131" i="4"/>
  <c r="P3107" i="4"/>
  <c r="P3087" i="4"/>
  <c r="P3067" i="4"/>
  <c r="P3043" i="4"/>
  <c r="P3023" i="4"/>
  <c r="P3003" i="4"/>
  <c r="P2979" i="4"/>
  <c r="P2959" i="4"/>
  <c r="P2939" i="4"/>
  <c r="P2915" i="4"/>
  <c r="P2895" i="4"/>
  <c r="P2875" i="4"/>
  <c r="P2851" i="4"/>
  <c r="P2831" i="4"/>
  <c r="P2811" i="4"/>
  <c r="P2787" i="4"/>
  <c r="P2767" i="4"/>
  <c r="O3848" i="4"/>
  <c r="O3214" i="4"/>
  <c r="O3174" i="4"/>
  <c r="O3134" i="4"/>
  <c r="O3086" i="4"/>
  <c r="O3046" i="4"/>
  <c r="O3014" i="4"/>
  <c r="O2982" i="4"/>
  <c r="O2950" i="4"/>
  <c r="O2918" i="4"/>
  <c r="O2886" i="4"/>
  <c r="O2854" i="4"/>
  <c r="O2822" i="4"/>
  <c r="O2790" i="4"/>
  <c r="O2758" i="4"/>
  <c r="O2726" i="4"/>
  <c r="O2694" i="4"/>
  <c r="O2662" i="4"/>
  <c r="O2630" i="4"/>
  <c r="O2598" i="4"/>
  <c r="O2566" i="4"/>
  <c r="O3770" i="4"/>
  <c r="O3441" i="4"/>
  <c r="S3227" i="4"/>
  <c r="S3163" i="4"/>
  <c r="S3099" i="4"/>
  <c r="S3035" i="4"/>
  <c r="S2971" i="4"/>
  <c r="S2907" i="4"/>
  <c r="S2843" i="4"/>
  <c r="S2779" i="4"/>
  <c r="L2738" i="4"/>
  <c r="J2717" i="4"/>
  <c r="I2696" i="4"/>
  <c r="L2674" i="4"/>
  <c r="J2653" i="4"/>
  <c r="I2632" i="4"/>
  <c r="L2610" i="4"/>
  <c r="J2589" i="4"/>
  <c r="I2568" i="4"/>
  <c r="L2546" i="4"/>
  <c r="O2518" i="4"/>
  <c r="O2486" i="4"/>
  <c r="O2454" i="4"/>
  <c r="O2422" i="4"/>
  <c r="O2390" i="4"/>
  <c r="O2358" i="4"/>
  <c r="O2326" i="4"/>
  <c r="O2294" i="4"/>
  <c r="O2262" i="4"/>
  <c r="O3579" i="4"/>
  <c r="O3323" i="4"/>
  <c r="S3196" i="4"/>
  <c r="S3132" i="4"/>
  <c r="S3068" i="4"/>
  <c r="S3004" i="4"/>
  <c r="S2940" i="4"/>
  <c r="S2876" i="4"/>
  <c r="S2812" i="4"/>
  <c r="L2750" i="4"/>
  <c r="L2727" i="4"/>
  <c r="J2706" i="4"/>
  <c r="I2685" i="4"/>
  <c r="L2663" i="4"/>
  <c r="J2642" i="4"/>
  <c r="I2621" i="4"/>
  <c r="L2599" i="4"/>
  <c r="J2578" i="4"/>
  <c r="I2557" i="4"/>
  <c r="R3260" i="4"/>
  <c r="P3638" i="4"/>
  <c r="P3574" i="4"/>
  <c r="P3510" i="4"/>
  <c r="P3446" i="4"/>
  <c r="P3382" i="4"/>
  <c r="P3318" i="4"/>
  <c r="P3254" i="4"/>
  <c r="R3207" i="4"/>
  <c r="R3143" i="4"/>
  <c r="R3079" i="4"/>
  <c r="R3015" i="4"/>
  <c r="R2969" i="4"/>
  <c r="R2937" i="4"/>
  <c r="R2905" i="4"/>
  <c r="R2873" i="4"/>
  <c r="R2841" i="4"/>
  <c r="R2809" i="4"/>
  <c r="R2777" i="4"/>
  <c r="I4115" i="4"/>
  <c r="O3644" i="4"/>
  <c r="O3580" i="4"/>
  <c r="O3516" i="4"/>
  <c r="O3452" i="4"/>
  <c r="O3388" i="4"/>
  <c r="O3324" i="4"/>
  <c r="O3260" i="4"/>
  <c r="I3229" i="4"/>
  <c r="I3213" i="4"/>
  <c r="I3197" i="4"/>
  <c r="I3181" i="4"/>
  <c r="I3165" i="4"/>
  <c r="I3149" i="4"/>
  <c r="I3133" i="4"/>
  <c r="I3117" i="4"/>
  <c r="I3101" i="4"/>
  <c r="I3085" i="4"/>
  <c r="I3069" i="4"/>
  <c r="I3053" i="4"/>
  <c r="I3037" i="4"/>
  <c r="I3025" i="4"/>
  <c r="I3015" i="4"/>
  <c r="I3005" i="4"/>
  <c r="I2993" i="4"/>
  <c r="I2983" i="4"/>
  <c r="I2973" i="4"/>
  <c r="I2961" i="4"/>
  <c r="I2951" i="4"/>
  <c r="I2941" i="4"/>
  <c r="I2929" i="4"/>
  <c r="I2919" i="4"/>
  <c r="I2909" i="4"/>
  <c r="I2897" i="4"/>
  <c r="I2887" i="4"/>
  <c r="I2877" i="4"/>
  <c r="I2865" i="4"/>
  <c r="I2855" i="4"/>
  <c r="I2845" i="4"/>
  <c r="I2833" i="4"/>
  <c r="I2823" i="4"/>
  <c r="I2813" i="4"/>
  <c r="I2801" i="4"/>
  <c r="I2791" i="4"/>
  <c r="I2781" i="4"/>
  <c r="I2769" i="4"/>
  <c r="I2759" i="4"/>
  <c r="O3872" i="4"/>
  <c r="O3673" i="4"/>
  <c r="O3221" i="4"/>
  <c r="O3201" i="4"/>
  <c r="O3177" i="4"/>
  <c r="O3157" i="4"/>
  <c r="O3137" i="4"/>
  <c r="O3113" i="4"/>
  <c r="O3093" i="4"/>
  <c r="O3073" i="4"/>
  <c r="O3049" i="4"/>
  <c r="O3029" i="4"/>
  <c r="O3009" i="4"/>
  <c r="O2993" i="4"/>
  <c r="O2977" i="4"/>
  <c r="O2961" i="4"/>
  <c r="O2945" i="4"/>
  <c r="O2929" i="4"/>
  <c r="O2913" i="4"/>
  <c r="O2897" i="4"/>
  <c r="O2881" i="4"/>
  <c r="O2865" i="4"/>
  <c r="O2849" i="4"/>
  <c r="O2833" i="4"/>
  <c r="O2817" i="4"/>
  <c r="O2801" i="4"/>
  <c r="O2785" i="4"/>
  <c r="O2769" i="4"/>
  <c r="O2753" i="4"/>
  <c r="O2737" i="4"/>
  <c r="O2721" i="4"/>
  <c r="O2705" i="4"/>
  <c r="O2689" i="4"/>
  <c r="O2673" i="4"/>
  <c r="O2657" i="4"/>
  <c r="O2641" i="4"/>
  <c r="O2625" i="4"/>
  <c r="O2609" i="4"/>
  <c r="O2593" i="4"/>
  <c r="O2577" i="4"/>
  <c r="O2561" i="4"/>
  <c r="O2545" i="4"/>
  <c r="O3657" i="4"/>
  <c r="O3529" i="4"/>
  <c r="O3401" i="4"/>
  <c r="O3273" i="4"/>
  <c r="L3218" i="4"/>
  <c r="L3186" i="4"/>
  <c r="L3154" i="4"/>
  <c r="L3122" i="4"/>
  <c r="L3090" i="4"/>
  <c r="L3058" i="4"/>
  <c r="L3026" i="4"/>
  <c r="L2994" i="4"/>
  <c r="L2962" i="4"/>
  <c r="L2930" i="4"/>
  <c r="L2898" i="4"/>
  <c r="L2866" i="4"/>
  <c r="L2834" i="4"/>
  <c r="L2802" i="4"/>
  <c r="L2770" i="4"/>
  <c r="S2745" i="4"/>
  <c r="P2735" i="4"/>
  <c r="R2724" i="4"/>
  <c r="S2713" i="4"/>
  <c r="P2703" i="4"/>
  <c r="R2692" i="4"/>
  <c r="S2681" i="4"/>
  <c r="P2671" i="4"/>
  <c r="R2660" i="4"/>
  <c r="S2649" i="4"/>
  <c r="P2639" i="4"/>
  <c r="R2628" i="4"/>
  <c r="S2617" i="4"/>
  <c r="P2607" i="4"/>
  <c r="R2596" i="4"/>
  <c r="S2585" i="4"/>
  <c r="P2575" i="4"/>
  <c r="R2564" i="4"/>
  <c r="S2553" i="4"/>
  <c r="P2543" i="4"/>
  <c r="O2529" i="4"/>
  <c r="O2513" i="4"/>
  <c r="O2497" i="4"/>
  <c r="O2481" i="4"/>
  <c r="O2465" i="4"/>
  <c r="O2449" i="4"/>
  <c r="O2433" i="4"/>
  <c r="O2417" i="4"/>
  <c r="O2401" i="4"/>
  <c r="O2385" i="4"/>
  <c r="O2369" i="4"/>
  <c r="O2353" i="4"/>
  <c r="O2337" i="4"/>
  <c r="O2321" i="4"/>
  <c r="O2305" i="4"/>
  <c r="O2289" i="4"/>
  <c r="O2273" i="4"/>
  <c r="O2257" i="4"/>
  <c r="O3667" i="4"/>
  <c r="O3539" i="4"/>
  <c r="O3411" i="4"/>
  <c r="O3283" i="4"/>
  <c r="L3219" i="4"/>
  <c r="L3187" i="4"/>
  <c r="L3155" i="4"/>
  <c r="L3123" i="4"/>
  <c r="L3091" i="4"/>
  <c r="L3059" i="4"/>
  <c r="L3027" i="4"/>
  <c r="L2995" i="4"/>
  <c r="L2963" i="4"/>
  <c r="L2931" i="4"/>
  <c r="L2899" i="4"/>
  <c r="L2867" i="4"/>
  <c r="L2835" i="4"/>
  <c r="L2803" i="4"/>
  <c r="L2771" i="4"/>
  <c r="R2745" i="4"/>
  <c r="S2734" i="4"/>
  <c r="P2724" i="4"/>
  <c r="R2713" i="4"/>
  <c r="S2702" i="4"/>
  <c r="P2692" i="4"/>
  <c r="R2681" i="4"/>
  <c r="S2670" i="4"/>
  <c r="P2660" i="4"/>
  <c r="R2649" i="4"/>
  <c r="S2638" i="4"/>
  <c r="P2628" i="4"/>
  <c r="R2617" i="4"/>
  <c r="S2606" i="4"/>
  <c r="P2596" i="4"/>
  <c r="R2585" i="4"/>
  <c r="S2574" i="4"/>
  <c r="P2564" i="4"/>
  <c r="R2553" i="4"/>
  <c r="J3290" i="4"/>
  <c r="R3247" i="4"/>
  <c r="P3660" i="4"/>
  <c r="P3628" i="4"/>
  <c r="P3596" i="4"/>
  <c r="P3564" i="4"/>
  <c r="P3532" i="4"/>
  <c r="P3500" i="4"/>
  <c r="P3468" i="4"/>
  <c r="P3436" i="4"/>
  <c r="P3404" i="4"/>
  <c r="P3372" i="4"/>
  <c r="P3340" i="4"/>
  <c r="P3308" i="4"/>
  <c r="P3276" i="4"/>
  <c r="P3244" i="4"/>
  <c r="R3229" i="4"/>
  <c r="R3197" i="4"/>
  <c r="R3165" i="4"/>
  <c r="R3133" i="4"/>
  <c r="R3101" i="4"/>
  <c r="R3069" i="4"/>
  <c r="R3037" i="4"/>
  <c r="R3005" i="4"/>
  <c r="J2980" i="4"/>
  <c r="J2964" i="4"/>
  <c r="J2948" i="4"/>
  <c r="J2932" i="4"/>
  <c r="J2916" i="4"/>
  <c r="J2900" i="4"/>
  <c r="J2884" i="4"/>
  <c r="J2868" i="4"/>
  <c r="J2852" i="4"/>
  <c r="J2836" i="4"/>
  <c r="J2820" i="4"/>
  <c r="J2804" i="4"/>
  <c r="J2788" i="4"/>
  <c r="J2772" i="4"/>
  <c r="J2756" i="4"/>
  <c r="O3838" i="4"/>
  <c r="J3672" i="4"/>
  <c r="O3634" i="4"/>
  <c r="O3602" i="4"/>
  <c r="O3570" i="4"/>
  <c r="O3538" i="4"/>
  <c r="O3506" i="4"/>
  <c r="O3474" i="4"/>
  <c r="O3442" i="4"/>
  <c r="O3410" i="4"/>
  <c r="O3378" i="4"/>
  <c r="O3346" i="4"/>
  <c r="O3314" i="4"/>
  <c r="O3282" i="4"/>
  <c r="O3250" i="4"/>
  <c r="P3234" i="4"/>
  <c r="P3226" i="4"/>
  <c r="P3218" i="4"/>
  <c r="P3210" i="4"/>
  <c r="P3202" i="4"/>
  <c r="P3194" i="4"/>
  <c r="P3186" i="4"/>
  <c r="P3178" i="4"/>
  <c r="P3170" i="4"/>
  <c r="P3162" i="4"/>
  <c r="P3154" i="4"/>
  <c r="P3146" i="4"/>
  <c r="P3138" i="4"/>
  <c r="P3130" i="4"/>
  <c r="P3122" i="4"/>
  <c r="P3114" i="4"/>
  <c r="P3106" i="4"/>
  <c r="P3098" i="4"/>
  <c r="P3090" i="4"/>
  <c r="P3082" i="4"/>
  <c r="P3074" i="4"/>
  <c r="P3066" i="4"/>
  <c r="P3058" i="4"/>
  <c r="P3050" i="4"/>
  <c r="P3042" i="4"/>
  <c r="P3034" i="4"/>
  <c r="P3026" i="4"/>
  <c r="P3018" i="4"/>
  <c r="P3010" i="4"/>
  <c r="P3002" i="4"/>
  <c r="P2994" i="4"/>
  <c r="P2986" i="4"/>
  <c r="P2978" i="4"/>
  <c r="P2970" i="4"/>
  <c r="P2962" i="4"/>
  <c r="P2954" i="4"/>
  <c r="P2946" i="4"/>
  <c r="P2938" i="4"/>
  <c r="P2930" i="4"/>
  <c r="P2922" i="4"/>
  <c r="P2914" i="4"/>
  <c r="P2906" i="4"/>
  <c r="P2898" i="4"/>
  <c r="P2890" i="4"/>
  <c r="P2882" i="4"/>
  <c r="P2874" i="4"/>
  <c r="P2866" i="4"/>
  <c r="P2858" i="4"/>
  <c r="P2850" i="4"/>
  <c r="P2842" i="4"/>
  <c r="P2834" i="4"/>
  <c r="P2826" i="4"/>
  <c r="P2818" i="4"/>
  <c r="P2810" i="4"/>
  <c r="P2802" i="4"/>
  <c r="P2794" i="4"/>
  <c r="P2786" i="4"/>
  <c r="P2778" i="4"/>
  <c r="P2770" i="4"/>
  <c r="P2762" i="4"/>
  <c r="P2754" i="4"/>
  <c r="O3832" i="4"/>
  <c r="O3704" i="4"/>
  <c r="O3228" i="4"/>
  <c r="O3212" i="4"/>
  <c r="O3196" i="4"/>
  <c r="O3180" i="4"/>
  <c r="O3164" i="4"/>
  <c r="O3148" i="4"/>
  <c r="O3132" i="4"/>
  <c r="O3116" i="4"/>
  <c r="O3100" i="4"/>
  <c r="O3084" i="4"/>
  <c r="O3068" i="4"/>
  <c r="O3052" i="4"/>
  <c r="O3036" i="4"/>
  <c r="O3020" i="4"/>
  <c r="O3004" i="4"/>
  <c r="O2988" i="4"/>
  <c r="O2972" i="4"/>
  <c r="O2956" i="4"/>
  <c r="O2940" i="4"/>
  <c r="O2924" i="4"/>
  <c r="O2908" i="4"/>
  <c r="O2892" i="4"/>
  <c r="O2876" i="4"/>
  <c r="O2860" i="4"/>
  <c r="O2844" i="4"/>
  <c r="O2828" i="4"/>
  <c r="O2812" i="4"/>
  <c r="O2796" i="4"/>
  <c r="O2780" i="4"/>
  <c r="O2764" i="4"/>
  <c r="O2748" i="4"/>
  <c r="O2732" i="4"/>
  <c r="O2716" i="4"/>
  <c r="O2700" i="4"/>
  <c r="O2684" i="4"/>
  <c r="O2668" i="4"/>
  <c r="O2616" i="4"/>
  <c r="O2552" i="4"/>
  <c r="O3329" i="4"/>
  <c r="S3135" i="4"/>
  <c r="S3007" i="4"/>
  <c r="S2879" i="4"/>
  <c r="I2752" i="4"/>
  <c r="I2708" i="4"/>
  <c r="J2665" i="4"/>
  <c r="L2622" i="4"/>
  <c r="I2580" i="4"/>
  <c r="O2536" i="4"/>
  <c r="O2472" i="4"/>
  <c r="O2408" i="4"/>
  <c r="O2344" i="4"/>
  <c r="O2280" i="4"/>
  <c r="O3467" i="4"/>
  <c r="S3168" i="4"/>
  <c r="S3040" i="4"/>
  <c r="S2912" i="4"/>
  <c r="S2784" i="4"/>
  <c r="J2718" i="4"/>
  <c r="L2675" i="4"/>
  <c r="I2633" i="4"/>
  <c r="J2590" i="4"/>
  <c r="L2547" i="4"/>
  <c r="L2537" i="4"/>
  <c r="L2529" i="4"/>
  <c r="L2521" i="4"/>
  <c r="L2513" i="4"/>
  <c r="L2505" i="4"/>
  <c r="L2497" i="4"/>
  <c r="L2489" i="4"/>
  <c r="L2481" i="4"/>
  <c r="L2473" i="4"/>
  <c r="L2465" i="4"/>
  <c r="L2457" i="4"/>
  <c r="L2449" i="4"/>
  <c r="L2441" i="4"/>
  <c r="L2433" i="4"/>
  <c r="L2425" i="4"/>
  <c r="L2417" i="4"/>
  <c r="L2409" i="4"/>
  <c r="L2401" i="4"/>
  <c r="L2393" i="4"/>
  <c r="L2385" i="4"/>
  <c r="L2377" i="4"/>
  <c r="L2369" i="4"/>
  <c r="L2361" i="4"/>
  <c r="L2353" i="4"/>
  <c r="L2345" i="4"/>
  <c r="L2337" i="4"/>
  <c r="O3661" i="4"/>
  <c r="O3533" i="4"/>
  <c r="O3405" i="4"/>
  <c r="O3277" i="4"/>
  <c r="S3217" i="4"/>
  <c r="S3185" i="4"/>
  <c r="S3153" i="4"/>
  <c r="S3121" i="4"/>
  <c r="S3089" i="4"/>
  <c r="S3057" i="4"/>
  <c r="S3025" i="4"/>
  <c r="S2993" i="4"/>
  <c r="S2961" i="4"/>
  <c r="S2929" i="4"/>
  <c r="S2897" i="4"/>
  <c r="S2865" i="4"/>
  <c r="S2833" i="4"/>
  <c r="S2801" i="4"/>
  <c r="S2769" i="4"/>
  <c r="P2745" i="4"/>
  <c r="R2734" i="4"/>
  <c r="S2723" i="4"/>
  <c r="P2713" i="4"/>
  <c r="R2702" i="4"/>
  <c r="S2691" i="4"/>
  <c r="P2681" i="4"/>
  <c r="R2670" i="4"/>
  <c r="S2659" i="4"/>
  <c r="P2649" i="4"/>
  <c r="R2638" i="4"/>
  <c r="S2627" i="4"/>
  <c r="P2617" i="4"/>
  <c r="R2606" i="4"/>
  <c r="S2595" i="4"/>
  <c r="P2585" i="4"/>
  <c r="R2574" i="4"/>
  <c r="S2563" i="4"/>
  <c r="P2553" i="4"/>
  <c r="R2542" i="4"/>
  <c r="R2533" i="4"/>
  <c r="R2525" i="4"/>
  <c r="R2517" i="4"/>
  <c r="R2509" i="4"/>
  <c r="R2501" i="4"/>
  <c r="R2493" i="4"/>
  <c r="R2485" i="4"/>
  <c r="R2477" i="4"/>
  <c r="R2469" i="4"/>
  <c r="R2461" i="4"/>
  <c r="R2453" i="4"/>
  <c r="R2445" i="4"/>
  <c r="R2437" i="4"/>
  <c r="R2429" i="4"/>
  <c r="R2421" i="4"/>
  <c r="R2413" i="4"/>
  <c r="R2405" i="4"/>
  <c r="R2397" i="4"/>
  <c r="R2389" i="4"/>
  <c r="R2381" i="4"/>
  <c r="R2373" i="4"/>
  <c r="R2365" i="4"/>
  <c r="R2357" i="4"/>
  <c r="R2349" i="4"/>
  <c r="R2341" i="4"/>
  <c r="O3367" i="4"/>
  <c r="J2696" i="4"/>
  <c r="J2632" i="4"/>
  <c r="J2568" i="4"/>
  <c r="I2522" i="4"/>
  <c r="I2490" i="4"/>
  <c r="I2458" i="4"/>
  <c r="I2426" i="4"/>
  <c r="I2394" i="4"/>
  <c r="I2362" i="4"/>
  <c r="R2334" i="4"/>
  <c r="S2323" i="4"/>
  <c r="P2313" i="4"/>
  <c r="R2302" i="4"/>
  <c r="S2291" i="4"/>
  <c r="P2281" i="4"/>
  <c r="R2270" i="4"/>
  <c r="S2259" i="4"/>
  <c r="R2249" i="4"/>
  <c r="R2241" i="4"/>
  <c r="R2233" i="4"/>
  <c r="R2225" i="4"/>
  <c r="R2217" i="4"/>
  <c r="R2209" i="4"/>
  <c r="R2201" i="4"/>
  <c r="R2193" i="4"/>
  <c r="R2185" i="4"/>
  <c r="R2177" i="4"/>
  <c r="R2169" i="4"/>
  <c r="R2161" i="4"/>
  <c r="R2153" i="4"/>
  <c r="R2145" i="4"/>
  <c r="R2137" i="4"/>
  <c r="R2129" i="4"/>
  <c r="R2121" i="4"/>
  <c r="R2113" i="4"/>
  <c r="R2105" i="4"/>
  <c r="R2097" i="4"/>
  <c r="R2089" i="4"/>
  <c r="R2081" i="4"/>
  <c r="R2073" i="4"/>
  <c r="R2065" i="4"/>
  <c r="R2057" i="4"/>
  <c r="R2049" i="4"/>
  <c r="R2041" i="4"/>
  <c r="R2033" i="4"/>
  <c r="R2025" i="4"/>
  <c r="O3615" i="4"/>
  <c r="S3222" i="4"/>
  <c r="S3158" i="4"/>
  <c r="S3094" i="4"/>
  <c r="S3030" i="4"/>
  <c r="S2966" i="4"/>
  <c r="S2902" i="4"/>
  <c r="S2838" i="4"/>
  <c r="S2774" i="4"/>
  <c r="I2731" i="4"/>
  <c r="I2699" i="4"/>
  <c r="I2667" i="4"/>
  <c r="I2635" i="4"/>
  <c r="I2603" i="4"/>
  <c r="I2571" i="4"/>
  <c r="I2539" i="4"/>
  <c r="I2507" i="4"/>
  <c r="I2475" i="4"/>
  <c r="I2443" i="4"/>
  <c r="I2411" i="4"/>
  <c r="I2379" i="4"/>
  <c r="I2347" i="4"/>
  <c r="L2329" i="4"/>
  <c r="I2319" i="4"/>
  <c r="J2308" i="4"/>
  <c r="L2297" i="4"/>
  <c r="I2287" i="4"/>
  <c r="J2276" i="4"/>
  <c r="J4067" i="4"/>
  <c r="P3814" i="4"/>
  <c r="L3333" i="4"/>
  <c r="S3600" i="4"/>
  <c r="R3601" i="4"/>
  <c r="L3586" i="4"/>
  <c r="J3587" i="4"/>
  <c r="R3672" i="4"/>
  <c r="J3673" i="4"/>
  <c r="I3588" i="4"/>
  <c r="I3396" i="4"/>
  <c r="O3700" i="4"/>
  <c r="J3073" i="4"/>
  <c r="J2901" i="4"/>
  <c r="O3694" i="4"/>
  <c r="P3579" i="4"/>
  <c r="P3407" i="4"/>
  <c r="O3884" i="4"/>
  <c r="R3084" i="4"/>
  <c r="R2912" i="4"/>
  <c r="O3878" i="4"/>
  <c r="I3577" i="4"/>
  <c r="I3405" i="4"/>
  <c r="O3844" i="4"/>
  <c r="J3082" i="4"/>
  <c r="P3434" i="4"/>
  <c r="R2879" i="4"/>
  <c r="O3424" i="4"/>
  <c r="I3200" i="4"/>
  <c r="I3114" i="4"/>
  <c r="I3030" i="4"/>
  <c r="I2962" i="4"/>
  <c r="I2898" i="4"/>
  <c r="I2834" i="4"/>
  <c r="I2770" i="4"/>
  <c r="O3179" i="4"/>
  <c r="O3051" i="4"/>
  <c r="O2955" i="4"/>
  <c r="O2875" i="4"/>
  <c r="O2795" i="4"/>
  <c r="O2699" i="4"/>
  <c r="O2619" i="4"/>
  <c r="O2539" i="4"/>
  <c r="L3174" i="4"/>
  <c r="L3014" i="4"/>
  <c r="L2854" i="4"/>
  <c r="R2720" i="4"/>
  <c r="P2667" i="4"/>
  <c r="S2613" i="4"/>
  <c r="S2549" i="4"/>
  <c r="O2475" i="4"/>
  <c r="O2395" i="4"/>
  <c r="O2299" i="4"/>
  <c r="O3491" i="4"/>
  <c r="L3143" i="4"/>
  <c r="L2951" i="4"/>
  <c r="L2791" i="4"/>
  <c r="R2709" i="4"/>
  <c r="R2645" i="4"/>
  <c r="P2592" i="4"/>
  <c r="J3274" i="4"/>
  <c r="P3520" i="4"/>
  <c r="P3360" i="4"/>
  <c r="R3217" i="4"/>
  <c r="R3105" i="4"/>
  <c r="R3025" i="4"/>
  <c r="J2966" i="4"/>
  <c r="J2918" i="4"/>
  <c r="J2878" i="4"/>
  <c r="J2838" i="4"/>
  <c r="J2790" i="4"/>
  <c r="J2750" i="4"/>
  <c r="O3638" i="4"/>
  <c r="O3542" i="4"/>
  <c r="O3462" i="4"/>
  <c r="O3382" i="4"/>
  <c r="O3286" i="4"/>
  <c r="P3231" i="4"/>
  <c r="P3211" i="4"/>
  <c r="P3187" i="4"/>
  <c r="P3167" i="4"/>
  <c r="P3147" i="4"/>
  <c r="P3123" i="4"/>
  <c r="P3103" i="4"/>
  <c r="P3083" i="4"/>
  <c r="P3059" i="4"/>
  <c r="P3039" i="4"/>
  <c r="P3019" i="4"/>
  <c r="P2995" i="4"/>
  <c r="P2975" i="4"/>
  <c r="P2955" i="4"/>
  <c r="P2931" i="4"/>
  <c r="P2911" i="4"/>
  <c r="P2891" i="4"/>
  <c r="P2867" i="4"/>
  <c r="P2847" i="4"/>
  <c r="P2827" i="4"/>
  <c r="P2803" i="4"/>
  <c r="P2783" i="4"/>
  <c r="P2763" i="4"/>
  <c r="O3720" i="4"/>
  <c r="O3206" i="4"/>
  <c r="O3166" i="4"/>
  <c r="O3118" i="4"/>
  <c r="O3078" i="4"/>
  <c r="O3038" i="4"/>
  <c r="O3006" i="4"/>
  <c r="O2974" i="4"/>
  <c r="O2942" i="4"/>
  <c r="O2910" i="4"/>
  <c r="O2878" i="4"/>
  <c r="O2846" i="4"/>
  <c r="O2814" i="4"/>
  <c r="O2782" i="4"/>
  <c r="O2750" i="4"/>
  <c r="O2718" i="4"/>
  <c r="O2686" i="4"/>
  <c r="O2654" i="4"/>
  <c r="O2622" i="4"/>
  <c r="O2590" i="4"/>
  <c r="O2558" i="4"/>
  <c r="O3633" i="4"/>
  <c r="O3377" i="4"/>
  <c r="S3211" i="4"/>
  <c r="S3147" i="4"/>
  <c r="S3083" i="4"/>
  <c r="S3019" i="4"/>
  <c r="S2955" i="4"/>
  <c r="S2891" i="4"/>
  <c r="S2827" i="4"/>
  <c r="S2763" i="4"/>
  <c r="J2733" i="4"/>
  <c r="I2712" i="4"/>
  <c r="L2690" i="4"/>
  <c r="J2669" i="4"/>
  <c r="I2648" i="4"/>
  <c r="L2626" i="4"/>
  <c r="J2605" i="4"/>
  <c r="I2584" i="4"/>
  <c r="L2562" i="4"/>
  <c r="J2541" i="4"/>
  <c r="O2510" i="4"/>
  <c r="O2478" i="4"/>
  <c r="O2446" i="4"/>
  <c r="O2414" i="4"/>
  <c r="O2382" i="4"/>
  <c r="O2350" i="4"/>
  <c r="O2318" i="4"/>
  <c r="O2286" i="4"/>
  <c r="O2254" i="4"/>
  <c r="O3515" i="4"/>
  <c r="O3259" i="4"/>
  <c r="S3180" i="4"/>
  <c r="S3116" i="4"/>
  <c r="S3052" i="4"/>
  <c r="S2988" i="4"/>
  <c r="S2924" i="4"/>
  <c r="S2860" i="4"/>
  <c r="S2796" i="4"/>
  <c r="L2743" i="4"/>
  <c r="J2722" i="4"/>
  <c r="I2701" i="4"/>
  <c r="L2679" i="4"/>
  <c r="J2658" i="4"/>
  <c r="I2637" i="4"/>
  <c r="L2615" i="4"/>
  <c r="J2594" i="4"/>
  <c r="I2573" i="4"/>
  <c r="L2551" i="4"/>
  <c r="P4113" i="4"/>
  <c r="P3622" i="4"/>
  <c r="P3558" i="4"/>
  <c r="P3494" i="4"/>
  <c r="P3430" i="4"/>
  <c r="P3366" i="4"/>
  <c r="P3302" i="4"/>
  <c r="O3923" i="4"/>
  <c r="R3191" i="4"/>
  <c r="R3127" i="4"/>
  <c r="R3063" i="4"/>
  <c r="R2999" i="4"/>
  <c r="R2961" i="4"/>
  <c r="R2929" i="4"/>
  <c r="R2897" i="4"/>
  <c r="R2865" i="4"/>
  <c r="R2833" i="4"/>
  <c r="R2801" i="4"/>
  <c r="R2769" i="4"/>
  <c r="O3798" i="4"/>
  <c r="O3628" i="4"/>
  <c r="O3564" i="4"/>
  <c r="O3500" i="4"/>
  <c r="O3436" i="4"/>
  <c r="O3372" i="4"/>
  <c r="O3308" i="4"/>
  <c r="O3244" i="4"/>
  <c r="I3225" i="4"/>
  <c r="I3209" i="4"/>
  <c r="I3193" i="4"/>
  <c r="I3177" i="4"/>
  <c r="I3161" i="4"/>
  <c r="I3145" i="4"/>
  <c r="I3129" i="4"/>
  <c r="I3113" i="4"/>
  <c r="I3097" i="4"/>
  <c r="I3081" i="4"/>
  <c r="I3065" i="4"/>
  <c r="I3049" i="4"/>
  <c r="I3033" i="4"/>
  <c r="I3023" i="4"/>
  <c r="I3013" i="4"/>
  <c r="I3001" i="4"/>
  <c r="I2991" i="4"/>
  <c r="I2981" i="4"/>
  <c r="I2969" i="4"/>
  <c r="I2959" i="4"/>
  <c r="I2949" i="4"/>
  <c r="I2937" i="4"/>
  <c r="I2927" i="4"/>
  <c r="I2917" i="4"/>
  <c r="I2905" i="4"/>
  <c r="I2895" i="4"/>
  <c r="I2885" i="4"/>
  <c r="I2873" i="4"/>
  <c r="I2863" i="4"/>
  <c r="I2853" i="4"/>
  <c r="I2841" i="4"/>
  <c r="I2831" i="4"/>
  <c r="I2821" i="4"/>
  <c r="I2809" i="4"/>
  <c r="I2799" i="4"/>
  <c r="I2789" i="4"/>
  <c r="I2777" i="4"/>
  <c r="I2767" i="4"/>
  <c r="I2757" i="4"/>
  <c r="O3808" i="4"/>
  <c r="O3237" i="4"/>
  <c r="O3217" i="4"/>
  <c r="O3193" i="4"/>
  <c r="O3173" i="4"/>
  <c r="O3153" i="4"/>
  <c r="O3129" i="4"/>
  <c r="O3109" i="4"/>
  <c r="O3089" i="4"/>
  <c r="O3065" i="4"/>
  <c r="O3045" i="4"/>
  <c r="O3025" i="4"/>
  <c r="O3005" i="4"/>
  <c r="O2989" i="4"/>
  <c r="O2973" i="4"/>
  <c r="O2957" i="4"/>
  <c r="O2941" i="4"/>
  <c r="O2925" i="4"/>
  <c r="O2909" i="4"/>
  <c r="O2893" i="4"/>
  <c r="O2877" i="4"/>
  <c r="O2861" i="4"/>
  <c r="O2845" i="4"/>
  <c r="O2829" i="4"/>
  <c r="O2813" i="4"/>
  <c r="O2797" i="4"/>
  <c r="O2781" i="4"/>
  <c r="O2765" i="4"/>
  <c r="O2749" i="4"/>
  <c r="O2733" i="4"/>
  <c r="O2717" i="4"/>
  <c r="O2701" i="4"/>
  <c r="O2685" i="4"/>
  <c r="O2669" i="4"/>
  <c r="O2653" i="4"/>
  <c r="O2637" i="4"/>
  <c r="O2621" i="4"/>
  <c r="O2605" i="4"/>
  <c r="O2589" i="4"/>
  <c r="O2573" i="4"/>
  <c r="O2557" i="4"/>
  <c r="O2541" i="4"/>
  <c r="O3625" i="4"/>
  <c r="O3497" i="4"/>
  <c r="O3369" i="4"/>
  <c r="O3241" i="4"/>
  <c r="L3210" i="4"/>
  <c r="L3178" i="4"/>
  <c r="L3146" i="4"/>
  <c r="L3114" i="4"/>
  <c r="L3082" i="4"/>
  <c r="L3050" i="4"/>
  <c r="L3018" i="4"/>
  <c r="L2986" i="4"/>
  <c r="L2954" i="4"/>
  <c r="L2922" i="4"/>
  <c r="L2890" i="4"/>
  <c r="L2858" i="4"/>
  <c r="L2826" i="4"/>
  <c r="L2794" i="4"/>
  <c r="L2762" i="4"/>
  <c r="P2743" i="4"/>
  <c r="R2732" i="4"/>
  <c r="S2721" i="4"/>
  <c r="P2711" i="4"/>
  <c r="R2700" i="4"/>
  <c r="S2689" i="4"/>
  <c r="P2679" i="4"/>
  <c r="R2668" i="4"/>
  <c r="S2657" i="4"/>
  <c r="P2647" i="4"/>
  <c r="R2636" i="4"/>
  <c r="S2625" i="4"/>
  <c r="P2615" i="4"/>
  <c r="R2604" i="4"/>
  <c r="S2593" i="4"/>
  <c r="P2583" i="4"/>
  <c r="R2572" i="4"/>
  <c r="S2561" i="4"/>
  <c r="P2551" i="4"/>
  <c r="R2540" i="4"/>
  <c r="O2525" i="4"/>
  <c r="O2509" i="4"/>
  <c r="O2493" i="4"/>
  <c r="O2477" i="4"/>
  <c r="O2461" i="4"/>
  <c r="O2445" i="4"/>
  <c r="O2429" i="4"/>
  <c r="O2413" i="4"/>
  <c r="O2397" i="4"/>
  <c r="O2381" i="4"/>
  <c r="O2365" i="4"/>
  <c r="O2349" i="4"/>
  <c r="O2333" i="4"/>
  <c r="O2317" i="4"/>
  <c r="O2301" i="4"/>
  <c r="O2285" i="4"/>
  <c r="O2269" i="4"/>
  <c r="O2253" i="4"/>
  <c r="O3635" i="4"/>
  <c r="O3507" i="4"/>
  <c r="O3379" i="4"/>
  <c r="O3251" i="4"/>
  <c r="L3211" i="4"/>
  <c r="L3179" i="4"/>
  <c r="L3147" i="4"/>
  <c r="L3115" i="4"/>
  <c r="L3083" i="4"/>
  <c r="L3051" i="4"/>
  <c r="L3019" i="4"/>
  <c r="L2987" i="4"/>
  <c r="L2955" i="4"/>
  <c r="L2923" i="4"/>
  <c r="L2891" i="4"/>
  <c r="L2859" i="4"/>
  <c r="L2827" i="4"/>
  <c r="L2795" i="4"/>
  <c r="L2763" i="4"/>
  <c r="S2742" i="4"/>
  <c r="P2732" i="4"/>
  <c r="R2721" i="4"/>
  <c r="S2710" i="4"/>
  <c r="P2700" i="4"/>
  <c r="R2689" i="4"/>
  <c r="S2678" i="4"/>
  <c r="P2668" i="4"/>
  <c r="R2657" i="4"/>
  <c r="S2646" i="4"/>
  <c r="P2636" i="4"/>
  <c r="R2625" i="4"/>
  <c r="S2614" i="4"/>
  <c r="P2604" i="4"/>
  <c r="R2593" i="4"/>
  <c r="S2582" i="4"/>
  <c r="P2572" i="4"/>
  <c r="R2561" i="4"/>
  <c r="S2550" i="4"/>
  <c r="R3279" i="4"/>
  <c r="I4068" i="4"/>
  <c r="P3652" i="4"/>
  <c r="P3620" i="4"/>
  <c r="P3588" i="4"/>
  <c r="P3556" i="4"/>
  <c r="P3524" i="4"/>
  <c r="P3492" i="4"/>
  <c r="P3460" i="4"/>
  <c r="P3428" i="4"/>
  <c r="P3396" i="4"/>
  <c r="P3364" i="4"/>
  <c r="P3332" i="4"/>
  <c r="P3300" i="4"/>
  <c r="P3268" i="4"/>
  <c r="O3868" i="4"/>
  <c r="R3221" i="4"/>
  <c r="R3189" i="4"/>
  <c r="R3157" i="4"/>
  <c r="R3125" i="4"/>
  <c r="R3093" i="4"/>
  <c r="R3061" i="4"/>
  <c r="R3029" i="4"/>
  <c r="R2997" i="4"/>
  <c r="J2976" i="4"/>
  <c r="J2960" i="4"/>
  <c r="J2944" i="4"/>
  <c r="J2928" i="4"/>
  <c r="J2912" i="4"/>
  <c r="J2896" i="4"/>
  <c r="J2880" i="4"/>
  <c r="J2864" i="4"/>
  <c r="J2848" i="4"/>
  <c r="J2832" i="4"/>
  <c r="J2816" i="4"/>
  <c r="J2800" i="4"/>
  <c r="J2784" i="4"/>
  <c r="J2768" i="4"/>
  <c r="J2752" i="4"/>
  <c r="O3774" i="4"/>
  <c r="O3662" i="4"/>
  <c r="O3626" i="4"/>
  <c r="O3594" i="4"/>
  <c r="O3562" i="4"/>
  <c r="O3530" i="4"/>
  <c r="O3498" i="4"/>
  <c r="O3466" i="4"/>
  <c r="O3434" i="4"/>
  <c r="O3402" i="4"/>
  <c r="O3370" i="4"/>
  <c r="O3338" i="4"/>
  <c r="O3306" i="4"/>
  <c r="O3274" i="4"/>
  <c r="O3242" i="4"/>
  <c r="P3232" i="4"/>
  <c r="P3224" i="4"/>
  <c r="P3216" i="4"/>
  <c r="P3208" i="4"/>
  <c r="P3200" i="4"/>
  <c r="P3192" i="4"/>
  <c r="P3184" i="4"/>
  <c r="P3176" i="4"/>
  <c r="P3168" i="4"/>
  <c r="P3160" i="4"/>
  <c r="P3152" i="4"/>
  <c r="P3144" i="4"/>
  <c r="P3136" i="4"/>
  <c r="P3128" i="4"/>
  <c r="P3120" i="4"/>
  <c r="P3112" i="4"/>
  <c r="P3104" i="4"/>
  <c r="P3096" i="4"/>
  <c r="P3088" i="4"/>
  <c r="P3080" i="4"/>
  <c r="P3072" i="4"/>
  <c r="P3064" i="4"/>
  <c r="P3056" i="4"/>
  <c r="P3048" i="4"/>
  <c r="P3040" i="4"/>
  <c r="P3032" i="4"/>
  <c r="P3024" i="4"/>
  <c r="P3016" i="4"/>
  <c r="P3008" i="4"/>
  <c r="P3000" i="4"/>
  <c r="P2992" i="4"/>
  <c r="P2984" i="4"/>
  <c r="P2976" i="4"/>
  <c r="P2968" i="4"/>
  <c r="P2960" i="4"/>
  <c r="P2952" i="4"/>
  <c r="P2944" i="4"/>
  <c r="P2936" i="4"/>
  <c r="P2928" i="4"/>
  <c r="P2920" i="4"/>
  <c r="P2912" i="4"/>
  <c r="P2904" i="4"/>
  <c r="P2896" i="4"/>
  <c r="P2888" i="4"/>
  <c r="P2880" i="4"/>
  <c r="P2872" i="4"/>
  <c r="P2864" i="4"/>
  <c r="P2856" i="4"/>
  <c r="P2848" i="4"/>
  <c r="P2840" i="4"/>
  <c r="P2832" i="4"/>
  <c r="P2824" i="4"/>
  <c r="P2816" i="4"/>
  <c r="P2808" i="4"/>
  <c r="P2800" i="4"/>
  <c r="P2792" i="4"/>
  <c r="P2784" i="4"/>
  <c r="P2776" i="4"/>
  <c r="P2768" i="4"/>
  <c r="P2760" i="4"/>
  <c r="O4003" i="4"/>
  <c r="O3800" i="4"/>
  <c r="R3240" i="4"/>
  <c r="O3224" i="4"/>
  <c r="O3208" i="4"/>
  <c r="O3192" i="4"/>
  <c r="O3176" i="4"/>
  <c r="O3160" i="4"/>
  <c r="O3144" i="4"/>
  <c r="O3128" i="4"/>
  <c r="O3112" i="4"/>
  <c r="O3096" i="4"/>
  <c r="O3080" i="4"/>
  <c r="O3064" i="4"/>
  <c r="O3048" i="4"/>
  <c r="O3032" i="4"/>
  <c r="O3016" i="4"/>
  <c r="O3000" i="4"/>
  <c r="O2984" i="4"/>
  <c r="O2968" i="4"/>
  <c r="O2952" i="4"/>
  <c r="O2936" i="4"/>
  <c r="O2920" i="4"/>
  <c r="O2904" i="4"/>
  <c r="O2888" i="4"/>
  <c r="O2872" i="4"/>
  <c r="O2856" i="4"/>
  <c r="O2840" i="4"/>
  <c r="O2824" i="4"/>
  <c r="O2808" i="4"/>
  <c r="O2792" i="4"/>
  <c r="O2776" i="4"/>
  <c r="O2760" i="4"/>
  <c r="O2744" i="4"/>
  <c r="O2728" i="4"/>
  <c r="O2712" i="4"/>
  <c r="O2696" i="4"/>
  <c r="O2680" i="4"/>
  <c r="O2664" i="4"/>
  <c r="O2600" i="4"/>
  <c r="O3834" i="4"/>
  <c r="S3231" i="4"/>
  <c r="S3103" i="4"/>
  <c r="S2975" i="4"/>
  <c r="S2847" i="4"/>
  <c r="I2740" i="4"/>
  <c r="J2697" i="4"/>
  <c r="L2654" i="4"/>
  <c r="I2612" i="4"/>
  <c r="J2569" i="4"/>
  <c r="O2520" i="4"/>
  <c r="O2456" i="4"/>
  <c r="O2392" i="4"/>
  <c r="O2328" i="4"/>
  <c r="O2264" i="4"/>
  <c r="O3339" i="4"/>
  <c r="S3136" i="4"/>
  <c r="S3008" i="4"/>
  <c r="S2880" i="4"/>
  <c r="S2752" i="4"/>
  <c r="L2707" i="4"/>
  <c r="I2665" i="4"/>
  <c r="J2622" i="4"/>
  <c r="L2579" i="4"/>
  <c r="I2545" i="4"/>
  <c r="L2535" i="4"/>
  <c r="L2527" i="4"/>
  <c r="L2519" i="4"/>
  <c r="L2511" i="4"/>
  <c r="L2503" i="4"/>
  <c r="L2495" i="4"/>
  <c r="L2487" i="4"/>
  <c r="L2479" i="4"/>
  <c r="L2471" i="4"/>
  <c r="L2463" i="4"/>
  <c r="L2455" i="4"/>
  <c r="L2447" i="4"/>
  <c r="L2439" i="4"/>
  <c r="L2431" i="4"/>
  <c r="L2423" i="4"/>
  <c r="L2415" i="4"/>
  <c r="L2407" i="4"/>
  <c r="L2399" i="4"/>
  <c r="L2391" i="4"/>
  <c r="L2383" i="4"/>
  <c r="L2375" i="4"/>
  <c r="L2367" i="4"/>
  <c r="L2359" i="4"/>
  <c r="L2351" i="4"/>
  <c r="L2343" i="4"/>
  <c r="L2335" i="4"/>
  <c r="O3629" i="4"/>
  <c r="O3501" i="4"/>
  <c r="O3373" i="4"/>
  <c r="O3245" i="4"/>
  <c r="S3209" i="4"/>
  <c r="S3177" i="4"/>
  <c r="S3145" i="4"/>
  <c r="S3113" i="4"/>
  <c r="S3081" i="4"/>
  <c r="S3049" i="4"/>
  <c r="S3017" i="4"/>
  <c r="S2985" i="4"/>
  <c r="S2953" i="4"/>
  <c r="S2921" i="4"/>
  <c r="S2889" i="4"/>
  <c r="S2857" i="4"/>
  <c r="S2825" i="4"/>
  <c r="S2793" i="4"/>
  <c r="S2761" i="4"/>
  <c r="R2742" i="4"/>
  <c r="S2731" i="4"/>
  <c r="P2721" i="4"/>
  <c r="R2710" i="4"/>
  <c r="S2699" i="4"/>
  <c r="P2689" i="4"/>
  <c r="R2678" i="4"/>
  <c r="S2667" i="4"/>
  <c r="P2657" i="4"/>
  <c r="R2646" i="4"/>
  <c r="S2635" i="4"/>
  <c r="P2625" i="4"/>
  <c r="R2614" i="4"/>
  <c r="S2603" i="4"/>
  <c r="P2593" i="4"/>
  <c r="R2582" i="4"/>
  <c r="S2571" i="4"/>
  <c r="P2561" i="4"/>
  <c r="R2550" i="4"/>
  <c r="S2539" i="4"/>
  <c r="R2531" i="4"/>
  <c r="R2523" i="4"/>
  <c r="R2515" i="4"/>
  <c r="R2507" i="4"/>
  <c r="R2499" i="4"/>
  <c r="R2491" i="4"/>
  <c r="R2483" i="4"/>
  <c r="R2475" i="4"/>
  <c r="R2467" i="4"/>
  <c r="R2459" i="4"/>
  <c r="R2451" i="4"/>
  <c r="R2443" i="4"/>
  <c r="R2435" i="4"/>
  <c r="R2427" i="4"/>
  <c r="R2419" i="4"/>
  <c r="R2411" i="4"/>
  <c r="R2403" i="4"/>
  <c r="R2395" i="4"/>
  <c r="R2387" i="4"/>
  <c r="R2379" i="4"/>
  <c r="R2371" i="4"/>
  <c r="R2363" i="4"/>
  <c r="R2355" i="4"/>
  <c r="R2347" i="4"/>
  <c r="R2339" i="4"/>
  <c r="J2744" i="4"/>
  <c r="J2680" i="4"/>
  <c r="J2616" i="4"/>
  <c r="J2552" i="4"/>
  <c r="I2514" i="4"/>
  <c r="I2482" i="4"/>
  <c r="I2450" i="4"/>
  <c r="I2418" i="4"/>
  <c r="I2386" i="4"/>
  <c r="I2354" i="4"/>
  <c r="S2331" i="4"/>
  <c r="P2321" i="4"/>
  <c r="R2310" i="4"/>
  <c r="S2299" i="4"/>
  <c r="P2289" i="4"/>
  <c r="R2278" i="4"/>
  <c r="S2267" i="4"/>
  <c r="P2257" i="4"/>
  <c r="R2247" i="4"/>
  <c r="R2239" i="4"/>
  <c r="R2231" i="4"/>
  <c r="R2223" i="4"/>
  <c r="R2215" i="4"/>
  <c r="R2207" i="4"/>
  <c r="R2199" i="4"/>
  <c r="R2191" i="4"/>
  <c r="R2183" i="4"/>
  <c r="R2175" i="4"/>
  <c r="R2167" i="4"/>
  <c r="R2159" i="4"/>
  <c r="R2151" i="4"/>
  <c r="R2143" i="4"/>
  <c r="R2135" i="4"/>
  <c r="R2127" i="4"/>
  <c r="R2119" i="4"/>
  <c r="R2111" i="4"/>
  <c r="R2103" i="4"/>
  <c r="R2095" i="4"/>
  <c r="R2087" i="4"/>
  <c r="R2079" i="4"/>
  <c r="R2071" i="4"/>
  <c r="R2063" i="4"/>
  <c r="R2055" i="4"/>
  <c r="R2047" i="4"/>
  <c r="R2039" i="4"/>
  <c r="R2031" i="4"/>
  <c r="R2023" i="4"/>
  <c r="O3487" i="4"/>
  <c r="S3206" i="4"/>
  <c r="S3142" i="4"/>
  <c r="S3078" i="4"/>
  <c r="S3014" i="4"/>
  <c r="S2950" i="4"/>
  <c r="S2886" i="4"/>
  <c r="S2822" i="4"/>
  <c r="S2758" i="4"/>
  <c r="I2723" i="4"/>
  <c r="I2691" i="4"/>
  <c r="I2659" i="4"/>
  <c r="I2627" i="4"/>
  <c r="I2595" i="4"/>
  <c r="I2563" i="4"/>
  <c r="I2531" i="4"/>
  <c r="I2499" i="4"/>
  <c r="I2467" i="4"/>
  <c r="I2435" i="4"/>
  <c r="I2403" i="4"/>
  <c r="I2371" i="4"/>
  <c r="J2339" i="4"/>
  <c r="I2327" i="4"/>
  <c r="J2316" i="4"/>
  <c r="L2305" i="4"/>
  <c r="I2295" i="4"/>
  <c r="J2284" i="4"/>
  <c r="L2273" i="4"/>
  <c r="I2263" i="4"/>
  <c r="J2252" i="4"/>
  <c r="I2244" i="4"/>
  <c r="I2236" i="4"/>
  <c r="I2228" i="4"/>
  <c r="I2220" i="4"/>
  <c r="I2212" i="4"/>
  <c r="I2204" i="4"/>
  <c r="I2196" i="4"/>
  <c r="I2188" i="4"/>
  <c r="I2180" i="4"/>
  <c r="I2172" i="4"/>
  <c r="I2164" i="4"/>
  <c r="I2156" i="4"/>
  <c r="I2148" i="4"/>
  <c r="I2140" i="4"/>
  <c r="I2132" i="4"/>
  <c r="I2124" i="4"/>
  <c r="I2116" i="4"/>
  <c r="I2108" i="4"/>
  <c r="I2100" i="4"/>
  <c r="I2092" i="4"/>
  <c r="I2084" i="4"/>
  <c r="I2076" i="4"/>
  <c r="I2068" i="4"/>
  <c r="I2060" i="4"/>
  <c r="I2052" i="4"/>
  <c r="I2044" i="4"/>
  <c r="I2036" i="4"/>
  <c r="I2028" i="4"/>
  <c r="I2020" i="4"/>
  <c r="O3255" i="4"/>
  <c r="J2684" i="4"/>
  <c r="J2620" i="4"/>
  <c r="J2556" i="4"/>
  <c r="I2516" i="4"/>
  <c r="I2484" i="4"/>
  <c r="I2452" i="4"/>
  <c r="I2420" i="4"/>
  <c r="I2388" i="4"/>
  <c r="I2356" i="4"/>
  <c r="J2333" i="4"/>
  <c r="L2322" i="4"/>
  <c r="I2312" i="4"/>
  <c r="J2301" i="4"/>
  <c r="L2290" i="4"/>
  <c r="I2280" i="4"/>
  <c r="J2269" i="4"/>
  <c r="L2258" i="4"/>
  <c r="O2246" i="4"/>
  <c r="O2230" i="4"/>
  <c r="O2214" i="4"/>
  <c r="O2198" i="4"/>
  <c r="O2182" i="4"/>
  <c r="O2166" i="4"/>
  <c r="O2150" i="4"/>
  <c r="O2134" i="4"/>
  <c r="O2118" i="4"/>
  <c r="O2102" i="4"/>
  <c r="O2086" i="4"/>
  <c r="O2070" i="4"/>
  <c r="O2054" i="4"/>
  <c r="O2038" i="4"/>
  <c r="O2022" i="4"/>
  <c r="O2644" i="4"/>
  <c r="O2580" i="4"/>
  <c r="O3553" i="4"/>
  <c r="S3191" i="4"/>
  <c r="S3063" i="4"/>
  <c r="S2935" i="4"/>
  <c r="S2807" i="4"/>
  <c r="L2726" i="4"/>
  <c r="I2684" i="4"/>
  <c r="J2641" i="4"/>
  <c r="L2598" i="4"/>
  <c r="I2556" i="4"/>
  <c r="O2500" i="4"/>
  <c r="O2436" i="4"/>
  <c r="O2372" i="4"/>
  <c r="O2308" i="4"/>
  <c r="O3730" i="4"/>
  <c r="S3224" i="4"/>
  <c r="S3096" i="4"/>
  <c r="S2968" i="4"/>
  <c r="S2840" i="4"/>
  <c r="I2737" i="4"/>
  <c r="J2694" i="4"/>
  <c r="L2651" i="4"/>
  <c r="I2609" i="4"/>
  <c r="J2566" i="4"/>
  <c r="R2541" i="4"/>
  <c r="S2532" i="4"/>
  <c r="S2524" i="4"/>
  <c r="S2516" i="4"/>
  <c r="S2508" i="4"/>
  <c r="S2500" i="4"/>
  <c r="S2492" i="4"/>
  <c r="S2484" i="4"/>
  <c r="S2476" i="4"/>
  <c r="S2468" i="4"/>
  <c r="S2460" i="4"/>
  <c r="S2452" i="4"/>
  <c r="S2444" i="4"/>
  <c r="S2436" i="4"/>
  <c r="S2428" i="4"/>
  <c r="S2420" i="4"/>
  <c r="S2412" i="4"/>
  <c r="S2404" i="4"/>
  <c r="S2396" i="4"/>
  <c r="S2388" i="4"/>
  <c r="S2380" i="4"/>
  <c r="S2372" i="4"/>
  <c r="S2364" i="4"/>
  <c r="S2356" i="4"/>
  <c r="S2348" i="4"/>
  <c r="S2340" i="4"/>
  <c r="O3818" i="4"/>
  <c r="O3589" i="4"/>
  <c r="O3461" i="4"/>
  <c r="O3333" i="4"/>
  <c r="L3232" i="4"/>
  <c r="L3200" i="4"/>
  <c r="L3168" i="4"/>
  <c r="L3136" i="4"/>
  <c r="L3104" i="4"/>
  <c r="L3072" i="4"/>
  <c r="L3040" i="4"/>
  <c r="L3008" i="4"/>
  <c r="L2976" i="4"/>
  <c r="L2944" i="4"/>
  <c r="L2912" i="4"/>
  <c r="L2880" i="4"/>
  <c r="L2848" i="4"/>
  <c r="L2816" i="4"/>
  <c r="L2784" i="4"/>
  <c r="P2752" i="4"/>
  <c r="J2739" i="4"/>
  <c r="L2728" i="4"/>
  <c r="I2718" i="4"/>
  <c r="J2707" i="4"/>
  <c r="L2696" i="4"/>
  <c r="I2686" i="4"/>
  <c r="J2675" i="4"/>
  <c r="L2664" i="4"/>
  <c r="I2654" i="4"/>
  <c r="J2643" i="4"/>
  <c r="L2632" i="4"/>
  <c r="I2622" i="4"/>
  <c r="J2611" i="4"/>
  <c r="L2600" i="4"/>
  <c r="I2590" i="4"/>
  <c r="J2579" i="4"/>
  <c r="L2568" i="4"/>
  <c r="I2558" i="4"/>
  <c r="J2547" i="4"/>
  <c r="J2537" i="4"/>
  <c r="J2529" i="4"/>
  <c r="J2521" i="4"/>
  <c r="J2513" i="4"/>
  <c r="J2505" i="4"/>
  <c r="J2497" i="4"/>
  <c r="J2489" i="4"/>
  <c r="J2481" i="4"/>
  <c r="J2473" i="4"/>
  <c r="J2465" i="4"/>
  <c r="J2457" i="4"/>
  <c r="J2449" i="4"/>
  <c r="J2441" i="4"/>
  <c r="J2433" i="4"/>
  <c r="J2425" i="4"/>
  <c r="J2417" i="4"/>
  <c r="J2409" i="4"/>
  <c r="J2401" i="4"/>
  <c r="J2393" i="4"/>
  <c r="J2385" i="4"/>
  <c r="J2377" i="4"/>
  <c r="J2369" i="4"/>
  <c r="J2361" i="4"/>
  <c r="J2353" i="4"/>
  <c r="J2345" i="4"/>
  <c r="O3591" i="4"/>
  <c r="R2723" i="4"/>
  <c r="R2659" i="4"/>
  <c r="R2595" i="4"/>
  <c r="P2535" i="4"/>
  <c r="P2503" i="4"/>
  <c r="P2471" i="4"/>
  <c r="P2439" i="4"/>
  <c r="P2407" i="4"/>
  <c r="P2375" i="4"/>
  <c r="P2343" i="4"/>
  <c r="L2328" i="4"/>
  <c r="I2318" i="4"/>
  <c r="J2307" i="4"/>
  <c r="L2296" i="4"/>
  <c r="I2286" i="4"/>
  <c r="J2275" i="4"/>
  <c r="L2264" i="4"/>
  <c r="I2254" i="4"/>
  <c r="J2245" i="4"/>
  <c r="J2237" i="4"/>
  <c r="J2229" i="4"/>
  <c r="J2221" i="4"/>
  <c r="J2213" i="4"/>
  <c r="J2205" i="4"/>
  <c r="J2197" i="4"/>
  <c r="J2189" i="4"/>
  <c r="J2181" i="4"/>
  <c r="J2173" i="4"/>
  <c r="J2165" i="4"/>
  <c r="J2157" i="4"/>
  <c r="J2149" i="4"/>
  <c r="J2141" i="4"/>
  <c r="J2133" i="4"/>
  <c r="J2125" i="4"/>
  <c r="J2117" i="4"/>
  <c r="J2109" i="4"/>
  <c r="J2101" i="4"/>
  <c r="J2093" i="4"/>
  <c r="J2085" i="4"/>
  <c r="J2077" i="4"/>
  <c r="J2069" i="4"/>
  <c r="J2061" i="4"/>
  <c r="J2053" i="4"/>
  <c r="J2045" i="4"/>
  <c r="J2037" i="4"/>
  <c r="J2029" i="4"/>
  <c r="J2021" i="4"/>
  <c r="O3327" i="4"/>
  <c r="L3185" i="4"/>
  <c r="L3121" i="4"/>
  <c r="L3057" i="4"/>
  <c r="L2993" i="4"/>
  <c r="L2929" i="4"/>
  <c r="L2865" i="4"/>
  <c r="L2801" i="4"/>
  <c r="L2745" i="4"/>
  <c r="L2713" i="4"/>
  <c r="L2681" i="4"/>
  <c r="L2649" i="4"/>
  <c r="L2617" i="4"/>
  <c r="L2585" i="4"/>
  <c r="L2553" i="4"/>
  <c r="P2520" i="4"/>
  <c r="P2488" i="4"/>
  <c r="P2456" i="4"/>
  <c r="P2424" i="4"/>
  <c r="P2392" i="4"/>
  <c r="P2360" i="4"/>
  <c r="P2334" i="4"/>
  <c r="R2323" i="4"/>
  <c r="S2312" i="4"/>
  <c r="P2302" i="4"/>
  <c r="R2291" i="4"/>
  <c r="S2280" i="4"/>
  <c r="P2270" i="4"/>
  <c r="R2259" i="4"/>
  <c r="P2249" i="4"/>
  <c r="P2241" i="4"/>
  <c r="P2233" i="4"/>
  <c r="P2225" i="4"/>
  <c r="P2217" i="4"/>
  <c r="P2209" i="4"/>
  <c r="P2201" i="4"/>
  <c r="P2193" i="4"/>
  <c r="P2185" i="4"/>
  <c r="P2177" i="4"/>
  <c r="P2169" i="4"/>
  <c r="P2161" i="4"/>
  <c r="P2153" i="4"/>
  <c r="P2145" i="4"/>
  <c r="P2137" i="4"/>
  <c r="P2129" i="4"/>
  <c r="P2121" i="4"/>
  <c r="P2113" i="4"/>
  <c r="P2105" i="4"/>
  <c r="P2097" i="4"/>
  <c r="P2089" i="4"/>
  <c r="P2081" i="4"/>
  <c r="P2073" i="4"/>
  <c r="P2065" i="4"/>
  <c r="P2057" i="4"/>
  <c r="P2049" i="4"/>
  <c r="P3879" i="4"/>
  <c r="S3787" i="4"/>
  <c r="J3590" i="4"/>
  <c r="S3472" i="4"/>
  <c r="R3473" i="4"/>
  <c r="L3458" i="4"/>
  <c r="J3459" i="4"/>
  <c r="S3543" i="4"/>
  <c r="R3544" i="4"/>
  <c r="I3524" i="4"/>
  <c r="I3354" i="4"/>
  <c r="J3201" i="4"/>
  <c r="J3029" i="4"/>
  <c r="J2859" i="4"/>
  <c r="R3267" i="4"/>
  <c r="P3535" i="4"/>
  <c r="P3365" i="4"/>
  <c r="R3212" i="4"/>
  <c r="R3040" i="4"/>
  <c r="R2870" i="4"/>
  <c r="J3264" i="4"/>
  <c r="I3533" i="4"/>
  <c r="I3363" i="4"/>
  <c r="J3210" i="4"/>
  <c r="J3038" i="4"/>
  <c r="P3266" i="4"/>
  <c r="R2795" i="4"/>
  <c r="O3296" i="4"/>
  <c r="I3168" i="4"/>
  <c r="I3082" i="4"/>
  <c r="I3002" i="4"/>
  <c r="I2938" i="4"/>
  <c r="I2874" i="4"/>
  <c r="I2810" i="4"/>
  <c r="O3824" i="4"/>
  <c r="O3131" i="4"/>
  <c r="O3019" i="4"/>
  <c r="O2939" i="4"/>
  <c r="O2859" i="4"/>
  <c r="O2763" i="4"/>
  <c r="O2683" i="4"/>
  <c r="O2603" i="4"/>
  <c r="O3481" i="4"/>
  <c r="L3142" i="4"/>
  <c r="L2982" i="4"/>
  <c r="L2790" i="4"/>
  <c r="S2709" i="4"/>
  <c r="R2656" i="4"/>
  <c r="R2592" i="4"/>
  <c r="P2539" i="4"/>
  <c r="O2459" i="4"/>
  <c r="O2363" i="4"/>
  <c r="O2283" i="4"/>
  <c r="O3363" i="4"/>
  <c r="L3079" i="4"/>
  <c r="L2919" i="4"/>
  <c r="L2759" i="4"/>
  <c r="P2688" i="4"/>
  <c r="S2634" i="4"/>
  <c r="R2581" i="4"/>
  <c r="P3648" i="4"/>
  <c r="P3488" i="4"/>
  <c r="P3328" i="4"/>
  <c r="R3169" i="4"/>
  <c r="R3089" i="4"/>
  <c r="R3009" i="4"/>
  <c r="J2950" i="4"/>
  <c r="J2910" i="4"/>
  <c r="J2870" i="4"/>
  <c r="J2822" i="4"/>
  <c r="J2782" i="4"/>
  <c r="O3870" i="4"/>
  <c r="O3606" i="4"/>
  <c r="O3526" i="4"/>
  <c r="O3446" i="4"/>
  <c r="O3350" i="4"/>
  <c r="O3270" i="4"/>
  <c r="P3227" i="4"/>
  <c r="P3203" i="4"/>
  <c r="P3183" i="4"/>
  <c r="P3163" i="4"/>
  <c r="P3139" i="4"/>
  <c r="P3119" i="4"/>
  <c r="P3099" i="4"/>
  <c r="P3075" i="4"/>
  <c r="P3055" i="4"/>
  <c r="P3035" i="4"/>
  <c r="P3011" i="4"/>
  <c r="P2991" i="4"/>
  <c r="P2971" i="4"/>
  <c r="P2947" i="4"/>
  <c r="P2927" i="4"/>
  <c r="P2907" i="4"/>
  <c r="P2883" i="4"/>
  <c r="P2863" i="4"/>
  <c r="P2843" i="4"/>
  <c r="P2819" i="4"/>
  <c r="P2799" i="4"/>
  <c r="P2779" i="4"/>
  <c r="P2755" i="4"/>
  <c r="O3238" i="4"/>
  <c r="O3198" i="4"/>
  <c r="O3150" i="4"/>
  <c r="O3110" i="4"/>
  <c r="O3070" i="4"/>
  <c r="O3030" i="4"/>
  <c r="O2998" i="4"/>
  <c r="O2966" i="4"/>
  <c r="O2934" i="4"/>
  <c r="O2902" i="4"/>
  <c r="O2870" i="4"/>
  <c r="O2838" i="4"/>
  <c r="O2806" i="4"/>
  <c r="O2774" i="4"/>
  <c r="O2742" i="4"/>
  <c r="O2710" i="4"/>
  <c r="O2678" i="4"/>
  <c r="O2646" i="4"/>
  <c r="O2614" i="4"/>
  <c r="O2582" i="4"/>
  <c r="O2550" i="4"/>
  <c r="O3569" i="4"/>
  <c r="O3313" i="4"/>
  <c r="S3195" i="4"/>
  <c r="S3131" i="4"/>
  <c r="S3067" i="4"/>
  <c r="S3003" i="4"/>
  <c r="S2939" i="4"/>
  <c r="S2875" i="4"/>
  <c r="S2811" i="4"/>
  <c r="P2750" i="4"/>
  <c r="I2728" i="4"/>
  <c r="L2706" i="4"/>
  <c r="J2685" i="4"/>
  <c r="I2664" i="4"/>
  <c r="L2642" i="4"/>
  <c r="J2621" i="4"/>
  <c r="I2600" i="4"/>
  <c r="L2578" i="4"/>
  <c r="J2557" i="4"/>
  <c r="O2534" i="4"/>
  <c r="O2502" i="4"/>
  <c r="O2470" i="4"/>
  <c r="O2438" i="4"/>
  <c r="O2406" i="4"/>
  <c r="O2374" i="4"/>
  <c r="O2342" i="4"/>
  <c r="O2310" i="4"/>
  <c r="O2278" i="4"/>
  <c r="O3794" i="4"/>
  <c r="O3451" i="4"/>
  <c r="S3228" i="4"/>
  <c r="S3164" i="4"/>
  <c r="S3100" i="4"/>
  <c r="S3036" i="4"/>
  <c r="S2972" i="4"/>
  <c r="S2908" i="4"/>
  <c r="S2844" i="4"/>
  <c r="S2780" i="4"/>
  <c r="J2738" i="4"/>
  <c r="I2717" i="4"/>
  <c r="L2695" i="4"/>
  <c r="J2674" i="4"/>
  <c r="I2653" i="4"/>
  <c r="L2631" i="4"/>
  <c r="J2610" i="4"/>
  <c r="I2589" i="4"/>
  <c r="L2567" i="4"/>
  <c r="R3308" i="4"/>
  <c r="P3670" i="4"/>
  <c r="P3606" i="4"/>
  <c r="P3542" i="4"/>
  <c r="P3478" i="4"/>
  <c r="P3414" i="4"/>
  <c r="P3350" i="4"/>
  <c r="P3286" i="4"/>
  <c r="R3239" i="4"/>
  <c r="R3175" i="4"/>
  <c r="R3111" i="4"/>
  <c r="R3047" i="4"/>
  <c r="R2985" i="4"/>
  <c r="R2953" i="4"/>
  <c r="R2921" i="4"/>
  <c r="R2889" i="4"/>
  <c r="R2857" i="4"/>
  <c r="R2825" i="4"/>
  <c r="R2793" i="4"/>
  <c r="R2761" i="4"/>
  <c r="O3702" i="4"/>
  <c r="O3612" i="4"/>
  <c r="O3548" i="4"/>
  <c r="O3484" i="4"/>
  <c r="O3420" i="4"/>
  <c r="O3356" i="4"/>
  <c r="O3292" i="4"/>
  <c r="I3237" i="4"/>
  <c r="I3221" i="4"/>
  <c r="I3205" i="4"/>
  <c r="I3189" i="4"/>
  <c r="I3173" i="4"/>
  <c r="I3157" i="4"/>
  <c r="I3141" i="4"/>
  <c r="I3125" i="4"/>
  <c r="I3109" i="4"/>
  <c r="I3093" i="4"/>
  <c r="I3077" i="4"/>
  <c r="I3061" i="4"/>
  <c r="I3045" i="4"/>
  <c r="I3031" i="4"/>
  <c r="I3021" i="4"/>
  <c r="I3009" i="4"/>
  <c r="I2999" i="4"/>
  <c r="I2989" i="4"/>
  <c r="I2977" i="4"/>
  <c r="I2967" i="4"/>
  <c r="I2957" i="4"/>
  <c r="I2945" i="4"/>
  <c r="I2935" i="4"/>
  <c r="I2925" i="4"/>
  <c r="I2913" i="4"/>
  <c r="I2903" i="4"/>
  <c r="I2893" i="4"/>
  <c r="I2881" i="4"/>
  <c r="I2871" i="4"/>
  <c r="I2861" i="4"/>
  <c r="I2849" i="4"/>
  <c r="I2839" i="4"/>
  <c r="I2829" i="4"/>
  <c r="I2817" i="4"/>
  <c r="I2807" i="4"/>
  <c r="I2797" i="4"/>
  <c r="I2785" i="4"/>
  <c r="I2775" i="4"/>
  <c r="I2765" i="4"/>
  <c r="I2753" i="4"/>
  <c r="O3776" i="4"/>
  <c r="O3233" i="4"/>
  <c r="O3209" i="4"/>
  <c r="O3189" i="4"/>
  <c r="O3169" i="4"/>
  <c r="O3145" i="4"/>
  <c r="O3125" i="4"/>
  <c r="O3105" i="4"/>
  <c r="O3081" i="4"/>
  <c r="O3061" i="4"/>
  <c r="O3041" i="4"/>
  <c r="O3017" i="4"/>
  <c r="O3001" i="4"/>
  <c r="O2985" i="4"/>
  <c r="O2969" i="4"/>
  <c r="O2953" i="4"/>
  <c r="O2937" i="4"/>
  <c r="O2921" i="4"/>
  <c r="O2905" i="4"/>
  <c r="O2889" i="4"/>
  <c r="O2873" i="4"/>
  <c r="O2809" i="4"/>
  <c r="O2745" i="4"/>
  <c r="O2681" i="4"/>
  <c r="O2617" i="4"/>
  <c r="O2553" i="4"/>
  <c r="O3337" i="4"/>
  <c r="L3138" i="4"/>
  <c r="L3010" i="4"/>
  <c r="L2882" i="4"/>
  <c r="L2754" i="4"/>
  <c r="R2708" i="4"/>
  <c r="S2665" i="4"/>
  <c r="P2623" i="4"/>
  <c r="R2580" i="4"/>
  <c r="O2537" i="4"/>
  <c r="O2473" i="4"/>
  <c r="O2409" i="4"/>
  <c r="O2345" i="4"/>
  <c r="O2281" i="4"/>
  <c r="O3475" i="4"/>
  <c r="L3171" i="4"/>
  <c r="L3043" i="4"/>
  <c r="L2915" i="4"/>
  <c r="L2787" i="4"/>
  <c r="S2718" i="4"/>
  <c r="P2676" i="4"/>
  <c r="R2633" i="4"/>
  <c r="S2590" i="4"/>
  <c r="P2548" i="4"/>
  <c r="P3612" i="4"/>
  <c r="P3484" i="4"/>
  <c r="P3356" i="4"/>
  <c r="O3740" i="4"/>
  <c r="R3117" i="4"/>
  <c r="R2989" i="4"/>
  <c r="J2924" i="4"/>
  <c r="J2860" i="4"/>
  <c r="J2796" i="4"/>
  <c r="O3734" i="4"/>
  <c r="O3554" i="4"/>
  <c r="O3426" i="4"/>
  <c r="O3298" i="4"/>
  <c r="P3222" i="4"/>
  <c r="P3190" i="4"/>
  <c r="P3158" i="4"/>
  <c r="P3126" i="4"/>
  <c r="P3094" i="4"/>
  <c r="P3062" i="4"/>
  <c r="P3030" i="4"/>
  <c r="P2998" i="4"/>
  <c r="P2966" i="4"/>
  <c r="P2934" i="4"/>
  <c r="P2902" i="4"/>
  <c r="P2870" i="4"/>
  <c r="P2838" i="4"/>
  <c r="P2806" i="4"/>
  <c r="P2774" i="4"/>
  <c r="O3768" i="4"/>
  <c r="O3188" i="4"/>
  <c r="O3124" i="4"/>
  <c r="O3060" i="4"/>
  <c r="O2996" i="4"/>
  <c r="O2932" i="4"/>
  <c r="O2868" i="4"/>
  <c r="O2804" i="4"/>
  <c r="O2740" i="4"/>
  <c r="O2676" i="4"/>
  <c r="S3199" i="4"/>
  <c r="J2729" i="4"/>
  <c r="L2558" i="4"/>
  <c r="O2312" i="4"/>
  <c r="S2976" i="4"/>
  <c r="J2654" i="4"/>
  <c r="L2533" i="4"/>
  <c r="L2501" i="4"/>
  <c r="L2469" i="4"/>
  <c r="L2437" i="4"/>
  <c r="L2405" i="4"/>
  <c r="L2373" i="4"/>
  <c r="L2341" i="4"/>
  <c r="O3341" i="4"/>
  <c r="S3137" i="4"/>
  <c r="S3009" i="4"/>
  <c r="S2881" i="4"/>
  <c r="S2753" i="4"/>
  <c r="S2707" i="4"/>
  <c r="P2665" i="4"/>
  <c r="R2622" i="4"/>
  <c r="S2579" i="4"/>
  <c r="R2537" i="4"/>
  <c r="R2505" i="4"/>
  <c r="R2473" i="4"/>
  <c r="R2441" i="4"/>
  <c r="R2409" i="4"/>
  <c r="R2377" i="4"/>
  <c r="R2345" i="4"/>
  <c r="J2600" i="4"/>
  <c r="I2442" i="4"/>
  <c r="P2329" i="4"/>
  <c r="R2286" i="4"/>
  <c r="R2245" i="4"/>
  <c r="R2213" i="4"/>
  <c r="R2181" i="4"/>
  <c r="R2149" i="4"/>
  <c r="R2117" i="4"/>
  <c r="R2085" i="4"/>
  <c r="R2053" i="4"/>
  <c r="R2021" i="4"/>
  <c r="S3062" i="4"/>
  <c r="S2806" i="4"/>
  <c r="I2651" i="4"/>
  <c r="I2523" i="4"/>
  <c r="I2395" i="4"/>
  <c r="L2313" i="4"/>
  <c r="I2271" i="4"/>
  <c r="I2250" i="4"/>
  <c r="I2234" i="4"/>
  <c r="I2218" i="4"/>
  <c r="I2202" i="4"/>
  <c r="I2186" i="4"/>
  <c r="I2170" i="4"/>
  <c r="I2154" i="4"/>
  <c r="I2138" i="4"/>
  <c r="I2122" i="4"/>
  <c r="I2106" i="4"/>
  <c r="I2090" i="4"/>
  <c r="I2074" i="4"/>
  <c r="I2058" i="4"/>
  <c r="I2042" i="4"/>
  <c r="I2026" i="4"/>
  <c r="J2732" i="4"/>
  <c r="J2604" i="4"/>
  <c r="I2508" i="4"/>
  <c r="I2444" i="4"/>
  <c r="I2380" i="4"/>
  <c r="L2330" i="4"/>
  <c r="J2309" i="4"/>
  <c r="I2288" i="4"/>
  <c r="L2266" i="4"/>
  <c r="O2242" i="4"/>
  <c r="O2210" i="4"/>
  <c r="O2178" i="4"/>
  <c r="O2146" i="4"/>
  <c r="O2114" i="4"/>
  <c r="O2082" i="4"/>
  <c r="O2050" i="4"/>
  <c r="O2018" i="4"/>
  <c r="O2564" i="4"/>
  <c r="S3159" i="4"/>
  <c r="S2903" i="4"/>
  <c r="I2716" i="4"/>
  <c r="L2630" i="4"/>
  <c r="J2545" i="4"/>
  <c r="O2420" i="4"/>
  <c r="O2292" i="4"/>
  <c r="S3192" i="4"/>
  <c r="S3032" i="4"/>
  <c r="S2872" i="4"/>
  <c r="J2726" i="4"/>
  <c r="I2673" i="4"/>
  <c r="L2619" i="4"/>
  <c r="L2555" i="4"/>
  <c r="S2536" i="4"/>
  <c r="S2526" i="4"/>
  <c r="S2514" i="4"/>
  <c r="S2504" i="4"/>
  <c r="S2494" i="4"/>
  <c r="S2482" i="4"/>
  <c r="S2472" i="4"/>
  <c r="S2462" i="4"/>
  <c r="S2450" i="4"/>
  <c r="S2440" i="4"/>
  <c r="S2430" i="4"/>
  <c r="S2418" i="4"/>
  <c r="S2408" i="4"/>
  <c r="S2398" i="4"/>
  <c r="S2386" i="4"/>
  <c r="S2376" i="4"/>
  <c r="S2366" i="4"/>
  <c r="S2354" i="4"/>
  <c r="S2344" i="4"/>
  <c r="S2334" i="4"/>
  <c r="O3557" i="4"/>
  <c r="O3397" i="4"/>
  <c r="O3240" i="4"/>
  <c r="L3192" i="4"/>
  <c r="L3152" i="4"/>
  <c r="L3112" i="4"/>
  <c r="L3064" i="4"/>
  <c r="L3024" i="4"/>
  <c r="L2984" i="4"/>
  <c r="L2936" i="4"/>
  <c r="L2896" i="4"/>
  <c r="L2856" i="4"/>
  <c r="L2808" i="4"/>
  <c r="L2768" i="4"/>
  <c r="I2742" i="4"/>
  <c r="I2726" i="4"/>
  <c r="L2712" i="4"/>
  <c r="J2699" i="4"/>
  <c r="J2683" i="4"/>
  <c r="I2670" i="4"/>
  <c r="L2656" i="4"/>
  <c r="L2640" i="4"/>
  <c r="J2627" i="4"/>
  <c r="I2614" i="4"/>
  <c r="I2598" i="4"/>
  <c r="L2584" i="4"/>
  <c r="J2571" i="4"/>
  <c r="J2555" i="4"/>
  <c r="I2542" i="4"/>
  <c r="J2531" i="4"/>
  <c r="J2519" i="4"/>
  <c r="J2509" i="4"/>
  <c r="J2499" i="4"/>
  <c r="J2487" i="4"/>
  <c r="J2477" i="4"/>
  <c r="J2467" i="4"/>
  <c r="J2455" i="4"/>
  <c r="J2445" i="4"/>
  <c r="J2435" i="4"/>
  <c r="J2423" i="4"/>
  <c r="J2413" i="4"/>
  <c r="J2403" i="4"/>
  <c r="J2391" i="4"/>
  <c r="J2381" i="4"/>
  <c r="J2371" i="4"/>
  <c r="J2359" i="4"/>
  <c r="J2349" i="4"/>
  <c r="O3842" i="4"/>
  <c r="R2707" i="4"/>
  <c r="R2627" i="4"/>
  <c r="R2547" i="4"/>
  <c r="P2495" i="4"/>
  <c r="P2455" i="4"/>
  <c r="P2415" i="4"/>
  <c r="P2367" i="4"/>
  <c r="I2334" i="4"/>
  <c r="L2320" i="4"/>
  <c r="L2304" i="4"/>
  <c r="J2291" i="4"/>
  <c r="I2278" i="4"/>
  <c r="I2262" i="4"/>
  <c r="J2249" i="4"/>
  <c r="J2239" i="4"/>
  <c r="J2227" i="4"/>
  <c r="J2217" i="4"/>
  <c r="J2207" i="4"/>
  <c r="J2195" i="4"/>
  <c r="J2185" i="4"/>
  <c r="J2175" i="4"/>
  <c r="J2163" i="4"/>
  <c r="J2153" i="4"/>
  <c r="J2143" i="4"/>
  <c r="J2131" i="4"/>
  <c r="J2121" i="4"/>
  <c r="J2111" i="4"/>
  <c r="J2099" i="4"/>
  <c r="J2089" i="4"/>
  <c r="J2079" i="4"/>
  <c r="J2067" i="4"/>
  <c r="J2057" i="4"/>
  <c r="J2047" i="4"/>
  <c r="J2035" i="4"/>
  <c r="J2025" i="4"/>
  <c r="O3455" i="4"/>
  <c r="L3169" i="4"/>
  <c r="L3089" i="4"/>
  <c r="L3009" i="4"/>
  <c r="L2913" i="4"/>
  <c r="L2833" i="4"/>
  <c r="L2753" i="4"/>
  <c r="L2705" i="4"/>
  <c r="L2665" i="4"/>
  <c r="L2625" i="4"/>
  <c r="L2577" i="4"/>
  <c r="P2536" i="4"/>
  <c r="P2496" i="4"/>
  <c r="P2448" i="4"/>
  <c r="P2408" i="4"/>
  <c r="P2368" i="4"/>
  <c r="R2331" i="4"/>
  <c r="P2318" i="4"/>
  <c r="S2304" i="4"/>
  <c r="S2288" i="4"/>
  <c r="R2275" i="4"/>
  <c r="P2262" i="4"/>
  <c r="P2247" i="4"/>
  <c r="P2237" i="4"/>
  <c r="P2227" i="4"/>
  <c r="P2215" i="4"/>
  <c r="P2205" i="4"/>
  <c r="P2195" i="4"/>
  <c r="P2183" i="4"/>
  <c r="P2173" i="4"/>
  <c r="P2163" i="4"/>
  <c r="P2151" i="4"/>
  <c r="P2141" i="4"/>
  <c r="P2131" i="4"/>
  <c r="P2119" i="4"/>
  <c r="P2109" i="4"/>
  <c r="P2099" i="4"/>
  <c r="P2087" i="4"/>
  <c r="P2077" i="4"/>
  <c r="P2067" i="4"/>
  <c r="P2055" i="4"/>
  <c r="P2045" i="4"/>
  <c r="P2037" i="4"/>
  <c r="P2029" i="4"/>
  <c r="P2021" i="4"/>
  <c r="O3351" i="4"/>
  <c r="R2695" i="4"/>
  <c r="R2631" i="4"/>
  <c r="R2567" i="4"/>
  <c r="P2521" i="4"/>
  <c r="P2489" i="4"/>
  <c r="P2457" i="4"/>
  <c r="P2425" i="4"/>
  <c r="P2393" i="4"/>
  <c r="P2361" i="4"/>
  <c r="I2335" i="4"/>
  <c r="R2324" i="4"/>
  <c r="S2313" i="4"/>
  <c r="P2303" i="4"/>
  <c r="R2292" i="4"/>
  <c r="S2281" i="4"/>
  <c r="P2271" i="4"/>
  <c r="R2260" i="4"/>
  <c r="O2249" i="4"/>
  <c r="O2233" i="4"/>
  <c r="O2217" i="4"/>
  <c r="O2201" i="4"/>
  <c r="O2185" i="4"/>
  <c r="O2169" i="4"/>
  <c r="O2153" i="4"/>
  <c r="O2137" i="4"/>
  <c r="O2121" i="4"/>
  <c r="O2105" i="4"/>
  <c r="O2089" i="4"/>
  <c r="O2073" i="4"/>
  <c r="O2057" i="4"/>
  <c r="O2041" i="4"/>
  <c r="O2025" i="4"/>
  <c r="O2009" i="4"/>
  <c r="O2608" i="4"/>
  <c r="O2544" i="4"/>
  <c r="O3265" i="4"/>
  <c r="S3119" i="4"/>
  <c r="S2991" i="4"/>
  <c r="S2863" i="4"/>
  <c r="J2745" i="4"/>
  <c r="L2702" i="4"/>
  <c r="I2660" i="4"/>
  <c r="J2617" i="4"/>
  <c r="L2574" i="4"/>
  <c r="O2528" i="4"/>
  <c r="O2464" i="4"/>
  <c r="O2400" i="4"/>
  <c r="O2336" i="4"/>
  <c r="O2272" i="4"/>
  <c r="O3403" i="4"/>
  <c r="S3152" i="4"/>
  <c r="S3024" i="4"/>
  <c r="S2896" i="4"/>
  <c r="S2768" i="4"/>
  <c r="I2713" i="4"/>
  <c r="J2670" i="4"/>
  <c r="L2627" i="4"/>
  <c r="I2585" i="4"/>
  <c r="J2546" i="4"/>
  <c r="L2536" i="4"/>
  <c r="L2528" i="4"/>
  <c r="L2520" i="4"/>
  <c r="L2512" i="4"/>
  <c r="L2504" i="4"/>
  <c r="L2496" i="4"/>
  <c r="L2488" i="4"/>
  <c r="L2480" i="4"/>
  <c r="L2472" i="4"/>
  <c r="L2464" i="4"/>
  <c r="L2456" i="4"/>
  <c r="L2448" i="4"/>
  <c r="L2440" i="4"/>
  <c r="L2432" i="4"/>
  <c r="L2424" i="4"/>
  <c r="L2416" i="4"/>
  <c r="L2408" i="4"/>
  <c r="L2400" i="4"/>
  <c r="L2392" i="4"/>
  <c r="L2384" i="4"/>
  <c r="L2376" i="4"/>
  <c r="L2368" i="4"/>
  <c r="L2360" i="4"/>
  <c r="L2352" i="4"/>
  <c r="L2344" i="4"/>
  <c r="L2336" i="4"/>
  <c r="O3645" i="4"/>
  <c r="O3517" i="4"/>
  <c r="O3389" i="4"/>
  <c r="O3261" i="4"/>
  <c r="S3213" i="4"/>
  <c r="S3181" i="4"/>
  <c r="S3149" i="4"/>
  <c r="S3117" i="4"/>
  <c r="S3085" i="4"/>
  <c r="S3053" i="4"/>
  <c r="S3021" i="4"/>
  <c r="S2989" i="4"/>
  <c r="S2957" i="4"/>
  <c r="S2925" i="4"/>
  <c r="S2893" i="4"/>
  <c r="S2861" i="4"/>
  <c r="S2829" i="4"/>
  <c r="S2797" i="4"/>
  <c r="S2765" i="4"/>
  <c r="S2743" i="4"/>
  <c r="P2733" i="4"/>
  <c r="R2722" i="4"/>
  <c r="S2711" i="4"/>
  <c r="P2701" i="4"/>
  <c r="R2690" i="4"/>
  <c r="S2679" i="4"/>
  <c r="P2669" i="4"/>
  <c r="R2658" i="4"/>
  <c r="S2647" i="4"/>
  <c r="P2637" i="4"/>
  <c r="R2626" i="4"/>
  <c r="S2615" i="4"/>
  <c r="P2605" i="4"/>
  <c r="R2594" i="4"/>
  <c r="S2583" i="4"/>
  <c r="P2573" i="4"/>
  <c r="R2562" i="4"/>
  <c r="S2551" i="4"/>
  <c r="P2541" i="4"/>
  <c r="R2532" i="4"/>
  <c r="R2524" i="4"/>
  <c r="R2516" i="4"/>
  <c r="R2508" i="4"/>
  <c r="R2500" i="4"/>
  <c r="R2492" i="4"/>
  <c r="R2484" i="4"/>
  <c r="R2476" i="4"/>
  <c r="R2468" i="4"/>
  <c r="R2460" i="4"/>
  <c r="R2452" i="4"/>
  <c r="R2444" i="4"/>
  <c r="R2436" i="4"/>
  <c r="R2428" i="4"/>
  <c r="R2420" i="4"/>
  <c r="R2412" i="4"/>
  <c r="R2404" i="4"/>
  <c r="R2396" i="4"/>
  <c r="R2388" i="4"/>
  <c r="R2380" i="4"/>
  <c r="R2372" i="4"/>
  <c r="R2364" i="4"/>
  <c r="R2356" i="4"/>
  <c r="R2348" i="4"/>
  <c r="R2340" i="4"/>
  <c r="O3303" i="4"/>
  <c r="J2688" i="4"/>
  <c r="J2624" i="4"/>
  <c r="J2560" i="4"/>
  <c r="I2518" i="4"/>
  <c r="I2486" i="4"/>
  <c r="I2454" i="4"/>
  <c r="I2422" i="4"/>
  <c r="I2390" i="4"/>
  <c r="I2358" i="4"/>
  <c r="P2333" i="4"/>
  <c r="R2322" i="4"/>
  <c r="S2311" i="4"/>
  <c r="P2301" i="4"/>
  <c r="R2290" i="4"/>
  <c r="S2279" i="4"/>
  <c r="P2269" i="4"/>
  <c r="R2258" i="4"/>
  <c r="R2248" i="4"/>
  <c r="R2240" i="4"/>
  <c r="R2232" i="4"/>
  <c r="R2224" i="4"/>
  <c r="R2216" i="4"/>
  <c r="R2208" i="4"/>
  <c r="R2200" i="4"/>
  <c r="R2192" i="4"/>
  <c r="R2184" i="4"/>
  <c r="R2176" i="4"/>
  <c r="R2168" i="4"/>
  <c r="R2160" i="4"/>
  <c r="R2152" i="4"/>
  <c r="R2144" i="4"/>
  <c r="R2136" i="4"/>
  <c r="R2128" i="4"/>
  <c r="R2120" i="4"/>
  <c r="R2112" i="4"/>
  <c r="R2104" i="4"/>
  <c r="R2096" i="4"/>
  <c r="R2088" i="4"/>
  <c r="R2080" i="4"/>
  <c r="R2072" i="4"/>
  <c r="R2064" i="4"/>
  <c r="R2056" i="4"/>
  <c r="R2048" i="4"/>
  <c r="R2040" i="4"/>
  <c r="R2032" i="4"/>
  <c r="R2024" i="4"/>
  <c r="O3551" i="4"/>
  <c r="S3214" i="4"/>
  <c r="S3150" i="4"/>
  <c r="S3086" i="4"/>
  <c r="S3022" i="4"/>
  <c r="S2958" i="4"/>
  <c r="S2894" i="4"/>
  <c r="S2830" i="4"/>
  <c r="S2766" i="4"/>
  <c r="P2726" i="4"/>
  <c r="P2694" i="4"/>
  <c r="P2662" i="4"/>
  <c r="P2630" i="4"/>
  <c r="P2598" i="4"/>
  <c r="P2566" i="4"/>
  <c r="I2535" i="4"/>
  <c r="I2503" i="4"/>
  <c r="I2471" i="4"/>
  <c r="I2439" i="4"/>
  <c r="I2407" i="4"/>
  <c r="I2375" i="4"/>
  <c r="I2343" i="4"/>
  <c r="J2328" i="4"/>
  <c r="L2317" i="4"/>
  <c r="I2307" i="4"/>
  <c r="J2296" i="4"/>
  <c r="L2285" i="4"/>
  <c r="I2275" i="4"/>
  <c r="J2264" i="4"/>
  <c r="L2253" i="4"/>
  <c r="I2245" i="4"/>
  <c r="I2237" i="4"/>
  <c r="I2229" i="4"/>
  <c r="I2221" i="4"/>
  <c r="I2213" i="4"/>
  <c r="I2205" i="4"/>
  <c r="I2197" i="4"/>
  <c r="I2189" i="4"/>
  <c r="I2181" i="4"/>
  <c r="I2173" i="4"/>
  <c r="I2165" i="4"/>
  <c r="I2157" i="4"/>
  <c r="I2149" i="4"/>
  <c r="I2141" i="4"/>
  <c r="I2133" i="4"/>
  <c r="I2125" i="4"/>
  <c r="I2117" i="4"/>
  <c r="I2109" i="4"/>
  <c r="I2101" i="4"/>
  <c r="I2093" i="4"/>
  <c r="I2085" i="4"/>
  <c r="I2077" i="4"/>
  <c r="I2069" i="4"/>
  <c r="I2061" i="4"/>
  <c r="I2053" i="4"/>
  <c r="I2045" i="4"/>
  <c r="I2037" i="4"/>
  <c r="I2029" i="4"/>
  <c r="I2021" i="4"/>
  <c r="O3319" i="4"/>
  <c r="J2692" i="4"/>
  <c r="J2628" i="4"/>
  <c r="J2564" i="4"/>
  <c r="I2520" i="4"/>
  <c r="I2488" i="4"/>
  <c r="I2456" i="4"/>
  <c r="I2424" i="4"/>
  <c r="I2392" i="4"/>
  <c r="I2360" i="4"/>
  <c r="L2334" i="4"/>
  <c r="I2324" i="4"/>
  <c r="J2313" i="4"/>
  <c r="L2302" i="4"/>
  <c r="I2292" i="4"/>
  <c r="J2281" i="4"/>
  <c r="L2270" i="4"/>
  <c r="I2260" i="4"/>
  <c r="O2248" i="4"/>
  <c r="O2232" i="4"/>
  <c r="O2216" i="4"/>
  <c r="O2200" i="4"/>
  <c r="O2184" i="4"/>
  <c r="O2168" i="4"/>
  <c r="O2152" i="4"/>
  <c r="O2652" i="4"/>
  <c r="O2588" i="4"/>
  <c r="O3617" i="4"/>
  <c r="S3207" i="4"/>
  <c r="S3079" i="4"/>
  <c r="S2951" i="4"/>
  <c r="S2823" i="4"/>
  <c r="I2732" i="4"/>
  <c r="J2689" i="4"/>
  <c r="L2646" i="4"/>
  <c r="I2604" i="4"/>
  <c r="J2561" i="4"/>
  <c r="O2508" i="4"/>
  <c r="O2444" i="4"/>
  <c r="O2380" i="4"/>
  <c r="O2316" i="4"/>
  <c r="O2252" i="4"/>
  <c r="O3243" i="4"/>
  <c r="S3112" i="4"/>
  <c r="S2984" i="4"/>
  <c r="S2856" i="4"/>
  <c r="J2742" i="4"/>
  <c r="L2699" i="4"/>
  <c r="I2657" i="4"/>
  <c r="J2614" i="4"/>
  <c r="L2571" i="4"/>
  <c r="S2542" i="4"/>
  <c r="S2533" i="4"/>
  <c r="S2525" i="4"/>
  <c r="S2517" i="4"/>
  <c r="S2509" i="4"/>
  <c r="S2501" i="4"/>
  <c r="S2493" i="4"/>
  <c r="S2485" i="4"/>
  <c r="S2477" i="4"/>
  <c r="S2469" i="4"/>
  <c r="S2461" i="4"/>
  <c r="S2453" i="4"/>
  <c r="S2445" i="4"/>
  <c r="S2437" i="4"/>
  <c r="S2429" i="4"/>
  <c r="S2421" i="4"/>
  <c r="S2413" i="4"/>
  <c r="S2405" i="4"/>
  <c r="S2397" i="4"/>
  <c r="S2389" i="4"/>
  <c r="S2381" i="4"/>
  <c r="S2373" i="4"/>
  <c r="S2365" i="4"/>
  <c r="S2357" i="4"/>
  <c r="S2349" i="4"/>
  <c r="S2341" i="4"/>
  <c r="O3882" i="4"/>
  <c r="O3605" i="4"/>
  <c r="O3477" i="4"/>
  <c r="O3349" i="4"/>
  <c r="L3236" i="4"/>
  <c r="L3204" i="4"/>
  <c r="L3172" i="4"/>
  <c r="L3140" i="4"/>
  <c r="L3108" i="4"/>
  <c r="L3076" i="4"/>
  <c r="L3044" i="4"/>
  <c r="L3012" i="4"/>
  <c r="L2980" i="4"/>
  <c r="L2948" i="4"/>
  <c r="L2916" i="4"/>
  <c r="L2884" i="4"/>
  <c r="L2852" i="4"/>
  <c r="L2820" i="4"/>
  <c r="L2788" i="4"/>
  <c r="L2756" i="4"/>
  <c r="L2740" i="4"/>
  <c r="I2730" i="4"/>
  <c r="J2719" i="4"/>
  <c r="L2708" i="4"/>
  <c r="I2698" i="4"/>
  <c r="J2687" i="4"/>
  <c r="L2676" i="4"/>
  <c r="I2666" i="4"/>
  <c r="J2655" i="4"/>
  <c r="L2644" i="4"/>
  <c r="I2634" i="4"/>
  <c r="J2623" i="4"/>
  <c r="L2612" i="4"/>
  <c r="I2602" i="4"/>
  <c r="J2591" i="4"/>
  <c r="L2580" i="4"/>
  <c r="I2570" i="4"/>
  <c r="J2559" i="4"/>
  <c r="L2548" i="4"/>
  <c r="J2538" i="4"/>
  <c r="J2530" i="4"/>
  <c r="J2522" i="4"/>
  <c r="J2514" i="4"/>
  <c r="J2506" i="4"/>
  <c r="J2498" i="4"/>
  <c r="J2490" i="4"/>
  <c r="J2482" i="4"/>
  <c r="J2474" i="4"/>
  <c r="J2466" i="4"/>
  <c r="J2458" i="4"/>
  <c r="J2450" i="4"/>
  <c r="J2442" i="4"/>
  <c r="J2434" i="4"/>
  <c r="J2426" i="4"/>
  <c r="J2418" i="4"/>
  <c r="J2410" i="4"/>
  <c r="J2402" i="4"/>
  <c r="J2394" i="4"/>
  <c r="J2386" i="4"/>
  <c r="J2378" i="4"/>
  <c r="J2370" i="4"/>
  <c r="J2362" i="4"/>
  <c r="J2354" i="4"/>
  <c r="J2346" i="4"/>
  <c r="O3655" i="4"/>
  <c r="R2731" i="4"/>
  <c r="R2667" i="4"/>
  <c r="R2603" i="4"/>
  <c r="R2539" i="4"/>
  <c r="P2507" i="4"/>
  <c r="P2475" i="4"/>
  <c r="P2443" i="4"/>
  <c r="P2411" i="4"/>
  <c r="P2379" i="4"/>
  <c r="P2347" i="4"/>
  <c r="I2330" i="4"/>
  <c r="J2319" i="4"/>
  <c r="L2308" i="4"/>
  <c r="I2298" i="4"/>
  <c r="J2287" i="4"/>
  <c r="L2276" i="4"/>
  <c r="I2266" i="4"/>
  <c r="J2255" i="4"/>
  <c r="J2246" i="4"/>
  <c r="J2238" i="4"/>
  <c r="J2230" i="4"/>
  <c r="J2222" i="4"/>
  <c r="J2214" i="4"/>
  <c r="J2206" i="4"/>
  <c r="J2198" i="4"/>
  <c r="J2190" i="4"/>
  <c r="J2182" i="4"/>
  <c r="J2174" i="4"/>
  <c r="J2166" i="4"/>
  <c r="J2158" i="4"/>
  <c r="J2150" i="4"/>
  <c r="J2142" i="4"/>
  <c r="J2134" i="4"/>
  <c r="J2126" i="4"/>
  <c r="J2118" i="4"/>
  <c r="J2110" i="4"/>
  <c r="J2102" i="4"/>
  <c r="J2094" i="4"/>
  <c r="J2086" i="4"/>
  <c r="J2078" i="4"/>
  <c r="J2070" i="4"/>
  <c r="J2062" i="4"/>
  <c r="J2054" i="4"/>
  <c r="J2046" i="4"/>
  <c r="J2038" i="4"/>
  <c r="J2030" i="4"/>
  <c r="J2022" i="4"/>
  <c r="O3391" i="4"/>
  <c r="L3193" i="4"/>
  <c r="L3129" i="4"/>
  <c r="L3065" i="4"/>
  <c r="L3001" i="4"/>
  <c r="L2937" i="4"/>
  <c r="L2873" i="4"/>
  <c r="L2809" i="4"/>
  <c r="I2749" i="4"/>
  <c r="S2716" i="4"/>
  <c r="S2684" i="4"/>
  <c r="S2652" i="4"/>
  <c r="S2620" i="4"/>
  <c r="S2588" i="4"/>
  <c r="S2556" i="4"/>
  <c r="P2524" i="4"/>
  <c r="P2492" i="4"/>
  <c r="P2460" i="4"/>
  <c r="P2428" i="4"/>
  <c r="P2396" i="4"/>
  <c r="P2364" i="4"/>
  <c r="I2336" i="4"/>
  <c r="S2324" i="4"/>
  <c r="P2314" i="4"/>
  <c r="R2303" i="4"/>
  <c r="S2292" i="4"/>
  <c r="P2282" i="4"/>
  <c r="R2271" i="4"/>
  <c r="S2260" i="4"/>
  <c r="P2250" i="4"/>
  <c r="P2242" i="4"/>
  <c r="P2234" i="4"/>
  <c r="P2226" i="4"/>
  <c r="P2218" i="4"/>
  <c r="P2210" i="4"/>
  <c r="P2202" i="4"/>
  <c r="P2194" i="4"/>
  <c r="P2186" i="4"/>
  <c r="P2178" i="4"/>
  <c r="P2170" i="4"/>
  <c r="P2162" i="4"/>
  <c r="P2154" i="4"/>
  <c r="P2146" i="4"/>
  <c r="P2138" i="4"/>
  <c r="P2130" i="4"/>
  <c r="P2122" i="4"/>
  <c r="P2114" i="4"/>
  <c r="P2106" i="4"/>
  <c r="P2098" i="4"/>
  <c r="P2090" i="4"/>
  <c r="P2082" i="4"/>
  <c r="P2074" i="4"/>
  <c r="P2066" i="4"/>
  <c r="P2058" i="4"/>
  <c r="P2050" i="4"/>
  <c r="P2042" i="4"/>
  <c r="P2034" i="4"/>
  <c r="P2026" i="4"/>
  <c r="O3671" i="4"/>
  <c r="R2735" i="4"/>
  <c r="R2671" i="4"/>
  <c r="R2607" i="4"/>
  <c r="R2543" i="4"/>
  <c r="P2509" i="4"/>
  <c r="P2477" i="4"/>
  <c r="P2445" i="4"/>
  <c r="P2413" i="4"/>
  <c r="P2381" i="4"/>
  <c r="P2349" i="4"/>
  <c r="P2307" i="4"/>
  <c r="R2264" i="4"/>
  <c r="O2207" i="4"/>
  <c r="O2143" i="4"/>
  <c r="O2108" i="4"/>
  <c r="O2076" i="4"/>
  <c r="O2044" i="4"/>
  <c r="O2012" i="4"/>
  <c r="O1995" i="4"/>
  <c r="O1979" i="4"/>
  <c r="O1963" i="4"/>
  <c r="I1952" i="4"/>
  <c r="I1944" i="4"/>
  <c r="I1936" i="4"/>
  <c r="I1928" i="4"/>
  <c r="I1920" i="4"/>
  <c r="I1912" i="4"/>
  <c r="I1904" i="4"/>
  <c r="I1896" i="4"/>
  <c r="O3599" i="4"/>
  <c r="L3221" i="4"/>
  <c r="L3157" i="4"/>
  <c r="L3093" i="4"/>
  <c r="L3029" i="4"/>
  <c r="L2965" i="4"/>
  <c r="L2901" i="4"/>
  <c r="L2837" i="4"/>
  <c r="S2750" i="4"/>
  <c r="P2478" i="4"/>
  <c r="P2414" i="4"/>
  <c r="P2350" i="4"/>
  <c r="J2290" i="4"/>
  <c r="L2238" i="4"/>
  <c r="L2206" i="4"/>
  <c r="L2174" i="4"/>
  <c r="L2142" i="4"/>
  <c r="L2110" i="4"/>
  <c r="L2078" i="4"/>
  <c r="L2046" i="4"/>
  <c r="I2018" i="4"/>
  <c r="J2007" i="4"/>
  <c r="L1996" i="4"/>
  <c r="I1986" i="4"/>
  <c r="J1975" i="4"/>
  <c r="L1964" i="4"/>
  <c r="S1953" i="4"/>
  <c r="J1943" i="4"/>
  <c r="O1932" i="4"/>
  <c r="S2680" i="4"/>
  <c r="S2552" i="4"/>
  <c r="P2304" i="4"/>
  <c r="P2272" i="4"/>
  <c r="S2240" i="4"/>
  <c r="S2208" i="4"/>
  <c r="S2176" i="4"/>
  <c r="S2144" i="4"/>
  <c r="S2112" i="4"/>
  <c r="S2080" i="4"/>
  <c r="S2048" i="4"/>
  <c r="I2019" i="4"/>
  <c r="J2008" i="4"/>
  <c r="L1997" i="4"/>
  <c r="I1987" i="4"/>
  <c r="J1976" i="4"/>
  <c r="S2754" i="4"/>
  <c r="L2685" i="4"/>
  <c r="L2621" i="4"/>
  <c r="L2557" i="4"/>
  <c r="I2493" i="4"/>
  <c r="I2429" i="4"/>
  <c r="I2365" i="4"/>
  <c r="R2305" i="4"/>
  <c r="S2245" i="4"/>
  <c r="S2213" i="4"/>
  <c r="S2181" i="4"/>
  <c r="S2149" i="4"/>
  <c r="S2117" i="4"/>
  <c r="S2085" i="4"/>
  <c r="S2053" i="4"/>
  <c r="S2021" i="4"/>
  <c r="S2009" i="4"/>
  <c r="P1999" i="4"/>
  <c r="R1988" i="4"/>
  <c r="S1977" i="4"/>
  <c r="I2695" i="4"/>
  <c r="I2567" i="4"/>
  <c r="P2308" i="4"/>
  <c r="P2276" i="4"/>
  <c r="L2245" i="4"/>
  <c r="L2213" i="4"/>
  <c r="L2181" i="4"/>
  <c r="L2149" i="4"/>
  <c r="L2117" i="4"/>
  <c r="L2085" i="4"/>
  <c r="L2053" i="4"/>
  <c r="L2021" i="4"/>
  <c r="R2009" i="4"/>
  <c r="S1998" i="4"/>
  <c r="P1988" i="4"/>
  <c r="R1977" i="4"/>
  <c r="J1964" i="4"/>
  <c r="O1947" i="4"/>
  <c r="R1929" i="4"/>
  <c r="L1913" i="4"/>
  <c r="L1897" i="4"/>
  <c r="I1886" i="4"/>
  <c r="I1878" i="4"/>
  <c r="I1870" i="4"/>
  <c r="I1862" i="4"/>
  <c r="I1854" i="4"/>
  <c r="I1846" i="4"/>
  <c r="I1838" i="4"/>
  <c r="I1830" i="4"/>
  <c r="I1822" i="4"/>
  <c r="I1814" i="4"/>
  <c r="I1806" i="4"/>
  <c r="I1798" i="4"/>
  <c r="I1790" i="4"/>
  <c r="I1782" i="4"/>
  <c r="I1774" i="4"/>
  <c r="I1766" i="4"/>
  <c r="I1758" i="4"/>
  <c r="I1750" i="4"/>
  <c r="I1742" i="4"/>
  <c r="I1734" i="4"/>
  <c r="I1726" i="4"/>
  <c r="I1718" i="4"/>
  <c r="I1710" i="4"/>
  <c r="I1702" i="4"/>
  <c r="I1694" i="4"/>
  <c r="I1686" i="4"/>
  <c r="I1964" i="4"/>
  <c r="J1948" i="4"/>
  <c r="L1930" i="4"/>
  <c r="J1919" i="4"/>
  <c r="O1908" i="4"/>
  <c r="S1897" i="4"/>
  <c r="O1885" i="4"/>
  <c r="O1869" i="4"/>
  <c r="O1853" i="4"/>
  <c r="O1837" i="4"/>
  <c r="O1821" i="4"/>
  <c r="O1805" i="4"/>
  <c r="O1789" i="4"/>
  <c r="O1773" i="4"/>
  <c r="O1757" i="4"/>
  <c r="O1741" i="4"/>
  <c r="O1725" i="4"/>
  <c r="O1709" i="4"/>
  <c r="O1693" i="4"/>
  <c r="O1677" i="4"/>
  <c r="O1661" i="4"/>
  <c r="O1645" i="4"/>
  <c r="O1629" i="4"/>
  <c r="O1613" i="4"/>
  <c r="S1969" i="4"/>
  <c r="L1952" i="4"/>
  <c r="R1934" i="4"/>
  <c r="R1917" i="4"/>
  <c r="R1901" i="4"/>
  <c r="S1887" i="4"/>
  <c r="S1879" i="4"/>
  <c r="S1871" i="4"/>
  <c r="S1863" i="4"/>
  <c r="S1855" i="4"/>
  <c r="S1847" i="4"/>
  <c r="S1839" i="4"/>
  <c r="S1831" i="4"/>
  <c r="S1823" i="4"/>
  <c r="S1815" i="4"/>
  <c r="S1807" i="4"/>
  <c r="S1799" i="4"/>
  <c r="S1791" i="4"/>
  <c r="S1783" i="4"/>
  <c r="S1775" i="4"/>
  <c r="S1767" i="4"/>
  <c r="S1759" i="4"/>
  <c r="S1751" i="4"/>
  <c r="S1743" i="4"/>
  <c r="S1735" i="4"/>
  <c r="S1727" i="4"/>
  <c r="S1719" i="4"/>
  <c r="S1711" i="4"/>
  <c r="S1703" i="4"/>
  <c r="S1695" i="4"/>
  <c r="S1687" i="4"/>
  <c r="R1963" i="4"/>
  <c r="R1948" i="4"/>
  <c r="S1930" i="4"/>
  <c r="J1918" i="4"/>
  <c r="O1907" i="4"/>
  <c r="S1896" i="4"/>
  <c r="J1887" i="4"/>
  <c r="J1879" i="4"/>
  <c r="J1871" i="4"/>
  <c r="J1863" i="4"/>
  <c r="J1855" i="4"/>
  <c r="J1847" i="4"/>
  <c r="J1839" i="4"/>
  <c r="J1831" i="4"/>
  <c r="J1823" i="4"/>
  <c r="J1815" i="4"/>
  <c r="J1807" i="4"/>
  <c r="J1799" i="4"/>
  <c r="J1791" i="4"/>
  <c r="J1783" i="4"/>
  <c r="J1775" i="4"/>
  <c r="J1767" i="4"/>
  <c r="J1759" i="4"/>
  <c r="J1751" i="4"/>
  <c r="J1743" i="4"/>
  <c r="J1735" i="4"/>
  <c r="J1727" i="4"/>
  <c r="J1719" i="4"/>
  <c r="J1711" i="4"/>
  <c r="J1703" i="4"/>
  <c r="J1695" i="4"/>
  <c r="J1687" i="4"/>
  <c r="P1676" i="4"/>
  <c r="R1665" i="4"/>
  <c r="S1654" i="4"/>
  <c r="P1644" i="4"/>
  <c r="R1633" i="4"/>
  <c r="S1622" i="4"/>
  <c r="P1612" i="4"/>
  <c r="R1601" i="4"/>
  <c r="S1592" i="4"/>
  <c r="S1584" i="4"/>
  <c r="S1576" i="4"/>
  <c r="S1568" i="4"/>
  <c r="S1560" i="4"/>
  <c r="S1552" i="4"/>
  <c r="S1544" i="4"/>
  <c r="S1536" i="4"/>
  <c r="S1528" i="4"/>
  <c r="S1520" i="4"/>
  <c r="S1512" i="4"/>
  <c r="S1504" i="4"/>
  <c r="S1496" i="4"/>
  <c r="S1488" i="4"/>
  <c r="S1480" i="4"/>
  <c r="S1472" i="4"/>
  <c r="S1464" i="4"/>
  <c r="S1456" i="4"/>
  <c r="S1448" i="4"/>
  <c r="S1440" i="4"/>
  <c r="S1431" i="4"/>
  <c r="S1423" i="4"/>
  <c r="S1415" i="4"/>
  <c r="S1407" i="4"/>
  <c r="S1399" i="4"/>
  <c r="S1391" i="4"/>
  <c r="S1383" i="4"/>
  <c r="S1375" i="4"/>
  <c r="S1367" i="4"/>
  <c r="S1359" i="4"/>
  <c r="P2315" i="4"/>
  <c r="R2272" i="4"/>
  <c r="O2219" i="4"/>
  <c r="O2155" i="4"/>
  <c r="O2115" i="4"/>
  <c r="O2083" i="4"/>
  <c r="O2051" i="4"/>
  <c r="O2019" i="4"/>
  <c r="O1998" i="4"/>
  <c r="O1982" i="4"/>
  <c r="O1966" i="4"/>
  <c r="P1953" i="4"/>
  <c r="P1945" i="4"/>
  <c r="P1937" i="4"/>
  <c r="P1929" i="4"/>
  <c r="P1921" i="4"/>
  <c r="P1913" i="4"/>
  <c r="P1905" i="4"/>
  <c r="P1897" i="4"/>
  <c r="O3746" i="4"/>
  <c r="S3234" i="4"/>
  <c r="S3170" i="4"/>
  <c r="S3106" i="4"/>
  <c r="S3042" i="4"/>
  <c r="S2978" i="4"/>
  <c r="S2914" i="4"/>
  <c r="S2850" i="4"/>
  <c r="S2778" i="4"/>
  <c r="I2489" i="4"/>
  <c r="I2425" i="4"/>
  <c r="I2361" i="4"/>
  <c r="R2301" i="4"/>
  <c r="S2243" i="4"/>
  <c r="S2211" i="4"/>
  <c r="S2179" i="4"/>
  <c r="S2147" i="4"/>
  <c r="S2115" i="4"/>
  <c r="S2083" i="4"/>
  <c r="S2051" i="4"/>
  <c r="S2019" i="4"/>
  <c r="P2009" i="4"/>
  <c r="R1998" i="4"/>
  <c r="S1987" i="4"/>
  <c r="P1977" i="4"/>
  <c r="R1966" i="4"/>
  <c r="S1955" i="4"/>
  <c r="J1945" i="4"/>
  <c r="O1934" i="4"/>
  <c r="S2704" i="4"/>
  <c r="S2576" i="4"/>
  <c r="S2310" i="4"/>
  <c r="S2278" i="4"/>
  <c r="L2247" i="4"/>
  <c r="L2215" i="4"/>
  <c r="L2183" i="4"/>
  <c r="L2151" i="4"/>
  <c r="L2119" i="4"/>
  <c r="L2087" i="4"/>
  <c r="L2055" i="4"/>
  <c r="L2023" i="4"/>
  <c r="P2010" i="4"/>
  <c r="R1999" i="4"/>
  <c r="S1988" i="4"/>
  <c r="P1978" i="4"/>
  <c r="L2773" i="4"/>
  <c r="P2698" i="4"/>
  <c r="P2634" i="4"/>
  <c r="P2570" i="4"/>
  <c r="P2506" i="4"/>
  <c r="P2442" i="4"/>
  <c r="P2378" i="4"/>
  <c r="J2318" i="4"/>
  <c r="J2254" i="4"/>
  <c r="L2220" i="4"/>
  <c r="L2188" i="4"/>
  <c r="L2156" i="4"/>
  <c r="L2124" i="4"/>
  <c r="L2092" i="4"/>
  <c r="L2060" i="4"/>
  <c r="L2028" i="4"/>
  <c r="I2012" i="4"/>
  <c r="J2001" i="4"/>
  <c r="L1990" i="4"/>
  <c r="I1980" i="4"/>
  <c r="I2719" i="4"/>
  <c r="I2591" i="4"/>
  <c r="S2314" i="4"/>
  <c r="S2282" i="4"/>
  <c r="S2250" i="4"/>
  <c r="S2218" i="4"/>
  <c r="S2186" i="4"/>
  <c r="S2154" i="4"/>
  <c r="S2122" i="4"/>
  <c r="S2090" i="4"/>
  <c r="S2058" i="4"/>
  <c r="S2026" i="4"/>
  <c r="L2011" i="4"/>
  <c r="I2001" i="4"/>
  <c r="J1990" i="4"/>
  <c r="L1979" i="4"/>
  <c r="I1967" i="4"/>
  <c r="J1950" i="4"/>
  <c r="L1932" i="4"/>
  <c r="R1916" i="4"/>
  <c r="R1900" i="4"/>
  <c r="P1887" i="4"/>
  <c r="P1879" i="4"/>
  <c r="P1871" i="4"/>
  <c r="P1863" i="4"/>
  <c r="P1855" i="4"/>
  <c r="P1847" i="4"/>
  <c r="P1839" i="4"/>
  <c r="P1831" i="4"/>
  <c r="P1823" i="4"/>
  <c r="P1815" i="4"/>
  <c r="P1807" i="4"/>
  <c r="P1799" i="4"/>
  <c r="P1791" i="4"/>
  <c r="P1783" i="4"/>
  <c r="P1775" i="4"/>
  <c r="P1767" i="4"/>
  <c r="P1759" i="4"/>
  <c r="P1751" i="4"/>
  <c r="P1743" i="4"/>
  <c r="P1735" i="4"/>
  <c r="P1727" i="4"/>
  <c r="P1719" i="4"/>
  <c r="P1711" i="4"/>
  <c r="P1703" i="4"/>
  <c r="P1695" i="4"/>
  <c r="P1687" i="4"/>
  <c r="J1966" i="4"/>
  <c r="R1952" i="4"/>
  <c r="S1934" i="4"/>
  <c r="J1921" i="4"/>
  <c r="O1910" i="4"/>
  <c r="S1899" i="4"/>
  <c r="O1888" i="4"/>
  <c r="O1872" i="4"/>
  <c r="O1856" i="4"/>
  <c r="O1840" i="4"/>
  <c r="O1824" i="4"/>
  <c r="O1808" i="4"/>
  <c r="O1792" i="4"/>
  <c r="O1776" i="4"/>
  <c r="O1760" i="4"/>
  <c r="O1744" i="4"/>
  <c r="O1728" i="4"/>
  <c r="O1712" i="4"/>
  <c r="O1696" i="4"/>
  <c r="O1680" i="4"/>
  <c r="O1664" i="4"/>
  <c r="O1648" i="4"/>
  <c r="O1632" i="4"/>
  <c r="O1616" i="4"/>
  <c r="O1600" i="4"/>
  <c r="S1956" i="4"/>
  <c r="L1937" i="4"/>
  <c r="L1920" i="4"/>
  <c r="L1904" i="4"/>
  <c r="L1889" i="4"/>
  <c r="L1881" i="4"/>
  <c r="L1873" i="4"/>
  <c r="L1865" i="4"/>
  <c r="L1857" i="4"/>
  <c r="L1849" i="4"/>
  <c r="L1841" i="4"/>
  <c r="L1833" i="4"/>
  <c r="L1825" i="4"/>
  <c r="L1817" i="4"/>
  <c r="L1809" i="4"/>
  <c r="L1801" i="4"/>
  <c r="L1793" i="4"/>
  <c r="L1785" i="4"/>
  <c r="L1777" i="4"/>
  <c r="L1769" i="4"/>
  <c r="L1761" i="4"/>
  <c r="L1753" i="4"/>
  <c r="L1745" i="4"/>
  <c r="L1737" i="4"/>
  <c r="L1729" i="4"/>
  <c r="L1721" i="4"/>
  <c r="L1713" i="4"/>
  <c r="L1705" i="4"/>
  <c r="L1697" i="4"/>
  <c r="L1689" i="4"/>
  <c r="S1965" i="4"/>
  <c r="L1951" i="4"/>
  <c r="O1933" i="4"/>
  <c r="J1920" i="4"/>
  <c r="O1909" i="4"/>
  <c r="S1898" i="4"/>
  <c r="R1888" i="4"/>
  <c r="R1880" i="4"/>
  <c r="R1872" i="4"/>
  <c r="R1864" i="4"/>
  <c r="R1856" i="4"/>
  <c r="R1848" i="4"/>
  <c r="R1840" i="4"/>
  <c r="R1832" i="4"/>
  <c r="R1824" i="4"/>
  <c r="R1816" i="4"/>
  <c r="R1808" i="4"/>
  <c r="R1800" i="4"/>
  <c r="R1792" i="4"/>
  <c r="R1784" i="4"/>
  <c r="R1776" i="4"/>
  <c r="R1768" i="4"/>
  <c r="R1760" i="4"/>
  <c r="R1752" i="4"/>
  <c r="R1744" i="4"/>
  <c r="R1736" i="4"/>
  <c r="R1728" i="4"/>
  <c r="R1720" i="4"/>
  <c r="R1712" i="4"/>
  <c r="R1704" i="4"/>
  <c r="R1696" i="4"/>
  <c r="R1688" i="4"/>
  <c r="J1678" i="4"/>
  <c r="L1667" i="4"/>
  <c r="I1657" i="4"/>
  <c r="J1646" i="4"/>
  <c r="L1635" i="4"/>
  <c r="I1625" i="4"/>
  <c r="J1614" i="4"/>
  <c r="L1603" i="4"/>
  <c r="L1594" i="4"/>
  <c r="L1586" i="4"/>
  <c r="L1578" i="4"/>
  <c r="L1570" i="4"/>
  <c r="L1562" i="4"/>
  <c r="L1554" i="4"/>
  <c r="L1546" i="4"/>
  <c r="L1538" i="4"/>
  <c r="L1530" i="4"/>
  <c r="L1522" i="4"/>
  <c r="L1514" i="4"/>
  <c r="L1506" i="4"/>
  <c r="L1498" i="4"/>
  <c r="L1490" i="4"/>
  <c r="L1482" i="4"/>
  <c r="L1474" i="4"/>
  <c r="L1466" i="4"/>
  <c r="L1458" i="4"/>
  <c r="L1450" i="4"/>
  <c r="L1442" i="4"/>
  <c r="L1433" i="4"/>
  <c r="L1425" i="4"/>
  <c r="L1417" i="4"/>
  <c r="L1409" i="4"/>
  <c r="L1401" i="4"/>
  <c r="L1393" i="4"/>
  <c r="L1385" i="4"/>
  <c r="L1377" i="4"/>
  <c r="L1369" i="4"/>
  <c r="L1361" i="4"/>
  <c r="S2301" i="4"/>
  <c r="P2259" i="4"/>
  <c r="O2199" i="4"/>
  <c r="O2136" i="4"/>
  <c r="O2104" i="4"/>
  <c r="O2072" i="4"/>
  <c r="O2040" i="4"/>
  <c r="O2010" i="4"/>
  <c r="O1993" i="4"/>
  <c r="O1977" i="4"/>
  <c r="O1961" i="4"/>
  <c r="I1951" i="4"/>
  <c r="I1943" i="4"/>
  <c r="I1935" i="4"/>
  <c r="I1927" i="4"/>
  <c r="I1919" i="4"/>
  <c r="I1911" i="4"/>
  <c r="I1903" i="4"/>
  <c r="I1895" i="4"/>
  <c r="O3535" i="4"/>
  <c r="L3213" i="4"/>
  <c r="L3149" i="4"/>
  <c r="L3085" i="4"/>
  <c r="L3021" i="4"/>
  <c r="L2957" i="4"/>
  <c r="L2893" i="4"/>
  <c r="L2829" i="4"/>
  <c r="P2534" i="4"/>
  <c r="P2470" i="4"/>
  <c r="P2406" i="4"/>
  <c r="P2342" i="4"/>
  <c r="J2282" i="4"/>
  <c r="L2234" i="4"/>
  <c r="L2202" i="4"/>
  <c r="L2170" i="4"/>
  <c r="L2138" i="4"/>
  <c r="L2106" i="4"/>
  <c r="L2074" i="4"/>
  <c r="L2042" i="4"/>
  <c r="L2016" i="4"/>
  <c r="I2006" i="4"/>
  <c r="J1995" i="4"/>
  <c r="L1984" i="4"/>
  <c r="I1974" i="4"/>
  <c r="J1963" i="4"/>
  <c r="O1952" i="4"/>
  <c r="S1941" i="4"/>
  <c r="J1931" i="4"/>
  <c r="S2664" i="4"/>
  <c r="I2333" i="4"/>
  <c r="I2301" i="4"/>
  <c r="I2269" i="4"/>
  <c r="S2236" i="4"/>
  <c r="S2204" i="4"/>
  <c r="S2172" i="4"/>
  <c r="S2140" i="4"/>
  <c r="S2108" i="4"/>
  <c r="S2076" i="4"/>
  <c r="S2044" i="4"/>
  <c r="L2017" i="4"/>
  <c r="I2007" i="4"/>
  <c r="J1996" i="4"/>
  <c r="L1985" i="4"/>
  <c r="I1975" i="4"/>
  <c r="L2741" i="4"/>
  <c r="L2677" i="4"/>
  <c r="L2613" i="4"/>
  <c r="L2549" i="4"/>
  <c r="I2485" i="4"/>
  <c r="I2421" i="4"/>
  <c r="I2357" i="4"/>
  <c r="R2297" i="4"/>
  <c r="S2241" i="4"/>
  <c r="S2209" i="4"/>
  <c r="S2177" i="4"/>
  <c r="S2145" i="4"/>
  <c r="S2113" i="4"/>
  <c r="S2081" i="4"/>
  <c r="S2049" i="4"/>
  <c r="P2019" i="4"/>
  <c r="R2008" i="4"/>
  <c r="S1997" i="4"/>
  <c r="P1987" i="4"/>
  <c r="O2857" i="4"/>
  <c r="O2793" i="4"/>
  <c r="O2729" i="4"/>
  <c r="O2665" i="4"/>
  <c r="O2601" i="4"/>
  <c r="O3866" i="4"/>
  <c r="L3234" i="4"/>
  <c r="L3106" i="4"/>
  <c r="L2978" i="4"/>
  <c r="L2850" i="4"/>
  <c r="R2740" i="4"/>
  <c r="S2697" i="4"/>
  <c r="P2655" i="4"/>
  <c r="R2612" i="4"/>
  <c r="S2569" i="4"/>
  <c r="O2521" i="4"/>
  <c r="O2457" i="4"/>
  <c r="O2393" i="4"/>
  <c r="O2329" i="4"/>
  <c r="O2265" i="4"/>
  <c r="O3347" i="4"/>
  <c r="L3139" i="4"/>
  <c r="L3011" i="4"/>
  <c r="L2883" i="4"/>
  <c r="L2755" i="4"/>
  <c r="P2708" i="4"/>
  <c r="R2665" i="4"/>
  <c r="S2622" i="4"/>
  <c r="P2580" i="4"/>
  <c r="R3268" i="4"/>
  <c r="P3580" i="4"/>
  <c r="P3452" i="4"/>
  <c r="P3324" i="4"/>
  <c r="R3213" i="4"/>
  <c r="R3085" i="4"/>
  <c r="J2972" i="4"/>
  <c r="J2908" i="4"/>
  <c r="J2844" i="4"/>
  <c r="J2780" i="4"/>
  <c r="O3650" i="4"/>
  <c r="O3522" i="4"/>
  <c r="O3394" i="4"/>
  <c r="O3266" i="4"/>
  <c r="P3214" i="4"/>
  <c r="P3182" i="4"/>
  <c r="P3150" i="4"/>
  <c r="P3118" i="4"/>
  <c r="P3086" i="4"/>
  <c r="P3054" i="4"/>
  <c r="P3022" i="4"/>
  <c r="P2990" i="4"/>
  <c r="P2958" i="4"/>
  <c r="P2926" i="4"/>
  <c r="P2894" i="4"/>
  <c r="P2862" i="4"/>
  <c r="P2830" i="4"/>
  <c r="P2798" i="4"/>
  <c r="P2766" i="4"/>
  <c r="O3236" i="4"/>
  <c r="O3172" i="4"/>
  <c r="O3108" i="4"/>
  <c r="O3044" i="4"/>
  <c r="O2980" i="4"/>
  <c r="O2916" i="4"/>
  <c r="O2852" i="4"/>
  <c r="O2788" i="4"/>
  <c r="O2724" i="4"/>
  <c r="O2648" i="4"/>
  <c r="S3071" i="4"/>
  <c r="L2686" i="4"/>
  <c r="O2504" i="4"/>
  <c r="O3858" i="4"/>
  <c r="S2848" i="4"/>
  <c r="L2611" i="4"/>
  <c r="L2525" i="4"/>
  <c r="L2493" i="4"/>
  <c r="L2461" i="4"/>
  <c r="L2429" i="4"/>
  <c r="L2397" i="4"/>
  <c r="L2365" i="4"/>
  <c r="O3850" i="4"/>
  <c r="S3233" i="4"/>
  <c r="S3105" i="4"/>
  <c r="S2977" i="4"/>
  <c r="S2849" i="4"/>
  <c r="S2739" i="4"/>
  <c r="P2697" i="4"/>
  <c r="R2654" i="4"/>
  <c r="S2611" i="4"/>
  <c r="P2569" i="4"/>
  <c r="R2529" i="4"/>
  <c r="R2497" i="4"/>
  <c r="R2465" i="4"/>
  <c r="R2433" i="4"/>
  <c r="R2401" i="4"/>
  <c r="R2369" i="4"/>
  <c r="O3623" i="4"/>
  <c r="I2538" i="4"/>
  <c r="I2410" i="4"/>
  <c r="R2318" i="4"/>
  <c r="S2275" i="4"/>
  <c r="R2237" i="4"/>
  <c r="R2205" i="4"/>
  <c r="R2173" i="4"/>
  <c r="R2141" i="4"/>
  <c r="R2109" i="4"/>
  <c r="R2077" i="4"/>
  <c r="R2045" i="4"/>
  <c r="O3359" i="4"/>
  <c r="S2998" i="4"/>
  <c r="P2747" i="4"/>
  <c r="I2619" i="4"/>
  <c r="I2491" i="4"/>
  <c r="I2363" i="4"/>
  <c r="I2303" i="4"/>
  <c r="L2265" i="4"/>
  <c r="I2246" i="4"/>
  <c r="I2230" i="4"/>
  <c r="I2214" i="4"/>
  <c r="I2198" i="4"/>
  <c r="I2182" i="4"/>
  <c r="I2166" i="4"/>
  <c r="I2150" i="4"/>
  <c r="I2134" i="4"/>
  <c r="I2118" i="4"/>
  <c r="I2102" i="4"/>
  <c r="I2086" i="4"/>
  <c r="I2070" i="4"/>
  <c r="I2054" i="4"/>
  <c r="I2038" i="4"/>
  <c r="I2022" i="4"/>
  <c r="J2700" i="4"/>
  <c r="J2572" i="4"/>
  <c r="I2492" i="4"/>
  <c r="I2428" i="4"/>
  <c r="I2364" i="4"/>
  <c r="J2325" i="4"/>
  <c r="I2304" i="4"/>
  <c r="L2282" i="4"/>
  <c r="J2261" i="4"/>
  <c r="O2234" i="4"/>
  <c r="O2202" i="4"/>
  <c r="O2170" i="4"/>
  <c r="O2138" i="4"/>
  <c r="O2106" i="4"/>
  <c r="O2074" i="4"/>
  <c r="O2042" i="4"/>
  <c r="O2660" i="4"/>
  <c r="O3706" i="4"/>
  <c r="S3095" i="4"/>
  <c r="S2839" i="4"/>
  <c r="L2694" i="4"/>
  <c r="J2609" i="4"/>
  <c r="O2516" i="4"/>
  <c r="O2388" i="4"/>
  <c r="O2260" i="4"/>
  <c r="S3160" i="4"/>
  <c r="S3000" i="4"/>
  <c r="S2808" i="4"/>
  <c r="L2715" i="4"/>
  <c r="J2662" i="4"/>
  <c r="J2598" i="4"/>
  <c r="S2546" i="4"/>
  <c r="S2534" i="4"/>
  <c r="S2522" i="4"/>
  <c r="S2512" i="4"/>
  <c r="S2502" i="4"/>
  <c r="S2490" i="4"/>
  <c r="S2480" i="4"/>
  <c r="S2470" i="4"/>
  <c r="S2458" i="4"/>
  <c r="S2448" i="4"/>
  <c r="S2438" i="4"/>
  <c r="S2426" i="4"/>
  <c r="S2416" i="4"/>
  <c r="S2406" i="4"/>
  <c r="S2394" i="4"/>
  <c r="S2384" i="4"/>
  <c r="S2374" i="4"/>
  <c r="S2362" i="4"/>
  <c r="S2352" i="4"/>
  <c r="S2342" i="4"/>
  <c r="O3690" i="4"/>
  <c r="O3525" i="4"/>
  <c r="O3365" i="4"/>
  <c r="L3224" i="4"/>
  <c r="L3184" i="4"/>
  <c r="L3144" i="4"/>
  <c r="L3096" i="4"/>
  <c r="L3056" i="4"/>
  <c r="L3016" i="4"/>
  <c r="L2968" i="4"/>
  <c r="L2928" i="4"/>
  <c r="L2888" i="4"/>
  <c r="L2840" i="4"/>
  <c r="L2800" i="4"/>
  <c r="L2760" i="4"/>
  <c r="L2736" i="4"/>
  <c r="J2723" i="4"/>
  <c r="I2710" i="4"/>
  <c r="I2694" i="4"/>
  <c r="L2680" i="4"/>
  <c r="J2667" i="4"/>
  <c r="J2651" i="4"/>
  <c r="I2638" i="4"/>
  <c r="L2624" i="4"/>
  <c r="L2608" i="4"/>
  <c r="J2595" i="4"/>
  <c r="I2582" i="4"/>
  <c r="I2566" i="4"/>
  <c r="L2552" i="4"/>
  <c r="J2539" i="4"/>
  <c r="J2527" i="4"/>
  <c r="J2517" i="4"/>
  <c r="J2507" i="4"/>
  <c r="J2495" i="4"/>
  <c r="J2485" i="4"/>
  <c r="J2475" i="4"/>
  <c r="J2463" i="4"/>
  <c r="J2453" i="4"/>
  <c r="J2443" i="4"/>
  <c r="J2431" i="4"/>
  <c r="J2421" i="4"/>
  <c r="J2411" i="4"/>
  <c r="J2399" i="4"/>
  <c r="J2389" i="4"/>
  <c r="J2379" i="4"/>
  <c r="J2367" i="4"/>
  <c r="J2357" i="4"/>
  <c r="J2347" i="4"/>
  <c r="O3463" i="4"/>
  <c r="R2691" i="4"/>
  <c r="R2611" i="4"/>
  <c r="P2527" i="4"/>
  <c r="P2487" i="4"/>
  <c r="P2447" i="4"/>
  <c r="P2399" i="4"/>
  <c r="P2359" i="4"/>
  <c r="J2331" i="4"/>
  <c r="J2315" i="4"/>
  <c r="I2302" i="4"/>
  <c r="L2288" i="4"/>
  <c r="L2272" i="4"/>
  <c r="J2259" i="4"/>
  <c r="J2247" i="4"/>
  <c r="J2235" i="4"/>
  <c r="J2225" i="4"/>
  <c r="J2215" i="4"/>
  <c r="J2203" i="4"/>
  <c r="J2193" i="4"/>
  <c r="J2183" i="4"/>
  <c r="J2171" i="4"/>
  <c r="J2161" i="4"/>
  <c r="J2151" i="4"/>
  <c r="J2139" i="4"/>
  <c r="J2129" i="4"/>
  <c r="J2119" i="4"/>
  <c r="J2107" i="4"/>
  <c r="J2097" i="4"/>
  <c r="J2087" i="4"/>
  <c r="J2075" i="4"/>
  <c r="J2065" i="4"/>
  <c r="J2055" i="4"/>
  <c r="J2043" i="4"/>
  <c r="J2033" i="4"/>
  <c r="J2023" i="4"/>
  <c r="L3233" i="4"/>
  <c r="L3153" i="4"/>
  <c r="L3073" i="4"/>
  <c r="L2977" i="4"/>
  <c r="L2897" i="4"/>
  <c r="L2817" i="4"/>
  <c r="L2737" i="4"/>
  <c r="L2697" i="4"/>
  <c r="L2657" i="4"/>
  <c r="L2609" i="4"/>
  <c r="L2569" i="4"/>
  <c r="P2528" i="4"/>
  <c r="P2480" i="4"/>
  <c r="P2440" i="4"/>
  <c r="P2400" i="4"/>
  <c r="P2352" i="4"/>
  <c r="S2328" i="4"/>
  <c r="R2315" i="4"/>
  <c r="R2299" i="4"/>
  <c r="P2286" i="4"/>
  <c r="S2272" i="4"/>
  <c r="S2256" i="4"/>
  <c r="P2245" i="4"/>
  <c r="P2235" i="4"/>
  <c r="P2223" i="4"/>
  <c r="P2213" i="4"/>
  <c r="P2203" i="4"/>
  <c r="P2191" i="4"/>
  <c r="P2181" i="4"/>
  <c r="P2171" i="4"/>
  <c r="P2159" i="4"/>
  <c r="P2149" i="4"/>
  <c r="P2139" i="4"/>
  <c r="P2127" i="4"/>
  <c r="P2117" i="4"/>
  <c r="P2107" i="4"/>
  <c r="P2095" i="4"/>
  <c r="P2085" i="4"/>
  <c r="P2075" i="4"/>
  <c r="P2063" i="4"/>
  <c r="P2053" i="4"/>
  <c r="P2043" i="4"/>
  <c r="P2035" i="4"/>
  <c r="P2027" i="4"/>
  <c r="O3778" i="4"/>
  <c r="R2743" i="4"/>
  <c r="R2679" i="4"/>
  <c r="R2615" i="4"/>
  <c r="R2551" i="4"/>
  <c r="P2513" i="4"/>
  <c r="P2481" i="4"/>
  <c r="P2449" i="4"/>
  <c r="P2417" i="4"/>
  <c r="P2385" i="4"/>
  <c r="P2353" i="4"/>
  <c r="R2332" i="4"/>
  <c r="S2321" i="4"/>
  <c r="P2311" i="4"/>
  <c r="R2300" i="4"/>
  <c r="S2289" i="4"/>
  <c r="P2279" i="4"/>
  <c r="R2268" i="4"/>
  <c r="S2257" i="4"/>
  <c r="O2245" i="4"/>
  <c r="O2229" i="4"/>
  <c r="O2213" i="4"/>
  <c r="O2197" i="4"/>
  <c r="O2181" i="4"/>
  <c r="O2165" i="4"/>
  <c r="O2149" i="4"/>
  <c r="O2133" i="4"/>
  <c r="O2117" i="4"/>
  <c r="O2101" i="4"/>
  <c r="O2085" i="4"/>
  <c r="O2069" i="4"/>
  <c r="O2053" i="4"/>
  <c r="O2037" i="4"/>
  <c r="O2021" i="4"/>
  <c r="O2656" i="4"/>
  <c r="O2592" i="4"/>
  <c r="O3649" i="4"/>
  <c r="S3215" i="4"/>
  <c r="S3087" i="4"/>
  <c r="S2959" i="4"/>
  <c r="S2831" i="4"/>
  <c r="L2734" i="4"/>
  <c r="I2692" i="4"/>
  <c r="J2649" i="4"/>
  <c r="L2606" i="4"/>
  <c r="I2564" i="4"/>
  <c r="O2512" i="4"/>
  <c r="O2448" i="4"/>
  <c r="O2384" i="4"/>
  <c r="O2320" i="4"/>
  <c r="O2256" i="4"/>
  <c r="O3275" i="4"/>
  <c r="S3120" i="4"/>
  <c r="S2992" i="4"/>
  <c r="S2864" i="4"/>
  <c r="I2745" i="4"/>
  <c r="J2702" i="4"/>
  <c r="L2659" i="4"/>
  <c r="I2617" i="4"/>
  <c r="J2574" i="4"/>
  <c r="L2543" i="4"/>
  <c r="L2534" i="4"/>
  <c r="L2526" i="4"/>
  <c r="L2518" i="4"/>
  <c r="L2510" i="4"/>
  <c r="L2502" i="4"/>
  <c r="L2494" i="4"/>
  <c r="L2486" i="4"/>
  <c r="L2478" i="4"/>
  <c r="L2470" i="4"/>
  <c r="L2462" i="4"/>
  <c r="L2454" i="4"/>
  <c r="L2446" i="4"/>
  <c r="L2438" i="4"/>
  <c r="L2430" i="4"/>
  <c r="L2422" i="4"/>
  <c r="L2414" i="4"/>
  <c r="L2406" i="4"/>
  <c r="L2398" i="4"/>
  <c r="L2390" i="4"/>
  <c r="L2382" i="4"/>
  <c r="L2374" i="4"/>
  <c r="L2366" i="4"/>
  <c r="L2358" i="4"/>
  <c r="L2350" i="4"/>
  <c r="L2342" i="4"/>
  <c r="O3963" i="4"/>
  <c r="O3613" i="4"/>
  <c r="O3485" i="4"/>
  <c r="O3357" i="4"/>
  <c r="S3237" i="4"/>
  <c r="S3205" i="4"/>
  <c r="S3173" i="4"/>
  <c r="S3141" i="4"/>
  <c r="S3109" i="4"/>
  <c r="S3077" i="4"/>
  <c r="S3045" i="4"/>
  <c r="S3013" i="4"/>
  <c r="S2981" i="4"/>
  <c r="S2949" i="4"/>
  <c r="S2917" i="4"/>
  <c r="S2885" i="4"/>
  <c r="S2853" i="4"/>
  <c r="S2821" i="4"/>
  <c r="S2789" i="4"/>
  <c r="S2757" i="4"/>
  <c r="P2741" i="4"/>
  <c r="R2730" i="4"/>
  <c r="S2719" i="4"/>
  <c r="P2709" i="4"/>
  <c r="R2698" i="4"/>
  <c r="S2687" i="4"/>
  <c r="P2677" i="4"/>
  <c r="R2666" i="4"/>
  <c r="S2655" i="4"/>
  <c r="P2645" i="4"/>
  <c r="R2634" i="4"/>
  <c r="S2623" i="4"/>
  <c r="P2613" i="4"/>
  <c r="R2602" i="4"/>
  <c r="S2591" i="4"/>
  <c r="P2581" i="4"/>
  <c r="R2570" i="4"/>
  <c r="S2559" i="4"/>
  <c r="P2549" i="4"/>
  <c r="R2538" i="4"/>
  <c r="R2530" i="4"/>
  <c r="R2522" i="4"/>
  <c r="R2514" i="4"/>
  <c r="R2506" i="4"/>
  <c r="R2498" i="4"/>
  <c r="R2490" i="4"/>
  <c r="R2482" i="4"/>
  <c r="R2474" i="4"/>
  <c r="R2466" i="4"/>
  <c r="R2458" i="4"/>
  <c r="R2450" i="4"/>
  <c r="R2442" i="4"/>
  <c r="R2434" i="4"/>
  <c r="R2426" i="4"/>
  <c r="R2418" i="4"/>
  <c r="R2410" i="4"/>
  <c r="R2402" i="4"/>
  <c r="R2394" i="4"/>
  <c r="R2386" i="4"/>
  <c r="R2378" i="4"/>
  <c r="R2370" i="4"/>
  <c r="R2362" i="4"/>
  <c r="R2354" i="4"/>
  <c r="R2346" i="4"/>
  <c r="O3714" i="4"/>
  <c r="J2736" i="4"/>
  <c r="J2672" i="4"/>
  <c r="J2608" i="4"/>
  <c r="J2544" i="4"/>
  <c r="I2510" i="4"/>
  <c r="I2478" i="4"/>
  <c r="I2446" i="4"/>
  <c r="I2414" i="4"/>
  <c r="I2382" i="4"/>
  <c r="I2350" i="4"/>
  <c r="R2330" i="4"/>
  <c r="S2319" i="4"/>
  <c r="P2309" i="4"/>
  <c r="R2298" i="4"/>
  <c r="S2287" i="4"/>
  <c r="P2277" i="4"/>
  <c r="R2266" i="4"/>
  <c r="S2255" i="4"/>
  <c r="R2246" i="4"/>
  <c r="R2238" i="4"/>
  <c r="R2230" i="4"/>
  <c r="R2222" i="4"/>
  <c r="R2214" i="4"/>
  <c r="R2206" i="4"/>
  <c r="R2198" i="4"/>
  <c r="R2190" i="4"/>
  <c r="R2182" i="4"/>
  <c r="R2174" i="4"/>
  <c r="R2166" i="4"/>
  <c r="R2158" i="4"/>
  <c r="R2150" i="4"/>
  <c r="R2142" i="4"/>
  <c r="R2134" i="4"/>
  <c r="R2126" i="4"/>
  <c r="R2118" i="4"/>
  <c r="R2110" i="4"/>
  <c r="R2102" i="4"/>
  <c r="R2094" i="4"/>
  <c r="R2086" i="4"/>
  <c r="R2078" i="4"/>
  <c r="R2070" i="4"/>
  <c r="R2062" i="4"/>
  <c r="R2054" i="4"/>
  <c r="R2046" i="4"/>
  <c r="R2038" i="4"/>
  <c r="R2030" i="4"/>
  <c r="R2022" i="4"/>
  <c r="O3423" i="4"/>
  <c r="S3198" i="4"/>
  <c r="S3134" i="4"/>
  <c r="S3070" i="4"/>
  <c r="S3006" i="4"/>
  <c r="S2942" i="4"/>
  <c r="S2878" i="4"/>
  <c r="S2814" i="4"/>
  <c r="P2751" i="4"/>
  <c r="P2718" i="4"/>
  <c r="P2686" i="4"/>
  <c r="P2654" i="4"/>
  <c r="P2622" i="4"/>
  <c r="P2590" i="4"/>
  <c r="P2558" i="4"/>
  <c r="I2527" i="4"/>
  <c r="I2495" i="4"/>
  <c r="I2463" i="4"/>
  <c r="I2431" i="4"/>
  <c r="I2399" i="4"/>
  <c r="I2367" i="4"/>
  <c r="R2337" i="4"/>
  <c r="L2325" i="4"/>
  <c r="I2315" i="4"/>
  <c r="J2304" i="4"/>
  <c r="L2293" i="4"/>
  <c r="I2283" i="4"/>
  <c r="J2272" i="4"/>
  <c r="L2261" i="4"/>
  <c r="I2251" i="4"/>
  <c r="I2243" i="4"/>
  <c r="I2235" i="4"/>
  <c r="I2227" i="4"/>
  <c r="I2219" i="4"/>
  <c r="I2211" i="4"/>
  <c r="I2203" i="4"/>
  <c r="I2195" i="4"/>
  <c r="I2187" i="4"/>
  <c r="I2179" i="4"/>
  <c r="I2171" i="4"/>
  <c r="I2163" i="4"/>
  <c r="I2155" i="4"/>
  <c r="I2147" i="4"/>
  <c r="I2139" i="4"/>
  <c r="I2131" i="4"/>
  <c r="I2123" i="4"/>
  <c r="I2115" i="4"/>
  <c r="I2107" i="4"/>
  <c r="I2099" i="4"/>
  <c r="I2091" i="4"/>
  <c r="I2083" i="4"/>
  <c r="I2075" i="4"/>
  <c r="I2067" i="4"/>
  <c r="I2059" i="4"/>
  <c r="I2051" i="4"/>
  <c r="I2043" i="4"/>
  <c r="I2035" i="4"/>
  <c r="I2027" i="4"/>
  <c r="S3674" i="4"/>
  <c r="J2740" i="4"/>
  <c r="J2676" i="4"/>
  <c r="J2612" i="4"/>
  <c r="J2548" i="4"/>
  <c r="I2512" i="4"/>
  <c r="I2480" i="4"/>
  <c r="I2448" i="4"/>
  <c r="I2416" i="4"/>
  <c r="I2384" i="4"/>
  <c r="I2352" i="4"/>
  <c r="I2332" i="4"/>
  <c r="J2321" i="4"/>
  <c r="L2310" i="4"/>
  <c r="I2300" i="4"/>
  <c r="J2289" i="4"/>
  <c r="L2278" i="4"/>
  <c r="I2268" i="4"/>
  <c r="J2257" i="4"/>
  <c r="O2244" i="4"/>
  <c r="O2228" i="4"/>
  <c r="O2212" i="4"/>
  <c r="O2196" i="4"/>
  <c r="O2180" i="4"/>
  <c r="O2164" i="4"/>
  <c r="O2148" i="4"/>
  <c r="O2636" i="4"/>
  <c r="O2572" i="4"/>
  <c r="O3489" i="4"/>
  <c r="S3175" i="4"/>
  <c r="S3047" i="4"/>
  <c r="S2919" i="4"/>
  <c r="S2791" i="4"/>
  <c r="J2721" i="4"/>
  <c r="L2678" i="4"/>
  <c r="I2636" i="4"/>
  <c r="J2593" i="4"/>
  <c r="L2550" i="4"/>
  <c r="O2492" i="4"/>
  <c r="O2428" i="4"/>
  <c r="O2364" i="4"/>
  <c r="O2300" i="4"/>
  <c r="O3627" i="4"/>
  <c r="S3208" i="4"/>
  <c r="S3080" i="4"/>
  <c r="S2952" i="4"/>
  <c r="S2824" i="4"/>
  <c r="L2731" i="4"/>
  <c r="I2689" i="4"/>
  <c r="J2646" i="4"/>
  <c r="L2603" i="4"/>
  <c r="I2561" i="4"/>
  <c r="P2540" i="4"/>
  <c r="S2531" i="4"/>
  <c r="S2523" i="4"/>
  <c r="S2515" i="4"/>
  <c r="S2507" i="4"/>
  <c r="S2499" i="4"/>
  <c r="S2491" i="4"/>
  <c r="S2483" i="4"/>
  <c r="S2475" i="4"/>
  <c r="S2467" i="4"/>
  <c r="S2459" i="4"/>
  <c r="S2451" i="4"/>
  <c r="S2443" i="4"/>
  <c r="S2435" i="4"/>
  <c r="S2427" i="4"/>
  <c r="S2419" i="4"/>
  <c r="S2411" i="4"/>
  <c r="S2403" i="4"/>
  <c r="S2395" i="4"/>
  <c r="S2387" i="4"/>
  <c r="S2379" i="4"/>
  <c r="S2371" i="4"/>
  <c r="S2363" i="4"/>
  <c r="S2355" i="4"/>
  <c r="S2347" i="4"/>
  <c r="S2339" i="4"/>
  <c r="O3754" i="4"/>
  <c r="O3573" i="4"/>
  <c r="O3445" i="4"/>
  <c r="O3317" i="4"/>
  <c r="L3228" i="4"/>
  <c r="L3196" i="4"/>
  <c r="L3164" i="4"/>
  <c r="L3132" i="4"/>
  <c r="L3100" i="4"/>
  <c r="L3068" i="4"/>
  <c r="L3036" i="4"/>
  <c r="L3004" i="4"/>
  <c r="L2972" i="4"/>
  <c r="L2940" i="4"/>
  <c r="L2908" i="4"/>
  <c r="L2876" i="4"/>
  <c r="L2844" i="4"/>
  <c r="L2812" i="4"/>
  <c r="L2780" i="4"/>
  <c r="I2750" i="4"/>
  <c r="I2738" i="4"/>
  <c r="J2727" i="4"/>
  <c r="L2716" i="4"/>
  <c r="I2706" i="4"/>
  <c r="J2695" i="4"/>
  <c r="L2684" i="4"/>
  <c r="I2674" i="4"/>
  <c r="J2663" i="4"/>
  <c r="L2652" i="4"/>
  <c r="I2642" i="4"/>
  <c r="J2631" i="4"/>
  <c r="L2620" i="4"/>
  <c r="I2610" i="4"/>
  <c r="J2599" i="4"/>
  <c r="L2588" i="4"/>
  <c r="I2578" i="4"/>
  <c r="J2567" i="4"/>
  <c r="L2556" i="4"/>
  <c r="I2546" i="4"/>
  <c r="J2536" i="4"/>
  <c r="J2528" i="4"/>
  <c r="J2520" i="4"/>
  <c r="J2512" i="4"/>
  <c r="J2504" i="4"/>
  <c r="J2496" i="4"/>
  <c r="J2488" i="4"/>
  <c r="J2480" i="4"/>
  <c r="J2472" i="4"/>
  <c r="J2464" i="4"/>
  <c r="J2456" i="4"/>
  <c r="J2448" i="4"/>
  <c r="J2440" i="4"/>
  <c r="J2432" i="4"/>
  <c r="J2424" i="4"/>
  <c r="J2416" i="4"/>
  <c r="J2408" i="4"/>
  <c r="J2400" i="4"/>
  <c r="J2392" i="4"/>
  <c r="J2384" i="4"/>
  <c r="J2376" i="4"/>
  <c r="J2368" i="4"/>
  <c r="J2360" i="4"/>
  <c r="J2352" i="4"/>
  <c r="J2344" i="4"/>
  <c r="O3527" i="4"/>
  <c r="R2715" i="4"/>
  <c r="R2651" i="4"/>
  <c r="R2587" i="4"/>
  <c r="P2531" i="4"/>
  <c r="P2499" i="4"/>
  <c r="P2467" i="4"/>
  <c r="P2435" i="4"/>
  <c r="P2403" i="4"/>
  <c r="P2371" i="4"/>
  <c r="P2339" i="4"/>
  <c r="J2327" i="4"/>
  <c r="L2316" i="4"/>
  <c r="I2306" i="4"/>
  <c r="J2295" i="4"/>
  <c r="L2284" i="4"/>
  <c r="I2274" i="4"/>
  <c r="J2263" i="4"/>
  <c r="L2252" i="4"/>
  <c r="J2244" i="4"/>
  <c r="J2236" i="4"/>
  <c r="J2228" i="4"/>
  <c r="J2220" i="4"/>
  <c r="J2212" i="4"/>
  <c r="J2204" i="4"/>
  <c r="J2196" i="4"/>
  <c r="J2188" i="4"/>
  <c r="J2180" i="4"/>
  <c r="J2172" i="4"/>
  <c r="J2164" i="4"/>
  <c r="J2156" i="4"/>
  <c r="J2148" i="4"/>
  <c r="J2140" i="4"/>
  <c r="J2132" i="4"/>
  <c r="J2124" i="4"/>
  <c r="J2116" i="4"/>
  <c r="J2108" i="4"/>
  <c r="J2100" i="4"/>
  <c r="J2092" i="4"/>
  <c r="J2084" i="4"/>
  <c r="J2076" i="4"/>
  <c r="J2068" i="4"/>
  <c r="J2060" i="4"/>
  <c r="J2052" i="4"/>
  <c r="J2044" i="4"/>
  <c r="J2036" i="4"/>
  <c r="J2028" i="4"/>
  <c r="J2020" i="4"/>
  <c r="O3263" i="4"/>
  <c r="L3177" i="4"/>
  <c r="L3113" i="4"/>
  <c r="L3049" i="4"/>
  <c r="L2985" i="4"/>
  <c r="L2921" i="4"/>
  <c r="L2857" i="4"/>
  <c r="L2793" i="4"/>
  <c r="S2740" i="4"/>
  <c r="S2708" i="4"/>
  <c r="S2676" i="4"/>
  <c r="S2644" i="4"/>
  <c r="S2612" i="4"/>
  <c r="S2580" i="4"/>
  <c r="S2548" i="4"/>
  <c r="P2516" i="4"/>
  <c r="P2484" i="4"/>
  <c r="P2452" i="4"/>
  <c r="P2420" i="4"/>
  <c r="P2388" i="4"/>
  <c r="P2356" i="4"/>
  <c r="S2332" i="4"/>
  <c r="P2322" i="4"/>
  <c r="R2311" i="4"/>
  <c r="S2300" i="4"/>
  <c r="P2290" i="4"/>
  <c r="R2279" i="4"/>
  <c r="S2268" i="4"/>
  <c r="P2258" i="4"/>
  <c r="P2248" i="4"/>
  <c r="P2240" i="4"/>
  <c r="P2232" i="4"/>
  <c r="P2224" i="4"/>
  <c r="P2216" i="4"/>
  <c r="P2208" i="4"/>
  <c r="P2200" i="4"/>
  <c r="P2192" i="4"/>
  <c r="P2184" i="4"/>
  <c r="P2176" i="4"/>
  <c r="P2168" i="4"/>
  <c r="P2160" i="4"/>
  <c r="P2152" i="4"/>
  <c r="P2144" i="4"/>
  <c r="P2136" i="4"/>
  <c r="P2128" i="4"/>
  <c r="P2120" i="4"/>
  <c r="P2112" i="4"/>
  <c r="P2104" i="4"/>
  <c r="P2096" i="4"/>
  <c r="P2088" i="4"/>
  <c r="P2080" i="4"/>
  <c r="P2072" i="4"/>
  <c r="P2064" i="4"/>
  <c r="P2056" i="4"/>
  <c r="P2048" i="4"/>
  <c r="P2040" i="4"/>
  <c r="P2032" i="4"/>
  <c r="P2024" i="4"/>
  <c r="O3543" i="4"/>
  <c r="R2719" i="4"/>
  <c r="R2655" i="4"/>
  <c r="R2591" i="4"/>
  <c r="P2533" i="4"/>
  <c r="P2501" i="4"/>
  <c r="P2469" i="4"/>
  <c r="P2437" i="4"/>
  <c r="P2405" i="4"/>
  <c r="P2373" i="4"/>
  <c r="P2341" i="4"/>
  <c r="R2296" i="4"/>
  <c r="S2253" i="4"/>
  <c r="O2191" i="4"/>
  <c r="O2132" i="4"/>
  <c r="O2100" i="4"/>
  <c r="O2068" i="4"/>
  <c r="O2036" i="4"/>
  <c r="O2007" i="4"/>
  <c r="O1991" i="4"/>
  <c r="O1975" i="4"/>
  <c r="O1959" i="4"/>
  <c r="I1950" i="4"/>
  <c r="I1942" i="4"/>
  <c r="I1934" i="4"/>
  <c r="I1926" i="4"/>
  <c r="I1918" i="4"/>
  <c r="I1910" i="4"/>
  <c r="I1902" i="4"/>
  <c r="I1894" i="4"/>
  <c r="O3471" i="4"/>
  <c r="L3205" i="4"/>
  <c r="L3141" i="4"/>
  <c r="L3077" i="4"/>
  <c r="L3013" i="4"/>
  <c r="L2949" i="4"/>
  <c r="L2885" i="4"/>
  <c r="L2821" i="4"/>
  <c r="P2526" i="4"/>
  <c r="P2462" i="4"/>
  <c r="P2398" i="4"/>
  <c r="R2335" i="4"/>
  <c r="J2274" i="4"/>
  <c r="L2230" i="4"/>
  <c r="L2198" i="4"/>
  <c r="L2166" i="4"/>
  <c r="L2134" i="4"/>
  <c r="L2102" i="4"/>
  <c r="L2070" i="4"/>
  <c r="L2038" i="4"/>
  <c r="J2015" i="4"/>
  <c r="L2004" i="4"/>
  <c r="I1994" i="4"/>
  <c r="J1983" i="4"/>
  <c r="L1972" i="4"/>
  <c r="I1962" i="4"/>
  <c r="J1951" i="4"/>
  <c r="O1940" i="4"/>
  <c r="S1929" i="4"/>
  <c r="S2648" i="4"/>
  <c r="P2328" i="4"/>
  <c r="P2296" i="4"/>
  <c r="P2264" i="4"/>
  <c r="S2232" i="4"/>
  <c r="S2200" i="4"/>
  <c r="S2168" i="4"/>
  <c r="S2136" i="4"/>
  <c r="S2104" i="4"/>
  <c r="S2072" i="4"/>
  <c r="S2040" i="4"/>
  <c r="J2016" i="4"/>
  <c r="L2005" i="4"/>
  <c r="I1995" i="4"/>
  <c r="J1984" i="4"/>
  <c r="L1973" i="4"/>
  <c r="L2733" i="4"/>
  <c r="L2669" i="4"/>
  <c r="L2605" i="4"/>
  <c r="L2541" i="4"/>
  <c r="I2477" i="4"/>
  <c r="I2413" i="4"/>
  <c r="I2349" i="4"/>
  <c r="R2289" i="4"/>
  <c r="S2237" i="4"/>
  <c r="S2205" i="4"/>
  <c r="S2173" i="4"/>
  <c r="S2141" i="4"/>
  <c r="S2109" i="4"/>
  <c r="S2077" i="4"/>
  <c r="S2045" i="4"/>
  <c r="S2017" i="4"/>
  <c r="P2007" i="4"/>
  <c r="R1996" i="4"/>
  <c r="S1985" i="4"/>
  <c r="P1975" i="4"/>
  <c r="I2663" i="4"/>
  <c r="P2332" i="4"/>
  <c r="P2300" i="4"/>
  <c r="P2268" i="4"/>
  <c r="L2237" i="4"/>
  <c r="L2205" i="4"/>
  <c r="L2173" i="4"/>
  <c r="L2141" i="4"/>
  <c r="L2109" i="4"/>
  <c r="L2077" i="4"/>
  <c r="L2045" i="4"/>
  <c r="R2017" i="4"/>
  <c r="S2006" i="4"/>
  <c r="P1996" i="4"/>
  <c r="R1985" i="4"/>
  <c r="S1974" i="4"/>
  <c r="R1960" i="4"/>
  <c r="J1942" i="4"/>
  <c r="L1925" i="4"/>
  <c r="L1909" i="4"/>
  <c r="L1893" i="4"/>
  <c r="I1884" i="4"/>
  <c r="I1876" i="4"/>
  <c r="I1868" i="4"/>
  <c r="I1860" i="4"/>
  <c r="I1852" i="4"/>
  <c r="I1844" i="4"/>
  <c r="I1836" i="4"/>
  <c r="I1828" i="4"/>
  <c r="I1820" i="4"/>
  <c r="I1812" i="4"/>
  <c r="I1804" i="4"/>
  <c r="I1796" i="4"/>
  <c r="I1788" i="4"/>
  <c r="I1780" i="4"/>
  <c r="I1772" i="4"/>
  <c r="I1764" i="4"/>
  <c r="I1756" i="4"/>
  <c r="I1748" i="4"/>
  <c r="I1740" i="4"/>
  <c r="I1732" i="4"/>
  <c r="I1724" i="4"/>
  <c r="I1716" i="4"/>
  <c r="I1708" i="4"/>
  <c r="I1700" i="4"/>
  <c r="I1692" i="4"/>
  <c r="I1684" i="4"/>
  <c r="I1961" i="4"/>
  <c r="R1944" i="4"/>
  <c r="J1927" i="4"/>
  <c r="O1916" i="4"/>
  <c r="S1905" i="4"/>
  <c r="J1895" i="4"/>
  <c r="O1881" i="4"/>
  <c r="O1865" i="4"/>
  <c r="O1849" i="4"/>
  <c r="O1833" i="4"/>
  <c r="O1817" i="4"/>
  <c r="O1801" i="4"/>
  <c r="O1785" i="4"/>
  <c r="O1769" i="4"/>
  <c r="O1753" i="4"/>
  <c r="O1737" i="4"/>
  <c r="O1721" i="4"/>
  <c r="O1705" i="4"/>
  <c r="O1689" i="4"/>
  <c r="O1673" i="4"/>
  <c r="O1657" i="4"/>
  <c r="O1641" i="4"/>
  <c r="O1625" i="4"/>
  <c r="O1609" i="4"/>
  <c r="J1965" i="4"/>
  <c r="S1948" i="4"/>
  <c r="L1929" i="4"/>
  <c r="R1913" i="4"/>
  <c r="R1897" i="4"/>
  <c r="S1885" i="4"/>
  <c r="S1877" i="4"/>
  <c r="S1869" i="4"/>
  <c r="S1861" i="4"/>
  <c r="S1853" i="4"/>
  <c r="S1845" i="4"/>
  <c r="S1837" i="4"/>
  <c r="S1829" i="4"/>
  <c r="S1821" i="4"/>
  <c r="S1813" i="4"/>
  <c r="S1805" i="4"/>
  <c r="S1797" i="4"/>
  <c r="S1789" i="4"/>
  <c r="S1781" i="4"/>
  <c r="S1773" i="4"/>
  <c r="S1765" i="4"/>
  <c r="S1757" i="4"/>
  <c r="S1749" i="4"/>
  <c r="S1741" i="4"/>
  <c r="S1733" i="4"/>
  <c r="S1725" i="4"/>
  <c r="S1717" i="4"/>
  <c r="S1709" i="4"/>
  <c r="S1701" i="4"/>
  <c r="S1693" i="4"/>
  <c r="S1685" i="4"/>
  <c r="I1960" i="4"/>
  <c r="L1943" i="4"/>
  <c r="J1926" i="4"/>
  <c r="O1915" i="4"/>
  <c r="S1904" i="4"/>
  <c r="J1894" i="4"/>
  <c r="J1885" i="4"/>
  <c r="J1877" i="4"/>
  <c r="J1869" i="4"/>
  <c r="J1861" i="4"/>
  <c r="J1853" i="4"/>
  <c r="J1845" i="4"/>
  <c r="O2841" i="4"/>
  <c r="O2777" i="4"/>
  <c r="O2713" i="4"/>
  <c r="O2649" i="4"/>
  <c r="O2585" i="4"/>
  <c r="O3593" i="4"/>
  <c r="L3202" i="4"/>
  <c r="L3074" i="4"/>
  <c r="L2946" i="4"/>
  <c r="L2818" i="4"/>
  <c r="S2729" i="4"/>
  <c r="P2687" i="4"/>
  <c r="R2644" i="4"/>
  <c r="S2601" i="4"/>
  <c r="P2559" i="4"/>
  <c r="O2505" i="4"/>
  <c r="O2441" i="4"/>
  <c r="O2377" i="4"/>
  <c r="O2313" i="4"/>
  <c r="O3890" i="4"/>
  <c r="L3235" i="4"/>
  <c r="L3107" i="4"/>
  <c r="L2979" i="4"/>
  <c r="L2851" i="4"/>
  <c r="P2740" i="4"/>
  <c r="R2697" i="4"/>
  <c r="S2654" i="4"/>
  <c r="P2612" i="4"/>
  <c r="R2569" i="4"/>
  <c r="O3681" i="4"/>
  <c r="P3548" i="4"/>
  <c r="P3420" i="4"/>
  <c r="P3292" i="4"/>
  <c r="R3181" i="4"/>
  <c r="R3053" i="4"/>
  <c r="J2956" i="4"/>
  <c r="J2892" i="4"/>
  <c r="J2828" i="4"/>
  <c r="J2764" i="4"/>
  <c r="O3618" i="4"/>
  <c r="O3490" i="4"/>
  <c r="O3362" i="4"/>
  <c r="P3238" i="4"/>
  <c r="P3206" i="4"/>
  <c r="P3174" i="4"/>
  <c r="P3142" i="4"/>
  <c r="P3110" i="4"/>
  <c r="P3078" i="4"/>
  <c r="P3046" i="4"/>
  <c r="P3014" i="4"/>
  <c r="P2982" i="4"/>
  <c r="P2950" i="4"/>
  <c r="P2918" i="4"/>
  <c r="P2886" i="4"/>
  <c r="P2854" i="4"/>
  <c r="P2822" i="4"/>
  <c r="P2790" i="4"/>
  <c r="P2758" i="4"/>
  <c r="O3220" i="4"/>
  <c r="O3156" i="4"/>
  <c r="O3092" i="4"/>
  <c r="O3028" i="4"/>
  <c r="O2964" i="4"/>
  <c r="O2900" i="4"/>
  <c r="O2836" i="4"/>
  <c r="O2772" i="4"/>
  <c r="O2708" i="4"/>
  <c r="O2584" i="4"/>
  <c r="S2943" i="4"/>
  <c r="I2644" i="4"/>
  <c r="O2440" i="4"/>
  <c r="S3232" i="4"/>
  <c r="L2739" i="4"/>
  <c r="I2569" i="4"/>
  <c r="L2517" i="4"/>
  <c r="L2485" i="4"/>
  <c r="L2453" i="4"/>
  <c r="L2421" i="4"/>
  <c r="L2389" i="4"/>
  <c r="L2357" i="4"/>
  <c r="O3597" i="4"/>
  <c r="S3201" i="4"/>
  <c r="S3073" i="4"/>
  <c r="S2945" i="4"/>
  <c r="S2817" i="4"/>
  <c r="P2729" i="4"/>
  <c r="R2686" i="4"/>
  <c r="S2643" i="4"/>
  <c r="P2601" i="4"/>
  <c r="R2558" i="4"/>
  <c r="R2521" i="4"/>
  <c r="R2489" i="4"/>
  <c r="R2457" i="4"/>
  <c r="R2425" i="4"/>
  <c r="R2393" i="4"/>
  <c r="R2361" i="4"/>
  <c r="J2728" i="4"/>
  <c r="I2506" i="4"/>
  <c r="I2378" i="4"/>
  <c r="S2307" i="4"/>
  <c r="P2265" i="4"/>
  <c r="R2229" i="4"/>
  <c r="R2197" i="4"/>
  <c r="R2165" i="4"/>
  <c r="R2133" i="4"/>
  <c r="R2101" i="4"/>
  <c r="R2069" i="4"/>
  <c r="R2037" i="4"/>
  <c r="S3190" i="4"/>
  <c r="S2934" i="4"/>
  <c r="I2715" i="4"/>
  <c r="I2587" i="4"/>
  <c r="I2459" i="4"/>
  <c r="J2335" i="4"/>
  <c r="J2292" i="4"/>
  <c r="J2260" i="4"/>
  <c r="I2242" i="4"/>
  <c r="I2226" i="4"/>
  <c r="I2210" i="4"/>
  <c r="I2194" i="4"/>
  <c r="I2178" i="4"/>
  <c r="I2162" i="4"/>
  <c r="I2146" i="4"/>
  <c r="I2130" i="4"/>
  <c r="I2114" i="4"/>
  <c r="I2098" i="4"/>
  <c r="I2082" i="4"/>
  <c r="I2066" i="4"/>
  <c r="I2050" i="4"/>
  <c r="I2034" i="4"/>
  <c r="O3639" i="4"/>
  <c r="J2668" i="4"/>
  <c r="J2540" i="4"/>
  <c r="I2476" i="4"/>
  <c r="I2412" i="4"/>
  <c r="I2348" i="4"/>
  <c r="I2320" i="4"/>
  <c r="L2298" i="4"/>
  <c r="J2277" i="4"/>
  <c r="I2256" i="4"/>
  <c r="O2226" i="4"/>
  <c r="O2194" i="4"/>
  <c r="O2162" i="4"/>
  <c r="O2130" i="4"/>
  <c r="O2098" i="4"/>
  <c r="O2066" i="4"/>
  <c r="O2034" i="4"/>
  <c r="O2628" i="4"/>
  <c r="O3425" i="4"/>
  <c r="S3031" i="4"/>
  <c r="S2775" i="4"/>
  <c r="J2673" i="4"/>
  <c r="I2588" i="4"/>
  <c r="O2484" i="4"/>
  <c r="O2356" i="4"/>
  <c r="O3563" i="4"/>
  <c r="S3128" i="4"/>
  <c r="S2936" i="4"/>
  <c r="S2776" i="4"/>
  <c r="I2705" i="4"/>
  <c r="I2641" i="4"/>
  <c r="L2587" i="4"/>
  <c r="P2544" i="4"/>
  <c r="S2530" i="4"/>
  <c r="S2520" i="4"/>
  <c r="S2510" i="4"/>
  <c r="S2498" i="4"/>
  <c r="S2488" i="4"/>
  <c r="S2478" i="4"/>
  <c r="S2466" i="4"/>
  <c r="S2456" i="4"/>
  <c r="S2446" i="4"/>
  <c r="S2434" i="4"/>
  <c r="S2424" i="4"/>
  <c r="S2414" i="4"/>
  <c r="S2402" i="4"/>
  <c r="S2392" i="4"/>
  <c r="S2382" i="4"/>
  <c r="S2370" i="4"/>
  <c r="S2360" i="4"/>
  <c r="S2350" i="4"/>
  <c r="S2338" i="4"/>
  <c r="O3653" i="4"/>
  <c r="O3493" i="4"/>
  <c r="O3301" i="4"/>
  <c r="L3216" i="4"/>
  <c r="L3176" i="4"/>
  <c r="L3128" i="4"/>
  <c r="L3088" i="4"/>
  <c r="L3048" i="4"/>
  <c r="L3000" i="4"/>
  <c r="L2960" i="4"/>
  <c r="L2920" i="4"/>
  <c r="L2872" i="4"/>
  <c r="L2832" i="4"/>
  <c r="L2792" i="4"/>
  <c r="P2748" i="4"/>
  <c r="I2734" i="4"/>
  <c r="L2720" i="4"/>
  <c r="L2704" i="4"/>
  <c r="J2691" i="4"/>
  <c r="I2678" i="4"/>
  <c r="I2662" i="4"/>
  <c r="L2648" i="4"/>
  <c r="J2635" i="4"/>
  <c r="J2619" i="4"/>
  <c r="I2606" i="4"/>
  <c r="L2592" i="4"/>
  <c r="L2576" i="4"/>
  <c r="J2563" i="4"/>
  <c r="I2550" i="4"/>
  <c r="J2535" i="4"/>
  <c r="J2525" i="4"/>
  <c r="J2515" i="4"/>
  <c r="J2503" i="4"/>
  <c r="J2493" i="4"/>
  <c r="J2483" i="4"/>
  <c r="J2471" i="4"/>
  <c r="J2461" i="4"/>
  <c r="J2451" i="4"/>
  <c r="J2439" i="4"/>
  <c r="J2429" i="4"/>
  <c r="J2419" i="4"/>
  <c r="J2407" i="4"/>
  <c r="J2397" i="4"/>
  <c r="J2387" i="4"/>
  <c r="J2375" i="4"/>
  <c r="J2365" i="4"/>
  <c r="J2355" i="4"/>
  <c r="J2343" i="4"/>
  <c r="O3335" i="4"/>
  <c r="R2675" i="4"/>
  <c r="R2579" i="4"/>
  <c r="P2519" i="4"/>
  <c r="P2479" i="4"/>
  <c r="P2431" i="4"/>
  <c r="P2391" i="4"/>
  <c r="P2351" i="4"/>
  <c r="I2326" i="4"/>
  <c r="L2312" i="4"/>
  <c r="J2299" i="4"/>
  <c r="J2283" i="4"/>
  <c r="I2270" i="4"/>
  <c r="L2256" i="4"/>
  <c r="J2243" i="4"/>
  <c r="J2233" i="4"/>
  <c r="J2223" i="4"/>
  <c r="J2211" i="4"/>
  <c r="J2201" i="4"/>
  <c r="J2191" i="4"/>
  <c r="J2179" i="4"/>
  <c r="J2169" i="4"/>
  <c r="J2159" i="4"/>
  <c r="J2147" i="4"/>
  <c r="J2137" i="4"/>
  <c r="J2127" i="4"/>
  <c r="J2115" i="4"/>
  <c r="J2105" i="4"/>
  <c r="J2095" i="4"/>
  <c r="J2083" i="4"/>
  <c r="J2073" i="4"/>
  <c r="J2063" i="4"/>
  <c r="J2051" i="4"/>
  <c r="J2041" i="4"/>
  <c r="J2031" i="4"/>
  <c r="O3810" i="4"/>
  <c r="L3217" i="4"/>
  <c r="L3137" i="4"/>
  <c r="L3041" i="4"/>
  <c r="L2961" i="4"/>
  <c r="L2881" i="4"/>
  <c r="L2785" i="4"/>
  <c r="L2729" i="4"/>
  <c r="L2689" i="4"/>
  <c r="L2641" i="4"/>
  <c r="L2601" i="4"/>
  <c r="L2561" i="4"/>
  <c r="P2512" i="4"/>
  <c r="P2472" i="4"/>
  <c r="P2432" i="4"/>
  <c r="P2384" i="4"/>
  <c r="P2344" i="4"/>
  <c r="P2326" i="4"/>
  <c r="P2310" i="4"/>
  <c r="S2296" i="4"/>
  <c r="R2283" i="4"/>
  <c r="R2267" i="4"/>
  <c r="P2254" i="4"/>
  <c r="P2243" i="4"/>
  <c r="P2231" i="4"/>
  <c r="P2221" i="4"/>
  <c r="P2211" i="4"/>
  <c r="P2199" i="4"/>
  <c r="P2189" i="4"/>
  <c r="P2179" i="4"/>
  <c r="P2167" i="4"/>
  <c r="P2157" i="4"/>
  <c r="P2147" i="4"/>
  <c r="P2135" i="4"/>
  <c r="P2125" i="4"/>
  <c r="P2115" i="4"/>
  <c r="P2103" i="4"/>
  <c r="P2093" i="4"/>
  <c r="P2083" i="4"/>
  <c r="P2071" i="4"/>
  <c r="P2061" i="4"/>
  <c r="P2051" i="4"/>
  <c r="P2041" i="4"/>
  <c r="P2033" i="4"/>
  <c r="P2025" i="4"/>
  <c r="O3607" i="4"/>
  <c r="R2727" i="4"/>
  <c r="R2663" i="4"/>
  <c r="R2599" i="4"/>
  <c r="P2537" i="4"/>
  <c r="P2505" i="4"/>
  <c r="P2473" i="4"/>
  <c r="P2441" i="4"/>
  <c r="P2409" i="4"/>
  <c r="P2377" i="4"/>
  <c r="P2345" i="4"/>
  <c r="S2329" i="4"/>
  <c r="P2319" i="4"/>
  <c r="R2308" i="4"/>
  <c r="S2297" i="4"/>
  <c r="P2287" i="4"/>
  <c r="R2276" i="4"/>
  <c r="S2265" i="4"/>
  <c r="P2255" i="4"/>
  <c r="O2241" i="4"/>
  <c r="O2225" i="4"/>
  <c r="O2209" i="4"/>
  <c r="O2193" i="4"/>
  <c r="O2177" i="4"/>
  <c r="O2161" i="4"/>
  <c r="O2145" i="4"/>
  <c r="O2129" i="4"/>
  <c r="O2113" i="4"/>
  <c r="O2097" i="4"/>
  <c r="O2081" i="4"/>
  <c r="O2065" i="4"/>
  <c r="O2049" i="4"/>
  <c r="O2033" i="4"/>
  <c r="O2017" i="4"/>
  <c r="O2640" i="4"/>
  <c r="O2576" i="4"/>
  <c r="O3521" i="4"/>
  <c r="S3183" i="4"/>
  <c r="S3055" i="4"/>
  <c r="S2927" i="4"/>
  <c r="S2799" i="4"/>
  <c r="I2724" i="4"/>
  <c r="J2681" i="4"/>
  <c r="L2638" i="4"/>
  <c r="I2596" i="4"/>
  <c r="J2553" i="4"/>
  <c r="O2496" i="4"/>
  <c r="O2432" i="4"/>
  <c r="O2368" i="4"/>
  <c r="O2304" i="4"/>
  <c r="O3659" i="4"/>
  <c r="S3216" i="4"/>
  <c r="S3088" i="4"/>
  <c r="S2960" i="4"/>
  <c r="S2832" i="4"/>
  <c r="J2734" i="4"/>
  <c r="L2691" i="4"/>
  <c r="I2649" i="4"/>
  <c r="J2606" i="4"/>
  <c r="L2563" i="4"/>
  <c r="I2541" i="4"/>
  <c r="L2532" i="4"/>
  <c r="L2524" i="4"/>
  <c r="L2516" i="4"/>
  <c r="L2508" i="4"/>
  <c r="L2500" i="4"/>
  <c r="L2492" i="4"/>
  <c r="L2484" i="4"/>
  <c r="L2476" i="4"/>
  <c r="L2468" i="4"/>
  <c r="L2460" i="4"/>
  <c r="L2452" i="4"/>
  <c r="L2444" i="4"/>
  <c r="L2436" i="4"/>
  <c r="L2428" i="4"/>
  <c r="L2420" i="4"/>
  <c r="L2412" i="4"/>
  <c r="L2404" i="4"/>
  <c r="L2396" i="4"/>
  <c r="L2388" i="4"/>
  <c r="L2380" i="4"/>
  <c r="L2372" i="4"/>
  <c r="L2364" i="4"/>
  <c r="L2356" i="4"/>
  <c r="L2348" i="4"/>
  <c r="L2340" i="4"/>
  <c r="O3786" i="4"/>
  <c r="O3581" i="4"/>
  <c r="O3453" i="4"/>
  <c r="O3325" i="4"/>
  <c r="S3229" i="4"/>
  <c r="S3197" i="4"/>
  <c r="S3165" i="4"/>
  <c r="S3133" i="4"/>
  <c r="S3101" i="4"/>
  <c r="S3069" i="4"/>
  <c r="S3037" i="4"/>
  <c r="S3005" i="4"/>
  <c r="S2973" i="4"/>
  <c r="S2941" i="4"/>
  <c r="S2909" i="4"/>
  <c r="S2877" i="4"/>
  <c r="S2845" i="4"/>
  <c r="S2813" i="4"/>
  <c r="S2781" i="4"/>
  <c r="S2751" i="4"/>
  <c r="R2738" i="4"/>
  <c r="S2727" i="4"/>
  <c r="P2717" i="4"/>
  <c r="R2706" i="4"/>
  <c r="S2695" i="4"/>
  <c r="P2685" i="4"/>
  <c r="R2674" i="4"/>
  <c r="S2663" i="4"/>
  <c r="P2653" i="4"/>
  <c r="R2642" i="4"/>
  <c r="S2631" i="4"/>
  <c r="P2621" i="4"/>
  <c r="R2610" i="4"/>
  <c r="S2599" i="4"/>
  <c r="P2589" i="4"/>
  <c r="R2578" i="4"/>
  <c r="S2567" i="4"/>
  <c r="P2557" i="4"/>
  <c r="R2546" i="4"/>
  <c r="R2536" i="4"/>
  <c r="R2528" i="4"/>
  <c r="R2520" i="4"/>
  <c r="R2512" i="4"/>
  <c r="R2504" i="4"/>
  <c r="R2496" i="4"/>
  <c r="R2488" i="4"/>
  <c r="R2480" i="4"/>
  <c r="R2472" i="4"/>
  <c r="R2464" i="4"/>
  <c r="R2456" i="4"/>
  <c r="R2448" i="4"/>
  <c r="R2440" i="4"/>
  <c r="R2432" i="4"/>
  <c r="R2424" i="4"/>
  <c r="R2416" i="4"/>
  <c r="R2408" i="4"/>
  <c r="R2400" i="4"/>
  <c r="R2392" i="4"/>
  <c r="R2384" i="4"/>
  <c r="R2376" i="4"/>
  <c r="R2368" i="4"/>
  <c r="R2360" i="4"/>
  <c r="R2352" i="4"/>
  <c r="R2344" i="4"/>
  <c r="O3559" i="4"/>
  <c r="J2720" i="4"/>
  <c r="J2656" i="4"/>
  <c r="J2592" i="4"/>
  <c r="I2534" i="4"/>
  <c r="I2502" i="4"/>
  <c r="I2470" i="4"/>
  <c r="I2438" i="4"/>
  <c r="I2406" i="4"/>
  <c r="I2374" i="4"/>
  <c r="I2342" i="4"/>
  <c r="S2327" i="4"/>
  <c r="P2317" i="4"/>
  <c r="R2306" i="4"/>
  <c r="S2295" i="4"/>
  <c r="P2285" i="4"/>
  <c r="R2274" i="4"/>
  <c r="S2263" i="4"/>
  <c r="P2253" i="4"/>
  <c r="R2244" i="4"/>
  <c r="R2236" i="4"/>
  <c r="R2228" i="4"/>
  <c r="R2220" i="4"/>
  <c r="R2212" i="4"/>
  <c r="R2204" i="4"/>
  <c r="R2196" i="4"/>
  <c r="R2188" i="4"/>
  <c r="R2180" i="4"/>
  <c r="R2172" i="4"/>
  <c r="R2164" i="4"/>
  <c r="R2156" i="4"/>
  <c r="R2148" i="4"/>
  <c r="R2140" i="4"/>
  <c r="R2132" i="4"/>
  <c r="R2124" i="4"/>
  <c r="R2116" i="4"/>
  <c r="R2108" i="4"/>
  <c r="R2100" i="4"/>
  <c r="R2092" i="4"/>
  <c r="R2084" i="4"/>
  <c r="R2076" i="4"/>
  <c r="R2068" i="4"/>
  <c r="R2060" i="4"/>
  <c r="R2052" i="4"/>
  <c r="R2044" i="4"/>
  <c r="R2036" i="4"/>
  <c r="R2028" i="4"/>
  <c r="R2020" i="4"/>
  <c r="O3295" i="4"/>
  <c r="S3182" i="4"/>
  <c r="S3118" i="4"/>
  <c r="S3054" i="4"/>
  <c r="S2990" i="4"/>
  <c r="S2926" i="4"/>
  <c r="S2862" i="4"/>
  <c r="S2798" i="4"/>
  <c r="P2742" i="4"/>
  <c r="P2710" i="4"/>
  <c r="P2678" i="4"/>
  <c r="P2646" i="4"/>
  <c r="P2614" i="4"/>
  <c r="P2582" i="4"/>
  <c r="P2550" i="4"/>
  <c r="I2519" i="4"/>
  <c r="I2487" i="4"/>
  <c r="I2455" i="4"/>
  <c r="I2423" i="4"/>
  <c r="I2391" i="4"/>
  <c r="I2359" i="4"/>
  <c r="L2333" i="4"/>
  <c r="I2323" i="4"/>
  <c r="J2312" i="4"/>
  <c r="L2301" i="4"/>
  <c r="I2291" i="4"/>
  <c r="J2280" i="4"/>
  <c r="L2269" i="4"/>
  <c r="I2259" i="4"/>
  <c r="I2249" i="4"/>
  <c r="I2241" i="4"/>
  <c r="I2233" i="4"/>
  <c r="I2225" i="4"/>
  <c r="I2217" i="4"/>
  <c r="I2209" i="4"/>
  <c r="I2201" i="4"/>
  <c r="I2193" i="4"/>
  <c r="I2185" i="4"/>
  <c r="I2177" i="4"/>
  <c r="I2169" i="4"/>
  <c r="I2161" i="4"/>
  <c r="I2153" i="4"/>
  <c r="I2145" i="4"/>
  <c r="I2137" i="4"/>
  <c r="I2129" i="4"/>
  <c r="I2121" i="4"/>
  <c r="I2113" i="4"/>
  <c r="I2105" i="4"/>
  <c r="I2097" i="4"/>
  <c r="I2089" i="4"/>
  <c r="I2081" i="4"/>
  <c r="I2073" i="4"/>
  <c r="I2065" i="4"/>
  <c r="I2057" i="4"/>
  <c r="I2049" i="4"/>
  <c r="I2041" i="4"/>
  <c r="I2033" i="4"/>
  <c r="I2025" i="4"/>
  <c r="O3575" i="4"/>
  <c r="J2724" i="4"/>
  <c r="J2660" i="4"/>
  <c r="J2596" i="4"/>
  <c r="I2536" i="4"/>
  <c r="I2504" i="4"/>
  <c r="I2472" i="4"/>
  <c r="I2440" i="4"/>
  <c r="I2408" i="4"/>
  <c r="I2376" i="4"/>
  <c r="I2344" i="4"/>
  <c r="J2329" i="4"/>
  <c r="L2318" i="4"/>
  <c r="I2308" i="4"/>
  <c r="J2297" i="4"/>
  <c r="L2286" i="4"/>
  <c r="I2276" i="4"/>
  <c r="J2265" i="4"/>
  <c r="L2254" i="4"/>
  <c r="O2240" i="4"/>
  <c r="O2224" i="4"/>
  <c r="O2208" i="4"/>
  <c r="O2192" i="4"/>
  <c r="O2176" i="4"/>
  <c r="O2160" i="4"/>
  <c r="O2144" i="4"/>
  <c r="O2620" i="4"/>
  <c r="O2556" i="4"/>
  <c r="O3361" i="4"/>
  <c r="S3143" i="4"/>
  <c r="S3015" i="4"/>
  <c r="S2887" i="4"/>
  <c r="S2759" i="4"/>
  <c r="L2710" i="4"/>
  <c r="I2668" i="4"/>
  <c r="J2625" i="4"/>
  <c r="L2582" i="4"/>
  <c r="I2540" i="4"/>
  <c r="O2476" i="4"/>
  <c r="O2412" i="4"/>
  <c r="O2348" i="4"/>
  <c r="O2284" i="4"/>
  <c r="O3499" i="4"/>
  <c r="S3176" i="4"/>
  <c r="S3048" i="4"/>
  <c r="S2920" i="4"/>
  <c r="S2792" i="4"/>
  <c r="I2721" i="4"/>
  <c r="J2678" i="4"/>
  <c r="L2635" i="4"/>
  <c r="I2593" i="4"/>
  <c r="J2550" i="4"/>
  <c r="S2537" i="4"/>
  <c r="S2529" i="4"/>
  <c r="S2521" i="4"/>
  <c r="S2513" i="4"/>
  <c r="S2505" i="4"/>
  <c r="S2497" i="4"/>
  <c r="S2489" i="4"/>
  <c r="S2481" i="4"/>
  <c r="S2473" i="4"/>
  <c r="S2465" i="4"/>
  <c r="S2457" i="4"/>
  <c r="S2449" i="4"/>
  <c r="S2441" i="4"/>
  <c r="S2433" i="4"/>
  <c r="S2425" i="4"/>
  <c r="S2417" i="4"/>
  <c r="S2409" i="4"/>
  <c r="S2401" i="4"/>
  <c r="S2393" i="4"/>
  <c r="S2385" i="4"/>
  <c r="S2377" i="4"/>
  <c r="S2369" i="4"/>
  <c r="S2361" i="4"/>
  <c r="S2353" i="4"/>
  <c r="S2345" i="4"/>
  <c r="S2337" i="4"/>
  <c r="O3669" i="4"/>
  <c r="O3541" i="4"/>
  <c r="O3413" i="4"/>
  <c r="O3285" i="4"/>
  <c r="L3220" i="4"/>
  <c r="L3188" i="4"/>
  <c r="L3156" i="4"/>
  <c r="L3124" i="4"/>
  <c r="L3092" i="4"/>
  <c r="L3060" i="4"/>
  <c r="L3028" i="4"/>
  <c r="L2996" i="4"/>
  <c r="L2964" i="4"/>
  <c r="L2932" i="4"/>
  <c r="L2900" i="4"/>
  <c r="L2868" i="4"/>
  <c r="L2836" i="4"/>
  <c r="L2804" i="4"/>
  <c r="L2772" i="4"/>
  <c r="I2746" i="4"/>
  <c r="J2735" i="4"/>
  <c r="L2724" i="4"/>
  <c r="I2714" i="4"/>
  <c r="J2703" i="4"/>
  <c r="L2692" i="4"/>
  <c r="I2682" i="4"/>
  <c r="J2671" i="4"/>
  <c r="L2660" i="4"/>
  <c r="I2650" i="4"/>
  <c r="J2639" i="4"/>
  <c r="L2628" i="4"/>
  <c r="I2618" i="4"/>
  <c r="J2607" i="4"/>
  <c r="L2596" i="4"/>
  <c r="I2586" i="4"/>
  <c r="J2575" i="4"/>
  <c r="L2564" i="4"/>
  <c r="I2554" i="4"/>
  <c r="J2543" i="4"/>
  <c r="J2534" i="4"/>
  <c r="J2526" i="4"/>
  <c r="J2518" i="4"/>
  <c r="J2510" i="4"/>
  <c r="J2502" i="4"/>
  <c r="J2494" i="4"/>
  <c r="J2486" i="4"/>
  <c r="J2478" i="4"/>
  <c r="J2470" i="4"/>
  <c r="J2462" i="4"/>
  <c r="J2454" i="4"/>
  <c r="J2446" i="4"/>
  <c r="J2438" i="4"/>
  <c r="J2430" i="4"/>
  <c r="J2422" i="4"/>
  <c r="J2414" i="4"/>
  <c r="J2406" i="4"/>
  <c r="J2398" i="4"/>
  <c r="J2390" i="4"/>
  <c r="J2382" i="4"/>
  <c r="J2374" i="4"/>
  <c r="J2366" i="4"/>
  <c r="J2358" i="4"/>
  <c r="J2350" i="4"/>
  <c r="J2342" i="4"/>
  <c r="O3399" i="4"/>
  <c r="R2699" i="4"/>
  <c r="R2635" i="4"/>
  <c r="R2571" i="4"/>
  <c r="P2523" i="4"/>
  <c r="P2491" i="4"/>
  <c r="P2459" i="4"/>
  <c r="P2427" i="4"/>
  <c r="P2395" i="4"/>
  <c r="P2363" i="4"/>
  <c r="P2335" i="4"/>
  <c r="L2324" i="4"/>
  <c r="I2314" i="4"/>
  <c r="J2303" i="4"/>
  <c r="L2292" i="4"/>
  <c r="I2282" i="4"/>
  <c r="J2271" i="4"/>
  <c r="L2260" i="4"/>
  <c r="J2250" i="4"/>
  <c r="J2242" i="4"/>
  <c r="J2234" i="4"/>
  <c r="J2226" i="4"/>
  <c r="J2218" i="4"/>
  <c r="J2210" i="4"/>
  <c r="J2202" i="4"/>
  <c r="J2194" i="4"/>
  <c r="J2186" i="4"/>
  <c r="J2178" i="4"/>
  <c r="J2170" i="4"/>
  <c r="J2162" i="4"/>
  <c r="J2154" i="4"/>
  <c r="J2146" i="4"/>
  <c r="J2138" i="4"/>
  <c r="J2130" i="4"/>
  <c r="J2122" i="4"/>
  <c r="J2114" i="4"/>
  <c r="J2106" i="4"/>
  <c r="J2098" i="4"/>
  <c r="J2090" i="4"/>
  <c r="J2082" i="4"/>
  <c r="J2074" i="4"/>
  <c r="J2066" i="4"/>
  <c r="J2058" i="4"/>
  <c r="J2050" i="4"/>
  <c r="J2042" i="4"/>
  <c r="J2034" i="4"/>
  <c r="J2026" i="4"/>
  <c r="O3647" i="4"/>
  <c r="L3225" i="4"/>
  <c r="L3161" i="4"/>
  <c r="L3097" i="4"/>
  <c r="L3033" i="4"/>
  <c r="L2969" i="4"/>
  <c r="L2905" i="4"/>
  <c r="L2841" i="4"/>
  <c r="L2777" i="4"/>
  <c r="S2732" i="4"/>
  <c r="S2700" i="4"/>
  <c r="S2668" i="4"/>
  <c r="S2636" i="4"/>
  <c r="S2604" i="4"/>
  <c r="S2572" i="4"/>
  <c r="S2540" i="4"/>
  <c r="P2508" i="4"/>
  <c r="P2476" i="4"/>
  <c r="P2444" i="4"/>
  <c r="P2412" i="4"/>
  <c r="P2380" i="4"/>
  <c r="P2348" i="4"/>
  <c r="P2330" i="4"/>
  <c r="R2319" i="4"/>
  <c r="S2308" i="4"/>
  <c r="P2298" i="4"/>
  <c r="R2287" i="4"/>
  <c r="S2276" i="4"/>
  <c r="P2266" i="4"/>
  <c r="R2255" i="4"/>
  <c r="P2246" i="4"/>
  <c r="P2238" i="4"/>
  <c r="P2230" i="4"/>
  <c r="P2222" i="4"/>
  <c r="P2214" i="4"/>
  <c r="P2206" i="4"/>
  <c r="P2198" i="4"/>
  <c r="P2190" i="4"/>
  <c r="P2182" i="4"/>
  <c r="P2174" i="4"/>
  <c r="P2166" i="4"/>
  <c r="P2158" i="4"/>
  <c r="P2150" i="4"/>
  <c r="P2142" i="4"/>
  <c r="P2134" i="4"/>
  <c r="P2126" i="4"/>
  <c r="P2118" i="4"/>
  <c r="P2110" i="4"/>
  <c r="P2102" i="4"/>
  <c r="P2094" i="4"/>
  <c r="P2086" i="4"/>
  <c r="P2078" i="4"/>
  <c r="P2070" i="4"/>
  <c r="P2062" i="4"/>
  <c r="P2054" i="4"/>
  <c r="P2046" i="4"/>
  <c r="P2038" i="4"/>
  <c r="P2030" i="4"/>
  <c r="P2022" i="4"/>
  <c r="O3415" i="4"/>
  <c r="R2703" i="4"/>
  <c r="R2639" i="4"/>
  <c r="R2575" i="4"/>
  <c r="P2525" i="4"/>
  <c r="P2493" i="4"/>
  <c r="P2461" i="4"/>
  <c r="P2429" i="4"/>
  <c r="P2397" i="4"/>
  <c r="P2365" i="4"/>
  <c r="R2328" i="4"/>
  <c r="S2285" i="4"/>
  <c r="O2239" i="4"/>
  <c r="O2175" i="4"/>
  <c r="O2124" i="4"/>
  <c r="O2092" i="4"/>
  <c r="O2060" i="4"/>
  <c r="O2028" i="4"/>
  <c r="O2003" i="4"/>
  <c r="O1987" i="4"/>
  <c r="O1971" i="4"/>
  <c r="I1956" i="4"/>
  <c r="I1948" i="4"/>
  <c r="I1940" i="4"/>
  <c r="I1932" i="4"/>
  <c r="I1924" i="4"/>
  <c r="I1916" i="4"/>
  <c r="I1908" i="4"/>
  <c r="I1900" i="4"/>
  <c r="I1892" i="4"/>
  <c r="O3343" i="4"/>
  <c r="L3189" i="4"/>
  <c r="L3125" i="4"/>
  <c r="L3061" i="4"/>
  <c r="L2997" i="4"/>
  <c r="L2933" i="4"/>
  <c r="L2869" i="4"/>
  <c r="L2805" i="4"/>
  <c r="P2510" i="4"/>
  <c r="P2446" i="4"/>
  <c r="P2382" i="4"/>
  <c r="J2322" i="4"/>
  <c r="J2258" i="4"/>
  <c r="L2222" i="4"/>
  <c r="L2190" i="4"/>
  <c r="L2158" i="4"/>
  <c r="L2126" i="4"/>
  <c r="L2094" i="4"/>
  <c r="L2062" i="4"/>
  <c r="L2030" i="4"/>
  <c r="L2012" i="4"/>
  <c r="I2002" i="4"/>
  <c r="J1991" i="4"/>
  <c r="L1980" i="4"/>
  <c r="I1970" i="4"/>
  <c r="J1959" i="4"/>
  <c r="O1948" i="4"/>
  <c r="S1937" i="4"/>
  <c r="S2744" i="4"/>
  <c r="S2616" i="4"/>
  <c r="P2320" i="4"/>
  <c r="P2288" i="4"/>
  <c r="P2256" i="4"/>
  <c r="S2224" i="4"/>
  <c r="S2192" i="4"/>
  <c r="S2160" i="4"/>
  <c r="S2128" i="4"/>
  <c r="S2096" i="4"/>
  <c r="S2064" i="4"/>
  <c r="S2032" i="4"/>
  <c r="L2013" i="4"/>
  <c r="I2003" i="4"/>
  <c r="J1992" i="4"/>
  <c r="L1981" i="4"/>
  <c r="I1971" i="4"/>
  <c r="L2717" i="4"/>
  <c r="L2653" i="4"/>
  <c r="L2589" i="4"/>
  <c r="I2525" i="4"/>
  <c r="I2461" i="4"/>
  <c r="I2397" i="4"/>
  <c r="P2336" i="4"/>
  <c r="R2273" i="4"/>
  <c r="S2229" i="4"/>
  <c r="S2197" i="4"/>
  <c r="S2165" i="4"/>
  <c r="S2133" i="4"/>
  <c r="S2101" i="4"/>
  <c r="S2069" i="4"/>
  <c r="S2037" i="4"/>
  <c r="P2015" i="4"/>
  <c r="R2004" i="4"/>
  <c r="S1993" i="4"/>
  <c r="P1983" i="4"/>
  <c r="R1972" i="4"/>
  <c r="I2631" i="4"/>
  <c r="P2324" i="4"/>
  <c r="P2292" i="4"/>
  <c r="P2260" i="4"/>
  <c r="L2229" i="4"/>
  <c r="L2197" i="4"/>
  <c r="L2165" i="4"/>
  <c r="L2133" i="4"/>
  <c r="L2101" i="4"/>
  <c r="L2069" i="4"/>
  <c r="L2037" i="4"/>
  <c r="S2014" i="4"/>
  <c r="P2004" i="4"/>
  <c r="R1993" i="4"/>
  <c r="S1982" i="4"/>
  <c r="P1972" i="4"/>
  <c r="L1956" i="4"/>
  <c r="R1938" i="4"/>
  <c r="L1921" i="4"/>
  <c r="L1905" i="4"/>
  <c r="I1890" i="4"/>
  <c r="I1882" i="4"/>
  <c r="I1874" i="4"/>
  <c r="I1866" i="4"/>
  <c r="I1858" i="4"/>
  <c r="I1850" i="4"/>
  <c r="I1842" i="4"/>
  <c r="I1834" i="4"/>
  <c r="I1826" i="4"/>
  <c r="I1818" i="4"/>
  <c r="I1810" i="4"/>
  <c r="I1802" i="4"/>
  <c r="I1794" i="4"/>
  <c r="I1786" i="4"/>
  <c r="I1778" i="4"/>
  <c r="I1770" i="4"/>
  <c r="I1762" i="4"/>
  <c r="I1754" i="4"/>
  <c r="I1746" i="4"/>
  <c r="I1738" i="4"/>
  <c r="I1730" i="4"/>
  <c r="I1722" i="4"/>
  <c r="I1714" i="4"/>
  <c r="I1706" i="4"/>
  <c r="I1698" i="4"/>
  <c r="I1690" i="4"/>
  <c r="I1682" i="4"/>
  <c r="L1957" i="4"/>
  <c r="L1939" i="4"/>
  <c r="O1924" i="4"/>
  <c r="S1913" i="4"/>
  <c r="J1903" i="4"/>
  <c r="O1892" i="4"/>
  <c r="O1877" i="4"/>
  <c r="O1861" i="4"/>
  <c r="O1845" i="4"/>
  <c r="O1829" i="4"/>
  <c r="O1813" i="4"/>
  <c r="O1797" i="4"/>
  <c r="O1781" i="4"/>
  <c r="O1765" i="4"/>
  <c r="O1749" i="4"/>
  <c r="O1733" i="4"/>
  <c r="O1717" i="4"/>
  <c r="O1701" i="4"/>
  <c r="O1685" i="4"/>
  <c r="O1669" i="4"/>
  <c r="O1653" i="4"/>
  <c r="O1637" i="4"/>
  <c r="O1621" i="4"/>
  <c r="O1605" i="4"/>
  <c r="R1961" i="4"/>
  <c r="O1943" i="4"/>
  <c r="R1925" i="4"/>
  <c r="R1909" i="4"/>
  <c r="R1893" i="4"/>
  <c r="S1883" i="4"/>
  <c r="S1875" i="4"/>
  <c r="S1867" i="4"/>
  <c r="S1859" i="4"/>
  <c r="S1851" i="4"/>
  <c r="S1843" i="4"/>
  <c r="S1835" i="4"/>
  <c r="S1827" i="4"/>
  <c r="S1819" i="4"/>
  <c r="S1811" i="4"/>
  <c r="S1803" i="4"/>
  <c r="S1795" i="4"/>
  <c r="S1787" i="4"/>
  <c r="S1779" i="4"/>
  <c r="S1771" i="4"/>
  <c r="S1763" i="4"/>
  <c r="S1755" i="4"/>
  <c r="S1747" i="4"/>
  <c r="S1739" i="4"/>
  <c r="S1731" i="4"/>
  <c r="S1723" i="4"/>
  <c r="S1715" i="4"/>
  <c r="S1707" i="4"/>
  <c r="S1699" i="4"/>
  <c r="S1691" i="4"/>
  <c r="R1969" i="4"/>
  <c r="I1957" i="4"/>
  <c r="R1939" i="4"/>
  <c r="O1923" i="4"/>
  <c r="S1912" i="4"/>
  <c r="J1902" i="4"/>
  <c r="O1891" i="4"/>
  <c r="J1883" i="4"/>
  <c r="J1875" i="4"/>
  <c r="J1867" i="4"/>
  <c r="J1859" i="4"/>
  <c r="J1851" i="4"/>
  <c r="J1843" i="4"/>
  <c r="J1835" i="4"/>
  <c r="J1827" i="4"/>
  <c r="J1819" i="4"/>
  <c r="J1811" i="4"/>
  <c r="J1803" i="4"/>
  <c r="J1795" i="4"/>
  <c r="J1787" i="4"/>
  <c r="J1779" i="4"/>
  <c r="J1771" i="4"/>
  <c r="J1763" i="4"/>
  <c r="J1755" i="4"/>
  <c r="J1747" i="4"/>
  <c r="J1739" i="4"/>
  <c r="J1731" i="4"/>
  <c r="J1723" i="4"/>
  <c r="J1715" i="4"/>
  <c r="J1707" i="4"/>
  <c r="J1699" i="4"/>
  <c r="J1691" i="4"/>
  <c r="R1681" i="4"/>
  <c r="S1670" i="4"/>
  <c r="P1660" i="4"/>
  <c r="R1649" i="4"/>
  <c r="S1638" i="4"/>
  <c r="P1628" i="4"/>
  <c r="R1617" i="4"/>
  <c r="S1606" i="4"/>
  <c r="S1596" i="4"/>
  <c r="S1588" i="4"/>
  <c r="S1580" i="4"/>
  <c r="S1572" i="4"/>
  <c r="S1564" i="4"/>
  <c r="S1556" i="4"/>
  <c r="S1548" i="4"/>
  <c r="S1540" i="4"/>
  <c r="S1532" i="4"/>
  <c r="S1524" i="4"/>
  <c r="S1516" i="4"/>
  <c r="S1508" i="4"/>
  <c r="S1500" i="4"/>
  <c r="S1492" i="4"/>
  <c r="S1484" i="4"/>
  <c r="S1476" i="4"/>
  <c r="S1468" i="4"/>
  <c r="S1460" i="4"/>
  <c r="S1452" i="4"/>
  <c r="S1444" i="4"/>
  <c r="S1435" i="4"/>
  <c r="S1427" i="4"/>
  <c r="S1419" i="4"/>
  <c r="S1411" i="4"/>
  <c r="S1403" i="4"/>
  <c r="S1395" i="4"/>
  <c r="S1387" i="4"/>
  <c r="S1379" i="4"/>
  <c r="S1371" i="4"/>
  <c r="S1363" i="4"/>
  <c r="P2337" i="4"/>
  <c r="S2293" i="4"/>
  <c r="P2251" i="4"/>
  <c r="O2187" i="4"/>
  <c r="O2131" i="4"/>
  <c r="O2099" i="4"/>
  <c r="O2067" i="4"/>
  <c r="O2035" i="4"/>
  <c r="O2006" i="4"/>
  <c r="O1990" i="4"/>
  <c r="O1974" i="4"/>
  <c r="O1958" i="4"/>
  <c r="P1949" i="4"/>
  <c r="P1941" i="4"/>
  <c r="P1933" i="4"/>
  <c r="P1925" i="4"/>
  <c r="P1917" i="4"/>
  <c r="P1909" i="4"/>
  <c r="P1901" i="4"/>
  <c r="P1893" i="4"/>
  <c r="O3439" i="4"/>
  <c r="S3202" i="4"/>
  <c r="S3138" i="4"/>
  <c r="S3074" i="4"/>
  <c r="S3010" i="4"/>
  <c r="S2946" i="4"/>
  <c r="S2882" i="4"/>
  <c r="S2818" i="4"/>
  <c r="I2521" i="4"/>
  <c r="I2457" i="4"/>
  <c r="I2393" i="4"/>
  <c r="R2333" i="4"/>
  <c r="R2269" i="4"/>
  <c r="S2227" i="4"/>
  <c r="S2195" i="4"/>
  <c r="S2163" i="4"/>
  <c r="S2131" i="4"/>
  <c r="S2099" i="4"/>
  <c r="S2067" i="4"/>
  <c r="S2035" i="4"/>
  <c r="R2014" i="4"/>
  <c r="S2003" i="4"/>
  <c r="P1993" i="4"/>
  <c r="R1982" i="4"/>
  <c r="S1971" i="4"/>
  <c r="P1961" i="4"/>
  <c r="O1950" i="4"/>
  <c r="S1939" i="4"/>
  <c r="J1929" i="4"/>
  <c r="S2640" i="4"/>
  <c r="S2326" i="4"/>
  <c r="S2294" i="4"/>
  <c r="S2262" i="4"/>
  <c r="L2231" i="4"/>
  <c r="L2199" i="4"/>
  <c r="L2167" i="4"/>
  <c r="L2135" i="4"/>
  <c r="L2103" i="4"/>
  <c r="L2071" i="4"/>
  <c r="L2039" i="4"/>
  <c r="R2015" i="4"/>
  <c r="S2004" i="4"/>
  <c r="P1994" i="4"/>
  <c r="R1983" i="4"/>
  <c r="S1972" i="4"/>
  <c r="P2730" i="4"/>
  <c r="P2666" i="4"/>
  <c r="P2602" i="4"/>
  <c r="P2538" i="4"/>
  <c r="P2474" i="4"/>
  <c r="P2410" i="4"/>
  <c r="P2346" i="4"/>
  <c r="J2286" i="4"/>
  <c r="L2236" i="4"/>
  <c r="L2204" i="4"/>
  <c r="L2172" i="4"/>
  <c r="L2140" i="4"/>
  <c r="L2108" i="4"/>
  <c r="L2076" i="4"/>
  <c r="L2044" i="4"/>
  <c r="J2017" i="4"/>
  <c r="L2006" i="4"/>
  <c r="I1996" i="4"/>
  <c r="J1985" i="4"/>
  <c r="L1974" i="4"/>
  <c r="I2655" i="4"/>
  <c r="S2330" i="4"/>
  <c r="S2298" i="4"/>
  <c r="S2266" i="4"/>
  <c r="S2234" i="4"/>
  <c r="S2202" i="4"/>
  <c r="S2170" i="4"/>
  <c r="S2138" i="4"/>
  <c r="S2106" i="4"/>
  <c r="S2074" i="4"/>
  <c r="S2042" i="4"/>
  <c r="I2017" i="4"/>
  <c r="J2006" i="4"/>
  <c r="L1995" i="4"/>
  <c r="I1985" i="4"/>
  <c r="J1974" i="4"/>
  <c r="I1959" i="4"/>
  <c r="L1941" i="4"/>
  <c r="R1924" i="4"/>
  <c r="R1908" i="4"/>
  <c r="R1892" i="4"/>
  <c r="P1883" i="4"/>
  <c r="P1875" i="4"/>
  <c r="P1867" i="4"/>
  <c r="P1859" i="4"/>
  <c r="P1851" i="4"/>
  <c r="P1843" i="4"/>
  <c r="P1835" i="4"/>
  <c r="P1827" i="4"/>
  <c r="P1819" i="4"/>
  <c r="P1811" i="4"/>
  <c r="P1803" i="4"/>
  <c r="P1795" i="4"/>
  <c r="P1787" i="4"/>
  <c r="P1779" i="4"/>
  <c r="P1771" i="4"/>
  <c r="P1763" i="4"/>
  <c r="P1755" i="4"/>
  <c r="P1747" i="4"/>
  <c r="P1739" i="4"/>
  <c r="P1731" i="4"/>
  <c r="P1723" i="4"/>
  <c r="P1715" i="4"/>
  <c r="P1707" i="4"/>
  <c r="P1699" i="4"/>
  <c r="P1691" i="4"/>
  <c r="P1683" i="4"/>
  <c r="P1960" i="4"/>
  <c r="R1943" i="4"/>
  <c r="O1926" i="4"/>
  <c r="S1915" i="4"/>
  <c r="J1905" i="4"/>
  <c r="O1894" i="4"/>
  <c r="O1880" i="4"/>
  <c r="O1864" i="4"/>
  <c r="O1848" i="4"/>
  <c r="O1832" i="4"/>
  <c r="O1816" i="4"/>
  <c r="O1800" i="4"/>
  <c r="O1784" i="4"/>
  <c r="O1768" i="4"/>
  <c r="O1752" i="4"/>
  <c r="O1736" i="4"/>
  <c r="O1720" i="4"/>
  <c r="O1704" i="4"/>
  <c r="O1688" i="4"/>
  <c r="O1672" i="4"/>
  <c r="O1656" i="4"/>
  <c r="O1640" i="4"/>
  <c r="O1624" i="4"/>
  <c r="O1608" i="4"/>
  <c r="R1964" i="4"/>
  <c r="J1946" i="4"/>
  <c r="L1928" i="4"/>
  <c r="O2825" i="4"/>
  <c r="O2569" i="4"/>
  <c r="L2914" i="4"/>
  <c r="S2633" i="4"/>
  <c r="O2425" i="4"/>
  <c r="L3203" i="4"/>
  <c r="R2729" i="4"/>
  <c r="S2558" i="4"/>
  <c r="P3260" i="4"/>
  <c r="J2876" i="4"/>
  <c r="O3458" i="4"/>
  <c r="P3166" i="4"/>
  <c r="P3038" i="4"/>
  <c r="P2910" i="4"/>
  <c r="P2782" i="4"/>
  <c r="O3076" i="4"/>
  <c r="O2820" i="4"/>
  <c r="S2815" i="4"/>
  <c r="I2697" i="4"/>
  <c r="L2445" i="4"/>
  <c r="O3469" i="4"/>
  <c r="S2785" i="4"/>
  <c r="R2590" i="4"/>
  <c r="R2449" i="4"/>
  <c r="J2664" i="4"/>
  <c r="R2254" i="4"/>
  <c r="R2125" i="4"/>
  <c r="S3126" i="4"/>
  <c r="I2427" i="4"/>
  <c r="I2238" i="4"/>
  <c r="I2174" i="4"/>
  <c r="I2110" i="4"/>
  <c r="I2046" i="4"/>
  <c r="I2524" i="4"/>
  <c r="L2314" i="4"/>
  <c r="O2218" i="4"/>
  <c r="O2090" i="4"/>
  <c r="S3223" i="4"/>
  <c r="L2566" i="4"/>
  <c r="S3064" i="4"/>
  <c r="J2630" i="4"/>
  <c r="S2518" i="4"/>
  <c r="S2474" i="4"/>
  <c r="S2432" i="4"/>
  <c r="S2390" i="4"/>
  <c r="S2346" i="4"/>
  <c r="O3269" i="4"/>
  <c r="L3080" i="4"/>
  <c r="L2904" i="4"/>
  <c r="L2744" i="4"/>
  <c r="L2688" i="4"/>
  <c r="I2630" i="4"/>
  <c r="I2574" i="4"/>
  <c r="J2523" i="4"/>
  <c r="J2479" i="4"/>
  <c r="J2437" i="4"/>
  <c r="J2395" i="4"/>
  <c r="J2351" i="4"/>
  <c r="R2563" i="4"/>
  <c r="P2383" i="4"/>
  <c r="I2294" i="4"/>
  <c r="J2241" i="4"/>
  <c r="J2199" i="4"/>
  <c r="J2155" i="4"/>
  <c r="J2113" i="4"/>
  <c r="J2071" i="4"/>
  <c r="J2027" i="4"/>
  <c r="L3025" i="4"/>
  <c r="L2721" i="4"/>
  <c r="L2545" i="4"/>
  <c r="P2376" i="4"/>
  <c r="P2294" i="4"/>
  <c r="P2239" i="4"/>
  <c r="P2197" i="4"/>
  <c r="P2155" i="4"/>
  <c r="P2111" i="4"/>
  <c r="P2069" i="4"/>
  <c r="P2031" i="4"/>
  <c r="R2647" i="4"/>
  <c r="P2465" i="4"/>
  <c r="I2339" i="4"/>
  <c r="P2295" i="4"/>
  <c r="R2252" i="4"/>
  <c r="O2189" i="4"/>
  <c r="O2125" i="4"/>
  <c r="O2061" i="4"/>
  <c r="O2624" i="4"/>
  <c r="S3023" i="4"/>
  <c r="L2670" i="4"/>
  <c r="O2480" i="4"/>
  <c r="O3531" i="4"/>
  <c r="S2800" i="4"/>
  <c r="L2595" i="4"/>
  <c r="L2522" i="4"/>
  <c r="L2490" i="4"/>
  <c r="L2458" i="4"/>
  <c r="L2426" i="4"/>
  <c r="L2394" i="4"/>
  <c r="L2362" i="4"/>
  <c r="L3680" i="4"/>
  <c r="S3221" i="4"/>
  <c r="S3093" i="4"/>
  <c r="S2965" i="4"/>
  <c r="S2837" i="4"/>
  <c r="S2735" i="4"/>
  <c r="P2693" i="4"/>
  <c r="R2650" i="4"/>
  <c r="S2607" i="4"/>
  <c r="P2565" i="4"/>
  <c r="R2526" i="4"/>
  <c r="R2494" i="4"/>
  <c r="R2462" i="4"/>
  <c r="R2430" i="4"/>
  <c r="R2398" i="4"/>
  <c r="R2366" i="4"/>
  <c r="O3431" i="4"/>
  <c r="I2526" i="4"/>
  <c r="I2398" i="4"/>
  <c r="R2314" i="4"/>
  <c r="S2271" i="4"/>
  <c r="R2234" i="4"/>
  <c r="R2202" i="4"/>
  <c r="R2170" i="4"/>
  <c r="R2138" i="4"/>
  <c r="R2106" i="4"/>
  <c r="R2074" i="4"/>
  <c r="R2042" i="4"/>
  <c r="S3230" i="4"/>
  <c r="S2974" i="4"/>
  <c r="P2734" i="4"/>
  <c r="P2606" i="4"/>
  <c r="I2479" i="4"/>
  <c r="I2351" i="4"/>
  <c r="I2299" i="4"/>
  <c r="J2256" i="4"/>
  <c r="I2223" i="4"/>
  <c r="I2191" i="4"/>
  <c r="I2159" i="4"/>
  <c r="I2127" i="4"/>
  <c r="I2095" i="4"/>
  <c r="I2063" i="4"/>
  <c r="I2031" i="4"/>
  <c r="J2644" i="4"/>
  <c r="I2464" i="4"/>
  <c r="J2338" i="4"/>
  <c r="L2294" i="4"/>
  <c r="I2252" i="4"/>
  <c r="O2188" i="4"/>
  <c r="O2604" i="4"/>
  <c r="S2983" i="4"/>
  <c r="J2657" i="4"/>
  <c r="O2460" i="4"/>
  <c r="O3371" i="4"/>
  <c r="S2760" i="4"/>
  <c r="J2582" i="4"/>
  <c r="S2519" i="4"/>
  <c r="S2487" i="4"/>
  <c r="S2455" i="4"/>
  <c r="S2423" i="4"/>
  <c r="S2391" i="4"/>
  <c r="S2359" i="4"/>
  <c r="O3637" i="4"/>
  <c r="L3212" i="4"/>
  <c r="L3084" i="4"/>
  <c r="L2956" i="4"/>
  <c r="L2828" i="4"/>
  <c r="L2732" i="4"/>
  <c r="I2690" i="4"/>
  <c r="J2647" i="4"/>
  <c r="L2604" i="4"/>
  <c r="I2562" i="4"/>
  <c r="J2524" i="4"/>
  <c r="J2492" i="4"/>
  <c r="J2460" i="4"/>
  <c r="J2428" i="4"/>
  <c r="J2396" i="4"/>
  <c r="J2364" i="4"/>
  <c r="O3271" i="4"/>
  <c r="P2515" i="4"/>
  <c r="P2387" i="4"/>
  <c r="J2311" i="4"/>
  <c r="L2268" i="4"/>
  <c r="J2232" i="4"/>
  <c r="J2200" i="4"/>
  <c r="J2168" i="4"/>
  <c r="J2136" i="4"/>
  <c r="J2104" i="4"/>
  <c r="J2072" i="4"/>
  <c r="J2040" i="4"/>
  <c r="L3209" i="4"/>
  <c r="L2953" i="4"/>
  <c r="S2724" i="4"/>
  <c r="S2596" i="4"/>
  <c r="P2468" i="4"/>
  <c r="P2340" i="4"/>
  <c r="R2295" i="4"/>
  <c r="S2252" i="4"/>
  <c r="P2220" i="4"/>
  <c r="P2188" i="4"/>
  <c r="P2156" i="4"/>
  <c r="P2124" i="4"/>
  <c r="P2092" i="4"/>
  <c r="P2060" i="4"/>
  <c r="P2028" i="4"/>
  <c r="R2623" i="4"/>
  <c r="P2453" i="4"/>
  <c r="S2317" i="4"/>
  <c r="O2116" i="4"/>
  <c r="O1999" i="4"/>
  <c r="I1946" i="4"/>
  <c r="I1914" i="4"/>
  <c r="L3237" i="4"/>
  <c r="L2981" i="4"/>
  <c r="P2494" i="4"/>
  <c r="L2246" i="4"/>
  <c r="L2118" i="4"/>
  <c r="I2010" i="4"/>
  <c r="J1967" i="4"/>
  <c r="S2712" i="4"/>
  <c r="S2248" i="4"/>
  <c r="S2120" i="4"/>
  <c r="I2011" i="4"/>
  <c r="S2786" i="4"/>
  <c r="I2509" i="4"/>
  <c r="R2257" i="4"/>
  <c r="S2125" i="4"/>
  <c r="R2012" i="4"/>
  <c r="I2727" i="4"/>
  <c r="P2252" i="4"/>
  <c r="L2125" i="4"/>
  <c r="P2012" i="4"/>
  <c r="R1968" i="4"/>
  <c r="L1901" i="4"/>
  <c r="I1864" i="4"/>
  <c r="I1832" i="4"/>
  <c r="I1800" i="4"/>
  <c r="I1768" i="4"/>
  <c r="I1736" i="4"/>
  <c r="I1704" i="4"/>
  <c r="O1953" i="4"/>
  <c r="O1900" i="4"/>
  <c r="O1841" i="4"/>
  <c r="O1777" i="4"/>
  <c r="O1713" i="4"/>
  <c r="O1649" i="4"/>
  <c r="J1957" i="4"/>
  <c r="S1889" i="4"/>
  <c r="S1857" i="4"/>
  <c r="S1825" i="4"/>
  <c r="S1793" i="4"/>
  <c r="S1761" i="4"/>
  <c r="S1729" i="4"/>
  <c r="S1697" i="4"/>
  <c r="L1934" i="4"/>
  <c r="J1889" i="4"/>
  <c r="J1857" i="4"/>
  <c r="J1833" i="4"/>
  <c r="J1817" i="4"/>
  <c r="J1801" i="4"/>
  <c r="J1785" i="4"/>
  <c r="J1769" i="4"/>
  <c r="J1753" i="4"/>
  <c r="J1737" i="4"/>
  <c r="J1721" i="4"/>
  <c r="J1705" i="4"/>
  <c r="J1689" i="4"/>
  <c r="P1668" i="4"/>
  <c r="S1646" i="4"/>
  <c r="R1625" i="4"/>
  <c r="P1604" i="4"/>
  <c r="S1586" i="4"/>
  <c r="S1570" i="4"/>
  <c r="S1554" i="4"/>
  <c r="S1538" i="4"/>
  <c r="S1522" i="4"/>
  <c r="S1506" i="4"/>
  <c r="S1490" i="4"/>
  <c r="S1474" i="4"/>
  <c r="S1458" i="4"/>
  <c r="S1442" i="4"/>
  <c r="S1425" i="4"/>
  <c r="S1409" i="4"/>
  <c r="S1393" i="4"/>
  <c r="S1377" i="4"/>
  <c r="S1361" i="4"/>
  <c r="P2283" i="4"/>
  <c r="O2171" i="4"/>
  <c r="O2091" i="4"/>
  <c r="O2027" i="4"/>
  <c r="O1986" i="4"/>
  <c r="P1955" i="4"/>
  <c r="P1939" i="4"/>
  <c r="P1923" i="4"/>
  <c r="P1907" i="4"/>
  <c r="P1891" i="4"/>
  <c r="S3186" i="4"/>
  <c r="S3058" i="4"/>
  <c r="S2930" i="4"/>
  <c r="S2802" i="4"/>
  <c r="I2441" i="4"/>
  <c r="R2317" i="4"/>
  <c r="S2219" i="4"/>
  <c r="S2155" i="4"/>
  <c r="S2091" i="4"/>
  <c r="S2027" i="4"/>
  <c r="P2001" i="4"/>
  <c r="S1979" i="4"/>
  <c r="R1958" i="4"/>
  <c r="J1937" i="4"/>
  <c r="S2608" i="4"/>
  <c r="S2286" i="4"/>
  <c r="L2223" i="4"/>
  <c r="L2159" i="4"/>
  <c r="L2095" i="4"/>
  <c r="L2031" i="4"/>
  <c r="P2002" i="4"/>
  <c r="S1980" i="4"/>
  <c r="P2714" i="4"/>
  <c r="P2586" i="4"/>
  <c r="P2458" i="4"/>
  <c r="J2334" i="4"/>
  <c r="L2228" i="4"/>
  <c r="L2164" i="4"/>
  <c r="L2100" i="4"/>
  <c r="L2036" i="4"/>
  <c r="I2004" i="4"/>
  <c r="L1982" i="4"/>
  <c r="I2623" i="4"/>
  <c r="S2290" i="4"/>
  <c r="S2226" i="4"/>
  <c r="S2162" i="4"/>
  <c r="S2098" i="4"/>
  <c r="S2034" i="4"/>
  <c r="L2003" i="4"/>
  <c r="J1982" i="4"/>
  <c r="O1955" i="4"/>
  <c r="R1920" i="4"/>
  <c r="P1889" i="4"/>
  <c r="P1873" i="4"/>
  <c r="P1857" i="4"/>
  <c r="P1841" i="4"/>
  <c r="P1825" i="4"/>
  <c r="P1809" i="4"/>
  <c r="P1793" i="4"/>
  <c r="P1777" i="4"/>
  <c r="P1761" i="4"/>
  <c r="P1745" i="4"/>
  <c r="P1729" i="4"/>
  <c r="P1713" i="4"/>
  <c r="P1697" i="4"/>
  <c r="I1972" i="4"/>
  <c r="L1938" i="4"/>
  <c r="J1913" i="4"/>
  <c r="S1891" i="4"/>
  <c r="O1860" i="4"/>
  <c r="O1828" i="4"/>
  <c r="O1796" i="4"/>
  <c r="O1764" i="4"/>
  <c r="O1732" i="4"/>
  <c r="O1700" i="4"/>
  <c r="O1668" i="4"/>
  <c r="O1636" i="4"/>
  <c r="O1604" i="4"/>
  <c r="R1942" i="4"/>
  <c r="L1912" i="4"/>
  <c r="L1892" i="4"/>
  <c r="L1879" i="4"/>
  <c r="L1869" i="4"/>
  <c r="L1859" i="4"/>
  <c r="L1847" i="4"/>
  <c r="L1837" i="4"/>
  <c r="L1827" i="4"/>
  <c r="L1815" i="4"/>
  <c r="L1805" i="4"/>
  <c r="L1795" i="4"/>
  <c r="L1783" i="4"/>
  <c r="L1773" i="4"/>
  <c r="L1763" i="4"/>
  <c r="L1751" i="4"/>
  <c r="L1741" i="4"/>
  <c r="L1731" i="4"/>
  <c r="L1719" i="4"/>
  <c r="L1709" i="4"/>
  <c r="L1699" i="4"/>
  <c r="L1687" i="4"/>
  <c r="L1959" i="4"/>
  <c r="S1938" i="4"/>
  <c r="O1917" i="4"/>
  <c r="J1904" i="4"/>
  <c r="S1890" i="4"/>
  <c r="R1878" i="4"/>
  <c r="R1868" i="4"/>
  <c r="R1858" i="4"/>
  <c r="R1846" i="4"/>
  <c r="R1836" i="4"/>
  <c r="R1826" i="4"/>
  <c r="R1814" i="4"/>
  <c r="R1804" i="4"/>
  <c r="R1794" i="4"/>
  <c r="R1782" i="4"/>
  <c r="R1772" i="4"/>
  <c r="R1762" i="4"/>
  <c r="R1750" i="4"/>
  <c r="R1740" i="4"/>
  <c r="R1730" i="4"/>
  <c r="R1718" i="4"/>
  <c r="R1708" i="4"/>
  <c r="R1698" i="4"/>
  <c r="R1686" i="4"/>
  <c r="I1673" i="4"/>
  <c r="L1659" i="4"/>
  <c r="L1643" i="4"/>
  <c r="J1630" i="4"/>
  <c r="I1617" i="4"/>
  <c r="I1601" i="4"/>
  <c r="L1590" i="4"/>
  <c r="L1580" i="4"/>
  <c r="L1568" i="4"/>
  <c r="L1558" i="4"/>
  <c r="L1548" i="4"/>
  <c r="L1536" i="4"/>
  <c r="L1526" i="4"/>
  <c r="L1516" i="4"/>
  <c r="L1504" i="4"/>
  <c r="L1494" i="4"/>
  <c r="L1484" i="4"/>
  <c r="L1472" i="4"/>
  <c r="L1462" i="4"/>
  <c r="L1452" i="4"/>
  <c r="L1440" i="4"/>
  <c r="L1429" i="4"/>
  <c r="L1419" i="4"/>
  <c r="L1407" i="4"/>
  <c r="L1397" i="4"/>
  <c r="L1387" i="4"/>
  <c r="L1375" i="4"/>
  <c r="L1365" i="4"/>
  <c r="R2312" i="4"/>
  <c r="O2247" i="4"/>
  <c r="O2167" i="4"/>
  <c r="O2112" i="4"/>
  <c r="O2064" i="4"/>
  <c r="O2024" i="4"/>
  <c r="O1997" i="4"/>
  <c r="O1973" i="4"/>
  <c r="I1955" i="4"/>
  <c r="I1945" i="4"/>
  <c r="I1933" i="4"/>
  <c r="I1923" i="4"/>
  <c r="I1913" i="4"/>
  <c r="I1901" i="4"/>
  <c r="I1891" i="4"/>
  <c r="L3229" i="4"/>
  <c r="L3133" i="4"/>
  <c r="L3053" i="4"/>
  <c r="L2973" i="4"/>
  <c r="L2877" i="4"/>
  <c r="L2797" i="4"/>
  <c r="P2486" i="4"/>
  <c r="P2390" i="4"/>
  <c r="J2314" i="4"/>
  <c r="L2242" i="4"/>
  <c r="L2194" i="4"/>
  <c r="L2154" i="4"/>
  <c r="L2114" i="4"/>
  <c r="L2066" i="4"/>
  <c r="L2026" i="4"/>
  <c r="L2008" i="4"/>
  <c r="L1992" i="4"/>
  <c r="J1979" i="4"/>
  <c r="I1966" i="4"/>
  <c r="S1949" i="4"/>
  <c r="O1936" i="4"/>
  <c r="S2696" i="4"/>
  <c r="I2325" i="4"/>
  <c r="I2285" i="4"/>
  <c r="S2244" i="4"/>
  <c r="S2196" i="4"/>
  <c r="S2156" i="4"/>
  <c r="S2116" i="4"/>
  <c r="S2068" i="4"/>
  <c r="S2028" i="4"/>
  <c r="L2009" i="4"/>
  <c r="L1993" i="4"/>
  <c r="J1980" i="4"/>
  <c r="S2770" i="4"/>
  <c r="L2661" i="4"/>
  <c r="L2581" i="4"/>
  <c r="I2501" i="4"/>
  <c r="I2405" i="4"/>
  <c r="R2329" i="4"/>
  <c r="S2249" i="4"/>
  <c r="S2201" i="4"/>
  <c r="S2161" i="4"/>
  <c r="S2121" i="4"/>
  <c r="S2073" i="4"/>
  <c r="S2033" i="4"/>
  <c r="P2011" i="4"/>
  <c r="P1995" i="4"/>
  <c r="S1981" i="4"/>
  <c r="I2743" i="4"/>
  <c r="I2615" i="4"/>
  <c r="I2321" i="4"/>
  <c r="I2289" i="4"/>
  <c r="I2257" i="4"/>
  <c r="L2225" i="4"/>
  <c r="L2193" i="4"/>
  <c r="L2161" i="4"/>
  <c r="L2129" i="4"/>
  <c r="L2097" i="4"/>
  <c r="L2065" i="4"/>
  <c r="L2033" i="4"/>
  <c r="R2013" i="4"/>
  <c r="S2002" i="4"/>
  <c r="P1992" i="4"/>
  <c r="R1981" i="4"/>
  <c r="J1970" i="4"/>
  <c r="R1954" i="4"/>
  <c r="S1936" i="4"/>
  <c r="L1919" i="4"/>
  <c r="L1903" i="4"/>
  <c r="I1889" i="4"/>
  <c r="I1881" i="4"/>
  <c r="I1873" i="4"/>
  <c r="I1865" i="4"/>
  <c r="I1857" i="4"/>
  <c r="I1849" i="4"/>
  <c r="I1841" i="4"/>
  <c r="I1833" i="4"/>
  <c r="I1825" i="4"/>
  <c r="I1817" i="4"/>
  <c r="I1809" i="4"/>
  <c r="I1801" i="4"/>
  <c r="I1793" i="4"/>
  <c r="I1785" i="4"/>
  <c r="I1777" i="4"/>
  <c r="I1769" i="4"/>
  <c r="I1761" i="4"/>
  <c r="I1753" i="4"/>
  <c r="I1745" i="4"/>
  <c r="I1737" i="4"/>
  <c r="I1729" i="4"/>
  <c r="I1721" i="4"/>
  <c r="I1713" i="4"/>
  <c r="I1705" i="4"/>
  <c r="I1697" i="4"/>
  <c r="I1689" i="4"/>
  <c r="I1969" i="4"/>
  <c r="L1955" i="4"/>
  <c r="O1937" i="4"/>
  <c r="J1923" i="4"/>
  <c r="O1912" i="4"/>
  <c r="S1901" i="4"/>
  <c r="J1891" i="4"/>
  <c r="O1875" i="4"/>
  <c r="O1859" i="4"/>
  <c r="O1843" i="4"/>
  <c r="O1827" i="4"/>
  <c r="O1811" i="4"/>
  <c r="O1795" i="4"/>
  <c r="O1779" i="4"/>
  <c r="O1763" i="4"/>
  <c r="O1747" i="4"/>
  <c r="O1731" i="4"/>
  <c r="O1715" i="4"/>
  <c r="O1699" i="4"/>
  <c r="O1683" i="4"/>
  <c r="O1667" i="4"/>
  <c r="O1651" i="4"/>
  <c r="O1635" i="4"/>
  <c r="O1619" i="4"/>
  <c r="O1603" i="4"/>
  <c r="P1959" i="4"/>
  <c r="R1941" i="4"/>
  <c r="R1923" i="4"/>
  <c r="R1907" i="4"/>
  <c r="R1891" i="4"/>
  <c r="S1882" i="4"/>
  <c r="S1874" i="4"/>
  <c r="S1866" i="4"/>
  <c r="S1858" i="4"/>
  <c r="S1850" i="4"/>
  <c r="S1842" i="4"/>
  <c r="S1834" i="4"/>
  <c r="S1826" i="4"/>
  <c r="S1818" i="4"/>
  <c r="S1810" i="4"/>
  <c r="S1802" i="4"/>
  <c r="S1794" i="4"/>
  <c r="S1786" i="4"/>
  <c r="S1778" i="4"/>
  <c r="S1770" i="4"/>
  <c r="S1762" i="4"/>
  <c r="S1754" i="4"/>
  <c r="S1746" i="4"/>
  <c r="S1738" i="4"/>
  <c r="S1730" i="4"/>
  <c r="S1722" i="4"/>
  <c r="S1714" i="4"/>
  <c r="S1706" i="4"/>
  <c r="S1698" i="4"/>
  <c r="S1690" i="4"/>
  <c r="I1968" i="4"/>
  <c r="R1955" i="4"/>
  <c r="J1936" i="4"/>
  <c r="J1922" i="4"/>
  <c r="O1911" i="4"/>
  <c r="S1900" i="4"/>
  <c r="J1890" i="4"/>
  <c r="J1882" i="4"/>
  <c r="J1874" i="4"/>
  <c r="J1866" i="4"/>
  <c r="J1858" i="4"/>
  <c r="J1850" i="4"/>
  <c r="J1842" i="4"/>
  <c r="J1834" i="4"/>
  <c r="J1826" i="4"/>
  <c r="J1818" i="4"/>
  <c r="J1810" i="4"/>
  <c r="J1802" i="4"/>
  <c r="J1794" i="4"/>
  <c r="J1786" i="4"/>
  <c r="J1778" i="4"/>
  <c r="J1770" i="4"/>
  <c r="J1762" i="4"/>
  <c r="J1754" i="4"/>
  <c r="J1746" i="4"/>
  <c r="J1738" i="4"/>
  <c r="J1730" i="4"/>
  <c r="J1722" i="4"/>
  <c r="J1714" i="4"/>
  <c r="J1706" i="4"/>
  <c r="J1698" i="4"/>
  <c r="J1690" i="4"/>
  <c r="P1680" i="4"/>
  <c r="R1669" i="4"/>
  <c r="S1658" i="4"/>
  <c r="P1648" i="4"/>
  <c r="R1637" i="4"/>
  <c r="S1626" i="4"/>
  <c r="P1616" i="4"/>
  <c r="R1605" i="4"/>
  <c r="S1595" i="4"/>
  <c r="S1587" i="4"/>
  <c r="S1579" i="4"/>
  <c r="S1571" i="4"/>
  <c r="S1563" i="4"/>
  <c r="S1555" i="4"/>
  <c r="S1547" i="4"/>
  <c r="S1539" i="4"/>
  <c r="S1531" i="4"/>
  <c r="S1523" i="4"/>
  <c r="S1515" i="4"/>
  <c r="S1507" i="4"/>
  <c r="S1499" i="4"/>
  <c r="S1491" i="4"/>
  <c r="S1483" i="4"/>
  <c r="S1475" i="4"/>
  <c r="S1467" i="4"/>
  <c r="S1459" i="4"/>
  <c r="S1451" i="4"/>
  <c r="S1443" i="4"/>
  <c r="S1434" i="4"/>
  <c r="S1426" i="4"/>
  <c r="S1418" i="4"/>
  <c r="S1410" i="4"/>
  <c r="S1402" i="4"/>
  <c r="S1394" i="4"/>
  <c r="S1386" i="4"/>
  <c r="S1378" i="4"/>
  <c r="S1370" i="4"/>
  <c r="S1362" i="4"/>
  <c r="S2309" i="4"/>
  <c r="P2267" i="4"/>
  <c r="O2211" i="4"/>
  <c r="O2147" i="4"/>
  <c r="O2111" i="4"/>
  <c r="O2079" i="4"/>
  <c r="O2047" i="4"/>
  <c r="O2015" i="4"/>
  <c r="O1996" i="4"/>
  <c r="O1980" i="4"/>
  <c r="O1964" i="4"/>
  <c r="P1952" i="4"/>
  <c r="P1944" i="4"/>
  <c r="P1936" i="4"/>
  <c r="P1928" i="4"/>
  <c r="P1920" i="4"/>
  <c r="P1912" i="4"/>
  <c r="P1904" i="4"/>
  <c r="P1896" i="4"/>
  <c r="O3631" i="4"/>
  <c r="S3226" i="4"/>
  <c r="S3162" i="4"/>
  <c r="S3098" i="4"/>
  <c r="S3034" i="4"/>
  <c r="S2970" i="4"/>
  <c r="S2906" i="4"/>
  <c r="S2842" i="4"/>
  <c r="S2762" i="4"/>
  <c r="I2481" i="4"/>
  <c r="I2417" i="4"/>
  <c r="I2353" i="4"/>
  <c r="R2293" i="4"/>
  <c r="S2239" i="4"/>
  <c r="S2207" i="4"/>
  <c r="S2175" i="4"/>
  <c r="S2143" i="4"/>
  <c r="S2111" i="4"/>
  <c r="S2079" i="4"/>
  <c r="S2047" i="4"/>
  <c r="R2018" i="4"/>
  <c r="S2007" i="4"/>
  <c r="P1997" i="4"/>
  <c r="R1986" i="4"/>
  <c r="S1975" i="4"/>
  <c r="P1965" i="4"/>
  <c r="O1954" i="4"/>
  <c r="S1943" i="4"/>
  <c r="J1933" i="4"/>
  <c r="S2688" i="4"/>
  <c r="S2560" i="4"/>
  <c r="L2307" i="4"/>
  <c r="L2275" i="4"/>
  <c r="L2243" i="4"/>
  <c r="L2211" i="4"/>
  <c r="L2179" i="4"/>
  <c r="L2147" i="4"/>
  <c r="L2115" i="4"/>
  <c r="L2083" i="4"/>
  <c r="L2051" i="4"/>
  <c r="R2019" i="4"/>
  <c r="S2008" i="4"/>
  <c r="P1998" i="4"/>
  <c r="R1987" i="4"/>
  <c r="S1976" i="4"/>
  <c r="L2757" i="4"/>
  <c r="P2690" i="4"/>
  <c r="P2626" i="4"/>
  <c r="P2562" i="4"/>
  <c r="P2498" i="4"/>
  <c r="P2434" i="4"/>
  <c r="P2370" i="4"/>
  <c r="J2310" i="4"/>
  <c r="L2248" i="4"/>
  <c r="L2216" i="4"/>
  <c r="L2184" i="4"/>
  <c r="L2152" i="4"/>
  <c r="L2120" i="4"/>
  <c r="L2088" i="4"/>
  <c r="L2056" i="4"/>
  <c r="L2024" i="4"/>
  <c r="L2010" i="4"/>
  <c r="I2000" i="4"/>
  <c r="J1989" i="4"/>
  <c r="L1978" i="4"/>
  <c r="I2703" i="4"/>
  <c r="I2575" i="4"/>
  <c r="L2311" i="4"/>
  <c r="L2279" i="4"/>
  <c r="S2246" i="4"/>
  <c r="S2214" i="4"/>
  <c r="S2182" i="4"/>
  <c r="S2150" i="4"/>
  <c r="S2118" i="4"/>
  <c r="S2086" i="4"/>
  <c r="S2054" i="4"/>
  <c r="S2022" i="4"/>
  <c r="J2010" i="4"/>
  <c r="L1999" i="4"/>
  <c r="I1989" i="4"/>
  <c r="J1978" i="4"/>
  <c r="R1965" i="4"/>
  <c r="L1948" i="4"/>
  <c r="R1930" i="4"/>
  <c r="R1914" i="4"/>
  <c r="R1898" i="4"/>
  <c r="P1886" i="4"/>
  <c r="P1878" i="4"/>
  <c r="P1870" i="4"/>
  <c r="P1862" i="4"/>
  <c r="P1854" i="4"/>
  <c r="P1846" i="4"/>
  <c r="P1838" i="4"/>
  <c r="P1830" i="4"/>
  <c r="P1822" i="4"/>
  <c r="P1814" i="4"/>
  <c r="P1806" i="4"/>
  <c r="P1798" i="4"/>
  <c r="P1790" i="4"/>
  <c r="P1782" i="4"/>
  <c r="P1774" i="4"/>
  <c r="P1766" i="4"/>
  <c r="P1758" i="4"/>
  <c r="P1750" i="4"/>
  <c r="P1742" i="4"/>
  <c r="P1734" i="4"/>
  <c r="P1726" i="4"/>
  <c r="P1718" i="4"/>
  <c r="P1710" i="4"/>
  <c r="P1702" i="4"/>
  <c r="P1694" i="4"/>
  <c r="P1686" i="4"/>
  <c r="S1964" i="4"/>
  <c r="S1950" i="4"/>
  <c r="L1931" i="4"/>
  <c r="S1919" i="4"/>
  <c r="J1909" i="4"/>
  <c r="O1898" i="4"/>
  <c r="O1886" i="4"/>
  <c r="O1870" i="4"/>
  <c r="O1854" i="4"/>
  <c r="O1838" i="4"/>
  <c r="O1822" i="4"/>
  <c r="O1806" i="4"/>
  <c r="O1790" i="4"/>
  <c r="O1774" i="4"/>
  <c r="O1758" i="4"/>
  <c r="O1742" i="4"/>
  <c r="O1726" i="4"/>
  <c r="O1710" i="4"/>
  <c r="O1694" i="4"/>
  <c r="O1678" i="4"/>
  <c r="O1662" i="4"/>
  <c r="O1646" i="4"/>
  <c r="O1630" i="4"/>
  <c r="O1614" i="4"/>
  <c r="S1970" i="4"/>
  <c r="L1953" i="4"/>
  <c r="O1935" i="4"/>
  <c r="L1918" i="4"/>
  <c r="L1902" i="4"/>
  <c r="L1888" i="4"/>
  <c r="L1880" i="4"/>
  <c r="L1872" i="4"/>
  <c r="L1864" i="4"/>
  <c r="L1856" i="4"/>
  <c r="L1848" i="4"/>
  <c r="L1840" i="4"/>
  <c r="L1832" i="4"/>
  <c r="L1824" i="4"/>
  <c r="L1816" i="4"/>
  <c r="L1808" i="4"/>
  <c r="L1800" i="4"/>
  <c r="L1792" i="4"/>
  <c r="L1784" i="4"/>
  <c r="L1776" i="4"/>
  <c r="L1768" i="4"/>
  <c r="L1760" i="4"/>
  <c r="L1752" i="4"/>
  <c r="L1744" i="4"/>
  <c r="L1736" i="4"/>
  <c r="L1728" i="4"/>
  <c r="L1720" i="4"/>
  <c r="L1712" i="4"/>
  <c r="L1704" i="4"/>
  <c r="L1696" i="4"/>
  <c r="L1688" i="4"/>
  <c r="P1964" i="4"/>
  <c r="O1949" i="4"/>
  <c r="R1931" i="4"/>
  <c r="S1918" i="4"/>
  <c r="J1908" i="4"/>
  <c r="O1897" i="4"/>
  <c r="R1887" i="4"/>
  <c r="R1879" i="4"/>
  <c r="R1871" i="4"/>
  <c r="R1863" i="4"/>
  <c r="R1855" i="4"/>
  <c r="R1847" i="4"/>
  <c r="R1839" i="4"/>
  <c r="R1831" i="4"/>
  <c r="R1823" i="4"/>
  <c r="R1815" i="4"/>
  <c r="R1807" i="4"/>
  <c r="R1799" i="4"/>
  <c r="R1791" i="4"/>
  <c r="R1783" i="4"/>
  <c r="R1775" i="4"/>
  <c r="R1767" i="4"/>
  <c r="R1759" i="4"/>
  <c r="R1751" i="4"/>
  <c r="R1743" i="4"/>
  <c r="R1735" i="4"/>
  <c r="R1727" i="4"/>
  <c r="R1719" i="4"/>
  <c r="R1711" i="4"/>
  <c r="R1703" i="4"/>
  <c r="R1695" i="4"/>
  <c r="R1687" i="4"/>
  <c r="I1677" i="4"/>
  <c r="J1666" i="4"/>
  <c r="L1655" i="4"/>
  <c r="I1645" i="4"/>
  <c r="J1634" i="4"/>
  <c r="L1623" i="4"/>
  <c r="I1613" i="4"/>
  <c r="J1602" i="4"/>
  <c r="L1593" i="4"/>
  <c r="L1585" i="4"/>
  <c r="L1577" i="4"/>
  <c r="L1569" i="4"/>
  <c r="L1561" i="4"/>
  <c r="L1553" i="4"/>
  <c r="L1545" i="4"/>
  <c r="L1537" i="4"/>
  <c r="L1529" i="4"/>
  <c r="L1521" i="4"/>
  <c r="L1513" i="4"/>
  <c r="L1505" i="4"/>
  <c r="L1497" i="4"/>
  <c r="L1489" i="4"/>
  <c r="L1481" i="4"/>
  <c r="L1473" i="4"/>
  <c r="L1465" i="4"/>
  <c r="L1457" i="4"/>
  <c r="L1449" i="4"/>
  <c r="L1441" i="4"/>
  <c r="L1432" i="4"/>
  <c r="L1424" i="4"/>
  <c r="L1416" i="4"/>
  <c r="L1408" i="4"/>
  <c r="L1400" i="4"/>
  <c r="L1392" i="4"/>
  <c r="L1384" i="4"/>
  <c r="L1376" i="4"/>
  <c r="L1368" i="4"/>
  <c r="L1360" i="4"/>
  <c r="S1352" i="4"/>
  <c r="S1344" i="4"/>
  <c r="S1336" i="4"/>
  <c r="S1328" i="4"/>
  <c r="S1320" i="4"/>
  <c r="S1312" i="4"/>
  <c r="S1304" i="4"/>
  <c r="S1296" i="4"/>
  <c r="S1288" i="4"/>
  <c r="S1280" i="4"/>
  <c r="S1272" i="4"/>
  <c r="S1264" i="4"/>
  <c r="S1256" i="4"/>
  <c r="S1248" i="4"/>
  <c r="S1240" i="4"/>
  <c r="S1232" i="4"/>
  <c r="S1224" i="4"/>
  <c r="S1216" i="4"/>
  <c r="S1208" i="4"/>
  <c r="S1200" i="4"/>
  <c r="S1192" i="4"/>
  <c r="S1184" i="4"/>
  <c r="S1176" i="4"/>
  <c r="S1168" i="4"/>
  <c r="S1160" i="4"/>
  <c r="S1152" i="4"/>
  <c r="S1144" i="4"/>
  <c r="S1136" i="4"/>
  <c r="S1128" i="4"/>
  <c r="S1120" i="4"/>
  <c r="S1112" i="4"/>
  <c r="S1104" i="4"/>
  <c r="S1096" i="4"/>
  <c r="S1088" i="4"/>
  <c r="S1080" i="4"/>
  <c r="S1072" i="4"/>
  <c r="S1064" i="4"/>
  <c r="S1056" i="4"/>
  <c r="L1676" i="4"/>
  <c r="I1666" i="4"/>
  <c r="J1655" i="4"/>
  <c r="L1644" i="4"/>
  <c r="I1634" i="4"/>
  <c r="J1623" i="4"/>
  <c r="L1612" i="4"/>
  <c r="I1602" i="4"/>
  <c r="J1593" i="4"/>
  <c r="J1585" i="4"/>
  <c r="J1577" i="4"/>
  <c r="J1569" i="4"/>
  <c r="J1561" i="4"/>
  <c r="J1553" i="4"/>
  <c r="J1545" i="4"/>
  <c r="J1537" i="4"/>
  <c r="J1529" i="4"/>
  <c r="J1521" i="4"/>
  <c r="J1513" i="4"/>
  <c r="J1505" i="4"/>
  <c r="J1497" i="4"/>
  <c r="J1489" i="4"/>
  <c r="J1481" i="4"/>
  <c r="J1473" i="4"/>
  <c r="J1465" i="4"/>
  <c r="J1457" i="4"/>
  <c r="J1449" i="4"/>
  <c r="J1441" i="4"/>
  <c r="J1432" i="4"/>
  <c r="J1424" i="4"/>
  <c r="J1416" i="4"/>
  <c r="J1408" i="4"/>
  <c r="J1400" i="4"/>
  <c r="J1392" i="4"/>
  <c r="J1384" i="4"/>
  <c r="J1376" i="4"/>
  <c r="J1368" i="4"/>
  <c r="J1360" i="4"/>
  <c r="J1352" i="4"/>
  <c r="J1344" i="4"/>
  <c r="J1336" i="4"/>
  <c r="J1328" i="4"/>
  <c r="J1320" i="4"/>
  <c r="J1312" i="4"/>
  <c r="J1304" i="4"/>
  <c r="J1296" i="4"/>
  <c r="J1288" i="4"/>
  <c r="J1280" i="4"/>
  <c r="J1272" i="4"/>
  <c r="J1264" i="4"/>
  <c r="J1256" i="4"/>
  <c r="J1248" i="4"/>
  <c r="J1240" i="4"/>
  <c r="J1232" i="4"/>
  <c r="J1224" i="4"/>
  <c r="J1216" i="4"/>
  <c r="J1208" i="4"/>
  <c r="J1200" i="4"/>
  <c r="J1192" i="4"/>
  <c r="J1184" i="4"/>
  <c r="J1176" i="4"/>
  <c r="J1168" i="4"/>
  <c r="J1160" i="4"/>
  <c r="J1152" i="4"/>
  <c r="J1144" i="4"/>
  <c r="J1136" i="4"/>
  <c r="J1128" i="4"/>
  <c r="J1120" i="4"/>
  <c r="J1112" i="4"/>
  <c r="J1104" i="4"/>
  <c r="J1096" i="4"/>
  <c r="J1088" i="4"/>
  <c r="J1080" i="4"/>
  <c r="J1072" i="4"/>
  <c r="J1064" i="4"/>
  <c r="J1056" i="4"/>
  <c r="J1676" i="4"/>
  <c r="L1665" i="4"/>
  <c r="I1655" i="4"/>
  <c r="J1644" i="4"/>
  <c r="L1633" i="4"/>
  <c r="I1623" i="4"/>
  <c r="J1612" i="4"/>
  <c r="L1601" i="4"/>
  <c r="I1593" i="4"/>
  <c r="I1585" i="4"/>
  <c r="I1577" i="4"/>
  <c r="I1569" i="4"/>
  <c r="I1561" i="4"/>
  <c r="I1553" i="4"/>
  <c r="I1545" i="4"/>
  <c r="I1537" i="4"/>
  <c r="I1529" i="4"/>
  <c r="I1521" i="4"/>
  <c r="I1513" i="4"/>
  <c r="I1505" i="4"/>
  <c r="I1497" i="4"/>
  <c r="I1489" i="4"/>
  <c r="I1481" i="4"/>
  <c r="I1473" i="4"/>
  <c r="I1465" i="4"/>
  <c r="I1457" i="4"/>
  <c r="I1449" i="4"/>
  <c r="I1441" i="4"/>
  <c r="I1432" i="4"/>
  <c r="I1424" i="4"/>
  <c r="I1416" i="4"/>
  <c r="I1408" i="4"/>
  <c r="I1400" i="4"/>
  <c r="I1392" i="4"/>
  <c r="I1384" i="4"/>
  <c r="I1376" i="4"/>
  <c r="I1368" i="4"/>
  <c r="I1360" i="4"/>
  <c r="I1352" i="4"/>
  <c r="I1344" i="4"/>
  <c r="I1336" i="4"/>
  <c r="I1328" i="4"/>
  <c r="I1320" i="4"/>
  <c r="I1312" i="4"/>
  <c r="I1304" i="4"/>
  <c r="I1296" i="4"/>
  <c r="I1288" i="4"/>
  <c r="I1280" i="4"/>
  <c r="I1272" i="4"/>
  <c r="I1264" i="4"/>
  <c r="I1256" i="4"/>
  <c r="I1248" i="4"/>
  <c r="I1240" i="4"/>
  <c r="I1232" i="4"/>
  <c r="I1224" i="4"/>
  <c r="I1216" i="4"/>
  <c r="I1208" i="4"/>
  <c r="I1200" i="4"/>
  <c r="I1192" i="4"/>
  <c r="I1184" i="4"/>
  <c r="I1176" i="4"/>
  <c r="I1168" i="4"/>
  <c r="I1160" i="4"/>
  <c r="I1152" i="4"/>
  <c r="I1144" i="4"/>
  <c r="I1136" i="4"/>
  <c r="I1128" i="4"/>
  <c r="I1120" i="4"/>
  <c r="I1112" i="4"/>
  <c r="I1104" i="4"/>
  <c r="I1096" i="4"/>
  <c r="I1088" i="4"/>
  <c r="I1080" i="4"/>
  <c r="I1072" i="4"/>
  <c r="I1064" i="4"/>
  <c r="I1056" i="4"/>
  <c r="I1048" i="4"/>
  <c r="I1680" i="4"/>
  <c r="J1669" i="4"/>
  <c r="L1658" i="4"/>
  <c r="I1648" i="4"/>
  <c r="J1637" i="4"/>
  <c r="L1626" i="4"/>
  <c r="I1616" i="4"/>
  <c r="J1605" i="4"/>
  <c r="O1592" i="4"/>
  <c r="O1576" i="4"/>
  <c r="O1560" i="4"/>
  <c r="O1544" i="4"/>
  <c r="O1528" i="4"/>
  <c r="O1512" i="4"/>
  <c r="O1496" i="4"/>
  <c r="O1480" i="4"/>
  <c r="O1464" i="4"/>
  <c r="O1448" i="4"/>
  <c r="O1431" i="4"/>
  <c r="O1415" i="4"/>
  <c r="O1399" i="4"/>
  <c r="O1383" i="4"/>
  <c r="O1367" i="4"/>
  <c r="O1351" i="4"/>
  <c r="O1335" i="4"/>
  <c r="O1319" i="4"/>
  <c r="O1303" i="4"/>
  <c r="O1287" i="4"/>
  <c r="O1271" i="4"/>
  <c r="O1255" i="4"/>
  <c r="O1239" i="4"/>
  <c r="O1223" i="4"/>
  <c r="O1207" i="4"/>
  <c r="O1191" i="4"/>
  <c r="O1175" i="4"/>
  <c r="O1159" i="4"/>
  <c r="O1143" i="4"/>
  <c r="O1127" i="4"/>
  <c r="O1111" i="4"/>
  <c r="O1095" i="4"/>
  <c r="O1079" i="4"/>
  <c r="O1063" i="4"/>
  <c r="O1047" i="4"/>
  <c r="O1031" i="4"/>
  <c r="O1015" i="4"/>
  <c r="O999" i="4"/>
  <c r="O983" i="4"/>
  <c r="O967" i="4"/>
  <c r="O951" i="4"/>
  <c r="O935" i="4"/>
  <c r="O919" i="4"/>
  <c r="O903" i="4"/>
  <c r="O887" i="4"/>
  <c r="O871" i="4"/>
  <c r="O855" i="4"/>
  <c r="O839" i="4"/>
  <c r="O823" i="4"/>
  <c r="O807" i="4"/>
  <c r="O791" i="4"/>
  <c r="O775" i="4"/>
  <c r="O759" i="4"/>
  <c r="O743" i="4"/>
  <c r="O727" i="4"/>
  <c r="O711" i="4"/>
  <c r="R1046" i="4"/>
  <c r="L1352" i="4"/>
  <c r="L1344" i="4"/>
  <c r="L1336" i="4"/>
  <c r="L1328" i="4"/>
  <c r="L1320" i="4"/>
  <c r="L1312" i="4"/>
  <c r="L1304" i="4"/>
  <c r="L1296" i="4"/>
  <c r="L1288" i="4"/>
  <c r="L1280" i="4"/>
  <c r="L1272" i="4"/>
  <c r="L1264" i="4"/>
  <c r="L1256" i="4"/>
  <c r="L1248" i="4"/>
  <c r="L1240" i="4"/>
  <c r="L1232" i="4"/>
  <c r="L1224" i="4"/>
  <c r="L1216" i="4"/>
  <c r="L1208" i="4"/>
  <c r="L1200" i="4"/>
  <c r="L1192" i="4"/>
  <c r="L1184" i="4"/>
  <c r="L1176" i="4"/>
  <c r="L1168" i="4"/>
  <c r="L1160" i="4"/>
  <c r="L1152" i="4"/>
  <c r="L1144" i="4"/>
  <c r="L1136" i="4"/>
  <c r="L1128" i="4"/>
  <c r="L1120" i="4"/>
  <c r="L1112" i="4"/>
  <c r="L1104" i="4"/>
  <c r="L1096" i="4"/>
  <c r="L1088" i="4"/>
  <c r="L1080" i="4"/>
  <c r="L1072" i="4"/>
  <c r="L1064" i="4"/>
  <c r="L1056" i="4"/>
  <c r="S1675" i="4"/>
  <c r="P1665" i="4"/>
  <c r="R1654" i="4"/>
  <c r="S1643" i="4"/>
  <c r="P1633" i="4"/>
  <c r="R1622" i="4"/>
  <c r="S1611" i="4"/>
  <c r="P1601" i="4"/>
  <c r="R1592" i="4"/>
  <c r="R1584" i="4"/>
  <c r="R1576" i="4"/>
  <c r="R1568" i="4"/>
  <c r="R1560" i="4"/>
  <c r="R1552" i="4"/>
  <c r="R1544" i="4"/>
  <c r="R1536" i="4"/>
  <c r="R1528" i="4"/>
  <c r="R1520" i="4"/>
  <c r="R1512" i="4"/>
  <c r="R1504" i="4"/>
  <c r="R1496" i="4"/>
  <c r="R1488" i="4"/>
  <c r="R1480" i="4"/>
  <c r="R1472" i="4"/>
  <c r="R1464" i="4"/>
  <c r="R1456" i="4"/>
  <c r="R1448" i="4"/>
  <c r="R1440" i="4"/>
  <c r="R1431" i="4"/>
  <c r="R1423" i="4"/>
  <c r="R1415" i="4"/>
  <c r="R1407" i="4"/>
  <c r="R1399" i="4"/>
  <c r="R1391" i="4"/>
  <c r="R1383" i="4"/>
  <c r="R1375" i="4"/>
  <c r="R1367" i="4"/>
  <c r="R1359" i="4"/>
  <c r="R1351" i="4"/>
  <c r="R1343" i="4"/>
  <c r="R1335" i="4"/>
  <c r="R1327" i="4"/>
  <c r="R1319" i="4"/>
  <c r="R1311" i="4"/>
  <c r="R1303" i="4"/>
  <c r="R1295" i="4"/>
  <c r="R1287" i="4"/>
  <c r="R1279" i="4"/>
  <c r="R1271" i="4"/>
  <c r="R1263" i="4"/>
  <c r="R1255" i="4"/>
  <c r="R1247" i="4"/>
  <c r="R1239" i="4"/>
  <c r="R1231" i="4"/>
  <c r="R1223" i="4"/>
  <c r="R1215" i="4"/>
  <c r="R1207" i="4"/>
  <c r="R1199" i="4"/>
  <c r="R1191" i="4"/>
  <c r="R1183" i="4"/>
  <c r="R1175" i="4"/>
  <c r="R1167" i="4"/>
  <c r="R1159" i="4"/>
  <c r="R1151" i="4"/>
  <c r="R1143" i="4"/>
  <c r="R1135" i="4"/>
  <c r="R1127" i="4"/>
  <c r="R1119" i="4"/>
  <c r="R1111" i="4"/>
  <c r="R1103" i="4"/>
  <c r="R1095" i="4"/>
  <c r="R1087" i="4"/>
  <c r="R1079" i="4"/>
  <c r="R1071" i="4"/>
  <c r="R1063" i="4"/>
  <c r="R1055" i="4"/>
  <c r="R1675" i="4"/>
  <c r="S1664" i="4"/>
  <c r="P1654" i="4"/>
  <c r="R1643" i="4"/>
  <c r="S1632" i="4"/>
  <c r="P1622" i="4"/>
  <c r="R1611" i="4"/>
  <c r="S1600" i="4"/>
  <c r="P1592" i="4"/>
  <c r="P1584" i="4"/>
  <c r="P1576" i="4"/>
  <c r="P1568" i="4"/>
  <c r="P1560" i="4"/>
  <c r="P1552" i="4"/>
  <c r="P1544" i="4"/>
  <c r="P1536" i="4"/>
  <c r="P1528" i="4"/>
  <c r="P1520" i="4"/>
  <c r="P1512" i="4"/>
  <c r="P1504" i="4"/>
  <c r="P1496" i="4"/>
  <c r="P1488" i="4"/>
  <c r="P1480" i="4"/>
  <c r="P1472" i="4"/>
  <c r="P1464" i="4"/>
  <c r="P1456" i="4"/>
  <c r="P1448" i="4"/>
  <c r="P1440" i="4"/>
  <c r="P1431" i="4"/>
  <c r="P1423" i="4"/>
  <c r="P1415" i="4"/>
  <c r="P1407" i="4"/>
  <c r="P1399" i="4"/>
  <c r="P1391" i="4"/>
  <c r="P1383" i="4"/>
  <c r="P1375" i="4"/>
  <c r="P1367" i="4"/>
  <c r="P1359" i="4"/>
  <c r="P1351" i="4"/>
  <c r="P1343" i="4"/>
  <c r="P1335" i="4"/>
  <c r="P1327" i="4"/>
  <c r="P1319" i="4"/>
  <c r="P1311" i="4"/>
  <c r="P1303" i="4"/>
  <c r="P1295" i="4"/>
  <c r="P1287" i="4"/>
  <c r="P1279" i="4"/>
  <c r="P1271" i="4"/>
  <c r="P1263" i="4"/>
  <c r="P1255" i="4"/>
  <c r="P1247" i="4"/>
  <c r="P1239" i="4"/>
  <c r="P1231" i="4"/>
  <c r="P1223" i="4"/>
  <c r="P1215" i="4"/>
  <c r="P1207" i="4"/>
  <c r="P1199" i="4"/>
  <c r="P1191" i="4"/>
  <c r="P1183" i="4"/>
  <c r="P1175" i="4"/>
  <c r="P1167" i="4"/>
  <c r="P1159" i="4"/>
  <c r="P1151" i="4"/>
  <c r="P1143" i="4"/>
  <c r="P1135" i="4"/>
  <c r="P1127" i="4"/>
  <c r="P1119" i="4"/>
  <c r="P1111" i="4"/>
  <c r="P1103" i="4"/>
  <c r="P1095" i="4"/>
  <c r="P1087" i="4"/>
  <c r="P1079" i="4"/>
  <c r="P1071" i="4"/>
  <c r="P1063" i="4"/>
  <c r="P1055" i="4"/>
  <c r="P1047" i="4"/>
  <c r="P1679" i="4"/>
  <c r="R1668" i="4"/>
  <c r="S1657" i="4"/>
  <c r="S1353" i="4"/>
  <c r="S1345" i="4"/>
  <c r="S1337" i="4"/>
  <c r="S1329" i="4"/>
  <c r="S1321" i="4"/>
  <c r="S1313" i="4"/>
  <c r="S1305" i="4"/>
  <c r="S1297" i="4"/>
  <c r="S1289" i="4"/>
  <c r="S1281" i="4"/>
  <c r="S1273" i="4"/>
  <c r="S1265" i="4"/>
  <c r="S1257" i="4"/>
  <c r="S1249" i="4"/>
  <c r="S1241" i="4"/>
  <c r="S1233" i="4"/>
  <c r="S1225" i="4"/>
  <c r="S1217" i="4"/>
  <c r="S1209" i="4"/>
  <c r="S1201" i="4"/>
  <c r="S1193" i="4"/>
  <c r="S1185" i="4"/>
  <c r="S1177" i="4"/>
  <c r="S1169" i="4"/>
  <c r="S1161" i="4"/>
  <c r="S1153" i="4"/>
  <c r="S1145" i="4"/>
  <c r="S1137" i="4"/>
  <c r="S1129" i="4"/>
  <c r="S1121" i="4"/>
  <c r="S1113" i="4"/>
  <c r="S1105" i="4"/>
  <c r="S1097" i="4"/>
  <c r="S1089" i="4"/>
  <c r="S1081" i="4"/>
  <c r="S1073" i="4"/>
  <c r="S1065" i="4"/>
  <c r="S1057" i="4"/>
  <c r="I1678" i="4"/>
  <c r="J1667" i="4"/>
  <c r="L1656" i="4"/>
  <c r="I1646" i="4"/>
  <c r="J1635" i="4"/>
  <c r="L1624" i="4"/>
  <c r="I1614" i="4"/>
  <c r="J1603" i="4"/>
  <c r="J1594" i="4"/>
  <c r="J1586" i="4"/>
  <c r="J1578" i="4"/>
  <c r="J1570" i="4"/>
  <c r="J1562" i="4"/>
  <c r="J1554" i="4"/>
  <c r="J1546" i="4"/>
  <c r="J1538" i="4"/>
  <c r="J1530" i="4"/>
  <c r="J1522" i="4"/>
  <c r="J1514" i="4"/>
  <c r="J1506" i="4"/>
  <c r="J1498" i="4"/>
  <c r="J1490" i="4"/>
  <c r="J1482" i="4"/>
  <c r="J1474" i="4"/>
  <c r="J1466" i="4"/>
  <c r="J1458" i="4"/>
  <c r="J1450" i="4"/>
  <c r="J1442" i="4"/>
  <c r="J1433" i="4"/>
  <c r="J1425" i="4"/>
  <c r="J1417" i="4"/>
  <c r="J1409" i="4"/>
  <c r="J1401" i="4"/>
  <c r="J1393" i="4"/>
  <c r="J1385" i="4"/>
  <c r="J1377" i="4"/>
  <c r="J1369" i="4"/>
  <c r="J1361" i="4"/>
  <c r="J1353" i="4"/>
  <c r="J1345" i="4"/>
  <c r="J1337" i="4"/>
  <c r="J1329" i="4"/>
  <c r="J1321" i="4"/>
  <c r="J1313" i="4"/>
  <c r="J1305" i="4"/>
  <c r="J1297" i="4"/>
  <c r="J1289" i="4"/>
  <c r="J1281" i="4"/>
  <c r="J1273" i="4"/>
  <c r="J1265" i="4"/>
  <c r="J1257" i="4"/>
  <c r="J1249" i="4"/>
  <c r="J1241" i="4"/>
  <c r="J1233" i="4"/>
  <c r="J1225" i="4"/>
  <c r="J1217" i="4"/>
  <c r="J1209" i="4"/>
  <c r="J1201" i="4"/>
  <c r="J1193" i="4"/>
  <c r="J1185" i="4"/>
  <c r="J1177" i="4"/>
  <c r="J1169" i="4"/>
  <c r="J1161" i="4"/>
  <c r="J1153" i="4"/>
  <c r="J1145" i="4"/>
  <c r="J1137" i="4"/>
  <c r="J1129" i="4"/>
  <c r="J1121" i="4"/>
  <c r="J1113" i="4"/>
  <c r="J1105" i="4"/>
  <c r="J1097" i="4"/>
  <c r="J1089" i="4"/>
  <c r="J1081" i="4"/>
  <c r="J1073" i="4"/>
  <c r="J1065" i="4"/>
  <c r="J1057" i="4"/>
  <c r="L1677" i="4"/>
  <c r="I1667" i="4"/>
  <c r="J1656" i="4"/>
  <c r="L1645" i="4"/>
  <c r="I1635" i="4"/>
  <c r="J1624" i="4"/>
  <c r="L1613" i="4"/>
  <c r="I1603" i="4"/>
  <c r="I1594" i="4"/>
  <c r="I1586" i="4"/>
  <c r="I1578" i="4"/>
  <c r="I1570" i="4"/>
  <c r="I1562" i="4"/>
  <c r="I1554" i="4"/>
  <c r="I1546" i="4"/>
  <c r="I1538" i="4"/>
  <c r="I1530" i="4"/>
  <c r="I1522" i="4"/>
  <c r="I1514" i="4"/>
  <c r="I1506" i="4"/>
  <c r="I1498" i="4"/>
  <c r="I1490" i="4"/>
  <c r="I1482" i="4"/>
  <c r="I1474" i="4"/>
  <c r="I1466" i="4"/>
  <c r="I1458" i="4"/>
  <c r="I1450" i="4"/>
  <c r="I1442" i="4"/>
  <c r="I1433" i="4"/>
  <c r="I1425" i="4"/>
  <c r="I1417" i="4"/>
  <c r="I1409" i="4"/>
  <c r="I1401" i="4"/>
  <c r="I1393" i="4"/>
  <c r="I1385" i="4"/>
  <c r="I1377" i="4"/>
  <c r="I1369" i="4"/>
  <c r="I1361" i="4"/>
  <c r="I1353" i="4"/>
  <c r="I1345" i="4"/>
  <c r="I1337" i="4"/>
  <c r="I1329" i="4"/>
  <c r="I1321" i="4"/>
  <c r="I1313" i="4"/>
  <c r="I1305" i="4"/>
  <c r="I1297" i="4"/>
  <c r="I1289" i="4"/>
  <c r="I1281" i="4"/>
  <c r="I1273" i="4"/>
  <c r="I1265" i="4"/>
  <c r="I1257" i="4"/>
  <c r="I1249" i="4"/>
  <c r="I1241" i="4"/>
  <c r="I1233" i="4"/>
  <c r="I1225" i="4"/>
  <c r="I1217" i="4"/>
  <c r="I1209" i="4"/>
  <c r="I1201" i="4"/>
  <c r="I1193" i="4"/>
  <c r="I1185" i="4"/>
  <c r="I1177" i="4"/>
  <c r="I1169" i="4"/>
  <c r="I1161" i="4"/>
  <c r="I1153" i="4"/>
  <c r="I1145" i="4"/>
  <c r="I1137" i="4"/>
  <c r="I1129" i="4"/>
  <c r="I1121" i="4"/>
  <c r="I1113" i="4"/>
  <c r="I1105" i="4"/>
  <c r="I1097" i="4"/>
  <c r="I1089" i="4"/>
  <c r="I1081" i="4"/>
  <c r="I1073" i="4"/>
  <c r="I1065" i="4"/>
  <c r="I1057" i="4"/>
  <c r="I1049" i="4"/>
  <c r="J1681" i="4"/>
  <c r="L1670" i="4"/>
  <c r="I1660" i="4"/>
  <c r="J1649" i="4"/>
  <c r="L1638" i="4"/>
  <c r="I1628" i="4"/>
  <c r="J1617" i="4"/>
  <c r="L1606" i="4"/>
  <c r="O1594" i="4"/>
  <c r="O1578" i="4"/>
  <c r="O1562" i="4"/>
  <c r="O1546" i="4"/>
  <c r="O1530" i="4"/>
  <c r="O1514" i="4"/>
  <c r="O1498" i="4"/>
  <c r="O1482" i="4"/>
  <c r="O1466" i="4"/>
  <c r="O1450" i="4"/>
  <c r="O1433" i="4"/>
  <c r="O1417" i="4"/>
  <c r="O1401" i="4"/>
  <c r="O1385" i="4"/>
  <c r="O1369" i="4"/>
  <c r="O1353" i="4"/>
  <c r="O1337" i="4"/>
  <c r="O1321" i="4"/>
  <c r="O1305" i="4"/>
  <c r="O1289" i="4"/>
  <c r="O1273" i="4"/>
  <c r="O1257" i="4"/>
  <c r="O1241" i="4"/>
  <c r="O1225" i="4"/>
  <c r="O1209" i="4"/>
  <c r="O1193" i="4"/>
  <c r="O1177" i="4"/>
  <c r="O1161" i="4"/>
  <c r="O1145" i="4"/>
  <c r="O1129" i="4"/>
  <c r="O1113" i="4"/>
  <c r="O1097" i="4"/>
  <c r="O1081" i="4"/>
  <c r="O1065" i="4"/>
  <c r="O1049" i="4"/>
  <c r="O1033" i="4"/>
  <c r="O1017" i="4"/>
  <c r="O1001" i="4"/>
  <c r="O985" i="4"/>
  <c r="O969" i="4"/>
  <c r="O953" i="4"/>
  <c r="O937" i="4"/>
  <c r="O921" i="4"/>
  <c r="O905" i="4"/>
  <c r="O889" i="4"/>
  <c r="O873" i="4"/>
  <c r="O857" i="4"/>
  <c r="O841" i="4"/>
  <c r="O825" i="4"/>
  <c r="O809" i="4"/>
  <c r="O793" i="4"/>
  <c r="O777" i="4"/>
  <c r="O761" i="4"/>
  <c r="O745" i="4"/>
  <c r="O729" i="4"/>
  <c r="O713" i="4"/>
  <c r="J1048" i="4"/>
  <c r="L1353" i="4"/>
  <c r="L1345" i="4"/>
  <c r="L1337" i="4"/>
  <c r="L1329" i="4"/>
  <c r="L1321" i="4"/>
  <c r="L1313" i="4"/>
  <c r="L1305" i="4"/>
  <c r="L1297" i="4"/>
  <c r="L1289" i="4"/>
  <c r="L1281" i="4"/>
  <c r="L1273" i="4"/>
  <c r="L1265" i="4"/>
  <c r="L1257" i="4"/>
  <c r="L1249" i="4"/>
  <c r="L1241" i="4"/>
  <c r="L1233" i="4"/>
  <c r="L1225" i="4"/>
  <c r="L1217" i="4"/>
  <c r="L1209" i="4"/>
  <c r="L1201" i="4"/>
  <c r="L1193" i="4"/>
  <c r="L1185" i="4"/>
  <c r="L1177" i="4"/>
  <c r="L1169" i="4"/>
  <c r="L1161" i="4"/>
  <c r="L1153" i="4"/>
  <c r="L1145" i="4"/>
  <c r="L1137" i="4"/>
  <c r="L1129" i="4"/>
  <c r="L1121" i="4"/>
  <c r="L1113" i="4"/>
  <c r="L1105" i="4"/>
  <c r="L1097" i="4"/>
  <c r="L1089" i="4"/>
  <c r="L1081" i="4"/>
  <c r="L1073" i="4"/>
  <c r="L1065" i="4"/>
  <c r="L1057" i="4"/>
  <c r="P1677" i="4"/>
  <c r="R1666" i="4"/>
  <c r="S1655" i="4"/>
  <c r="P1645" i="4"/>
  <c r="R1634" i="4"/>
  <c r="S1623" i="4"/>
  <c r="P1613" i="4"/>
  <c r="R1602" i="4"/>
  <c r="R1593" i="4"/>
  <c r="R1585" i="4"/>
  <c r="R1577" i="4"/>
  <c r="R1569" i="4"/>
  <c r="R1561" i="4"/>
  <c r="R1553" i="4"/>
  <c r="R1545" i="4"/>
  <c r="R1537" i="4"/>
  <c r="R1529" i="4"/>
  <c r="R1521" i="4"/>
  <c r="R1513" i="4"/>
  <c r="R1505" i="4"/>
  <c r="R1497" i="4"/>
  <c r="R1489" i="4"/>
  <c r="R1481" i="4"/>
  <c r="R1473" i="4"/>
  <c r="R1465" i="4"/>
  <c r="R1457" i="4"/>
  <c r="R1449" i="4"/>
  <c r="R1441" i="4"/>
  <c r="R1432" i="4"/>
  <c r="R1424" i="4"/>
  <c r="R1416" i="4"/>
  <c r="R1408" i="4"/>
  <c r="R1400" i="4"/>
  <c r="R1392" i="4"/>
  <c r="R1384" i="4"/>
  <c r="R1376" i="4"/>
  <c r="R1368" i="4"/>
  <c r="R1360" i="4"/>
  <c r="R1352" i="4"/>
  <c r="R1344" i="4"/>
  <c r="R1336" i="4"/>
  <c r="R1328" i="4"/>
  <c r="R1320" i="4"/>
  <c r="R1312" i="4"/>
  <c r="R1304" i="4"/>
  <c r="R1296" i="4"/>
  <c r="R1288" i="4"/>
  <c r="R1280" i="4"/>
  <c r="R1272" i="4"/>
  <c r="R1264" i="4"/>
  <c r="R1256" i="4"/>
  <c r="R1248" i="4"/>
  <c r="R1240" i="4"/>
  <c r="R1232" i="4"/>
  <c r="R1224" i="4"/>
  <c r="R1216" i="4"/>
  <c r="R1208" i="4"/>
  <c r="R1200" i="4"/>
  <c r="R1192" i="4"/>
  <c r="R1184" i="4"/>
  <c r="R1176" i="4"/>
  <c r="R1168" i="4"/>
  <c r="R1160" i="4"/>
  <c r="R1152" i="4"/>
  <c r="R1144" i="4"/>
  <c r="R1136" i="4"/>
  <c r="R1128" i="4"/>
  <c r="R1120" i="4"/>
  <c r="R1112" i="4"/>
  <c r="R1104" i="4"/>
  <c r="R1096" i="4"/>
  <c r="R1088" i="4"/>
  <c r="R1080" i="4"/>
  <c r="R1072" i="4"/>
  <c r="R1064" i="4"/>
  <c r="R1056" i="4"/>
  <c r="S1676" i="4"/>
  <c r="P1666" i="4"/>
  <c r="R1655" i="4"/>
  <c r="S1644" i="4"/>
  <c r="P1634" i="4"/>
  <c r="R1623" i="4"/>
  <c r="S1612" i="4"/>
  <c r="P1602" i="4"/>
  <c r="P1593" i="4"/>
  <c r="P1585" i="4"/>
  <c r="P1577" i="4"/>
  <c r="P1569" i="4"/>
  <c r="P1561" i="4"/>
  <c r="P1553" i="4"/>
  <c r="P1545" i="4"/>
  <c r="P1537" i="4"/>
  <c r="P1529" i="4"/>
  <c r="P1521" i="4"/>
  <c r="P1513" i="4"/>
  <c r="P1505" i="4"/>
  <c r="P1497" i="4"/>
  <c r="P1489" i="4"/>
  <c r="P1481" i="4"/>
  <c r="P1473" i="4"/>
  <c r="P1465" i="4"/>
  <c r="P1457" i="4"/>
  <c r="P1449" i="4"/>
  <c r="P1441" i="4"/>
  <c r="P1432" i="4"/>
  <c r="P1424" i="4"/>
  <c r="P1416" i="4"/>
  <c r="P1408" i="4"/>
  <c r="P1400" i="4"/>
  <c r="P1392" i="4"/>
  <c r="P1384" i="4"/>
  <c r="P1376" i="4"/>
  <c r="P1368" i="4"/>
  <c r="P1360" i="4"/>
  <c r="P1352" i="4"/>
  <c r="P1344" i="4"/>
  <c r="P1336" i="4"/>
  <c r="P1328" i="4"/>
  <c r="P1320" i="4"/>
  <c r="P1312" i="4"/>
  <c r="P1304" i="4"/>
  <c r="P1296" i="4"/>
  <c r="P1288" i="4"/>
  <c r="P1280" i="4"/>
  <c r="P1272" i="4"/>
  <c r="P1264" i="4"/>
  <c r="P1256" i="4"/>
  <c r="P1248" i="4"/>
  <c r="P1240" i="4"/>
  <c r="P1232" i="4"/>
  <c r="P1224" i="4"/>
  <c r="P1216" i="4"/>
  <c r="P1208" i="4"/>
  <c r="P1200" i="4"/>
  <c r="P1192" i="4"/>
  <c r="P1184" i="4"/>
  <c r="P1176" i="4"/>
  <c r="P1168" i="4"/>
  <c r="P1160" i="4"/>
  <c r="P1152" i="4"/>
  <c r="P1144" i="4"/>
  <c r="P1136" i="4"/>
  <c r="P1128" i="4"/>
  <c r="P1120" i="4"/>
  <c r="P1112" i="4"/>
  <c r="P1104" i="4"/>
  <c r="P1096" i="4"/>
  <c r="P1088" i="4"/>
  <c r="P1080" i="4"/>
  <c r="P1072" i="4"/>
  <c r="P1064" i="4"/>
  <c r="P1056" i="4"/>
  <c r="P1048" i="4"/>
  <c r="R1680" i="4"/>
  <c r="S1669" i="4"/>
  <c r="P1659" i="4"/>
  <c r="R1648" i="4"/>
  <c r="S1637" i="4"/>
  <c r="P1627" i="4"/>
  <c r="R1616" i="4"/>
  <c r="S1605" i="4"/>
  <c r="O1593" i="4"/>
  <c r="O1577" i="4"/>
  <c r="O1561" i="4"/>
  <c r="O1545" i="4"/>
  <c r="O1529" i="4"/>
  <c r="O1513" i="4"/>
  <c r="O1497" i="4"/>
  <c r="O1481" i="4"/>
  <c r="O1465" i="4"/>
  <c r="O1449" i="4"/>
  <c r="O1432" i="4"/>
  <c r="O1416" i="4"/>
  <c r="O1400" i="4"/>
  <c r="O1384" i="4"/>
  <c r="O1368" i="4"/>
  <c r="O1352" i="4"/>
  <c r="O1336" i="4"/>
  <c r="O1320" i="4"/>
  <c r="O1304" i="4"/>
  <c r="O1288" i="4"/>
  <c r="O1272" i="4"/>
  <c r="O1256" i="4"/>
  <c r="O1240" i="4"/>
  <c r="O1224" i="4"/>
  <c r="O1208" i="4"/>
  <c r="O1192" i="4"/>
  <c r="O1176" i="4"/>
  <c r="O1160" i="4"/>
  <c r="O1144" i="4"/>
  <c r="O1128" i="4"/>
  <c r="O1112" i="4"/>
  <c r="O1096" i="4"/>
  <c r="O1080" i="4"/>
  <c r="O1064" i="4"/>
  <c r="O1048" i="4"/>
  <c r="O1032" i="4"/>
  <c r="O1016" i="4"/>
  <c r="O1000" i="4"/>
  <c r="O984" i="4"/>
  <c r="O968" i="4"/>
  <c r="O952" i="4"/>
  <c r="O936" i="4"/>
  <c r="O920" i="4"/>
  <c r="O904" i="4"/>
  <c r="O888" i="4"/>
  <c r="O872" i="4"/>
  <c r="O856" i="4"/>
  <c r="O840" i="4"/>
  <c r="O824" i="4"/>
  <c r="O808" i="4"/>
  <c r="O792" i="4"/>
  <c r="O776" i="4"/>
  <c r="O760" i="4"/>
  <c r="O744" i="4"/>
  <c r="O728" i="4"/>
  <c r="O712" i="4"/>
  <c r="L1047" i="4"/>
  <c r="R1620" i="4"/>
  <c r="O1567" i="4"/>
  <c r="O1503" i="4"/>
  <c r="O1439" i="4"/>
  <c r="O1374" i="4"/>
  <c r="O1310" i="4"/>
  <c r="O1246" i="4"/>
  <c r="O1182" i="4"/>
  <c r="O1118" i="4"/>
  <c r="O1054" i="4"/>
  <c r="O990" i="4"/>
  <c r="O926" i="4"/>
  <c r="O862" i="4"/>
  <c r="O798" i="4"/>
  <c r="O734" i="4"/>
  <c r="P1040" i="4"/>
  <c r="R1029" i="4"/>
  <c r="S1018" i="4"/>
  <c r="P1008" i="4"/>
  <c r="R997" i="4"/>
  <c r="S986" i="4"/>
  <c r="P976" i="4"/>
  <c r="R965" i="4"/>
  <c r="S954" i="4"/>
  <c r="P944" i="4"/>
  <c r="R933" i="4"/>
  <c r="S922" i="4"/>
  <c r="P912" i="4"/>
  <c r="R901" i="4"/>
  <c r="S890" i="4"/>
  <c r="P880" i="4"/>
  <c r="R869" i="4"/>
  <c r="S858" i="4"/>
  <c r="P848" i="4"/>
  <c r="R837" i="4"/>
  <c r="S826" i="4"/>
  <c r="P816" i="4"/>
  <c r="R805" i="4"/>
  <c r="S794" i="4"/>
  <c r="P784" i="4"/>
  <c r="R773" i="4"/>
  <c r="S762" i="4"/>
  <c r="P752" i="4"/>
  <c r="R741" i="4"/>
  <c r="S730" i="4"/>
  <c r="P720" i="4"/>
  <c r="R709" i="4"/>
  <c r="S699" i="4"/>
  <c r="S691" i="4"/>
  <c r="S683" i="4"/>
  <c r="S675" i="4"/>
  <c r="S667" i="4"/>
  <c r="S659" i="4"/>
  <c r="S651" i="4"/>
  <c r="S643" i="4"/>
  <c r="S635" i="4"/>
  <c r="S627" i="4"/>
  <c r="S619" i="4"/>
  <c r="S611" i="4"/>
  <c r="S603" i="4"/>
  <c r="S595" i="4"/>
  <c r="S587" i="4"/>
  <c r="S579" i="4"/>
  <c r="S571" i="4"/>
  <c r="S563" i="4"/>
  <c r="S555" i="4"/>
  <c r="S547" i="4"/>
  <c r="S539" i="4"/>
  <c r="S531" i="4"/>
  <c r="S523" i="4"/>
  <c r="S515" i="4"/>
  <c r="S507" i="4"/>
  <c r="S499" i="4"/>
  <c r="S491" i="4"/>
  <c r="S483" i="4"/>
  <c r="S475" i="4"/>
  <c r="S467" i="4"/>
  <c r="S459" i="4"/>
  <c r="S451" i="4"/>
  <c r="S443" i="4"/>
  <c r="S435" i="4"/>
  <c r="S427" i="4"/>
  <c r="S419" i="4"/>
  <c r="S411" i="4"/>
  <c r="S403" i="4"/>
  <c r="S395" i="4"/>
  <c r="S387" i="4"/>
  <c r="S379" i="4"/>
  <c r="S371" i="4"/>
  <c r="S363" i="4"/>
  <c r="S355" i="4"/>
  <c r="S347" i="4"/>
  <c r="S339" i="4"/>
  <c r="S331" i="4"/>
  <c r="S323" i="4"/>
  <c r="S315" i="4"/>
  <c r="S307" i="4"/>
  <c r="S299" i="4"/>
  <c r="S291" i="4"/>
  <c r="S283" i="4"/>
  <c r="S275" i="4"/>
  <c r="S267" i="4"/>
  <c r="S259" i="4"/>
  <c r="S251" i="4"/>
  <c r="S243" i="4"/>
  <c r="S235" i="4"/>
  <c r="S227" i="4"/>
  <c r="S219" i="4"/>
  <c r="I211" i="4"/>
  <c r="I203" i="4"/>
  <c r="I195" i="4"/>
  <c r="I187" i="4"/>
  <c r="I179" i="4"/>
  <c r="I171" i="4"/>
  <c r="I163" i="4"/>
  <c r="I155" i="4"/>
  <c r="I147" i="4"/>
  <c r="I139" i="4"/>
  <c r="I131" i="4"/>
  <c r="I123" i="4"/>
  <c r="I115" i="4"/>
  <c r="I107" i="4"/>
  <c r="I99" i="4"/>
  <c r="I91" i="4"/>
  <c r="I83" i="4"/>
  <c r="I75" i="4"/>
  <c r="I67" i="4"/>
  <c r="I59" i="4"/>
  <c r="I51" i="4"/>
  <c r="I43" i="4"/>
  <c r="I35" i="4"/>
  <c r="I27" i="4"/>
  <c r="I19" i="4"/>
  <c r="I11" i="4"/>
  <c r="I3" i="4"/>
  <c r="I145" i="3"/>
  <c r="I137" i="3"/>
  <c r="I129" i="3"/>
  <c r="I121" i="3"/>
  <c r="I113" i="3"/>
  <c r="L105" i="3"/>
  <c r="L1050" i="4"/>
  <c r="P1037" i="4"/>
  <c r="R1026" i="4"/>
  <c r="S1015" i="4"/>
  <c r="P1005" i="4"/>
  <c r="R994" i="4"/>
  <c r="S983" i="4"/>
  <c r="P973" i="4"/>
  <c r="R962" i="4"/>
  <c r="S951" i="4"/>
  <c r="P941" i="4"/>
  <c r="R930" i="4"/>
  <c r="S919" i="4"/>
  <c r="P909" i="4"/>
  <c r="R898" i="4"/>
  <c r="S887" i="4"/>
  <c r="O2761" i="4"/>
  <c r="O3465" i="4"/>
  <c r="L2786" i="4"/>
  <c r="P2591" i="4"/>
  <c r="O2361" i="4"/>
  <c r="L3075" i="4"/>
  <c r="S2686" i="4"/>
  <c r="P3644" i="4"/>
  <c r="R3149" i="4"/>
  <c r="J2812" i="4"/>
  <c r="O3330" i="4"/>
  <c r="P3134" i="4"/>
  <c r="P3006" i="4"/>
  <c r="P2878" i="4"/>
  <c r="P3896" i="4"/>
  <c r="O3012" i="4"/>
  <c r="O2756" i="4"/>
  <c r="J2601" i="4"/>
  <c r="J2542" i="4"/>
  <c r="L2413" i="4"/>
  <c r="S3169" i="4"/>
  <c r="R2718" i="4"/>
  <c r="S2547" i="4"/>
  <c r="R2417" i="4"/>
  <c r="I2474" i="4"/>
  <c r="R2221" i="4"/>
  <c r="R2093" i="4"/>
  <c r="S2870" i="4"/>
  <c r="J2324" i="4"/>
  <c r="I2222" i="4"/>
  <c r="I2158" i="4"/>
  <c r="I2094" i="4"/>
  <c r="I2030" i="4"/>
  <c r="I2460" i="4"/>
  <c r="J2293" i="4"/>
  <c r="O2186" i="4"/>
  <c r="O2058" i="4"/>
  <c r="S2967" i="4"/>
  <c r="O2452" i="4"/>
  <c r="S2904" i="4"/>
  <c r="I2577" i="4"/>
  <c r="S2506" i="4"/>
  <c r="S2464" i="4"/>
  <c r="S2422" i="4"/>
  <c r="S2378" i="4"/>
  <c r="S2336" i="4"/>
  <c r="L3208" i="4"/>
  <c r="L3032" i="4"/>
  <c r="L2864" i="4"/>
  <c r="J2731" i="4"/>
  <c r="L2672" i="4"/>
  <c r="L2616" i="4"/>
  <c r="L2560" i="4"/>
  <c r="J2511" i="4"/>
  <c r="J2469" i="4"/>
  <c r="J2427" i="4"/>
  <c r="J2383" i="4"/>
  <c r="J2341" i="4"/>
  <c r="P2511" i="4"/>
  <c r="I2337" i="4"/>
  <c r="L2280" i="4"/>
  <c r="J2231" i="4"/>
  <c r="J2187" i="4"/>
  <c r="J2145" i="4"/>
  <c r="J2103" i="4"/>
  <c r="J2059" i="4"/>
  <c r="O3583" i="4"/>
  <c r="L2945" i="4"/>
  <c r="L2673" i="4"/>
  <c r="P2504" i="4"/>
  <c r="P2338" i="4"/>
  <c r="P2278" i="4"/>
  <c r="P2229" i="4"/>
  <c r="P2187" i="4"/>
  <c r="P2143" i="4"/>
  <c r="P2101" i="4"/>
  <c r="P2059" i="4"/>
  <c r="P2023" i="4"/>
  <c r="R2583" i="4"/>
  <c r="P2433" i="4"/>
  <c r="P2327" i="4"/>
  <c r="R2284" i="4"/>
  <c r="O2237" i="4"/>
  <c r="O2173" i="4"/>
  <c r="O2109" i="4"/>
  <c r="O2045" i="4"/>
  <c r="O2560" i="4"/>
  <c r="S2895" i="4"/>
  <c r="I2628" i="4"/>
  <c r="O2416" i="4"/>
  <c r="S3184" i="4"/>
  <c r="L2723" i="4"/>
  <c r="I2553" i="4"/>
  <c r="L2514" i="4"/>
  <c r="L2482" i="4"/>
  <c r="L2450" i="4"/>
  <c r="L2418" i="4"/>
  <c r="L2386" i="4"/>
  <c r="L2354" i="4"/>
  <c r="O3549" i="4"/>
  <c r="S3189" i="4"/>
  <c r="S3061" i="4"/>
  <c r="S2933" i="4"/>
  <c r="S2805" i="4"/>
  <c r="P2725" i="4"/>
  <c r="R2682" i="4"/>
  <c r="S2639" i="4"/>
  <c r="P2597" i="4"/>
  <c r="R2554" i="4"/>
  <c r="R2518" i="4"/>
  <c r="R2486" i="4"/>
  <c r="R2454" i="4"/>
  <c r="R2422" i="4"/>
  <c r="R2390" i="4"/>
  <c r="R2358" i="4"/>
  <c r="J2704" i="4"/>
  <c r="I2494" i="4"/>
  <c r="I2366" i="4"/>
  <c r="S2303" i="4"/>
  <c r="P2261" i="4"/>
  <c r="R2226" i="4"/>
  <c r="R2194" i="4"/>
  <c r="R2162" i="4"/>
  <c r="R2130" i="4"/>
  <c r="R2098" i="4"/>
  <c r="R2066" i="4"/>
  <c r="R2034" i="4"/>
  <c r="S3166" i="4"/>
  <c r="S2910" i="4"/>
  <c r="P2702" i="4"/>
  <c r="P2574" i="4"/>
  <c r="I2447" i="4"/>
  <c r="I2331" i="4"/>
  <c r="J2288" i="4"/>
  <c r="I2247" i="4"/>
  <c r="I2215" i="4"/>
  <c r="I2183" i="4"/>
  <c r="I2151" i="4"/>
  <c r="I2119" i="4"/>
  <c r="I2087" i="4"/>
  <c r="I2055" i="4"/>
  <c r="I2023" i="4"/>
  <c r="J2580" i="4"/>
  <c r="I2432" i="4"/>
  <c r="L2326" i="4"/>
  <c r="I2284" i="4"/>
  <c r="O2236" i="4"/>
  <c r="O2172" i="4"/>
  <c r="O2540" i="4"/>
  <c r="S2855" i="4"/>
  <c r="L2614" i="4"/>
  <c r="O2396" i="4"/>
  <c r="S3144" i="4"/>
  <c r="J2710" i="4"/>
  <c r="R2545" i="4"/>
  <c r="S2511" i="4"/>
  <c r="S2479" i="4"/>
  <c r="S2447" i="4"/>
  <c r="S2415" i="4"/>
  <c r="S2383" i="4"/>
  <c r="S2351" i="4"/>
  <c r="O3509" i="4"/>
  <c r="L3180" i="4"/>
  <c r="L3052" i="4"/>
  <c r="L2924" i="4"/>
  <c r="L2796" i="4"/>
  <c r="I2722" i="4"/>
  <c r="J2679" i="4"/>
  <c r="L2636" i="4"/>
  <c r="I2594" i="4"/>
  <c r="J2551" i="4"/>
  <c r="J2516" i="4"/>
  <c r="J2484" i="4"/>
  <c r="J2452" i="4"/>
  <c r="J2420" i="4"/>
  <c r="J2388" i="4"/>
  <c r="J2356" i="4"/>
  <c r="R2683" i="4"/>
  <c r="P2483" i="4"/>
  <c r="P2355" i="4"/>
  <c r="L2300" i="4"/>
  <c r="I2258" i="4"/>
  <c r="J2224" i="4"/>
  <c r="J2192" i="4"/>
  <c r="J2160" i="4"/>
  <c r="J2128" i="4"/>
  <c r="J2096" i="4"/>
  <c r="J2064" i="4"/>
  <c r="J2032" i="4"/>
  <c r="L3145" i="4"/>
  <c r="L2889" i="4"/>
  <c r="S2692" i="4"/>
  <c r="S2564" i="4"/>
  <c r="P2436" i="4"/>
  <c r="R2327" i="4"/>
  <c r="S2284" i="4"/>
  <c r="P2244" i="4"/>
  <c r="P2212" i="4"/>
  <c r="P2180" i="4"/>
  <c r="P2148" i="4"/>
  <c r="P2116" i="4"/>
  <c r="P2084" i="4"/>
  <c r="P2052" i="4"/>
  <c r="P2020" i="4"/>
  <c r="R2559" i="4"/>
  <c r="P2421" i="4"/>
  <c r="P2275" i="4"/>
  <c r="O2084" i="4"/>
  <c r="O1983" i="4"/>
  <c r="I1938" i="4"/>
  <c r="I1906" i="4"/>
  <c r="L3173" i="4"/>
  <c r="L2917" i="4"/>
  <c r="P2430" i="4"/>
  <c r="L2214" i="4"/>
  <c r="L2086" i="4"/>
  <c r="J1999" i="4"/>
  <c r="O1956" i="4"/>
  <c r="S2584" i="4"/>
  <c r="S2216" i="4"/>
  <c r="S2088" i="4"/>
  <c r="J2000" i="4"/>
  <c r="L2701" i="4"/>
  <c r="I2445" i="4"/>
  <c r="S2221" i="4"/>
  <c r="S2093" i="4"/>
  <c r="S2001" i="4"/>
  <c r="I2599" i="4"/>
  <c r="L2221" i="4"/>
  <c r="L2093" i="4"/>
  <c r="R2001" i="4"/>
  <c r="S1952" i="4"/>
  <c r="I1888" i="4"/>
  <c r="I1856" i="4"/>
  <c r="I1824" i="4"/>
  <c r="I1792" i="4"/>
  <c r="I1760" i="4"/>
  <c r="I1728" i="4"/>
  <c r="I1696" i="4"/>
  <c r="R1935" i="4"/>
  <c r="O1889" i="4"/>
  <c r="O1825" i="4"/>
  <c r="O1761" i="4"/>
  <c r="O1697" i="4"/>
  <c r="O1633" i="4"/>
  <c r="J1938" i="4"/>
  <c r="S1881" i="4"/>
  <c r="S1849" i="4"/>
  <c r="S1817" i="4"/>
  <c r="S1785" i="4"/>
  <c r="S1753" i="4"/>
  <c r="S1721" i="4"/>
  <c r="S1689" i="4"/>
  <c r="S1920" i="4"/>
  <c r="J1881" i="4"/>
  <c r="J1849" i="4"/>
  <c r="J1829" i="4"/>
  <c r="J1813" i="4"/>
  <c r="J1797" i="4"/>
  <c r="J1781" i="4"/>
  <c r="J1765" i="4"/>
  <c r="J1749" i="4"/>
  <c r="J1733" i="4"/>
  <c r="J1717" i="4"/>
  <c r="J1701" i="4"/>
  <c r="J1685" i="4"/>
  <c r="S1662" i="4"/>
  <c r="R1641" i="4"/>
  <c r="P1620" i="4"/>
  <c r="S1598" i="4"/>
  <c r="S1582" i="4"/>
  <c r="S1566" i="4"/>
  <c r="S1550" i="4"/>
  <c r="S1534" i="4"/>
  <c r="S1518" i="4"/>
  <c r="S1502" i="4"/>
  <c r="S1486" i="4"/>
  <c r="S1470" i="4"/>
  <c r="S1454" i="4"/>
  <c r="S1438" i="4"/>
  <c r="S1421" i="4"/>
  <c r="S1405" i="4"/>
  <c r="S1389" i="4"/>
  <c r="S1373" i="4"/>
  <c r="S1357" i="4"/>
  <c r="S2261" i="4"/>
  <c r="O2139" i="4"/>
  <c r="O2075" i="4"/>
  <c r="O2011" i="4"/>
  <c r="O1978" i="4"/>
  <c r="P1951" i="4"/>
  <c r="P1935" i="4"/>
  <c r="P1919" i="4"/>
  <c r="P1903" i="4"/>
  <c r="O3567" i="4"/>
  <c r="S3154" i="4"/>
  <c r="S3026" i="4"/>
  <c r="S2898" i="4"/>
  <c r="I2537" i="4"/>
  <c r="I2409" i="4"/>
  <c r="R2285" i="4"/>
  <c r="S2203" i="4"/>
  <c r="S2139" i="4"/>
  <c r="S2075" i="4"/>
  <c r="P2017" i="4"/>
  <c r="S1995" i="4"/>
  <c r="R1974" i="4"/>
  <c r="J1953" i="4"/>
  <c r="S1931" i="4"/>
  <c r="S2544" i="4"/>
  <c r="S2270" i="4"/>
  <c r="L2207" i="4"/>
  <c r="L2143" i="4"/>
  <c r="L2079" i="4"/>
  <c r="P2018" i="4"/>
  <c r="S1996" i="4"/>
  <c r="R1975" i="4"/>
  <c r="P2682" i="4"/>
  <c r="P2554" i="4"/>
  <c r="P2426" i="4"/>
  <c r="J2302" i="4"/>
  <c r="L2212" i="4"/>
  <c r="L2148" i="4"/>
  <c r="L2084" i="4"/>
  <c r="L2020" i="4"/>
  <c r="L1998" i="4"/>
  <c r="J1977" i="4"/>
  <c r="I2559" i="4"/>
  <c r="S2274" i="4"/>
  <c r="S2210" i="4"/>
  <c r="S2146" i="4"/>
  <c r="S2082" i="4"/>
  <c r="L2019" i="4"/>
  <c r="J1998" i="4"/>
  <c r="I1977" i="4"/>
  <c r="R1946" i="4"/>
  <c r="R1912" i="4"/>
  <c r="P1885" i="4"/>
  <c r="P1869" i="4"/>
  <c r="P1853" i="4"/>
  <c r="P1837" i="4"/>
  <c r="P1821" i="4"/>
  <c r="P1805" i="4"/>
  <c r="P1789" i="4"/>
  <c r="P1773" i="4"/>
  <c r="P1757" i="4"/>
  <c r="P1741" i="4"/>
  <c r="P1725" i="4"/>
  <c r="P1709" i="4"/>
  <c r="P1693" i="4"/>
  <c r="L1963" i="4"/>
  <c r="O1929" i="4"/>
  <c r="S1907" i="4"/>
  <c r="O1884" i="4"/>
  <c r="O1852" i="4"/>
  <c r="O1820" i="4"/>
  <c r="O1788" i="4"/>
  <c r="O1756" i="4"/>
  <c r="O1724" i="4"/>
  <c r="O1692" i="4"/>
  <c r="O1660" i="4"/>
  <c r="O1628" i="4"/>
  <c r="J1968" i="4"/>
  <c r="R1933" i="4"/>
  <c r="L1908" i="4"/>
  <c r="L1887" i="4"/>
  <c r="L1877" i="4"/>
  <c r="L1867" i="4"/>
  <c r="L1855" i="4"/>
  <c r="L1845" i="4"/>
  <c r="L1835" i="4"/>
  <c r="L1823" i="4"/>
  <c r="L1813" i="4"/>
  <c r="L1803" i="4"/>
  <c r="L1791" i="4"/>
  <c r="L1781" i="4"/>
  <c r="L1771" i="4"/>
  <c r="L1759" i="4"/>
  <c r="L1749" i="4"/>
  <c r="L1739" i="4"/>
  <c r="L1727" i="4"/>
  <c r="L1717" i="4"/>
  <c r="L1707" i="4"/>
  <c r="L1695" i="4"/>
  <c r="L1685" i="4"/>
  <c r="R1956" i="4"/>
  <c r="J1928" i="4"/>
  <c r="S1914" i="4"/>
  <c r="O1901" i="4"/>
  <c r="R1886" i="4"/>
  <c r="R1876" i="4"/>
  <c r="R1866" i="4"/>
  <c r="R1854" i="4"/>
  <c r="R1844" i="4"/>
  <c r="R1834" i="4"/>
  <c r="R1822" i="4"/>
  <c r="R1812" i="4"/>
  <c r="R1802" i="4"/>
  <c r="R1790" i="4"/>
  <c r="R1780" i="4"/>
  <c r="R1770" i="4"/>
  <c r="R1758" i="4"/>
  <c r="R1748" i="4"/>
  <c r="R1738" i="4"/>
  <c r="R1726" i="4"/>
  <c r="R1716" i="4"/>
  <c r="R1706" i="4"/>
  <c r="R1694" i="4"/>
  <c r="S1684" i="4"/>
  <c r="J1670" i="4"/>
  <c r="J1654" i="4"/>
  <c r="I1641" i="4"/>
  <c r="L1627" i="4"/>
  <c r="L1611" i="4"/>
  <c r="L1598" i="4"/>
  <c r="L1588" i="4"/>
  <c r="L1576" i="4"/>
  <c r="L1566" i="4"/>
  <c r="L1556" i="4"/>
  <c r="L1544" i="4"/>
  <c r="L1534" i="4"/>
  <c r="L1524" i="4"/>
  <c r="L1512" i="4"/>
  <c r="L1502" i="4"/>
  <c r="L1492" i="4"/>
  <c r="L1480" i="4"/>
  <c r="L1470" i="4"/>
  <c r="L1460" i="4"/>
  <c r="L1448" i="4"/>
  <c r="L1438" i="4"/>
  <c r="L1427" i="4"/>
  <c r="L1415" i="4"/>
  <c r="L1405" i="4"/>
  <c r="L1395" i="4"/>
  <c r="L1383" i="4"/>
  <c r="L1373" i="4"/>
  <c r="L1363" i="4"/>
  <c r="P2291" i="4"/>
  <c r="O2231" i="4"/>
  <c r="O2151" i="4"/>
  <c r="O2096" i="4"/>
  <c r="O2056" i="4"/>
  <c r="O2016" i="4"/>
  <c r="O1989" i="4"/>
  <c r="O1969" i="4"/>
  <c r="I1953" i="4"/>
  <c r="I1941" i="4"/>
  <c r="I1931" i="4"/>
  <c r="I1921" i="4"/>
  <c r="I1909" i="4"/>
  <c r="I1899" i="4"/>
  <c r="O3663" i="4"/>
  <c r="L3197" i="4"/>
  <c r="L3117" i="4"/>
  <c r="L3037" i="4"/>
  <c r="L2941" i="4"/>
  <c r="L2861" i="4"/>
  <c r="L2765" i="4"/>
  <c r="P2454" i="4"/>
  <c r="P2374" i="4"/>
  <c r="J2298" i="4"/>
  <c r="L2226" i="4"/>
  <c r="L2186" i="4"/>
  <c r="L2146" i="4"/>
  <c r="L2098" i="4"/>
  <c r="L2058" i="4"/>
  <c r="J2019" i="4"/>
  <c r="J2003" i="4"/>
  <c r="I1990" i="4"/>
  <c r="L1976" i="4"/>
  <c r="L1960" i="4"/>
  <c r="J1947" i="4"/>
  <c r="S1933" i="4"/>
  <c r="S2632" i="4"/>
  <c r="I2317" i="4"/>
  <c r="I2277" i="4"/>
  <c r="S2228" i="4"/>
  <c r="S2188" i="4"/>
  <c r="S2148" i="4"/>
  <c r="S2100" i="4"/>
  <c r="S2060" i="4"/>
  <c r="S2020" i="4"/>
  <c r="J2004" i="4"/>
  <c r="I1991" i="4"/>
  <c r="L1977" i="4"/>
  <c r="L2725" i="4"/>
  <c r="L2645" i="4"/>
  <c r="L2565" i="4"/>
  <c r="I2469" i="4"/>
  <c r="I2389" i="4"/>
  <c r="R2313" i="4"/>
  <c r="S2233" i="4"/>
  <c r="S2193" i="4"/>
  <c r="S2153" i="4"/>
  <c r="S2105" i="4"/>
  <c r="S2065" i="4"/>
  <c r="S2025" i="4"/>
  <c r="S2005" i="4"/>
  <c r="R1992" i="4"/>
  <c r="P1979" i="4"/>
  <c r="I2711" i="4"/>
  <c r="I2583" i="4"/>
  <c r="I2313" i="4"/>
  <c r="I2281" i="4"/>
  <c r="L2249" i="4"/>
  <c r="L2217" i="4"/>
  <c r="L2185" i="4"/>
  <c r="L2153" i="4"/>
  <c r="L2121" i="4"/>
  <c r="L2089" i="4"/>
  <c r="L2057" i="4"/>
  <c r="L2025" i="4"/>
  <c r="S2010" i="4"/>
  <c r="P2000" i="4"/>
  <c r="R1989" i="4"/>
  <c r="S1978" i="4"/>
  <c r="L1966" i="4"/>
  <c r="L1949" i="4"/>
  <c r="O1931" i="4"/>
  <c r="L1915" i="4"/>
  <c r="L1899" i="4"/>
  <c r="I1887" i="4"/>
  <c r="I1879" i="4"/>
  <c r="I1871" i="4"/>
  <c r="I1863" i="4"/>
  <c r="I1855" i="4"/>
  <c r="I1847" i="4"/>
  <c r="I1839" i="4"/>
  <c r="I1831" i="4"/>
  <c r="I1823" i="4"/>
  <c r="I1815" i="4"/>
  <c r="I1807" i="4"/>
  <c r="I1799" i="4"/>
  <c r="I1791" i="4"/>
  <c r="I1783" i="4"/>
  <c r="I1775" i="4"/>
  <c r="I1767" i="4"/>
  <c r="I1759" i="4"/>
  <c r="I1751" i="4"/>
  <c r="I1743" i="4"/>
  <c r="I1735" i="4"/>
  <c r="I1727" i="4"/>
  <c r="I1719" i="4"/>
  <c r="I1711" i="4"/>
  <c r="I1703" i="4"/>
  <c r="I1695" i="4"/>
  <c r="I1687" i="4"/>
  <c r="L1965" i="4"/>
  <c r="R1951" i="4"/>
  <c r="J1932" i="4"/>
  <c r="O1920" i="4"/>
  <c r="S1909" i="4"/>
  <c r="J1899" i="4"/>
  <c r="O1887" i="4"/>
  <c r="O1871" i="4"/>
  <c r="O1855" i="4"/>
  <c r="O1839" i="4"/>
  <c r="O1823" i="4"/>
  <c r="O1807" i="4"/>
  <c r="O1791" i="4"/>
  <c r="O1775" i="4"/>
  <c r="O1759" i="4"/>
  <c r="O1743" i="4"/>
  <c r="O1727" i="4"/>
  <c r="O1711" i="4"/>
  <c r="O1695" i="4"/>
  <c r="O1679" i="4"/>
  <c r="O1663" i="4"/>
  <c r="O1647" i="4"/>
  <c r="O1631" i="4"/>
  <c r="O1615" i="4"/>
  <c r="O1599" i="4"/>
  <c r="J1954" i="4"/>
  <c r="L1936" i="4"/>
  <c r="R1919" i="4"/>
  <c r="R1903" i="4"/>
  <c r="S1888" i="4"/>
  <c r="S1880" i="4"/>
  <c r="S1872" i="4"/>
  <c r="S1864" i="4"/>
  <c r="S1856" i="4"/>
  <c r="S1848" i="4"/>
  <c r="S1840" i="4"/>
  <c r="S1832" i="4"/>
  <c r="S1824" i="4"/>
  <c r="S1816" i="4"/>
  <c r="S1808" i="4"/>
  <c r="S1800" i="4"/>
  <c r="S1792" i="4"/>
  <c r="S1784" i="4"/>
  <c r="S1776" i="4"/>
  <c r="S1768" i="4"/>
  <c r="S1760" i="4"/>
  <c r="S1752" i="4"/>
  <c r="S1744" i="4"/>
  <c r="S1736" i="4"/>
  <c r="S1728" i="4"/>
  <c r="S1720" i="4"/>
  <c r="S1712" i="4"/>
  <c r="S1704" i="4"/>
  <c r="S1696" i="4"/>
  <c r="S1688" i="4"/>
  <c r="I1965" i="4"/>
  <c r="L1950" i="4"/>
  <c r="R1932" i="4"/>
  <c r="O1919" i="4"/>
  <c r="S1908" i="4"/>
  <c r="J1898" i="4"/>
  <c r="J1888" i="4"/>
  <c r="J1880" i="4"/>
  <c r="J1872" i="4"/>
  <c r="J1864" i="4"/>
  <c r="J1856" i="4"/>
  <c r="J1848" i="4"/>
  <c r="J1840" i="4"/>
  <c r="J1832" i="4"/>
  <c r="J1824" i="4"/>
  <c r="J1816" i="4"/>
  <c r="J1808" i="4"/>
  <c r="J1800" i="4"/>
  <c r="J1792" i="4"/>
  <c r="J1784" i="4"/>
  <c r="J1776" i="4"/>
  <c r="J1768" i="4"/>
  <c r="J1760" i="4"/>
  <c r="J1752" i="4"/>
  <c r="J1744" i="4"/>
  <c r="J1736" i="4"/>
  <c r="J1728" i="4"/>
  <c r="J1720" i="4"/>
  <c r="J1712" i="4"/>
  <c r="J1704" i="4"/>
  <c r="J1696" i="4"/>
  <c r="J1688" i="4"/>
  <c r="R1677" i="4"/>
  <c r="S1666" i="4"/>
  <c r="P1656" i="4"/>
  <c r="R1645" i="4"/>
  <c r="S1634" i="4"/>
  <c r="P1624" i="4"/>
  <c r="R1613" i="4"/>
  <c r="S1602" i="4"/>
  <c r="S1593" i="4"/>
  <c r="S1585" i="4"/>
  <c r="S1577" i="4"/>
  <c r="S1569" i="4"/>
  <c r="S1561" i="4"/>
  <c r="S1553" i="4"/>
  <c r="S1545" i="4"/>
  <c r="S1537" i="4"/>
  <c r="S1529" i="4"/>
  <c r="S1521" i="4"/>
  <c r="S1513" i="4"/>
  <c r="S1505" i="4"/>
  <c r="S1497" i="4"/>
  <c r="S1489" i="4"/>
  <c r="S1481" i="4"/>
  <c r="S1473" i="4"/>
  <c r="S1465" i="4"/>
  <c r="S1457" i="4"/>
  <c r="S1449" i="4"/>
  <c r="S1441" i="4"/>
  <c r="S1432" i="4"/>
  <c r="S1424" i="4"/>
  <c r="S1416" i="4"/>
  <c r="S1408" i="4"/>
  <c r="S1400" i="4"/>
  <c r="S1392" i="4"/>
  <c r="S1384" i="4"/>
  <c r="S1376" i="4"/>
  <c r="S1368" i="4"/>
  <c r="S1360" i="4"/>
  <c r="P2299" i="4"/>
  <c r="R2256" i="4"/>
  <c r="O2195" i="4"/>
  <c r="O2135" i="4"/>
  <c r="O2103" i="4"/>
  <c r="O2071" i="4"/>
  <c r="O2039" i="4"/>
  <c r="O2008" i="4"/>
  <c r="O1992" i="4"/>
  <c r="O1976" i="4"/>
  <c r="O1960" i="4"/>
  <c r="P1950" i="4"/>
  <c r="P1942" i="4"/>
  <c r="P1934" i="4"/>
  <c r="P1926" i="4"/>
  <c r="P1918" i="4"/>
  <c r="P1910" i="4"/>
  <c r="P1902" i="4"/>
  <c r="P1894" i="4"/>
  <c r="O3503" i="4"/>
  <c r="S3210" i="4"/>
  <c r="S3146" i="4"/>
  <c r="S3082" i="4"/>
  <c r="S3018" i="4"/>
  <c r="S2954" i="4"/>
  <c r="S2890" i="4"/>
  <c r="S2826" i="4"/>
  <c r="I2529" i="4"/>
  <c r="I2465" i="4"/>
  <c r="I2401" i="4"/>
  <c r="J2337" i="4"/>
  <c r="R2277" i="4"/>
  <c r="S2231" i="4"/>
  <c r="S2199" i="4"/>
  <c r="S2167" i="4"/>
  <c r="S2135" i="4"/>
  <c r="S2103" i="4"/>
  <c r="S2071" i="4"/>
  <c r="S2039" i="4"/>
  <c r="S2015" i="4"/>
  <c r="P2005" i="4"/>
  <c r="R1994" i="4"/>
  <c r="S1983" i="4"/>
  <c r="P1973" i="4"/>
  <c r="R1962" i="4"/>
  <c r="S1951" i="4"/>
  <c r="J1941" i="4"/>
  <c r="O1930" i="4"/>
  <c r="S2656" i="4"/>
  <c r="L2331" i="4"/>
  <c r="L2299" i="4"/>
  <c r="L2267" i="4"/>
  <c r="L2235" i="4"/>
  <c r="L2203" i="4"/>
  <c r="L2171" i="4"/>
  <c r="L2139" i="4"/>
  <c r="L2107" i="4"/>
  <c r="L2075" i="4"/>
  <c r="L2043" i="4"/>
  <c r="S2016" i="4"/>
  <c r="P2006" i="4"/>
  <c r="R1995" i="4"/>
  <c r="S1984" i="4"/>
  <c r="P1974" i="4"/>
  <c r="P2738" i="4"/>
  <c r="P2674" i="4"/>
  <c r="P2610" i="4"/>
  <c r="P2546" i="4"/>
  <c r="P2482" i="4"/>
  <c r="P2418" i="4"/>
  <c r="P2354" i="4"/>
  <c r="J2294" i="4"/>
  <c r="L2240" i="4"/>
  <c r="L2208" i="4"/>
  <c r="L2176" i="4"/>
  <c r="L2144" i="4"/>
  <c r="L2112" i="4"/>
  <c r="L2080" i="4"/>
  <c r="L2048" i="4"/>
  <c r="L2018" i="4"/>
  <c r="I2008" i="4"/>
  <c r="J1997" i="4"/>
  <c r="L1986" i="4"/>
  <c r="I1976" i="4"/>
  <c r="I2671" i="4"/>
  <c r="I2543" i="4"/>
  <c r="L2303" i="4"/>
  <c r="L2271" i="4"/>
  <c r="S2238" i="4"/>
  <c r="S2206" i="4"/>
  <c r="S2174" i="4"/>
  <c r="S2142" i="4"/>
  <c r="S2110" i="4"/>
  <c r="S2078" i="4"/>
  <c r="S2046" i="4"/>
  <c r="J2018" i="4"/>
  <c r="L2007" i="4"/>
  <c r="I1997" i="4"/>
  <c r="J1986" i="4"/>
  <c r="L1975" i="4"/>
  <c r="J1961" i="4"/>
  <c r="S1944" i="4"/>
  <c r="R1926" i="4"/>
  <c r="R1910" i="4"/>
  <c r="R1894" i="4"/>
  <c r="P1884" i="4"/>
  <c r="P1876" i="4"/>
  <c r="P1868" i="4"/>
  <c r="P1860" i="4"/>
  <c r="P1852" i="4"/>
  <c r="P1844" i="4"/>
  <c r="P1836" i="4"/>
  <c r="P1828" i="4"/>
  <c r="P1820" i="4"/>
  <c r="P1812" i="4"/>
  <c r="P1804" i="4"/>
  <c r="P1796" i="4"/>
  <c r="P1788" i="4"/>
  <c r="P1780" i="4"/>
  <c r="P1772" i="4"/>
  <c r="P1764" i="4"/>
  <c r="P1756" i="4"/>
  <c r="P1748" i="4"/>
  <c r="P1740" i="4"/>
  <c r="P1732" i="4"/>
  <c r="P1724" i="4"/>
  <c r="P1716" i="4"/>
  <c r="P1708" i="4"/>
  <c r="P1700" i="4"/>
  <c r="P1692" i="4"/>
  <c r="P1684" i="4"/>
  <c r="S1961" i="4"/>
  <c r="O1945" i="4"/>
  <c r="S1927" i="4"/>
  <c r="J1917" i="4"/>
  <c r="O1906" i="4"/>
  <c r="S1895" i="4"/>
  <c r="O1882" i="4"/>
  <c r="O1866" i="4"/>
  <c r="O1850" i="4"/>
  <c r="O1834" i="4"/>
  <c r="O1818" i="4"/>
  <c r="O1802" i="4"/>
  <c r="O1786" i="4"/>
  <c r="O1770" i="4"/>
  <c r="O1754" i="4"/>
  <c r="O1738" i="4"/>
  <c r="O1722" i="4"/>
  <c r="O1706" i="4"/>
  <c r="O1690" i="4"/>
  <c r="O1674" i="4"/>
  <c r="O1658" i="4"/>
  <c r="O1642" i="4"/>
  <c r="O1626" i="4"/>
  <c r="O1610" i="4"/>
  <c r="S1966" i="4"/>
  <c r="R1949" i="4"/>
  <c r="J1930" i="4"/>
  <c r="L1914" i="4"/>
  <c r="L1898" i="4"/>
  <c r="L1886" i="4"/>
  <c r="L1878" i="4"/>
  <c r="L1870" i="4"/>
  <c r="L1862" i="4"/>
  <c r="L1854" i="4"/>
  <c r="L1846" i="4"/>
  <c r="L1838" i="4"/>
  <c r="L1830" i="4"/>
  <c r="L1822" i="4"/>
  <c r="L1814" i="4"/>
  <c r="L1806" i="4"/>
  <c r="L1798" i="4"/>
  <c r="L1790" i="4"/>
  <c r="L1782" i="4"/>
  <c r="L1774" i="4"/>
  <c r="L1766" i="4"/>
  <c r="L1758" i="4"/>
  <c r="L1750" i="4"/>
  <c r="L1742" i="4"/>
  <c r="L1734" i="4"/>
  <c r="L1726" i="4"/>
  <c r="L1718" i="4"/>
  <c r="L1710" i="4"/>
  <c r="L1702" i="4"/>
  <c r="L1694" i="4"/>
  <c r="L1686" i="4"/>
  <c r="S1960" i="4"/>
  <c r="J1944" i="4"/>
  <c r="S1926" i="4"/>
  <c r="J1916" i="4"/>
  <c r="O1905" i="4"/>
  <c r="S1894" i="4"/>
  <c r="R1885" i="4"/>
  <c r="R1877" i="4"/>
  <c r="R1869" i="4"/>
  <c r="R1861" i="4"/>
  <c r="R1853" i="4"/>
  <c r="R1845" i="4"/>
  <c r="R1837" i="4"/>
  <c r="R1829" i="4"/>
  <c r="R1821" i="4"/>
  <c r="R1813" i="4"/>
  <c r="R1805" i="4"/>
  <c r="R1797" i="4"/>
  <c r="R1789" i="4"/>
  <c r="R1781" i="4"/>
  <c r="R1773" i="4"/>
  <c r="R1765" i="4"/>
  <c r="R1757" i="4"/>
  <c r="R1749" i="4"/>
  <c r="R1741" i="4"/>
  <c r="R1733" i="4"/>
  <c r="R1725" i="4"/>
  <c r="R1717" i="4"/>
  <c r="R1709" i="4"/>
  <c r="R1701" i="4"/>
  <c r="R1693" i="4"/>
  <c r="R1685" i="4"/>
  <c r="J1674" i="4"/>
  <c r="L1663" i="4"/>
  <c r="I1653" i="4"/>
  <c r="J1642" i="4"/>
  <c r="L1631" i="4"/>
  <c r="I1621" i="4"/>
  <c r="J1610" i="4"/>
  <c r="L1599" i="4"/>
  <c r="L1591" i="4"/>
  <c r="L1583" i="4"/>
  <c r="L1575" i="4"/>
  <c r="L1567" i="4"/>
  <c r="L1559" i="4"/>
  <c r="L1551" i="4"/>
  <c r="L1543" i="4"/>
  <c r="L1535" i="4"/>
  <c r="L1527" i="4"/>
  <c r="L1519" i="4"/>
  <c r="L1511" i="4"/>
  <c r="L1503" i="4"/>
  <c r="L1495" i="4"/>
  <c r="L1487" i="4"/>
  <c r="L1479" i="4"/>
  <c r="L1471" i="4"/>
  <c r="L1463" i="4"/>
  <c r="L1455" i="4"/>
  <c r="L1447" i="4"/>
  <c r="L1439" i="4"/>
  <c r="L1430" i="4"/>
  <c r="L1422" i="4"/>
  <c r="L1414" i="4"/>
  <c r="L1406" i="4"/>
  <c r="L1398" i="4"/>
  <c r="L1390" i="4"/>
  <c r="L1382" i="4"/>
  <c r="L1374" i="4"/>
  <c r="L1366" i="4"/>
  <c r="L1359" i="4"/>
  <c r="S1350" i="4"/>
  <c r="S1342" i="4"/>
  <c r="S1334" i="4"/>
  <c r="S1326" i="4"/>
  <c r="S1318" i="4"/>
  <c r="S1310" i="4"/>
  <c r="S1302" i="4"/>
  <c r="S1294" i="4"/>
  <c r="S1286" i="4"/>
  <c r="S1278" i="4"/>
  <c r="S1270" i="4"/>
  <c r="S1262" i="4"/>
  <c r="S1254" i="4"/>
  <c r="S1246" i="4"/>
  <c r="S1238" i="4"/>
  <c r="S1230" i="4"/>
  <c r="S1222" i="4"/>
  <c r="S1214" i="4"/>
  <c r="S1206" i="4"/>
  <c r="S1198" i="4"/>
  <c r="S1190" i="4"/>
  <c r="S1182" i="4"/>
  <c r="S1174" i="4"/>
  <c r="S1166" i="4"/>
  <c r="S1158" i="4"/>
  <c r="S1150" i="4"/>
  <c r="S1142" i="4"/>
  <c r="S1134" i="4"/>
  <c r="S1126" i="4"/>
  <c r="S1118" i="4"/>
  <c r="S1110" i="4"/>
  <c r="S1102" i="4"/>
  <c r="S1094" i="4"/>
  <c r="S1086" i="4"/>
  <c r="S1078" i="4"/>
  <c r="S1070" i="4"/>
  <c r="S1062" i="4"/>
  <c r="S1054" i="4"/>
  <c r="I1674" i="4"/>
  <c r="J1663" i="4"/>
  <c r="L1652" i="4"/>
  <c r="I1642" i="4"/>
  <c r="J1631" i="4"/>
  <c r="L1620" i="4"/>
  <c r="I1610" i="4"/>
  <c r="J1599" i="4"/>
  <c r="J1591" i="4"/>
  <c r="J1583" i="4"/>
  <c r="J1575" i="4"/>
  <c r="J1567" i="4"/>
  <c r="J1559" i="4"/>
  <c r="J1551" i="4"/>
  <c r="J1543" i="4"/>
  <c r="J1535" i="4"/>
  <c r="J1527" i="4"/>
  <c r="J1519" i="4"/>
  <c r="J1511" i="4"/>
  <c r="J1503" i="4"/>
  <c r="J1495" i="4"/>
  <c r="J1487" i="4"/>
  <c r="J1479" i="4"/>
  <c r="J1471" i="4"/>
  <c r="J1463" i="4"/>
  <c r="J1455" i="4"/>
  <c r="J1447" i="4"/>
  <c r="J1439" i="4"/>
  <c r="J1430" i="4"/>
  <c r="J1422" i="4"/>
  <c r="J1414" i="4"/>
  <c r="J1406" i="4"/>
  <c r="J1398" i="4"/>
  <c r="J1390" i="4"/>
  <c r="J1382" i="4"/>
  <c r="J1374" i="4"/>
  <c r="J1366" i="4"/>
  <c r="J1358" i="4"/>
  <c r="J1350" i="4"/>
  <c r="J1342" i="4"/>
  <c r="J1334" i="4"/>
  <c r="J1326" i="4"/>
  <c r="J1318" i="4"/>
  <c r="J1310" i="4"/>
  <c r="J1302" i="4"/>
  <c r="J1294" i="4"/>
  <c r="J1286" i="4"/>
  <c r="J1278" i="4"/>
  <c r="J1270" i="4"/>
  <c r="J1262" i="4"/>
  <c r="J1254" i="4"/>
  <c r="J1246" i="4"/>
  <c r="J1238" i="4"/>
  <c r="J1230" i="4"/>
  <c r="J1222" i="4"/>
  <c r="J1214" i="4"/>
  <c r="J1206" i="4"/>
  <c r="J1198" i="4"/>
  <c r="J1190" i="4"/>
  <c r="J1182" i="4"/>
  <c r="J1174" i="4"/>
  <c r="J1166" i="4"/>
  <c r="J1158" i="4"/>
  <c r="J1150" i="4"/>
  <c r="J1142" i="4"/>
  <c r="J1134" i="4"/>
  <c r="J1126" i="4"/>
  <c r="J1118" i="4"/>
  <c r="J1110" i="4"/>
  <c r="J1102" i="4"/>
  <c r="J1094" i="4"/>
  <c r="J1086" i="4"/>
  <c r="J1078" i="4"/>
  <c r="J1070" i="4"/>
  <c r="J1062" i="4"/>
  <c r="J1054" i="4"/>
  <c r="L1673" i="4"/>
  <c r="I1663" i="4"/>
  <c r="J1652" i="4"/>
  <c r="L1641" i="4"/>
  <c r="I1631" i="4"/>
  <c r="J1620" i="4"/>
  <c r="L1609" i="4"/>
  <c r="I1599" i="4"/>
  <c r="I1591" i="4"/>
  <c r="I1583" i="4"/>
  <c r="I1575" i="4"/>
  <c r="I1567" i="4"/>
  <c r="I1559" i="4"/>
  <c r="I1551" i="4"/>
  <c r="I1543" i="4"/>
  <c r="I1535" i="4"/>
  <c r="I1527" i="4"/>
  <c r="I1519" i="4"/>
  <c r="I1511" i="4"/>
  <c r="I1503" i="4"/>
  <c r="I1495" i="4"/>
  <c r="I1487" i="4"/>
  <c r="I1479" i="4"/>
  <c r="I1471" i="4"/>
  <c r="I1463" i="4"/>
  <c r="I1455" i="4"/>
  <c r="I1447" i="4"/>
  <c r="I1439" i="4"/>
  <c r="I1430" i="4"/>
  <c r="I1422" i="4"/>
  <c r="I1414" i="4"/>
  <c r="I1406" i="4"/>
  <c r="I1398" i="4"/>
  <c r="I1390" i="4"/>
  <c r="I1382" i="4"/>
  <c r="I1374" i="4"/>
  <c r="I1366" i="4"/>
  <c r="I1358" i="4"/>
  <c r="I1350" i="4"/>
  <c r="I1342" i="4"/>
  <c r="I1334" i="4"/>
  <c r="I1326" i="4"/>
  <c r="I1318" i="4"/>
  <c r="I1310" i="4"/>
  <c r="I1302" i="4"/>
  <c r="I1294" i="4"/>
  <c r="I1286" i="4"/>
  <c r="I1278" i="4"/>
  <c r="I1270" i="4"/>
  <c r="I1262" i="4"/>
  <c r="I1254" i="4"/>
  <c r="I1246" i="4"/>
  <c r="I1238" i="4"/>
  <c r="I1230" i="4"/>
  <c r="I1222" i="4"/>
  <c r="I1214" i="4"/>
  <c r="I1206" i="4"/>
  <c r="I1198" i="4"/>
  <c r="I1190" i="4"/>
  <c r="I1182" i="4"/>
  <c r="I1174" i="4"/>
  <c r="I1166" i="4"/>
  <c r="I1158" i="4"/>
  <c r="I1150" i="4"/>
  <c r="I1142" i="4"/>
  <c r="I1134" i="4"/>
  <c r="I1126" i="4"/>
  <c r="I1118" i="4"/>
  <c r="I1110" i="4"/>
  <c r="I1102" i="4"/>
  <c r="I1094" i="4"/>
  <c r="I1086" i="4"/>
  <c r="I1078" i="4"/>
  <c r="I1070" i="4"/>
  <c r="I1062" i="4"/>
  <c r="I1054" i="4"/>
  <c r="I1046" i="4"/>
  <c r="J1677" i="4"/>
  <c r="L1666" i="4"/>
  <c r="I1656" i="4"/>
  <c r="J1645" i="4"/>
  <c r="L1634" i="4"/>
  <c r="I1624" i="4"/>
  <c r="J1613" i="4"/>
  <c r="L1602" i="4"/>
  <c r="O1588" i="4"/>
  <c r="O1572" i="4"/>
  <c r="O1556" i="4"/>
  <c r="O1540" i="4"/>
  <c r="O1524" i="4"/>
  <c r="O1508" i="4"/>
  <c r="O1492" i="4"/>
  <c r="O1476" i="4"/>
  <c r="O1460" i="4"/>
  <c r="O1444" i="4"/>
  <c r="O1427" i="4"/>
  <c r="O1411" i="4"/>
  <c r="O1395" i="4"/>
  <c r="O1379" i="4"/>
  <c r="O1363" i="4"/>
  <c r="O1347" i="4"/>
  <c r="O1331" i="4"/>
  <c r="O1315" i="4"/>
  <c r="O1299" i="4"/>
  <c r="O1283" i="4"/>
  <c r="O1267" i="4"/>
  <c r="O1251" i="4"/>
  <c r="O1235" i="4"/>
  <c r="O1219" i="4"/>
  <c r="O1203" i="4"/>
  <c r="O1187" i="4"/>
  <c r="O1171" i="4"/>
  <c r="O1155" i="4"/>
  <c r="O1139" i="4"/>
  <c r="O1123" i="4"/>
  <c r="O1107" i="4"/>
  <c r="O1091" i="4"/>
  <c r="O1075" i="4"/>
  <c r="O1059" i="4"/>
  <c r="O1043" i="4"/>
  <c r="O1027" i="4"/>
  <c r="O1011" i="4"/>
  <c r="O995" i="4"/>
  <c r="O979" i="4"/>
  <c r="O963" i="4"/>
  <c r="O947" i="4"/>
  <c r="O931" i="4"/>
  <c r="O915" i="4"/>
  <c r="O899" i="4"/>
  <c r="O883" i="4"/>
  <c r="O867" i="4"/>
  <c r="O851" i="4"/>
  <c r="O835" i="4"/>
  <c r="O819" i="4"/>
  <c r="O803" i="4"/>
  <c r="O787" i="4"/>
  <c r="O771" i="4"/>
  <c r="O755" i="4"/>
  <c r="O739" i="4"/>
  <c r="O723" i="4"/>
  <c r="O707" i="4"/>
  <c r="S1358" i="4"/>
  <c r="L1350" i="4"/>
  <c r="L1342" i="4"/>
  <c r="L1334" i="4"/>
  <c r="L1326" i="4"/>
  <c r="L1318" i="4"/>
  <c r="L1310" i="4"/>
  <c r="L1302" i="4"/>
  <c r="L1294" i="4"/>
  <c r="L1286" i="4"/>
  <c r="L1278" i="4"/>
  <c r="L1270" i="4"/>
  <c r="L1262" i="4"/>
  <c r="L1254" i="4"/>
  <c r="L1246" i="4"/>
  <c r="L1238" i="4"/>
  <c r="L1230" i="4"/>
  <c r="L1222" i="4"/>
  <c r="L1214" i="4"/>
  <c r="L1206" i="4"/>
  <c r="L1198" i="4"/>
  <c r="L1190" i="4"/>
  <c r="L1182" i="4"/>
  <c r="L1174" i="4"/>
  <c r="L1166" i="4"/>
  <c r="L1158" i="4"/>
  <c r="L1150" i="4"/>
  <c r="L1142" i="4"/>
  <c r="L1134" i="4"/>
  <c r="L1126" i="4"/>
  <c r="L1118" i="4"/>
  <c r="L1110" i="4"/>
  <c r="L1102" i="4"/>
  <c r="L1094" i="4"/>
  <c r="L1086" i="4"/>
  <c r="L1078" i="4"/>
  <c r="L1070" i="4"/>
  <c r="L1062" i="4"/>
  <c r="L1054" i="4"/>
  <c r="P1673" i="4"/>
  <c r="R1662" i="4"/>
  <c r="S1651" i="4"/>
  <c r="P1641" i="4"/>
  <c r="R1630" i="4"/>
  <c r="S1619" i="4"/>
  <c r="P1609" i="4"/>
  <c r="R1598" i="4"/>
  <c r="R1590" i="4"/>
  <c r="R1582" i="4"/>
  <c r="R1574" i="4"/>
  <c r="R1566" i="4"/>
  <c r="R1558" i="4"/>
  <c r="R1550" i="4"/>
  <c r="R1542" i="4"/>
  <c r="R1534" i="4"/>
  <c r="R1526" i="4"/>
  <c r="R1518" i="4"/>
  <c r="R1510" i="4"/>
  <c r="R1502" i="4"/>
  <c r="R1494" i="4"/>
  <c r="R1486" i="4"/>
  <c r="R1478" i="4"/>
  <c r="R1470" i="4"/>
  <c r="R1462" i="4"/>
  <c r="R1454" i="4"/>
  <c r="R1446" i="4"/>
  <c r="R1438" i="4"/>
  <c r="R1429" i="4"/>
  <c r="R1421" i="4"/>
  <c r="R1413" i="4"/>
  <c r="R1405" i="4"/>
  <c r="R1397" i="4"/>
  <c r="R1389" i="4"/>
  <c r="R1381" i="4"/>
  <c r="R1373" i="4"/>
  <c r="R1365" i="4"/>
  <c r="R1357" i="4"/>
  <c r="R1349" i="4"/>
  <c r="R1341" i="4"/>
  <c r="R1333" i="4"/>
  <c r="R1325" i="4"/>
  <c r="R1317" i="4"/>
  <c r="R1309" i="4"/>
  <c r="R1301" i="4"/>
  <c r="R1293" i="4"/>
  <c r="R1285" i="4"/>
  <c r="R1277" i="4"/>
  <c r="R1269" i="4"/>
  <c r="R1261" i="4"/>
  <c r="R1253" i="4"/>
  <c r="R1245" i="4"/>
  <c r="R1237" i="4"/>
  <c r="R1229" i="4"/>
  <c r="R1221" i="4"/>
  <c r="R1213" i="4"/>
  <c r="R1205" i="4"/>
  <c r="R1197" i="4"/>
  <c r="R1189" i="4"/>
  <c r="R1181" i="4"/>
  <c r="R1173" i="4"/>
  <c r="R1165" i="4"/>
  <c r="R1157" i="4"/>
  <c r="R1149" i="4"/>
  <c r="R1141" i="4"/>
  <c r="R1133" i="4"/>
  <c r="R1125" i="4"/>
  <c r="R1117" i="4"/>
  <c r="R1109" i="4"/>
  <c r="R1101" i="4"/>
  <c r="R1093" i="4"/>
  <c r="R1085" i="4"/>
  <c r="R1077" i="4"/>
  <c r="R1069" i="4"/>
  <c r="R1061" i="4"/>
  <c r="L1684" i="4"/>
  <c r="S1672" i="4"/>
  <c r="P1662" i="4"/>
  <c r="R1651" i="4"/>
  <c r="S1640" i="4"/>
  <c r="P1630" i="4"/>
  <c r="R1619" i="4"/>
  <c r="S1608" i="4"/>
  <c r="P1598" i="4"/>
  <c r="P1590" i="4"/>
  <c r="P1582" i="4"/>
  <c r="P1574" i="4"/>
  <c r="P1566" i="4"/>
  <c r="P1558" i="4"/>
  <c r="P1550" i="4"/>
  <c r="P1542" i="4"/>
  <c r="P1534" i="4"/>
  <c r="P1526" i="4"/>
  <c r="P1518" i="4"/>
  <c r="P1510" i="4"/>
  <c r="P1502" i="4"/>
  <c r="P1494" i="4"/>
  <c r="P1486" i="4"/>
  <c r="P1478" i="4"/>
  <c r="P1470" i="4"/>
  <c r="P1462" i="4"/>
  <c r="P1454" i="4"/>
  <c r="P1446" i="4"/>
  <c r="P1438" i="4"/>
  <c r="P1429" i="4"/>
  <c r="P1421" i="4"/>
  <c r="P1413" i="4"/>
  <c r="P1405" i="4"/>
  <c r="P1397" i="4"/>
  <c r="P1389" i="4"/>
  <c r="P1381" i="4"/>
  <c r="P1373" i="4"/>
  <c r="P1365" i="4"/>
  <c r="P1357" i="4"/>
  <c r="P1349" i="4"/>
  <c r="P1341" i="4"/>
  <c r="P1333" i="4"/>
  <c r="P1325" i="4"/>
  <c r="P1317" i="4"/>
  <c r="P1309" i="4"/>
  <c r="P1301" i="4"/>
  <c r="P1293" i="4"/>
  <c r="P1285" i="4"/>
  <c r="P1277" i="4"/>
  <c r="P1269" i="4"/>
  <c r="P1261" i="4"/>
  <c r="P1253" i="4"/>
  <c r="P1245" i="4"/>
  <c r="P1237" i="4"/>
  <c r="P1229" i="4"/>
  <c r="P1221" i="4"/>
  <c r="P1213" i="4"/>
  <c r="P1205" i="4"/>
  <c r="P1197" i="4"/>
  <c r="P1189" i="4"/>
  <c r="P1181" i="4"/>
  <c r="P1173" i="4"/>
  <c r="P1165" i="4"/>
  <c r="P1157" i="4"/>
  <c r="P1149" i="4"/>
  <c r="P1141" i="4"/>
  <c r="P1133" i="4"/>
  <c r="P1125" i="4"/>
  <c r="P1117" i="4"/>
  <c r="P1109" i="4"/>
  <c r="P1101" i="4"/>
  <c r="P1093" i="4"/>
  <c r="P1085" i="4"/>
  <c r="P1077" i="4"/>
  <c r="P1069" i="4"/>
  <c r="P1061" i="4"/>
  <c r="P1053" i="4"/>
  <c r="P1045" i="4"/>
  <c r="R1676" i="4"/>
  <c r="S1665" i="4"/>
  <c r="P1655" i="4"/>
  <c r="S1351" i="4"/>
  <c r="S1343" i="4"/>
  <c r="S1335" i="4"/>
  <c r="S1327" i="4"/>
  <c r="S1319" i="4"/>
  <c r="S1311" i="4"/>
  <c r="S1303" i="4"/>
  <c r="S1295" i="4"/>
  <c r="S1287" i="4"/>
  <c r="S1279" i="4"/>
  <c r="S1271" i="4"/>
  <c r="S1263" i="4"/>
  <c r="S1255" i="4"/>
  <c r="S1247" i="4"/>
  <c r="S1239" i="4"/>
  <c r="S1231" i="4"/>
  <c r="S1223" i="4"/>
  <c r="S1215" i="4"/>
  <c r="S1207" i="4"/>
  <c r="S1199" i="4"/>
  <c r="S1191" i="4"/>
  <c r="S1183" i="4"/>
  <c r="S1175" i="4"/>
  <c r="S1167" i="4"/>
  <c r="S1159" i="4"/>
  <c r="S1151" i="4"/>
  <c r="S1143" i="4"/>
  <c r="S1135" i="4"/>
  <c r="S1127" i="4"/>
  <c r="S1119" i="4"/>
  <c r="S1111" i="4"/>
  <c r="S1103" i="4"/>
  <c r="S1095" i="4"/>
  <c r="S1087" i="4"/>
  <c r="S1079" i="4"/>
  <c r="S1071" i="4"/>
  <c r="S1063" i="4"/>
  <c r="S1055" i="4"/>
  <c r="J1675" i="4"/>
  <c r="L1664" i="4"/>
  <c r="I1654" i="4"/>
  <c r="J1643" i="4"/>
  <c r="L1632" i="4"/>
  <c r="I1622" i="4"/>
  <c r="J1611" i="4"/>
  <c r="L1600" i="4"/>
  <c r="J1592" i="4"/>
  <c r="J1584" i="4"/>
  <c r="J1576" i="4"/>
  <c r="J1568" i="4"/>
  <c r="J1560" i="4"/>
  <c r="J1552" i="4"/>
  <c r="J1544" i="4"/>
  <c r="J1536" i="4"/>
  <c r="J1528" i="4"/>
  <c r="J1520" i="4"/>
  <c r="J1512" i="4"/>
  <c r="J1504" i="4"/>
  <c r="J1496" i="4"/>
  <c r="J1488" i="4"/>
  <c r="J1480" i="4"/>
  <c r="J1472" i="4"/>
  <c r="J1464" i="4"/>
  <c r="J1456" i="4"/>
  <c r="J1448" i="4"/>
  <c r="J1440" i="4"/>
  <c r="J1431" i="4"/>
  <c r="J1423" i="4"/>
  <c r="J1415" i="4"/>
  <c r="J1407" i="4"/>
  <c r="J1399" i="4"/>
  <c r="J1391" i="4"/>
  <c r="J1383" i="4"/>
  <c r="J1375" i="4"/>
  <c r="J1367" i="4"/>
  <c r="J1359" i="4"/>
  <c r="J1351" i="4"/>
  <c r="J1343" i="4"/>
  <c r="J1335" i="4"/>
  <c r="J1327" i="4"/>
  <c r="J1319" i="4"/>
  <c r="J1311" i="4"/>
  <c r="J1303" i="4"/>
  <c r="J1295" i="4"/>
  <c r="J1287" i="4"/>
  <c r="J1279" i="4"/>
  <c r="J1271" i="4"/>
  <c r="J1263" i="4"/>
  <c r="J1255" i="4"/>
  <c r="J1247" i="4"/>
  <c r="J1239" i="4"/>
  <c r="J1231" i="4"/>
  <c r="J1223" i="4"/>
  <c r="J1215" i="4"/>
  <c r="J1207" i="4"/>
  <c r="J1199" i="4"/>
  <c r="J1191" i="4"/>
  <c r="J1183" i="4"/>
  <c r="J1175" i="4"/>
  <c r="J1167" i="4"/>
  <c r="J1159" i="4"/>
  <c r="J1151" i="4"/>
  <c r="J1143" i="4"/>
  <c r="J1135" i="4"/>
  <c r="J1127" i="4"/>
  <c r="J1119" i="4"/>
  <c r="J1111" i="4"/>
  <c r="J1103" i="4"/>
  <c r="J1095" i="4"/>
  <c r="J1087" i="4"/>
  <c r="J1079" i="4"/>
  <c r="J1071" i="4"/>
  <c r="J1063" i="4"/>
  <c r="J1055" i="4"/>
  <c r="I1675" i="4"/>
  <c r="J1664" i="4"/>
  <c r="L1653" i="4"/>
  <c r="I1643" i="4"/>
  <c r="J1632" i="4"/>
  <c r="L1621" i="4"/>
  <c r="I1611" i="4"/>
  <c r="J1600" i="4"/>
  <c r="I1592" i="4"/>
  <c r="I1584" i="4"/>
  <c r="I1576" i="4"/>
  <c r="I1568" i="4"/>
  <c r="I1560" i="4"/>
  <c r="I1552" i="4"/>
  <c r="I1544" i="4"/>
  <c r="I1536" i="4"/>
  <c r="I1528" i="4"/>
  <c r="I1520" i="4"/>
  <c r="I1512" i="4"/>
  <c r="I1504" i="4"/>
  <c r="I1496" i="4"/>
  <c r="I1488" i="4"/>
  <c r="I1480" i="4"/>
  <c r="I1472" i="4"/>
  <c r="I1464" i="4"/>
  <c r="I1456" i="4"/>
  <c r="I1448" i="4"/>
  <c r="I1440" i="4"/>
  <c r="I1431" i="4"/>
  <c r="I1423" i="4"/>
  <c r="I1415" i="4"/>
  <c r="I1407" i="4"/>
  <c r="I1399" i="4"/>
  <c r="I1391" i="4"/>
  <c r="I1383" i="4"/>
  <c r="I1375" i="4"/>
  <c r="I1367" i="4"/>
  <c r="I1359" i="4"/>
  <c r="I1351" i="4"/>
  <c r="I1343" i="4"/>
  <c r="I1335" i="4"/>
  <c r="I1327" i="4"/>
  <c r="I1319" i="4"/>
  <c r="I1311" i="4"/>
  <c r="I1303" i="4"/>
  <c r="I1295" i="4"/>
  <c r="I1287" i="4"/>
  <c r="I1279" i="4"/>
  <c r="I1271" i="4"/>
  <c r="I1263" i="4"/>
  <c r="I1255" i="4"/>
  <c r="I1247" i="4"/>
  <c r="I1239" i="4"/>
  <c r="I1231" i="4"/>
  <c r="I1223" i="4"/>
  <c r="I1215" i="4"/>
  <c r="I1207" i="4"/>
  <c r="I1199" i="4"/>
  <c r="I1191" i="4"/>
  <c r="I1183" i="4"/>
  <c r="I1175" i="4"/>
  <c r="I1167" i="4"/>
  <c r="I1159" i="4"/>
  <c r="I1151" i="4"/>
  <c r="I1143" i="4"/>
  <c r="I1135" i="4"/>
  <c r="I1127" i="4"/>
  <c r="I1119" i="4"/>
  <c r="I1111" i="4"/>
  <c r="I1103" i="4"/>
  <c r="I1095" i="4"/>
  <c r="I1087" i="4"/>
  <c r="I1079" i="4"/>
  <c r="I1071" i="4"/>
  <c r="I1063" i="4"/>
  <c r="I1055" i="4"/>
  <c r="I1047" i="4"/>
  <c r="L1678" i="4"/>
  <c r="I1668" i="4"/>
  <c r="J1657" i="4"/>
  <c r="L1646" i="4"/>
  <c r="I1636" i="4"/>
  <c r="J1625" i="4"/>
  <c r="L1614" i="4"/>
  <c r="I1604" i="4"/>
  <c r="O1590" i="4"/>
  <c r="O1574" i="4"/>
  <c r="O1558" i="4"/>
  <c r="O1542" i="4"/>
  <c r="O1526" i="4"/>
  <c r="O1510" i="4"/>
  <c r="O1494" i="4"/>
  <c r="O1478" i="4"/>
  <c r="O1462" i="4"/>
  <c r="O1446" i="4"/>
  <c r="O1429" i="4"/>
  <c r="O1413" i="4"/>
  <c r="O1397" i="4"/>
  <c r="O1381" i="4"/>
  <c r="O1365" i="4"/>
  <c r="O1349" i="4"/>
  <c r="O1333" i="4"/>
  <c r="O1317" i="4"/>
  <c r="O1301" i="4"/>
  <c r="O1285" i="4"/>
  <c r="O1269" i="4"/>
  <c r="O1253" i="4"/>
  <c r="O1237" i="4"/>
  <c r="O1221" i="4"/>
  <c r="O1205" i="4"/>
  <c r="O1189" i="4"/>
  <c r="O1173" i="4"/>
  <c r="O1157" i="4"/>
  <c r="O1141" i="4"/>
  <c r="O1125" i="4"/>
  <c r="O1109" i="4"/>
  <c r="O1093" i="4"/>
  <c r="O1077" i="4"/>
  <c r="O1061" i="4"/>
  <c r="O1045" i="4"/>
  <c r="O1029" i="4"/>
  <c r="O1013" i="4"/>
  <c r="O997" i="4"/>
  <c r="O981" i="4"/>
  <c r="O965" i="4"/>
  <c r="O949" i="4"/>
  <c r="O933" i="4"/>
  <c r="O917" i="4"/>
  <c r="O901" i="4"/>
  <c r="O885" i="4"/>
  <c r="O869" i="4"/>
  <c r="O853" i="4"/>
  <c r="O837" i="4"/>
  <c r="O821" i="4"/>
  <c r="O805" i="4"/>
  <c r="O789" i="4"/>
  <c r="O773" i="4"/>
  <c r="O757" i="4"/>
  <c r="O741" i="4"/>
  <c r="O725" i="4"/>
  <c r="O709" i="4"/>
  <c r="J1044" i="4"/>
  <c r="L1351" i="4"/>
  <c r="L1343" i="4"/>
  <c r="L1335" i="4"/>
  <c r="L1327" i="4"/>
  <c r="L1319" i="4"/>
  <c r="L1311" i="4"/>
  <c r="L1303" i="4"/>
  <c r="L1295" i="4"/>
  <c r="L1287" i="4"/>
  <c r="L1279" i="4"/>
  <c r="L1271" i="4"/>
  <c r="L1263" i="4"/>
  <c r="L1255" i="4"/>
  <c r="L1247" i="4"/>
  <c r="L1239" i="4"/>
  <c r="L1231" i="4"/>
  <c r="L1223" i="4"/>
  <c r="L1215" i="4"/>
  <c r="L1207" i="4"/>
  <c r="L1199" i="4"/>
  <c r="L1191" i="4"/>
  <c r="L1183" i="4"/>
  <c r="L1175" i="4"/>
  <c r="L1167" i="4"/>
  <c r="L1159" i="4"/>
  <c r="L1151" i="4"/>
  <c r="L1143" i="4"/>
  <c r="L1135" i="4"/>
  <c r="L1127" i="4"/>
  <c r="L1119" i="4"/>
  <c r="L1111" i="4"/>
  <c r="L1103" i="4"/>
  <c r="L1095" i="4"/>
  <c r="L1087" i="4"/>
  <c r="L1079" i="4"/>
  <c r="L1071" i="4"/>
  <c r="L1063" i="4"/>
  <c r="L1055" i="4"/>
  <c r="R1674" i="4"/>
  <c r="S1663" i="4"/>
  <c r="P1653" i="4"/>
  <c r="R1642" i="4"/>
  <c r="S1631" i="4"/>
  <c r="P1621" i="4"/>
  <c r="R1610" i="4"/>
  <c r="S1599" i="4"/>
  <c r="R1591" i="4"/>
  <c r="R1583" i="4"/>
  <c r="R1575" i="4"/>
  <c r="R1567" i="4"/>
  <c r="R1559" i="4"/>
  <c r="R1551" i="4"/>
  <c r="R1543" i="4"/>
  <c r="R1535" i="4"/>
  <c r="R1527" i="4"/>
  <c r="R1519" i="4"/>
  <c r="R1511" i="4"/>
  <c r="R1503" i="4"/>
  <c r="R1495" i="4"/>
  <c r="R1487" i="4"/>
  <c r="R1479" i="4"/>
  <c r="R1471" i="4"/>
  <c r="R1463" i="4"/>
  <c r="R1455" i="4"/>
  <c r="R1447" i="4"/>
  <c r="R1439" i="4"/>
  <c r="R1430" i="4"/>
  <c r="R1422" i="4"/>
  <c r="R1414" i="4"/>
  <c r="R1406" i="4"/>
  <c r="R1398" i="4"/>
  <c r="R1390" i="4"/>
  <c r="R1382" i="4"/>
  <c r="R1374" i="4"/>
  <c r="R1366" i="4"/>
  <c r="R1358" i="4"/>
  <c r="R1350" i="4"/>
  <c r="R1342" i="4"/>
  <c r="R1334" i="4"/>
  <c r="R1326" i="4"/>
  <c r="R1318" i="4"/>
  <c r="R1310" i="4"/>
  <c r="R1302" i="4"/>
  <c r="R1294" i="4"/>
  <c r="R1286" i="4"/>
  <c r="R1278" i="4"/>
  <c r="R1270" i="4"/>
  <c r="R1262" i="4"/>
  <c r="R1254" i="4"/>
  <c r="R1246" i="4"/>
  <c r="R1238" i="4"/>
  <c r="R1230" i="4"/>
  <c r="R1222" i="4"/>
  <c r="R1214" i="4"/>
  <c r="R1206" i="4"/>
  <c r="R1198" i="4"/>
  <c r="R1190" i="4"/>
  <c r="R1182" i="4"/>
  <c r="R1174" i="4"/>
  <c r="R1166" i="4"/>
  <c r="R1158" i="4"/>
  <c r="R1150" i="4"/>
  <c r="R1142" i="4"/>
  <c r="R1134" i="4"/>
  <c r="R1126" i="4"/>
  <c r="R1118" i="4"/>
  <c r="R1110" i="4"/>
  <c r="R1102" i="4"/>
  <c r="R1094" i="4"/>
  <c r="R1086" i="4"/>
  <c r="R1078" i="4"/>
  <c r="R1070" i="4"/>
  <c r="R1062" i="4"/>
  <c r="R1054" i="4"/>
  <c r="P1674" i="4"/>
  <c r="R1663" i="4"/>
  <c r="S1652" i="4"/>
  <c r="P1642" i="4"/>
  <c r="R1631" i="4"/>
  <c r="S1620" i="4"/>
  <c r="P1610" i="4"/>
  <c r="R1599" i="4"/>
  <c r="P1591" i="4"/>
  <c r="P1583" i="4"/>
  <c r="P1575" i="4"/>
  <c r="P1567" i="4"/>
  <c r="P1559" i="4"/>
  <c r="P1551" i="4"/>
  <c r="P1543" i="4"/>
  <c r="P1535" i="4"/>
  <c r="P1527" i="4"/>
  <c r="P1519" i="4"/>
  <c r="P1511" i="4"/>
  <c r="P1503" i="4"/>
  <c r="P1495" i="4"/>
  <c r="P1487" i="4"/>
  <c r="P1479" i="4"/>
  <c r="P1471" i="4"/>
  <c r="P1463" i="4"/>
  <c r="P1455" i="4"/>
  <c r="P1447" i="4"/>
  <c r="P1439" i="4"/>
  <c r="P1430" i="4"/>
  <c r="P1422" i="4"/>
  <c r="P1414" i="4"/>
  <c r="P1406" i="4"/>
  <c r="P1398" i="4"/>
  <c r="P1390" i="4"/>
  <c r="P1382" i="4"/>
  <c r="P1374" i="4"/>
  <c r="P1366" i="4"/>
  <c r="P1358" i="4"/>
  <c r="P1350" i="4"/>
  <c r="P1342" i="4"/>
  <c r="P1334" i="4"/>
  <c r="P1326" i="4"/>
  <c r="P1318" i="4"/>
  <c r="P1310" i="4"/>
  <c r="P1302" i="4"/>
  <c r="P1294" i="4"/>
  <c r="P1286" i="4"/>
  <c r="P1278" i="4"/>
  <c r="P1270" i="4"/>
  <c r="P1262" i="4"/>
  <c r="P1254" i="4"/>
  <c r="P1246" i="4"/>
  <c r="P1238" i="4"/>
  <c r="P1230" i="4"/>
  <c r="P1222" i="4"/>
  <c r="P1214" i="4"/>
  <c r="P1206" i="4"/>
  <c r="P1198" i="4"/>
  <c r="P1190" i="4"/>
  <c r="P1182" i="4"/>
  <c r="P1174" i="4"/>
  <c r="P1166" i="4"/>
  <c r="P1158" i="4"/>
  <c r="P1150" i="4"/>
  <c r="P1142" i="4"/>
  <c r="P1134" i="4"/>
  <c r="P1126" i="4"/>
  <c r="P1118" i="4"/>
  <c r="P1110" i="4"/>
  <c r="P1102" i="4"/>
  <c r="P1094" i="4"/>
  <c r="P1086" i="4"/>
  <c r="P1078" i="4"/>
  <c r="P1070" i="4"/>
  <c r="P1062" i="4"/>
  <c r="P1054" i="4"/>
  <c r="P1046" i="4"/>
  <c r="S1677" i="4"/>
  <c r="P1667" i="4"/>
  <c r="R1656" i="4"/>
  <c r="S1645" i="4"/>
  <c r="P1635" i="4"/>
  <c r="R1624" i="4"/>
  <c r="S1613" i="4"/>
  <c r="P1603" i="4"/>
  <c r="O1589" i="4"/>
  <c r="O1573" i="4"/>
  <c r="O1557" i="4"/>
  <c r="O1541" i="4"/>
  <c r="O1525" i="4"/>
  <c r="O1509" i="4"/>
  <c r="O1493" i="4"/>
  <c r="O1477" i="4"/>
  <c r="O1461" i="4"/>
  <c r="O1445" i="4"/>
  <c r="O1428" i="4"/>
  <c r="O1412" i="4"/>
  <c r="O1396" i="4"/>
  <c r="O1380" i="4"/>
  <c r="O1364" i="4"/>
  <c r="O1348" i="4"/>
  <c r="O1332" i="4"/>
  <c r="O1316" i="4"/>
  <c r="O1300" i="4"/>
  <c r="O1284" i="4"/>
  <c r="O1268" i="4"/>
  <c r="O1252" i="4"/>
  <c r="O1236" i="4"/>
  <c r="O1220" i="4"/>
  <c r="O1204" i="4"/>
  <c r="O1188" i="4"/>
  <c r="O1172" i="4"/>
  <c r="O1156" i="4"/>
  <c r="O1140" i="4"/>
  <c r="O1124" i="4"/>
  <c r="O1108" i="4"/>
  <c r="O1092" i="4"/>
  <c r="O1076" i="4"/>
  <c r="O1060" i="4"/>
  <c r="O1044" i="4"/>
  <c r="O1028" i="4"/>
  <c r="O1012" i="4"/>
  <c r="O996" i="4"/>
  <c r="O980" i="4"/>
  <c r="O964" i="4"/>
  <c r="O948" i="4"/>
  <c r="O932" i="4"/>
  <c r="O916" i="4"/>
  <c r="O900" i="4"/>
  <c r="O884" i="4"/>
  <c r="O868" i="4"/>
  <c r="O852" i="4"/>
  <c r="O836" i="4"/>
  <c r="O820" i="4"/>
  <c r="O2697" i="4"/>
  <c r="L3170" i="4"/>
  <c r="P2719" i="4"/>
  <c r="R2548" i="4"/>
  <c r="O2297" i="4"/>
  <c r="L2947" i="4"/>
  <c r="P2644" i="4"/>
  <c r="P3516" i="4"/>
  <c r="R3021" i="4"/>
  <c r="J2748" i="4"/>
  <c r="P3230" i="4"/>
  <c r="P3102" i="4"/>
  <c r="P2974" i="4"/>
  <c r="P2846" i="4"/>
  <c r="O3204" i="4"/>
  <c r="O2948" i="4"/>
  <c r="O2692" i="4"/>
  <c r="O2376" i="4"/>
  <c r="L2509" i="4"/>
  <c r="L2381" i="4"/>
  <c r="S3041" i="4"/>
  <c r="S2675" i="4"/>
  <c r="R2513" i="4"/>
  <c r="R2385" i="4"/>
  <c r="I2346" i="4"/>
  <c r="R2189" i="4"/>
  <c r="R2061" i="4"/>
  <c r="I2683" i="4"/>
  <c r="L2281" i="4"/>
  <c r="I2206" i="4"/>
  <c r="I2142" i="4"/>
  <c r="I2078" i="4"/>
  <c r="O3383" i="4"/>
  <c r="I2396" i="4"/>
  <c r="I2272" i="4"/>
  <c r="O2154" i="4"/>
  <c r="O2026" i="4"/>
  <c r="J2737" i="4"/>
  <c r="O2324" i="4"/>
  <c r="S2748" i="4"/>
  <c r="S2538" i="4"/>
  <c r="S2496" i="4"/>
  <c r="S2454" i="4"/>
  <c r="S2410" i="4"/>
  <c r="S2368" i="4"/>
  <c r="O3621" i="4"/>
  <c r="L3160" i="4"/>
  <c r="L2992" i="4"/>
  <c r="L2824" i="4"/>
  <c r="J2715" i="4"/>
  <c r="J2659" i="4"/>
  <c r="J2603" i="4"/>
  <c r="L2544" i="4"/>
  <c r="J2501" i="4"/>
  <c r="J2459" i="4"/>
  <c r="J2415" i="4"/>
  <c r="J2373" i="4"/>
  <c r="R2739" i="4"/>
  <c r="P2463" i="4"/>
  <c r="J2323" i="4"/>
  <c r="J2267" i="4"/>
  <c r="J2219" i="4"/>
  <c r="J2177" i="4"/>
  <c r="J2135" i="4"/>
  <c r="J2091" i="4"/>
  <c r="J2049" i="4"/>
  <c r="L3201" i="4"/>
  <c r="L2849" i="4"/>
  <c r="L2633" i="4"/>
  <c r="P2464" i="4"/>
  <c r="S2320" i="4"/>
  <c r="S2264" i="4"/>
  <c r="P2219" i="4"/>
  <c r="P2175" i="4"/>
  <c r="P2133" i="4"/>
  <c r="P2091" i="4"/>
  <c r="P2047" i="4"/>
  <c r="O3479" i="4"/>
  <c r="P2529" i="4"/>
  <c r="P2401" i="4"/>
  <c r="R2316" i="4"/>
  <c r="S2273" i="4"/>
  <c r="O2221" i="4"/>
  <c r="O2157" i="4"/>
  <c r="O2093" i="4"/>
  <c r="O2029" i="4"/>
  <c r="O3393" i="4"/>
  <c r="S2767" i="4"/>
  <c r="J2585" i="4"/>
  <c r="O2352" i="4"/>
  <c r="S3056" i="4"/>
  <c r="I2681" i="4"/>
  <c r="L2538" i="4"/>
  <c r="L2506" i="4"/>
  <c r="L2474" i="4"/>
  <c r="L2442" i="4"/>
  <c r="L2410" i="4"/>
  <c r="L2378" i="4"/>
  <c r="L2346" i="4"/>
  <c r="O3421" i="4"/>
  <c r="S3157" i="4"/>
  <c r="S3029" i="4"/>
  <c r="S2901" i="4"/>
  <c r="S2773" i="4"/>
  <c r="R2714" i="4"/>
  <c r="S2671" i="4"/>
  <c r="P2629" i="4"/>
  <c r="R2586" i="4"/>
  <c r="S2543" i="4"/>
  <c r="R2510" i="4"/>
  <c r="R2478" i="4"/>
  <c r="R2446" i="4"/>
  <c r="R2414" i="4"/>
  <c r="R2382" i="4"/>
  <c r="R2350" i="4"/>
  <c r="J2640" i="4"/>
  <c r="I2462" i="4"/>
  <c r="J2336" i="4"/>
  <c r="P2293" i="4"/>
  <c r="R2250" i="4"/>
  <c r="R2218" i="4"/>
  <c r="R2186" i="4"/>
  <c r="R2154" i="4"/>
  <c r="R2122" i="4"/>
  <c r="R2090" i="4"/>
  <c r="R2058" i="4"/>
  <c r="R2026" i="4"/>
  <c r="S3102" i="4"/>
  <c r="S2846" i="4"/>
  <c r="P2670" i="4"/>
  <c r="P2542" i="4"/>
  <c r="I2415" i="4"/>
  <c r="J2320" i="4"/>
  <c r="L2277" i="4"/>
  <c r="I2239" i="4"/>
  <c r="I2207" i="4"/>
  <c r="I2175" i="4"/>
  <c r="I2143" i="4"/>
  <c r="I2111" i="4"/>
  <c r="I2079" i="4"/>
  <c r="I2047" i="4"/>
  <c r="O3447" i="4"/>
  <c r="I2528" i="4"/>
  <c r="I2400" i="4"/>
  <c r="I2316" i="4"/>
  <c r="J2273" i="4"/>
  <c r="O2220" i="4"/>
  <c r="O2156" i="4"/>
  <c r="S3239" i="4"/>
  <c r="L2742" i="4"/>
  <c r="I2572" i="4"/>
  <c r="O2332" i="4"/>
  <c r="S3016" i="4"/>
  <c r="L2667" i="4"/>
  <c r="S2535" i="4"/>
  <c r="S2503" i="4"/>
  <c r="S2471" i="4"/>
  <c r="S2439" i="4"/>
  <c r="S2407" i="4"/>
  <c r="S2375" i="4"/>
  <c r="S2343" i="4"/>
  <c r="O3381" i="4"/>
  <c r="L3148" i="4"/>
  <c r="L3020" i="4"/>
  <c r="L2892" i="4"/>
  <c r="L2764" i="4"/>
  <c r="J2711" i="4"/>
  <c r="L2668" i="4"/>
  <c r="I2626" i="4"/>
  <c r="J2583" i="4"/>
  <c r="L2540" i="4"/>
  <c r="J2508" i="4"/>
  <c r="J2476" i="4"/>
  <c r="J2444" i="4"/>
  <c r="J2412" i="4"/>
  <c r="J2380" i="4"/>
  <c r="J2348" i="4"/>
  <c r="R2619" i="4"/>
  <c r="P2451" i="4"/>
  <c r="L2332" i="4"/>
  <c r="I2290" i="4"/>
  <c r="J2248" i="4"/>
  <c r="J2216" i="4"/>
  <c r="J2184" i="4"/>
  <c r="J2152" i="4"/>
  <c r="J2120" i="4"/>
  <c r="J2088" i="4"/>
  <c r="J2056" i="4"/>
  <c r="J2024" i="4"/>
  <c r="L3081" i="4"/>
  <c r="L2825" i="4"/>
  <c r="S2660" i="4"/>
  <c r="P2532" i="4"/>
  <c r="P2404" i="4"/>
  <c r="S2316" i="4"/>
  <c r="P2274" i="4"/>
  <c r="P2236" i="4"/>
  <c r="P2204" i="4"/>
  <c r="P2172" i="4"/>
  <c r="P2140" i="4"/>
  <c r="P2108" i="4"/>
  <c r="P2076" i="4"/>
  <c r="P2044" i="4"/>
  <c r="O3287" i="4"/>
  <c r="P2517" i="4"/>
  <c r="P2389" i="4"/>
  <c r="O2223" i="4"/>
  <c r="O2052" i="4"/>
  <c r="O1967" i="4"/>
  <c r="I1930" i="4"/>
  <c r="I1898" i="4"/>
  <c r="L3109" i="4"/>
  <c r="L2853" i="4"/>
  <c r="P2366" i="4"/>
  <c r="L2182" i="4"/>
  <c r="L2054" i="4"/>
  <c r="L1988" i="4"/>
  <c r="S1945" i="4"/>
  <c r="P2312" i="4"/>
  <c r="S2184" i="4"/>
  <c r="S2056" i="4"/>
  <c r="L1989" i="4"/>
  <c r="L2637" i="4"/>
  <c r="I2381" i="4"/>
  <c r="S2189" i="4"/>
  <c r="S2061" i="4"/>
  <c r="P1991" i="4"/>
  <c r="P2316" i="4"/>
  <c r="L2189" i="4"/>
  <c r="L2061" i="4"/>
  <c r="S1990" i="4"/>
  <c r="L1933" i="4"/>
  <c r="I1880" i="4"/>
  <c r="I1848" i="4"/>
  <c r="I1816" i="4"/>
  <c r="I1784" i="4"/>
  <c r="I1752" i="4"/>
  <c r="I1720" i="4"/>
  <c r="I1688" i="4"/>
  <c r="S1921" i="4"/>
  <c r="O1873" i="4"/>
  <c r="O1809" i="4"/>
  <c r="O1745" i="4"/>
  <c r="O1681" i="4"/>
  <c r="O1617" i="4"/>
  <c r="R1921" i="4"/>
  <c r="S1873" i="4"/>
  <c r="S1841" i="4"/>
  <c r="S1809" i="4"/>
  <c r="S1777" i="4"/>
  <c r="S1745" i="4"/>
  <c r="S1713" i="4"/>
  <c r="P1966" i="4"/>
  <c r="J1910" i="4"/>
  <c r="J1873" i="4"/>
  <c r="J1841" i="4"/>
  <c r="J1825" i="4"/>
  <c r="J1809" i="4"/>
  <c r="J1793" i="4"/>
  <c r="J1777" i="4"/>
  <c r="J1761" i="4"/>
  <c r="J1745" i="4"/>
  <c r="J1729" i="4"/>
  <c r="J1713" i="4"/>
  <c r="J1697" i="4"/>
  <c r="S1678" i="4"/>
  <c r="R1657" i="4"/>
  <c r="P1636" i="4"/>
  <c r="S1614" i="4"/>
  <c r="S1594" i="4"/>
  <c r="S1578" i="4"/>
  <c r="S1562" i="4"/>
  <c r="S1546" i="4"/>
  <c r="S1530" i="4"/>
  <c r="S1514" i="4"/>
  <c r="S1498" i="4"/>
  <c r="S1482" i="4"/>
  <c r="S1466" i="4"/>
  <c r="S1450" i="4"/>
  <c r="S1433" i="4"/>
  <c r="S1417" i="4"/>
  <c r="S1401" i="4"/>
  <c r="S1385" i="4"/>
  <c r="S1369" i="4"/>
  <c r="S2325" i="4"/>
  <c r="O2235" i="4"/>
  <c r="O2123" i="4"/>
  <c r="O2059" i="4"/>
  <c r="O2002" i="4"/>
  <c r="O1970" i="4"/>
  <c r="P1947" i="4"/>
  <c r="P1931" i="4"/>
  <c r="P1915" i="4"/>
  <c r="P1899" i="4"/>
  <c r="O3311" i="4"/>
  <c r="S3122" i="4"/>
  <c r="S2994" i="4"/>
  <c r="S2866" i="4"/>
  <c r="I2505" i="4"/>
  <c r="I2377" i="4"/>
  <c r="R2253" i="4"/>
  <c r="S2187" i="4"/>
  <c r="S2123" i="4"/>
  <c r="S2059" i="4"/>
  <c r="S2011" i="4"/>
  <c r="R1990" i="4"/>
  <c r="P1969" i="4"/>
  <c r="S1947" i="4"/>
  <c r="S2736" i="4"/>
  <c r="S2318" i="4"/>
  <c r="S2254" i="4"/>
  <c r="L2191" i="4"/>
  <c r="L2127" i="4"/>
  <c r="L2063" i="4"/>
  <c r="S2012" i="4"/>
  <c r="R1991" i="4"/>
  <c r="P1970" i="4"/>
  <c r="P2650" i="4"/>
  <c r="P2522" i="4"/>
  <c r="P2394" i="4"/>
  <c r="J2270" i="4"/>
  <c r="L2196" i="4"/>
  <c r="L2132" i="4"/>
  <c r="L2068" i="4"/>
  <c r="L2014" i="4"/>
  <c r="J1993" i="4"/>
  <c r="L2748" i="4"/>
  <c r="S2322" i="4"/>
  <c r="S2258" i="4"/>
  <c r="S2194" i="4"/>
  <c r="S2130" i="4"/>
  <c r="S2066" i="4"/>
  <c r="J2014" i="4"/>
  <c r="I1993" i="4"/>
  <c r="L1971" i="4"/>
  <c r="R1937" i="4"/>
  <c r="R1904" i="4"/>
  <c r="P1881" i="4"/>
  <c r="P1865" i="4"/>
  <c r="P1849" i="4"/>
  <c r="P1833" i="4"/>
  <c r="P1817" i="4"/>
  <c r="P1801" i="4"/>
  <c r="P1785" i="4"/>
  <c r="P1769" i="4"/>
  <c r="P1753" i="4"/>
  <c r="P1737" i="4"/>
  <c r="P1721" i="4"/>
  <c r="P1705" i="4"/>
  <c r="P1689" i="4"/>
  <c r="J1956" i="4"/>
  <c r="S1923" i="4"/>
  <c r="O1902" i="4"/>
  <c r="O1876" i="4"/>
  <c r="O1844" i="4"/>
  <c r="O1812" i="4"/>
  <c r="O1780" i="4"/>
  <c r="O1748" i="4"/>
  <c r="O1716" i="4"/>
  <c r="O1684" i="4"/>
  <c r="O1652" i="4"/>
  <c r="O1620" i="4"/>
  <c r="J1960" i="4"/>
  <c r="L1924" i="4"/>
  <c r="L1900" i="4"/>
  <c r="L1885" i="4"/>
  <c r="L1875" i="4"/>
  <c r="L1863" i="4"/>
  <c r="L1853" i="4"/>
  <c r="L1843" i="4"/>
  <c r="L1831" i="4"/>
  <c r="L1821" i="4"/>
  <c r="L1811" i="4"/>
  <c r="L1799" i="4"/>
  <c r="L1789" i="4"/>
  <c r="L1779" i="4"/>
  <c r="L1767" i="4"/>
  <c r="L1757" i="4"/>
  <c r="L1747" i="4"/>
  <c r="L1735" i="4"/>
  <c r="L1725" i="4"/>
  <c r="L1715" i="4"/>
  <c r="L1703" i="4"/>
  <c r="L1693" i="4"/>
  <c r="S1968" i="4"/>
  <c r="R1947" i="4"/>
  <c r="O1925" i="4"/>
  <c r="J1912" i="4"/>
  <c r="J1896" i="4"/>
  <c r="R1884" i="4"/>
  <c r="R1874" i="4"/>
  <c r="R1862" i="4"/>
  <c r="R1852" i="4"/>
  <c r="R1842" i="4"/>
  <c r="R1830" i="4"/>
  <c r="R1820" i="4"/>
  <c r="R1810" i="4"/>
  <c r="R1798" i="4"/>
  <c r="R1788" i="4"/>
  <c r="R1778" i="4"/>
  <c r="R1766" i="4"/>
  <c r="R1756" i="4"/>
  <c r="R1746" i="4"/>
  <c r="R1734" i="4"/>
  <c r="R1724" i="4"/>
  <c r="R1714" i="4"/>
  <c r="R1702" i="4"/>
  <c r="R1692" i="4"/>
  <c r="I1681" i="4"/>
  <c r="I1665" i="4"/>
  <c r="L1651" i="4"/>
  <c r="J1638" i="4"/>
  <c r="J1622" i="4"/>
  <c r="I1609" i="4"/>
  <c r="L1596" i="4"/>
  <c r="L1584" i="4"/>
  <c r="L1574" i="4"/>
  <c r="L1564" i="4"/>
  <c r="L1552" i="4"/>
  <c r="L1542" i="4"/>
  <c r="L1532" i="4"/>
  <c r="L1520" i="4"/>
  <c r="L1510" i="4"/>
  <c r="L1500" i="4"/>
  <c r="L1488" i="4"/>
  <c r="L1478" i="4"/>
  <c r="L1468" i="4"/>
  <c r="L1456" i="4"/>
  <c r="L1446" i="4"/>
  <c r="L1435" i="4"/>
  <c r="L1423" i="4"/>
  <c r="L1413" i="4"/>
  <c r="L1403" i="4"/>
  <c r="L1391" i="4"/>
  <c r="L1381" i="4"/>
  <c r="L1371" i="4"/>
  <c r="S2333" i="4"/>
  <c r="R2280" i="4"/>
  <c r="O2215" i="4"/>
  <c r="O2128" i="4"/>
  <c r="O2088" i="4"/>
  <c r="O2048" i="4"/>
  <c r="O2005" i="4"/>
  <c r="O1985" i="4"/>
  <c r="O1965" i="4"/>
  <c r="I1949" i="4"/>
  <c r="I1939" i="4"/>
  <c r="I1929" i="4"/>
  <c r="I1917" i="4"/>
  <c r="I1907" i="4"/>
  <c r="I1897" i="4"/>
  <c r="O3407" i="4"/>
  <c r="L3181" i="4"/>
  <c r="L3101" i="4"/>
  <c r="L3005" i="4"/>
  <c r="L2925" i="4"/>
  <c r="L2845" i="4"/>
  <c r="P2518" i="4"/>
  <c r="P2438" i="4"/>
  <c r="P2358" i="4"/>
  <c r="J2266" i="4"/>
  <c r="L2218" i="4"/>
  <c r="L2178" i="4"/>
  <c r="L2130" i="4"/>
  <c r="L2090" i="4"/>
  <c r="L2050" i="4"/>
  <c r="I2014" i="4"/>
  <c r="L2000" i="4"/>
  <c r="J1987" i="4"/>
  <c r="J1971" i="4"/>
  <c r="I1958" i="4"/>
  <c r="O1944" i="4"/>
  <c r="O1928" i="4"/>
  <c r="S2600" i="4"/>
  <c r="I2309" i="4"/>
  <c r="I2261" i="4"/>
  <c r="S2220" i="4"/>
  <c r="S2180" i="4"/>
  <c r="S2132" i="4"/>
  <c r="S2092" i="4"/>
  <c r="S2052" i="4"/>
  <c r="I2015" i="4"/>
  <c r="L2001" i="4"/>
  <c r="J1988" i="4"/>
  <c r="J1972" i="4"/>
  <c r="L2709" i="4"/>
  <c r="L2629" i="4"/>
  <c r="I2533" i="4"/>
  <c r="I2453" i="4"/>
  <c r="I2373" i="4"/>
  <c r="R2281" i="4"/>
  <c r="S2225" i="4"/>
  <c r="S2185" i="4"/>
  <c r="S2137" i="4"/>
  <c r="S2097" i="4"/>
  <c r="S2057" i="4"/>
  <c r="R2016" i="4"/>
  <c r="P2003" i="4"/>
  <c r="S1989" i="4"/>
  <c r="R1976" i="4"/>
  <c r="I2679" i="4"/>
  <c r="I2551" i="4"/>
  <c r="I2305" i="4"/>
  <c r="I2273" i="4"/>
  <c r="L2241" i="4"/>
  <c r="L2209" i="4"/>
  <c r="L2177" i="4"/>
  <c r="L2145" i="4"/>
  <c r="L2113" i="4"/>
  <c r="L2081" i="4"/>
  <c r="L2049" i="4"/>
  <c r="S2018" i="4"/>
  <c r="P2008" i="4"/>
  <c r="R1997" i="4"/>
  <c r="S1986" i="4"/>
  <c r="P1976" i="4"/>
  <c r="S1962" i="4"/>
  <c r="R1945" i="4"/>
  <c r="L1927" i="4"/>
  <c r="L1911" i="4"/>
  <c r="L1895" i="4"/>
  <c r="I1885" i="4"/>
  <c r="I1877" i="4"/>
  <c r="I1869" i="4"/>
  <c r="I1861" i="4"/>
  <c r="I1853" i="4"/>
  <c r="I1845" i="4"/>
  <c r="I1837" i="4"/>
  <c r="I1829" i="4"/>
  <c r="I1821" i="4"/>
  <c r="I1813" i="4"/>
  <c r="I1805" i="4"/>
  <c r="I1797" i="4"/>
  <c r="I1789" i="4"/>
  <c r="I1781" i="4"/>
  <c r="I1773" i="4"/>
  <c r="I1765" i="4"/>
  <c r="I1757" i="4"/>
  <c r="I1749" i="4"/>
  <c r="I1741" i="4"/>
  <c r="I1733" i="4"/>
  <c r="I1725" i="4"/>
  <c r="I1717" i="4"/>
  <c r="I1709" i="4"/>
  <c r="I1701" i="4"/>
  <c r="I1693" i="4"/>
  <c r="I1685" i="4"/>
  <c r="P1962" i="4"/>
  <c r="L1946" i="4"/>
  <c r="R1928" i="4"/>
  <c r="S1917" i="4"/>
  <c r="J1907" i="4"/>
  <c r="O1896" i="4"/>
  <c r="O1883" i="4"/>
  <c r="O1867" i="4"/>
  <c r="O1851" i="4"/>
  <c r="O1835" i="4"/>
  <c r="O1819" i="4"/>
  <c r="O1803" i="4"/>
  <c r="O1787" i="4"/>
  <c r="O1771" i="4"/>
  <c r="O1755" i="4"/>
  <c r="O1739" i="4"/>
  <c r="O1723" i="4"/>
  <c r="O1707" i="4"/>
  <c r="O1691" i="4"/>
  <c r="O1675" i="4"/>
  <c r="O1659" i="4"/>
  <c r="O1643" i="4"/>
  <c r="O1627" i="4"/>
  <c r="O1611" i="4"/>
  <c r="P1967" i="4"/>
  <c r="R1950" i="4"/>
  <c r="S1932" i="4"/>
  <c r="R1915" i="4"/>
  <c r="R1899" i="4"/>
  <c r="S1886" i="4"/>
  <c r="S1878" i="4"/>
  <c r="S1870" i="4"/>
  <c r="S1862" i="4"/>
  <c r="S1854" i="4"/>
  <c r="S1846" i="4"/>
  <c r="S1838" i="4"/>
  <c r="S1830" i="4"/>
  <c r="S1822" i="4"/>
  <c r="S1814" i="4"/>
  <c r="S1806" i="4"/>
  <c r="S1798" i="4"/>
  <c r="S1790" i="4"/>
  <c r="S1782" i="4"/>
  <c r="S1774" i="4"/>
  <c r="S1766" i="4"/>
  <c r="S1758" i="4"/>
  <c r="S1750" i="4"/>
  <c r="S1742" i="4"/>
  <c r="S1734" i="4"/>
  <c r="S1726" i="4"/>
  <c r="S1718" i="4"/>
  <c r="S1710" i="4"/>
  <c r="S1702" i="4"/>
  <c r="S1694" i="4"/>
  <c r="S1686" i="4"/>
  <c r="L1961" i="4"/>
  <c r="S1946" i="4"/>
  <c r="O1927" i="4"/>
  <c r="S1916" i="4"/>
  <c r="J1906" i="4"/>
  <c r="O1895" i="4"/>
  <c r="J1886" i="4"/>
  <c r="J1878" i="4"/>
  <c r="J1870" i="4"/>
  <c r="J1862" i="4"/>
  <c r="J1854" i="4"/>
  <c r="J1846" i="4"/>
  <c r="J1838" i="4"/>
  <c r="J1830" i="4"/>
  <c r="J1822" i="4"/>
  <c r="J1814" i="4"/>
  <c r="J1806" i="4"/>
  <c r="J1798" i="4"/>
  <c r="J1790" i="4"/>
  <c r="J1782" i="4"/>
  <c r="J1774" i="4"/>
  <c r="J1766" i="4"/>
  <c r="J1758" i="4"/>
  <c r="J1750" i="4"/>
  <c r="J1742" i="4"/>
  <c r="J1734" i="4"/>
  <c r="J1726" i="4"/>
  <c r="J1718" i="4"/>
  <c r="J1710" i="4"/>
  <c r="J1702" i="4"/>
  <c r="J1694" i="4"/>
  <c r="J1686" i="4"/>
  <c r="S1674" i="4"/>
  <c r="P1664" i="4"/>
  <c r="R1653" i="4"/>
  <c r="S1642" i="4"/>
  <c r="P1632" i="4"/>
  <c r="R1621" i="4"/>
  <c r="S1610" i="4"/>
  <c r="P1600" i="4"/>
  <c r="S1591" i="4"/>
  <c r="S1583" i="4"/>
  <c r="S1575" i="4"/>
  <c r="S1567" i="4"/>
  <c r="S1559" i="4"/>
  <c r="S1551" i="4"/>
  <c r="S1543" i="4"/>
  <c r="S1535" i="4"/>
  <c r="S1527" i="4"/>
  <c r="S1519" i="4"/>
  <c r="S1511" i="4"/>
  <c r="S1503" i="4"/>
  <c r="S1495" i="4"/>
  <c r="S1487" i="4"/>
  <c r="S1479" i="4"/>
  <c r="S1471" i="4"/>
  <c r="S1463" i="4"/>
  <c r="S1455" i="4"/>
  <c r="S1447" i="4"/>
  <c r="S1439" i="4"/>
  <c r="S1430" i="4"/>
  <c r="S1422" i="4"/>
  <c r="S1414" i="4"/>
  <c r="S1406" i="4"/>
  <c r="S1398" i="4"/>
  <c r="S1390" i="4"/>
  <c r="S1382" i="4"/>
  <c r="S1374" i="4"/>
  <c r="S1366" i="4"/>
  <c r="P2331" i="4"/>
  <c r="R2288" i="4"/>
  <c r="O2243" i="4"/>
  <c r="O2179" i="4"/>
  <c r="O2127" i="4"/>
  <c r="O2095" i="4"/>
  <c r="O2063" i="4"/>
  <c r="O2031" i="4"/>
  <c r="O2004" i="4"/>
  <c r="O1988" i="4"/>
  <c r="O1972" i="4"/>
  <c r="P1956" i="4"/>
  <c r="P1948" i="4"/>
  <c r="P1940" i="4"/>
  <c r="P1932" i="4"/>
  <c r="P1924" i="4"/>
  <c r="P1916" i="4"/>
  <c r="P1908" i="4"/>
  <c r="P1900" i="4"/>
  <c r="P1892" i="4"/>
  <c r="O3375" i="4"/>
  <c r="S3194" i="4"/>
  <c r="S3130" i="4"/>
  <c r="S3066" i="4"/>
  <c r="S3002" i="4"/>
  <c r="S2938" i="4"/>
  <c r="S2874" i="4"/>
  <c r="S2810" i="4"/>
  <c r="I2513" i="4"/>
  <c r="I2449" i="4"/>
  <c r="I2385" i="4"/>
  <c r="R2325" i="4"/>
  <c r="R2261" i="4"/>
  <c r="S2223" i="4"/>
  <c r="S2191" i="4"/>
  <c r="S2159" i="4"/>
  <c r="S2127" i="4"/>
  <c r="S2095" i="4"/>
  <c r="S2063" i="4"/>
  <c r="S2031" i="4"/>
  <c r="P2013" i="4"/>
  <c r="R2002" i="4"/>
  <c r="S1991" i="4"/>
  <c r="P1981" i="4"/>
  <c r="R1970" i="4"/>
  <c r="S1959" i="4"/>
  <c r="J1949" i="4"/>
  <c r="O1938" i="4"/>
  <c r="L2752" i="4"/>
  <c r="S2624" i="4"/>
  <c r="L2323" i="4"/>
  <c r="L2291" i="4"/>
  <c r="L2259" i="4"/>
  <c r="L2227" i="4"/>
  <c r="L2195" i="4"/>
  <c r="L2163" i="4"/>
  <c r="L2131" i="4"/>
  <c r="L2099" i="4"/>
  <c r="L2067" i="4"/>
  <c r="L2035" i="4"/>
  <c r="P2014" i="4"/>
  <c r="R2003" i="4"/>
  <c r="S1992" i="4"/>
  <c r="P1982" i="4"/>
  <c r="R1971" i="4"/>
  <c r="P2722" i="4"/>
  <c r="P2658" i="4"/>
  <c r="P2594" i="4"/>
  <c r="P2530" i="4"/>
  <c r="P2466" i="4"/>
  <c r="P2402" i="4"/>
  <c r="I2338" i="4"/>
  <c r="J2278" i="4"/>
  <c r="L2232" i="4"/>
  <c r="L2200" i="4"/>
  <c r="L2168" i="4"/>
  <c r="L2136" i="4"/>
  <c r="L2104" i="4"/>
  <c r="L2072" i="4"/>
  <c r="L2040" i="4"/>
  <c r="I2016" i="4"/>
  <c r="J2005" i="4"/>
  <c r="L1994" i="4"/>
  <c r="I1984" i="4"/>
  <c r="J1973" i="4"/>
  <c r="I2639" i="4"/>
  <c r="L2327" i="4"/>
  <c r="L2295" i="4"/>
  <c r="L2263" i="4"/>
  <c r="S2230" i="4"/>
  <c r="S2198" i="4"/>
  <c r="S2166" i="4"/>
  <c r="S2134" i="4"/>
  <c r="S2102" i="4"/>
  <c r="S2070" i="4"/>
  <c r="S2038" i="4"/>
  <c r="L2015" i="4"/>
  <c r="I2005" i="4"/>
  <c r="J1994" i="4"/>
  <c r="L1983" i="4"/>
  <c r="I1973" i="4"/>
  <c r="R1957" i="4"/>
  <c r="O1939" i="4"/>
  <c r="R1922" i="4"/>
  <c r="R1906" i="4"/>
  <c r="R1890" i="4"/>
  <c r="P1882" i="4"/>
  <c r="P1874" i="4"/>
  <c r="P1866" i="4"/>
  <c r="P1858" i="4"/>
  <c r="P1850" i="4"/>
  <c r="P1842" i="4"/>
  <c r="P1834" i="4"/>
  <c r="P1826" i="4"/>
  <c r="P1818" i="4"/>
  <c r="P1810" i="4"/>
  <c r="P1802" i="4"/>
  <c r="P1794" i="4"/>
  <c r="P1786" i="4"/>
  <c r="P1778" i="4"/>
  <c r="P1770" i="4"/>
  <c r="P1762" i="4"/>
  <c r="P1754" i="4"/>
  <c r="P1746" i="4"/>
  <c r="P1738" i="4"/>
  <c r="P1730" i="4"/>
  <c r="P1722" i="4"/>
  <c r="P1714" i="4"/>
  <c r="P1706" i="4"/>
  <c r="P1698" i="4"/>
  <c r="P1690" i="4"/>
  <c r="P1682" i="4"/>
  <c r="J1958" i="4"/>
  <c r="J1940" i="4"/>
  <c r="J1925" i="4"/>
  <c r="O1914" i="4"/>
  <c r="S1903" i="4"/>
  <c r="J1893" i="4"/>
  <c r="O1878" i="4"/>
  <c r="O1862" i="4"/>
  <c r="O1846" i="4"/>
  <c r="O1830" i="4"/>
  <c r="O1814" i="4"/>
  <c r="O1798" i="4"/>
  <c r="O1782" i="4"/>
  <c r="O1766" i="4"/>
  <c r="O1750" i="4"/>
  <c r="O1734" i="4"/>
  <c r="O1718" i="4"/>
  <c r="O1702" i="4"/>
  <c r="O1686" i="4"/>
  <c r="O1670" i="4"/>
  <c r="O1654" i="4"/>
  <c r="O1638" i="4"/>
  <c r="O1622" i="4"/>
  <c r="O1606" i="4"/>
  <c r="L1962" i="4"/>
  <c r="L1944" i="4"/>
  <c r="L1926" i="4"/>
  <c r="L1910" i="4"/>
  <c r="L1894" i="4"/>
  <c r="L1884" i="4"/>
  <c r="L1876" i="4"/>
  <c r="L1868" i="4"/>
  <c r="L1860" i="4"/>
  <c r="L1852" i="4"/>
  <c r="L1844" i="4"/>
  <c r="L1836" i="4"/>
  <c r="L1828" i="4"/>
  <c r="L1820" i="4"/>
  <c r="L1812" i="4"/>
  <c r="L1804" i="4"/>
  <c r="L1796" i="4"/>
  <c r="L1788" i="4"/>
  <c r="L1780" i="4"/>
  <c r="L1772" i="4"/>
  <c r="L1764" i="4"/>
  <c r="L1756" i="4"/>
  <c r="L1748" i="4"/>
  <c r="L1740" i="4"/>
  <c r="L1732" i="4"/>
  <c r="L1724" i="4"/>
  <c r="L1716" i="4"/>
  <c r="L1708" i="4"/>
  <c r="L1700" i="4"/>
  <c r="L1692" i="4"/>
  <c r="L1970" i="4"/>
  <c r="S1957" i="4"/>
  <c r="R1940" i="4"/>
  <c r="J1924" i="4"/>
  <c r="O1913" i="4"/>
  <c r="S1902" i="4"/>
  <c r="J1892" i="4"/>
  <c r="R1883" i="4"/>
  <c r="R1875" i="4"/>
  <c r="R1867" i="4"/>
  <c r="R1859" i="4"/>
  <c r="R1851" i="4"/>
  <c r="R1843" i="4"/>
  <c r="R1835" i="4"/>
  <c r="R1827" i="4"/>
  <c r="R1819" i="4"/>
  <c r="R1811" i="4"/>
  <c r="R1803" i="4"/>
  <c r="R1795" i="4"/>
  <c r="R1787" i="4"/>
  <c r="R1779" i="4"/>
  <c r="R1771" i="4"/>
  <c r="R1763" i="4"/>
  <c r="R1755" i="4"/>
  <c r="R1747" i="4"/>
  <c r="R1739" i="4"/>
  <c r="R1731" i="4"/>
  <c r="R1723" i="4"/>
  <c r="R1715" i="4"/>
  <c r="R1707" i="4"/>
  <c r="R1699" i="4"/>
  <c r="R1691" i="4"/>
  <c r="L1682" i="4"/>
  <c r="L1671" i="4"/>
  <c r="I1661" i="4"/>
  <c r="J1650" i="4"/>
  <c r="L1639" i="4"/>
  <c r="I1629" i="4"/>
  <c r="J1618" i="4"/>
  <c r="L1607" i="4"/>
  <c r="L1597" i="4"/>
  <c r="L1589" i="4"/>
  <c r="L1581" i="4"/>
  <c r="L1573" i="4"/>
  <c r="L1565" i="4"/>
  <c r="L1557" i="4"/>
  <c r="L1549" i="4"/>
  <c r="L1541" i="4"/>
  <c r="L1533" i="4"/>
  <c r="L1525" i="4"/>
  <c r="L1517" i="4"/>
  <c r="L1509" i="4"/>
  <c r="L1501" i="4"/>
  <c r="L1493" i="4"/>
  <c r="L1485" i="4"/>
  <c r="L1477" i="4"/>
  <c r="L1469" i="4"/>
  <c r="L1461" i="4"/>
  <c r="L1453" i="4"/>
  <c r="L1445" i="4"/>
  <c r="L1436" i="4"/>
  <c r="L1428" i="4"/>
  <c r="L1420" i="4"/>
  <c r="L1412" i="4"/>
  <c r="L1404" i="4"/>
  <c r="L1396" i="4"/>
  <c r="L1388" i="4"/>
  <c r="L1380" i="4"/>
  <c r="L1372" i="4"/>
  <c r="L1364" i="4"/>
  <c r="S1356" i="4"/>
  <c r="S1348" i="4"/>
  <c r="S1340" i="4"/>
  <c r="S1332" i="4"/>
  <c r="S1324" i="4"/>
  <c r="S1316" i="4"/>
  <c r="S1308" i="4"/>
  <c r="S1300" i="4"/>
  <c r="S1292" i="4"/>
  <c r="S1284" i="4"/>
  <c r="S1276" i="4"/>
  <c r="S1268" i="4"/>
  <c r="S1260" i="4"/>
  <c r="S1252" i="4"/>
  <c r="S1244" i="4"/>
  <c r="S1236" i="4"/>
  <c r="S1228" i="4"/>
  <c r="S1220" i="4"/>
  <c r="S1212" i="4"/>
  <c r="S1204" i="4"/>
  <c r="S1196" i="4"/>
  <c r="S1188" i="4"/>
  <c r="S1180" i="4"/>
  <c r="S1172" i="4"/>
  <c r="S1164" i="4"/>
  <c r="S1156" i="4"/>
  <c r="S1148" i="4"/>
  <c r="S1140" i="4"/>
  <c r="S1132" i="4"/>
  <c r="S1124" i="4"/>
  <c r="S1116" i="4"/>
  <c r="S1108" i="4"/>
  <c r="S1100" i="4"/>
  <c r="S1092" i="4"/>
  <c r="S1084" i="4"/>
  <c r="S1076" i="4"/>
  <c r="S1068" i="4"/>
  <c r="S1060" i="4"/>
  <c r="J1682" i="4"/>
  <c r="J1671" i="4"/>
  <c r="L1660" i="4"/>
  <c r="I1650" i="4"/>
  <c r="J1639" i="4"/>
  <c r="L1628" i="4"/>
  <c r="I1618" i="4"/>
  <c r="J1607" i="4"/>
  <c r="J1597" i="4"/>
  <c r="J1589" i="4"/>
  <c r="J1581" i="4"/>
  <c r="J1573" i="4"/>
  <c r="J1565" i="4"/>
  <c r="J1557" i="4"/>
  <c r="J1549" i="4"/>
  <c r="J1541" i="4"/>
  <c r="J1533" i="4"/>
  <c r="J1525" i="4"/>
  <c r="J1517" i="4"/>
  <c r="J1509" i="4"/>
  <c r="J1501" i="4"/>
  <c r="J1493" i="4"/>
  <c r="J1485" i="4"/>
  <c r="J1477" i="4"/>
  <c r="J1469" i="4"/>
  <c r="J1461" i="4"/>
  <c r="J1453" i="4"/>
  <c r="J1445" i="4"/>
  <c r="J1436" i="4"/>
  <c r="J1428" i="4"/>
  <c r="J1420" i="4"/>
  <c r="J1412" i="4"/>
  <c r="J1404" i="4"/>
  <c r="J1396" i="4"/>
  <c r="J1388" i="4"/>
  <c r="J1380" i="4"/>
  <c r="J1372" i="4"/>
  <c r="J1364" i="4"/>
  <c r="J1356" i="4"/>
  <c r="J1348" i="4"/>
  <c r="J1340" i="4"/>
  <c r="J1332" i="4"/>
  <c r="J1324" i="4"/>
  <c r="J1316" i="4"/>
  <c r="J1308" i="4"/>
  <c r="J1300" i="4"/>
  <c r="J1292" i="4"/>
  <c r="J1284" i="4"/>
  <c r="J1276" i="4"/>
  <c r="J1268" i="4"/>
  <c r="J1260" i="4"/>
  <c r="J1252" i="4"/>
  <c r="J1244" i="4"/>
  <c r="J1236" i="4"/>
  <c r="J1228" i="4"/>
  <c r="J1220" i="4"/>
  <c r="J1212" i="4"/>
  <c r="J1204" i="4"/>
  <c r="J1196" i="4"/>
  <c r="J1188" i="4"/>
  <c r="J1180" i="4"/>
  <c r="J1172" i="4"/>
  <c r="J1164" i="4"/>
  <c r="J1156" i="4"/>
  <c r="J1148" i="4"/>
  <c r="J1140" i="4"/>
  <c r="J1132" i="4"/>
  <c r="J1124" i="4"/>
  <c r="J1116" i="4"/>
  <c r="J1108" i="4"/>
  <c r="J1100" i="4"/>
  <c r="J1092" i="4"/>
  <c r="J1084" i="4"/>
  <c r="J1076" i="4"/>
  <c r="J1068" i="4"/>
  <c r="J1060" i="4"/>
  <c r="L1681" i="4"/>
  <c r="I1671" i="4"/>
  <c r="J1660" i="4"/>
  <c r="L1649" i="4"/>
  <c r="I1639" i="4"/>
  <c r="J1628" i="4"/>
  <c r="L1617" i="4"/>
  <c r="I1607" i="4"/>
  <c r="I1597" i="4"/>
  <c r="I1589" i="4"/>
  <c r="I1581" i="4"/>
  <c r="I1573" i="4"/>
  <c r="I1565" i="4"/>
  <c r="I1557" i="4"/>
  <c r="I1549" i="4"/>
  <c r="I1541" i="4"/>
  <c r="I1533" i="4"/>
  <c r="I1525" i="4"/>
  <c r="I1517" i="4"/>
  <c r="I1509" i="4"/>
  <c r="I1501" i="4"/>
  <c r="I1493" i="4"/>
  <c r="I1485" i="4"/>
  <c r="I1477" i="4"/>
  <c r="I1469" i="4"/>
  <c r="I1461" i="4"/>
  <c r="I1453" i="4"/>
  <c r="I1445" i="4"/>
  <c r="I1436" i="4"/>
  <c r="I1428" i="4"/>
  <c r="I1420" i="4"/>
  <c r="I1412" i="4"/>
  <c r="I1404" i="4"/>
  <c r="I1396" i="4"/>
  <c r="I1388" i="4"/>
  <c r="I1380" i="4"/>
  <c r="I1372" i="4"/>
  <c r="I1364" i="4"/>
  <c r="I1356" i="4"/>
  <c r="I1348" i="4"/>
  <c r="I1340" i="4"/>
  <c r="I1332" i="4"/>
  <c r="I1324" i="4"/>
  <c r="I1316" i="4"/>
  <c r="I1308" i="4"/>
  <c r="I1300" i="4"/>
  <c r="I1292" i="4"/>
  <c r="I1284" i="4"/>
  <c r="I1276" i="4"/>
  <c r="I1268" i="4"/>
  <c r="I1260" i="4"/>
  <c r="I1252" i="4"/>
  <c r="I1244" i="4"/>
  <c r="I1236" i="4"/>
  <c r="I1228" i="4"/>
  <c r="I1220" i="4"/>
  <c r="I1212" i="4"/>
  <c r="I1204" i="4"/>
  <c r="I1196" i="4"/>
  <c r="I1188" i="4"/>
  <c r="I1180" i="4"/>
  <c r="I1172" i="4"/>
  <c r="I1164" i="4"/>
  <c r="I1156" i="4"/>
  <c r="I1148" i="4"/>
  <c r="I1140" i="4"/>
  <c r="I1132" i="4"/>
  <c r="I1124" i="4"/>
  <c r="I1116" i="4"/>
  <c r="I1108" i="4"/>
  <c r="I1100" i="4"/>
  <c r="I1092" i="4"/>
  <c r="I1084" i="4"/>
  <c r="I1076" i="4"/>
  <c r="I1068" i="4"/>
  <c r="I1060" i="4"/>
  <c r="I1052" i="4"/>
  <c r="I1044" i="4"/>
  <c r="L1674" i="4"/>
  <c r="I1664" i="4"/>
  <c r="J1653" i="4"/>
  <c r="L1642" i="4"/>
  <c r="I1632" i="4"/>
  <c r="J1621" i="4"/>
  <c r="L1610" i="4"/>
  <c r="I1600" i="4"/>
  <c r="O1584" i="4"/>
  <c r="O1568" i="4"/>
  <c r="O1552" i="4"/>
  <c r="O1536" i="4"/>
  <c r="O1520" i="4"/>
  <c r="O1504" i="4"/>
  <c r="O1488" i="4"/>
  <c r="O1472" i="4"/>
  <c r="O1456" i="4"/>
  <c r="O1440" i="4"/>
  <c r="O1423" i="4"/>
  <c r="O1407" i="4"/>
  <c r="O1391" i="4"/>
  <c r="O1375" i="4"/>
  <c r="O1359" i="4"/>
  <c r="O1343" i="4"/>
  <c r="O1327" i="4"/>
  <c r="O1311" i="4"/>
  <c r="O1295" i="4"/>
  <c r="O1279" i="4"/>
  <c r="O1263" i="4"/>
  <c r="O1247" i="4"/>
  <c r="O1231" i="4"/>
  <c r="O1215" i="4"/>
  <c r="O1199" i="4"/>
  <c r="O1183" i="4"/>
  <c r="O1167" i="4"/>
  <c r="O1151" i="4"/>
  <c r="O1135" i="4"/>
  <c r="O1119" i="4"/>
  <c r="O1103" i="4"/>
  <c r="O1087" i="4"/>
  <c r="O1071" i="4"/>
  <c r="O1055" i="4"/>
  <c r="O1039" i="4"/>
  <c r="O1023" i="4"/>
  <c r="O1007" i="4"/>
  <c r="O991" i="4"/>
  <c r="O975" i="4"/>
  <c r="O959" i="4"/>
  <c r="O943" i="4"/>
  <c r="O927" i="4"/>
  <c r="O911" i="4"/>
  <c r="O895" i="4"/>
  <c r="O879" i="4"/>
  <c r="O863" i="4"/>
  <c r="O847" i="4"/>
  <c r="O831" i="4"/>
  <c r="O815" i="4"/>
  <c r="O799" i="4"/>
  <c r="O783" i="4"/>
  <c r="O767" i="4"/>
  <c r="O751" i="4"/>
  <c r="O735" i="4"/>
  <c r="O719" i="4"/>
  <c r="O703" i="4"/>
  <c r="L1356" i="4"/>
  <c r="L1348" i="4"/>
  <c r="L1340" i="4"/>
  <c r="L1332" i="4"/>
  <c r="L1324" i="4"/>
  <c r="L1316" i="4"/>
  <c r="L1308" i="4"/>
  <c r="L1300" i="4"/>
  <c r="L1292" i="4"/>
  <c r="L1284" i="4"/>
  <c r="L1276" i="4"/>
  <c r="L1268" i="4"/>
  <c r="L1260" i="4"/>
  <c r="L1252" i="4"/>
  <c r="L1244" i="4"/>
  <c r="L1236" i="4"/>
  <c r="L1228" i="4"/>
  <c r="L1220" i="4"/>
  <c r="L1212" i="4"/>
  <c r="L1204" i="4"/>
  <c r="L1196" i="4"/>
  <c r="L1188" i="4"/>
  <c r="L1180" i="4"/>
  <c r="L1172" i="4"/>
  <c r="L1164" i="4"/>
  <c r="L1156" i="4"/>
  <c r="L1148" i="4"/>
  <c r="L1140" i="4"/>
  <c r="L1132" i="4"/>
  <c r="L1124" i="4"/>
  <c r="L1116" i="4"/>
  <c r="L1108" i="4"/>
  <c r="L1100" i="4"/>
  <c r="L1092" i="4"/>
  <c r="L1084" i="4"/>
  <c r="L1076" i="4"/>
  <c r="L1068" i="4"/>
  <c r="L1060" i="4"/>
  <c r="P1681" i="4"/>
  <c r="R1670" i="4"/>
  <c r="S1659" i="4"/>
  <c r="P1649" i="4"/>
  <c r="R1638" i="4"/>
  <c r="S1627" i="4"/>
  <c r="P1617" i="4"/>
  <c r="R1606" i="4"/>
  <c r="R1596" i="4"/>
  <c r="R1588" i="4"/>
  <c r="R1580" i="4"/>
  <c r="R1572" i="4"/>
  <c r="R1564" i="4"/>
  <c r="R1556" i="4"/>
  <c r="R1548" i="4"/>
  <c r="R1540" i="4"/>
  <c r="R1532" i="4"/>
  <c r="R1524" i="4"/>
  <c r="R1516" i="4"/>
  <c r="R1508" i="4"/>
  <c r="R1500" i="4"/>
  <c r="R1492" i="4"/>
  <c r="R1484" i="4"/>
  <c r="R1476" i="4"/>
  <c r="R1468" i="4"/>
  <c r="R1460" i="4"/>
  <c r="R1452" i="4"/>
  <c r="R1444" i="4"/>
  <c r="R1435" i="4"/>
  <c r="R1427" i="4"/>
  <c r="R1419" i="4"/>
  <c r="R1411" i="4"/>
  <c r="R1403" i="4"/>
  <c r="R1395" i="4"/>
  <c r="R1387" i="4"/>
  <c r="R1379" i="4"/>
  <c r="R1371" i="4"/>
  <c r="R1363" i="4"/>
  <c r="R1355" i="4"/>
  <c r="R1347" i="4"/>
  <c r="R1339" i="4"/>
  <c r="R1331" i="4"/>
  <c r="R1323" i="4"/>
  <c r="R1315" i="4"/>
  <c r="R1307" i="4"/>
  <c r="R1299" i="4"/>
  <c r="R1291" i="4"/>
  <c r="R1283" i="4"/>
  <c r="R1275" i="4"/>
  <c r="R1267" i="4"/>
  <c r="R1259" i="4"/>
  <c r="R1251" i="4"/>
  <c r="R1243" i="4"/>
  <c r="R1235" i="4"/>
  <c r="R1227" i="4"/>
  <c r="R1219" i="4"/>
  <c r="R1211" i="4"/>
  <c r="R1203" i="4"/>
  <c r="R1195" i="4"/>
  <c r="R1187" i="4"/>
  <c r="R1179" i="4"/>
  <c r="R1171" i="4"/>
  <c r="R1163" i="4"/>
  <c r="R1155" i="4"/>
  <c r="R1147" i="4"/>
  <c r="R1139" i="4"/>
  <c r="R1131" i="4"/>
  <c r="R1123" i="4"/>
  <c r="R1115" i="4"/>
  <c r="R1107" i="4"/>
  <c r="R1099" i="4"/>
  <c r="R1091" i="4"/>
  <c r="R1083" i="4"/>
  <c r="R1075" i="4"/>
  <c r="R1067" i="4"/>
  <c r="R1059" i="4"/>
  <c r="S1680" i="4"/>
  <c r="P1670" i="4"/>
  <c r="R1659" i="4"/>
  <c r="S1648" i="4"/>
  <c r="P1638" i="4"/>
  <c r="R1627" i="4"/>
  <c r="S1616" i="4"/>
  <c r="P1606" i="4"/>
  <c r="P1596" i="4"/>
  <c r="P1588" i="4"/>
  <c r="P1580" i="4"/>
  <c r="P1572" i="4"/>
  <c r="P1564" i="4"/>
  <c r="P1556" i="4"/>
  <c r="P1548" i="4"/>
  <c r="P1540" i="4"/>
  <c r="P1532" i="4"/>
  <c r="P1524" i="4"/>
  <c r="P1516" i="4"/>
  <c r="P1508" i="4"/>
  <c r="P1500" i="4"/>
  <c r="P1492" i="4"/>
  <c r="P1484" i="4"/>
  <c r="P1476" i="4"/>
  <c r="P1468" i="4"/>
  <c r="P1460" i="4"/>
  <c r="P1452" i="4"/>
  <c r="P1444" i="4"/>
  <c r="P1435" i="4"/>
  <c r="P1427" i="4"/>
  <c r="P1419" i="4"/>
  <c r="P1411" i="4"/>
  <c r="P1403" i="4"/>
  <c r="P1395" i="4"/>
  <c r="P1387" i="4"/>
  <c r="P1379" i="4"/>
  <c r="P1371" i="4"/>
  <c r="P1363" i="4"/>
  <c r="P1355" i="4"/>
  <c r="P1347" i="4"/>
  <c r="P1339" i="4"/>
  <c r="P1331" i="4"/>
  <c r="P1323" i="4"/>
  <c r="P1315" i="4"/>
  <c r="P1307" i="4"/>
  <c r="P1299" i="4"/>
  <c r="P1291" i="4"/>
  <c r="P1283" i="4"/>
  <c r="P1275" i="4"/>
  <c r="P1267" i="4"/>
  <c r="P1259" i="4"/>
  <c r="P1251" i="4"/>
  <c r="P1243" i="4"/>
  <c r="P1235" i="4"/>
  <c r="P1227" i="4"/>
  <c r="P1219" i="4"/>
  <c r="P1211" i="4"/>
  <c r="P1203" i="4"/>
  <c r="P1195" i="4"/>
  <c r="P1187" i="4"/>
  <c r="P1179" i="4"/>
  <c r="P1171" i="4"/>
  <c r="P1163" i="4"/>
  <c r="P1155" i="4"/>
  <c r="P1147" i="4"/>
  <c r="P1139" i="4"/>
  <c r="P1131" i="4"/>
  <c r="P1123" i="4"/>
  <c r="P1115" i="4"/>
  <c r="P1107" i="4"/>
  <c r="P1099" i="4"/>
  <c r="P1091" i="4"/>
  <c r="P1083" i="4"/>
  <c r="P1075" i="4"/>
  <c r="P1067" i="4"/>
  <c r="P1059" i="4"/>
  <c r="P1051" i="4"/>
  <c r="P1043" i="4"/>
  <c r="S1673" i="4"/>
  <c r="P1663" i="4"/>
  <c r="L1358" i="4"/>
  <c r="S1349" i="4"/>
  <c r="S1341" i="4"/>
  <c r="S1333" i="4"/>
  <c r="S1325" i="4"/>
  <c r="S1317" i="4"/>
  <c r="S1309" i="4"/>
  <c r="S1301" i="4"/>
  <c r="S1293" i="4"/>
  <c r="S1285" i="4"/>
  <c r="S1277" i="4"/>
  <c r="S1269" i="4"/>
  <c r="S1261" i="4"/>
  <c r="S1253" i="4"/>
  <c r="S1245" i="4"/>
  <c r="S1237" i="4"/>
  <c r="S1229" i="4"/>
  <c r="S1221" i="4"/>
  <c r="S1213" i="4"/>
  <c r="S1205" i="4"/>
  <c r="S1197" i="4"/>
  <c r="S1189" i="4"/>
  <c r="S1181" i="4"/>
  <c r="S1173" i="4"/>
  <c r="S1165" i="4"/>
  <c r="S1157" i="4"/>
  <c r="S1149" i="4"/>
  <c r="S1141" i="4"/>
  <c r="S1133" i="4"/>
  <c r="S1125" i="4"/>
  <c r="S1117" i="4"/>
  <c r="S1109" i="4"/>
  <c r="S1101" i="4"/>
  <c r="S1093" i="4"/>
  <c r="S1085" i="4"/>
  <c r="S1077" i="4"/>
  <c r="S1069" i="4"/>
  <c r="S1061" i="4"/>
  <c r="R1684" i="4"/>
  <c r="L1672" i="4"/>
  <c r="I1662" i="4"/>
  <c r="J1651" i="4"/>
  <c r="L1640" i="4"/>
  <c r="I1630" i="4"/>
  <c r="J1619" i="4"/>
  <c r="L1608" i="4"/>
  <c r="J1598" i="4"/>
  <c r="J1590" i="4"/>
  <c r="J1582" i="4"/>
  <c r="J1574" i="4"/>
  <c r="J1566" i="4"/>
  <c r="J1558" i="4"/>
  <c r="J1550" i="4"/>
  <c r="J1542" i="4"/>
  <c r="J1534" i="4"/>
  <c r="J1526" i="4"/>
  <c r="J1518" i="4"/>
  <c r="J1510" i="4"/>
  <c r="J1502" i="4"/>
  <c r="J1494" i="4"/>
  <c r="J1486" i="4"/>
  <c r="J1478" i="4"/>
  <c r="J1470" i="4"/>
  <c r="J1462" i="4"/>
  <c r="J1454" i="4"/>
  <c r="J1446" i="4"/>
  <c r="J1438" i="4"/>
  <c r="J1429" i="4"/>
  <c r="J1421" i="4"/>
  <c r="J1413" i="4"/>
  <c r="J1405" i="4"/>
  <c r="J1397" i="4"/>
  <c r="J1389" i="4"/>
  <c r="J1381" i="4"/>
  <c r="J1373" i="4"/>
  <c r="J1365" i="4"/>
  <c r="J1357" i="4"/>
  <c r="J1349" i="4"/>
  <c r="J1341" i="4"/>
  <c r="J1333" i="4"/>
  <c r="J1325" i="4"/>
  <c r="J1317" i="4"/>
  <c r="J1309" i="4"/>
  <c r="J1301" i="4"/>
  <c r="J1293" i="4"/>
  <c r="J1285" i="4"/>
  <c r="J1277" i="4"/>
  <c r="J1269" i="4"/>
  <c r="J1261" i="4"/>
  <c r="J1253" i="4"/>
  <c r="J1245" i="4"/>
  <c r="J1237" i="4"/>
  <c r="J1229" i="4"/>
  <c r="J1221" i="4"/>
  <c r="J1213" i="4"/>
  <c r="J1205" i="4"/>
  <c r="J1197" i="4"/>
  <c r="J1189" i="4"/>
  <c r="J1181" i="4"/>
  <c r="J1173" i="4"/>
  <c r="J1165" i="4"/>
  <c r="J1157" i="4"/>
  <c r="J1149" i="4"/>
  <c r="J1141" i="4"/>
  <c r="J1133" i="4"/>
  <c r="J1125" i="4"/>
  <c r="J1117" i="4"/>
  <c r="J1109" i="4"/>
  <c r="J1101" i="4"/>
  <c r="J1093" i="4"/>
  <c r="J1085" i="4"/>
  <c r="J1077" i="4"/>
  <c r="J1069" i="4"/>
  <c r="J1061" i="4"/>
  <c r="R1683" i="4"/>
  <c r="J1672" i="4"/>
  <c r="L1661" i="4"/>
  <c r="I1651" i="4"/>
  <c r="J1640" i="4"/>
  <c r="L1629" i="4"/>
  <c r="I1619" i="4"/>
  <c r="J1608" i="4"/>
  <c r="I1598" i="4"/>
  <c r="I1590" i="4"/>
  <c r="I1582" i="4"/>
  <c r="I1574" i="4"/>
  <c r="I1566" i="4"/>
  <c r="I1558" i="4"/>
  <c r="I1550" i="4"/>
  <c r="I1542" i="4"/>
  <c r="I1534" i="4"/>
  <c r="I1526" i="4"/>
  <c r="I1518" i="4"/>
  <c r="I1510" i="4"/>
  <c r="I1502" i="4"/>
  <c r="I1494" i="4"/>
  <c r="I1486" i="4"/>
  <c r="I1478" i="4"/>
  <c r="I1470" i="4"/>
  <c r="I1462" i="4"/>
  <c r="I1454" i="4"/>
  <c r="I1446" i="4"/>
  <c r="I1438" i="4"/>
  <c r="I1429" i="4"/>
  <c r="I1421" i="4"/>
  <c r="I1413" i="4"/>
  <c r="I1405" i="4"/>
  <c r="I1397" i="4"/>
  <c r="I1389" i="4"/>
  <c r="I1381" i="4"/>
  <c r="I1373" i="4"/>
  <c r="I1365" i="4"/>
  <c r="I1357" i="4"/>
  <c r="I1349" i="4"/>
  <c r="I1341" i="4"/>
  <c r="I1333" i="4"/>
  <c r="I1325" i="4"/>
  <c r="I1317" i="4"/>
  <c r="I1309" i="4"/>
  <c r="I1301" i="4"/>
  <c r="I1293" i="4"/>
  <c r="I1285" i="4"/>
  <c r="I1277" i="4"/>
  <c r="I1269" i="4"/>
  <c r="I1261" i="4"/>
  <c r="I1253" i="4"/>
  <c r="I1245" i="4"/>
  <c r="I1237" i="4"/>
  <c r="I1229" i="4"/>
  <c r="I1221" i="4"/>
  <c r="I1213" i="4"/>
  <c r="I1205" i="4"/>
  <c r="I1197" i="4"/>
  <c r="I1189" i="4"/>
  <c r="I1181" i="4"/>
  <c r="I1173" i="4"/>
  <c r="I1165" i="4"/>
  <c r="I1157" i="4"/>
  <c r="I1149" i="4"/>
  <c r="I1141" i="4"/>
  <c r="I1133" i="4"/>
  <c r="I1125" i="4"/>
  <c r="I1117" i="4"/>
  <c r="I1109" i="4"/>
  <c r="I1101" i="4"/>
  <c r="I1093" i="4"/>
  <c r="I1085" i="4"/>
  <c r="I1077" i="4"/>
  <c r="I1069" i="4"/>
  <c r="I1061" i="4"/>
  <c r="I1053" i="4"/>
  <c r="I1045" i="4"/>
  <c r="I1676" i="4"/>
  <c r="J1665" i="4"/>
  <c r="L1654" i="4"/>
  <c r="I1644" i="4"/>
  <c r="J1633" i="4"/>
  <c r="L1622" i="4"/>
  <c r="I1612" i="4"/>
  <c r="J1601" i="4"/>
  <c r="O1586" i="4"/>
  <c r="O1570" i="4"/>
  <c r="O1554" i="4"/>
  <c r="O1538" i="4"/>
  <c r="O1522" i="4"/>
  <c r="O1506" i="4"/>
  <c r="O1490" i="4"/>
  <c r="O1474" i="4"/>
  <c r="O1458" i="4"/>
  <c r="O1442" i="4"/>
  <c r="O1425" i="4"/>
  <c r="O1409" i="4"/>
  <c r="O1393" i="4"/>
  <c r="O1377" i="4"/>
  <c r="O1361" i="4"/>
  <c r="O1345" i="4"/>
  <c r="O1329" i="4"/>
  <c r="O1313" i="4"/>
  <c r="O1297" i="4"/>
  <c r="O1281" i="4"/>
  <c r="O1265" i="4"/>
  <c r="O1249" i="4"/>
  <c r="O1233" i="4"/>
  <c r="O1217" i="4"/>
  <c r="O1201" i="4"/>
  <c r="O1185" i="4"/>
  <c r="O1169" i="4"/>
  <c r="O1153" i="4"/>
  <c r="O1137" i="4"/>
  <c r="O1121" i="4"/>
  <c r="O1105" i="4"/>
  <c r="O1089" i="4"/>
  <c r="O1073" i="4"/>
  <c r="O1057" i="4"/>
  <c r="O1041" i="4"/>
  <c r="O1025" i="4"/>
  <c r="O1009" i="4"/>
  <c r="O993" i="4"/>
  <c r="O977" i="4"/>
  <c r="O961" i="4"/>
  <c r="O945" i="4"/>
  <c r="O929" i="4"/>
  <c r="O913" i="4"/>
  <c r="O897" i="4"/>
  <c r="O881" i="4"/>
  <c r="O865" i="4"/>
  <c r="O849" i="4"/>
  <c r="O833" i="4"/>
  <c r="O817" i="4"/>
  <c r="O801" i="4"/>
  <c r="O785" i="4"/>
  <c r="O769" i="4"/>
  <c r="O753" i="4"/>
  <c r="O737" i="4"/>
  <c r="O721" i="4"/>
  <c r="O705" i="4"/>
  <c r="L1357" i="4"/>
  <c r="L1349" i="4"/>
  <c r="L1341" i="4"/>
  <c r="L1333" i="4"/>
  <c r="L1325" i="4"/>
  <c r="L1317" i="4"/>
  <c r="L1309" i="4"/>
  <c r="L1301" i="4"/>
  <c r="L1293" i="4"/>
  <c r="L1285" i="4"/>
  <c r="L1277" i="4"/>
  <c r="L1269" i="4"/>
  <c r="L1261" i="4"/>
  <c r="L1253" i="4"/>
  <c r="L1245" i="4"/>
  <c r="L1237" i="4"/>
  <c r="L1229" i="4"/>
  <c r="L1221" i="4"/>
  <c r="L1213" i="4"/>
  <c r="L1205" i="4"/>
  <c r="L1197" i="4"/>
  <c r="L1189" i="4"/>
  <c r="L1181" i="4"/>
  <c r="L1173" i="4"/>
  <c r="L1165" i="4"/>
  <c r="L1157" i="4"/>
  <c r="L1149" i="4"/>
  <c r="L1141" i="4"/>
  <c r="L1133" i="4"/>
  <c r="L1125" i="4"/>
  <c r="L1117" i="4"/>
  <c r="L1109" i="4"/>
  <c r="L1101" i="4"/>
  <c r="L1093" i="4"/>
  <c r="L1085" i="4"/>
  <c r="L1077" i="4"/>
  <c r="L1069" i="4"/>
  <c r="L1061" i="4"/>
  <c r="S1683" i="4"/>
  <c r="S1671" i="4"/>
  <c r="P1661" i="4"/>
  <c r="R1650" i="4"/>
  <c r="S1639" i="4"/>
  <c r="P1629" i="4"/>
  <c r="R1618" i="4"/>
  <c r="S1607" i="4"/>
  <c r="R1597" i="4"/>
  <c r="R1589" i="4"/>
  <c r="R1581" i="4"/>
  <c r="R1573" i="4"/>
  <c r="R1565" i="4"/>
  <c r="R1557" i="4"/>
  <c r="R1549" i="4"/>
  <c r="R1541" i="4"/>
  <c r="R1533" i="4"/>
  <c r="R1525" i="4"/>
  <c r="R1517" i="4"/>
  <c r="R1509" i="4"/>
  <c r="R1501" i="4"/>
  <c r="R1493" i="4"/>
  <c r="R1485" i="4"/>
  <c r="R1477" i="4"/>
  <c r="R1469" i="4"/>
  <c r="R1461" i="4"/>
  <c r="R1453" i="4"/>
  <c r="R1445" i="4"/>
  <c r="R1436" i="4"/>
  <c r="R1428" i="4"/>
  <c r="R1420" i="4"/>
  <c r="R1412" i="4"/>
  <c r="R1404" i="4"/>
  <c r="R1396" i="4"/>
  <c r="R1388" i="4"/>
  <c r="R1380" i="4"/>
  <c r="R1372" i="4"/>
  <c r="R1364" i="4"/>
  <c r="R1356" i="4"/>
  <c r="R1348" i="4"/>
  <c r="R1340" i="4"/>
  <c r="R1332" i="4"/>
  <c r="R1324" i="4"/>
  <c r="R1316" i="4"/>
  <c r="R1308" i="4"/>
  <c r="R1300" i="4"/>
  <c r="R1292" i="4"/>
  <c r="R1284" i="4"/>
  <c r="R1276" i="4"/>
  <c r="R1268" i="4"/>
  <c r="R1260" i="4"/>
  <c r="R1252" i="4"/>
  <c r="R1244" i="4"/>
  <c r="R1236" i="4"/>
  <c r="R1228" i="4"/>
  <c r="R1220" i="4"/>
  <c r="R1212" i="4"/>
  <c r="R1204" i="4"/>
  <c r="R1196" i="4"/>
  <c r="R1188" i="4"/>
  <c r="R1180" i="4"/>
  <c r="R1172" i="4"/>
  <c r="R1164" i="4"/>
  <c r="R1156" i="4"/>
  <c r="R1148" i="4"/>
  <c r="R1140" i="4"/>
  <c r="R1132" i="4"/>
  <c r="R1124" i="4"/>
  <c r="R1116" i="4"/>
  <c r="R1108" i="4"/>
  <c r="R1100" i="4"/>
  <c r="R1092" i="4"/>
  <c r="R1084" i="4"/>
  <c r="R1076" i="4"/>
  <c r="R1068" i="4"/>
  <c r="R1060" i="4"/>
  <c r="S1682" i="4"/>
  <c r="R1671" i="4"/>
  <c r="S1660" i="4"/>
  <c r="P1650" i="4"/>
  <c r="R1639" i="4"/>
  <c r="S1628" i="4"/>
  <c r="P1618" i="4"/>
  <c r="R1607" i="4"/>
  <c r="P1597" i="4"/>
  <c r="P1589" i="4"/>
  <c r="P1581" i="4"/>
  <c r="P1573" i="4"/>
  <c r="P1565" i="4"/>
  <c r="P1557" i="4"/>
  <c r="P1549" i="4"/>
  <c r="P1541" i="4"/>
  <c r="P1533" i="4"/>
  <c r="P1525" i="4"/>
  <c r="P1517" i="4"/>
  <c r="P1509" i="4"/>
  <c r="P1501" i="4"/>
  <c r="P1493" i="4"/>
  <c r="P1485" i="4"/>
  <c r="P1477" i="4"/>
  <c r="P1469" i="4"/>
  <c r="P1461" i="4"/>
  <c r="P1453" i="4"/>
  <c r="P1445" i="4"/>
  <c r="P1436" i="4"/>
  <c r="P1428" i="4"/>
  <c r="P1420" i="4"/>
  <c r="P1412" i="4"/>
  <c r="P1404" i="4"/>
  <c r="P1396" i="4"/>
  <c r="P1388" i="4"/>
  <c r="P1380" i="4"/>
  <c r="P1372" i="4"/>
  <c r="P1364" i="4"/>
  <c r="P1356" i="4"/>
  <c r="P1348" i="4"/>
  <c r="P1340" i="4"/>
  <c r="P1332" i="4"/>
  <c r="P1324" i="4"/>
  <c r="P1316" i="4"/>
  <c r="P1308" i="4"/>
  <c r="P1300" i="4"/>
  <c r="P1292" i="4"/>
  <c r="P1284" i="4"/>
  <c r="P1276" i="4"/>
  <c r="P1268" i="4"/>
  <c r="P1260" i="4"/>
  <c r="P1252" i="4"/>
  <c r="P1244" i="4"/>
  <c r="P1236" i="4"/>
  <c r="P1228" i="4"/>
  <c r="P1220" i="4"/>
  <c r="P1212" i="4"/>
  <c r="P1204" i="4"/>
  <c r="P1196" i="4"/>
  <c r="P1188" i="4"/>
  <c r="P1180" i="4"/>
  <c r="P1172" i="4"/>
  <c r="P1164" i="4"/>
  <c r="P1156" i="4"/>
  <c r="P1148" i="4"/>
  <c r="P1140" i="4"/>
  <c r="P1132" i="4"/>
  <c r="P1124" i="4"/>
  <c r="P1116" i="4"/>
  <c r="P1108" i="4"/>
  <c r="P1100" i="4"/>
  <c r="P1092" i="4"/>
  <c r="P1084" i="4"/>
  <c r="P1076" i="4"/>
  <c r="P1068" i="4"/>
  <c r="P1060" i="4"/>
  <c r="P1052" i="4"/>
  <c r="P1044" i="4"/>
  <c r="P1675" i="4"/>
  <c r="R1664" i="4"/>
  <c r="S1653" i="4"/>
  <c r="P1643" i="4"/>
  <c r="R1632" i="4"/>
  <c r="S1621" i="4"/>
  <c r="P1611" i="4"/>
  <c r="R1600" i="4"/>
  <c r="O1585" i="4"/>
  <c r="O1569" i="4"/>
  <c r="O1553" i="4"/>
  <c r="O1537" i="4"/>
  <c r="O1521" i="4"/>
  <c r="O1505" i="4"/>
  <c r="O1489" i="4"/>
  <c r="O1473" i="4"/>
  <c r="O1457" i="4"/>
  <c r="O1441" i="4"/>
  <c r="O1424" i="4"/>
  <c r="O1408" i="4"/>
  <c r="O1392" i="4"/>
  <c r="O1376" i="4"/>
  <c r="O1360" i="4"/>
  <c r="O1344" i="4"/>
  <c r="O1328" i="4"/>
  <c r="O1312" i="4"/>
  <c r="O1296" i="4"/>
  <c r="O1280" i="4"/>
  <c r="O1264" i="4"/>
  <c r="O1248" i="4"/>
  <c r="O1232" i="4"/>
  <c r="O1216" i="4"/>
  <c r="O1200" i="4"/>
  <c r="O1184" i="4"/>
  <c r="O1168" i="4"/>
  <c r="O1152" i="4"/>
  <c r="O1136" i="4"/>
  <c r="O1120" i="4"/>
  <c r="O1104" i="4"/>
  <c r="O1088" i="4"/>
  <c r="O1072" i="4"/>
  <c r="O1056" i="4"/>
  <c r="O1040" i="4"/>
  <c r="O1024" i="4"/>
  <c r="O1008" i="4"/>
  <c r="O992" i="4"/>
  <c r="O976" i="4"/>
  <c r="O960" i="4"/>
  <c r="O944" i="4"/>
  <c r="O928" i="4"/>
  <c r="O912" i="4"/>
  <c r="O896" i="4"/>
  <c r="O880" i="4"/>
  <c r="O864" i="4"/>
  <c r="O848" i="4"/>
  <c r="O832" i="4"/>
  <c r="O816" i="4"/>
  <c r="O800" i="4"/>
  <c r="O784" i="4"/>
  <c r="O768" i="4"/>
  <c r="O752" i="4"/>
  <c r="O736" i="4"/>
  <c r="O720" i="4"/>
  <c r="O704" i="4"/>
  <c r="S1641" i="4"/>
  <c r="P1599" i="4"/>
  <c r="O1535" i="4"/>
  <c r="O1471" i="4"/>
  <c r="O1406" i="4"/>
  <c r="O1342" i="4"/>
  <c r="O1278" i="4"/>
  <c r="O1214" i="4"/>
  <c r="O1150" i="4"/>
  <c r="O1086" i="4"/>
  <c r="O1022" i="4"/>
  <c r="O958" i="4"/>
  <c r="O894" i="4"/>
  <c r="O830" i="4"/>
  <c r="O766" i="4"/>
  <c r="S1053" i="4"/>
  <c r="S1034" i="4"/>
  <c r="P1024" i="4"/>
  <c r="R1013" i="4"/>
  <c r="S1002" i="4"/>
  <c r="P992" i="4"/>
  <c r="R981" i="4"/>
  <c r="S970" i="4"/>
  <c r="P960" i="4"/>
  <c r="R949" i="4"/>
  <c r="S938" i="4"/>
  <c r="P928" i="4"/>
  <c r="R917" i="4"/>
  <c r="S906" i="4"/>
  <c r="P896" i="4"/>
  <c r="R885" i="4"/>
  <c r="S874" i="4"/>
  <c r="P864" i="4"/>
  <c r="R853" i="4"/>
  <c r="S842" i="4"/>
  <c r="P832" i="4"/>
  <c r="R821" i="4"/>
  <c r="S810" i="4"/>
  <c r="P800" i="4"/>
  <c r="R789" i="4"/>
  <c r="S778" i="4"/>
  <c r="P768" i="4"/>
  <c r="R757" i="4"/>
  <c r="S746" i="4"/>
  <c r="P736" i="4"/>
  <c r="R725" i="4"/>
  <c r="S714" i="4"/>
  <c r="P704" i="4"/>
  <c r="S695" i="4"/>
  <c r="S687" i="4"/>
  <c r="S679" i="4"/>
  <c r="S671" i="4"/>
  <c r="S663" i="4"/>
  <c r="S655" i="4"/>
  <c r="S647" i="4"/>
  <c r="S639" i="4"/>
  <c r="S631" i="4"/>
  <c r="S623" i="4"/>
  <c r="S615" i="4"/>
  <c r="S607" i="4"/>
  <c r="S599" i="4"/>
  <c r="S591" i="4"/>
  <c r="S583" i="4"/>
  <c r="S575" i="4"/>
  <c r="S567" i="4"/>
  <c r="S559" i="4"/>
  <c r="S551" i="4"/>
  <c r="S543" i="4"/>
  <c r="S535" i="4"/>
  <c r="S527" i="4"/>
  <c r="S519" i="4"/>
  <c r="S511" i="4"/>
  <c r="S503" i="4"/>
  <c r="S495" i="4"/>
  <c r="S487" i="4"/>
  <c r="S479" i="4"/>
  <c r="S471" i="4"/>
  <c r="S463" i="4"/>
  <c r="S455" i="4"/>
  <c r="S447" i="4"/>
  <c r="S439" i="4"/>
  <c r="S431" i="4"/>
  <c r="S423" i="4"/>
  <c r="S415" i="4"/>
  <c r="S407" i="4"/>
  <c r="S399" i="4"/>
  <c r="S391" i="4"/>
  <c r="S383" i="4"/>
  <c r="S375" i="4"/>
  <c r="S367" i="4"/>
  <c r="S359" i="4"/>
  <c r="S351" i="4"/>
  <c r="S343" i="4"/>
  <c r="S335" i="4"/>
  <c r="S327" i="4"/>
  <c r="S319" i="4"/>
  <c r="S311" i="4"/>
  <c r="S303" i="4"/>
  <c r="S295" i="4"/>
  <c r="S287" i="4"/>
  <c r="S279" i="4"/>
  <c r="S271" i="4"/>
  <c r="S263" i="4"/>
  <c r="S255" i="4"/>
  <c r="S247" i="4"/>
  <c r="S239" i="4"/>
  <c r="S231" i="4"/>
  <c r="S223" i="4"/>
  <c r="I215" i="4"/>
  <c r="I207" i="4"/>
  <c r="I199" i="4"/>
  <c r="I191" i="4"/>
  <c r="I183" i="4"/>
  <c r="I175" i="4"/>
  <c r="I167" i="4"/>
  <c r="I159" i="4"/>
  <c r="I151" i="4"/>
  <c r="I143" i="4"/>
  <c r="I135" i="4"/>
  <c r="I127" i="4"/>
  <c r="I119" i="4"/>
  <c r="I111" i="4"/>
  <c r="I103" i="4"/>
  <c r="I95" i="4"/>
  <c r="I87" i="4"/>
  <c r="I79" i="4"/>
  <c r="I71" i="4"/>
  <c r="I63" i="4"/>
  <c r="I55" i="4"/>
  <c r="I47" i="4"/>
  <c r="I39" i="4"/>
  <c r="I31" i="4"/>
  <c r="I23" i="4"/>
  <c r="I15" i="4"/>
  <c r="I7" i="4"/>
  <c r="I149" i="3"/>
  <c r="I141" i="3"/>
  <c r="I133" i="3"/>
  <c r="I125" i="3"/>
  <c r="I117" i="3"/>
  <c r="L109" i="3"/>
  <c r="L101" i="3"/>
  <c r="R1042" i="4"/>
  <c r="S1031" i="4"/>
  <c r="P1021" i="4"/>
  <c r="R1010" i="4"/>
  <c r="S999" i="4"/>
  <c r="P989" i="4"/>
  <c r="R978" i="4"/>
  <c r="S967" i="4"/>
  <c r="P957" i="4"/>
  <c r="R946" i="4"/>
  <c r="S935" i="4"/>
  <c r="P925" i="4"/>
  <c r="R914" i="4"/>
  <c r="S903" i="4"/>
  <c r="P893" i="4"/>
  <c r="R882" i="4"/>
  <c r="O2633" i="4"/>
  <c r="L3042" i="4"/>
  <c r="R2676" i="4"/>
  <c r="O2489" i="4"/>
  <c r="O3603" i="4"/>
  <c r="L2819" i="4"/>
  <c r="R2601" i="4"/>
  <c r="P3388" i="4"/>
  <c r="J2940" i="4"/>
  <c r="O3586" i="4"/>
  <c r="P3198" i="4"/>
  <c r="P3070" i="4"/>
  <c r="P2942" i="4"/>
  <c r="P2814" i="4"/>
  <c r="O3140" i="4"/>
  <c r="O2884" i="4"/>
  <c r="O3585" i="4"/>
  <c r="S3104" i="4"/>
  <c r="L2477" i="4"/>
  <c r="L2349" i="4"/>
  <c r="S2913" i="4"/>
  <c r="P2633" i="4"/>
  <c r="R2481" i="4"/>
  <c r="R2353" i="4"/>
  <c r="P2297" i="4"/>
  <c r="R2157" i="4"/>
  <c r="R2029" i="4"/>
  <c r="I2555" i="4"/>
  <c r="I2255" i="4"/>
  <c r="I2190" i="4"/>
  <c r="I2126" i="4"/>
  <c r="I2062" i="4"/>
  <c r="J2636" i="4"/>
  <c r="R2336" i="4"/>
  <c r="O2250" i="4"/>
  <c r="O2122" i="4"/>
  <c r="O2596" i="4"/>
  <c r="I2652" i="4"/>
  <c r="O3307" i="4"/>
  <c r="L2683" i="4"/>
  <c r="S2528" i="4"/>
  <c r="S2486" i="4"/>
  <c r="S2442" i="4"/>
  <c r="S2400" i="4"/>
  <c r="S2358" i="4"/>
  <c r="O3429" i="4"/>
  <c r="L3120" i="4"/>
  <c r="L2952" i="4"/>
  <c r="L2776" i="4"/>
  <c r="I2702" i="4"/>
  <c r="I2646" i="4"/>
  <c r="J2587" i="4"/>
  <c r="J2533" i="4"/>
  <c r="J2491" i="4"/>
  <c r="J2447" i="4"/>
  <c r="J2405" i="4"/>
  <c r="J2363" i="4"/>
  <c r="R2643" i="4"/>
  <c r="P2423" i="4"/>
  <c r="I2310" i="4"/>
  <c r="J2251" i="4"/>
  <c r="J2209" i="4"/>
  <c r="J2167" i="4"/>
  <c r="J2123" i="4"/>
  <c r="J2081" i="4"/>
  <c r="J2039" i="4"/>
  <c r="L3105" i="4"/>
  <c r="L2769" i="4"/>
  <c r="L2593" i="4"/>
  <c r="P2416" i="4"/>
  <c r="R2307" i="4"/>
  <c r="R2251" i="4"/>
  <c r="P2207" i="4"/>
  <c r="P2165" i="4"/>
  <c r="P2123" i="4"/>
  <c r="P2079" i="4"/>
  <c r="P2039" i="4"/>
  <c r="R2711" i="4"/>
  <c r="P2497" i="4"/>
  <c r="P2369" i="4"/>
  <c r="S2305" i="4"/>
  <c r="P2263" i="4"/>
  <c r="O2205" i="4"/>
  <c r="O2141" i="4"/>
  <c r="O2077" i="4"/>
  <c r="O2013" i="4"/>
  <c r="S3151" i="4"/>
  <c r="J2713" i="4"/>
  <c r="L2542" i="4"/>
  <c r="O2288" i="4"/>
  <c r="S2928" i="4"/>
  <c r="J2638" i="4"/>
  <c r="L2530" i="4"/>
  <c r="L2498" i="4"/>
  <c r="L2466" i="4"/>
  <c r="L2434" i="4"/>
  <c r="L2402" i="4"/>
  <c r="L2370" i="4"/>
  <c r="L2338" i="4"/>
  <c r="O3293" i="4"/>
  <c r="S3125" i="4"/>
  <c r="S2997" i="4"/>
  <c r="S2869" i="4"/>
  <c r="S2747" i="4"/>
  <c r="S2703" i="4"/>
  <c r="P2661" i="4"/>
  <c r="R2618" i="4"/>
  <c r="S2575" i="4"/>
  <c r="R2534" i="4"/>
  <c r="R2502" i="4"/>
  <c r="R2470" i="4"/>
  <c r="R2438" i="4"/>
  <c r="R2406" i="4"/>
  <c r="R2374" i="4"/>
  <c r="R2342" i="4"/>
  <c r="J2576" i="4"/>
  <c r="I2430" i="4"/>
  <c r="P2325" i="4"/>
  <c r="R2282" i="4"/>
  <c r="R2242" i="4"/>
  <c r="R2210" i="4"/>
  <c r="R2178" i="4"/>
  <c r="R2146" i="4"/>
  <c r="R2114" i="4"/>
  <c r="R2082" i="4"/>
  <c r="R2050" i="4"/>
  <c r="O3682" i="4"/>
  <c r="S3038" i="4"/>
  <c r="S2782" i="4"/>
  <c r="P2638" i="4"/>
  <c r="I2511" i="4"/>
  <c r="I2383" i="4"/>
  <c r="L2309" i="4"/>
  <c r="I2267" i="4"/>
  <c r="I2231" i="4"/>
  <c r="I2199" i="4"/>
  <c r="I2167" i="4"/>
  <c r="I2135" i="4"/>
  <c r="I2103" i="4"/>
  <c r="I2071" i="4"/>
  <c r="I2039" i="4"/>
  <c r="J2708" i="4"/>
  <c r="I2496" i="4"/>
  <c r="I2368" i="4"/>
  <c r="J2305" i="4"/>
  <c r="L2262" i="4"/>
  <c r="O2204" i="4"/>
  <c r="O2140" i="4"/>
  <c r="S3111" i="4"/>
  <c r="I2700" i="4"/>
  <c r="O2524" i="4"/>
  <c r="O2268" i="4"/>
  <c r="S2888" i="4"/>
  <c r="I2625" i="4"/>
  <c r="S2527" i="4"/>
  <c r="S2495" i="4"/>
  <c r="S2463" i="4"/>
  <c r="S2431" i="4"/>
  <c r="S2399" i="4"/>
  <c r="S2367" i="4"/>
  <c r="S2335" i="4"/>
  <c r="O3253" i="4"/>
  <c r="L3116" i="4"/>
  <c r="L2988" i="4"/>
  <c r="L2860" i="4"/>
  <c r="J2743" i="4"/>
  <c r="L2700" i="4"/>
  <c r="I2658" i="4"/>
  <c r="J2615" i="4"/>
  <c r="L2572" i="4"/>
  <c r="J2532" i="4"/>
  <c r="J2500" i="4"/>
  <c r="J2468" i="4"/>
  <c r="J2436" i="4"/>
  <c r="J2404" i="4"/>
  <c r="J2372" i="4"/>
  <c r="J2340" i="4"/>
  <c r="R2555" i="4"/>
  <c r="P2419" i="4"/>
  <c r="I2322" i="4"/>
  <c r="J2279" i="4"/>
  <c r="J2240" i="4"/>
  <c r="J2208" i="4"/>
  <c r="J2176" i="4"/>
  <c r="J2144" i="4"/>
  <c r="J2112" i="4"/>
  <c r="J2080" i="4"/>
  <c r="J2048" i="4"/>
  <c r="O3519" i="4"/>
  <c r="L3017" i="4"/>
  <c r="L2761" i="4"/>
  <c r="S2628" i="4"/>
  <c r="P2500" i="4"/>
  <c r="P2372" i="4"/>
  <c r="P2306" i="4"/>
  <c r="R2263" i="4"/>
  <c r="P2228" i="4"/>
  <c r="P2196" i="4"/>
  <c r="P2164" i="4"/>
  <c r="P2132" i="4"/>
  <c r="P2100" i="4"/>
  <c r="P2068" i="4"/>
  <c r="P2036" i="4"/>
  <c r="R2687" i="4"/>
  <c r="P2485" i="4"/>
  <c r="P2357" i="4"/>
  <c r="O2159" i="4"/>
  <c r="O2020" i="4"/>
  <c r="I1954" i="4"/>
  <c r="I1922" i="4"/>
  <c r="O3874" i="4"/>
  <c r="L3045" i="4"/>
  <c r="L2781" i="4"/>
  <c r="J2306" i="4"/>
  <c r="L2150" i="4"/>
  <c r="L2022" i="4"/>
  <c r="I1978" i="4"/>
  <c r="J1935" i="4"/>
  <c r="P2280" i="4"/>
  <c r="S2152" i="4"/>
  <c r="S2024" i="4"/>
  <c r="I1979" i="4"/>
  <c r="L2573" i="4"/>
  <c r="R2321" i="4"/>
  <c r="S2157" i="4"/>
  <c r="S2029" i="4"/>
  <c r="R1980" i="4"/>
  <c r="P2284" i="4"/>
  <c r="L2157" i="4"/>
  <c r="L2029" i="4"/>
  <c r="P1980" i="4"/>
  <c r="L1917" i="4"/>
  <c r="I1872" i="4"/>
  <c r="I1840" i="4"/>
  <c r="I1808" i="4"/>
  <c r="I1776" i="4"/>
  <c r="I1744" i="4"/>
  <c r="I1712" i="4"/>
  <c r="R1967" i="4"/>
  <c r="J1911" i="4"/>
  <c r="O1857" i="4"/>
  <c r="O1793" i="4"/>
  <c r="O1729" i="4"/>
  <c r="O1665" i="4"/>
  <c r="O1601" i="4"/>
  <c r="R1905" i="4"/>
  <c r="S1865" i="4"/>
  <c r="S1833" i="4"/>
  <c r="S1801" i="4"/>
  <c r="S1769" i="4"/>
  <c r="S1737" i="4"/>
  <c r="S1705" i="4"/>
  <c r="J1952" i="4"/>
  <c r="O1899" i="4"/>
  <c r="J1865" i="4"/>
  <c r="J1837" i="4"/>
  <c r="J1821" i="4"/>
  <c r="J1805" i="4"/>
  <c r="J1789" i="4"/>
  <c r="J1773" i="4"/>
  <c r="J1757" i="4"/>
  <c r="J1741" i="4"/>
  <c r="J1725" i="4"/>
  <c r="J1709" i="4"/>
  <c r="J1693" i="4"/>
  <c r="R1673" i="4"/>
  <c r="P1652" i="4"/>
  <c r="S1630" i="4"/>
  <c r="R1609" i="4"/>
  <c r="S1590" i="4"/>
  <c r="S1574" i="4"/>
  <c r="S1558" i="4"/>
  <c r="S1542" i="4"/>
  <c r="S1526" i="4"/>
  <c r="S1510" i="4"/>
  <c r="S1494" i="4"/>
  <c r="S1478" i="4"/>
  <c r="S1462" i="4"/>
  <c r="S1446" i="4"/>
  <c r="S1429" i="4"/>
  <c r="S1413" i="4"/>
  <c r="S1397" i="4"/>
  <c r="S1381" i="4"/>
  <c r="S1365" i="4"/>
  <c r="R2304" i="4"/>
  <c r="O2203" i="4"/>
  <c r="O2107" i="4"/>
  <c r="O2043" i="4"/>
  <c r="O1994" i="4"/>
  <c r="O1962" i="4"/>
  <c r="P1943" i="4"/>
  <c r="P1927" i="4"/>
  <c r="P1911" i="4"/>
  <c r="P1895" i="4"/>
  <c r="S3218" i="4"/>
  <c r="S3090" i="4"/>
  <c r="S2962" i="4"/>
  <c r="S2834" i="4"/>
  <c r="I2473" i="4"/>
  <c r="I2345" i="4"/>
  <c r="S2235" i="4"/>
  <c r="S2171" i="4"/>
  <c r="S2107" i="4"/>
  <c r="S2043" i="4"/>
  <c r="R2006" i="4"/>
  <c r="P1985" i="4"/>
  <c r="S1963" i="4"/>
  <c r="O1942" i="4"/>
  <c r="S2672" i="4"/>
  <c r="S2302" i="4"/>
  <c r="L2239" i="4"/>
  <c r="L2175" i="4"/>
  <c r="L2111" i="4"/>
  <c r="L2047" i="4"/>
  <c r="R2007" i="4"/>
  <c r="P1986" i="4"/>
  <c r="S2746" i="4"/>
  <c r="P2618" i="4"/>
  <c r="P2490" i="4"/>
  <c r="P2362" i="4"/>
  <c r="L2244" i="4"/>
  <c r="L2180" i="4"/>
  <c r="L2116" i="4"/>
  <c r="L2052" i="4"/>
  <c r="J2009" i="4"/>
  <c r="I1988" i="4"/>
  <c r="I2687" i="4"/>
  <c r="S2306" i="4"/>
  <c r="S2242" i="4"/>
  <c r="S2178" i="4"/>
  <c r="S2114" i="4"/>
  <c r="S2050" i="4"/>
  <c r="I2009" i="4"/>
  <c r="L1987" i="4"/>
  <c r="P1963" i="4"/>
  <c r="S1928" i="4"/>
  <c r="R1896" i="4"/>
  <c r="P1877" i="4"/>
  <c r="P1861" i="4"/>
  <c r="P1845" i="4"/>
  <c r="P1829" i="4"/>
  <c r="P1813" i="4"/>
  <c r="P1797" i="4"/>
  <c r="P1781" i="4"/>
  <c r="P1765" i="4"/>
  <c r="P1749" i="4"/>
  <c r="P1733" i="4"/>
  <c r="P1717" i="4"/>
  <c r="P1701" i="4"/>
  <c r="P1685" i="4"/>
  <c r="L1947" i="4"/>
  <c r="O1918" i="4"/>
  <c r="J1897" i="4"/>
  <c r="O1868" i="4"/>
  <c r="O1836" i="4"/>
  <c r="O1804" i="4"/>
  <c r="O1772" i="4"/>
  <c r="O1740" i="4"/>
  <c r="O1708" i="4"/>
  <c r="O1676" i="4"/>
  <c r="O1644" i="4"/>
  <c r="O1612" i="4"/>
  <c r="O1951" i="4"/>
  <c r="L1916" i="4"/>
  <c r="L1896" i="4"/>
  <c r="L1883" i="4"/>
  <c r="L1871" i="4"/>
  <c r="L1861" i="4"/>
  <c r="L1851" i="4"/>
  <c r="L1839" i="4"/>
  <c r="L1829" i="4"/>
  <c r="L1819" i="4"/>
  <c r="L1807" i="4"/>
  <c r="L1797" i="4"/>
  <c r="L1787" i="4"/>
  <c r="L1775" i="4"/>
  <c r="L1765" i="4"/>
  <c r="L1755" i="4"/>
  <c r="L1743" i="4"/>
  <c r="L1733" i="4"/>
  <c r="L1723" i="4"/>
  <c r="L1711" i="4"/>
  <c r="L1701" i="4"/>
  <c r="L1691" i="4"/>
  <c r="J1962" i="4"/>
  <c r="L1942" i="4"/>
  <c r="S1922" i="4"/>
  <c r="S1906" i="4"/>
  <c r="O1893" i="4"/>
  <c r="R1882" i="4"/>
  <c r="R1870" i="4"/>
  <c r="R1860" i="4"/>
  <c r="R1850" i="4"/>
  <c r="R1838" i="4"/>
  <c r="R1828" i="4"/>
  <c r="R1818" i="4"/>
  <c r="R1806" i="4"/>
  <c r="R1796" i="4"/>
  <c r="R1786" i="4"/>
  <c r="R1774" i="4"/>
  <c r="R1764" i="4"/>
  <c r="R1754" i="4"/>
  <c r="R1742" i="4"/>
  <c r="R1732" i="4"/>
  <c r="R1722" i="4"/>
  <c r="R1710" i="4"/>
  <c r="R1700" i="4"/>
  <c r="R1690" i="4"/>
  <c r="L1675" i="4"/>
  <c r="J1662" i="4"/>
  <c r="I1649" i="4"/>
  <c r="I1633" i="4"/>
  <c r="L1619" i="4"/>
  <c r="J1606" i="4"/>
  <c r="L1592" i="4"/>
  <c r="L1582" i="4"/>
  <c r="L1572" i="4"/>
  <c r="L1560" i="4"/>
  <c r="L1550" i="4"/>
  <c r="L1540" i="4"/>
  <c r="L1528" i="4"/>
  <c r="L1518" i="4"/>
  <c r="L1508" i="4"/>
  <c r="L1496" i="4"/>
  <c r="L1486" i="4"/>
  <c r="L1476" i="4"/>
  <c r="L1464" i="4"/>
  <c r="L1454" i="4"/>
  <c r="L1444" i="4"/>
  <c r="L1431" i="4"/>
  <c r="L1421" i="4"/>
  <c r="L1411" i="4"/>
  <c r="L1399" i="4"/>
  <c r="L1389" i="4"/>
  <c r="L1379" i="4"/>
  <c r="L1367" i="4"/>
  <c r="P2323" i="4"/>
  <c r="S2269" i="4"/>
  <c r="O2183" i="4"/>
  <c r="O2120" i="4"/>
  <c r="O2080" i="4"/>
  <c r="O2032" i="4"/>
  <c r="O2001" i="4"/>
  <c r="O1981" i="4"/>
  <c r="O1957" i="4"/>
  <c r="I1947" i="4"/>
  <c r="I1937" i="4"/>
  <c r="I1925" i="4"/>
  <c r="I1915" i="4"/>
  <c r="I1905" i="4"/>
  <c r="I1893" i="4"/>
  <c r="O3279" i="4"/>
  <c r="L3165" i="4"/>
  <c r="L3069" i="4"/>
  <c r="L2989" i="4"/>
  <c r="L2909" i="4"/>
  <c r="L2813" i="4"/>
  <c r="P2502" i="4"/>
  <c r="P2422" i="4"/>
  <c r="J2330" i="4"/>
  <c r="L2250" i="4"/>
  <c r="L2210" i="4"/>
  <c r="L2162" i="4"/>
  <c r="L2122" i="4"/>
  <c r="L2082" i="4"/>
  <c r="L2034" i="4"/>
  <c r="J2011" i="4"/>
  <c r="I1998" i="4"/>
  <c r="I1982" i="4"/>
  <c r="L1968" i="4"/>
  <c r="J1955" i="4"/>
  <c r="J1939" i="4"/>
  <c r="S2728" i="4"/>
  <c r="S2568" i="4"/>
  <c r="I2293" i="4"/>
  <c r="I2253" i="4"/>
  <c r="S2212" i="4"/>
  <c r="S2164" i="4"/>
  <c r="S2124" i="4"/>
  <c r="S2084" i="4"/>
  <c r="S2036" i="4"/>
  <c r="J2012" i="4"/>
  <c r="I1999" i="4"/>
  <c r="I1983" i="4"/>
  <c r="L1969" i="4"/>
  <c r="L2693" i="4"/>
  <c r="L2597" i="4"/>
  <c r="I2517" i="4"/>
  <c r="I2437" i="4"/>
  <c r="I2341" i="4"/>
  <c r="R2265" i="4"/>
  <c r="S2217" i="4"/>
  <c r="S2169" i="4"/>
  <c r="S2129" i="4"/>
  <c r="S2089" i="4"/>
  <c r="S2041" i="4"/>
  <c r="S2013" i="4"/>
  <c r="R2000" i="4"/>
  <c r="R1984" i="4"/>
  <c r="I2297" i="4"/>
  <c r="L2169" i="4"/>
  <c r="L2041" i="4"/>
  <c r="P1984" i="4"/>
  <c r="L1923" i="4"/>
  <c r="I1875" i="4"/>
  <c r="I1843" i="4"/>
  <c r="I1811" i="4"/>
  <c r="I1779" i="4"/>
  <c r="I1747" i="4"/>
  <c r="I1715" i="4"/>
  <c r="I1683" i="4"/>
  <c r="J1915" i="4"/>
  <c r="O1863" i="4"/>
  <c r="O1799" i="4"/>
  <c r="O1735" i="4"/>
  <c r="O1671" i="4"/>
  <c r="O1607" i="4"/>
  <c r="R1911" i="4"/>
  <c r="S1868" i="4"/>
  <c r="S1836" i="4"/>
  <c r="S1804" i="4"/>
  <c r="S1772" i="4"/>
  <c r="S1740" i="4"/>
  <c r="S1708" i="4"/>
  <c r="P1958" i="4"/>
  <c r="O1903" i="4"/>
  <c r="J1868" i="4"/>
  <c r="J1836" i="4"/>
  <c r="J1804" i="4"/>
  <c r="J1772" i="4"/>
  <c r="J1740" i="4"/>
  <c r="J1708" i="4"/>
  <c r="P1672" i="4"/>
  <c r="R1629" i="4"/>
  <c r="S1589" i="4"/>
  <c r="S1557" i="4"/>
  <c r="S1525" i="4"/>
  <c r="S1493" i="4"/>
  <c r="S1461" i="4"/>
  <c r="S1428" i="4"/>
  <c r="S1396" i="4"/>
  <c r="S1364" i="4"/>
  <c r="O2163" i="4"/>
  <c r="O2023" i="4"/>
  <c r="P1954" i="4"/>
  <c r="P1922" i="4"/>
  <c r="P1890" i="4"/>
  <c r="S3050" i="4"/>
  <c r="S2794" i="4"/>
  <c r="R2309" i="4"/>
  <c r="S2151" i="4"/>
  <c r="S2023" i="4"/>
  <c r="R1978" i="4"/>
  <c r="S1935" i="4"/>
  <c r="L2283" i="4"/>
  <c r="L2155" i="4"/>
  <c r="L2027" i="4"/>
  <c r="R1979" i="4"/>
  <c r="P2578" i="4"/>
  <c r="J2326" i="4"/>
  <c r="L2160" i="4"/>
  <c r="L2032" i="4"/>
  <c r="J1981" i="4"/>
  <c r="L2287" i="4"/>
  <c r="S2158" i="4"/>
  <c r="S2030" i="4"/>
  <c r="I1981" i="4"/>
  <c r="R1918" i="4"/>
  <c r="P1872" i="4"/>
  <c r="P1840" i="4"/>
  <c r="P1808" i="4"/>
  <c r="P1776" i="4"/>
  <c r="P1744" i="4"/>
  <c r="P1712" i="4"/>
  <c r="P1968" i="4"/>
  <c r="S1911" i="4"/>
  <c r="O1858" i="4"/>
  <c r="O1794" i="4"/>
  <c r="O1730" i="4"/>
  <c r="O1666" i="4"/>
  <c r="O1602" i="4"/>
  <c r="L1906" i="4"/>
  <c r="L1866" i="4"/>
  <c r="L1834" i="4"/>
  <c r="L1802" i="4"/>
  <c r="L1770" i="4"/>
  <c r="L1738" i="4"/>
  <c r="L1706" i="4"/>
  <c r="S1954" i="4"/>
  <c r="J1900" i="4"/>
  <c r="R1865" i="4"/>
  <c r="R1833" i="4"/>
  <c r="R1801" i="4"/>
  <c r="R1769" i="4"/>
  <c r="R1737" i="4"/>
  <c r="R1705" i="4"/>
  <c r="I1669" i="4"/>
  <c r="J1626" i="4"/>
  <c r="L1587" i="4"/>
  <c r="L1555" i="4"/>
  <c r="L1523" i="4"/>
  <c r="L1491" i="4"/>
  <c r="L1459" i="4"/>
  <c r="L1426" i="4"/>
  <c r="L1394" i="4"/>
  <c r="L1362" i="4"/>
  <c r="S1330" i="4"/>
  <c r="S1298" i="4"/>
  <c r="S1266" i="4"/>
  <c r="S1234" i="4"/>
  <c r="S1202" i="4"/>
  <c r="S1170" i="4"/>
  <c r="S1138" i="4"/>
  <c r="S1106" i="4"/>
  <c r="S1074" i="4"/>
  <c r="L1668" i="4"/>
  <c r="I1626" i="4"/>
  <c r="J1587" i="4"/>
  <c r="J1555" i="4"/>
  <c r="J1523" i="4"/>
  <c r="J1491" i="4"/>
  <c r="J1459" i="4"/>
  <c r="J1426" i="4"/>
  <c r="J1394" i="4"/>
  <c r="J1362" i="4"/>
  <c r="J1330" i="4"/>
  <c r="J1298" i="4"/>
  <c r="J1266" i="4"/>
  <c r="J1234" i="4"/>
  <c r="J1202" i="4"/>
  <c r="J1170" i="4"/>
  <c r="J1138" i="4"/>
  <c r="J1106" i="4"/>
  <c r="J1074" i="4"/>
  <c r="J1668" i="4"/>
  <c r="L1625" i="4"/>
  <c r="I1587" i="4"/>
  <c r="I1555" i="4"/>
  <c r="I1523" i="4"/>
  <c r="I1491" i="4"/>
  <c r="I1459" i="4"/>
  <c r="I1426" i="4"/>
  <c r="I1394" i="4"/>
  <c r="I1362" i="4"/>
  <c r="I1330" i="4"/>
  <c r="I1298" i="4"/>
  <c r="I1266" i="4"/>
  <c r="I1234" i="4"/>
  <c r="I1202" i="4"/>
  <c r="I1170" i="4"/>
  <c r="I1138" i="4"/>
  <c r="I1106" i="4"/>
  <c r="I1074" i="4"/>
  <c r="R1682" i="4"/>
  <c r="I1640" i="4"/>
  <c r="O1596" i="4"/>
  <c r="O1532" i="4"/>
  <c r="O1468" i="4"/>
  <c r="O1403" i="4"/>
  <c r="O1339" i="4"/>
  <c r="O1275" i="4"/>
  <c r="O1211" i="4"/>
  <c r="O1147" i="4"/>
  <c r="O1083" i="4"/>
  <c r="O1019" i="4"/>
  <c r="O955" i="4"/>
  <c r="O891" i="4"/>
  <c r="O827" i="4"/>
  <c r="O763" i="4"/>
  <c r="R1050" i="4"/>
  <c r="L1330" i="4"/>
  <c r="L1298" i="4"/>
  <c r="L1266" i="4"/>
  <c r="L1234" i="4"/>
  <c r="L1202" i="4"/>
  <c r="L1170" i="4"/>
  <c r="L1138" i="4"/>
  <c r="L1106" i="4"/>
  <c r="L1074" i="4"/>
  <c r="S1667" i="4"/>
  <c r="P1625" i="4"/>
  <c r="R1586" i="4"/>
  <c r="R1554" i="4"/>
  <c r="R1522" i="4"/>
  <c r="R1490" i="4"/>
  <c r="R1458" i="4"/>
  <c r="R1425" i="4"/>
  <c r="R1393" i="4"/>
  <c r="R1361" i="4"/>
  <c r="R1329" i="4"/>
  <c r="R1297" i="4"/>
  <c r="R1265" i="4"/>
  <c r="R1233" i="4"/>
  <c r="R1201" i="4"/>
  <c r="R1169" i="4"/>
  <c r="R1137" i="4"/>
  <c r="R1105" i="4"/>
  <c r="R1073" i="4"/>
  <c r="R1667" i="4"/>
  <c r="S1624" i="4"/>
  <c r="P1586" i="4"/>
  <c r="P1554" i="4"/>
  <c r="P1522" i="4"/>
  <c r="P1490" i="4"/>
  <c r="P1458" i="4"/>
  <c r="P1425" i="4"/>
  <c r="P1393" i="4"/>
  <c r="P1361" i="4"/>
  <c r="P1329" i="4"/>
  <c r="P1297" i="4"/>
  <c r="P1265" i="4"/>
  <c r="P1233" i="4"/>
  <c r="P1201" i="4"/>
  <c r="P1169" i="4"/>
  <c r="P1137" i="4"/>
  <c r="P1105" i="4"/>
  <c r="P1073" i="4"/>
  <c r="S1681" i="4"/>
  <c r="S1347" i="4"/>
  <c r="S1315" i="4"/>
  <c r="S1283" i="4"/>
  <c r="S1251" i="4"/>
  <c r="S1219" i="4"/>
  <c r="S1187" i="4"/>
  <c r="S1155" i="4"/>
  <c r="S1123" i="4"/>
  <c r="S1091" i="4"/>
  <c r="S1059" i="4"/>
  <c r="L1648" i="4"/>
  <c r="I1606" i="4"/>
  <c r="J1572" i="4"/>
  <c r="J1540" i="4"/>
  <c r="J1508" i="4"/>
  <c r="J1476" i="4"/>
  <c r="J1444" i="4"/>
  <c r="J1411" i="4"/>
  <c r="J1379" i="4"/>
  <c r="J1347" i="4"/>
  <c r="J1315" i="4"/>
  <c r="J1283" i="4"/>
  <c r="J1251" i="4"/>
  <c r="J1219" i="4"/>
  <c r="J1187" i="4"/>
  <c r="J1155" i="4"/>
  <c r="J1123" i="4"/>
  <c r="J1091" i="4"/>
  <c r="J1059" i="4"/>
  <c r="J1648" i="4"/>
  <c r="L1605" i="4"/>
  <c r="I1572" i="4"/>
  <c r="I1540" i="4"/>
  <c r="I1508" i="4"/>
  <c r="I1476" i="4"/>
  <c r="I1444" i="4"/>
  <c r="I1411" i="4"/>
  <c r="I1379" i="4"/>
  <c r="I1347" i="4"/>
  <c r="I1315" i="4"/>
  <c r="I1283" i="4"/>
  <c r="I1251" i="4"/>
  <c r="I1219" i="4"/>
  <c r="I1187" i="4"/>
  <c r="I1155" i="4"/>
  <c r="I1123" i="4"/>
  <c r="I1091" i="4"/>
  <c r="I1059" i="4"/>
  <c r="L1662" i="4"/>
  <c r="I1620" i="4"/>
  <c r="O1566" i="4"/>
  <c r="O1502" i="4"/>
  <c r="O1438" i="4"/>
  <c r="O1373" i="4"/>
  <c r="O1309" i="4"/>
  <c r="O1245" i="4"/>
  <c r="O1181" i="4"/>
  <c r="O1117" i="4"/>
  <c r="O1053" i="4"/>
  <c r="O989" i="4"/>
  <c r="O925" i="4"/>
  <c r="O861" i="4"/>
  <c r="O797" i="4"/>
  <c r="O733" i="4"/>
  <c r="L1347" i="4"/>
  <c r="L1315" i="4"/>
  <c r="L1283" i="4"/>
  <c r="L1251" i="4"/>
  <c r="L1219" i="4"/>
  <c r="L1187" i="4"/>
  <c r="L1155" i="4"/>
  <c r="L1123" i="4"/>
  <c r="L1091" i="4"/>
  <c r="L1059" i="4"/>
  <c r="S1647" i="4"/>
  <c r="P1605" i="4"/>
  <c r="R1571" i="4"/>
  <c r="R1539" i="4"/>
  <c r="R1507" i="4"/>
  <c r="R1475" i="4"/>
  <c r="R1443" i="4"/>
  <c r="R1410" i="4"/>
  <c r="R1378" i="4"/>
  <c r="R1346" i="4"/>
  <c r="R1314" i="4"/>
  <c r="R1282" i="4"/>
  <c r="R1250" i="4"/>
  <c r="R1218" i="4"/>
  <c r="R1186" i="4"/>
  <c r="R1154" i="4"/>
  <c r="R1122" i="4"/>
  <c r="R1090" i="4"/>
  <c r="R1058" i="4"/>
  <c r="R1647" i="4"/>
  <c r="S1604" i="4"/>
  <c r="P1571" i="4"/>
  <c r="P1539" i="4"/>
  <c r="P1507" i="4"/>
  <c r="P1475" i="4"/>
  <c r="P1443" i="4"/>
  <c r="P1410" i="4"/>
  <c r="P1378" i="4"/>
  <c r="P1346" i="4"/>
  <c r="P1314" i="4"/>
  <c r="P1282" i="4"/>
  <c r="P1250" i="4"/>
  <c r="P1218" i="4"/>
  <c r="P1186" i="4"/>
  <c r="P1154" i="4"/>
  <c r="P1122" i="4"/>
  <c r="P1090" i="4"/>
  <c r="P1058" i="4"/>
  <c r="S1661" i="4"/>
  <c r="P1619" i="4"/>
  <c r="O1565" i="4"/>
  <c r="O1501" i="4"/>
  <c r="O1436" i="4"/>
  <c r="O1372" i="4"/>
  <c r="O1308" i="4"/>
  <c r="O1244" i="4"/>
  <c r="O1180" i="4"/>
  <c r="O1116" i="4"/>
  <c r="O1052" i="4"/>
  <c r="O988" i="4"/>
  <c r="O924" i="4"/>
  <c r="O860" i="4"/>
  <c r="O804" i="4"/>
  <c r="O772" i="4"/>
  <c r="O740" i="4"/>
  <c r="O708" i="4"/>
  <c r="S1609" i="4"/>
  <c r="O1487" i="4"/>
  <c r="O1358" i="4"/>
  <c r="O1230" i="4"/>
  <c r="O1102" i="4"/>
  <c r="O974" i="4"/>
  <c r="O846" i="4"/>
  <c r="O718" i="4"/>
  <c r="S1026" i="4"/>
  <c r="R1005" i="4"/>
  <c r="P984" i="4"/>
  <c r="S962" i="4"/>
  <c r="R941" i="4"/>
  <c r="P920" i="4"/>
  <c r="S898" i="4"/>
  <c r="R877" i="4"/>
  <c r="P856" i="4"/>
  <c r="S834" i="4"/>
  <c r="R813" i="4"/>
  <c r="P792" i="4"/>
  <c r="S770" i="4"/>
  <c r="R749" i="4"/>
  <c r="P728" i="4"/>
  <c r="S706" i="4"/>
  <c r="S689" i="4"/>
  <c r="S673" i="4"/>
  <c r="S657" i="4"/>
  <c r="S641" i="4"/>
  <c r="S625" i="4"/>
  <c r="S609" i="4"/>
  <c r="S593" i="4"/>
  <c r="S577" i="4"/>
  <c r="S561" i="4"/>
  <c r="S545" i="4"/>
  <c r="S529" i="4"/>
  <c r="S513" i="4"/>
  <c r="S497" i="4"/>
  <c r="S481" i="4"/>
  <c r="S465" i="4"/>
  <c r="S449" i="4"/>
  <c r="S433" i="4"/>
  <c r="S417" i="4"/>
  <c r="S401" i="4"/>
  <c r="S385" i="4"/>
  <c r="S369" i="4"/>
  <c r="S353" i="4"/>
  <c r="S337" i="4"/>
  <c r="S321" i="4"/>
  <c r="S305" i="4"/>
  <c r="S289" i="4"/>
  <c r="S273" i="4"/>
  <c r="S257" i="4"/>
  <c r="S241" i="4"/>
  <c r="S225" i="4"/>
  <c r="I209" i="4"/>
  <c r="I193" i="4"/>
  <c r="I177" i="4"/>
  <c r="I161" i="4"/>
  <c r="I145" i="4"/>
  <c r="I129" i="4"/>
  <c r="I113" i="4"/>
  <c r="I97" i="4"/>
  <c r="I81" i="4"/>
  <c r="I65" i="4"/>
  <c r="I49" i="4"/>
  <c r="I33" i="4"/>
  <c r="I17" i="4"/>
  <c r="I151" i="3"/>
  <c r="I135" i="3"/>
  <c r="I119" i="3"/>
  <c r="L103" i="3"/>
  <c r="R1034" i="4"/>
  <c r="P1013" i="4"/>
  <c r="S991" i="4"/>
  <c r="R970" i="4"/>
  <c r="P949" i="4"/>
  <c r="S927" i="4"/>
  <c r="R906" i="4"/>
  <c r="P885" i="4"/>
  <c r="S871" i="4"/>
  <c r="P861" i="4"/>
  <c r="R850" i="4"/>
  <c r="S839" i="4"/>
  <c r="P829" i="4"/>
  <c r="R818" i="4"/>
  <c r="S807" i="4"/>
  <c r="P797" i="4"/>
  <c r="R786" i="4"/>
  <c r="S775" i="4"/>
  <c r="P765" i="4"/>
  <c r="R754" i="4"/>
  <c r="S743" i="4"/>
  <c r="P733" i="4"/>
  <c r="R722" i="4"/>
  <c r="S711" i="4"/>
  <c r="R701" i="4"/>
  <c r="R693" i="4"/>
  <c r="R685" i="4"/>
  <c r="R677" i="4"/>
  <c r="R669" i="4"/>
  <c r="R661" i="4"/>
  <c r="R653" i="4"/>
  <c r="R645" i="4"/>
  <c r="R637" i="4"/>
  <c r="R629" i="4"/>
  <c r="R621" i="4"/>
  <c r="R613" i="4"/>
  <c r="R605" i="4"/>
  <c r="R597" i="4"/>
  <c r="R589" i="4"/>
  <c r="R581" i="4"/>
  <c r="R573" i="4"/>
  <c r="R565" i="4"/>
  <c r="R557" i="4"/>
  <c r="R549" i="4"/>
  <c r="R541" i="4"/>
  <c r="R533" i="4"/>
  <c r="R525" i="4"/>
  <c r="R517" i="4"/>
  <c r="R509" i="4"/>
  <c r="R501" i="4"/>
  <c r="R493" i="4"/>
  <c r="R485" i="4"/>
  <c r="R477" i="4"/>
  <c r="R469" i="4"/>
  <c r="R461" i="4"/>
  <c r="R453" i="4"/>
  <c r="R445" i="4"/>
  <c r="R437" i="4"/>
  <c r="R429" i="4"/>
  <c r="R421" i="4"/>
  <c r="R413" i="4"/>
  <c r="R405" i="4"/>
  <c r="R397" i="4"/>
  <c r="R389" i="4"/>
  <c r="R381" i="4"/>
  <c r="R373" i="4"/>
  <c r="R365" i="4"/>
  <c r="R357" i="4"/>
  <c r="R349" i="4"/>
  <c r="R341" i="4"/>
  <c r="R333" i="4"/>
  <c r="R325" i="4"/>
  <c r="R317" i="4"/>
  <c r="R309" i="4"/>
  <c r="R301" i="4"/>
  <c r="R293" i="4"/>
  <c r="R285" i="4"/>
  <c r="R277" i="4"/>
  <c r="R269" i="4"/>
  <c r="R261" i="4"/>
  <c r="R253" i="4"/>
  <c r="R245" i="4"/>
  <c r="R237" i="4"/>
  <c r="R229" i="4"/>
  <c r="R221" i="4"/>
  <c r="O210" i="4"/>
  <c r="O194" i="4"/>
  <c r="O178" i="4"/>
  <c r="O162" i="4"/>
  <c r="O146" i="4"/>
  <c r="O130" i="4"/>
  <c r="O114" i="4"/>
  <c r="O98" i="4"/>
  <c r="O82" i="4"/>
  <c r="O66" i="4"/>
  <c r="O50" i="4"/>
  <c r="O34" i="4"/>
  <c r="O18" i="4"/>
  <c r="O2" i="4"/>
  <c r="O136" i="3"/>
  <c r="O120" i="3"/>
  <c r="J108" i="3"/>
  <c r="J100" i="3"/>
  <c r="J92" i="3"/>
  <c r="J84" i="3"/>
  <c r="J76" i="3"/>
  <c r="J68" i="3"/>
  <c r="J60" i="3"/>
  <c r="J52" i="3"/>
  <c r="J44" i="3"/>
  <c r="S1051" i="4"/>
  <c r="P1038" i="4"/>
  <c r="R1027" i="4"/>
  <c r="S1016" i="4"/>
  <c r="P1006" i="4"/>
  <c r="R995" i="4"/>
  <c r="S984" i="4"/>
  <c r="P974" i="4"/>
  <c r="R963" i="4"/>
  <c r="S952" i="4"/>
  <c r="P942" i="4"/>
  <c r="R931" i="4"/>
  <c r="S920" i="4"/>
  <c r="P910" i="4"/>
  <c r="R899" i="4"/>
  <c r="S888" i="4"/>
  <c r="P878" i="4"/>
  <c r="R867" i="4"/>
  <c r="S856" i="4"/>
  <c r="P846" i="4"/>
  <c r="R835" i="4"/>
  <c r="S824" i="4"/>
  <c r="P814" i="4"/>
  <c r="R803" i="4"/>
  <c r="S792" i="4"/>
  <c r="P782" i="4"/>
  <c r="R771" i="4"/>
  <c r="S760" i="4"/>
  <c r="P750" i="4"/>
  <c r="R739" i="4"/>
  <c r="S728" i="4"/>
  <c r="P718" i="4"/>
  <c r="R707" i="4"/>
  <c r="P698" i="4"/>
  <c r="P690" i="4"/>
  <c r="P682" i="4"/>
  <c r="P674" i="4"/>
  <c r="P666" i="4"/>
  <c r="P658" i="4"/>
  <c r="P650" i="4"/>
  <c r="P642" i="4"/>
  <c r="P634" i="4"/>
  <c r="P626" i="4"/>
  <c r="P618" i="4"/>
  <c r="P610" i="4"/>
  <c r="P602" i="4"/>
  <c r="P594" i="4"/>
  <c r="P586" i="4"/>
  <c r="P578" i="4"/>
  <c r="P570" i="4"/>
  <c r="P562" i="4"/>
  <c r="P554" i="4"/>
  <c r="P546" i="4"/>
  <c r="P538" i="4"/>
  <c r="P530" i="4"/>
  <c r="P522" i="4"/>
  <c r="P514" i="4"/>
  <c r="P506" i="4"/>
  <c r="P498" i="4"/>
  <c r="P490" i="4"/>
  <c r="P482" i="4"/>
  <c r="P474" i="4"/>
  <c r="P466" i="4"/>
  <c r="P458" i="4"/>
  <c r="P450" i="4"/>
  <c r="P442" i="4"/>
  <c r="P434" i="4"/>
  <c r="P426" i="4"/>
  <c r="P418" i="4"/>
  <c r="P410" i="4"/>
  <c r="P402" i="4"/>
  <c r="P394" i="4"/>
  <c r="P386" i="4"/>
  <c r="P378" i="4"/>
  <c r="P370" i="4"/>
  <c r="P362" i="4"/>
  <c r="P354" i="4"/>
  <c r="P346" i="4"/>
  <c r="P338" i="4"/>
  <c r="P330" i="4"/>
  <c r="P322" i="4"/>
  <c r="P314" i="4"/>
  <c r="P306" i="4"/>
  <c r="P298" i="4"/>
  <c r="P290" i="4"/>
  <c r="P282" i="4"/>
  <c r="P274" i="4"/>
  <c r="P266" i="4"/>
  <c r="P258" i="4"/>
  <c r="P250" i="4"/>
  <c r="P242" i="4"/>
  <c r="P234" i="4"/>
  <c r="P226" i="4"/>
  <c r="P218" i="4"/>
  <c r="S210" i="4"/>
  <c r="S202" i="4"/>
  <c r="S194" i="4"/>
  <c r="S186" i="4"/>
  <c r="S178" i="4"/>
  <c r="S170" i="4"/>
  <c r="S162" i="4"/>
  <c r="S154" i="4"/>
  <c r="S146" i="4"/>
  <c r="S138" i="4"/>
  <c r="S130" i="4"/>
  <c r="S122" i="4"/>
  <c r="S114" i="4"/>
  <c r="S106" i="4"/>
  <c r="S98" i="4"/>
  <c r="S90" i="4"/>
  <c r="S82" i="4"/>
  <c r="S74" i="4"/>
  <c r="S66" i="4"/>
  <c r="S58" i="4"/>
  <c r="S50" i="4"/>
  <c r="S42" i="4"/>
  <c r="S34" i="4"/>
  <c r="S26" i="4"/>
  <c r="S18" i="4"/>
  <c r="S10" i="4"/>
  <c r="S2" i="4"/>
  <c r="S144" i="3"/>
  <c r="S136" i="3"/>
  <c r="S128" i="3"/>
  <c r="S120" i="3"/>
  <c r="S112" i="3"/>
  <c r="I104" i="3"/>
  <c r="I96" i="3"/>
  <c r="R1047" i="4"/>
  <c r="P1035" i="4"/>
  <c r="R1024" i="4"/>
  <c r="S1013" i="4"/>
  <c r="P1003" i="4"/>
  <c r="R992" i="4"/>
  <c r="S981" i="4"/>
  <c r="P971" i="4"/>
  <c r="R960" i="4"/>
  <c r="S949" i="4"/>
  <c r="P939" i="4"/>
  <c r="R928" i="4"/>
  <c r="S917" i="4"/>
  <c r="P907" i="4"/>
  <c r="R896" i="4"/>
  <c r="S885" i="4"/>
  <c r="P875" i="4"/>
  <c r="R864" i="4"/>
  <c r="S853" i="4"/>
  <c r="P843" i="4"/>
  <c r="R832" i="4"/>
  <c r="S821" i="4"/>
  <c r="P811" i="4"/>
  <c r="R800" i="4"/>
  <c r="S789" i="4"/>
  <c r="P779" i="4"/>
  <c r="R768" i="4"/>
  <c r="S757" i="4"/>
  <c r="P747" i="4"/>
  <c r="R736" i="4"/>
  <c r="S725" i="4"/>
  <c r="P715" i="4"/>
  <c r="R704" i="4"/>
  <c r="O689" i="4"/>
  <c r="O673" i="4"/>
  <c r="O657" i="4"/>
  <c r="O641" i="4"/>
  <c r="O625" i="4"/>
  <c r="O609" i="4"/>
  <c r="O593" i="4"/>
  <c r="O577" i="4"/>
  <c r="O561" i="4"/>
  <c r="O545" i="4"/>
  <c r="O529" i="4"/>
  <c r="O513" i="4"/>
  <c r="O497" i="4"/>
  <c r="O481" i="4"/>
  <c r="O465" i="4"/>
  <c r="O449" i="4"/>
  <c r="O433" i="4"/>
  <c r="O417" i="4"/>
  <c r="O401" i="4"/>
  <c r="O385" i="4"/>
  <c r="O369" i="4"/>
  <c r="O353" i="4"/>
  <c r="O337" i="4"/>
  <c r="O321" i="4"/>
  <c r="O305" i="4"/>
  <c r="O289" i="4"/>
  <c r="O273" i="4"/>
  <c r="O257" i="4"/>
  <c r="O241" i="4"/>
  <c r="O225" i="4"/>
  <c r="R213" i="4"/>
  <c r="R205" i="4"/>
  <c r="R197" i="4"/>
  <c r="R189" i="4"/>
  <c r="R181" i="4"/>
  <c r="R173" i="4"/>
  <c r="R165" i="4"/>
  <c r="R157" i="4"/>
  <c r="R149" i="4"/>
  <c r="R141" i="4"/>
  <c r="R133" i="4"/>
  <c r="R125" i="4"/>
  <c r="R117" i="4"/>
  <c r="R109" i="4"/>
  <c r="R101" i="4"/>
  <c r="R93" i="4"/>
  <c r="R85" i="4"/>
  <c r="R77" i="4"/>
  <c r="R69" i="4"/>
  <c r="R61" i="4"/>
  <c r="R53" i="4"/>
  <c r="R45" i="4"/>
  <c r="R37" i="4"/>
  <c r="R29" i="4"/>
  <c r="R21" i="4"/>
  <c r="R13" i="4"/>
  <c r="R5" i="4"/>
  <c r="R147" i="3"/>
  <c r="R139" i="3"/>
  <c r="R131" i="3"/>
  <c r="R123" i="3"/>
  <c r="R115" i="3"/>
  <c r="O104" i="3"/>
  <c r="O88" i="3"/>
  <c r="O72" i="3"/>
  <c r="O56" i="3"/>
  <c r="O40" i="3"/>
  <c r="O24" i="3"/>
  <c r="O8" i="3"/>
  <c r="O92" i="2"/>
  <c r="O76" i="2"/>
  <c r="O60" i="2"/>
  <c r="O44" i="2"/>
  <c r="L82" i="3"/>
  <c r="L66" i="3"/>
  <c r="L50" i="3"/>
  <c r="J35" i="3"/>
  <c r="L24" i="3"/>
  <c r="I14" i="3"/>
  <c r="J3" i="3"/>
  <c r="L92" i="2"/>
  <c r="I82" i="2"/>
  <c r="J71" i="2"/>
  <c r="L60" i="2"/>
  <c r="I50" i="2"/>
  <c r="I40" i="2"/>
  <c r="I32" i="2"/>
  <c r="I24" i="2"/>
  <c r="I16" i="2"/>
  <c r="I8" i="2"/>
  <c r="S1649" i="4"/>
  <c r="P1607" i="4"/>
  <c r="O1547" i="4"/>
  <c r="O1483" i="4"/>
  <c r="O1418" i="4"/>
  <c r="O1354" i="4"/>
  <c r="O1290" i="4"/>
  <c r="O1226" i="4"/>
  <c r="O1162" i="4"/>
  <c r="O1098" i="4"/>
  <c r="O1034" i="4"/>
  <c r="O970" i="4"/>
  <c r="O906" i="4"/>
  <c r="O842" i="4"/>
  <c r="O778" i="4"/>
  <c r="O714" i="4"/>
  <c r="I1037" i="4"/>
  <c r="J1026" i="4"/>
  <c r="L1015" i="4"/>
  <c r="I1005" i="4"/>
  <c r="J994" i="4"/>
  <c r="L983" i="4"/>
  <c r="I973" i="4"/>
  <c r="J962" i="4"/>
  <c r="L951" i="4"/>
  <c r="I941" i="4"/>
  <c r="J930" i="4"/>
  <c r="L919" i="4"/>
  <c r="I909" i="4"/>
  <c r="J898" i="4"/>
  <c r="L887" i="4"/>
  <c r="I877" i="4"/>
  <c r="J866" i="4"/>
  <c r="L855" i="4"/>
  <c r="I845" i="4"/>
  <c r="J834" i="4"/>
  <c r="L823" i="4"/>
  <c r="I813" i="4"/>
  <c r="J802" i="4"/>
  <c r="L791" i="4"/>
  <c r="I781" i="4"/>
  <c r="J770" i="4"/>
  <c r="L759" i="4"/>
  <c r="I749" i="4"/>
  <c r="J738" i="4"/>
  <c r="L727" i="4"/>
  <c r="I717" i="4"/>
  <c r="J706" i="4"/>
  <c r="L697" i="4"/>
  <c r="L689" i="4"/>
  <c r="L681" i="4"/>
  <c r="L673" i="4"/>
  <c r="L665" i="4"/>
  <c r="L657" i="4"/>
  <c r="L649" i="4"/>
  <c r="L641" i="4"/>
  <c r="L633" i="4"/>
  <c r="L625" i="4"/>
  <c r="L617" i="4"/>
  <c r="L609" i="4"/>
  <c r="L601" i="4"/>
  <c r="L593" i="4"/>
  <c r="L585" i="4"/>
  <c r="L577" i="4"/>
  <c r="L569" i="4"/>
  <c r="L561" i="4"/>
  <c r="L553" i="4"/>
  <c r="L545" i="4"/>
  <c r="L537" i="4"/>
  <c r="L529" i="4"/>
  <c r="L521" i="4"/>
  <c r="L513" i="4"/>
  <c r="L505" i="4"/>
  <c r="L497" i="4"/>
  <c r="L489" i="4"/>
  <c r="L481" i="4"/>
  <c r="L473" i="4"/>
  <c r="L465" i="4"/>
  <c r="L457" i="4"/>
  <c r="L449" i="4"/>
  <c r="L441" i="4"/>
  <c r="L433" i="4"/>
  <c r="L425" i="4"/>
  <c r="L417" i="4"/>
  <c r="L409" i="4"/>
  <c r="L401" i="4"/>
  <c r="L393" i="4"/>
  <c r="L385" i="4"/>
  <c r="L377" i="4"/>
  <c r="L369" i="4"/>
  <c r="L361" i="4"/>
  <c r="L353" i="4"/>
  <c r="L345" i="4"/>
  <c r="L337" i="4"/>
  <c r="L329" i="4"/>
  <c r="L321" i="4"/>
  <c r="L313" i="4"/>
  <c r="L305" i="4"/>
  <c r="L297" i="4"/>
  <c r="L289" i="4"/>
  <c r="L281" i="4"/>
  <c r="L273" i="4"/>
  <c r="L265" i="4"/>
  <c r="L257" i="4"/>
  <c r="L249" i="4"/>
  <c r="L241" i="4"/>
  <c r="L233" i="4"/>
  <c r="L225" i="4"/>
  <c r="P216" i="4"/>
  <c r="P208" i="4"/>
  <c r="P200" i="4"/>
  <c r="P192" i="4"/>
  <c r="P184" i="4"/>
  <c r="P176" i="4"/>
  <c r="P168" i="4"/>
  <c r="P160" i="4"/>
  <c r="P152" i="4"/>
  <c r="P144" i="4"/>
  <c r="P136" i="4"/>
  <c r="P128" i="4"/>
  <c r="P120" i="4"/>
  <c r="P112" i="4"/>
  <c r="P104" i="4"/>
  <c r="P96" i="4"/>
  <c r="P88" i="4"/>
  <c r="P80" i="4"/>
  <c r="P72" i="4"/>
  <c r="P64" i="4"/>
  <c r="P56" i="4"/>
  <c r="P48" i="4"/>
  <c r="P40" i="4"/>
  <c r="P32" i="4"/>
  <c r="P24" i="4"/>
  <c r="P16" i="4"/>
  <c r="P8" i="4"/>
  <c r="P150" i="3"/>
  <c r="P142" i="3"/>
  <c r="P134" i="3"/>
  <c r="P126" i="3"/>
  <c r="P118" i="3"/>
  <c r="S110" i="3"/>
  <c r="S102" i="3"/>
  <c r="R1045" i="4"/>
  <c r="I1034" i="4"/>
  <c r="J1023" i="4"/>
  <c r="L1012" i="4"/>
  <c r="I1002" i="4"/>
  <c r="J991" i="4"/>
  <c r="L980" i="4"/>
  <c r="I970" i="4"/>
  <c r="J959" i="4"/>
  <c r="L948" i="4"/>
  <c r="I938" i="4"/>
  <c r="J927" i="4"/>
  <c r="L916" i="4"/>
  <c r="I906" i="4"/>
  <c r="J895" i="4"/>
  <c r="L884" i="4"/>
  <c r="I874" i="4"/>
  <c r="J863" i="4"/>
  <c r="L852" i="4"/>
  <c r="I842" i="4"/>
  <c r="J831" i="4"/>
  <c r="L820" i="4"/>
  <c r="I810" i="4"/>
  <c r="J799" i="4"/>
  <c r="L788" i="4"/>
  <c r="I778" i="4"/>
  <c r="J767" i="4"/>
  <c r="L756" i="4"/>
  <c r="I746" i="4"/>
  <c r="J735" i="4"/>
  <c r="L724" i="4"/>
  <c r="I714" i="4"/>
  <c r="J703" i="4"/>
  <c r="J695" i="4"/>
  <c r="J687" i="4"/>
  <c r="J679" i="4"/>
  <c r="J671" i="4"/>
  <c r="J663" i="4"/>
  <c r="J655" i="4"/>
  <c r="J647" i="4"/>
  <c r="J639" i="4"/>
  <c r="J631" i="4"/>
  <c r="J623" i="4"/>
  <c r="J615" i="4"/>
  <c r="J607" i="4"/>
  <c r="J599" i="4"/>
  <c r="J591" i="4"/>
  <c r="J583" i="4"/>
  <c r="J575" i="4"/>
  <c r="J567" i="4"/>
  <c r="J559" i="4"/>
  <c r="J551" i="4"/>
  <c r="J543" i="4"/>
  <c r="J535" i="4"/>
  <c r="J527" i="4"/>
  <c r="J519" i="4"/>
  <c r="J511" i="4"/>
  <c r="J503" i="4"/>
  <c r="J495" i="4"/>
  <c r="J487" i="4"/>
  <c r="J479" i="4"/>
  <c r="J471" i="4"/>
  <c r="J463" i="4"/>
  <c r="J455" i="4"/>
  <c r="J447" i="4"/>
  <c r="J439" i="4"/>
  <c r="J431" i="4"/>
  <c r="J423" i="4"/>
  <c r="J415" i="4"/>
  <c r="J407" i="4"/>
  <c r="J399" i="4"/>
  <c r="J391" i="4"/>
  <c r="J383" i="4"/>
  <c r="J375" i="4"/>
  <c r="J367" i="4"/>
  <c r="J359" i="4"/>
  <c r="J351" i="4"/>
  <c r="J343" i="4"/>
  <c r="J335" i="4"/>
  <c r="J327" i="4"/>
  <c r="J319" i="4"/>
  <c r="J311" i="4"/>
  <c r="J303" i="4"/>
  <c r="J295" i="4"/>
  <c r="J287" i="4"/>
  <c r="J279" i="4"/>
  <c r="J271" i="4"/>
  <c r="J263" i="4"/>
  <c r="J255" i="4"/>
  <c r="J247" i="4"/>
  <c r="J239" i="4"/>
  <c r="J231" i="4"/>
  <c r="J223" i="4"/>
  <c r="O213" i="4"/>
  <c r="O197" i="4"/>
  <c r="O181" i="4"/>
  <c r="O165" i="4"/>
  <c r="O149" i="4"/>
  <c r="O133" i="4"/>
  <c r="O117" i="4"/>
  <c r="O101" i="4"/>
  <c r="O85" i="4"/>
  <c r="O69" i="4"/>
  <c r="O53" i="4"/>
  <c r="O37" i="4"/>
  <c r="O21" i="4"/>
  <c r="O5" i="4"/>
  <c r="O139" i="3"/>
  <c r="O123" i="3"/>
  <c r="R109" i="3"/>
  <c r="R101" i="3"/>
  <c r="R93" i="3"/>
  <c r="R85" i="3"/>
  <c r="R77" i="3"/>
  <c r="R69" i="3"/>
  <c r="R61" i="3"/>
  <c r="R53" i="3"/>
  <c r="R45" i="3"/>
  <c r="R37" i="3"/>
  <c r="J1040" i="4"/>
  <c r="L1029" i="4"/>
  <c r="I1019" i="4"/>
  <c r="J1008" i="4"/>
  <c r="L997" i="4"/>
  <c r="I987" i="4"/>
  <c r="J976" i="4"/>
  <c r="L965" i="4"/>
  <c r="I955" i="4"/>
  <c r="J944" i="4"/>
  <c r="L933" i="4"/>
  <c r="I923" i="4"/>
  <c r="J912" i="4"/>
  <c r="L901" i="4"/>
  <c r="I891" i="4"/>
  <c r="J880" i="4"/>
  <c r="L869" i="4"/>
  <c r="I859" i="4"/>
  <c r="J848" i="4"/>
  <c r="L837" i="4"/>
  <c r="I827" i="4"/>
  <c r="J816" i="4"/>
  <c r="L805" i="4"/>
  <c r="I795" i="4"/>
  <c r="J784" i="4"/>
  <c r="L773" i="4"/>
  <c r="I763" i="4"/>
  <c r="J752" i="4"/>
  <c r="L741" i="4"/>
  <c r="I731" i="4"/>
  <c r="J720" i="4"/>
  <c r="L709" i="4"/>
  <c r="I700" i="4"/>
  <c r="I692" i="4"/>
  <c r="I684" i="4"/>
  <c r="I676" i="4"/>
  <c r="I668" i="4"/>
  <c r="I660" i="4"/>
  <c r="I652" i="4"/>
  <c r="I644" i="4"/>
  <c r="I636" i="4"/>
  <c r="I628" i="4"/>
  <c r="I620" i="4"/>
  <c r="I612" i="4"/>
  <c r="I604" i="4"/>
  <c r="I596" i="4"/>
  <c r="I588" i="4"/>
  <c r="I580" i="4"/>
  <c r="I572" i="4"/>
  <c r="I564" i="4"/>
  <c r="I556" i="4"/>
  <c r="I548" i="4"/>
  <c r="I540" i="4"/>
  <c r="I532" i="4"/>
  <c r="I524" i="4"/>
  <c r="I516" i="4"/>
  <c r="I508" i="4"/>
  <c r="I500" i="4"/>
  <c r="I492" i="4"/>
  <c r="I484" i="4"/>
  <c r="I476" i="4"/>
  <c r="I468" i="4"/>
  <c r="I460" i="4"/>
  <c r="I452" i="4"/>
  <c r="I444" i="4"/>
  <c r="I436" i="4"/>
  <c r="I428" i="4"/>
  <c r="I420" i="4"/>
  <c r="I412" i="4"/>
  <c r="I404" i="4"/>
  <c r="I396" i="4"/>
  <c r="I388" i="4"/>
  <c r="I380" i="4"/>
  <c r="I372" i="4"/>
  <c r="I364" i="4"/>
  <c r="I356" i="4"/>
  <c r="I348" i="4"/>
  <c r="I340" i="4"/>
  <c r="I332" i="4"/>
  <c r="I324" i="4"/>
  <c r="I316" i="4"/>
  <c r="I308" i="4"/>
  <c r="I300" i="4"/>
  <c r="I292" i="4"/>
  <c r="I284" i="4"/>
  <c r="I276" i="4"/>
  <c r="I268" i="4"/>
  <c r="I260" i="4"/>
  <c r="I252" i="4"/>
  <c r="I244" i="4"/>
  <c r="I236" i="4"/>
  <c r="I228" i="4"/>
  <c r="I220" i="4"/>
  <c r="L212" i="4"/>
  <c r="L204" i="4"/>
  <c r="L196" i="4"/>
  <c r="L188" i="4"/>
  <c r="L180" i="4"/>
  <c r="L172" i="4"/>
  <c r="L164" i="4"/>
  <c r="L156" i="4"/>
  <c r="L148" i="4"/>
  <c r="L140" i="4"/>
  <c r="L132" i="4"/>
  <c r="L124" i="4"/>
  <c r="L116" i="4"/>
  <c r="L108" i="4"/>
  <c r="L100" i="4"/>
  <c r="L92" i="4"/>
  <c r="L84" i="4"/>
  <c r="L76" i="4"/>
  <c r="L68" i="4"/>
  <c r="L60" i="4"/>
  <c r="L52" i="4"/>
  <c r="L44" i="4"/>
  <c r="L36" i="4"/>
  <c r="L28" i="4"/>
  <c r="L20" i="4"/>
  <c r="L12" i="4"/>
  <c r="L4" i="4"/>
  <c r="L146" i="3"/>
  <c r="L138" i="3"/>
  <c r="L130" i="3"/>
  <c r="L122" i="3"/>
  <c r="L114" i="3"/>
  <c r="P105" i="3"/>
  <c r="P97" i="3"/>
  <c r="S1050" i="4"/>
  <c r="J1037" i="4"/>
  <c r="L1026" i="4"/>
  <c r="I1016" i="4"/>
  <c r="J1005" i="4"/>
  <c r="L994" i="4"/>
  <c r="I984" i="4"/>
  <c r="J973" i="4"/>
  <c r="L962" i="4"/>
  <c r="I952" i="4"/>
  <c r="J941" i="4"/>
  <c r="L930" i="4"/>
  <c r="I920" i="4"/>
  <c r="J909" i="4"/>
  <c r="L898" i="4"/>
  <c r="I888" i="4"/>
  <c r="J877" i="4"/>
  <c r="L866" i="4"/>
  <c r="I856" i="4"/>
  <c r="J845" i="4"/>
  <c r="L834" i="4"/>
  <c r="I824" i="4"/>
  <c r="J813" i="4"/>
  <c r="L802" i="4"/>
  <c r="I792" i="4"/>
  <c r="J781" i="4"/>
  <c r="L770" i="4"/>
  <c r="I760" i="4"/>
  <c r="J749" i="4"/>
  <c r="L738" i="4"/>
  <c r="I728" i="4"/>
  <c r="J717" i="4"/>
  <c r="L706" i="4"/>
  <c r="O692" i="4"/>
  <c r="O676" i="4"/>
  <c r="O660" i="4"/>
  <c r="O644" i="4"/>
  <c r="O628" i="4"/>
  <c r="O612" i="4"/>
  <c r="O596" i="4"/>
  <c r="O580" i="4"/>
  <c r="O564" i="4"/>
  <c r="O548" i="4"/>
  <c r="O532" i="4"/>
  <c r="O516" i="4"/>
  <c r="O500" i="4"/>
  <c r="O484" i="4"/>
  <c r="O468" i="4"/>
  <c r="O452" i="4"/>
  <c r="O436" i="4"/>
  <c r="O420" i="4"/>
  <c r="O404" i="4"/>
  <c r="O388" i="4"/>
  <c r="O372" i="4"/>
  <c r="O356" i="4"/>
  <c r="O340" i="4"/>
  <c r="O324" i="4"/>
  <c r="O308" i="4"/>
  <c r="O292" i="4"/>
  <c r="O276" i="4"/>
  <c r="O260" i="4"/>
  <c r="O244" i="4"/>
  <c r="O228" i="4"/>
  <c r="J215" i="4"/>
  <c r="J207" i="4"/>
  <c r="J199" i="4"/>
  <c r="J191" i="4"/>
  <c r="J183" i="4"/>
  <c r="J175" i="4"/>
  <c r="J167" i="4"/>
  <c r="J159" i="4"/>
  <c r="J151" i="4"/>
  <c r="J143" i="4"/>
  <c r="J135" i="4"/>
  <c r="J127" i="4"/>
  <c r="J119" i="4"/>
  <c r="J111" i="4"/>
  <c r="J103" i="4"/>
  <c r="J95" i="4"/>
  <c r="J87" i="4"/>
  <c r="J79" i="4"/>
  <c r="J71" i="4"/>
  <c r="J63" i="4"/>
  <c r="J55" i="4"/>
  <c r="J47" i="4"/>
  <c r="J39" i="4"/>
  <c r="J31" i="4"/>
  <c r="J23" i="4"/>
  <c r="J15" i="4"/>
  <c r="J7" i="4"/>
  <c r="J149" i="3"/>
  <c r="J141" i="3"/>
  <c r="J133" i="3"/>
  <c r="J125" i="3"/>
  <c r="J117" i="3"/>
  <c r="O107" i="3"/>
  <c r="O91" i="3"/>
  <c r="O75" i="3"/>
  <c r="O59" i="3"/>
  <c r="O43" i="3"/>
  <c r="O27" i="3"/>
  <c r="O11" i="3"/>
  <c r="O95" i="2"/>
  <c r="O79" i="2"/>
  <c r="O63" i="2"/>
  <c r="O47" i="2"/>
  <c r="P85" i="3"/>
  <c r="P69" i="3"/>
  <c r="P53" i="3"/>
  <c r="P37" i="3"/>
  <c r="R26" i="3"/>
  <c r="S15" i="3"/>
  <c r="P5" i="3"/>
  <c r="R94" i="2"/>
  <c r="S83" i="2"/>
  <c r="P73" i="2"/>
  <c r="R62" i="2"/>
  <c r="S51" i="2"/>
  <c r="P41" i="2"/>
  <c r="P33" i="2"/>
  <c r="P25" i="2"/>
  <c r="P17" i="2"/>
  <c r="P9" i="2"/>
  <c r="P16" i="1"/>
  <c r="R1636" i="4"/>
  <c r="O1591" i="4"/>
  <c r="O1527" i="4"/>
  <c r="O1463" i="4"/>
  <c r="O1398" i="4"/>
  <c r="O1334" i="4"/>
  <c r="O1270" i="4"/>
  <c r="O1206" i="4"/>
  <c r="O1142" i="4"/>
  <c r="O1078" i="4"/>
  <c r="O1014" i="4"/>
  <c r="O950" i="4"/>
  <c r="O886" i="4"/>
  <c r="O822" i="4"/>
  <c r="O758" i="4"/>
  <c r="S1045" i="4"/>
  <c r="R1033" i="4"/>
  <c r="S1022" i="4"/>
  <c r="P1012" i="4"/>
  <c r="R1001" i="4"/>
  <c r="S990" i="4"/>
  <c r="P980" i="4"/>
  <c r="R969" i="4"/>
  <c r="S958" i="4"/>
  <c r="P948" i="4"/>
  <c r="R937" i="4"/>
  <c r="S926" i="4"/>
  <c r="P916" i="4"/>
  <c r="R905" i="4"/>
  <c r="S894" i="4"/>
  <c r="P884" i="4"/>
  <c r="R873" i="4"/>
  <c r="S862" i="4"/>
  <c r="P852" i="4"/>
  <c r="R841" i="4"/>
  <c r="S830" i="4"/>
  <c r="P820" i="4"/>
  <c r="R809" i="4"/>
  <c r="S798" i="4"/>
  <c r="P788" i="4"/>
  <c r="R777" i="4"/>
  <c r="S766" i="4"/>
  <c r="P756" i="4"/>
  <c r="R745" i="4"/>
  <c r="S734" i="4"/>
  <c r="P724" i="4"/>
  <c r="R713" i="4"/>
  <c r="S702" i="4"/>
  <c r="S694" i="4"/>
  <c r="S686" i="4"/>
  <c r="S678" i="4"/>
  <c r="S670" i="4"/>
  <c r="S662" i="4"/>
  <c r="S654" i="4"/>
  <c r="S646" i="4"/>
  <c r="S638" i="4"/>
  <c r="S630" i="4"/>
  <c r="S622" i="4"/>
  <c r="S614" i="4"/>
  <c r="S606" i="4"/>
  <c r="S598" i="4"/>
  <c r="S590" i="4"/>
  <c r="S582" i="4"/>
  <c r="S574" i="4"/>
  <c r="S566" i="4"/>
  <c r="S558" i="4"/>
  <c r="S550" i="4"/>
  <c r="S542" i="4"/>
  <c r="S534" i="4"/>
  <c r="S526" i="4"/>
  <c r="S518" i="4"/>
  <c r="S510" i="4"/>
  <c r="S502" i="4"/>
  <c r="S494" i="4"/>
  <c r="S486" i="4"/>
  <c r="S478" i="4"/>
  <c r="S470" i="4"/>
  <c r="S462" i="4"/>
  <c r="S454" i="4"/>
  <c r="S446" i="4"/>
  <c r="S438" i="4"/>
  <c r="S430" i="4"/>
  <c r="S422" i="4"/>
  <c r="S414" i="4"/>
  <c r="S406" i="4"/>
  <c r="S398" i="4"/>
  <c r="S390" i="4"/>
  <c r="S382" i="4"/>
  <c r="S374" i="4"/>
  <c r="S366" i="4"/>
  <c r="S358" i="4"/>
  <c r="S350" i="4"/>
  <c r="S342" i="4"/>
  <c r="S334" i="4"/>
  <c r="S326" i="4"/>
  <c r="S318" i="4"/>
  <c r="S310" i="4"/>
  <c r="S302" i="4"/>
  <c r="S294" i="4"/>
  <c r="S286" i="4"/>
  <c r="S278" i="4"/>
  <c r="S270" i="4"/>
  <c r="S262" i="4"/>
  <c r="S254" i="4"/>
  <c r="S246" i="4"/>
  <c r="S238" i="4"/>
  <c r="S230" i="4"/>
  <c r="S222" i="4"/>
  <c r="I214" i="4"/>
  <c r="I206" i="4"/>
  <c r="I198" i="4"/>
  <c r="I190" i="4"/>
  <c r="I182" i="4"/>
  <c r="I174" i="4"/>
  <c r="I166" i="4"/>
  <c r="I158" i="4"/>
  <c r="I150" i="4"/>
  <c r="I142" i="4"/>
  <c r="I134" i="4"/>
  <c r="I126" i="4"/>
  <c r="I118" i="4"/>
  <c r="I110" i="4"/>
  <c r="I102" i="4"/>
  <c r="I94" i="4"/>
  <c r="I86" i="4"/>
  <c r="I78" i="4"/>
  <c r="I70" i="4"/>
  <c r="I62" i="4"/>
  <c r="I54" i="4"/>
  <c r="I46" i="4"/>
  <c r="I38" i="4"/>
  <c r="I30" i="4"/>
  <c r="I22" i="4"/>
  <c r="I14" i="4"/>
  <c r="I6" i="4"/>
  <c r="I148" i="3"/>
  <c r="I140" i="3"/>
  <c r="I132" i="3"/>
  <c r="I124" i="3"/>
  <c r="I116" i="3"/>
  <c r="L108" i="3"/>
  <c r="L100" i="3"/>
  <c r="P1041" i="4"/>
  <c r="R1030" i="4"/>
  <c r="S1019" i="4"/>
  <c r="P1009" i="4"/>
  <c r="R998" i="4"/>
  <c r="S987" i="4"/>
  <c r="P977" i="4"/>
  <c r="R966" i="4"/>
  <c r="S955" i="4"/>
  <c r="P945" i="4"/>
  <c r="R934" i="4"/>
  <c r="S923" i="4"/>
  <c r="P913" i="4"/>
  <c r="R902" i="4"/>
  <c r="S891" i="4"/>
  <c r="P881" i="4"/>
  <c r="R870" i="4"/>
  <c r="S859" i="4"/>
  <c r="P849" i="4"/>
  <c r="R838" i="4"/>
  <c r="S827" i="4"/>
  <c r="P817" i="4"/>
  <c r="R806" i="4"/>
  <c r="S795" i="4"/>
  <c r="P785" i="4"/>
  <c r="R774" i="4"/>
  <c r="S763" i="4"/>
  <c r="P753" i="4"/>
  <c r="R742" i="4"/>
  <c r="S731" i="4"/>
  <c r="P721" i="4"/>
  <c r="R710" i="4"/>
  <c r="R700" i="4"/>
  <c r="R692" i="4"/>
  <c r="R684" i="4"/>
  <c r="R676" i="4"/>
  <c r="R668" i="4"/>
  <c r="R660" i="4"/>
  <c r="R652" i="4"/>
  <c r="R644" i="4"/>
  <c r="R636" i="4"/>
  <c r="R628" i="4"/>
  <c r="R620" i="4"/>
  <c r="R612" i="4"/>
  <c r="R604" i="4"/>
  <c r="R596" i="4"/>
  <c r="R588" i="4"/>
  <c r="R580" i="4"/>
  <c r="R572" i="4"/>
  <c r="R564" i="4"/>
  <c r="R556" i="4"/>
  <c r="R548" i="4"/>
  <c r="R540" i="4"/>
  <c r="R532" i="4"/>
  <c r="R524" i="4"/>
  <c r="R516" i="4"/>
  <c r="R508" i="4"/>
  <c r="R500" i="4"/>
  <c r="R492" i="4"/>
  <c r="R484" i="4"/>
  <c r="R476" i="4"/>
  <c r="R468" i="4"/>
  <c r="R460" i="4"/>
  <c r="R452" i="4"/>
  <c r="R444" i="4"/>
  <c r="R436" i="4"/>
  <c r="R428" i="4"/>
  <c r="R420" i="4"/>
  <c r="R412" i="4"/>
  <c r="R404" i="4"/>
  <c r="R396" i="4"/>
  <c r="R388" i="4"/>
  <c r="R380" i="4"/>
  <c r="R372" i="4"/>
  <c r="R364" i="4"/>
  <c r="R356" i="4"/>
  <c r="R348" i="4"/>
  <c r="R340" i="4"/>
  <c r="R332" i="4"/>
  <c r="R324" i="4"/>
  <c r="R316" i="4"/>
  <c r="R308" i="4"/>
  <c r="R300" i="4"/>
  <c r="R292" i="4"/>
  <c r="R284" i="4"/>
  <c r="R276" i="4"/>
  <c r="R268" i="4"/>
  <c r="R260" i="4"/>
  <c r="R252" i="4"/>
  <c r="R244" i="4"/>
  <c r="R236" i="4"/>
  <c r="R228" i="4"/>
  <c r="R220" i="4"/>
  <c r="O208" i="4"/>
  <c r="O192" i="4"/>
  <c r="O176" i="4"/>
  <c r="O160" i="4"/>
  <c r="O144" i="4"/>
  <c r="O128" i="4"/>
  <c r="O112" i="4"/>
  <c r="O96" i="4"/>
  <c r="O80" i="4"/>
  <c r="O64" i="4"/>
  <c r="O48" i="4"/>
  <c r="O32" i="4"/>
  <c r="O16" i="4"/>
  <c r="O150" i="3"/>
  <c r="O134" i="3"/>
  <c r="O118" i="3"/>
  <c r="J107" i="3"/>
  <c r="J99" i="3"/>
  <c r="J91" i="3"/>
  <c r="J83" i="3"/>
  <c r="J75" i="3"/>
  <c r="J67" i="3"/>
  <c r="J59" i="3"/>
  <c r="J51" i="3"/>
  <c r="J43" i="3"/>
  <c r="L1049" i="4"/>
  <c r="S1036" i="4"/>
  <c r="P1026" i="4"/>
  <c r="R1015" i="4"/>
  <c r="S1004" i="4"/>
  <c r="P994" i="4"/>
  <c r="R983" i="4"/>
  <c r="S972" i="4"/>
  <c r="P962" i="4"/>
  <c r="R951" i="4"/>
  <c r="S940" i="4"/>
  <c r="P930" i="4"/>
  <c r="R919" i="4"/>
  <c r="S908" i="4"/>
  <c r="P898" i="4"/>
  <c r="R887" i="4"/>
  <c r="S876" i="4"/>
  <c r="P866" i="4"/>
  <c r="R855" i="4"/>
  <c r="S844" i="4"/>
  <c r="P834" i="4"/>
  <c r="R823" i="4"/>
  <c r="S812" i="4"/>
  <c r="P802" i="4"/>
  <c r="R791" i="4"/>
  <c r="S780" i="4"/>
  <c r="P770" i="4"/>
  <c r="R759" i="4"/>
  <c r="S748" i="4"/>
  <c r="P738" i="4"/>
  <c r="R727" i="4"/>
  <c r="S716" i="4"/>
  <c r="P706" i="4"/>
  <c r="P697" i="4"/>
  <c r="P689" i="4"/>
  <c r="P681" i="4"/>
  <c r="P673" i="4"/>
  <c r="P665" i="4"/>
  <c r="P657" i="4"/>
  <c r="P649" i="4"/>
  <c r="P641" i="4"/>
  <c r="P633" i="4"/>
  <c r="P625" i="4"/>
  <c r="P617" i="4"/>
  <c r="P609" i="4"/>
  <c r="P601" i="4"/>
  <c r="P593" i="4"/>
  <c r="P585" i="4"/>
  <c r="P577" i="4"/>
  <c r="P569" i="4"/>
  <c r="P561" i="4"/>
  <c r="P553" i="4"/>
  <c r="P545" i="4"/>
  <c r="P537" i="4"/>
  <c r="P529" i="4"/>
  <c r="P521" i="4"/>
  <c r="P513" i="4"/>
  <c r="P505" i="4"/>
  <c r="P497" i="4"/>
  <c r="P489" i="4"/>
  <c r="P481" i="4"/>
  <c r="P473" i="4"/>
  <c r="P465" i="4"/>
  <c r="P457" i="4"/>
  <c r="P449" i="4"/>
  <c r="P441" i="4"/>
  <c r="P433" i="4"/>
  <c r="P425" i="4"/>
  <c r="P417" i="4"/>
  <c r="P409" i="4"/>
  <c r="P401" i="4"/>
  <c r="P393" i="4"/>
  <c r="P385" i="4"/>
  <c r="P377" i="4"/>
  <c r="P369" i="4"/>
  <c r="P361" i="4"/>
  <c r="P353" i="4"/>
  <c r="P345" i="4"/>
  <c r="P337" i="4"/>
  <c r="P329" i="4"/>
  <c r="P321" i="4"/>
  <c r="P313" i="4"/>
  <c r="P305" i="4"/>
  <c r="P297" i="4"/>
  <c r="P289" i="4"/>
  <c r="P281" i="4"/>
  <c r="P273" i="4"/>
  <c r="P265" i="4"/>
  <c r="P257" i="4"/>
  <c r="P249" i="4"/>
  <c r="P241" i="4"/>
  <c r="P233" i="4"/>
  <c r="P225" i="4"/>
  <c r="P217" i="4"/>
  <c r="S209" i="4"/>
  <c r="S201" i="4"/>
  <c r="S193" i="4"/>
  <c r="S185" i="4"/>
  <c r="S177" i="4"/>
  <c r="S169" i="4"/>
  <c r="S161" i="4"/>
  <c r="S153" i="4"/>
  <c r="S145" i="4"/>
  <c r="S137" i="4"/>
  <c r="S129" i="4"/>
  <c r="S121" i="4"/>
  <c r="S113" i="4"/>
  <c r="S105" i="4"/>
  <c r="S97" i="4"/>
  <c r="S89" i="4"/>
  <c r="S81" i="4"/>
  <c r="S73" i="4"/>
  <c r="S65" i="4"/>
  <c r="S57" i="4"/>
  <c r="S49" i="4"/>
  <c r="S41" i="4"/>
  <c r="S33" i="4"/>
  <c r="S25" i="4"/>
  <c r="S17" i="4"/>
  <c r="S9" i="4"/>
  <c r="S151" i="3"/>
  <c r="S143" i="3"/>
  <c r="S135" i="3"/>
  <c r="S127" i="3"/>
  <c r="S119" i="3"/>
  <c r="S111" i="3"/>
  <c r="I103" i="3"/>
  <c r="I95" i="3"/>
  <c r="J1045" i="4"/>
  <c r="S1033" i="4"/>
  <c r="P1023" i="4"/>
  <c r="R1012" i="4"/>
  <c r="S1001" i="4"/>
  <c r="P991" i="4"/>
  <c r="R980" i="4"/>
  <c r="S969" i="4"/>
  <c r="P959" i="4"/>
  <c r="R948" i="4"/>
  <c r="S937" i="4"/>
  <c r="P927" i="4"/>
  <c r="R916" i="4"/>
  <c r="S905" i="4"/>
  <c r="P895" i="4"/>
  <c r="R884" i="4"/>
  <c r="S873" i="4"/>
  <c r="P863" i="4"/>
  <c r="R852" i="4"/>
  <c r="S841" i="4"/>
  <c r="P831" i="4"/>
  <c r="R820" i="4"/>
  <c r="S809" i="4"/>
  <c r="P799" i="4"/>
  <c r="R788" i="4"/>
  <c r="S777" i="4"/>
  <c r="P767" i="4"/>
  <c r="R756" i="4"/>
  <c r="S745" i="4"/>
  <c r="P735" i="4"/>
  <c r="R724" i="4"/>
  <c r="S713" i="4"/>
  <c r="P703" i="4"/>
  <c r="O687" i="4"/>
  <c r="O671" i="4"/>
  <c r="O655" i="4"/>
  <c r="O639" i="4"/>
  <c r="O623" i="4"/>
  <c r="O607" i="4"/>
  <c r="O591" i="4"/>
  <c r="O575" i="4"/>
  <c r="O559" i="4"/>
  <c r="O543" i="4"/>
  <c r="O527" i="4"/>
  <c r="O511" i="4"/>
  <c r="O495" i="4"/>
  <c r="O479" i="4"/>
  <c r="O463" i="4"/>
  <c r="O447" i="4"/>
  <c r="O431" i="4"/>
  <c r="O415" i="4"/>
  <c r="O399" i="4"/>
  <c r="O383" i="4"/>
  <c r="O367" i="4"/>
  <c r="O351" i="4"/>
  <c r="O335" i="4"/>
  <c r="O319" i="4"/>
  <c r="O303" i="4"/>
  <c r="O287" i="4"/>
  <c r="O271" i="4"/>
  <c r="O255" i="4"/>
  <c r="O239" i="4"/>
  <c r="O223" i="4"/>
  <c r="R212" i="4"/>
  <c r="R204" i="4"/>
  <c r="R196" i="4"/>
  <c r="R188" i="4"/>
  <c r="R180" i="4"/>
  <c r="R172" i="4"/>
  <c r="R164" i="4"/>
  <c r="R156" i="4"/>
  <c r="R148" i="4"/>
  <c r="R140" i="4"/>
  <c r="R132" i="4"/>
  <c r="R124" i="4"/>
  <c r="R116" i="4"/>
  <c r="R108" i="4"/>
  <c r="R100" i="4"/>
  <c r="R92" i="4"/>
  <c r="R84" i="4"/>
  <c r="R76" i="4"/>
  <c r="R68" i="4"/>
  <c r="R60" i="4"/>
  <c r="R52" i="4"/>
  <c r="R44" i="4"/>
  <c r="R36" i="4"/>
  <c r="R28" i="4"/>
  <c r="R20" i="4"/>
  <c r="R12" i="4"/>
  <c r="R4" i="4"/>
  <c r="R146" i="3"/>
  <c r="R138" i="3"/>
  <c r="R130" i="3"/>
  <c r="R122" i="3"/>
  <c r="R114" i="3"/>
  <c r="O102" i="3"/>
  <c r="O86" i="3"/>
  <c r="O70" i="3"/>
  <c r="O54" i="3"/>
  <c r="O38" i="3"/>
  <c r="O22" i="3"/>
  <c r="O6" i="3"/>
  <c r="O90" i="2"/>
  <c r="O74" i="2"/>
  <c r="O58" i="2"/>
  <c r="O42" i="2"/>
  <c r="S80" i="3"/>
  <c r="S64" i="3"/>
  <c r="S48" i="3"/>
  <c r="I34" i="3"/>
  <c r="J23" i="3"/>
  <c r="L12" i="3"/>
  <c r="I2" i="3"/>
  <c r="J91" i="2"/>
  <c r="L80" i="2"/>
  <c r="I70" i="2"/>
  <c r="J59" i="2"/>
  <c r="L48" i="2"/>
  <c r="I39" i="2"/>
  <c r="I31" i="2"/>
  <c r="I23" i="2"/>
  <c r="I15" i="2"/>
  <c r="I7" i="2"/>
  <c r="R9" i="1"/>
  <c r="R1612" i="4"/>
  <c r="O1555" i="4"/>
  <c r="O1491" i="4"/>
  <c r="O1426" i="4"/>
  <c r="O1362" i="4"/>
  <c r="O1298" i="4"/>
  <c r="O1234" i="4"/>
  <c r="O1170" i="4"/>
  <c r="O1106" i="4"/>
  <c r="O1042" i="4"/>
  <c r="O978" i="4"/>
  <c r="O914" i="4"/>
  <c r="O850" i="4"/>
  <c r="O786" i="4"/>
  <c r="O722" i="4"/>
  <c r="J1038" i="4"/>
  <c r="L1027" i="4"/>
  <c r="I1017" i="4"/>
  <c r="J1006" i="4"/>
  <c r="L995" i="4"/>
  <c r="I985" i="4"/>
  <c r="J974" i="4"/>
  <c r="L963" i="4"/>
  <c r="I953" i="4"/>
  <c r="J942" i="4"/>
  <c r="L931" i="4"/>
  <c r="I921" i="4"/>
  <c r="J910" i="4"/>
  <c r="L899" i="4"/>
  <c r="I889" i="4"/>
  <c r="J878" i="4"/>
  <c r="L867" i="4"/>
  <c r="I857" i="4"/>
  <c r="J846" i="4"/>
  <c r="L835" i="4"/>
  <c r="I825" i="4"/>
  <c r="J814" i="4"/>
  <c r="L803" i="4"/>
  <c r="I793" i="4"/>
  <c r="J782" i="4"/>
  <c r="L771" i="4"/>
  <c r="I761" i="4"/>
  <c r="J750" i="4"/>
  <c r="L739" i="4"/>
  <c r="I729" i="4"/>
  <c r="J718" i="4"/>
  <c r="L707" i="4"/>
  <c r="L698" i="4"/>
  <c r="L690" i="4"/>
  <c r="L682" i="4"/>
  <c r="L674" i="4"/>
  <c r="L666" i="4"/>
  <c r="L658" i="4"/>
  <c r="L650" i="4"/>
  <c r="L642" i="4"/>
  <c r="L634" i="4"/>
  <c r="L626" i="4"/>
  <c r="L618" i="4"/>
  <c r="L610" i="4"/>
  <c r="L602" i="4"/>
  <c r="L594" i="4"/>
  <c r="L586" i="4"/>
  <c r="L578" i="4"/>
  <c r="L570" i="4"/>
  <c r="L562" i="4"/>
  <c r="L554" i="4"/>
  <c r="L546" i="4"/>
  <c r="L538" i="4"/>
  <c r="L530" i="4"/>
  <c r="L522" i="4"/>
  <c r="L514" i="4"/>
  <c r="L506" i="4"/>
  <c r="L498" i="4"/>
  <c r="L490" i="4"/>
  <c r="L482" i="4"/>
  <c r="L474" i="4"/>
  <c r="L466" i="4"/>
  <c r="L458" i="4"/>
  <c r="L450" i="4"/>
  <c r="L442" i="4"/>
  <c r="L434" i="4"/>
  <c r="L426" i="4"/>
  <c r="L418" i="4"/>
  <c r="L410" i="4"/>
  <c r="L402" i="4"/>
  <c r="L394" i="4"/>
  <c r="L386" i="4"/>
  <c r="L378" i="4"/>
  <c r="L370" i="4"/>
  <c r="L362" i="4"/>
  <c r="L354" i="4"/>
  <c r="L346" i="4"/>
  <c r="L338" i="4"/>
  <c r="L330" i="4"/>
  <c r="L322" i="4"/>
  <c r="L314" i="4"/>
  <c r="L306" i="4"/>
  <c r="L298" i="4"/>
  <c r="L290" i="4"/>
  <c r="L282" i="4"/>
  <c r="L274" i="4"/>
  <c r="L266" i="4"/>
  <c r="L258" i="4"/>
  <c r="L250" i="4"/>
  <c r="L242" i="4"/>
  <c r="L234" i="4"/>
  <c r="L226" i="4"/>
  <c r="L218" i="4"/>
  <c r="P209" i="4"/>
  <c r="P201" i="4"/>
  <c r="P193" i="4"/>
  <c r="P185" i="4"/>
  <c r="P177" i="4"/>
  <c r="P169" i="4"/>
  <c r="P161" i="4"/>
  <c r="P153" i="4"/>
  <c r="P145" i="4"/>
  <c r="P137" i="4"/>
  <c r="P129" i="4"/>
  <c r="P121" i="4"/>
  <c r="P113" i="4"/>
  <c r="P105" i="4"/>
  <c r="P97" i="4"/>
  <c r="P89" i="4"/>
  <c r="P81" i="4"/>
  <c r="P73" i="4"/>
  <c r="P65" i="4"/>
  <c r="P57" i="4"/>
  <c r="P49" i="4"/>
  <c r="P41" i="4"/>
  <c r="P33" i="4"/>
  <c r="P25" i="4"/>
  <c r="P17" i="4"/>
  <c r="P9" i="4"/>
  <c r="P151" i="3"/>
  <c r="P143" i="3"/>
  <c r="P135" i="3"/>
  <c r="P127" i="3"/>
  <c r="P119" i="3"/>
  <c r="P111" i="3"/>
  <c r="S103" i="3"/>
  <c r="J1047" i="4"/>
  <c r="J1035" i="4"/>
  <c r="L1024" i="4"/>
  <c r="I1014" i="4"/>
  <c r="J1003" i="4"/>
  <c r="L992" i="4"/>
  <c r="I982" i="4"/>
  <c r="J971" i="4"/>
  <c r="L960" i="4"/>
  <c r="I950" i="4"/>
  <c r="J939" i="4"/>
  <c r="L928" i="4"/>
  <c r="I918" i="4"/>
  <c r="J907" i="4"/>
  <c r="L896" i="4"/>
  <c r="I886" i="4"/>
  <c r="J875" i="4"/>
  <c r="L864" i="4"/>
  <c r="I854" i="4"/>
  <c r="J843" i="4"/>
  <c r="L832" i="4"/>
  <c r="I822" i="4"/>
  <c r="J811" i="4"/>
  <c r="L800" i="4"/>
  <c r="I790" i="4"/>
  <c r="J779" i="4"/>
  <c r="L768" i="4"/>
  <c r="I758" i="4"/>
  <c r="J747" i="4"/>
  <c r="L736" i="4"/>
  <c r="I726" i="4"/>
  <c r="J715" i="4"/>
  <c r="L704" i="4"/>
  <c r="J696" i="4"/>
  <c r="J688" i="4"/>
  <c r="J680" i="4"/>
  <c r="J672" i="4"/>
  <c r="J664" i="4"/>
  <c r="J656" i="4"/>
  <c r="J648" i="4"/>
  <c r="J640" i="4"/>
  <c r="J632" i="4"/>
  <c r="J624" i="4"/>
  <c r="J616" i="4"/>
  <c r="J608" i="4"/>
  <c r="J600" i="4"/>
  <c r="J592" i="4"/>
  <c r="J584" i="4"/>
  <c r="J576" i="4"/>
  <c r="J568" i="4"/>
  <c r="J560" i="4"/>
  <c r="J552" i="4"/>
  <c r="J544" i="4"/>
  <c r="J536" i="4"/>
  <c r="J528" i="4"/>
  <c r="J520" i="4"/>
  <c r="J512" i="4"/>
  <c r="J504" i="4"/>
  <c r="J496" i="4"/>
  <c r="J488" i="4"/>
  <c r="J480" i="4"/>
  <c r="J472" i="4"/>
  <c r="J464" i="4"/>
  <c r="J456" i="4"/>
  <c r="J448" i="4"/>
  <c r="J440" i="4"/>
  <c r="J432" i="4"/>
  <c r="J424" i="4"/>
  <c r="J416" i="4"/>
  <c r="J408" i="4"/>
  <c r="J400" i="4"/>
  <c r="J392" i="4"/>
  <c r="J384" i="4"/>
  <c r="J376" i="4"/>
  <c r="J368" i="4"/>
  <c r="J360" i="4"/>
  <c r="J352" i="4"/>
  <c r="J344" i="4"/>
  <c r="J336" i="4"/>
  <c r="J328" i="4"/>
  <c r="J320" i="4"/>
  <c r="J312" i="4"/>
  <c r="J304" i="4"/>
  <c r="J296" i="4"/>
  <c r="J288" i="4"/>
  <c r="J280" i="4"/>
  <c r="J272" i="4"/>
  <c r="J264" i="4"/>
  <c r="J256" i="4"/>
  <c r="J248" i="4"/>
  <c r="J240" i="4"/>
  <c r="J232" i="4"/>
  <c r="J224" i="4"/>
  <c r="O215" i="4"/>
  <c r="O199" i="4"/>
  <c r="S1973" i="4"/>
  <c r="I2265" i="4"/>
  <c r="L2137" i="4"/>
  <c r="P2016" i="4"/>
  <c r="R1973" i="4"/>
  <c r="L1907" i="4"/>
  <c r="I1867" i="4"/>
  <c r="I1835" i="4"/>
  <c r="I1803" i="4"/>
  <c r="I1771" i="4"/>
  <c r="I1739" i="4"/>
  <c r="I1707" i="4"/>
  <c r="R1959" i="4"/>
  <c r="O1904" i="4"/>
  <c r="O1847" i="4"/>
  <c r="O1783" i="4"/>
  <c r="O1719" i="4"/>
  <c r="O1655" i="4"/>
  <c r="I1963" i="4"/>
  <c r="R1895" i="4"/>
  <c r="S1860" i="4"/>
  <c r="S1828" i="4"/>
  <c r="S1796" i="4"/>
  <c r="S1764" i="4"/>
  <c r="S1732" i="4"/>
  <c r="S1700" i="4"/>
  <c r="O1941" i="4"/>
  <c r="S1892" i="4"/>
  <c r="J1860" i="4"/>
  <c r="J1828" i="4"/>
  <c r="J1796" i="4"/>
  <c r="J1764" i="4"/>
  <c r="J1732" i="4"/>
  <c r="J1700" i="4"/>
  <c r="R1661" i="4"/>
  <c r="S1618" i="4"/>
  <c r="S1581" i="4"/>
  <c r="S1549" i="4"/>
  <c r="S1517" i="4"/>
  <c r="S1485" i="4"/>
  <c r="S1453" i="4"/>
  <c r="S1420" i="4"/>
  <c r="S1388" i="4"/>
  <c r="R2320" i="4"/>
  <c r="O2119" i="4"/>
  <c r="O2000" i="4"/>
  <c r="P1946" i="4"/>
  <c r="P1914" i="4"/>
  <c r="O3247" i="4"/>
  <c r="S2986" i="4"/>
  <c r="I2497" i="4"/>
  <c r="S2247" i="4"/>
  <c r="S2119" i="4"/>
  <c r="R2010" i="4"/>
  <c r="S1967" i="4"/>
  <c r="S2720" i="4"/>
  <c r="L2251" i="4"/>
  <c r="L2123" i="4"/>
  <c r="R2011" i="4"/>
  <c r="L2789" i="4"/>
  <c r="P2514" i="4"/>
  <c r="J2262" i="4"/>
  <c r="L2128" i="4"/>
  <c r="J2013" i="4"/>
  <c r="I2735" i="4"/>
  <c r="L2255" i="4"/>
  <c r="S2126" i="4"/>
  <c r="I2013" i="4"/>
  <c r="J1969" i="4"/>
  <c r="R1902" i="4"/>
  <c r="P1864" i="4"/>
  <c r="P1832" i="4"/>
  <c r="P1800" i="4"/>
  <c r="P1768" i="4"/>
  <c r="P1736" i="4"/>
  <c r="P1704" i="4"/>
  <c r="L1954" i="4"/>
  <c r="J1901" i="4"/>
  <c r="O1842" i="4"/>
  <c r="O1778" i="4"/>
  <c r="O1714" i="4"/>
  <c r="O1650" i="4"/>
  <c r="S1958" i="4"/>
  <c r="L1890" i="4"/>
  <c r="L1858" i="4"/>
  <c r="L1826" i="4"/>
  <c r="L1794" i="4"/>
  <c r="L1762" i="4"/>
  <c r="L1730" i="4"/>
  <c r="L1698" i="4"/>
  <c r="L1935" i="4"/>
  <c r="R1889" i="4"/>
  <c r="R1857" i="4"/>
  <c r="R1825" i="4"/>
  <c r="R1793" i="4"/>
  <c r="R1761" i="4"/>
  <c r="R1729" i="4"/>
  <c r="R1697" i="4"/>
  <c r="J1658" i="4"/>
  <c r="L1615" i="4"/>
  <c r="L1579" i="4"/>
  <c r="L1547" i="4"/>
  <c r="L1515" i="4"/>
  <c r="L1483" i="4"/>
  <c r="L1451" i="4"/>
  <c r="L1418" i="4"/>
  <c r="L1386" i="4"/>
  <c r="S1354" i="4"/>
  <c r="S1322" i="4"/>
  <c r="S1290" i="4"/>
  <c r="S1258" i="4"/>
  <c r="S1226" i="4"/>
  <c r="S1194" i="4"/>
  <c r="S1162" i="4"/>
  <c r="S1130" i="4"/>
  <c r="S1098" i="4"/>
  <c r="S1066" i="4"/>
  <c r="I1658" i="4"/>
  <c r="J1615" i="4"/>
  <c r="J1579" i="4"/>
  <c r="J1547" i="4"/>
  <c r="J1515" i="4"/>
  <c r="J1483" i="4"/>
  <c r="J1451" i="4"/>
  <c r="J1418" i="4"/>
  <c r="J1386" i="4"/>
  <c r="J1354" i="4"/>
  <c r="J1322" i="4"/>
  <c r="J1290" i="4"/>
  <c r="J1258" i="4"/>
  <c r="J1226" i="4"/>
  <c r="J1194" i="4"/>
  <c r="J1162" i="4"/>
  <c r="J1130" i="4"/>
  <c r="J1098" i="4"/>
  <c r="J1066" i="4"/>
  <c r="L1657" i="4"/>
  <c r="I1615" i="4"/>
  <c r="I1579" i="4"/>
  <c r="I1547" i="4"/>
  <c r="I1515" i="4"/>
  <c r="I1483" i="4"/>
  <c r="I1451" i="4"/>
  <c r="I1418" i="4"/>
  <c r="I1386" i="4"/>
  <c r="I1354" i="4"/>
  <c r="I1322" i="4"/>
  <c r="I1290" i="4"/>
  <c r="I1258" i="4"/>
  <c r="I1226" i="4"/>
  <c r="I1194" i="4"/>
  <c r="I1162" i="4"/>
  <c r="I1130" i="4"/>
  <c r="I1098" i="4"/>
  <c r="I1066" i="4"/>
  <c r="I1672" i="4"/>
  <c r="J1629" i="4"/>
  <c r="O1580" i="4"/>
  <c r="O1516" i="4"/>
  <c r="O1452" i="4"/>
  <c r="O1387" i="4"/>
  <c r="O1323" i="4"/>
  <c r="O1259" i="4"/>
  <c r="O1195" i="4"/>
  <c r="O1131" i="4"/>
  <c r="O1067" i="4"/>
  <c r="O1003" i="4"/>
  <c r="O939" i="4"/>
  <c r="O875" i="4"/>
  <c r="O811" i="4"/>
  <c r="O747" i="4"/>
  <c r="L1354" i="4"/>
  <c r="L1322" i="4"/>
  <c r="L1290" i="4"/>
  <c r="L1258" i="4"/>
  <c r="L1226" i="4"/>
  <c r="L1194" i="4"/>
  <c r="L1162" i="4"/>
  <c r="L1130" i="4"/>
  <c r="L1098" i="4"/>
  <c r="L1066" i="4"/>
  <c r="P1657" i="4"/>
  <c r="R1614" i="4"/>
  <c r="R1578" i="4"/>
  <c r="R1546" i="4"/>
  <c r="R1514" i="4"/>
  <c r="R1482" i="4"/>
  <c r="R1450" i="4"/>
  <c r="R1417" i="4"/>
  <c r="R1385" i="4"/>
  <c r="R1353" i="4"/>
  <c r="R1321" i="4"/>
  <c r="R1289" i="4"/>
  <c r="R1257" i="4"/>
  <c r="R1225" i="4"/>
  <c r="R1193" i="4"/>
  <c r="R1161" i="4"/>
  <c r="R1129" i="4"/>
  <c r="R1097" i="4"/>
  <c r="R1065" i="4"/>
  <c r="S1656" i="4"/>
  <c r="P1614" i="4"/>
  <c r="P1578" i="4"/>
  <c r="P1546" i="4"/>
  <c r="P1514" i="4"/>
  <c r="P1482" i="4"/>
  <c r="P1450" i="4"/>
  <c r="P1417" i="4"/>
  <c r="P1385" i="4"/>
  <c r="P1353" i="4"/>
  <c r="P1321" i="4"/>
  <c r="P1289" i="4"/>
  <c r="P1257" i="4"/>
  <c r="P1225" i="4"/>
  <c r="P1193" i="4"/>
  <c r="P1161" i="4"/>
  <c r="P1129" i="4"/>
  <c r="P1097" i="4"/>
  <c r="P1065" i="4"/>
  <c r="P1671" i="4"/>
  <c r="S1339" i="4"/>
  <c r="S1307" i="4"/>
  <c r="S1275" i="4"/>
  <c r="S1243" i="4"/>
  <c r="S1211" i="4"/>
  <c r="S1179" i="4"/>
  <c r="S1147" i="4"/>
  <c r="S1115" i="4"/>
  <c r="S1083" i="4"/>
  <c r="L1680" i="4"/>
  <c r="I1638" i="4"/>
  <c r="J1596" i="4"/>
  <c r="J1564" i="4"/>
  <c r="J1532" i="4"/>
  <c r="J1500" i="4"/>
  <c r="J1468" i="4"/>
  <c r="J1435" i="4"/>
  <c r="J1403" i="4"/>
  <c r="J1371" i="4"/>
  <c r="J1339" i="4"/>
  <c r="J1307" i="4"/>
  <c r="J1275" i="4"/>
  <c r="J1243" i="4"/>
  <c r="J1211" i="4"/>
  <c r="J1179" i="4"/>
  <c r="J1147" i="4"/>
  <c r="J1115" i="4"/>
  <c r="J1083" i="4"/>
  <c r="J1680" i="4"/>
  <c r="L1637" i="4"/>
  <c r="I1596" i="4"/>
  <c r="I1564" i="4"/>
  <c r="I1532" i="4"/>
  <c r="I1500" i="4"/>
  <c r="I1468" i="4"/>
  <c r="I1435" i="4"/>
  <c r="I1403" i="4"/>
  <c r="I1371" i="4"/>
  <c r="I1339" i="4"/>
  <c r="I1307" i="4"/>
  <c r="I1275" i="4"/>
  <c r="I1243" i="4"/>
  <c r="I1211" i="4"/>
  <c r="I1179" i="4"/>
  <c r="I1147" i="4"/>
  <c r="I1115" i="4"/>
  <c r="I1083" i="4"/>
  <c r="I1051" i="4"/>
  <c r="I1652" i="4"/>
  <c r="J1609" i="4"/>
  <c r="O1550" i="4"/>
  <c r="O1486" i="4"/>
  <c r="O1421" i="4"/>
  <c r="O1357" i="4"/>
  <c r="O1293" i="4"/>
  <c r="O1229" i="4"/>
  <c r="O1165" i="4"/>
  <c r="O1101" i="4"/>
  <c r="O1037" i="4"/>
  <c r="O973" i="4"/>
  <c r="O909" i="4"/>
  <c r="O845" i="4"/>
  <c r="O781" i="4"/>
  <c r="O717" i="4"/>
  <c r="L1339" i="4"/>
  <c r="L1307" i="4"/>
  <c r="L1275" i="4"/>
  <c r="L1243" i="4"/>
  <c r="L1211" i="4"/>
  <c r="L1179" i="4"/>
  <c r="L1147" i="4"/>
  <c r="L1115" i="4"/>
  <c r="L1083" i="4"/>
  <c r="S1679" i="4"/>
  <c r="P1637" i="4"/>
  <c r="R1595" i="4"/>
  <c r="R1563" i="4"/>
  <c r="R1531" i="4"/>
  <c r="R1499" i="4"/>
  <c r="R1467" i="4"/>
  <c r="R1434" i="4"/>
  <c r="R1402" i="4"/>
  <c r="R1370" i="4"/>
  <c r="R1338" i="4"/>
  <c r="R1306" i="4"/>
  <c r="R1274" i="4"/>
  <c r="R1242" i="4"/>
  <c r="R1210" i="4"/>
  <c r="R1178" i="4"/>
  <c r="R1146" i="4"/>
  <c r="R1114" i="4"/>
  <c r="R1082" i="4"/>
  <c r="R1679" i="4"/>
  <c r="S1636" i="4"/>
  <c r="P1595" i="4"/>
  <c r="P1563" i="4"/>
  <c r="P1531" i="4"/>
  <c r="P1499" i="4"/>
  <c r="P1467" i="4"/>
  <c r="P1434" i="4"/>
  <c r="P1402" i="4"/>
  <c r="P1370" i="4"/>
  <c r="P1338" i="4"/>
  <c r="P1306" i="4"/>
  <c r="P1274" i="4"/>
  <c r="P1242" i="4"/>
  <c r="P1210" i="4"/>
  <c r="P1178" i="4"/>
  <c r="P1146" i="4"/>
  <c r="P1114" i="4"/>
  <c r="P1082" i="4"/>
  <c r="P1050" i="4"/>
  <c r="P1651" i="4"/>
  <c r="R1608" i="4"/>
  <c r="O1549" i="4"/>
  <c r="O1485" i="4"/>
  <c r="O1420" i="4"/>
  <c r="O1356" i="4"/>
  <c r="O1292" i="4"/>
  <c r="O1228" i="4"/>
  <c r="O1164" i="4"/>
  <c r="O1100" i="4"/>
  <c r="O1036" i="4"/>
  <c r="O972" i="4"/>
  <c r="O908" i="4"/>
  <c r="O844" i="4"/>
  <c r="O796" i="4"/>
  <c r="O764" i="4"/>
  <c r="O732" i="4"/>
  <c r="L1051" i="4"/>
  <c r="O1583" i="4"/>
  <c r="O1455" i="4"/>
  <c r="O1326" i="4"/>
  <c r="O1198" i="4"/>
  <c r="O1070" i="4"/>
  <c r="O942" i="4"/>
  <c r="O814" i="4"/>
  <c r="S1042" i="4"/>
  <c r="R1021" i="4"/>
  <c r="P1000" i="4"/>
  <c r="S978" i="4"/>
  <c r="R957" i="4"/>
  <c r="P936" i="4"/>
  <c r="S914" i="4"/>
  <c r="R893" i="4"/>
  <c r="P872" i="4"/>
  <c r="S850" i="4"/>
  <c r="R829" i="4"/>
  <c r="P808" i="4"/>
  <c r="S786" i="4"/>
  <c r="R765" i="4"/>
  <c r="P744" i="4"/>
  <c r="S722" i="4"/>
  <c r="S701" i="4"/>
  <c r="S685" i="4"/>
  <c r="S669" i="4"/>
  <c r="S653" i="4"/>
  <c r="S637" i="4"/>
  <c r="S621" i="4"/>
  <c r="S605" i="4"/>
  <c r="S589" i="4"/>
  <c r="S573" i="4"/>
  <c r="S557" i="4"/>
  <c r="S541" i="4"/>
  <c r="S525" i="4"/>
  <c r="S509" i="4"/>
  <c r="S493" i="4"/>
  <c r="S477" i="4"/>
  <c r="S461" i="4"/>
  <c r="S445" i="4"/>
  <c r="S429" i="4"/>
  <c r="S413" i="4"/>
  <c r="S397" i="4"/>
  <c r="S381" i="4"/>
  <c r="S365" i="4"/>
  <c r="S349" i="4"/>
  <c r="S333" i="4"/>
  <c r="S317" i="4"/>
  <c r="S301" i="4"/>
  <c r="S285" i="4"/>
  <c r="S269" i="4"/>
  <c r="S253" i="4"/>
  <c r="S237" i="4"/>
  <c r="S221" i="4"/>
  <c r="I205" i="4"/>
  <c r="I189" i="4"/>
  <c r="I173" i="4"/>
  <c r="I157" i="4"/>
  <c r="I141" i="4"/>
  <c r="I125" i="4"/>
  <c r="I109" i="4"/>
  <c r="I93" i="4"/>
  <c r="I77" i="4"/>
  <c r="I61" i="4"/>
  <c r="I45" i="4"/>
  <c r="I29" i="4"/>
  <c r="I13" i="4"/>
  <c r="I147" i="3"/>
  <c r="I131" i="3"/>
  <c r="I115" i="3"/>
  <c r="L99" i="3"/>
  <c r="P1029" i="4"/>
  <c r="S1007" i="4"/>
  <c r="R986" i="4"/>
  <c r="P965" i="4"/>
  <c r="S943" i="4"/>
  <c r="R922" i="4"/>
  <c r="P901" i="4"/>
  <c r="S879" i="4"/>
  <c r="P869" i="4"/>
  <c r="R858" i="4"/>
  <c r="S847" i="4"/>
  <c r="P837" i="4"/>
  <c r="R826" i="4"/>
  <c r="S815" i="4"/>
  <c r="P805" i="4"/>
  <c r="R794" i="4"/>
  <c r="S783" i="4"/>
  <c r="P773" i="4"/>
  <c r="R762" i="4"/>
  <c r="S751" i="4"/>
  <c r="P741" i="4"/>
  <c r="R730" i="4"/>
  <c r="S719" i="4"/>
  <c r="P709" i="4"/>
  <c r="R699" i="4"/>
  <c r="R691" i="4"/>
  <c r="R683" i="4"/>
  <c r="R675" i="4"/>
  <c r="R667" i="4"/>
  <c r="R659" i="4"/>
  <c r="R651" i="4"/>
  <c r="R643" i="4"/>
  <c r="R635" i="4"/>
  <c r="R627" i="4"/>
  <c r="R619" i="4"/>
  <c r="R611" i="4"/>
  <c r="R603" i="4"/>
  <c r="R595" i="4"/>
  <c r="R587" i="4"/>
  <c r="R579" i="4"/>
  <c r="R571" i="4"/>
  <c r="R563" i="4"/>
  <c r="R555" i="4"/>
  <c r="R547" i="4"/>
  <c r="R539" i="4"/>
  <c r="R531" i="4"/>
  <c r="R523" i="4"/>
  <c r="R515" i="4"/>
  <c r="R507" i="4"/>
  <c r="R499" i="4"/>
  <c r="R491" i="4"/>
  <c r="R483" i="4"/>
  <c r="R475" i="4"/>
  <c r="R467" i="4"/>
  <c r="R459" i="4"/>
  <c r="R451" i="4"/>
  <c r="R443" i="4"/>
  <c r="R435" i="4"/>
  <c r="R427" i="4"/>
  <c r="R419" i="4"/>
  <c r="R411" i="4"/>
  <c r="R403" i="4"/>
  <c r="R395" i="4"/>
  <c r="R387" i="4"/>
  <c r="R379" i="4"/>
  <c r="R371" i="4"/>
  <c r="R363" i="4"/>
  <c r="R355" i="4"/>
  <c r="R347" i="4"/>
  <c r="R339" i="4"/>
  <c r="R331" i="4"/>
  <c r="R323" i="4"/>
  <c r="R315" i="4"/>
  <c r="R307" i="4"/>
  <c r="R299" i="4"/>
  <c r="R291" i="4"/>
  <c r="R283" i="4"/>
  <c r="R275" i="4"/>
  <c r="R267" i="4"/>
  <c r="R259" i="4"/>
  <c r="R251" i="4"/>
  <c r="R243" i="4"/>
  <c r="R235" i="4"/>
  <c r="R227" i="4"/>
  <c r="R219" i="4"/>
  <c r="O206" i="4"/>
  <c r="O190" i="4"/>
  <c r="O174" i="4"/>
  <c r="O158" i="4"/>
  <c r="O142" i="4"/>
  <c r="O126" i="4"/>
  <c r="O110" i="4"/>
  <c r="O94" i="4"/>
  <c r="O78" i="4"/>
  <c r="O62" i="4"/>
  <c r="O46" i="4"/>
  <c r="O30" i="4"/>
  <c r="O14" i="4"/>
  <c r="O148" i="3"/>
  <c r="O132" i="3"/>
  <c r="O116" i="3"/>
  <c r="J106" i="3"/>
  <c r="J98" i="3"/>
  <c r="J90" i="3"/>
  <c r="J82" i="3"/>
  <c r="J74" i="3"/>
  <c r="J66" i="3"/>
  <c r="J58" i="3"/>
  <c r="J50" i="3"/>
  <c r="J42" i="3"/>
  <c r="S1047" i="4"/>
  <c r="R1035" i="4"/>
  <c r="S1024" i="4"/>
  <c r="P1014" i="4"/>
  <c r="R1003" i="4"/>
  <c r="S992" i="4"/>
  <c r="P982" i="4"/>
  <c r="R971" i="4"/>
  <c r="S960" i="4"/>
  <c r="P950" i="4"/>
  <c r="R939" i="4"/>
  <c r="S928" i="4"/>
  <c r="P918" i="4"/>
  <c r="R907" i="4"/>
  <c r="S896" i="4"/>
  <c r="P886" i="4"/>
  <c r="R875" i="4"/>
  <c r="S864" i="4"/>
  <c r="P854" i="4"/>
  <c r="R843" i="4"/>
  <c r="S832" i="4"/>
  <c r="P822" i="4"/>
  <c r="R811" i="4"/>
  <c r="S800" i="4"/>
  <c r="P790" i="4"/>
  <c r="R779" i="4"/>
  <c r="S768" i="4"/>
  <c r="P758" i="4"/>
  <c r="R747" i="4"/>
  <c r="S736" i="4"/>
  <c r="P726" i="4"/>
  <c r="R715" i="4"/>
  <c r="S704" i="4"/>
  <c r="P696" i="4"/>
  <c r="P688" i="4"/>
  <c r="P680" i="4"/>
  <c r="P672" i="4"/>
  <c r="P664" i="4"/>
  <c r="P656" i="4"/>
  <c r="P648" i="4"/>
  <c r="P640" i="4"/>
  <c r="P632" i="4"/>
  <c r="P624" i="4"/>
  <c r="P616" i="4"/>
  <c r="P608" i="4"/>
  <c r="P600" i="4"/>
  <c r="P592" i="4"/>
  <c r="P584" i="4"/>
  <c r="P576" i="4"/>
  <c r="P568" i="4"/>
  <c r="P560" i="4"/>
  <c r="P552" i="4"/>
  <c r="P544" i="4"/>
  <c r="P536" i="4"/>
  <c r="P528" i="4"/>
  <c r="P520" i="4"/>
  <c r="P512" i="4"/>
  <c r="P504" i="4"/>
  <c r="P496" i="4"/>
  <c r="P488" i="4"/>
  <c r="P480" i="4"/>
  <c r="P472" i="4"/>
  <c r="P464" i="4"/>
  <c r="P456" i="4"/>
  <c r="P448" i="4"/>
  <c r="P440" i="4"/>
  <c r="P432" i="4"/>
  <c r="P424" i="4"/>
  <c r="P416" i="4"/>
  <c r="P408" i="4"/>
  <c r="P400" i="4"/>
  <c r="P392" i="4"/>
  <c r="P384" i="4"/>
  <c r="P376" i="4"/>
  <c r="P368" i="4"/>
  <c r="P360" i="4"/>
  <c r="P352" i="4"/>
  <c r="P344" i="4"/>
  <c r="P336" i="4"/>
  <c r="P328" i="4"/>
  <c r="P320" i="4"/>
  <c r="P312" i="4"/>
  <c r="P304" i="4"/>
  <c r="P296" i="4"/>
  <c r="P288" i="4"/>
  <c r="P280" i="4"/>
  <c r="P272" i="4"/>
  <c r="P264" i="4"/>
  <c r="P256" i="4"/>
  <c r="P248" i="4"/>
  <c r="P240" i="4"/>
  <c r="P232" i="4"/>
  <c r="P224" i="4"/>
  <c r="S216" i="4"/>
  <c r="S208" i="4"/>
  <c r="S200" i="4"/>
  <c r="S192" i="4"/>
  <c r="S184" i="4"/>
  <c r="S176" i="4"/>
  <c r="S168" i="4"/>
  <c r="S160" i="4"/>
  <c r="S152" i="4"/>
  <c r="S144" i="4"/>
  <c r="S136" i="4"/>
  <c r="S128" i="4"/>
  <c r="S120" i="4"/>
  <c r="S112" i="4"/>
  <c r="S104" i="4"/>
  <c r="S96" i="4"/>
  <c r="S88" i="4"/>
  <c r="S80" i="4"/>
  <c r="S72" i="4"/>
  <c r="S64" i="4"/>
  <c r="S56" i="4"/>
  <c r="S48" i="4"/>
  <c r="S40" i="4"/>
  <c r="S32" i="4"/>
  <c r="S24" i="4"/>
  <c r="S16" i="4"/>
  <c r="S8" i="4"/>
  <c r="S150" i="3"/>
  <c r="S142" i="3"/>
  <c r="S134" i="3"/>
  <c r="S126" i="3"/>
  <c r="S118" i="3"/>
  <c r="I110" i="3"/>
  <c r="I102" i="3"/>
  <c r="I94" i="3"/>
  <c r="R1043" i="4"/>
  <c r="R1032" i="4"/>
  <c r="S1021" i="4"/>
  <c r="P1011" i="4"/>
  <c r="R1000" i="4"/>
  <c r="S989" i="4"/>
  <c r="P979" i="4"/>
  <c r="R968" i="4"/>
  <c r="S957" i="4"/>
  <c r="P947" i="4"/>
  <c r="R936" i="4"/>
  <c r="S925" i="4"/>
  <c r="P915" i="4"/>
  <c r="R904" i="4"/>
  <c r="S893" i="4"/>
  <c r="P883" i="4"/>
  <c r="R872" i="4"/>
  <c r="S861" i="4"/>
  <c r="P851" i="4"/>
  <c r="R840" i="4"/>
  <c r="S829" i="4"/>
  <c r="P819" i="4"/>
  <c r="R808" i="4"/>
  <c r="S797" i="4"/>
  <c r="P787" i="4"/>
  <c r="R776" i="4"/>
  <c r="S765" i="4"/>
  <c r="P755" i="4"/>
  <c r="R744" i="4"/>
  <c r="S733" i="4"/>
  <c r="P723" i="4"/>
  <c r="R712" i="4"/>
  <c r="O701" i="4"/>
  <c r="O685" i="4"/>
  <c r="O669" i="4"/>
  <c r="O653" i="4"/>
  <c r="O637" i="4"/>
  <c r="O621" i="4"/>
  <c r="O605" i="4"/>
  <c r="O589" i="4"/>
  <c r="O573" i="4"/>
  <c r="O557" i="4"/>
  <c r="O541" i="4"/>
  <c r="O525" i="4"/>
  <c r="O509" i="4"/>
  <c r="O493" i="4"/>
  <c r="O477" i="4"/>
  <c r="O461" i="4"/>
  <c r="O445" i="4"/>
  <c r="O429" i="4"/>
  <c r="O413" i="4"/>
  <c r="O397" i="4"/>
  <c r="O381" i="4"/>
  <c r="O365" i="4"/>
  <c r="O349" i="4"/>
  <c r="O333" i="4"/>
  <c r="O317" i="4"/>
  <c r="O301" i="4"/>
  <c r="O285" i="4"/>
  <c r="O269" i="4"/>
  <c r="O253" i="4"/>
  <c r="O237" i="4"/>
  <c r="O221" i="4"/>
  <c r="R211" i="4"/>
  <c r="R203" i="4"/>
  <c r="R195" i="4"/>
  <c r="R187" i="4"/>
  <c r="R179" i="4"/>
  <c r="R171" i="4"/>
  <c r="R163" i="4"/>
  <c r="R155" i="4"/>
  <c r="R147" i="4"/>
  <c r="R139" i="4"/>
  <c r="R131" i="4"/>
  <c r="R123" i="4"/>
  <c r="R115" i="4"/>
  <c r="R107" i="4"/>
  <c r="R99" i="4"/>
  <c r="R91" i="4"/>
  <c r="R83" i="4"/>
  <c r="R75" i="4"/>
  <c r="R67" i="4"/>
  <c r="R59" i="4"/>
  <c r="R51" i="4"/>
  <c r="R43" i="4"/>
  <c r="R35" i="4"/>
  <c r="R27" i="4"/>
  <c r="R19" i="4"/>
  <c r="R11" i="4"/>
  <c r="R3" i="4"/>
  <c r="R145" i="3"/>
  <c r="R137" i="3"/>
  <c r="R129" i="3"/>
  <c r="R121" i="3"/>
  <c r="R113" i="3"/>
  <c r="O100" i="3"/>
  <c r="O84" i="3"/>
  <c r="O68" i="3"/>
  <c r="O52" i="3"/>
  <c r="O36" i="3"/>
  <c r="O20" i="3"/>
  <c r="O4" i="3"/>
  <c r="O88" i="2"/>
  <c r="O72" i="2"/>
  <c r="O56" i="2"/>
  <c r="L96" i="3"/>
  <c r="L78" i="3"/>
  <c r="L62" i="3"/>
  <c r="L46" i="3"/>
  <c r="L32" i="3"/>
  <c r="I22" i="3"/>
  <c r="J11" i="3"/>
  <c r="L100" i="2"/>
  <c r="I90" i="2"/>
  <c r="J79" i="2"/>
  <c r="L68" i="2"/>
  <c r="I58" i="2"/>
  <c r="J47" i="2"/>
  <c r="I38" i="2"/>
  <c r="I30" i="2"/>
  <c r="I22" i="2"/>
  <c r="I14" i="2"/>
  <c r="I6" i="2"/>
  <c r="P1639" i="4"/>
  <c r="O1595" i="4"/>
  <c r="O1531" i="4"/>
  <c r="O1467" i="4"/>
  <c r="O1402" i="4"/>
  <c r="O1338" i="4"/>
  <c r="O1274" i="4"/>
  <c r="O1210" i="4"/>
  <c r="O1146" i="4"/>
  <c r="O1082" i="4"/>
  <c r="O1018" i="4"/>
  <c r="O954" i="4"/>
  <c r="O890" i="4"/>
  <c r="O826" i="4"/>
  <c r="O762" i="4"/>
  <c r="S1049" i="4"/>
  <c r="J1034" i="4"/>
  <c r="L1023" i="4"/>
  <c r="I1013" i="4"/>
  <c r="J1002" i="4"/>
  <c r="L991" i="4"/>
  <c r="I981" i="4"/>
  <c r="J970" i="4"/>
  <c r="L959" i="4"/>
  <c r="I949" i="4"/>
  <c r="J938" i="4"/>
  <c r="L927" i="4"/>
  <c r="I917" i="4"/>
  <c r="J906" i="4"/>
  <c r="L895" i="4"/>
  <c r="I885" i="4"/>
  <c r="J874" i="4"/>
  <c r="L863" i="4"/>
  <c r="I853" i="4"/>
  <c r="J842" i="4"/>
  <c r="L831" i="4"/>
  <c r="I821" i="4"/>
  <c r="J810" i="4"/>
  <c r="L799" i="4"/>
  <c r="I789" i="4"/>
  <c r="J778" i="4"/>
  <c r="L767" i="4"/>
  <c r="I757" i="4"/>
  <c r="J746" i="4"/>
  <c r="L735" i="4"/>
  <c r="I725" i="4"/>
  <c r="J714" i="4"/>
  <c r="L703" i="4"/>
  <c r="L695" i="4"/>
  <c r="L687" i="4"/>
  <c r="L679" i="4"/>
  <c r="L671" i="4"/>
  <c r="L663" i="4"/>
  <c r="L655" i="4"/>
  <c r="L647" i="4"/>
  <c r="L639" i="4"/>
  <c r="L631" i="4"/>
  <c r="L623" i="4"/>
  <c r="L615" i="4"/>
  <c r="L607" i="4"/>
  <c r="L599" i="4"/>
  <c r="L591" i="4"/>
  <c r="L583" i="4"/>
  <c r="L575" i="4"/>
  <c r="L567" i="4"/>
  <c r="L559" i="4"/>
  <c r="L551" i="4"/>
  <c r="L543" i="4"/>
  <c r="L535" i="4"/>
  <c r="L527" i="4"/>
  <c r="L519" i="4"/>
  <c r="L511" i="4"/>
  <c r="L503" i="4"/>
  <c r="L495" i="4"/>
  <c r="L487" i="4"/>
  <c r="L479" i="4"/>
  <c r="L471" i="4"/>
  <c r="L463" i="4"/>
  <c r="L455" i="4"/>
  <c r="L447" i="4"/>
  <c r="L439" i="4"/>
  <c r="L431" i="4"/>
  <c r="L423" i="4"/>
  <c r="L415" i="4"/>
  <c r="L407" i="4"/>
  <c r="L399" i="4"/>
  <c r="L391" i="4"/>
  <c r="L383" i="4"/>
  <c r="L375" i="4"/>
  <c r="L367" i="4"/>
  <c r="L359" i="4"/>
  <c r="L351" i="4"/>
  <c r="L343" i="4"/>
  <c r="L335" i="4"/>
  <c r="L327" i="4"/>
  <c r="L319" i="4"/>
  <c r="L311" i="4"/>
  <c r="L303" i="4"/>
  <c r="L295" i="4"/>
  <c r="L287" i="4"/>
  <c r="L279" i="4"/>
  <c r="L271" i="4"/>
  <c r="L263" i="4"/>
  <c r="L255" i="4"/>
  <c r="L247" i="4"/>
  <c r="L239" i="4"/>
  <c r="L231" i="4"/>
  <c r="L223" i="4"/>
  <c r="P214" i="4"/>
  <c r="P206" i="4"/>
  <c r="P198" i="4"/>
  <c r="P190" i="4"/>
  <c r="P182" i="4"/>
  <c r="P174" i="4"/>
  <c r="P166" i="4"/>
  <c r="P158" i="4"/>
  <c r="P150" i="4"/>
  <c r="P142" i="4"/>
  <c r="P134" i="4"/>
  <c r="P126" i="4"/>
  <c r="P118" i="4"/>
  <c r="P110" i="4"/>
  <c r="P102" i="4"/>
  <c r="P94" i="4"/>
  <c r="P86" i="4"/>
  <c r="P78" i="4"/>
  <c r="P70" i="4"/>
  <c r="P62" i="4"/>
  <c r="P54" i="4"/>
  <c r="P46" i="4"/>
  <c r="P38" i="4"/>
  <c r="P30" i="4"/>
  <c r="P22" i="4"/>
  <c r="P14" i="4"/>
  <c r="P6" i="4"/>
  <c r="P148" i="3"/>
  <c r="P140" i="3"/>
  <c r="P132" i="3"/>
  <c r="P124" i="3"/>
  <c r="P116" i="3"/>
  <c r="S108" i="3"/>
  <c r="S100" i="3"/>
  <c r="I1042" i="4"/>
  <c r="J1031" i="4"/>
  <c r="L1020" i="4"/>
  <c r="I1010" i="4"/>
  <c r="J999" i="4"/>
  <c r="L988" i="4"/>
  <c r="I978" i="4"/>
  <c r="J967" i="4"/>
  <c r="L956" i="4"/>
  <c r="I946" i="4"/>
  <c r="J935" i="4"/>
  <c r="L924" i="4"/>
  <c r="I914" i="4"/>
  <c r="J903" i="4"/>
  <c r="L892" i="4"/>
  <c r="I882" i="4"/>
  <c r="J871" i="4"/>
  <c r="L860" i="4"/>
  <c r="I850" i="4"/>
  <c r="J839" i="4"/>
  <c r="L828" i="4"/>
  <c r="I818" i="4"/>
  <c r="J807" i="4"/>
  <c r="L796" i="4"/>
  <c r="I786" i="4"/>
  <c r="J775" i="4"/>
  <c r="L764" i="4"/>
  <c r="I754" i="4"/>
  <c r="J743" i="4"/>
  <c r="L732" i="4"/>
  <c r="I722" i="4"/>
  <c r="J711" i="4"/>
  <c r="J701" i="4"/>
  <c r="J693" i="4"/>
  <c r="J685" i="4"/>
  <c r="J677" i="4"/>
  <c r="J669" i="4"/>
  <c r="J661" i="4"/>
  <c r="J653" i="4"/>
  <c r="J645" i="4"/>
  <c r="J637" i="4"/>
  <c r="J629" i="4"/>
  <c r="J621" i="4"/>
  <c r="J613" i="4"/>
  <c r="J605" i="4"/>
  <c r="J597" i="4"/>
  <c r="J589" i="4"/>
  <c r="J581" i="4"/>
  <c r="J573" i="4"/>
  <c r="J565" i="4"/>
  <c r="J557" i="4"/>
  <c r="J549" i="4"/>
  <c r="J541" i="4"/>
  <c r="J533" i="4"/>
  <c r="J525" i="4"/>
  <c r="J517" i="4"/>
  <c r="J509" i="4"/>
  <c r="J501" i="4"/>
  <c r="J493" i="4"/>
  <c r="J485" i="4"/>
  <c r="J477" i="4"/>
  <c r="J469" i="4"/>
  <c r="J461" i="4"/>
  <c r="J453" i="4"/>
  <c r="J445" i="4"/>
  <c r="J437" i="4"/>
  <c r="J429" i="4"/>
  <c r="J421" i="4"/>
  <c r="J413" i="4"/>
  <c r="J405" i="4"/>
  <c r="J397" i="4"/>
  <c r="J389" i="4"/>
  <c r="J381" i="4"/>
  <c r="J373" i="4"/>
  <c r="J365" i="4"/>
  <c r="J357" i="4"/>
  <c r="J349" i="4"/>
  <c r="J341" i="4"/>
  <c r="J333" i="4"/>
  <c r="J325" i="4"/>
  <c r="J317" i="4"/>
  <c r="J309" i="4"/>
  <c r="J301" i="4"/>
  <c r="J293" i="4"/>
  <c r="J285" i="4"/>
  <c r="J277" i="4"/>
  <c r="J269" i="4"/>
  <c r="J261" i="4"/>
  <c r="J253" i="4"/>
  <c r="J245" i="4"/>
  <c r="J237" i="4"/>
  <c r="J229" i="4"/>
  <c r="J221" i="4"/>
  <c r="O209" i="4"/>
  <c r="O193" i="4"/>
  <c r="O177" i="4"/>
  <c r="O161" i="4"/>
  <c r="O145" i="4"/>
  <c r="O129" i="4"/>
  <c r="O113" i="4"/>
  <c r="O97" i="4"/>
  <c r="O81" i="4"/>
  <c r="O65" i="4"/>
  <c r="O49" i="4"/>
  <c r="O33" i="4"/>
  <c r="O17" i="4"/>
  <c r="O151" i="3"/>
  <c r="O135" i="3"/>
  <c r="O119" i="3"/>
  <c r="R107" i="3"/>
  <c r="R99" i="3"/>
  <c r="R91" i="3"/>
  <c r="R83" i="3"/>
  <c r="R75" i="3"/>
  <c r="R67" i="3"/>
  <c r="R59" i="3"/>
  <c r="R51" i="3"/>
  <c r="R43" i="3"/>
  <c r="J1050" i="4"/>
  <c r="L1037" i="4"/>
  <c r="I1027" i="4"/>
  <c r="J1016" i="4"/>
  <c r="L1005" i="4"/>
  <c r="I995" i="4"/>
  <c r="J984" i="4"/>
  <c r="L973" i="4"/>
  <c r="I963" i="4"/>
  <c r="J952" i="4"/>
  <c r="L941" i="4"/>
  <c r="I931" i="4"/>
  <c r="J920" i="4"/>
  <c r="L909" i="4"/>
  <c r="I899" i="4"/>
  <c r="J888" i="4"/>
  <c r="L877" i="4"/>
  <c r="I867" i="4"/>
  <c r="J856" i="4"/>
  <c r="L845" i="4"/>
  <c r="I835" i="4"/>
  <c r="J824" i="4"/>
  <c r="L813" i="4"/>
  <c r="I803" i="4"/>
  <c r="J792" i="4"/>
  <c r="L781" i="4"/>
  <c r="I771" i="4"/>
  <c r="J760" i="4"/>
  <c r="L749" i="4"/>
  <c r="I739" i="4"/>
  <c r="J728" i="4"/>
  <c r="L717" i="4"/>
  <c r="I707" i="4"/>
  <c r="I698" i="4"/>
  <c r="I690" i="4"/>
  <c r="I682" i="4"/>
  <c r="I674" i="4"/>
  <c r="I666" i="4"/>
  <c r="I658" i="4"/>
  <c r="I650" i="4"/>
  <c r="I642" i="4"/>
  <c r="I634" i="4"/>
  <c r="I626" i="4"/>
  <c r="I618" i="4"/>
  <c r="I610" i="4"/>
  <c r="I602" i="4"/>
  <c r="I594" i="4"/>
  <c r="I586" i="4"/>
  <c r="I578" i="4"/>
  <c r="I570" i="4"/>
  <c r="I562" i="4"/>
  <c r="I554" i="4"/>
  <c r="I546" i="4"/>
  <c r="I538" i="4"/>
  <c r="I530" i="4"/>
  <c r="I522" i="4"/>
  <c r="I514" i="4"/>
  <c r="I506" i="4"/>
  <c r="I498" i="4"/>
  <c r="I490" i="4"/>
  <c r="I482" i="4"/>
  <c r="I474" i="4"/>
  <c r="I466" i="4"/>
  <c r="I458" i="4"/>
  <c r="I450" i="4"/>
  <c r="I442" i="4"/>
  <c r="I434" i="4"/>
  <c r="I426" i="4"/>
  <c r="I418" i="4"/>
  <c r="I410" i="4"/>
  <c r="I402" i="4"/>
  <c r="I394" i="4"/>
  <c r="I386" i="4"/>
  <c r="I378" i="4"/>
  <c r="I370" i="4"/>
  <c r="I362" i="4"/>
  <c r="I354" i="4"/>
  <c r="I346" i="4"/>
  <c r="I338" i="4"/>
  <c r="I330" i="4"/>
  <c r="I322" i="4"/>
  <c r="I314" i="4"/>
  <c r="I306" i="4"/>
  <c r="I298" i="4"/>
  <c r="I290" i="4"/>
  <c r="I282" i="4"/>
  <c r="I274" i="4"/>
  <c r="I266" i="4"/>
  <c r="I258" i="4"/>
  <c r="I250" i="4"/>
  <c r="I242" i="4"/>
  <c r="I234" i="4"/>
  <c r="I226" i="4"/>
  <c r="I218" i="4"/>
  <c r="L210" i="4"/>
  <c r="L202" i="4"/>
  <c r="L194" i="4"/>
  <c r="L186" i="4"/>
  <c r="L178" i="4"/>
  <c r="L170" i="4"/>
  <c r="L162" i="4"/>
  <c r="L154" i="4"/>
  <c r="L146" i="4"/>
  <c r="L138" i="4"/>
  <c r="L130" i="4"/>
  <c r="L122" i="4"/>
  <c r="L114" i="4"/>
  <c r="L106" i="4"/>
  <c r="L98" i="4"/>
  <c r="L90" i="4"/>
  <c r="L82" i="4"/>
  <c r="L74" i="4"/>
  <c r="L66" i="4"/>
  <c r="L58" i="4"/>
  <c r="L50" i="4"/>
  <c r="L42" i="4"/>
  <c r="L34" i="4"/>
  <c r="L26" i="4"/>
  <c r="L18" i="4"/>
  <c r="L10" i="4"/>
  <c r="L2" i="4"/>
  <c r="L144" i="3"/>
  <c r="L136" i="3"/>
  <c r="L128" i="3"/>
  <c r="L120" i="3"/>
  <c r="L112" i="3"/>
  <c r="P103" i="3"/>
  <c r="P95" i="3"/>
  <c r="S1046" i="4"/>
  <c r="L1034" i="4"/>
  <c r="I1024" i="4"/>
  <c r="J1013" i="4"/>
  <c r="L1002" i="4"/>
  <c r="I992" i="4"/>
  <c r="J981" i="4"/>
  <c r="L970" i="4"/>
  <c r="I960" i="4"/>
  <c r="J949" i="4"/>
  <c r="L938" i="4"/>
  <c r="I928" i="4"/>
  <c r="J917" i="4"/>
  <c r="L906" i="4"/>
  <c r="I896" i="4"/>
  <c r="J885" i="4"/>
  <c r="L874" i="4"/>
  <c r="I864" i="4"/>
  <c r="J853" i="4"/>
  <c r="L842" i="4"/>
  <c r="I832" i="4"/>
  <c r="J821" i="4"/>
  <c r="L810" i="4"/>
  <c r="I800" i="4"/>
  <c r="J789" i="4"/>
  <c r="L778" i="4"/>
  <c r="I768" i="4"/>
  <c r="J757" i="4"/>
  <c r="L746" i="4"/>
  <c r="I736" i="4"/>
  <c r="J725" i="4"/>
  <c r="L714" i="4"/>
  <c r="I704" i="4"/>
  <c r="O688" i="4"/>
  <c r="O672" i="4"/>
  <c r="O656" i="4"/>
  <c r="O640" i="4"/>
  <c r="O624" i="4"/>
  <c r="O608" i="4"/>
  <c r="O592" i="4"/>
  <c r="O576" i="4"/>
  <c r="O560" i="4"/>
  <c r="O544" i="4"/>
  <c r="O528" i="4"/>
  <c r="O512" i="4"/>
  <c r="O496" i="4"/>
  <c r="O480" i="4"/>
  <c r="O464" i="4"/>
  <c r="O448" i="4"/>
  <c r="O432" i="4"/>
  <c r="O416" i="4"/>
  <c r="O400" i="4"/>
  <c r="O384" i="4"/>
  <c r="O368" i="4"/>
  <c r="O352" i="4"/>
  <c r="O336" i="4"/>
  <c r="O320" i="4"/>
  <c r="O304" i="4"/>
  <c r="O288" i="4"/>
  <c r="O272" i="4"/>
  <c r="O256" i="4"/>
  <c r="O240" i="4"/>
  <c r="O224" i="4"/>
  <c r="J213" i="4"/>
  <c r="J205" i="4"/>
  <c r="J197" i="4"/>
  <c r="J189" i="4"/>
  <c r="J181" i="4"/>
  <c r="J173" i="4"/>
  <c r="J165" i="4"/>
  <c r="J157" i="4"/>
  <c r="J149" i="4"/>
  <c r="J141" i="4"/>
  <c r="J133" i="4"/>
  <c r="J125" i="4"/>
  <c r="J117" i="4"/>
  <c r="J109" i="4"/>
  <c r="J101" i="4"/>
  <c r="J93" i="4"/>
  <c r="J85" i="4"/>
  <c r="J77" i="4"/>
  <c r="J69" i="4"/>
  <c r="J61" i="4"/>
  <c r="J53" i="4"/>
  <c r="J45" i="4"/>
  <c r="J37" i="4"/>
  <c r="J29" i="4"/>
  <c r="J21" i="4"/>
  <c r="J13" i="4"/>
  <c r="J5" i="4"/>
  <c r="J147" i="3"/>
  <c r="J139" i="3"/>
  <c r="J131" i="3"/>
  <c r="J123" i="3"/>
  <c r="J115" i="3"/>
  <c r="O103" i="3"/>
  <c r="O87" i="3"/>
  <c r="O71" i="3"/>
  <c r="O55" i="3"/>
  <c r="O39" i="3"/>
  <c r="O23" i="3"/>
  <c r="O7" i="3"/>
  <c r="O91" i="2"/>
  <c r="O75" i="2"/>
  <c r="O59" i="2"/>
  <c r="O43" i="2"/>
  <c r="P81" i="3"/>
  <c r="P65" i="3"/>
  <c r="P49" i="3"/>
  <c r="R34" i="3"/>
  <c r="S23" i="3"/>
  <c r="P13" i="3"/>
  <c r="R2" i="3"/>
  <c r="S91" i="2"/>
  <c r="P81" i="2"/>
  <c r="R70" i="2"/>
  <c r="S59" i="2"/>
  <c r="P49" i="2"/>
  <c r="P39" i="2"/>
  <c r="P31" i="2"/>
  <c r="P23" i="2"/>
  <c r="P15" i="2"/>
  <c r="P7" i="2"/>
  <c r="I14" i="1"/>
  <c r="S1625" i="4"/>
  <c r="O1575" i="4"/>
  <c r="O1511" i="4"/>
  <c r="O1447" i="4"/>
  <c r="O1382" i="4"/>
  <c r="O1318" i="4"/>
  <c r="O1254" i="4"/>
  <c r="O1190" i="4"/>
  <c r="O1126" i="4"/>
  <c r="O1062" i="4"/>
  <c r="O998" i="4"/>
  <c r="O934" i="4"/>
  <c r="O870" i="4"/>
  <c r="O806" i="4"/>
  <c r="O742" i="4"/>
  <c r="R1041" i="4"/>
  <c r="S1030" i="4"/>
  <c r="P1020" i="4"/>
  <c r="R1009" i="4"/>
  <c r="S998" i="4"/>
  <c r="P988" i="4"/>
  <c r="R977" i="4"/>
  <c r="S966" i="4"/>
  <c r="P956" i="4"/>
  <c r="R945" i="4"/>
  <c r="S934" i="4"/>
  <c r="P924" i="4"/>
  <c r="R913" i="4"/>
  <c r="S902" i="4"/>
  <c r="P892" i="4"/>
  <c r="R881" i="4"/>
  <c r="S870" i="4"/>
  <c r="P860" i="4"/>
  <c r="R849" i="4"/>
  <c r="S838" i="4"/>
  <c r="P828" i="4"/>
  <c r="R817" i="4"/>
  <c r="S806" i="4"/>
  <c r="P796" i="4"/>
  <c r="R785" i="4"/>
  <c r="S774" i="4"/>
  <c r="P764" i="4"/>
  <c r="R753" i="4"/>
  <c r="S742" i="4"/>
  <c r="P732" i="4"/>
  <c r="R721" i="4"/>
  <c r="S710" i="4"/>
  <c r="S700" i="4"/>
  <c r="S692" i="4"/>
  <c r="S684" i="4"/>
  <c r="S676" i="4"/>
  <c r="S668" i="4"/>
  <c r="S660" i="4"/>
  <c r="S652" i="4"/>
  <c r="S644" i="4"/>
  <c r="S636" i="4"/>
  <c r="S628" i="4"/>
  <c r="S620" i="4"/>
  <c r="S612" i="4"/>
  <c r="S604" i="4"/>
  <c r="S596" i="4"/>
  <c r="S588" i="4"/>
  <c r="S580" i="4"/>
  <c r="S572" i="4"/>
  <c r="S564" i="4"/>
  <c r="S556" i="4"/>
  <c r="S548" i="4"/>
  <c r="S540" i="4"/>
  <c r="S532" i="4"/>
  <c r="S524" i="4"/>
  <c r="S516" i="4"/>
  <c r="S508" i="4"/>
  <c r="S500" i="4"/>
  <c r="S492" i="4"/>
  <c r="S484" i="4"/>
  <c r="S476" i="4"/>
  <c r="S468" i="4"/>
  <c r="S460" i="4"/>
  <c r="S452" i="4"/>
  <c r="S444" i="4"/>
  <c r="S436" i="4"/>
  <c r="S428" i="4"/>
  <c r="S420" i="4"/>
  <c r="S412" i="4"/>
  <c r="S404" i="4"/>
  <c r="S396" i="4"/>
  <c r="S388" i="4"/>
  <c r="S380" i="4"/>
  <c r="S372" i="4"/>
  <c r="S364" i="4"/>
  <c r="S356" i="4"/>
  <c r="S348" i="4"/>
  <c r="S340" i="4"/>
  <c r="S332" i="4"/>
  <c r="S324" i="4"/>
  <c r="S316" i="4"/>
  <c r="S308" i="4"/>
  <c r="S300" i="4"/>
  <c r="S292" i="4"/>
  <c r="S284" i="4"/>
  <c r="S276" i="4"/>
  <c r="S268" i="4"/>
  <c r="S260" i="4"/>
  <c r="S252" i="4"/>
  <c r="S244" i="4"/>
  <c r="S236" i="4"/>
  <c r="S228" i="4"/>
  <c r="S220" i="4"/>
  <c r="I212" i="4"/>
  <c r="I204" i="4"/>
  <c r="I196" i="4"/>
  <c r="I188" i="4"/>
  <c r="I180" i="4"/>
  <c r="I172" i="4"/>
  <c r="I164" i="4"/>
  <c r="I156" i="4"/>
  <c r="I148" i="4"/>
  <c r="I140" i="4"/>
  <c r="I132" i="4"/>
  <c r="I124" i="4"/>
  <c r="I116" i="4"/>
  <c r="I108" i="4"/>
  <c r="I100" i="4"/>
  <c r="I92" i="4"/>
  <c r="I84" i="4"/>
  <c r="I76" i="4"/>
  <c r="I68" i="4"/>
  <c r="I60" i="4"/>
  <c r="I52" i="4"/>
  <c r="I44" i="4"/>
  <c r="I36" i="4"/>
  <c r="I28" i="4"/>
  <c r="I20" i="4"/>
  <c r="I12" i="4"/>
  <c r="I4" i="4"/>
  <c r="I146" i="3"/>
  <c r="I138" i="3"/>
  <c r="I130" i="3"/>
  <c r="I122" i="3"/>
  <c r="I114" i="3"/>
  <c r="L106" i="3"/>
  <c r="S1052" i="4"/>
  <c r="R1038" i="4"/>
  <c r="S1027" i="4"/>
  <c r="P1017" i="4"/>
  <c r="R1006" i="4"/>
  <c r="S995" i="4"/>
  <c r="P985" i="4"/>
  <c r="R974" i="4"/>
  <c r="S963" i="4"/>
  <c r="P953" i="4"/>
  <c r="R942" i="4"/>
  <c r="S931" i="4"/>
  <c r="P921" i="4"/>
  <c r="R910" i="4"/>
  <c r="S899" i="4"/>
  <c r="P889" i="4"/>
  <c r="R878" i="4"/>
  <c r="S867" i="4"/>
  <c r="P857" i="4"/>
  <c r="R846" i="4"/>
  <c r="S835" i="4"/>
  <c r="P825" i="4"/>
  <c r="R814" i="4"/>
  <c r="S803" i="4"/>
  <c r="P793" i="4"/>
  <c r="R782" i="4"/>
  <c r="S771" i="4"/>
  <c r="P761" i="4"/>
  <c r="R750" i="4"/>
  <c r="S739" i="4"/>
  <c r="P729" i="4"/>
  <c r="R718" i="4"/>
  <c r="S707" i="4"/>
  <c r="R698" i="4"/>
  <c r="R690" i="4"/>
  <c r="R682" i="4"/>
  <c r="R674" i="4"/>
  <c r="R666" i="4"/>
  <c r="R658" i="4"/>
  <c r="R650" i="4"/>
  <c r="R642" i="4"/>
  <c r="R634" i="4"/>
  <c r="R626" i="4"/>
  <c r="R618" i="4"/>
  <c r="R610" i="4"/>
  <c r="R602" i="4"/>
  <c r="R594" i="4"/>
  <c r="R586" i="4"/>
  <c r="R578" i="4"/>
  <c r="R570" i="4"/>
  <c r="R562" i="4"/>
  <c r="R554" i="4"/>
  <c r="R546" i="4"/>
  <c r="R538" i="4"/>
  <c r="R530" i="4"/>
  <c r="R522" i="4"/>
  <c r="R514" i="4"/>
  <c r="R506" i="4"/>
  <c r="R498" i="4"/>
  <c r="R490" i="4"/>
  <c r="R482" i="4"/>
  <c r="R474" i="4"/>
  <c r="R466" i="4"/>
  <c r="R458" i="4"/>
  <c r="R450" i="4"/>
  <c r="R442" i="4"/>
  <c r="R434" i="4"/>
  <c r="R426" i="4"/>
  <c r="R418" i="4"/>
  <c r="R410" i="4"/>
  <c r="R402" i="4"/>
  <c r="R394" i="4"/>
  <c r="R386" i="4"/>
  <c r="R378" i="4"/>
  <c r="R370" i="4"/>
  <c r="R362" i="4"/>
  <c r="R354" i="4"/>
  <c r="R346" i="4"/>
  <c r="R338" i="4"/>
  <c r="R330" i="4"/>
  <c r="R322" i="4"/>
  <c r="R314" i="4"/>
  <c r="R306" i="4"/>
  <c r="R298" i="4"/>
  <c r="R290" i="4"/>
  <c r="R282" i="4"/>
  <c r="R274" i="4"/>
  <c r="R266" i="4"/>
  <c r="R258" i="4"/>
  <c r="R250" i="4"/>
  <c r="R242" i="4"/>
  <c r="R234" i="4"/>
  <c r="R226" i="4"/>
  <c r="R218" i="4"/>
  <c r="O204" i="4"/>
  <c r="O188" i="4"/>
  <c r="O172" i="4"/>
  <c r="O156" i="4"/>
  <c r="O140" i="4"/>
  <c r="O124" i="4"/>
  <c r="O108" i="4"/>
  <c r="O92" i="4"/>
  <c r="O76" i="4"/>
  <c r="O60" i="4"/>
  <c r="O44" i="4"/>
  <c r="O28" i="4"/>
  <c r="O12" i="4"/>
  <c r="O146" i="3"/>
  <c r="O130" i="3"/>
  <c r="O114" i="3"/>
  <c r="J105" i="3"/>
  <c r="J97" i="3"/>
  <c r="J89" i="3"/>
  <c r="J81" i="3"/>
  <c r="J73" i="3"/>
  <c r="J65" i="3"/>
  <c r="J57" i="3"/>
  <c r="J49" i="3"/>
  <c r="J41" i="3"/>
  <c r="L1045" i="4"/>
  <c r="P1034" i="4"/>
  <c r="R1023" i="4"/>
  <c r="S1012" i="4"/>
  <c r="P1002" i="4"/>
  <c r="R991" i="4"/>
  <c r="S980" i="4"/>
  <c r="P970" i="4"/>
  <c r="R959" i="4"/>
  <c r="S948" i="4"/>
  <c r="P938" i="4"/>
  <c r="R927" i="4"/>
  <c r="S916" i="4"/>
  <c r="P906" i="4"/>
  <c r="R895" i="4"/>
  <c r="S884" i="4"/>
  <c r="P874" i="4"/>
  <c r="R863" i="4"/>
  <c r="S852" i="4"/>
  <c r="P842" i="4"/>
  <c r="R831" i="4"/>
  <c r="S820" i="4"/>
  <c r="P810" i="4"/>
  <c r="R799" i="4"/>
  <c r="S788" i="4"/>
  <c r="P778" i="4"/>
  <c r="R767" i="4"/>
  <c r="S756" i="4"/>
  <c r="P746" i="4"/>
  <c r="R735" i="4"/>
  <c r="S724" i="4"/>
  <c r="P714" i="4"/>
  <c r="R703" i="4"/>
  <c r="P695" i="4"/>
  <c r="P687" i="4"/>
  <c r="P679" i="4"/>
  <c r="P671" i="4"/>
  <c r="P663" i="4"/>
  <c r="P655" i="4"/>
  <c r="P647" i="4"/>
  <c r="P639" i="4"/>
  <c r="P631" i="4"/>
  <c r="P623" i="4"/>
  <c r="P615" i="4"/>
  <c r="P607" i="4"/>
  <c r="P599" i="4"/>
  <c r="P591" i="4"/>
  <c r="P583" i="4"/>
  <c r="P575" i="4"/>
  <c r="P567" i="4"/>
  <c r="P559" i="4"/>
  <c r="P551" i="4"/>
  <c r="P543" i="4"/>
  <c r="P535" i="4"/>
  <c r="P527" i="4"/>
  <c r="P519" i="4"/>
  <c r="P511" i="4"/>
  <c r="P503" i="4"/>
  <c r="P495" i="4"/>
  <c r="P487" i="4"/>
  <c r="P479" i="4"/>
  <c r="P471" i="4"/>
  <c r="P463" i="4"/>
  <c r="P455" i="4"/>
  <c r="P447" i="4"/>
  <c r="P439" i="4"/>
  <c r="P431" i="4"/>
  <c r="P423" i="4"/>
  <c r="P415" i="4"/>
  <c r="P407" i="4"/>
  <c r="P399" i="4"/>
  <c r="P391" i="4"/>
  <c r="P383" i="4"/>
  <c r="P375" i="4"/>
  <c r="P367" i="4"/>
  <c r="P359" i="4"/>
  <c r="P351" i="4"/>
  <c r="P343" i="4"/>
  <c r="P335" i="4"/>
  <c r="P327" i="4"/>
  <c r="P319" i="4"/>
  <c r="P311" i="4"/>
  <c r="P303" i="4"/>
  <c r="P295" i="4"/>
  <c r="P287" i="4"/>
  <c r="P279" i="4"/>
  <c r="P271" i="4"/>
  <c r="P263" i="4"/>
  <c r="P255" i="4"/>
  <c r="P247" i="4"/>
  <c r="P239" i="4"/>
  <c r="P231" i="4"/>
  <c r="P223" i="4"/>
  <c r="S215" i="4"/>
  <c r="S207" i="4"/>
  <c r="S199" i="4"/>
  <c r="S191" i="4"/>
  <c r="S183" i="4"/>
  <c r="S175" i="4"/>
  <c r="S167" i="4"/>
  <c r="S159" i="4"/>
  <c r="S151" i="4"/>
  <c r="S143" i="4"/>
  <c r="S135" i="4"/>
  <c r="S127" i="4"/>
  <c r="S119" i="4"/>
  <c r="S111" i="4"/>
  <c r="S103" i="4"/>
  <c r="S95" i="4"/>
  <c r="S87" i="4"/>
  <c r="S79" i="4"/>
  <c r="S71" i="4"/>
  <c r="S63" i="4"/>
  <c r="S55" i="4"/>
  <c r="S47" i="4"/>
  <c r="S39" i="4"/>
  <c r="S31" i="4"/>
  <c r="S23" i="4"/>
  <c r="S15" i="4"/>
  <c r="S7" i="4"/>
  <c r="S149" i="3"/>
  <c r="S141" i="3"/>
  <c r="S133" i="3"/>
  <c r="S125" i="3"/>
  <c r="S117" i="3"/>
  <c r="I109" i="3"/>
  <c r="I101" i="3"/>
  <c r="I93" i="3"/>
  <c r="S1041" i="4"/>
  <c r="P1031" i="4"/>
  <c r="R1020" i="4"/>
  <c r="S1009" i="4"/>
  <c r="P999" i="4"/>
  <c r="R988" i="4"/>
  <c r="S977" i="4"/>
  <c r="P967" i="4"/>
  <c r="R956" i="4"/>
  <c r="S945" i="4"/>
  <c r="P935" i="4"/>
  <c r="R924" i="4"/>
  <c r="S913" i="4"/>
  <c r="P903" i="4"/>
  <c r="R892" i="4"/>
  <c r="S881" i="4"/>
  <c r="P871" i="4"/>
  <c r="R860" i="4"/>
  <c r="S849" i="4"/>
  <c r="P839" i="4"/>
  <c r="R828" i="4"/>
  <c r="S817" i="4"/>
  <c r="P807" i="4"/>
  <c r="R796" i="4"/>
  <c r="S785" i="4"/>
  <c r="P775" i="4"/>
  <c r="R764" i="4"/>
  <c r="S753" i="4"/>
  <c r="P743" i="4"/>
  <c r="R732" i="4"/>
  <c r="S721" i="4"/>
  <c r="P711" i="4"/>
  <c r="O699" i="4"/>
  <c r="O683" i="4"/>
  <c r="O667" i="4"/>
  <c r="O651" i="4"/>
  <c r="O635" i="4"/>
  <c r="O619" i="4"/>
  <c r="O603" i="4"/>
  <c r="O587" i="4"/>
  <c r="O571" i="4"/>
  <c r="O555" i="4"/>
  <c r="O539" i="4"/>
  <c r="O523" i="4"/>
  <c r="O507" i="4"/>
  <c r="O491" i="4"/>
  <c r="O475" i="4"/>
  <c r="O459" i="4"/>
  <c r="O443" i="4"/>
  <c r="O427" i="4"/>
  <c r="O411" i="4"/>
  <c r="O395" i="4"/>
  <c r="O379" i="4"/>
  <c r="O363" i="4"/>
  <c r="O347" i="4"/>
  <c r="O331" i="4"/>
  <c r="O315" i="4"/>
  <c r="O299" i="4"/>
  <c r="O283" i="4"/>
  <c r="O267" i="4"/>
  <c r="O251" i="4"/>
  <c r="O235" i="4"/>
  <c r="O219" i="4"/>
  <c r="R210" i="4"/>
  <c r="R202" i="4"/>
  <c r="R194" i="4"/>
  <c r="R186" i="4"/>
  <c r="R178" i="4"/>
  <c r="R170" i="4"/>
  <c r="R162" i="4"/>
  <c r="R154" i="4"/>
  <c r="R146" i="4"/>
  <c r="R138" i="4"/>
  <c r="R130" i="4"/>
  <c r="R122" i="4"/>
  <c r="R114" i="4"/>
  <c r="R106" i="4"/>
  <c r="R98" i="4"/>
  <c r="R90" i="4"/>
  <c r="R82" i="4"/>
  <c r="R74" i="4"/>
  <c r="R66" i="4"/>
  <c r="R58" i="4"/>
  <c r="R50" i="4"/>
  <c r="R42" i="4"/>
  <c r="R34" i="4"/>
  <c r="R26" i="4"/>
  <c r="R18" i="4"/>
  <c r="R10" i="4"/>
  <c r="R2" i="4"/>
  <c r="R144" i="3"/>
  <c r="R136" i="3"/>
  <c r="R128" i="3"/>
  <c r="R120" i="3"/>
  <c r="R112" i="3"/>
  <c r="O98" i="3"/>
  <c r="O82" i="3"/>
  <c r="O66" i="3"/>
  <c r="O50" i="3"/>
  <c r="O34" i="3"/>
  <c r="O18" i="3"/>
  <c r="O2" i="3"/>
  <c r="O86" i="2"/>
  <c r="O70" i="2"/>
  <c r="O54" i="2"/>
  <c r="L92" i="3"/>
  <c r="S76" i="3"/>
  <c r="S60" i="3"/>
  <c r="S44" i="3"/>
  <c r="J31" i="3"/>
  <c r="L20" i="3"/>
  <c r="I10" i="3"/>
  <c r="J99" i="2"/>
  <c r="L88" i="2"/>
  <c r="I78" i="2"/>
  <c r="J67" i="2"/>
  <c r="L56" i="2"/>
  <c r="I46" i="2"/>
  <c r="I37" i="2"/>
  <c r="I29" i="2"/>
  <c r="I21" i="2"/>
  <c r="I13" i="2"/>
  <c r="I5" i="2"/>
  <c r="R1644" i="4"/>
  <c r="S1601" i="4"/>
  <c r="O1539" i="4"/>
  <c r="O1475" i="4"/>
  <c r="O1410" i="4"/>
  <c r="O1346" i="4"/>
  <c r="O1282" i="4"/>
  <c r="O1218" i="4"/>
  <c r="O1154" i="4"/>
  <c r="O1090" i="4"/>
  <c r="O1026" i="4"/>
  <c r="O962" i="4"/>
  <c r="O898" i="4"/>
  <c r="O834" i="4"/>
  <c r="O770" i="4"/>
  <c r="O706" i="4"/>
  <c r="L1035" i="4"/>
  <c r="I1025" i="4"/>
  <c r="J1014" i="4"/>
  <c r="L1003" i="4"/>
  <c r="I993" i="4"/>
  <c r="J982" i="4"/>
  <c r="L971" i="4"/>
  <c r="I961" i="4"/>
  <c r="J950" i="4"/>
  <c r="L939" i="4"/>
  <c r="I929" i="4"/>
  <c r="J918" i="4"/>
  <c r="L907" i="4"/>
  <c r="I897" i="4"/>
  <c r="J886" i="4"/>
  <c r="L875" i="4"/>
  <c r="I865" i="4"/>
  <c r="J854" i="4"/>
  <c r="L843" i="4"/>
  <c r="I833" i="4"/>
  <c r="J822" i="4"/>
  <c r="L811" i="4"/>
  <c r="I801" i="4"/>
  <c r="J790" i="4"/>
  <c r="L779" i="4"/>
  <c r="I769" i="4"/>
  <c r="J758" i="4"/>
  <c r="L747" i="4"/>
  <c r="I737" i="4"/>
  <c r="J726" i="4"/>
  <c r="L715" i="4"/>
  <c r="I705" i="4"/>
  <c r="L696" i="4"/>
  <c r="L688" i="4"/>
  <c r="L680" i="4"/>
  <c r="L672" i="4"/>
  <c r="L664" i="4"/>
  <c r="L656" i="4"/>
  <c r="L648" i="4"/>
  <c r="L640" i="4"/>
  <c r="L632" i="4"/>
  <c r="L624" i="4"/>
  <c r="L616" i="4"/>
  <c r="L608" i="4"/>
  <c r="L600" i="4"/>
  <c r="L592" i="4"/>
  <c r="L584" i="4"/>
  <c r="L576" i="4"/>
  <c r="L568" i="4"/>
  <c r="L560" i="4"/>
  <c r="L552" i="4"/>
  <c r="L544" i="4"/>
  <c r="L536" i="4"/>
  <c r="L528" i="4"/>
  <c r="L520" i="4"/>
  <c r="L512" i="4"/>
  <c r="L504" i="4"/>
  <c r="L496" i="4"/>
  <c r="L488" i="4"/>
  <c r="L480" i="4"/>
  <c r="L472" i="4"/>
  <c r="L464" i="4"/>
  <c r="L456" i="4"/>
  <c r="L448" i="4"/>
  <c r="L440" i="4"/>
  <c r="L432" i="4"/>
  <c r="L424" i="4"/>
  <c r="L416" i="4"/>
  <c r="L408" i="4"/>
  <c r="L400" i="4"/>
  <c r="L392" i="4"/>
  <c r="L384" i="4"/>
  <c r="L376" i="4"/>
  <c r="L368" i="4"/>
  <c r="L360" i="4"/>
  <c r="L352" i="4"/>
  <c r="L344" i="4"/>
  <c r="L336" i="4"/>
  <c r="L328" i="4"/>
  <c r="L320" i="4"/>
  <c r="L312" i="4"/>
  <c r="L304" i="4"/>
  <c r="L296" i="4"/>
  <c r="L288" i="4"/>
  <c r="L280" i="4"/>
  <c r="L272" i="4"/>
  <c r="L264" i="4"/>
  <c r="L256" i="4"/>
  <c r="L248" i="4"/>
  <c r="L240" i="4"/>
  <c r="L232" i="4"/>
  <c r="L224" i="4"/>
  <c r="P215" i="4"/>
  <c r="P207" i="4"/>
  <c r="P199" i="4"/>
  <c r="P191" i="4"/>
  <c r="P183" i="4"/>
  <c r="P175" i="4"/>
  <c r="P167" i="4"/>
  <c r="P159" i="4"/>
  <c r="P151" i="4"/>
  <c r="P143" i="4"/>
  <c r="P135" i="4"/>
  <c r="P127" i="4"/>
  <c r="P119" i="4"/>
  <c r="P111" i="4"/>
  <c r="P103" i="4"/>
  <c r="P95" i="4"/>
  <c r="P87" i="4"/>
  <c r="P79" i="4"/>
  <c r="P71" i="4"/>
  <c r="P63" i="4"/>
  <c r="P55" i="4"/>
  <c r="P47" i="4"/>
  <c r="P39" i="4"/>
  <c r="P31" i="4"/>
  <c r="P23" i="4"/>
  <c r="P15" i="4"/>
  <c r="P7" i="4"/>
  <c r="P149" i="3"/>
  <c r="P141" i="3"/>
  <c r="P133" i="3"/>
  <c r="P125" i="3"/>
  <c r="P117" i="3"/>
  <c r="S109" i="3"/>
  <c r="S101" i="3"/>
  <c r="J1043" i="4"/>
  <c r="L1032" i="4"/>
  <c r="I1022" i="4"/>
  <c r="J1011" i="4"/>
  <c r="L1000" i="4"/>
  <c r="I990" i="4"/>
  <c r="J979" i="4"/>
  <c r="L968" i="4"/>
  <c r="I958" i="4"/>
  <c r="J947" i="4"/>
  <c r="L936" i="4"/>
  <c r="I926" i="4"/>
  <c r="J915" i="4"/>
  <c r="L904" i="4"/>
  <c r="I894" i="4"/>
  <c r="J883" i="4"/>
  <c r="L872" i="4"/>
  <c r="I862" i="4"/>
  <c r="J851" i="4"/>
  <c r="L840" i="4"/>
  <c r="I830" i="4"/>
  <c r="J819" i="4"/>
  <c r="L808" i="4"/>
  <c r="I798" i="4"/>
  <c r="J787" i="4"/>
  <c r="L776" i="4"/>
  <c r="I766" i="4"/>
  <c r="J755" i="4"/>
  <c r="L744" i="4"/>
  <c r="I734" i="4"/>
  <c r="J723" i="4"/>
  <c r="L712" i="4"/>
  <c r="J702" i="4"/>
  <c r="J694" i="4"/>
  <c r="J686" i="4"/>
  <c r="J678" i="4"/>
  <c r="J670" i="4"/>
  <c r="J662" i="4"/>
  <c r="J654" i="4"/>
  <c r="J646" i="4"/>
  <c r="J638" i="4"/>
  <c r="J630" i="4"/>
  <c r="J622" i="4"/>
  <c r="J614" i="4"/>
  <c r="J606" i="4"/>
  <c r="J598" i="4"/>
  <c r="J590" i="4"/>
  <c r="J582" i="4"/>
  <c r="J574" i="4"/>
  <c r="J566" i="4"/>
  <c r="J558" i="4"/>
  <c r="J550" i="4"/>
  <c r="J542" i="4"/>
  <c r="J534" i="4"/>
  <c r="J526" i="4"/>
  <c r="J518" i="4"/>
  <c r="J510" i="4"/>
  <c r="J502" i="4"/>
  <c r="J494" i="4"/>
  <c r="J486" i="4"/>
  <c r="J478" i="4"/>
  <c r="J470" i="4"/>
  <c r="J462" i="4"/>
  <c r="J454" i="4"/>
  <c r="J446" i="4"/>
  <c r="J438" i="4"/>
  <c r="J430" i="4"/>
  <c r="J422" i="4"/>
  <c r="J414" i="4"/>
  <c r="J406" i="4"/>
  <c r="J398" i="4"/>
  <c r="J390" i="4"/>
  <c r="J382" i="4"/>
  <c r="J374" i="4"/>
  <c r="J366" i="4"/>
  <c r="J358" i="4"/>
  <c r="J350" i="4"/>
  <c r="J342" i="4"/>
  <c r="J334" i="4"/>
  <c r="J326" i="4"/>
  <c r="J318" i="4"/>
  <c r="J310" i="4"/>
  <c r="J302" i="4"/>
  <c r="J294" i="4"/>
  <c r="J286" i="4"/>
  <c r="J278" i="4"/>
  <c r="J270" i="4"/>
  <c r="J262" i="4"/>
  <c r="J254" i="4"/>
  <c r="J246" i="4"/>
  <c r="J238" i="4"/>
  <c r="J230" i="4"/>
  <c r="J222" i="4"/>
  <c r="O211" i="4"/>
  <c r="O195" i="4"/>
  <c r="O179" i="4"/>
  <c r="O163" i="4"/>
  <c r="O147" i="4"/>
  <c r="O131" i="4"/>
  <c r="O115" i="4"/>
  <c r="I2647" i="4"/>
  <c r="L2233" i="4"/>
  <c r="L2105" i="4"/>
  <c r="R2005" i="4"/>
  <c r="L1958" i="4"/>
  <c r="L1891" i="4"/>
  <c r="I1859" i="4"/>
  <c r="I1827" i="4"/>
  <c r="I1795" i="4"/>
  <c r="I1763" i="4"/>
  <c r="I1731" i="4"/>
  <c r="I1699" i="4"/>
  <c r="S1942" i="4"/>
  <c r="S1893" i="4"/>
  <c r="O1831" i="4"/>
  <c r="O1767" i="4"/>
  <c r="O1703" i="4"/>
  <c r="O1639" i="4"/>
  <c r="L1945" i="4"/>
  <c r="S1884" i="4"/>
  <c r="S1852" i="4"/>
  <c r="S1820" i="4"/>
  <c r="S1788" i="4"/>
  <c r="S1756" i="4"/>
  <c r="S1724" i="4"/>
  <c r="S1692" i="4"/>
  <c r="S1924" i="4"/>
  <c r="J1884" i="4"/>
  <c r="J1852" i="4"/>
  <c r="J1820" i="4"/>
  <c r="J1788" i="4"/>
  <c r="J1756" i="4"/>
  <c r="J1724" i="4"/>
  <c r="J1692" i="4"/>
  <c r="S1650" i="4"/>
  <c r="P1608" i="4"/>
  <c r="S1573" i="4"/>
  <c r="S1541" i="4"/>
  <c r="S1509" i="4"/>
  <c r="S1477" i="4"/>
  <c r="S1445" i="4"/>
  <c r="S1412" i="4"/>
  <c r="S1380" i="4"/>
  <c r="S2277" i="4"/>
  <c r="O2087" i="4"/>
  <c r="O1984" i="4"/>
  <c r="P1938" i="4"/>
  <c r="P1906" i="4"/>
  <c r="S3178" i="4"/>
  <c r="S2922" i="4"/>
  <c r="I2433" i="4"/>
  <c r="S2215" i="4"/>
  <c r="S2087" i="4"/>
  <c r="S1999" i="4"/>
  <c r="P1957" i="4"/>
  <c r="S2592" i="4"/>
  <c r="L2219" i="4"/>
  <c r="L2091" i="4"/>
  <c r="S2000" i="4"/>
  <c r="P2706" i="4"/>
  <c r="P2450" i="4"/>
  <c r="L2224" i="4"/>
  <c r="L2096" i="4"/>
  <c r="L2002" i="4"/>
  <c r="I2607" i="4"/>
  <c r="S2222" i="4"/>
  <c r="S2094" i="4"/>
  <c r="J2002" i="4"/>
  <c r="R1953" i="4"/>
  <c r="P1888" i="4"/>
  <c r="P1856" i="4"/>
  <c r="P1824" i="4"/>
  <c r="P1792" i="4"/>
  <c r="P1760" i="4"/>
  <c r="P1728" i="4"/>
  <c r="P1696" i="4"/>
  <c r="R1936" i="4"/>
  <c r="O1890" i="4"/>
  <c r="O1826" i="4"/>
  <c r="O1762" i="4"/>
  <c r="O1698" i="4"/>
  <c r="O1634" i="4"/>
  <c r="S1940" i="4"/>
  <c r="L1882" i="4"/>
  <c r="L1850" i="4"/>
  <c r="L1818" i="4"/>
  <c r="L1786" i="4"/>
  <c r="L1754" i="4"/>
  <c r="L1722" i="4"/>
  <c r="L1690" i="4"/>
  <c r="O1921" i="4"/>
  <c r="R1881" i="4"/>
  <c r="R1849" i="4"/>
  <c r="R1817" i="4"/>
  <c r="R1785" i="4"/>
  <c r="R1753" i="4"/>
  <c r="R1721" i="4"/>
  <c r="R1689" i="4"/>
  <c r="L1647" i="4"/>
  <c r="I1605" i="4"/>
  <c r="L1571" i="4"/>
  <c r="L1539" i="4"/>
  <c r="L1507" i="4"/>
  <c r="L1475" i="4"/>
  <c r="L1443" i="4"/>
  <c r="L1410" i="4"/>
  <c r="L1378" i="4"/>
  <c r="S1346" i="4"/>
  <c r="S1314" i="4"/>
  <c r="S1282" i="4"/>
  <c r="S1250" i="4"/>
  <c r="S1218" i="4"/>
  <c r="S1186" i="4"/>
  <c r="S1154" i="4"/>
  <c r="S1122" i="4"/>
  <c r="S1090" i="4"/>
  <c r="S1058" i="4"/>
  <c r="J1647" i="4"/>
  <c r="L1604" i="4"/>
  <c r="J1571" i="4"/>
  <c r="J1539" i="4"/>
  <c r="J1507" i="4"/>
  <c r="J1475" i="4"/>
  <c r="J1443" i="4"/>
  <c r="J1410" i="4"/>
  <c r="J1378" i="4"/>
  <c r="J1346" i="4"/>
  <c r="J1314" i="4"/>
  <c r="J1282" i="4"/>
  <c r="J1250" i="4"/>
  <c r="J1218" i="4"/>
  <c r="J1186" i="4"/>
  <c r="J1154" i="4"/>
  <c r="J1122" i="4"/>
  <c r="J1090" i="4"/>
  <c r="J1058" i="4"/>
  <c r="I1647" i="4"/>
  <c r="J1604" i="4"/>
  <c r="I1571" i="4"/>
  <c r="I1539" i="4"/>
  <c r="I1507" i="4"/>
  <c r="I1475" i="4"/>
  <c r="I1443" i="4"/>
  <c r="I1410" i="4"/>
  <c r="I1378" i="4"/>
  <c r="I1346" i="4"/>
  <c r="I1314" i="4"/>
  <c r="I1282" i="4"/>
  <c r="I1250" i="4"/>
  <c r="I1218" i="4"/>
  <c r="I1186" i="4"/>
  <c r="I1154" i="4"/>
  <c r="I1122" i="4"/>
  <c r="I1090" i="4"/>
  <c r="I1058" i="4"/>
  <c r="J1661" i="4"/>
  <c r="L1618" i="4"/>
  <c r="O1564" i="4"/>
  <c r="O1500" i="4"/>
  <c r="O1435" i="4"/>
  <c r="O1371" i="4"/>
  <c r="O1307" i="4"/>
  <c r="O1243" i="4"/>
  <c r="O1179" i="4"/>
  <c r="O1115" i="4"/>
  <c r="O1051" i="4"/>
  <c r="O987" i="4"/>
  <c r="O923" i="4"/>
  <c r="O859" i="4"/>
  <c r="O795" i="4"/>
  <c r="O731" i="4"/>
  <c r="L1346" i="4"/>
  <c r="L1314" i="4"/>
  <c r="L1282" i="4"/>
  <c r="L1250" i="4"/>
  <c r="L1218" i="4"/>
  <c r="L1186" i="4"/>
  <c r="L1154" i="4"/>
  <c r="L1122" i="4"/>
  <c r="L1090" i="4"/>
  <c r="L1058" i="4"/>
  <c r="R1646" i="4"/>
  <c r="S1603" i="4"/>
  <c r="R1570" i="4"/>
  <c r="R1538" i="4"/>
  <c r="R1506" i="4"/>
  <c r="R1474" i="4"/>
  <c r="R1442" i="4"/>
  <c r="R1409" i="4"/>
  <c r="R1377" i="4"/>
  <c r="R1345" i="4"/>
  <c r="R1313" i="4"/>
  <c r="R1281" i="4"/>
  <c r="R1249" i="4"/>
  <c r="R1217" i="4"/>
  <c r="R1185" i="4"/>
  <c r="R1153" i="4"/>
  <c r="R1121" i="4"/>
  <c r="R1089" i="4"/>
  <c r="R1057" i="4"/>
  <c r="P1646" i="4"/>
  <c r="R1603" i="4"/>
  <c r="P1570" i="4"/>
  <c r="P1538" i="4"/>
  <c r="P1506" i="4"/>
  <c r="P1474" i="4"/>
  <c r="P1442" i="4"/>
  <c r="P1409" i="4"/>
  <c r="P1377" i="4"/>
  <c r="P1345" i="4"/>
  <c r="P1313" i="4"/>
  <c r="P1281" i="4"/>
  <c r="P1249" i="4"/>
  <c r="P1217" i="4"/>
  <c r="P1185" i="4"/>
  <c r="P1153" i="4"/>
  <c r="P1121" i="4"/>
  <c r="P1089" i="4"/>
  <c r="P1057" i="4"/>
  <c r="R1660" i="4"/>
  <c r="S1331" i="4"/>
  <c r="S1299" i="4"/>
  <c r="S1267" i="4"/>
  <c r="S1235" i="4"/>
  <c r="S1203" i="4"/>
  <c r="S1171" i="4"/>
  <c r="S1139" i="4"/>
  <c r="S1107" i="4"/>
  <c r="S1075" i="4"/>
  <c r="I1670" i="4"/>
  <c r="J1627" i="4"/>
  <c r="J1588" i="4"/>
  <c r="J1556" i="4"/>
  <c r="J1524" i="4"/>
  <c r="J1492" i="4"/>
  <c r="J1460" i="4"/>
  <c r="J1427" i="4"/>
  <c r="J1395" i="4"/>
  <c r="J1363" i="4"/>
  <c r="J1331" i="4"/>
  <c r="J1299" i="4"/>
  <c r="J1267" i="4"/>
  <c r="J1235" i="4"/>
  <c r="J1203" i="4"/>
  <c r="J1171" i="4"/>
  <c r="J1139" i="4"/>
  <c r="J1107" i="4"/>
  <c r="J1075" i="4"/>
  <c r="L1669" i="4"/>
  <c r="I1627" i="4"/>
  <c r="I1588" i="4"/>
  <c r="I1556" i="4"/>
  <c r="I1524" i="4"/>
  <c r="I1492" i="4"/>
  <c r="I1460" i="4"/>
  <c r="I1427" i="4"/>
  <c r="I1395" i="4"/>
  <c r="I1363" i="4"/>
  <c r="I1331" i="4"/>
  <c r="I1299" i="4"/>
  <c r="I1267" i="4"/>
  <c r="I1235" i="4"/>
  <c r="I1203" i="4"/>
  <c r="I1171" i="4"/>
  <c r="I1139" i="4"/>
  <c r="I1107" i="4"/>
  <c r="I1075" i="4"/>
  <c r="J1684" i="4"/>
  <c r="J1641" i="4"/>
  <c r="O1598" i="4"/>
  <c r="O1534" i="4"/>
  <c r="O1470" i="4"/>
  <c r="O1405" i="4"/>
  <c r="O1341" i="4"/>
  <c r="O1277" i="4"/>
  <c r="O1213" i="4"/>
  <c r="O1149" i="4"/>
  <c r="O1085" i="4"/>
  <c r="O1021" i="4"/>
  <c r="O957" i="4"/>
  <c r="O893" i="4"/>
  <c r="O829" i="4"/>
  <c r="O765" i="4"/>
  <c r="J1052" i="4"/>
  <c r="L1331" i="4"/>
  <c r="L1299" i="4"/>
  <c r="L1267" i="4"/>
  <c r="L1235" i="4"/>
  <c r="L1203" i="4"/>
  <c r="L1171" i="4"/>
  <c r="L1139" i="4"/>
  <c r="L1107" i="4"/>
  <c r="L1075" i="4"/>
  <c r="P1669" i="4"/>
  <c r="R1626" i="4"/>
  <c r="R1587" i="4"/>
  <c r="R1555" i="4"/>
  <c r="R1523" i="4"/>
  <c r="R1491" i="4"/>
  <c r="R1459" i="4"/>
  <c r="R1426" i="4"/>
  <c r="R1394" i="4"/>
  <c r="R1362" i="4"/>
  <c r="R1330" i="4"/>
  <c r="R1298" i="4"/>
  <c r="R1266" i="4"/>
  <c r="R1234" i="4"/>
  <c r="R1202" i="4"/>
  <c r="R1170" i="4"/>
  <c r="R1138" i="4"/>
  <c r="R1106" i="4"/>
  <c r="R1074" i="4"/>
  <c r="S1668" i="4"/>
  <c r="P1626" i="4"/>
  <c r="P1587" i="4"/>
  <c r="P1555" i="4"/>
  <c r="P1523" i="4"/>
  <c r="P1491" i="4"/>
  <c r="P1459" i="4"/>
  <c r="P1426" i="4"/>
  <c r="P1394" i="4"/>
  <c r="P1362" i="4"/>
  <c r="P1330" i="4"/>
  <c r="P1298" i="4"/>
  <c r="P1266" i="4"/>
  <c r="P1234" i="4"/>
  <c r="P1202" i="4"/>
  <c r="P1170" i="4"/>
  <c r="P1138" i="4"/>
  <c r="P1106" i="4"/>
  <c r="P1074" i="4"/>
  <c r="L1683" i="4"/>
  <c r="R1640" i="4"/>
  <c r="O1597" i="4"/>
  <c r="O1533" i="4"/>
  <c r="O1469" i="4"/>
  <c r="O1404" i="4"/>
  <c r="O1340" i="4"/>
  <c r="O1276" i="4"/>
  <c r="O1212" i="4"/>
  <c r="O1148" i="4"/>
  <c r="O1084" i="4"/>
  <c r="O1020" i="4"/>
  <c r="O956" i="4"/>
  <c r="O892" i="4"/>
  <c r="O828" i="4"/>
  <c r="O788" i="4"/>
  <c r="O756" i="4"/>
  <c r="O724" i="4"/>
  <c r="R1652" i="4"/>
  <c r="O1551" i="4"/>
  <c r="O1422" i="4"/>
  <c r="O1294" i="4"/>
  <c r="O1166" i="4"/>
  <c r="O1038" i="4"/>
  <c r="O910" i="4"/>
  <c r="O782" i="4"/>
  <c r="R1037" i="4"/>
  <c r="P1016" i="4"/>
  <c r="S994" i="4"/>
  <c r="R973" i="4"/>
  <c r="P952" i="4"/>
  <c r="S930" i="4"/>
  <c r="R909" i="4"/>
  <c r="P888" i="4"/>
  <c r="S866" i="4"/>
  <c r="R845" i="4"/>
  <c r="P824" i="4"/>
  <c r="S802" i="4"/>
  <c r="R781" i="4"/>
  <c r="P760" i="4"/>
  <c r="S738" i="4"/>
  <c r="R717" i="4"/>
  <c r="S697" i="4"/>
  <c r="S681" i="4"/>
  <c r="S665" i="4"/>
  <c r="S649" i="4"/>
  <c r="S633" i="4"/>
  <c r="S617" i="4"/>
  <c r="S601" i="4"/>
  <c r="S585" i="4"/>
  <c r="S569" i="4"/>
  <c r="S553" i="4"/>
  <c r="S537" i="4"/>
  <c r="S521" i="4"/>
  <c r="S505" i="4"/>
  <c r="S489" i="4"/>
  <c r="S473" i="4"/>
  <c r="S457" i="4"/>
  <c r="S441" i="4"/>
  <c r="S425" i="4"/>
  <c r="S409" i="4"/>
  <c r="S393" i="4"/>
  <c r="S377" i="4"/>
  <c r="S361" i="4"/>
  <c r="S345" i="4"/>
  <c r="S329" i="4"/>
  <c r="S313" i="4"/>
  <c r="S297" i="4"/>
  <c r="S281" i="4"/>
  <c r="S265" i="4"/>
  <c r="S249" i="4"/>
  <c r="S233" i="4"/>
  <c r="S217" i="4"/>
  <c r="I201" i="4"/>
  <c r="I185" i="4"/>
  <c r="I169" i="4"/>
  <c r="I153" i="4"/>
  <c r="I137" i="4"/>
  <c r="I121" i="4"/>
  <c r="I105" i="4"/>
  <c r="I89" i="4"/>
  <c r="I73" i="4"/>
  <c r="I57" i="4"/>
  <c r="I41" i="4"/>
  <c r="I25" i="4"/>
  <c r="I9" i="4"/>
  <c r="I143" i="3"/>
  <c r="I127" i="3"/>
  <c r="J111" i="3"/>
  <c r="L1046" i="4"/>
  <c r="S1023" i="4"/>
  <c r="R1002" i="4"/>
  <c r="P981" i="4"/>
  <c r="S959" i="4"/>
  <c r="R938" i="4"/>
  <c r="P917" i="4"/>
  <c r="S895" i="4"/>
  <c r="P877" i="4"/>
  <c r="R866" i="4"/>
  <c r="S855" i="4"/>
  <c r="P845" i="4"/>
  <c r="R834" i="4"/>
  <c r="S823" i="4"/>
  <c r="P813" i="4"/>
  <c r="R802" i="4"/>
  <c r="S791" i="4"/>
  <c r="P781" i="4"/>
  <c r="R770" i="4"/>
  <c r="S759" i="4"/>
  <c r="P749" i="4"/>
  <c r="R738" i="4"/>
  <c r="S727" i="4"/>
  <c r="P717" i="4"/>
  <c r="R706" i="4"/>
  <c r="R697" i="4"/>
  <c r="R689" i="4"/>
  <c r="R681" i="4"/>
  <c r="R673" i="4"/>
  <c r="R665" i="4"/>
  <c r="R657" i="4"/>
  <c r="R649" i="4"/>
  <c r="R641" i="4"/>
  <c r="R633" i="4"/>
  <c r="R625" i="4"/>
  <c r="R617" i="4"/>
  <c r="R609" i="4"/>
  <c r="R601" i="4"/>
  <c r="R593" i="4"/>
  <c r="R585" i="4"/>
  <c r="R577" i="4"/>
  <c r="R569" i="4"/>
  <c r="R561" i="4"/>
  <c r="R553" i="4"/>
  <c r="R545" i="4"/>
  <c r="R537" i="4"/>
  <c r="R529" i="4"/>
  <c r="R521" i="4"/>
  <c r="R513" i="4"/>
  <c r="R505" i="4"/>
  <c r="R497" i="4"/>
  <c r="R489" i="4"/>
  <c r="R481" i="4"/>
  <c r="R473" i="4"/>
  <c r="R465" i="4"/>
  <c r="R457" i="4"/>
  <c r="R449" i="4"/>
  <c r="R441" i="4"/>
  <c r="R433" i="4"/>
  <c r="R425" i="4"/>
  <c r="R417" i="4"/>
  <c r="R409" i="4"/>
  <c r="R401" i="4"/>
  <c r="R393" i="4"/>
  <c r="R385" i="4"/>
  <c r="R377" i="4"/>
  <c r="R369" i="4"/>
  <c r="R361" i="4"/>
  <c r="R353" i="4"/>
  <c r="R345" i="4"/>
  <c r="R337" i="4"/>
  <c r="R329" i="4"/>
  <c r="R321" i="4"/>
  <c r="R313" i="4"/>
  <c r="R305" i="4"/>
  <c r="R297" i="4"/>
  <c r="R289" i="4"/>
  <c r="R281" i="4"/>
  <c r="R273" i="4"/>
  <c r="R265" i="4"/>
  <c r="R257" i="4"/>
  <c r="R249" i="4"/>
  <c r="R241" i="4"/>
  <c r="R233" i="4"/>
  <c r="R225" i="4"/>
  <c r="R217" i="4"/>
  <c r="O202" i="4"/>
  <c r="O186" i="4"/>
  <c r="O170" i="4"/>
  <c r="O154" i="4"/>
  <c r="O138" i="4"/>
  <c r="O122" i="4"/>
  <c r="O106" i="4"/>
  <c r="O90" i="4"/>
  <c r="O74" i="4"/>
  <c r="O58" i="4"/>
  <c r="O42" i="4"/>
  <c r="O26" i="4"/>
  <c r="O10" i="4"/>
  <c r="O144" i="3"/>
  <c r="O128" i="3"/>
  <c r="O112" i="3"/>
  <c r="J104" i="3"/>
  <c r="J96" i="3"/>
  <c r="J88" i="3"/>
  <c r="J80" i="3"/>
  <c r="J72" i="3"/>
  <c r="J64" i="3"/>
  <c r="J56" i="3"/>
  <c r="J48" i="3"/>
  <c r="J40" i="3"/>
  <c r="S1043" i="4"/>
  <c r="S1032" i="4"/>
  <c r="P1022" i="4"/>
  <c r="R1011" i="4"/>
  <c r="S1000" i="4"/>
  <c r="P990" i="4"/>
  <c r="R979" i="4"/>
  <c r="S968" i="4"/>
  <c r="P958" i="4"/>
  <c r="R947" i="4"/>
  <c r="S936" i="4"/>
  <c r="P926" i="4"/>
  <c r="R915" i="4"/>
  <c r="S904" i="4"/>
  <c r="P894" i="4"/>
  <c r="R883" i="4"/>
  <c r="S872" i="4"/>
  <c r="P862" i="4"/>
  <c r="R851" i="4"/>
  <c r="S840" i="4"/>
  <c r="P830" i="4"/>
  <c r="R819" i="4"/>
  <c r="S808" i="4"/>
  <c r="P798" i="4"/>
  <c r="R787" i="4"/>
  <c r="S776" i="4"/>
  <c r="P766" i="4"/>
  <c r="R755" i="4"/>
  <c r="S744" i="4"/>
  <c r="P734" i="4"/>
  <c r="R723" i="4"/>
  <c r="S712" i="4"/>
  <c r="P702" i="4"/>
  <c r="P694" i="4"/>
  <c r="P686" i="4"/>
  <c r="P678" i="4"/>
  <c r="P670" i="4"/>
  <c r="P662" i="4"/>
  <c r="P654" i="4"/>
  <c r="P646" i="4"/>
  <c r="P638" i="4"/>
  <c r="P630" i="4"/>
  <c r="P622" i="4"/>
  <c r="P614" i="4"/>
  <c r="P606" i="4"/>
  <c r="P598" i="4"/>
  <c r="P590" i="4"/>
  <c r="P582" i="4"/>
  <c r="P574" i="4"/>
  <c r="P566" i="4"/>
  <c r="P558" i="4"/>
  <c r="P550" i="4"/>
  <c r="P542" i="4"/>
  <c r="P534" i="4"/>
  <c r="P526" i="4"/>
  <c r="P518" i="4"/>
  <c r="P510" i="4"/>
  <c r="P502" i="4"/>
  <c r="P494" i="4"/>
  <c r="P486" i="4"/>
  <c r="P478" i="4"/>
  <c r="P470" i="4"/>
  <c r="P462" i="4"/>
  <c r="P454" i="4"/>
  <c r="P446" i="4"/>
  <c r="P438" i="4"/>
  <c r="P430" i="4"/>
  <c r="P422" i="4"/>
  <c r="P414" i="4"/>
  <c r="P406" i="4"/>
  <c r="P398" i="4"/>
  <c r="P390" i="4"/>
  <c r="P382" i="4"/>
  <c r="P374" i="4"/>
  <c r="P366" i="4"/>
  <c r="P358" i="4"/>
  <c r="P350" i="4"/>
  <c r="P342" i="4"/>
  <c r="P334" i="4"/>
  <c r="P326" i="4"/>
  <c r="P318" i="4"/>
  <c r="P310" i="4"/>
  <c r="P302" i="4"/>
  <c r="P294" i="4"/>
  <c r="P286" i="4"/>
  <c r="P278" i="4"/>
  <c r="P270" i="4"/>
  <c r="P262" i="4"/>
  <c r="P254" i="4"/>
  <c r="P246" i="4"/>
  <c r="P238" i="4"/>
  <c r="P230" i="4"/>
  <c r="P222" i="4"/>
  <c r="S214" i="4"/>
  <c r="S206" i="4"/>
  <c r="S198" i="4"/>
  <c r="S190" i="4"/>
  <c r="S182" i="4"/>
  <c r="S174" i="4"/>
  <c r="S166" i="4"/>
  <c r="S158" i="4"/>
  <c r="S150" i="4"/>
  <c r="S142" i="4"/>
  <c r="S134" i="4"/>
  <c r="S126" i="4"/>
  <c r="S118" i="4"/>
  <c r="S110" i="4"/>
  <c r="S102" i="4"/>
  <c r="S94" i="4"/>
  <c r="S86" i="4"/>
  <c r="S78" i="4"/>
  <c r="S70" i="4"/>
  <c r="S62" i="4"/>
  <c r="S54" i="4"/>
  <c r="S46" i="4"/>
  <c r="S38" i="4"/>
  <c r="S30" i="4"/>
  <c r="S22" i="4"/>
  <c r="S14" i="4"/>
  <c r="S6" i="4"/>
  <c r="S148" i="3"/>
  <c r="S140" i="3"/>
  <c r="S132" i="3"/>
  <c r="S124" i="3"/>
  <c r="S116" i="3"/>
  <c r="I108" i="3"/>
  <c r="I100" i="3"/>
  <c r="I92" i="3"/>
  <c r="R1040" i="4"/>
  <c r="S1029" i="4"/>
  <c r="P1019" i="4"/>
  <c r="R1008" i="4"/>
  <c r="S997" i="4"/>
  <c r="P987" i="4"/>
  <c r="R976" i="4"/>
  <c r="S965" i="4"/>
  <c r="P955" i="4"/>
  <c r="R944" i="4"/>
  <c r="S933" i="4"/>
  <c r="P923" i="4"/>
  <c r="R912" i="4"/>
  <c r="S901" i="4"/>
  <c r="P891" i="4"/>
  <c r="R880" i="4"/>
  <c r="S869" i="4"/>
  <c r="P859" i="4"/>
  <c r="R848" i="4"/>
  <c r="S837" i="4"/>
  <c r="P827" i="4"/>
  <c r="R816" i="4"/>
  <c r="S805" i="4"/>
  <c r="P795" i="4"/>
  <c r="R784" i="4"/>
  <c r="S773" i="4"/>
  <c r="P763" i="4"/>
  <c r="R752" i="4"/>
  <c r="S741" i="4"/>
  <c r="P731" i="4"/>
  <c r="R720" i="4"/>
  <c r="S709" i="4"/>
  <c r="O697" i="4"/>
  <c r="O681" i="4"/>
  <c r="O665" i="4"/>
  <c r="O649" i="4"/>
  <c r="O633" i="4"/>
  <c r="O617" i="4"/>
  <c r="O601" i="4"/>
  <c r="O585" i="4"/>
  <c r="O569" i="4"/>
  <c r="O553" i="4"/>
  <c r="O537" i="4"/>
  <c r="O521" i="4"/>
  <c r="O505" i="4"/>
  <c r="O489" i="4"/>
  <c r="O473" i="4"/>
  <c r="O457" i="4"/>
  <c r="O441" i="4"/>
  <c r="O425" i="4"/>
  <c r="O409" i="4"/>
  <c r="O393" i="4"/>
  <c r="O377" i="4"/>
  <c r="O361" i="4"/>
  <c r="O345" i="4"/>
  <c r="O329" i="4"/>
  <c r="O313" i="4"/>
  <c r="O297" i="4"/>
  <c r="O281" i="4"/>
  <c r="O265" i="4"/>
  <c r="O249" i="4"/>
  <c r="O233" i="4"/>
  <c r="O217" i="4"/>
  <c r="R209" i="4"/>
  <c r="R201" i="4"/>
  <c r="R193" i="4"/>
  <c r="R185" i="4"/>
  <c r="R177" i="4"/>
  <c r="R169" i="4"/>
  <c r="R161" i="4"/>
  <c r="R153" i="4"/>
  <c r="R145" i="4"/>
  <c r="R137" i="4"/>
  <c r="R129" i="4"/>
  <c r="R121" i="4"/>
  <c r="R113" i="4"/>
  <c r="R105" i="4"/>
  <c r="R97" i="4"/>
  <c r="R89" i="4"/>
  <c r="R81" i="4"/>
  <c r="R73" i="4"/>
  <c r="R65" i="4"/>
  <c r="R57" i="4"/>
  <c r="R49" i="4"/>
  <c r="R41" i="4"/>
  <c r="R33" i="4"/>
  <c r="R25" i="4"/>
  <c r="R17" i="4"/>
  <c r="R9" i="4"/>
  <c r="R151" i="3"/>
  <c r="R143" i="3"/>
  <c r="R135" i="3"/>
  <c r="R127" i="3"/>
  <c r="R119" i="3"/>
  <c r="R111" i="3"/>
  <c r="O96" i="3"/>
  <c r="O80" i="3"/>
  <c r="O64" i="3"/>
  <c r="O48" i="3"/>
  <c r="O32" i="3"/>
  <c r="O16" i="3"/>
  <c r="O100" i="2"/>
  <c r="O84" i="2"/>
  <c r="O68" i="2"/>
  <c r="O52" i="2"/>
  <c r="L90" i="3"/>
  <c r="L74" i="3"/>
  <c r="L58" i="3"/>
  <c r="L42" i="3"/>
  <c r="I30" i="3"/>
  <c r="J19" i="3"/>
  <c r="L8" i="3"/>
  <c r="I98" i="2"/>
  <c r="J87" i="2"/>
  <c r="L76" i="2"/>
  <c r="I66" i="2"/>
  <c r="J55" i="2"/>
  <c r="L44" i="2"/>
  <c r="I36" i="2"/>
  <c r="I28" i="2"/>
  <c r="I20" i="2"/>
  <c r="I12" i="2"/>
  <c r="I4" i="2"/>
  <c r="R1628" i="4"/>
  <c r="O1579" i="4"/>
  <c r="O1515" i="4"/>
  <c r="O1451" i="4"/>
  <c r="O1386" i="4"/>
  <c r="O1322" i="4"/>
  <c r="O1258" i="4"/>
  <c r="O1194" i="4"/>
  <c r="O1130" i="4"/>
  <c r="O1066" i="4"/>
  <c r="O1002" i="4"/>
  <c r="O938" i="4"/>
  <c r="O874" i="4"/>
  <c r="O810" i="4"/>
  <c r="O746" i="4"/>
  <c r="J1042" i="4"/>
  <c r="L1031" i="4"/>
  <c r="I1021" i="4"/>
  <c r="J1010" i="4"/>
  <c r="L999" i="4"/>
  <c r="I989" i="4"/>
  <c r="J978" i="4"/>
  <c r="L967" i="4"/>
  <c r="I957" i="4"/>
  <c r="J946" i="4"/>
  <c r="L935" i="4"/>
  <c r="I925" i="4"/>
  <c r="J914" i="4"/>
  <c r="L903" i="4"/>
  <c r="I893" i="4"/>
  <c r="J882" i="4"/>
  <c r="L871" i="4"/>
  <c r="I861" i="4"/>
  <c r="J850" i="4"/>
  <c r="L839" i="4"/>
  <c r="I829" i="4"/>
  <c r="J818" i="4"/>
  <c r="L807" i="4"/>
  <c r="I797" i="4"/>
  <c r="J786" i="4"/>
  <c r="L775" i="4"/>
  <c r="I765" i="4"/>
  <c r="J754" i="4"/>
  <c r="L743" i="4"/>
  <c r="I733" i="4"/>
  <c r="J722" i="4"/>
  <c r="L711" i="4"/>
  <c r="L701" i="4"/>
  <c r="L693" i="4"/>
  <c r="L685" i="4"/>
  <c r="L677" i="4"/>
  <c r="L669" i="4"/>
  <c r="L661" i="4"/>
  <c r="L653" i="4"/>
  <c r="L645" i="4"/>
  <c r="L637" i="4"/>
  <c r="L629" i="4"/>
  <c r="L621" i="4"/>
  <c r="L613" i="4"/>
  <c r="L605" i="4"/>
  <c r="L597" i="4"/>
  <c r="L589" i="4"/>
  <c r="L581" i="4"/>
  <c r="L573" i="4"/>
  <c r="L565" i="4"/>
  <c r="L557" i="4"/>
  <c r="L549" i="4"/>
  <c r="L541" i="4"/>
  <c r="L533" i="4"/>
  <c r="L525" i="4"/>
  <c r="L517" i="4"/>
  <c r="L509" i="4"/>
  <c r="L501" i="4"/>
  <c r="L493" i="4"/>
  <c r="L485" i="4"/>
  <c r="L477" i="4"/>
  <c r="L469" i="4"/>
  <c r="L461" i="4"/>
  <c r="L453" i="4"/>
  <c r="L445" i="4"/>
  <c r="L437" i="4"/>
  <c r="L429" i="4"/>
  <c r="L421" i="4"/>
  <c r="L413" i="4"/>
  <c r="L405" i="4"/>
  <c r="L397" i="4"/>
  <c r="L389" i="4"/>
  <c r="L381" i="4"/>
  <c r="L373" i="4"/>
  <c r="L365" i="4"/>
  <c r="L357" i="4"/>
  <c r="L349" i="4"/>
  <c r="L341" i="4"/>
  <c r="L333" i="4"/>
  <c r="L325" i="4"/>
  <c r="L317" i="4"/>
  <c r="L309" i="4"/>
  <c r="L301" i="4"/>
  <c r="L293" i="4"/>
  <c r="L285" i="4"/>
  <c r="L277" i="4"/>
  <c r="L269" i="4"/>
  <c r="L261" i="4"/>
  <c r="L253" i="4"/>
  <c r="L245" i="4"/>
  <c r="L237" i="4"/>
  <c r="L229" i="4"/>
  <c r="L221" i="4"/>
  <c r="P212" i="4"/>
  <c r="P204" i="4"/>
  <c r="P196" i="4"/>
  <c r="P188" i="4"/>
  <c r="P180" i="4"/>
  <c r="P172" i="4"/>
  <c r="P164" i="4"/>
  <c r="P156" i="4"/>
  <c r="P148" i="4"/>
  <c r="P140" i="4"/>
  <c r="P132" i="4"/>
  <c r="P124" i="4"/>
  <c r="P116" i="4"/>
  <c r="P108" i="4"/>
  <c r="P100" i="4"/>
  <c r="P92" i="4"/>
  <c r="P84" i="4"/>
  <c r="P76" i="4"/>
  <c r="P68" i="4"/>
  <c r="P60" i="4"/>
  <c r="P52" i="4"/>
  <c r="P44" i="4"/>
  <c r="P36" i="4"/>
  <c r="P28" i="4"/>
  <c r="P20" i="4"/>
  <c r="P12" i="4"/>
  <c r="P4" i="4"/>
  <c r="P146" i="3"/>
  <c r="P138" i="3"/>
  <c r="P130" i="3"/>
  <c r="P122" i="3"/>
  <c r="P114" i="3"/>
  <c r="S106" i="3"/>
  <c r="R1053" i="4"/>
  <c r="J1039" i="4"/>
  <c r="L1028" i="4"/>
  <c r="I1018" i="4"/>
  <c r="J1007" i="4"/>
  <c r="L996" i="4"/>
  <c r="I986" i="4"/>
  <c r="J975" i="4"/>
  <c r="L964" i="4"/>
  <c r="I954" i="4"/>
  <c r="J943" i="4"/>
  <c r="L932" i="4"/>
  <c r="I922" i="4"/>
  <c r="J911" i="4"/>
  <c r="L900" i="4"/>
  <c r="I890" i="4"/>
  <c r="J879" i="4"/>
  <c r="L868" i="4"/>
  <c r="I858" i="4"/>
  <c r="J847" i="4"/>
  <c r="L836" i="4"/>
  <c r="I826" i="4"/>
  <c r="J815" i="4"/>
  <c r="L804" i="4"/>
  <c r="I794" i="4"/>
  <c r="J783" i="4"/>
  <c r="L772" i="4"/>
  <c r="I762" i="4"/>
  <c r="J751" i="4"/>
  <c r="L740" i="4"/>
  <c r="I730" i="4"/>
  <c r="J719" i="4"/>
  <c r="L708" i="4"/>
  <c r="J699" i="4"/>
  <c r="J691" i="4"/>
  <c r="J683" i="4"/>
  <c r="J675" i="4"/>
  <c r="J667" i="4"/>
  <c r="J659" i="4"/>
  <c r="J651" i="4"/>
  <c r="J643" i="4"/>
  <c r="J635" i="4"/>
  <c r="J627" i="4"/>
  <c r="J619" i="4"/>
  <c r="J611" i="4"/>
  <c r="J603" i="4"/>
  <c r="J595" i="4"/>
  <c r="J587" i="4"/>
  <c r="J579" i="4"/>
  <c r="J571" i="4"/>
  <c r="J563" i="4"/>
  <c r="J555" i="4"/>
  <c r="J547" i="4"/>
  <c r="J539" i="4"/>
  <c r="J531" i="4"/>
  <c r="J523" i="4"/>
  <c r="J515" i="4"/>
  <c r="J507" i="4"/>
  <c r="J499" i="4"/>
  <c r="J491" i="4"/>
  <c r="J483" i="4"/>
  <c r="J475" i="4"/>
  <c r="J467" i="4"/>
  <c r="J459" i="4"/>
  <c r="J451" i="4"/>
  <c r="J443" i="4"/>
  <c r="J435" i="4"/>
  <c r="J427" i="4"/>
  <c r="J419" i="4"/>
  <c r="J411" i="4"/>
  <c r="J403" i="4"/>
  <c r="J395" i="4"/>
  <c r="J387" i="4"/>
  <c r="J379" i="4"/>
  <c r="J371" i="4"/>
  <c r="J363" i="4"/>
  <c r="J355" i="4"/>
  <c r="J347" i="4"/>
  <c r="J339" i="4"/>
  <c r="J331" i="4"/>
  <c r="J323" i="4"/>
  <c r="J315" i="4"/>
  <c r="J307" i="4"/>
  <c r="J299" i="4"/>
  <c r="J291" i="4"/>
  <c r="J283" i="4"/>
  <c r="J275" i="4"/>
  <c r="J267" i="4"/>
  <c r="J259" i="4"/>
  <c r="J251" i="4"/>
  <c r="J243" i="4"/>
  <c r="J235" i="4"/>
  <c r="J227" i="4"/>
  <c r="J219" i="4"/>
  <c r="O205" i="4"/>
  <c r="O189" i="4"/>
  <c r="O173" i="4"/>
  <c r="O157" i="4"/>
  <c r="O141" i="4"/>
  <c r="O125" i="4"/>
  <c r="O109" i="4"/>
  <c r="O93" i="4"/>
  <c r="O77" i="4"/>
  <c r="O61" i="4"/>
  <c r="O45" i="4"/>
  <c r="O29" i="4"/>
  <c r="O13" i="4"/>
  <c r="O147" i="3"/>
  <c r="O131" i="3"/>
  <c r="O115" i="3"/>
  <c r="R105" i="3"/>
  <c r="R97" i="3"/>
  <c r="R89" i="3"/>
  <c r="R81" i="3"/>
  <c r="R73" i="3"/>
  <c r="R65" i="3"/>
  <c r="R57" i="3"/>
  <c r="R49" i="3"/>
  <c r="R41" i="3"/>
  <c r="J1046" i="4"/>
  <c r="I1035" i="4"/>
  <c r="J1024" i="4"/>
  <c r="L1013" i="4"/>
  <c r="I1003" i="4"/>
  <c r="J992" i="4"/>
  <c r="L981" i="4"/>
  <c r="I971" i="4"/>
  <c r="J960" i="4"/>
  <c r="L949" i="4"/>
  <c r="I939" i="4"/>
  <c r="J928" i="4"/>
  <c r="L917" i="4"/>
  <c r="I907" i="4"/>
  <c r="J896" i="4"/>
  <c r="L885" i="4"/>
  <c r="I875" i="4"/>
  <c r="J864" i="4"/>
  <c r="L853" i="4"/>
  <c r="I843" i="4"/>
  <c r="J832" i="4"/>
  <c r="L821" i="4"/>
  <c r="I811" i="4"/>
  <c r="J800" i="4"/>
  <c r="L789" i="4"/>
  <c r="I779" i="4"/>
  <c r="J768" i="4"/>
  <c r="L757" i="4"/>
  <c r="I747" i="4"/>
  <c r="J736" i="4"/>
  <c r="L725" i="4"/>
  <c r="I715" i="4"/>
  <c r="J704" i="4"/>
  <c r="I696" i="4"/>
  <c r="I688" i="4"/>
  <c r="I680" i="4"/>
  <c r="I672" i="4"/>
  <c r="I664" i="4"/>
  <c r="I656" i="4"/>
  <c r="I648" i="4"/>
  <c r="I640" i="4"/>
  <c r="I632" i="4"/>
  <c r="I624" i="4"/>
  <c r="I616" i="4"/>
  <c r="I608" i="4"/>
  <c r="I600" i="4"/>
  <c r="I592" i="4"/>
  <c r="I584" i="4"/>
  <c r="I576" i="4"/>
  <c r="I568" i="4"/>
  <c r="I560" i="4"/>
  <c r="I552" i="4"/>
  <c r="I544" i="4"/>
  <c r="I536" i="4"/>
  <c r="I528" i="4"/>
  <c r="I520" i="4"/>
  <c r="I512" i="4"/>
  <c r="I504" i="4"/>
  <c r="I496" i="4"/>
  <c r="I488" i="4"/>
  <c r="I480" i="4"/>
  <c r="I472" i="4"/>
  <c r="I464" i="4"/>
  <c r="I456" i="4"/>
  <c r="I448" i="4"/>
  <c r="I440" i="4"/>
  <c r="I432" i="4"/>
  <c r="I424" i="4"/>
  <c r="I416" i="4"/>
  <c r="I408" i="4"/>
  <c r="I400" i="4"/>
  <c r="I392" i="4"/>
  <c r="I384" i="4"/>
  <c r="I376" i="4"/>
  <c r="I368" i="4"/>
  <c r="I360" i="4"/>
  <c r="I352" i="4"/>
  <c r="I344" i="4"/>
  <c r="I336" i="4"/>
  <c r="I328" i="4"/>
  <c r="I320" i="4"/>
  <c r="I312" i="4"/>
  <c r="I304" i="4"/>
  <c r="I296" i="4"/>
  <c r="I288" i="4"/>
  <c r="I280" i="4"/>
  <c r="I272" i="4"/>
  <c r="I264" i="4"/>
  <c r="I256" i="4"/>
  <c r="I248" i="4"/>
  <c r="I240" i="4"/>
  <c r="I232" i="4"/>
  <c r="I224" i="4"/>
  <c r="L216" i="4"/>
  <c r="L208" i="4"/>
  <c r="L200" i="4"/>
  <c r="L192" i="4"/>
  <c r="L184" i="4"/>
  <c r="L176" i="4"/>
  <c r="L168" i="4"/>
  <c r="L160" i="4"/>
  <c r="L152" i="4"/>
  <c r="L144" i="4"/>
  <c r="L136" i="4"/>
  <c r="L128" i="4"/>
  <c r="L120" i="4"/>
  <c r="L112" i="4"/>
  <c r="L104" i="4"/>
  <c r="L96" i="4"/>
  <c r="L88" i="4"/>
  <c r="L80" i="4"/>
  <c r="L72" i="4"/>
  <c r="L64" i="4"/>
  <c r="L56" i="4"/>
  <c r="L48" i="4"/>
  <c r="L40" i="4"/>
  <c r="L32" i="4"/>
  <c r="L24" i="4"/>
  <c r="L16" i="4"/>
  <c r="L8" i="4"/>
  <c r="L150" i="3"/>
  <c r="L142" i="3"/>
  <c r="L134" i="3"/>
  <c r="L126" i="3"/>
  <c r="L118" i="3"/>
  <c r="P109" i="3"/>
  <c r="P101" i="3"/>
  <c r="P93" i="3"/>
  <c r="L1042" i="4"/>
  <c r="I1032" i="4"/>
  <c r="J1021" i="4"/>
  <c r="L1010" i="4"/>
  <c r="I1000" i="4"/>
  <c r="J989" i="4"/>
  <c r="L978" i="4"/>
  <c r="I968" i="4"/>
  <c r="J957" i="4"/>
  <c r="L946" i="4"/>
  <c r="I936" i="4"/>
  <c r="J925" i="4"/>
  <c r="L914" i="4"/>
  <c r="I904" i="4"/>
  <c r="J893" i="4"/>
  <c r="L882" i="4"/>
  <c r="I872" i="4"/>
  <c r="J861" i="4"/>
  <c r="L850" i="4"/>
  <c r="I840" i="4"/>
  <c r="J829" i="4"/>
  <c r="L818" i="4"/>
  <c r="I808" i="4"/>
  <c r="J797" i="4"/>
  <c r="L786" i="4"/>
  <c r="I776" i="4"/>
  <c r="J765" i="4"/>
  <c r="L754" i="4"/>
  <c r="I744" i="4"/>
  <c r="J733" i="4"/>
  <c r="L722" i="4"/>
  <c r="I712" i="4"/>
  <c r="O700" i="4"/>
  <c r="O684" i="4"/>
  <c r="O668" i="4"/>
  <c r="O652" i="4"/>
  <c r="O636" i="4"/>
  <c r="O620" i="4"/>
  <c r="O604" i="4"/>
  <c r="O588" i="4"/>
  <c r="O572" i="4"/>
  <c r="O556" i="4"/>
  <c r="O540" i="4"/>
  <c r="O524" i="4"/>
  <c r="O508" i="4"/>
  <c r="O492" i="4"/>
  <c r="O476" i="4"/>
  <c r="O460" i="4"/>
  <c r="O444" i="4"/>
  <c r="O428" i="4"/>
  <c r="O412" i="4"/>
  <c r="O396" i="4"/>
  <c r="O380" i="4"/>
  <c r="O364" i="4"/>
  <c r="O348" i="4"/>
  <c r="O332" i="4"/>
  <c r="O316" i="4"/>
  <c r="O300" i="4"/>
  <c r="O284" i="4"/>
  <c r="O268" i="4"/>
  <c r="O252" i="4"/>
  <c r="O236" i="4"/>
  <c r="O220" i="4"/>
  <c r="J211" i="4"/>
  <c r="J203" i="4"/>
  <c r="J195" i="4"/>
  <c r="J187" i="4"/>
  <c r="J179" i="4"/>
  <c r="J171" i="4"/>
  <c r="J163" i="4"/>
  <c r="J155" i="4"/>
  <c r="J147" i="4"/>
  <c r="J139" i="4"/>
  <c r="J131" i="4"/>
  <c r="J123" i="4"/>
  <c r="J115" i="4"/>
  <c r="J107" i="4"/>
  <c r="J99" i="4"/>
  <c r="J91" i="4"/>
  <c r="J83" i="4"/>
  <c r="J75" i="4"/>
  <c r="J67" i="4"/>
  <c r="J59" i="4"/>
  <c r="J51" i="4"/>
  <c r="J43" i="4"/>
  <c r="J35" i="4"/>
  <c r="J27" i="4"/>
  <c r="J19" i="4"/>
  <c r="J11" i="4"/>
  <c r="J3" i="4"/>
  <c r="J145" i="3"/>
  <c r="J137" i="3"/>
  <c r="J129" i="3"/>
  <c r="J121" i="3"/>
  <c r="J113" i="3"/>
  <c r="O99" i="3"/>
  <c r="O83" i="3"/>
  <c r="O67" i="3"/>
  <c r="O51" i="3"/>
  <c r="O35" i="3"/>
  <c r="O19" i="3"/>
  <c r="O3" i="3"/>
  <c r="O87" i="2"/>
  <c r="O71" i="2"/>
  <c r="O55" i="2"/>
  <c r="S93" i="3"/>
  <c r="P77" i="3"/>
  <c r="P61" i="3"/>
  <c r="P45" i="3"/>
  <c r="S31" i="3"/>
  <c r="P21" i="3"/>
  <c r="R10" i="3"/>
  <c r="S99" i="2"/>
  <c r="P89" i="2"/>
  <c r="R78" i="2"/>
  <c r="S67" i="2"/>
  <c r="P57" i="2"/>
  <c r="R46" i="2"/>
  <c r="P37" i="2"/>
  <c r="P29" i="2"/>
  <c r="P21" i="2"/>
  <c r="P13" i="2"/>
  <c r="P5" i="2"/>
  <c r="L8" i="1"/>
  <c r="P1615" i="4"/>
  <c r="O1559" i="4"/>
  <c r="O1495" i="4"/>
  <c r="O1430" i="4"/>
  <c r="O1366" i="4"/>
  <c r="O1302" i="4"/>
  <c r="O1238" i="4"/>
  <c r="O1174" i="4"/>
  <c r="O1110" i="4"/>
  <c r="O1046" i="4"/>
  <c r="O982" i="4"/>
  <c r="O918" i="4"/>
  <c r="O854" i="4"/>
  <c r="O790" i="4"/>
  <c r="O726" i="4"/>
  <c r="S1038" i="4"/>
  <c r="P1028" i="4"/>
  <c r="R1017" i="4"/>
  <c r="S1006" i="4"/>
  <c r="P996" i="4"/>
  <c r="R985" i="4"/>
  <c r="S974" i="4"/>
  <c r="P964" i="4"/>
  <c r="R953" i="4"/>
  <c r="S942" i="4"/>
  <c r="P932" i="4"/>
  <c r="R921" i="4"/>
  <c r="S910" i="4"/>
  <c r="P900" i="4"/>
  <c r="R889" i="4"/>
  <c r="S878" i="4"/>
  <c r="P868" i="4"/>
  <c r="R857" i="4"/>
  <c r="S846" i="4"/>
  <c r="P836" i="4"/>
  <c r="R825" i="4"/>
  <c r="S814" i="4"/>
  <c r="P804" i="4"/>
  <c r="R793" i="4"/>
  <c r="S782" i="4"/>
  <c r="P772" i="4"/>
  <c r="R761" i="4"/>
  <c r="S750" i="4"/>
  <c r="P740" i="4"/>
  <c r="R729" i="4"/>
  <c r="S718" i="4"/>
  <c r="P708" i="4"/>
  <c r="S698" i="4"/>
  <c r="S690" i="4"/>
  <c r="S682" i="4"/>
  <c r="S674" i="4"/>
  <c r="S666" i="4"/>
  <c r="S658" i="4"/>
  <c r="S650" i="4"/>
  <c r="S642" i="4"/>
  <c r="S634" i="4"/>
  <c r="S626" i="4"/>
  <c r="S618" i="4"/>
  <c r="S610" i="4"/>
  <c r="S602" i="4"/>
  <c r="S594" i="4"/>
  <c r="S586" i="4"/>
  <c r="S578" i="4"/>
  <c r="S570" i="4"/>
  <c r="S562" i="4"/>
  <c r="S554" i="4"/>
  <c r="S546" i="4"/>
  <c r="S538" i="4"/>
  <c r="S530" i="4"/>
  <c r="S522" i="4"/>
  <c r="S514" i="4"/>
  <c r="S506" i="4"/>
  <c r="S498" i="4"/>
  <c r="S490" i="4"/>
  <c r="S482" i="4"/>
  <c r="S474" i="4"/>
  <c r="S466" i="4"/>
  <c r="S458" i="4"/>
  <c r="S450" i="4"/>
  <c r="S442" i="4"/>
  <c r="S434" i="4"/>
  <c r="S426" i="4"/>
  <c r="S418" i="4"/>
  <c r="S410" i="4"/>
  <c r="S402" i="4"/>
  <c r="S394" i="4"/>
  <c r="S386" i="4"/>
  <c r="S378" i="4"/>
  <c r="S370" i="4"/>
  <c r="S362" i="4"/>
  <c r="S354" i="4"/>
  <c r="S346" i="4"/>
  <c r="S338" i="4"/>
  <c r="S330" i="4"/>
  <c r="S322" i="4"/>
  <c r="S314" i="4"/>
  <c r="S306" i="4"/>
  <c r="S298" i="4"/>
  <c r="S290" i="4"/>
  <c r="S282" i="4"/>
  <c r="S274" i="4"/>
  <c r="S266" i="4"/>
  <c r="S258" i="4"/>
  <c r="S250" i="4"/>
  <c r="S242" i="4"/>
  <c r="S234" i="4"/>
  <c r="S226" i="4"/>
  <c r="S218" i="4"/>
  <c r="I210" i="4"/>
  <c r="I202" i="4"/>
  <c r="I194" i="4"/>
  <c r="I186" i="4"/>
  <c r="I178" i="4"/>
  <c r="I170" i="4"/>
  <c r="I162" i="4"/>
  <c r="I154" i="4"/>
  <c r="I146" i="4"/>
  <c r="I138" i="4"/>
  <c r="I130" i="4"/>
  <c r="I122" i="4"/>
  <c r="I114" i="4"/>
  <c r="I106" i="4"/>
  <c r="I98" i="4"/>
  <c r="I90" i="4"/>
  <c r="I82" i="4"/>
  <c r="I74" i="4"/>
  <c r="I66" i="4"/>
  <c r="I58" i="4"/>
  <c r="I50" i="4"/>
  <c r="I42" i="4"/>
  <c r="I34" i="4"/>
  <c r="I26" i="4"/>
  <c r="I18" i="4"/>
  <c r="I10" i="4"/>
  <c r="I2" i="4"/>
  <c r="I144" i="3"/>
  <c r="I136" i="3"/>
  <c r="I128" i="3"/>
  <c r="I120" i="3"/>
  <c r="I112" i="3"/>
  <c r="L104" i="3"/>
  <c r="S1048" i="4"/>
  <c r="S1035" i="4"/>
  <c r="P1025" i="4"/>
  <c r="R1014" i="4"/>
  <c r="S1003" i="4"/>
  <c r="P993" i="4"/>
  <c r="R982" i="4"/>
  <c r="S971" i="4"/>
  <c r="P961" i="4"/>
  <c r="R950" i="4"/>
  <c r="S939" i="4"/>
  <c r="P929" i="4"/>
  <c r="R918" i="4"/>
  <c r="S907" i="4"/>
  <c r="P897" i="4"/>
  <c r="R886" i="4"/>
  <c r="S875" i="4"/>
  <c r="P865" i="4"/>
  <c r="R854" i="4"/>
  <c r="S843" i="4"/>
  <c r="P833" i="4"/>
  <c r="R822" i="4"/>
  <c r="S811" i="4"/>
  <c r="P801" i="4"/>
  <c r="R790" i="4"/>
  <c r="S779" i="4"/>
  <c r="P769" i="4"/>
  <c r="R758" i="4"/>
  <c r="S747" i="4"/>
  <c r="P737" i="4"/>
  <c r="R726" i="4"/>
  <c r="S715" i="4"/>
  <c r="P705" i="4"/>
  <c r="R696" i="4"/>
  <c r="R688" i="4"/>
  <c r="R680" i="4"/>
  <c r="R672" i="4"/>
  <c r="R664" i="4"/>
  <c r="R656" i="4"/>
  <c r="R648" i="4"/>
  <c r="R640" i="4"/>
  <c r="R632" i="4"/>
  <c r="R624" i="4"/>
  <c r="R616" i="4"/>
  <c r="R608" i="4"/>
  <c r="R600" i="4"/>
  <c r="R592" i="4"/>
  <c r="R584" i="4"/>
  <c r="R576" i="4"/>
  <c r="R568" i="4"/>
  <c r="R560" i="4"/>
  <c r="R552" i="4"/>
  <c r="R544" i="4"/>
  <c r="R536" i="4"/>
  <c r="R528" i="4"/>
  <c r="R520" i="4"/>
  <c r="R512" i="4"/>
  <c r="R504" i="4"/>
  <c r="R496" i="4"/>
  <c r="R488" i="4"/>
  <c r="R480" i="4"/>
  <c r="R472" i="4"/>
  <c r="R464" i="4"/>
  <c r="R456" i="4"/>
  <c r="R448" i="4"/>
  <c r="R440" i="4"/>
  <c r="R432" i="4"/>
  <c r="R424" i="4"/>
  <c r="R416" i="4"/>
  <c r="R408" i="4"/>
  <c r="R400" i="4"/>
  <c r="R392" i="4"/>
  <c r="R384" i="4"/>
  <c r="R376" i="4"/>
  <c r="R368" i="4"/>
  <c r="R360" i="4"/>
  <c r="R352" i="4"/>
  <c r="R344" i="4"/>
  <c r="R336" i="4"/>
  <c r="R328" i="4"/>
  <c r="R320" i="4"/>
  <c r="R312" i="4"/>
  <c r="R304" i="4"/>
  <c r="R296" i="4"/>
  <c r="R288" i="4"/>
  <c r="R280" i="4"/>
  <c r="R272" i="4"/>
  <c r="R264" i="4"/>
  <c r="R256" i="4"/>
  <c r="R248" i="4"/>
  <c r="R240" i="4"/>
  <c r="R232" i="4"/>
  <c r="R224" i="4"/>
  <c r="O216" i="4"/>
  <c r="O200" i="4"/>
  <c r="O184" i="4"/>
  <c r="O168" i="4"/>
  <c r="O152" i="4"/>
  <c r="O136" i="4"/>
  <c r="O120" i="4"/>
  <c r="O104" i="4"/>
  <c r="O88" i="4"/>
  <c r="O72" i="4"/>
  <c r="O56" i="4"/>
  <c r="O40" i="4"/>
  <c r="O24" i="4"/>
  <c r="O8" i="4"/>
  <c r="O142" i="3"/>
  <c r="O126" i="3"/>
  <c r="I111" i="3"/>
  <c r="J103" i="3"/>
  <c r="J95" i="3"/>
  <c r="J87" i="3"/>
  <c r="J79" i="3"/>
  <c r="J71" i="3"/>
  <c r="J63" i="3"/>
  <c r="J55" i="3"/>
  <c r="J47" i="3"/>
  <c r="J39" i="3"/>
  <c r="P1042" i="4"/>
  <c r="R1031" i="4"/>
  <c r="S1020" i="4"/>
  <c r="P1010" i="4"/>
  <c r="R999" i="4"/>
  <c r="S988" i="4"/>
  <c r="P978" i="4"/>
  <c r="R967" i="4"/>
  <c r="S956" i="4"/>
  <c r="P946" i="4"/>
  <c r="R935" i="4"/>
  <c r="S924" i="4"/>
  <c r="P914" i="4"/>
  <c r="R903" i="4"/>
  <c r="S892" i="4"/>
  <c r="P882" i="4"/>
  <c r="R871" i="4"/>
  <c r="S860" i="4"/>
  <c r="P850" i="4"/>
  <c r="R839" i="4"/>
  <c r="S828" i="4"/>
  <c r="P818" i="4"/>
  <c r="R807" i="4"/>
  <c r="S796" i="4"/>
  <c r="P786" i="4"/>
  <c r="R775" i="4"/>
  <c r="S764" i="4"/>
  <c r="P754" i="4"/>
  <c r="R743" i="4"/>
  <c r="S732" i="4"/>
  <c r="P722" i="4"/>
  <c r="R711" i="4"/>
  <c r="P701" i="4"/>
  <c r="P693" i="4"/>
  <c r="P685" i="4"/>
  <c r="P677" i="4"/>
  <c r="P669" i="4"/>
  <c r="P661" i="4"/>
  <c r="P653" i="4"/>
  <c r="P645" i="4"/>
  <c r="P637" i="4"/>
  <c r="P629" i="4"/>
  <c r="P621" i="4"/>
  <c r="P613" i="4"/>
  <c r="P605" i="4"/>
  <c r="P597" i="4"/>
  <c r="P589" i="4"/>
  <c r="P581" i="4"/>
  <c r="P573" i="4"/>
  <c r="P565" i="4"/>
  <c r="P557" i="4"/>
  <c r="P549" i="4"/>
  <c r="P541" i="4"/>
  <c r="P533" i="4"/>
  <c r="P525" i="4"/>
  <c r="P517" i="4"/>
  <c r="P509" i="4"/>
  <c r="P501" i="4"/>
  <c r="P493" i="4"/>
  <c r="P485" i="4"/>
  <c r="P477" i="4"/>
  <c r="P469" i="4"/>
  <c r="P461" i="4"/>
  <c r="P453" i="4"/>
  <c r="P445" i="4"/>
  <c r="P437" i="4"/>
  <c r="P429" i="4"/>
  <c r="P421" i="4"/>
  <c r="P413" i="4"/>
  <c r="P405" i="4"/>
  <c r="P397" i="4"/>
  <c r="P389" i="4"/>
  <c r="P381" i="4"/>
  <c r="P373" i="4"/>
  <c r="P365" i="4"/>
  <c r="P357" i="4"/>
  <c r="P349" i="4"/>
  <c r="P341" i="4"/>
  <c r="P333" i="4"/>
  <c r="P325" i="4"/>
  <c r="P317" i="4"/>
  <c r="P309" i="4"/>
  <c r="P301" i="4"/>
  <c r="P293" i="4"/>
  <c r="P285" i="4"/>
  <c r="P277" i="4"/>
  <c r="P269" i="4"/>
  <c r="P261" i="4"/>
  <c r="P253" i="4"/>
  <c r="P245" i="4"/>
  <c r="P237" i="4"/>
  <c r="P229" i="4"/>
  <c r="P221" i="4"/>
  <c r="S213" i="4"/>
  <c r="S205" i="4"/>
  <c r="S197" i="4"/>
  <c r="S189" i="4"/>
  <c r="S181" i="4"/>
  <c r="S173" i="4"/>
  <c r="S165" i="4"/>
  <c r="S157" i="4"/>
  <c r="S149" i="4"/>
  <c r="S141" i="4"/>
  <c r="S133" i="4"/>
  <c r="S125" i="4"/>
  <c r="S117" i="4"/>
  <c r="S109" i="4"/>
  <c r="S101" i="4"/>
  <c r="S93" i="4"/>
  <c r="S85" i="4"/>
  <c r="S77" i="4"/>
  <c r="S69" i="4"/>
  <c r="S61" i="4"/>
  <c r="S53" i="4"/>
  <c r="S45" i="4"/>
  <c r="S37" i="4"/>
  <c r="S29" i="4"/>
  <c r="S21" i="4"/>
  <c r="S13" i="4"/>
  <c r="S5" i="4"/>
  <c r="S147" i="3"/>
  <c r="S139" i="3"/>
  <c r="S131" i="3"/>
  <c r="S123" i="3"/>
  <c r="S115" i="3"/>
  <c r="I107" i="3"/>
  <c r="I99" i="3"/>
  <c r="J1053" i="4"/>
  <c r="P1039" i="4"/>
  <c r="R1028" i="4"/>
  <c r="S1017" i="4"/>
  <c r="P1007" i="4"/>
  <c r="R996" i="4"/>
  <c r="S985" i="4"/>
  <c r="P975" i="4"/>
  <c r="R964" i="4"/>
  <c r="S953" i="4"/>
  <c r="P943" i="4"/>
  <c r="R932" i="4"/>
  <c r="S921" i="4"/>
  <c r="P911" i="4"/>
  <c r="R900" i="4"/>
  <c r="S889" i="4"/>
  <c r="P879" i="4"/>
  <c r="R868" i="4"/>
  <c r="S857" i="4"/>
  <c r="P847" i="4"/>
  <c r="R836" i="4"/>
  <c r="S825" i="4"/>
  <c r="P815" i="4"/>
  <c r="R804" i="4"/>
  <c r="S793" i="4"/>
  <c r="P783" i="4"/>
  <c r="R772" i="4"/>
  <c r="S761" i="4"/>
  <c r="P751" i="4"/>
  <c r="R740" i="4"/>
  <c r="S729" i="4"/>
  <c r="P719" i="4"/>
  <c r="R708" i="4"/>
  <c r="O695" i="4"/>
  <c r="O679" i="4"/>
  <c r="O663" i="4"/>
  <c r="O647" i="4"/>
  <c r="O631" i="4"/>
  <c r="O615" i="4"/>
  <c r="O599" i="4"/>
  <c r="O583" i="4"/>
  <c r="O567" i="4"/>
  <c r="O551" i="4"/>
  <c r="O535" i="4"/>
  <c r="O519" i="4"/>
  <c r="O503" i="4"/>
  <c r="O487" i="4"/>
  <c r="O471" i="4"/>
  <c r="O455" i="4"/>
  <c r="O439" i="4"/>
  <c r="O423" i="4"/>
  <c r="O407" i="4"/>
  <c r="O391" i="4"/>
  <c r="O375" i="4"/>
  <c r="O359" i="4"/>
  <c r="O343" i="4"/>
  <c r="O327" i="4"/>
  <c r="O311" i="4"/>
  <c r="O295" i="4"/>
  <c r="O279" i="4"/>
  <c r="O263" i="4"/>
  <c r="O247" i="4"/>
  <c r="O231" i="4"/>
  <c r="R216" i="4"/>
  <c r="R208" i="4"/>
  <c r="R200" i="4"/>
  <c r="R192" i="4"/>
  <c r="R184" i="4"/>
  <c r="R176" i="4"/>
  <c r="R168" i="4"/>
  <c r="R160" i="4"/>
  <c r="R152" i="4"/>
  <c r="R144" i="4"/>
  <c r="R136" i="4"/>
  <c r="R128" i="4"/>
  <c r="R120" i="4"/>
  <c r="R112" i="4"/>
  <c r="R104" i="4"/>
  <c r="R96" i="4"/>
  <c r="R88" i="4"/>
  <c r="R80" i="4"/>
  <c r="R72" i="4"/>
  <c r="R64" i="4"/>
  <c r="R56" i="4"/>
  <c r="R48" i="4"/>
  <c r="R40" i="4"/>
  <c r="R32" i="4"/>
  <c r="R24" i="4"/>
  <c r="R16" i="4"/>
  <c r="R8" i="4"/>
  <c r="R150" i="3"/>
  <c r="R142" i="3"/>
  <c r="R134" i="3"/>
  <c r="R126" i="3"/>
  <c r="R118" i="3"/>
  <c r="O110" i="3"/>
  <c r="O94" i="3"/>
  <c r="O78" i="3"/>
  <c r="O62" i="3"/>
  <c r="O46" i="3"/>
  <c r="O30" i="3"/>
  <c r="O14" i="3"/>
  <c r="O98" i="2"/>
  <c r="O82" i="2"/>
  <c r="O66" i="2"/>
  <c r="O50" i="2"/>
  <c r="S88" i="3"/>
  <c r="S72" i="3"/>
  <c r="S56" i="3"/>
  <c r="S40" i="3"/>
  <c r="L28" i="3"/>
  <c r="I18" i="3"/>
  <c r="J7" i="3"/>
  <c r="L96" i="2"/>
  <c r="I86" i="2"/>
  <c r="J75" i="2"/>
  <c r="L64" i="2"/>
  <c r="I54" i="2"/>
  <c r="J43" i="2"/>
  <c r="I35" i="2"/>
  <c r="I27" i="2"/>
  <c r="I19" i="2"/>
  <c r="I11" i="2"/>
  <c r="I3" i="2"/>
  <c r="S1633" i="4"/>
  <c r="O1587" i="4"/>
  <c r="O1523" i="4"/>
  <c r="O1459" i="4"/>
  <c r="O1394" i="4"/>
  <c r="O1330" i="4"/>
  <c r="O1266" i="4"/>
  <c r="O1202" i="4"/>
  <c r="O1138" i="4"/>
  <c r="O1074" i="4"/>
  <c r="O1010" i="4"/>
  <c r="O946" i="4"/>
  <c r="O882" i="4"/>
  <c r="O818" i="4"/>
  <c r="O754" i="4"/>
  <c r="L1043" i="4"/>
  <c r="I1033" i="4"/>
  <c r="J1022" i="4"/>
  <c r="L1011" i="4"/>
  <c r="I1001" i="4"/>
  <c r="J990" i="4"/>
  <c r="L979" i="4"/>
  <c r="I969" i="4"/>
  <c r="J958" i="4"/>
  <c r="L947" i="4"/>
  <c r="I937" i="4"/>
  <c r="J926" i="4"/>
  <c r="L915" i="4"/>
  <c r="I905" i="4"/>
  <c r="J894" i="4"/>
  <c r="L883" i="4"/>
  <c r="I873" i="4"/>
  <c r="J862" i="4"/>
  <c r="L851" i="4"/>
  <c r="I841" i="4"/>
  <c r="J830" i="4"/>
  <c r="L819" i="4"/>
  <c r="I809" i="4"/>
  <c r="J798" i="4"/>
  <c r="L787" i="4"/>
  <c r="I777" i="4"/>
  <c r="J766" i="4"/>
  <c r="L755" i="4"/>
  <c r="I745" i="4"/>
  <c r="J734" i="4"/>
  <c r="L723" i="4"/>
  <c r="I713" i="4"/>
  <c r="L702" i="4"/>
  <c r="L694" i="4"/>
  <c r="L686" i="4"/>
  <c r="L678" i="4"/>
  <c r="L670" i="4"/>
  <c r="L662" i="4"/>
  <c r="L654" i="4"/>
  <c r="L646" i="4"/>
  <c r="L638" i="4"/>
  <c r="L630" i="4"/>
  <c r="L622" i="4"/>
  <c r="L614" i="4"/>
  <c r="L606" i="4"/>
  <c r="L598" i="4"/>
  <c r="L590" i="4"/>
  <c r="L582" i="4"/>
  <c r="L574" i="4"/>
  <c r="L566" i="4"/>
  <c r="L558" i="4"/>
  <c r="L550" i="4"/>
  <c r="L542" i="4"/>
  <c r="L534" i="4"/>
  <c r="L526" i="4"/>
  <c r="L518" i="4"/>
  <c r="L510" i="4"/>
  <c r="L502" i="4"/>
  <c r="L494" i="4"/>
  <c r="L486" i="4"/>
  <c r="L478" i="4"/>
  <c r="L470" i="4"/>
  <c r="L462" i="4"/>
  <c r="L454" i="4"/>
  <c r="L446" i="4"/>
  <c r="L438" i="4"/>
  <c r="L430" i="4"/>
  <c r="L422" i="4"/>
  <c r="L414" i="4"/>
  <c r="L406" i="4"/>
  <c r="L398" i="4"/>
  <c r="L390" i="4"/>
  <c r="L382" i="4"/>
  <c r="L374" i="4"/>
  <c r="L366" i="4"/>
  <c r="L358" i="4"/>
  <c r="L350" i="4"/>
  <c r="L342" i="4"/>
  <c r="L334" i="4"/>
  <c r="L326" i="4"/>
  <c r="L318" i="4"/>
  <c r="L310" i="4"/>
  <c r="L302" i="4"/>
  <c r="L294" i="4"/>
  <c r="L286" i="4"/>
  <c r="L278" i="4"/>
  <c r="L270" i="4"/>
  <c r="L262" i="4"/>
  <c r="L254" i="4"/>
  <c r="L246" i="4"/>
  <c r="L238" i="4"/>
  <c r="L230" i="4"/>
  <c r="L222" i="4"/>
  <c r="P213" i="4"/>
  <c r="P205" i="4"/>
  <c r="P197" i="4"/>
  <c r="P189" i="4"/>
  <c r="P181" i="4"/>
  <c r="P173" i="4"/>
  <c r="P165" i="4"/>
  <c r="P157" i="4"/>
  <c r="P149" i="4"/>
  <c r="P141" i="4"/>
  <c r="P133" i="4"/>
  <c r="P125" i="4"/>
  <c r="P117" i="4"/>
  <c r="P109" i="4"/>
  <c r="P101" i="4"/>
  <c r="P93" i="4"/>
  <c r="P85" i="4"/>
  <c r="P77" i="4"/>
  <c r="P69" i="4"/>
  <c r="P61" i="4"/>
  <c r="P53" i="4"/>
  <c r="P45" i="4"/>
  <c r="P37" i="4"/>
  <c r="P29" i="4"/>
  <c r="P21" i="4"/>
  <c r="P13" i="4"/>
  <c r="P5" i="4"/>
  <c r="P147" i="3"/>
  <c r="P139" i="3"/>
  <c r="P131" i="3"/>
  <c r="P123" i="3"/>
  <c r="P115" i="3"/>
  <c r="S107" i="3"/>
  <c r="S99" i="3"/>
  <c r="L1040" i="4"/>
  <c r="I1030" i="4"/>
  <c r="J1019" i="4"/>
  <c r="L1008" i="4"/>
  <c r="I998" i="4"/>
  <c r="J987" i="4"/>
  <c r="L976" i="4"/>
  <c r="I966" i="4"/>
  <c r="J955" i="4"/>
  <c r="L944" i="4"/>
  <c r="I934" i="4"/>
  <c r="J923" i="4"/>
  <c r="L912" i="4"/>
  <c r="I902" i="4"/>
  <c r="J891" i="4"/>
  <c r="L880" i="4"/>
  <c r="I870" i="4"/>
  <c r="J859" i="4"/>
  <c r="L848" i="4"/>
  <c r="I838" i="4"/>
  <c r="J827" i="4"/>
  <c r="L816" i="4"/>
  <c r="I806" i="4"/>
  <c r="J795" i="4"/>
  <c r="L784" i="4"/>
  <c r="I774" i="4"/>
  <c r="J763" i="4"/>
  <c r="L752" i="4"/>
  <c r="I742" i="4"/>
  <c r="J731" i="4"/>
  <c r="L720" i="4"/>
  <c r="I710" i="4"/>
  <c r="J700" i="4"/>
  <c r="J692" i="4"/>
  <c r="J684" i="4"/>
  <c r="J676" i="4"/>
  <c r="J668" i="4"/>
  <c r="J660" i="4"/>
  <c r="J652" i="4"/>
  <c r="J644" i="4"/>
  <c r="J636" i="4"/>
  <c r="J628" i="4"/>
  <c r="J620" i="4"/>
  <c r="J612" i="4"/>
  <c r="J604" i="4"/>
  <c r="J596" i="4"/>
  <c r="J588" i="4"/>
  <c r="J580" i="4"/>
  <c r="J572" i="4"/>
  <c r="J564" i="4"/>
  <c r="J556" i="4"/>
  <c r="J548" i="4"/>
  <c r="J540" i="4"/>
  <c r="J532" i="4"/>
  <c r="J524" i="4"/>
  <c r="J516" i="4"/>
  <c r="J508" i="4"/>
  <c r="J500" i="4"/>
  <c r="J492" i="4"/>
  <c r="J484" i="4"/>
  <c r="J476" i="4"/>
  <c r="J468" i="4"/>
  <c r="J460" i="4"/>
  <c r="J452" i="4"/>
  <c r="J444" i="4"/>
  <c r="J436" i="4"/>
  <c r="J428" i="4"/>
  <c r="J420" i="4"/>
  <c r="J412" i="4"/>
  <c r="J404" i="4"/>
  <c r="J396" i="4"/>
  <c r="J388" i="4"/>
  <c r="J380" i="4"/>
  <c r="J372" i="4"/>
  <c r="J364" i="4"/>
  <c r="J356" i="4"/>
  <c r="J348" i="4"/>
  <c r="J340" i="4"/>
  <c r="J332" i="4"/>
  <c r="J324" i="4"/>
  <c r="J316" i="4"/>
  <c r="J308" i="4"/>
  <c r="J300" i="4"/>
  <c r="J292" i="4"/>
  <c r="J284" i="4"/>
  <c r="J276" i="4"/>
  <c r="J268" i="4"/>
  <c r="J260" i="4"/>
  <c r="J252" i="4"/>
  <c r="J244" i="4"/>
  <c r="J236" i="4"/>
  <c r="J228" i="4"/>
  <c r="J220" i="4"/>
  <c r="O207" i="4"/>
  <c r="O191" i="4"/>
  <c r="I2329" i="4"/>
  <c r="L2201" i="4"/>
  <c r="L2073" i="4"/>
  <c r="S1994" i="4"/>
  <c r="L1940" i="4"/>
  <c r="I1883" i="4"/>
  <c r="I1851" i="4"/>
  <c r="I1819" i="4"/>
  <c r="I1787" i="4"/>
  <c r="I1755" i="4"/>
  <c r="I1723" i="4"/>
  <c r="I1691" i="4"/>
  <c r="S1925" i="4"/>
  <c r="O1879" i="4"/>
  <c r="O1815" i="4"/>
  <c r="O1751" i="4"/>
  <c r="O1687" i="4"/>
  <c r="O1623" i="4"/>
  <c r="R1927" i="4"/>
  <c r="S1876" i="4"/>
  <c r="S1844" i="4"/>
  <c r="S1812" i="4"/>
  <c r="S1780" i="4"/>
  <c r="S1748" i="4"/>
  <c r="S1716" i="4"/>
  <c r="P1971" i="4"/>
  <c r="J1914" i="4"/>
  <c r="J1876" i="4"/>
  <c r="J1844" i="4"/>
  <c r="J1812" i="4"/>
  <c r="J1780" i="4"/>
  <c r="J1748" i="4"/>
  <c r="J1716" i="4"/>
  <c r="J1683" i="4"/>
  <c r="P1640" i="4"/>
  <c r="S1597" i="4"/>
  <c r="S1565" i="4"/>
  <c r="S1533" i="4"/>
  <c r="S1501" i="4"/>
  <c r="S1469" i="4"/>
  <c r="S1436" i="4"/>
  <c r="S1404" i="4"/>
  <c r="S1372" i="4"/>
  <c r="O2227" i="4"/>
  <c r="O2055" i="4"/>
  <c r="O1968" i="4"/>
  <c r="P1930" i="4"/>
  <c r="P1898" i="4"/>
  <c r="S3114" i="4"/>
  <c r="S2858" i="4"/>
  <c r="I2369" i="4"/>
  <c r="S2183" i="4"/>
  <c r="S2055" i="4"/>
  <c r="P1989" i="4"/>
  <c r="O1946" i="4"/>
  <c r="L2315" i="4"/>
  <c r="L2187" i="4"/>
  <c r="L2059" i="4"/>
  <c r="P1990" i="4"/>
  <c r="P2642" i="4"/>
  <c r="P2386" i="4"/>
  <c r="L2192" i="4"/>
  <c r="L2064" i="4"/>
  <c r="I1992" i="4"/>
  <c r="L2319" i="4"/>
  <c r="S2190" i="4"/>
  <c r="S2062" i="4"/>
  <c r="L1991" i="4"/>
  <c r="J1934" i="4"/>
  <c r="P1880" i="4"/>
  <c r="P1848" i="4"/>
  <c r="P1816" i="4"/>
  <c r="P1784" i="4"/>
  <c r="P1752" i="4"/>
  <c r="P1720" i="4"/>
  <c r="P1688" i="4"/>
  <c r="O1922" i="4"/>
  <c r="O1874" i="4"/>
  <c r="O1810" i="4"/>
  <c r="O1746" i="4"/>
  <c r="O1682" i="4"/>
  <c r="O1618" i="4"/>
  <c r="L1922" i="4"/>
  <c r="L1874" i="4"/>
  <c r="L1842" i="4"/>
  <c r="L1810" i="4"/>
  <c r="L1778" i="4"/>
  <c r="L1746" i="4"/>
  <c r="L1714" i="4"/>
  <c r="L1967" i="4"/>
  <c r="S1910" i="4"/>
  <c r="R1873" i="4"/>
  <c r="R1841" i="4"/>
  <c r="R1809" i="4"/>
  <c r="R1777" i="4"/>
  <c r="R1745" i="4"/>
  <c r="R1713" i="4"/>
  <c r="L1679" i="4"/>
  <c r="I1637" i="4"/>
  <c r="L1595" i="4"/>
  <c r="L1563" i="4"/>
  <c r="L1531" i="4"/>
  <c r="L1499" i="4"/>
  <c r="L1467" i="4"/>
  <c r="L1434" i="4"/>
  <c r="L1402" i="4"/>
  <c r="L1370" i="4"/>
  <c r="S1338" i="4"/>
  <c r="S1306" i="4"/>
  <c r="S1274" i="4"/>
  <c r="S1242" i="4"/>
  <c r="S1210" i="4"/>
  <c r="S1178" i="4"/>
  <c r="S1146" i="4"/>
  <c r="S1114" i="4"/>
  <c r="S1082" i="4"/>
  <c r="J1679" i="4"/>
  <c r="L1636" i="4"/>
  <c r="J1595" i="4"/>
  <c r="J1563" i="4"/>
  <c r="J1531" i="4"/>
  <c r="J1499" i="4"/>
  <c r="J1467" i="4"/>
  <c r="J1434" i="4"/>
  <c r="J1402" i="4"/>
  <c r="J1370" i="4"/>
  <c r="J1338" i="4"/>
  <c r="J1306" i="4"/>
  <c r="J1274" i="4"/>
  <c r="J1242" i="4"/>
  <c r="J1210" i="4"/>
  <c r="J1178" i="4"/>
  <c r="J1146" i="4"/>
  <c r="J1114" i="4"/>
  <c r="J1082" i="4"/>
  <c r="I1679" i="4"/>
  <c r="J1636" i="4"/>
  <c r="I1595" i="4"/>
  <c r="I1563" i="4"/>
  <c r="I1531" i="4"/>
  <c r="I1499" i="4"/>
  <c r="I1467" i="4"/>
  <c r="I1434" i="4"/>
  <c r="I1402" i="4"/>
  <c r="I1370" i="4"/>
  <c r="I1338" i="4"/>
  <c r="I1306" i="4"/>
  <c r="I1274" i="4"/>
  <c r="I1242" i="4"/>
  <c r="I1210" i="4"/>
  <c r="I1178" i="4"/>
  <c r="I1146" i="4"/>
  <c r="I1114" i="4"/>
  <c r="I1082" i="4"/>
  <c r="I1050" i="4"/>
  <c r="L1650" i="4"/>
  <c r="I1608" i="4"/>
  <c r="O1548" i="4"/>
  <c r="O1484" i="4"/>
  <c r="O1419" i="4"/>
  <c r="O1355" i="4"/>
  <c r="O1291" i="4"/>
  <c r="O1227" i="4"/>
  <c r="O1163" i="4"/>
  <c r="O1099" i="4"/>
  <c r="O1035" i="4"/>
  <c r="O971" i="4"/>
  <c r="O907" i="4"/>
  <c r="O843" i="4"/>
  <c r="O779" i="4"/>
  <c r="O715" i="4"/>
  <c r="L1338" i="4"/>
  <c r="L1306" i="4"/>
  <c r="L1274" i="4"/>
  <c r="L1242" i="4"/>
  <c r="L1210" i="4"/>
  <c r="L1178" i="4"/>
  <c r="L1146" i="4"/>
  <c r="L1114" i="4"/>
  <c r="L1082" i="4"/>
  <c r="R1678" i="4"/>
  <c r="S1635" i="4"/>
  <c r="R1594" i="4"/>
  <c r="R1562" i="4"/>
  <c r="R1530" i="4"/>
  <c r="R1498" i="4"/>
  <c r="R1466" i="4"/>
  <c r="R1433" i="4"/>
  <c r="R1401" i="4"/>
  <c r="R1369" i="4"/>
  <c r="R1337" i="4"/>
  <c r="R1305" i="4"/>
  <c r="R1273" i="4"/>
  <c r="R1241" i="4"/>
  <c r="R1209" i="4"/>
  <c r="R1177" i="4"/>
  <c r="R1145" i="4"/>
  <c r="R1113" i="4"/>
  <c r="R1081" i="4"/>
  <c r="P1678" i="4"/>
  <c r="R1635" i="4"/>
  <c r="P1594" i="4"/>
  <c r="P1562" i="4"/>
  <c r="P1530" i="4"/>
  <c r="P1498" i="4"/>
  <c r="P1466" i="4"/>
  <c r="P1433" i="4"/>
  <c r="P1401" i="4"/>
  <c r="P1369" i="4"/>
  <c r="P1337" i="4"/>
  <c r="P1305" i="4"/>
  <c r="P1273" i="4"/>
  <c r="P1241" i="4"/>
  <c r="P1209" i="4"/>
  <c r="P1177" i="4"/>
  <c r="P1145" i="4"/>
  <c r="P1113" i="4"/>
  <c r="P1081" i="4"/>
  <c r="P1049" i="4"/>
  <c r="S1355" i="4"/>
  <c r="S1323" i="4"/>
  <c r="S1291" i="4"/>
  <c r="S1259" i="4"/>
  <c r="S1227" i="4"/>
  <c r="S1195" i="4"/>
  <c r="S1163" i="4"/>
  <c r="S1131" i="4"/>
  <c r="S1099" i="4"/>
  <c r="S1067" i="4"/>
  <c r="J1659" i="4"/>
  <c r="L1616" i="4"/>
  <c r="J1580" i="4"/>
  <c r="J1548" i="4"/>
  <c r="J1516" i="4"/>
  <c r="J1484" i="4"/>
  <c r="J1452" i="4"/>
  <c r="J1419" i="4"/>
  <c r="J1387" i="4"/>
  <c r="J1355" i="4"/>
  <c r="J1323" i="4"/>
  <c r="J1291" i="4"/>
  <c r="J1259" i="4"/>
  <c r="J1227" i="4"/>
  <c r="J1195" i="4"/>
  <c r="J1163" i="4"/>
  <c r="J1131" i="4"/>
  <c r="J1099" i="4"/>
  <c r="J1067" i="4"/>
  <c r="I1659" i="4"/>
  <c r="J1616" i="4"/>
  <c r="I1580" i="4"/>
  <c r="I1548" i="4"/>
  <c r="I1516" i="4"/>
  <c r="I1484" i="4"/>
  <c r="I1452" i="4"/>
  <c r="I1419" i="4"/>
  <c r="I1387" i="4"/>
  <c r="I1355" i="4"/>
  <c r="I1323" i="4"/>
  <c r="I1291" i="4"/>
  <c r="I1259" i="4"/>
  <c r="I1227" i="4"/>
  <c r="I1195" i="4"/>
  <c r="I1163" i="4"/>
  <c r="I1131" i="4"/>
  <c r="I1099" i="4"/>
  <c r="I1067" i="4"/>
  <c r="J1673" i="4"/>
  <c r="L1630" i="4"/>
  <c r="O1582" i="4"/>
  <c r="O1518" i="4"/>
  <c r="O1454" i="4"/>
  <c r="O1389" i="4"/>
  <c r="O1325" i="4"/>
  <c r="O1261" i="4"/>
  <c r="O1197" i="4"/>
  <c r="O1133" i="4"/>
  <c r="O1069" i="4"/>
  <c r="O1005" i="4"/>
  <c r="O941" i="4"/>
  <c r="O877" i="4"/>
  <c r="O813" i="4"/>
  <c r="O749" i="4"/>
  <c r="L1355" i="4"/>
  <c r="L1323" i="4"/>
  <c r="L1291" i="4"/>
  <c r="L1259" i="4"/>
  <c r="L1227" i="4"/>
  <c r="L1195" i="4"/>
  <c r="L1163" i="4"/>
  <c r="L1131" i="4"/>
  <c r="L1099" i="4"/>
  <c r="L1067" i="4"/>
  <c r="R1658" i="4"/>
  <c r="S1615" i="4"/>
  <c r="R1579" i="4"/>
  <c r="R1547" i="4"/>
  <c r="R1515" i="4"/>
  <c r="R1483" i="4"/>
  <c r="R1451" i="4"/>
  <c r="R1418" i="4"/>
  <c r="R1386" i="4"/>
  <c r="R1354" i="4"/>
  <c r="R1322" i="4"/>
  <c r="R1290" i="4"/>
  <c r="R1258" i="4"/>
  <c r="R1226" i="4"/>
  <c r="R1194" i="4"/>
  <c r="R1162" i="4"/>
  <c r="R1130" i="4"/>
  <c r="R1098" i="4"/>
  <c r="R1066" i="4"/>
  <c r="P1658" i="4"/>
  <c r="R1615" i="4"/>
  <c r="P1579" i="4"/>
  <c r="P1547" i="4"/>
  <c r="P1515" i="4"/>
  <c r="P1483" i="4"/>
  <c r="P1451" i="4"/>
  <c r="P1418" i="4"/>
  <c r="P1386" i="4"/>
  <c r="P1354" i="4"/>
  <c r="P1322" i="4"/>
  <c r="P1290" i="4"/>
  <c r="P1258" i="4"/>
  <c r="P1226" i="4"/>
  <c r="P1194" i="4"/>
  <c r="P1162" i="4"/>
  <c r="P1130" i="4"/>
  <c r="S1629" i="4"/>
  <c r="O1388" i="4"/>
  <c r="O1132" i="4"/>
  <c r="O876" i="4"/>
  <c r="O716" i="4"/>
  <c r="O1262" i="4"/>
  <c r="O750" i="4"/>
  <c r="P968" i="4"/>
  <c r="S882" i="4"/>
  <c r="R797" i="4"/>
  <c r="P712" i="4"/>
  <c r="S645" i="4"/>
  <c r="S581" i="4"/>
  <c r="S517" i="4"/>
  <c r="S453" i="4"/>
  <c r="S389" i="4"/>
  <c r="S325" i="4"/>
  <c r="S261" i="4"/>
  <c r="I197" i="4"/>
  <c r="I133" i="4"/>
  <c r="I69" i="4"/>
  <c r="I5" i="4"/>
  <c r="S1039" i="4"/>
  <c r="R954" i="4"/>
  <c r="R874" i="4"/>
  <c r="S831" i="4"/>
  <c r="P789" i="4"/>
  <c r="R746" i="4"/>
  <c r="S703" i="4"/>
  <c r="R671" i="4"/>
  <c r="R639" i="4"/>
  <c r="R607" i="4"/>
  <c r="R575" i="4"/>
  <c r="R543" i="4"/>
  <c r="R511" i="4"/>
  <c r="R479" i="4"/>
  <c r="R447" i="4"/>
  <c r="R415" i="4"/>
  <c r="R383" i="4"/>
  <c r="R351" i="4"/>
  <c r="R319" i="4"/>
  <c r="R287" i="4"/>
  <c r="R255" i="4"/>
  <c r="R223" i="4"/>
  <c r="O166" i="4"/>
  <c r="O102" i="4"/>
  <c r="O38" i="4"/>
  <c r="O124" i="3"/>
  <c r="J86" i="3"/>
  <c r="J54" i="3"/>
  <c r="P1030" i="4"/>
  <c r="R987" i="4"/>
  <c r="S944" i="4"/>
  <c r="P902" i="4"/>
  <c r="R859" i="4"/>
  <c r="S816" i="4"/>
  <c r="P774" i="4"/>
  <c r="R731" i="4"/>
  <c r="P692" i="4"/>
  <c r="P660" i="4"/>
  <c r="P628" i="4"/>
  <c r="P596" i="4"/>
  <c r="P564" i="4"/>
  <c r="P532" i="4"/>
  <c r="P500" i="4"/>
  <c r="P468" i="4"/>
  <c r="P436" i="4"/>
  <c r="P404" i="4"/>
  <c r="P372" i="4"/>
  <c r="P340" i="4"/>
  <c r="P308" i="4"/>
  <c r="P276" i="4"/>
  <c r="P244" i="4"/>
  <c r="S212" i="4"/>
  <c r="S180" i="4"/>
  <c r="S148" i="4"/>
  <c r="S116" i="4"/>
  <c r="S84" i="4"/>
  <c r="S52" i="4"/>
  <c r="S20" i="4"/>
  <c r="S138" i="3"/>
  <c r="I106" i="3"/>
  <c r="P1027" i="4"/>
  <c r="R984" i="4"/>
  <c r="S941" i="4"/>
  <c r="P899" i="4"/>
  <c r="R856" i="4"/>
  <c r="S813" i="4"/>
  <c r="P771" i="4"/>
  <c r="R728" i="4"/>
  <c r="O677" i="4"/>
  <c r="O613" i="4"/>
  <c r="O549" i="4"/>
  <c r="O485" i="4"/>
  <c r="O421" i="4"/>
  <c r="O357" i="4"/>
  <c r="O293" i="4"/>
  <c r="O229" i="4"/>
  <c r="R191" i="4"/>
  <c r="R159" i="4"/>
  <c r="R127" i="4"/>
  <c r="R95" i="4"/>
  <c r="R63" i="4"/>
  <c r="R31" i="4"/>
  <c r="R149" i="3"/>
  <c r="R117" i="3"/>
  <c r="O60" i="3"/>
  <c r="O96" i="2"/>
  <c r="L86" i="3"/>
  <c r="J27" i="3"/>
  <c r="L84" i="2"/>
  <c r="I42" i="2"/>
  <c r="I10" i="2"/>
  <c r="O1499" i="4"/>
  <c r="O1242" i="4"/>
  <c r="O986" i="4"/>
  <c r="O730" i="4"/>
  <c r="L1007" i="4"/>
  <c r="I965" i="4"/>
  <c r="J922" i="4"/>
  <c r="L879" i="4"/>
  <c r="I837" i="4"/>
  <c r="J794" i="4"/>
  <c r="L751" i="4"/>
  <c r="I709" i="4"/>
  <c r="L675" i="4"/>
  <c r="L643" i="4"/>
  <c r="L611" i="4"/>
  <c r="L579" i="4"/>
  <c r="L547" i="4"/>
  <c r="L515" i="4"/>
  <c r="L483" i="4"/>
  <c r="L451" i="4"/>
  <c r="L419" i="4"/>
  <c r="L387" i="4"/>
  <c r="L355" i="4"/>
  <c r="L323" i="4"/>
  <c r="L291" i="4"/>
  <c r="L259" i="4"/>
  <c r="L227" i="4"/>
  <c r="P194" i="4"/>
  <c r="P162" i="4"/>
  <c r="P130" i="4"/>
  <c r="P98" i="4"/>
  <c r="P66" i="4"/>
  <c r="P34" i="4"/>
  <c r="P2" i="4"/>
  <c r="P120" i="3"/>
  <c r="L1036" i="4"/>
  <c r="I994" i="4"/>
  <c r="J951" i="4"/>
  <c r="L908" i="4"/>
  <c r="I866" i="4"/>
  <c r="J823" i="4"/>
  <c r="L780" i="4"/>
  <c r="I738" i="4"/>
  <c r="J697" i="4"/>
  <c r="J665" i="4"/>
  <c r="J633" i="4"/>
  <c r="J601" i="4"/>
  <c r="J569" i="4"/>
  <c r="J537" i="4"/>
  <c r="J505" i="4"/>
  <c r="J473" i="4"/>
  <c r="J441" i="4"/>
  <c r="J409" i="4"/>
  <c r="J377" i="4"/>
  <c r="J345" i="4"/>
  <c r="J313" i="4"/>
  <c r="J281" i="4"/>
  <c r="J249" i="4"/>
  <c r="L217" i="4"/>
  <c r="O153" i="4"/>
  <c r="O89" i="4"/>
  <c r="O25" i="4"/>
  <c r="O111" i="3"/>
  <c r="R79" i="3"/>
  <c r="R47" i="3"/>
  <c r="L1021" i="4"/>
  <c r="I979" i="4"/>
  <c r="J936" i="4"/>
  <c r="L893" i="4"/>
  <c r="I851" i="4"/>
  <c r="J808" i="4"/>
  <c r="L765" i="4"/>
  <c r="I723" i="4"/>
  <c r="I686" i="4"/>
  <c r="I654" i="4"/>
  <c r="I622" i="4"/>
  <c r="I590" i="4"/>
  <c r="I558" i="4"/>
  <c r="I526" i="4"/>
  <c r="I494" i="4"/>
  <c r="I462" i="4"/>
  <c r="I430" i="4"/>
  <c r="I398" i="4"/>
  <c r="I366" i="4"/>
  <c r="I334" i="4"/>
  <c r="I302" i="4"/>
  <c r="I270" i="4"/>
  <c r="I238" i="4"/>
  <c r="L206" i="4"/>
  <c r="L174" i="4"/>
  <c r="L142" i="4"/>
  <c r="L110" i="4"/>
  <c r="L78" i="4"/>
  <c r="L46" i="4"/>
  <c r="L14" i="4"/>
  <c r="L132" i="3"/>
  <c r="P99" i="3"/>
  <c r="L1018" i="4"/>
  <c r="I976" i="4"/>
  <c r="J933" i="4"/>
  <c r="L890" i="4"/>
  <c r="I848" i="4"/>
  <c r="J805" i="4"/>
  <c r="L762" i="4"/>
  <c r="I720" i="4"/>
  <c r="O664" i="4"/>
  <c r="O600" i="4"/>
  <c r="O536" i="4"/>
  <c r="O472" i="4"/>
  <c r="O408" i="4"/>
  <c r="O344" i="4"/>
  <c r="O280" i="4"/>
  <c r="I217" i="4"/>
  <c r="J185" i="4"/>
  <c r="J153" i="4"/>
  <c r="J121" i="4"/>
  <c r="J89" i="4"/>
  <c r="J57" i="4"/>
  <c r="J25" i="4"/>
  <c r="J143" i="3"/>
  <c r="L111" i="3"/>
  <c r="O47" i="3"/>
  <c r="O83" i="2"/>
  <c r="P73" i="3"/>
  <c r="R18" i="3"/>
  <c r="S75" i="2"/>
  <c r="P35" i="2"/>
  <c r="P3" i="2"/>
  <c r="O1479" i="4"/>
  <c r="O1222" i="4"/>
  <c r="O966" i="4"/>
  <c r="O710" i="4"/>
  <c r="P1004" i="4"/>
  <c r="R961" i="4"/>
  <c r="S918" i="4"/>
  <c r="P876" i="4"/>
  <c r="R833" i="4"/>
  <c r="S790" i="4"/>
  <c r="P748" i="4"/>
  <c r="R705" i="4"/>
  <c r="S672" i="4"/>
  <c r="S640" i="4"/>
  <c r="S608" i="4"/>
  <c r="S576" i="4"/>
  <c r="S544" i="4"/>
  <c r="S512" i="4"/>
  <c r="S480" i="4"/>
  <c r="S448" i="4"/>
  <c r="S416" i="4"/>
  <c r="S384" i="4"/>
  <c r="S352" i="4"/>
  <c r="S320" i="4"/>
  <c r="S288" i="4"/>
  <c r="S256" i="4"/>
  <c r="S224" i="4"/>
  <c r="I192" i="4"/>
  <c r="I160" i="4"/>
  <c r="I128" i="4"/>
  <c r="I96" i="4"/>
  <c r="I64" i="4"/>
  <c r="I32" i="4"/>
  <c r="I150" i="3"/>
  <c r="I118" i="3"/>
  <c r="P1033" i="4"/>
  <c r="R990" i="4"/>
  <c r="S947" i="4"/>
  <c r="P905" i="4"/>
  <c r="R862" i="4"/>
  <c r="S819" i="4"/>
  <c r="P777" i="4"/>
  <c r="R734" i="4"/>
  <c r="R694" i="4"/>
  <c r="R662" i="4"/>
  <c r="R630" i="4"/>
  <c r="R598" i="4"/>
  <c r="R566" i="4"/>
  <c r="R534" i="4"/>
  <c r="R502" i="4"/>
  <c r="R470" i="4"/>
  <c r="R438" i="4"/>
  <c r="R406" i="4"/>
  <c r="R374" i="4"/>
  <c r="R342" i="4"/>
  <c r="R310" i="4"/>
  <c r="R278" i="4"/>
  <c r="R246" i="4"/>
  <c r="O212" i="4"/>
  <c r="O148" i="4"/>
  <c r="O84" i="4"/>
  <c r="O20" i="4"/>
  <c r="J109" i="3"/>
  <c r="J77" i="3"/>
  <c r="J45" i="3"/>
  <c r="P1018" i="4"/>
  <c r="R975" i="4"/>
  <c r="S932" i="4"/>
  <c r="P890" i="4"/>
  <c r="R847" i="4"/>
  <c r="S804" i="4"/>
  <c r="P762" i="4"/>
  <c r="R719" i="4"/>
  <c r="P683" i="4"/>
  <c r="P651" i="4"/>
  <c r="P619" i="4"/>
  <c r="P587" i="4"/>
  <c r="P555" i="4"/>
  <c r="P523" i="4"/>
  <c r="P491" i="4"/>
  <c r="P459" i="4"/>
  <c r="P427" i="4"/>
  <c r="P395" i="4"/>
  <c r="P363" i="4"/>
  <c r="P331" i="4"/>
  <c r="P299" i="4"/>
  <c r="P267" i="4"/>
  <c r="P235" i="4"/>
  <c r="S203" i="4"/>
  <c r="S171" i="4"/>
  <c r="S139" i="4"/>
  <c r="S107" i="4"/>
  <c r="S75" i="4"/>
  <c r="S43" i="4"/>
  <c r="S11" i="4"/>
  <c r="S129" i="3"/>
  <c r="I97" i="3"/>
  <c r="P1015" i="4"/>
  <c r="R972" i="4"/>
  <c r="S929" i="4"/>
  <c r="P887" i="4"/>
  <c r="R844" i="4"/>
  <c r="S801" i="4"/>
  <c r="P759" i="4"/>
  <c r="R716" i="4"/>
  <c r="O659" i="4"/>
  <c r="O595" i="4"/>
  <c r="O531" i="4"/>
  <c r="O467" i="4"/>
  <c r="O403" i="4"/>
  <c r="O339" i="4"/>
  <c r="O275" i="4"/>
  <c r="R214" i="4"/>
  <c r="R182" i="4"/>
  <c r="R150" i="4"/>
  <c r="R118" i="4"/>
  <c r="R86" i="4"/>
  <c r="R54" i="4"/>
  <c r="R22" i="4"/>
  <c r="R140" i="3"/>
  <c r="O106" i="3"/>
  <c r="O42" i="3"/>
  <c r="O78" i="2"/>
  <c r="S68" i="3"/>
  <c r="J15" i="3"/>
  <c r="L72" i="2"/>
  <c r="I33" i="2"/>
  <c r="S15" i="1"/>
  <c r="O1443" i="4"/>
  <c r="O1186" i="4"/>
  <c r="O930" i="4"/>
  <c r="I1041" i="4"/>
  <c r="J998" i="4"/>
  <c r="L955" i="4"/>
  <c r="I913" i="4"/>
  <c r="J870" i="4"/>
  <c r="L827" i="4"/>
  <c r="I785" i="4"/>
  <c r="J742" i="4"/>
  <c r="L700" i="4"/>
  <c r="L668" i="4"/>
  <c r="L636" i="4"/>
  <c r="L604" i="4"/>
  <c r="L572" i="4"/>
  <c r="L540" i="4"/>
  <c r="L508" i="4"/>
  <c r="L476" i="4"/>
  <c r="L444" i="4"/>
  <c r="L412" i="4"/>
  <c r="L380" i="4"/>
  <c r="L348" i="4"/>
  <c r="L316" i="4"/>
  <c r="L284" i="4"/>
  <c r="L252" i="4"/>
  <c r="L220" i="4"/>
  <c r="P187" i="4"/>
  <c r="P155" i="4"/>
  <c r="P123" i="4"/>
  <c r="P91" i="4"/>
  <c r="P59" i="4"/>
  <c r="P27" i="4"/>
  <c r="P145" i="3"/>
  <c r="P113" i="3"/>
  <c r="J1027" i="4"/>
  <c r="L984" i="4"/>
  <c r="I942" i="4"/>
  <c r="J899" i="4"/>
  <c r="L856" i="4"/>
  <c r="I814" i="4"/>
  <c r="J771" i="4"/>
  <c r="L728" i="4"/>
  <c r="J690" i="4"/>
  <c r="J658" i="4"/>
  <c r="J626" i="4"/>
  <c r="J594" i="4"/>
  <c r="J562" i="4"/>
  <c r="J530" i="4"/>
  <c r="J498" i="4"/>
  <c r="J466" i="4"/>
  <c r="J434" i="4"/>
  <c r="J402" i="4"/>
  <c r="J370" i="4"/>
  <c r="J338" i="4"/>
  <c r="J306" i="4"/>
  <c r="J274" i="4"/>
  <c r="J242" i="4"/>
  <c r="O203" i="4"/>
  <c r="O171" i="4"/>
  <c r="O151" i="4"/>
  <c r="O127" i="4"/>
  <c r="O107" i="4"/>
  <c r="O91" i="4"/>
  <c r="O75" i="4"/>
  <c r="O59" i="4"/>
  <c r="O43" i="4"/>
  <c r="O27" i="4"/>
  <c r="O11" i="4"/>
  <c r="O145" i="3"/>
  <c r="O129" i="3"/>
  <c r="O113" i="3"/>
  <c r="R104" i="3"/>
  <c r="R96" i="3"/>
  <c r="R88" i="3"/>
  <c r="R80" i="3"/>
  <c r="R72" i="3"/>
  <c r="R64" i="3"/>
  <c r="R56" i="3"/>
  <c r="R48" i="3"/>
  <c r="R40" i="3"/>
  <c r="R1044" i="4"/>
  <c r="L1033" i="4"/>
  <c r="I1023" i="4"/>
  <c r="J1012" i="4"/>
  <c r="L1001" i="4"/>
  <c r="I991" i="4"/>
  <c r="J980" i="4"/>
  <c r="L969" i="4"/>
  <c r="I959" i="4"/>
  <c r="J948" i="4"/>
  <c r="L937" i="4"/>
  <c r="I927" i="4"/>
  <c r="J916" i="4"/>
  <c r="L905" i="4"/>
  <c r="I895" i="4"/>
  <c r="J884" i="4"/>
  <c r="L873" i="4"/>
  <c r="I863" i="4"/>
  <c r="J852" i="4"/>
  <c r="L841" i="4"/>
  <c r="I831" i="4"/>
  <c r="J820" i="4"/>
  <c r="L809" i="4"/>
  <c r="I799" i="4"/>
  <c r="J788" i="4"/>
  <c r="L777" i="4"/>
  <c r="I767" i="4"/>
  <c r="J756" i="4"/>
  <c r="L745" i="4"/>
  <c r="I735" i="4"/>
  <c r="J724" i="4"/>
  <c r="L713" i="4"/>
  <c r="I703" i="4"/>
  <c r="I695" i="4"/>
  <c r="I687" i="4"/>
  <c r="I679" i="4"/>
  <c r="I671" i="4"/>
  <c r="I663" i="4"/>
  <c r="I655" i="4"/>
  <c r="I647" i="4"/>
  <c r="I639" i="4"/>
  <c r="I631" i="4"/>
  <c r="I623" i="4"/>
  <c r="I615" i="4"/>
  <c r="I607" i="4"/>
  <c r="I599" i="4"/>
  <c r="I591" i="4"/>
  <c r="I583" i="4"/>
  <c r="I575" i="4"/>
  <c r="I567" i="4"/>
  <c r="I559" i="4"/>
  <c r="I551" i="4"/>
  <c r="I543" i="4"/>
  <c r="I535" i="4"/>
  <c r="I527" i="4"/>
  <c r="I519" i="4"/>
  <c r="I511" i="4"/>
  <c r="I503" i="4"/>
  <c r="I495" i="4"/>
  <c r="I487" i="4"/>
  <c r="I479" i="4"/>
  <c r="I471" i="4"/>
  <c r="I463" i="4"/>
  <c r="I455" i="4"/>
  <c r="I447" i="4"/>
  <c r="I439" i="4"/>
  <c r="I431" i="4"/>
  <c r="I423" i="4"/>
  <c r="I415" i="4"/>
  <c r="I407" i="4"/>
  <c r="I399" i="4"/>
  <c r="I391" i="4"/>
  <c r="I383" i="4"/>
  <c r="I375" i="4"/>
  <c r="I367" i="4"/>
  <c r="I359" i="4"/>
  <c r="I351" i="4"/>
  <c r="I343" i="4"/>
  <c r="I335" i="4"/>
  <c r="I327" i="4"/>
  <c r="I319" i="4"/>
  <c r="I311" i="4"/>
  <c r="I303" i="4"/>
  <c r="I295" i="4"/>
  <c r="I287" i="4"/>
  <c r="I279" i="4"/>
  <c r="I271" i="4"/>
  <c r="I263" i="4"/>
  <c r="I255" i="4"/>
  <c r="I247" i="4"/>
  <c r="I239" i="4"/>
  <c r="I231" i="4"/>
  <c r="I223" i="4"/>
  <c r="L215" i="4"/>
  <c r="L207" i="4"/>
  <c r="L199" i="4"/>
  <c r="L191" i="4"/>
  <c r="L183" i="4"/>
  <c r="L175" i="4"/>
  <c r="L167" i="4"/>
  <c r="L159" i="4"/>
  <c r="L151" i="4"/>
  <c r="L143" i="4"/>
  <c r="L135" i="4"/>
  <c r="L127" i="4"/>
  <c r="L119" i="4"/>
  <c r="L111" i="4"/>
  <c r="L103" i="4"/>
  <c r="L95" i="4"/>
  <c r="L87" i="4"/>
  <c r="L79" i="4"/>
  <c r="L71" i="4"/>
  <c r="L63" i="4"/>
  <c r="L55" i="4"/>
  <c r="L47" i="4"/>
  <c r="L39" i="4"/>
  <c r="L31" i="4"/>
  <c r="L23" i="4"/>
  <c r="L15" i="4"/>
  <c r="L7" i="4"/>
  <c r="L149" i="3"/>
  <c r="L141" i="3"/>
  <c r="L133" i="3"/>
  <c r="L125" i="3"/>
  <c r="L117" i="3"/>
  <c r="P108" i="3"/>
  <c r="P100" i="3"/>
  <c r="P92" i="3"/>
  <c r="J1041" i="4"/>
  <c r="L1030" i="4"/>
  <c r="I1020" i="4"/>
  <c r="J1009" i="4"/>
  <c r="L998" i="4"/>
  <c r="I988" i="4"/>
  <c r="J977" i="4"/>
  <c r="L966" i="4"/>
  <c r="I956" i="4"/>
  <c r="J945" i="4"/>
  <c r="L934" i="4"/>
  <c r="I924" i="4"/>
  <c r="J913" i="4"/>
  <c r="L902" i="4"/>
  <c r="I892" i="4"/>
  <c r="J881" i="4"/>
  <c r="L870" i="4"/>
  <c r="I860" i="4"/>
  <c r="J849" i="4"/>
  <c r="L838" i="4"/>
  <c r="I828" i="4"/>
  <c r="J817" i="4"/>
  <c r="L806" i="4"/>
  <c r="I796" i="4"/>
  <c r="J785" i="4"/>
  <c r="L774" i="4"/>
  <c r="I764" i="4"/>
  <c r="J753" i="4"/>
  <c r="L742" i="4"/>
  <c r="I732" i="4"/>
  <c r="J721" i="4"/>
  <c r="L710" i="4"/>
  <c r="O698" i="4"/>
  <c r="O682" i="4"/>
  <c r="O666" i="4"/>
  <c r="O650" i="4"/>
  <c r="O634" i="4"/>
  <c r="O618" i="4"/>
  <c r="O602" i="4"/>
  <c r="O586" i="4"/>
  <c r="O570" i="4"/>
  <c r="O554" i="4"/>
  <c r="O538" i="4"/>
  <c r="O522" i="4"/>
  <c r="O506" i="4"/>
  <c r="O490" i="4"/>
  <c r="O474" i="4"/>
  <c r="O458" i="4"/>
  <c r="O442" i="4"/>
  <c r="O426" i="4"/>
  <c r="O410" i="4"/>
  <c r="O394" i="4"/>
  <c r="O378" i="4"/>
  <c r="O362" i="4"/>
  <c r="O346" i="4"/>
  <c r="O330" i="4"/>
  <c r="O314" i="4"/>
  <c r="O298" i="4"/>
  <c r="O282" i="4"/>
  <c r="O266" i="4"/>
  <c r="O250" i="4"/>
  <c r="O234" i="4"/>
  <c r="O218" i="4"/>
  <c r="J210" i="4"/>
  <c r="J202" i="4"/>
  <c r="J194" i="4"/>
  <c r="J186" i="4"/>
  <c r="J178" i="4"/>
  <c r="J170" i="4"/>
  <c r="J162" i="4"/>
  <c r="J154" i="4"/>
  <c r="J146" i="4"/>
  <c r="J138" i="4"/>
  <c r="J130" i="4"/>
  <c r="J122" i="4"/>
  <c r="J114" i="4"/>
  <c r="J106" i="4"/>
  <c r="J98" i="4"/>
  <c r="J90" i="4"/>
  <c r="J82" i="4"/>
  <c r="J74" i="4"/>
  <c r="J66" i="4"/>
  <c r="J58" i="4"/>
  <c r="J50" i="4"/>
  <c r="J42" i="4"/>
  <c r="J34" i="4"/>
  <c r="J26" i="4"/>
  <c r="J18" i="4"/>
  <c r="J10" i="4"/>
  <c r="J2" i="4"/>
  <c r="J144" i="3"/>
  <c r="J136" i="3"/>
  <c r="J128" i="3"/>
  <c r="J120" i="3"/>
  <c r="J112" i="3"/>
  <c r="O97" i="3"/>
  <c r="O81" i="3"/>
  <c r="O65" i="3"/>
  <c r="O49" i="3"/>
  <c r="O33" i="3"/>
  <c r="O17" i="3"/>
  <c r="O101" i="2"/>
  <c r="O85" i="2"/>
  <c r="O69" i="2"/>
  <c r="O53" i="2"/>
  <c r="I91" i="3"/>
  <c r="I75" i="3"/>
  <c r="I59" i="3"/>
  <c r="I43" i="3"/>
  <c r="R30" i="3"/>
  <c r="S19" i="3"/>
  <c r="P9" i="3"/>
  <c r="R98" i="2"/>
  <c r="S87" i="2"/>
  <c r="P77" i="2"/>
  <c r="R66" i="2"/>
  <c r="S55" i="2"/>
  <c r="P45" i="2"/>
  <c r="P36" i="2"/>
  <c r="P28" i="2"/>
  <c r="P20" i="2"/>
  <c r="P12" i="2"/>
  <c r="P4" i="2"/>
  <c r="L5" i="1"/>
  <c r="L6" i="1"/>
  <c r="R6" i="1"/>
  <c r="S10" i="2"/>
  <c r="L89" i="3"/>
  <c r="L73" i="3"/>
  <c r="L57" i="3"/>
  <c r="L41" i="3"/>
  <c r="L29" i="3"/>
  <c r="I19" i="3"/>
  <c r="J8" i="3"/>
  <c r="L97" i="2"/>
  <c r="I87" i="2"/>
  <c r="J76" i="2"/>
  <c r="L65" i="2"/>
  <c r="I55" i="2"/>
  <c r="J44" i="2"/>
  <c r="O29" i="2"/>
  <c r="O13" i="2"/>
  <c r="P9" i="1"/>
  <c r="L29" i="2"/>
  <c r="L4" i="2"/>
  <c r="P87" i="3"/>
  <c r="P71" i="3"/>
  <c r="P55" i="3"/>
  <c r="P39" i="3"/>
  <c r="I28" i="3"/>
  <c r="J17" i="3"/>
  <c r="L6" i="3"/>
  <c r="I96" i="2"/>
  <c r="J85" i="2"/>
  <c r="L74" i="2"/>
  <c r="I64" i="2"/>
  <c r="J53" i="2"/>
  <c r="S40" i="2"/>
  <c r="S19" i="2"/>
  <c r="S92" i="3"/>
  <c r="I76" i="3"/>
  <c r="I60" i="3"/>
  <c r="I44" i="3"/>
  <c r="L31" i="3"/>
  <c r="I21" i="3"/>
  <c r="J10" i="3"/>
  <c r="L99" i="2"/>
  <c r="I89" i="2"/>
  <c r="J78" i="2"/>
  <c r="L67" i="2"/>
  <c r="I57" i="2"/>
  <c r="J46" i="2"/>
  <c r="J37" i="2"/>
  <c r="J29" i="2"/>
  <c r="J21" i="2"/>
  <c r="J13" i="2"/>
  <c r="J5" i="2"/>
  <c r="O7" i="1"/>
  <c r="S21" i="2"/>
  <c r="P7" i="1"/>
  <c r="R52" i="2"/>
  <c r="S33" i="2"/>
  <c r="L91" i="3"/>
  <c r="L71" i="3"/>
  <c r="L47" i="3"/>
  <c r="S30" i="3"/>
  <c r="R17" i="3"/>
  <c r="R101" i="2"/>
  <c r="S82" i="2"/>
  <c r="S66" i="2"/>
  <c r="S42" i="2"/>
  <c r="R28" i="2"/>
  <c r="R16" i="2"/>
  <c r="R6" i="2"/>
  <c r="J49" i="2"/>
  <c r="S5" i="1"/>
  <c r="S15" i="2"/>
  <c r="S79" i="3"/>
  <c r="S47" i="3"/>
  <c r="L25" i="3"/>
  <c r="J4" i="3"/>
  <c r="J80" i="2"/>
  <c r="I59" i="2"/>
  <c r="O35" i="2"/>
  <c r="R5" i="1"/>
  <c r="L14" i="1"/>
  <c r="I73" i="3"/>
  <c r="I41" i="3"/>
  <c r="J21" i="3"/>
  <c r="I100" i="2"/>
  <c r="I76" i="2"/>
  <c r="I52" i="2"/>
  <c r="S5" i="2"/>
  <c r="P70" i="3"/>
  <c r="P38" i="3"/>
  <c r="L19" i="3"/>
  <c r="J98" i="2"/>
  <c r="J82" i="2"/>
  <c r="J66" i="2"/>
  <c r="L47" i="2"/>
  <c r="J28" i="2"/>
  <c r="J12" i="2"/>
  <c r="O4" i="1"/>
  <c r="S11" i="1"/>
  <c r="L35" i="2"/>
  <c r="I82" i="3"/>
  <c r="I50" i="3"/>
  <c r="P22" i="3"/>
  <c r="S100" i="2"/>
  <c r="S76" i="2"/>
  <c r="S52" i="2"/>
  <c r="O30" i="2"/>
  <c r="R10" i="1"/>
  <c r="S24" i="2"/>
  <c r="I8" i="1"/>
  <c r="L84" i="3"/>
  <c r="L68" i="3"/>
  <c r="L52" i="3"/>
  <c r="R36" i="3"/>
  <c r="S25" i="3"/>
  <c r="P15" i="3"/>
  <c r="R4" i="3"/>
  <c r="S93" i="2"/>
  <c r="P83" i="2"/>
  <c r="R72" i="2"/>
  <c r="S61" i="2"/>
  <c r="P51" i="2"/>
  <c r="L39" i="2"/>
  <c r="S12" i="2"/>
  <c r="S89" i="3"/>
  <c r="S73" i="3"/>
  <c r="S57" i="3"/>
  <c r="S41" i="3"/>
  <c r="R29" i="3"/>
  <c r="S18" i="3"/>
  <c r="P8" i="3"/>
  <c r="R97" i="2"/>
  <c r="S86" i="2"/>
  <c r="P76" i="2"/>
  <c r="R65" i="2"/>
  <c r="S54" i="2"/>
  <c r="P44" i="2"/>
  <c r="R33" i="2"/>
  <c r="R25" i="2"/>
  <c r="R17" i="2"/>
  <c r="R9" i="2"/>
  <c r="R16" i="1"/>
  <c r="O12" i="1"/>
  <c r="L9" i="2"/>
  <c r="S8" i="1"/>
  <c r="S3" i="1"/>
  <c r="R12" i="1"/>
  <c r="P8" i="1"/>
  <c r="P84" i="3"/>
  <c r="P68" i="3"/>
  <c r="P52" i="3"/>
  <c r="S36" i="3"/>
  <c r="P26" i="3"/>
  <c r="R15" i="3"/>
  <c r="S4" i="3"/>
  <c r="P94" i="2"/>
  <c r="R83" i="2"/>
  <c r="S72" i="2"/>
  <c r="P62" i="2"/>
  <c r="R51" i="2"/>
  <c r="O40" i="2"/>
  <c r="O24" i="2"/>
  <c r="O8" i="2"/>
  <c r="J7" i="1"/>
  <c r="S22" i="2"/>
  <c r="P4" i="1"/>
  <c r="S82" i="3"/>
  <c r="S66" i="3"/>
  <c r="S50" i="3"/>
  <c r="P35" i="3"/>
  <c r="R24" i="3"/>
  <c r="S13" i="3"/>
  <c r="P3" i="3"/>
  <c r="R92" i="2"/>
  <c r="P79" i="2"/>
  <c r="R68" i="2"/>
  <c r="J45" i="2"/>
  <c r="L83" i="3"/>
  <c r="R25" i="3"/>
  <c r="S90" i="2"/>
  <c r="P64" i="2"/>
  <c r="R45" i="2"/>
  <c r="R24" i="2"/>
  <c r="O8" i="1"/>
  <c r="I11" i="1"/>
  <c r="J8" i="1"/>
  <c r="P12" i="1"/>
  <c r="S59" i="3"/>
  <c r="J28" i="3"/>
  <c r="I7" i="3"/>
  <c r="J88" i="2"/>
  <c r="I67" i="2"/>
  <c r="J48" i="2"/>
  <c r="O19" i="2"/>
  <c r="R4" i="1"/>
  <c r="S95" i="3"/>
  <c r="I61" i="3"/>
  <c r="I32" i="3"/>
  <c r="L10" i="3"/>
  <c r="J89" i="2"/>
  <c r="L70" i="2"/>
  <c r="P47" i="2"/>
  <c r="L15" i="2"/>
  <c r="P74" i="3"/>
  <c r="P42" i="3"/>
  <c r="I17" i="3"/>
  <c r="I93" i="2"/>
  <c r="I61" i="2"/>
  <c r="J40" i="2"/>
  <c r="J24" i="2"/>
  <c r="J10" i="2"/>
  <c r="O3" i="1"/>
  <c r="I6" i="1"/>
  <c r="J4" i="1"/>
  <c r="I86" i="3"/>
  <c r="I58" i="3"/>
  <c r="R27" i="3"/>
  <c r="S8" i="3"/>
  <c r="P90" i="2"/>
  <c r="S68" i="2"/>
  <c r="P50" i="2"/>
  <c r="O18" i="2"/>
  <c r="R37" i="2"/>
  <c r="J65" i="2"/>
  <c r="P11" i="1"/>
  <c r="L35" i="3"/>
  <c r="L11" i="3"/>
  <c r="L55" i="2"/>
  <c r="J38" i="2"/>
  <c r="J6" i="2"/>
  <c r="L36" i="2"/>
  <c r="L23" i="2"/>
  <c r="I78" i="3"/>
  <c r="S24" i="3"/>
  <c r="R3" i="3"/>
  <c r="R63" i="2"/>
  <c r="P42" i="2"/>
  <c r="J58" i="2"/>
  <c r="S44" i="2"/>
  <c r="L76" i="3"/>
  <c r="P31" i="3"/>
  <c r="S9" i="3"/>
  <c r="R88" i="2"/>
  <c r="P67" i="2"/>
  <c r="I44" i="2"/>
  <c r="P6" i="1"/>
  <c r="S81" i="3"/>
  <c r="S49" i="3"/>
  <c r="P24" i="3"/>
  <c r="P92" i="2"/>
  <c r="S70" i="2"/>
  <c r="R49" i="2"/>
  <c r="R39" i="2"/>
  <c r="R21" i="2"/>
  <c r="R13" i="2"/>
  <c r="S23" i="2"/>
  <c r="P5" i="1"/>
  <c r="R11" i="1"/>
  <c r="L18" i="2"/>
  <c r="P76" i="3"/>
  <c r="R31" i="3"/>
  <c r="P10" i="3"/>
  <c r="S88" i="2"/>
  <c r="R67" i="2"/>
  <c r="S56" i="2"/>
  <c r="O32" i="2"/>
  <c r="O16" i="2"/>
  <c r="L34" i="2"/>
  <c r="S90" i="3"/>
  <c r="S42" i="3"/>
  <c r="P19" i="3"/>
  <c r="S97" i="2"/>
  <c r="S73" i="2"/>
  <c r="L28" i="2"/>
  <c r="P4" i="3"/>
  <c r="P56" i="2"/>
  <c r="S27" i="2"/>
  <c r="L26" i="2"/>
  <c r="I15" i="3"/>
  <c r="L77" i="2"/>
  <c r="O31" i="2"/>
  <c r="L21" i="2"/>
  <c r="I45" i="3"/>
  <c r="L18" i="3"/>
  <c r="L78" i="2"/>
  <c r="L37" i="2"/>
  <c r="P58" i="3"/>
  <c r="I77" i="2"/>
  <c r="J34" i="2"/>
  <c r="J2" i="2"/>
  <c r="L3" i="2"/>
  <c r="I38" i="3"/>
  <c r="R19" i="3"/>
  <c r="R79" i="2"/>
  <c r="O34" i="2"/>
  <c r="O6" i="2"/>
  <c r="R1672" i="4"/>
  <c r="R714" i="4"/>
  <c r="R583" i="4"/>
  <c r="R487" i="4"/>
  <c r="R423" i="4"/>
  <c r="R359" i="4"/>
  <c r="R295" i="4"/>
  <c r="R231" i="4"/>
  <c r="O118" i="4"/>
  <c r="O54" i="4"/>
  <c r="J94" i="3"/>
  <c r="S1040" i="4"/>
  <c r="R955" i="4"/>
  <c r="P870" i="4"/>
  <c r="R827" i="4"/>
  <c r="S784" i="4"/>
  <c r="P742" i="4"/>
  <c r="P700" i="4"/>
  <c r="P668" i="4"/>
  <c r="P636" i="4"/>
  <c r="P604" i="4"/>
  <c r="P572" i="4"/>
  <c r="P508" i="4"/>
  <c r="P476" i="4"/>
  <c r="P444" i="4"/>
  <c r="P380" i="4"/>
  <c r="P348" i="4"/>
  <c r="P284" i="4"/>
  <c r="P220" i="4"/>
  <c r="S188" i="4"/>
  <c r="S124" i="4"/>
  <c r="S60" i="4"/>
  <c r="S146" i="3"/>
  <c r="S1037" i="4"/>
  <c r="R952" i="4"/>
  <c r="P867" i="4"/>
  <c r="S781" i="4"/>
  <c r="O693" i="4"/>
  <c r="O565" i="4"/>
  <c r="O437" i="4"/>
  <c r="O373" i="4"/>
  <c r="O245" i="4"/>
  <c r="R167" i="4"/>
  <c r="R103" i="4"/>
  <c r="R39" i="4"/>
  <c r="R125" i="3"/>
  <c r="O12" i="3"/>
  <c r="L38" i="3"/>
  <c r="L52" i="2"/>
  <c r="O1563" i="4"/>
  <c r="O794" i="4"/>
  <c r="L975" i="4"/>
  <c r="J890" i="4"/>
  <c r="I805" i="4"/>
  <c r="L719" i="4"/>
  <c r="L651" i="4"/>
  <c r="L587" i="4"/>
  <c r="L523" i="4"/>
  <c r="L491" i="4"/>
  <c r="L427" i="4"/>
  <c r="L363" i="4"/>
  <c r="L299" i="4"/>
  <c r="L235" i="4"/>
  <c r="P170" i="4"/>
  <c r="P138" i="4"/>
  <c r="P42" i="4"/>
  <c r="P128" i="3"/>
  <c r="I962" i="4"/>
  <c r="I834" i="4"/>
  <c r="L748" i="4"/>
  <c r="I706" i="4"/>
  <c r="J609" i="4"/>
  <c r="J545" i="4"/>
  <c r="J481" i="4"/>
  <c r="J417" i="4"/>
  <c r="J353" i="4"/>
  <c r="J289" i="4"/>
  <c r="O169" i="4"/>
  <c r="O41" i="4"/>
  <c r="R87" i="3"/>
  <c r="L989" i="4"/>
  <c r="J904" i="4"/>
  <c r="I819" i="4"/>
  <c r="L733" i="4"/>
  <c r="I662" i="4"/>
  <c r="I598" i="4"/>
  <c r="I534" i="4"/>
  <c r="I470" i="4"/>
  <c r="I438" i="4"/>
  <c r="I374" i="4"/>
  <c r="I310" i="4"/>
  <c r="I246" i="4"/>
  <c r="L150" i="4"/>
  <c r="L86" i="4"/>
  <c r="L22" i="4"/>
  <c r="P107" i="3"/>
  <c r="J1029" i="4"/>
  <c r="I944" i="4"/>
  <c r="I816" i="4"/>
  <c r="L730" i="4"/>
  <c r="O552" i="4"/>
  <c r="O424" i="4"/>
  <c r="O296" i="4"/>
  <c r="J193" i="4"/>
  <c r="J129" i="4"/>
  <c r="J65" i="4"/>
  <c r="J151" i="3"/>
  <c r="O63" i="3"/>
  <c r="P89" i="3"/>
  <c r="R86" i="2"/>
  <c r="P11" i="2"/>
  <c r="O1543" i="4"/>
  <c r="O1030" i="4"/>
  <c r="S1014" i="4"/>
  <c r="R929" i="4"/>
  <c r="P844" i="4"/>
  <c r="P716" i="4"/>
  <c r="S648" i="4"/>
  <c r="S584" i="4"/>
  <c r="S520" i="4"/>
  <c r="S456" i="4"/>
  <c r="S392" i="4"/>
  <c r="S360" i="4"/>
  <c r="S296" i="4"/>
  <c r="S232" i="4"/>
  <c r="I168" i="4"/>
  <c r="I104" i="4"/>
  <c r="I8" i="4"/>
  <c r="S1044" i="4"/>
  <c r="P1001" i="4"/>
  <c r="S915" i="4"/>
  <c r="R830" i="4"/>
  <c r="P745" i="4"/>
  <c r="R670" i="4"/>
  <c r="R606" i="4"/>
  <c r="R542" i="4"/>
  <c r="R478" i="4"/>
  <c r="R414" i="4"/>
  <c r="R350" i="4"/>
  <c r="R286" i="4"/>
  <c r="R222" i="4"/>
  <c r="O164" i="4"/>
  <c r="O36" i="4"/>
  <c r="J85" i="3"/>
  <c r="S1028" i="4"/>
  <c r="R943" i="4"/>
  <c r="P858" i="4"/>
  <c r="S772" i="4"/>
  <c r="P691" i="4"/>
  <c r="P627" i="4"/>
  <c r="P595" i="4"/>
  <c r="P531" i="4"/>
  <c r="P467" i="4"/>
  <c r="P403" i="4"/>
  <c r="P339" i="4"/>
  <c r="P275" i="4"/>
  <c r="S211" i="4"/>
  <c r="S147" i="4"/>
  <c r="S115" i="4"/>
  <c r="S51" i="4"/>
  <c r="S137" i="3"/>
  <c r="S1025" i="4"/>
  <c r="P983" i="4"/>
  <c r="S897" i="4"/>
  <c r="R812" i="4"/>
  <c r="P727" i="4"/>
  <c r="O611" i="4"/>
  <c r="O483" i="4"/>
  <c r="O355" i="4"/>
  <c r="O227" i="4"/>
  <c r="R158" i="4"/>
  <c r="R94" i="4"/>
  <c r="R30" i="4"/>
  <c r="R116" i="3"/>
  <c r="O94" i="2"/>
  <c r="I26" i="3"/>
  <c r="J83" i="2"/>
  <c r="I9" i="2"/>
  <c r="O1250" i="4"/>
  <c r="I1009" i="4"/>
  <c r="L923" i="4"/>
  <c r="J838" i="4"/>
  <c r="L795" i="4"/>
  <c r="J710" i="4"/>
  <c r="L644" i="4"/>
  <c r="L612" i="4"/>
  <c r="L548" i="4"/>
  <c r="L516" i="4"/>
  <c r="L452" i="4"/>
  <c r="L388" i="4"/>
  <c r="L356" i="4"/>
  <c r="L292" i="4"/>
  <c r="L228" i="4"/>
  <c r="P163" i="4"/>
  <c r="P67" i="4"/>
  <c r="P3" i="4"/>
  <c r="J995" i="4"/>
  <c r="I910" i="4"/>
  <c r="L824" i="4"/>
  <c r="I782" i="4"/>
  <c r="J698" i="4"/>
  <c r="J634" i="4"/>
  <c r="J570" i="4"/>
  <c r="J506" i="4"/>
  <c r="J442" i="4"/>
  <c r="J378" i="4"/>
  <c r="J314" i="4"/>
  <c r="J250" i="4"/>
  <c r="J218" i="4"/>
  <c r="O155" i="4"/>
  <c r="O95" i="4"/>
  <c r="O63" i="4"/>
  <c r="O31" i="4"/>
  <c r="O149" i="3"/>
  <c r="O117" i="3"/>
  <c r="R106" i="3"/>
  <c r="R90" i="3"/>
  <c r="R74" i="3"/>
  <c r="R58" i="3"/>
  <c r="R42" i="3"/>
  <c r="J1036" i="4"/>
  <c r="I1015" i="4"/>
  <c r="L993" i="4"/>
  <c r="L961" i="4"/>
  <c r="L929" i="4"/>
  <c r="J908" i="4"/>
  <c r="I887" i="4"/>
  <c r="I855" i="4"/>
  <c r="L833" i="4"/>
  <c r="I823" i="4"/>
  <c r="I791" i="4"/>
  <c r="L769" i="4"/>
  <c r="J748" i="4"/>
  <c r="J716" i="4"/>
  <c r="I689" i="4"/>
  <c r="I665" i="4"/>
  <c r="I641" i="4"/>
  <c r="I625" i="4"/>
  <c r="I601" i="4"/>
  <c r="I561" i="4"/>
  <c r="I537" i="4"/>
  <c r="I513" i="4"/>
  <c r="I489" i="4"/>
  <c r="I457" i="4"/>
  <c r="I433" i="4"/>
  <c r="I401" i="4"/>
  <c r="I377" i="4"/>
  <c r="I345" i="4"/>
  <c r="I313" i="4"/>
  <c r="I289" i="4"/>
  <c r="I265" i="4"/>
  <c r="I249" i="4"/>
  <c r="I225" i="4"/>
  <c r="L193" i="4"/>
  <c r="L153" i="4"/>
  <c r="L129" i="4"/>
  <c r="L113" i="4"/>
  <c r="L89" i="4"/>
  <c r="L65" i="4"/>
  <c r="L41" i="4"/>
  <c r="L17" i="4"/>
  <c r="L143" i="3"/>
  <c r="P110" i="3"/>
  <c r="L1044" i="4"/>
  <c r="L1022" i="4"/>
  <c r="L990" i="4"/>
  <c r="I948" i="4"/>
  <c r="J905" i="4"/>
  <c r="J841" i="4"/>
  <c r="L798" i="4"/>
  <c r="L766" i="4"/>
  <c r="L734" i="4"/>
  <c r="O702" i="4"/>
  <c r="O654" i="4"/>
  <c r="O606" i="4"/>
  <c r="O542" i="4"/>
  <c r="O494" i="4"/>
  <c r="O446" i="4"/>
  <c r="O398" i="4"/>
  <c r="O318" i="4"/>
  <c r="O270" i="4"/>
  <c r="O222" i="4"/>
  <c r="J196" i="4"/>
  <c r="J164" i="4"/>
  <c r="J132" i="4"/>
  <c r="J100" i="4"/>
  <c r="J76" i="4"/>
  <c r="J52" i="4"/>
  <c r="J36" i="4"/>
  <c r="J20" i="4"/>
  <c r="J12" i="4"/>
  <c r="J146" i="3"/>
  <c r="J130" i="3"/>
  <c r="O101" i="3"/>
  <c r="O69" i="3"/>
  <c r="O21" i="3"/>
  <c r="O73" i="2"/>
  <c r="S97" i="3"/>
  <c r="I63" i="3"/>
  <c r="R22" i="3"/>
  <c r="P101" i="2"/>
  <c r="R58" i="2"/>
  <c r="P14" i="2"/>
  <c r="R7" i="1"/>
  <c r="L77" i="3"/>
  <c r="J32" i="3"/>
  <c r="J100" i="2"/>
  <c r="J68" i="2"/>
  <c r="O33" i="2"/>
  <c r="O16" i="1"/>
  <c r="S91" i="3"/>
  <c r="L30" i="3"/>
  <c r="L98" i="2"/>
  <c r="I56" i="2"/>
  <c r="I80" i="3"/>
  <c r="J34" i="3"/>
  <c r="J2" i="3"/>
  <c r="J70" i="2"/>
  <c r="J31" i="2"/>
  <c r="J7" i="2"/>
  <c r="S57" i="2"/>
  <c r="L75" i="3"/>
  <c r="P20" i="3"/>
  <c r="P48" i="2"/>
  <c r="R8" i="2"/>
  <c r="S83" i="3"/>
  <c r="L9" i="3"/>
  <c r="J64" i="2"/>
  <c r="S16" i="2"/>
  <c r="L26" i="3"/>
  <c r="J57" i="2"/>
  <c r="J22" i="3"/>
  <c r="L71" i="2"/>
  <c r="J32" i="2"/>
  <c r="O9" i="1"/>
  <c r="P6" i="3"/>
  <c r="O38" i="2"/>
  <c r="L88" i="3"/>
  <c r="L40" i="3"/>
  <c r="P7" i="3"/>
  <c r="P75" i="2"/>
  <c r="L41" i="2"/>
  <c r="S77" i="3"/>
  <c r="P32" i="3"/>
  <c r="P100" i="2"/>
  <c r="P68" i="2"/>
  <c r="R35" i="2"/>
  <c r="R19" i="2"/>
  <c r="R3" i="2"/>
  <c r="I13" i="1"/>
  <c r="S7" i="2"/>
  <c r="P56" i="3"/>
  <c r="P18" i="3"/>
  <c r="S96" i="2"/>
  <c r="S64" i="2"/>
  <c r="R43" i="2"/>
  <c r="R8" i="1"/>
  <c r="S70" i="3"/>
  <c r="P27" i="3"/>
  <c r="R16" i="3"/>
  <c r="S81" i="2"/>
  <c r="P10" i="1"/>
  <c r="R69" i="2"/>
  <c r="R4" i="2"/>
  <c r="L2" i="1"/>
  <c r="J36" i="3"/>
  <c r="L53" i="2"/>
  <c r="I15" i="1"/>
  <c r="J37" i="3"/>
  <c r="J73" i="2"/>
  <c r="P82" i="3"/>
  <c r="I101" i="2"/>
  <c r="J30" i="2"/>
  <c r="S4" i="2"/>
  <c r="I62" i="3"/>
  <c r="R95" i="2"/>
  <c r="O14" i="1"/>
  <c r="P1098" i="4"/>
  <c r="O1581" i="4"/>
  <c r="O1324" i="4"/>
  <c r="O1068" i="4"/>
  <c r="O812" i="4"/>
  <c r="P1631" i="4"/>
  <c r="O1134" i="4"/>
  <c r="P1032" i="4"/>
  <c r="S946" i="4"/>
  <c r="R861" i="4"/>
  <c r="P776" i="4"/>
  <c r="S693" i="4"/>
  <c r="S629" i="4"/>
  <c r="S565" i="4"/>
  <c r="S501" i="4"/>
  <c r="S437" i="4"/>
  <c r="S373" i="4"/>
  <c r="S309" i="4"/>
  <c r="S245" i="4"/>
  <c r="I181" i="4"/>
  <c r="I117" i="4"/>
  <c r="I53" i="4"/>
  <c r="I139" i="3"/>
  <c r="R1018" i="4"/>
  <c r="P933" i="4"/>
  <c r="S863" i="4"/>
  <c r="P821" i="4"/>
  <c r="R778" i="4"/>
  <c r="S735" i="4"/>
  <c r="R695" i="4"/>
  <c r="R663" i="4"/>
  <c r="R631" i="4"/>
  <c r="R599" i="4"/>
  <c r="R567" i="4"/>
  <c r="R535" i="4"/>
  <c r="R503" i="4"/>
  <c r="R471" i="4"/>
  <c r="R439" i="4"/>
  <c r="R407" i="4"/>
  <c r="R375" i="4"/>
  <c r="R343" i="4"/>
  <c r="R311" i="4"/>
  <c r="R279" i="4"/>
  <c r="R247" i="4"/>
  <c r="O214" i="4"/>
  <c r="O150" i="4"/>
  <c r="O86" i="4"/>
  <c r="O22" i="4"/>
  <c r="J110" i="3"/>
  <c r="J78" i="3"/>
  <c r="J46" i="3"/>
  <c r="R1019" i="4"/>
  <c r="S976" i="4"/>
  <c r="P934" i="4"/>
  <c r="R891" i="4"/>
  <c r="S848" i="4"/>
  <c r="P806" i="4"/>
  <c r="R763" i="4"/>
  <c r="S720" i="4"/>
  <c r="P684" i="4"/>
  <c r="P652" i="4"/>
  <c r="P620" i="4"/>
  <c r="P588" i="4"/>
  <c r="P556" i="4"/>
  <c r="P524" i="4"/>
  <c r="P492" i="4"/>
  <c r="P460" i="4"/>
  <c r="P428" i="4"/>
  <c r="P396" i="4"/>
  <c r="P364" i="4"/>
  <c r="P332" i="4"/>
  <c r="P300" i="4"/>
  <c r="P268" i="4"/>
  <c r="P236" i="4"/>
  <c r="S204" i="4"/>
  <c r="S172" i="4"/>
  <c r="S140" i="4"/>
  <c r="S108" i="4"/>
  <c r="S76" i="4"/>
  <c r="S44" i="4"/>
  <c r="S12" i="4"/>
  <c r="S130" i="3"/>
  <c r="I98" i="3"/>
  <c r="R1016" i="4"/>
  <c r="S973" i="4"/>
  <c r="P931" i="4"/>
  <c r="R888" i="4"/>
  <c r="S845" i="4"/>
  <c r="P803" i="4"/>
  <c r="R760" i="4"/>
  <c r="S717" i="4"/>
  <c r="O661" i="4"/>
  <c r="O597" i="4"/>
  <c r="O533" i="4"/>
  <c r="O469" i="4"/>
  <c r="O405" i="4"/>
  <c r="O341" i="4"/>
  <c r="O277" i="4"/>
  <c r="R215" i="4"/>
  <c r="R183" i="4"/>
  <c r="R151" i="4"/>
  <c r="R119" i="4"/>
  <c r="R87" i="4"/>
  <c r="R55" i="4"/>
  <c r="R23" i="4"/>
  <c r="R141" i="3"/>
  <c r="O108" i="3"/>
  <c r="O44" i="3"/>
  <c r="O80" i="2"/>
  <c r="L70" i="3"/>
  <c r="L16" i="3"/>
  <c r="I74" i="2"/>
  <c r="I34" i="2"/>
  <c r="I2" i="2"/>
  <c r="O1434" i="4"/>
  <c r="O1178" i="4"/>
  <c r="O922" i="4"/>
  <c r="L1039" i="4"/>
  <c r="I997" i="4"/>
  <c r="J954" i="4"/>
  <c r="L911" i="4"/>
  <c r="I869" i="4"/>
  <c r="J826" i="4"/>
  <c r="L783" i="4"/>
  <c r="I741" i="4"/>
  <c r="L699" i="4"/>
  <c r="L667" i="4"/>
  <c r="L635" i="4"/>
  <c r="L603" i="4"/>
  <c r="L571" i="4"/>
  <c r="L539" i="4"/>
  <c r="L507" i="4"/>
  <c r="L475" i="4"/>
  <c r="L443" i="4"/>
  <c r="L411" i="4"/>
  <c r="L379" i="4"/>
  <c r="L347" i="4"/>
  <c r="L315" i="4"/>
  <c r="L283" i="4"/>
  <c r="L251" i="4"/>
  <c r="L219" i="4"/>
  <c r="P186" i="4"/>
  <c r="P154" i="4"/>
  <c r="P122" i="4"/>
  <c r="P90" i="4"/>
  <c r="P58" i="4"/>
  <c r="P26" i="4"/>
  <c r="P144" i="3"/>
  <c r="P112" i="3"/>
  <c r="I1026" i="4"/>
  <c r="J983" i="4"/>
  <c r="L940" i="4"/>
  <c r="I898" i="4"/>
  <c r="J855" i="4"/>
  <c r="L812" i="4"/>
  <c r="I770" i="4"/>
  <c r="J727" i="4"/>
  <c r="J689" i="4"/>
  <c r="J657" i="4"/>
  <c r="J625" i="4"/>
  <c r="J593" i="4"/>
  <c r="J561" i="4"/>
  <c r="J529" i="4"/>
  <c r="J497" i="4"/>
  <c r="J465" i="4"/>
  <c r="J433" i="4"/>
  <c r="J401" i="4"/>
  <c r="J369" i="4"/>
  <c r="J337" i="4"/>
  <c r="J305" i="4"/>
  <c r="J273" i="4"/>
  <c r="J241" i="4"/>
  <c r="O201" i="4"/>
  <c r="O137" i="4"/>
  <c r="O73" i="4"/>
  <c r="O9" i="4"/>
  <c r="R103" i="3"/>
  <c r="R71" i="3"/>
  <c r="R39" i="3"/>
  <c r="I1011" i="4"/>
  <c r="J968" i="4"/>
  <c r="L925" i="4"/>
  <c r="I883" i="4"/>
  <c r="J840" i="4"/>
  <c r="L797" i="4"/>
  <c r="I755" i="4"/>
  <c r="J712" i="4"/>
  <c r="I678" i="4"/>
  <c r="I646" i="4"/>
  <c r="I614" i="4"/>
  <c r="I582" i="4"/>
  <c r="I550" i="4"/>
  <c r="I518" i="4"/>
  <c r="I486" i="4"/>
  <c r="I454" i="4"/>
  <c r="I422" i="4"/>
  <c r="I390" i="4"/>
  <c r="I358" i="4"/>
  <c r="I326" i="4"/>
  <c r="I294" i="4"/>
  <c r="I262" i="4"/>
  <c r="I230" i="4"/>
  <c r="L198" i="4"/>
  <c r="L166" i="4"/>
  <c r="L134" i="4"/>
  <c r="L102" i="4"/>
  <c r="L70" i="4"/>
  <c r="L38" i="4"/>
  <c r="L6" i="4"/>
  <c r="L124" i="3"/>
  <c r="P91" i="3"/>
  <c r="I1008" i="4"/>
  <c r="J965" i="4"/>
  <c r="L922" i="4"/>
  <c r="I880" i="4"/>
  <c r="J837" i="4"/>
  <c r="L794" i="4"/>
  <c r="I752" i="4"/>
  <c r="J709" i="4"/>
  <c r="O648" i="4"/>
  <c r="O584" i="4"/>
  <c r="O520" i="4"/>
  <c r="O456" i="4"/>
  <c r="O392" i="4"/>
  <c r="O328" i="4"/>
  <c r="O264" i="4"/>
  <c r="J209" i="4"/>
  <c r="J177" i="4"/>
  <c r="J145" i="4"/>
  <c r="J113" i="4"/>
  <c r="J81" i="4"/>
  <c r="J49" i="4"/>
  <c r="J17" i="4"/>
  <c r="J135" i="3"/>
  <c r="O95" i="3"/>
  <c r="O31" i="3"/>
  <c r="O67" i="2"/>
  <c r="P57" i="3"/>
  <c r="S7" i="3"/>
  <c r="P65" i="2"/>
  <c r="P27" i="2"/>
  <c r="P1647" i="4"/>
  <c r="O1414" i="4"/>
  <c r="O1158" i="4"/>
  <c r="O902" i="4"/>
  <c r="P1036" i="4"/>
  <c r="R993" i="4"/>
  <c r="S950" i="4"/>
  <c r="P908" i="4"/>
  <c r="R865" i="4"/>
  <c r="S822" i="4"/>
  <c r="P780" i="4"/>
  <c r="R737" i="4"/>
  <c r="S696" i="4"/>
  <c r="S664" i="4"/>
  <c r="S632" i="4"/>
  <c r="S600" i="4"/>
  <c r="S568" i="4"/>
  <c r="S536" i="4"/>
  <c r="S504" i="4"/>
  <c r="S472" i="4"/>
  <c r="S440" i="4"/>
  <c r="S408" i="4"/>
  <c r="S376" i="4"/>
  <c r="S344" i="4"/>
  <c r="S312" i="4"/>
  <c r="S280" i="4"/>
  <c r="S248" i="4"/>
  <c r="I216" i="4"/>
  <c r="I184" i="4"/>
  <c r="I152" i="4"/>
  <c r="I120" i="4"/>
  <c r="I88" i="4"/>
  <c r="I56" i="4"/>
  <c r="I24" i="4"/>
  <c r="I142" i="3"/>
  <c r="L110" i="3"/>
  <c r="R1022" i="4"/>
  <c r="S979" i="4"/>
  <c r="P937" i="4"/>
  <c r="R894" i="4"/>
  <c r="S851" i="4"/>
  <c r="P809" i="4"/>
  <c r="R766" i="4"/>
  <c r="S723" i="4"/>
  <c r="R686" i="4"/>
  <c r="R654" i="4"/>
  <c r="R622" i="4"/>
  <c r="R590" i="4"/>
  <c r="R558" i="4"/>
  <c r="R526" i="4"/>
  <c r="R494" i="4"/>
  <c r="R462" i="4"/>
  <c r="R430" i="4"/>
  <c r="R398" i="4"/>
  <c r="R366" i="4"/>
  <c r="R334" i="4"/>
  <c r="R302" i="4"/>
  <c r="R270" i="4"/>
  <c r="R238" i="4"/>
  <c r="O196" i="4"/>
  <c r="O132" i="4"/>
  <c r="O68" i="4"/>
  <c r="O4" i="4"/>
  <c r="J101" i="3"/>
  <c r="J69" i="3"/>
  <c r="L1053" i="4"/>
  <c r="R1007" i="4"/>
  <c r="S964" i="4"/>
  <c r="P922" i="4"/>
  <c r="R879" i="4"/>
  <c r="S836" i="4"/>
  <c r="P794" i="4"/>
  <c r="R751" i="4"/>
  <c r="S708" i="4"/>
  <c r="P675" i="4"/>
  <c r="P643" i="4"/>
  <c r="P611" i="4"/>
  <c r="P579" i="4"/>
  <c r="P547" i="4"/>
  <c r="P515" i="4"/>
  <c r="P483" i="4"/>
  <c r="P451" i="4"/>
  <c r="P419" i="4"/>
  <c r="P387" i="4"/>
  <c r="P355" i="4"/>
  <c r="P323" i="4"/>
  <c r="P291" i="4"/>
  <c r="P259" i="4"/>
  <c r="P227" i="4"/>
  <c r="S195" i="4"/>
  <c r="S163" i="4"/>
  <c r="S131" i="4"/>
  <c r="S99" i="4"/>
  <c r="S67" i="4"/>
  <c r="S35" i="4"/>
  <c r="S3" i="4"/>
  <c r="S121" i="3"/>
  <c r="J1049" i="4"/>
  <c r="R1004" i="4"/>
  <c r="S961" i="4"/>
  <c r="P919" i="4"/>
  <c r="R876" i="4"/>
  <c r="S833" i="4"/>
  <c r="P791" i="4"/>
  <c r="R748" i="4"/>
  <c r="S705" i="4"/>
  <c r="O643" i="4"/>
  <c r="O579" i="4"/>
  <c r="O515" i="4"/>
  <c r="O451" i="4"/>
  <c r="O387" i="4"/>
  <c r="O323" i="4"/>
  <c r="O259" i="4"/>
  <c r="R206" i="4"/>
  <c r="R174" i="4"/>
  <c r="R142" i="4"/>
  <c r="R110" i="4"/>
  <c r="R78" i="4"/>
  <c r="R46" i="4"/>
  <c r="R14" i="4"/>
  <c r="R132" i="3"/>
  <c r="O90" i="3"/>
  <c r="O26" i="3"/>
  <c r="O62" i="2"/>
  <c r="S52" i="3"/>
  <c r="L4" i="3"/>
  <c r="I62" i="2"/>
  <c r="I25" i="2"/>
  <c r="P1623" i="4"/>
  <c r="O1378" i="4"/>
  <c r="O1122" i="4"/>
  <c r="O866" i="4"/>
  <c r="J1030" i="4"/>
  <c r="L987" i="4"/>
  <c r="I945" i="4"/>
  <c r="J902" i="4"/>
  <c r="L859" i="4"/>
  <c r="I817" i="4"/>
  <c r="J774" i="4"/>
  <c r="L731" i="4"/>
  <c r="L692" i="4"/>
  <c r="L660" i="4"/>
  <c r="L628" i="4"/>
  <c r="L596" i="4"/>
  <c r="L564" i="4"/>
  <c r="L532" i="4"/>
  <c r="L500" i="4"/>
  <c r="L468" i="4"/>
  <c r="L436" i="4"/>
  <c r="L404" i="4"/>
  <c r="L372" i="4"/>
  <c r="L340" i="4"/>
  <c r="L308" i="4"/>
  <c r="L276" i="4"/>
  <c r="L244" i="4"/>
  <c r="P211" i="4"/>
  <c r="P179" i="4"/>
  <c r="P147" i="4"/>
  <c r="P115" i="4"/>
  <c r="P83" i="4"/>
  <c r="P51" i="4"/>
  <c r="P19" i="4"/>
  <c r="P137" i="3"/>
  <c r="S105" i="3"/>
  <c r="L1016" i="4"/>
  <c r="I974" i="4"/>
  <c r="J931" i="4"/>
  <c r="L888" i="4"/>
  <c r="I846" i="4"/>
  <c r="J803" i="4"/>
  <c r="L760" i="4"/>
  <c r="I718" i="4"/>
  <c r="J682" i="4"/>
  <c r="J650" i="4"/>
  <c r="J618" i="4"/>
  <c r="J586" i="4"/>
  <c r="J554" i="4"/>
  <c r="J522" i="4"/>
  <c r="J490" i="4"/>
  <c r="J458" i="4"/>
  <c r="J426" i="4"/>
  <c r="J394" i="4"/>
  <c r="J362" i="4"/>
  <c r="J330" i="4"/>
  <c r="J298" i="4"/>
  <c r="J266" i="4"/>
  <c r="J234" i="4"/>
  <c r="O187" i="4"/>
  <c r="O167" i="4"/>
  <c r="O143" i="4"/>
  <c r="O123" i="4"/>
  <c r="O103" i="4"/>
  <c r="O87" i="4"/>
  <c r="O71" i="4"/>
  <c r="O55" i="4"/>
  <c r="O39" i="4"/>
  <c r="O23" i="4"/>
  <c r="O7" i="4"/>
  <c r="O141" i="3"/>
  <c r="O125" i="3"/>
  <c r="R110" i="3"/>
  <c r="R102" i="3"/>
  <c r="R94" i="3"/>
  <c r="R86" i="3"/>
  <c r="R78" i="3"/>
  <c r="R70" i="3"/>
  <c r="R62" i="3"/>
  <c r="R54" i="3"/>
  <c r="R46" i="3"/>
  <c r="R38" i="3"/>
  <c r="L1041" i="4"/>
  <c r="I1031" i="4"/>
  <c r="J1020" i="4"/>
  <c r="L1009" i="4"/>
  <c r="I999" i="4"/>
  <c r="J988" i="4"/>
  <c r="L977" i="4"/>
  <c r="I967" i="4"/>
  <c r="J956" i="4"/>
  <c r="L945" i="4"/>
  <c r="I935" i="4"/>
  <c r="J924" i="4"/>
  <c r="L913" i="4"/>
  <c r="I903" i="4"/>
  <c r="J892" i="4"/>
  <c r="L881" i="4"/>
  <c r="I871" i="4"/>
  <c r="J860" i="4"/>
  <c r="L849" i="4"/>
  <c r="I839" i="4"/>
  <c r="J828" i="4"/>
  <c r="L817" i="4"/>
  <c r="I807" i="4"/>
  <c r="J796" i="4"/>
  <c r="L785" i="4"/>
  <c r="I775" i="4"/>
  <c r="J764" i="4"/>
  <c r="L753" i="4"/>
  <c r="I743" i="4"/>
  <c r="J732" i="4"/>
  <c r="L721" i="4"/>
  <c r="I711" i="4"/>
  <c r="I701" i="4"/>
  <c r="I693" i="4"/>
  <c r="I685" i="4"/>
  <c r="I677" i="4"/>
  <c r="I669" i="4"/>
  <c r="I661" i="4"/>
  <c r="I653" i="4"/>
  <c r="I645" i="4"/>
  <c r="I637" i="4"/>
  <c r="I629" i="4"/>
  <c r="I621" i="4"/>
  <c r="I613" i="4"/>
  <c r="I605" i="4"/>
  <c r="I597" i="4"/>
  <c r="I589" i="4"/>
  <c r="I581" i="4"/>
  <c r="I573" i="4"/>
  <c r="I565" i="4"/>
  <c r="I557" i="4"/>
  <c r="I549" i="4"/>
  <c r="I541" i="4"/>
  <c r="I533" i="4"/>
  <c r="I525" i="4"/>
  <c r="I517" i="4"/>
  <c r="I509" i="4"/>
  <c r="I501" i="4"/>
  <c r="I493" i="4"/>
  <c r="I485" i="4"/>
  <c r="I477" i="4"/>
  <c r="I469" i="4"/>
  <c r="I461" i="4"/>
  <c r="I453" i="4"/>
  <c r="I445" i="4"/>
  <c r="I437" i="4"/>
  <c r="I429" i="4"/>
  <c r="I421" i="4"/>
  <c r="I413" i="4"/>
  <c r="I405" i="4"/>
  <c r="I397" i="4"/>
  <c r="I389" i="4"/>
  <c r="I381" i="4"/>
  <c r="I373" i="4"/>
  <c r="I365" i="4"/>
  <c r="I357" i="4"/>
  <c r="I349" i="4"/>
  <c r="I341" i="4"/>
  <c r="I333" i="4"/>
  <c r="I325" i="4"/>
  <c r="I317" i="4"/>
  <c r="I309" i="4"/>
  <c r="I301" i="4"/>
  <c r="I293" i="4"/>
  <c r="I285" i="4"/>
  <c r="I277" i="4"/>
  <c r="I269" i="4"/>
  <c r="I261" i="4"/>
  <c r="I253" i="4"/>
  <c r="I245" i="4"/>
  <c r="I237" i="4"/>
  <c r="I229" i="4"/>
  <c r="I221" i="4"/>
  <c r="L213" i="4"/>
  <c r="L205" i="4"/>
  <c r="L197" i="4"/>
  <c r="L189" i="4"/>
  <c r="L181" i="4"/>
  <c r="L173" i="4"/>
  <c r="L165" i="4"/>
  <c r="L157" i="4"/>
  <c r="L149" i="4"/>
  <c r="L141" i="4"/>
  <c r="L133" i="4"/>
  <c r="L125" i="4"/>
  <c r="L117" i="4"/>
  <c r="L109" i="4"/>
  <c r="L101" i="4"/>
  <c r="L93" i="4"/>
  <c r="L85" i="4"/>
  <c r="L77" i="4"/>
  <c r="L69" i="4"/>
  <c r="L61" i="4"/>
  <c r="L53" i="4"/>
  <c r="L45" i="4"/>
  <c r="L37" i="4"/>
  <c r="L29" i="4"/>
  <c r="L21" i="4"/>
  <c r="L13" i="4"/>
  <c r="L5" i="4"/>
  <c r="L147" i="3"/>
  <c r="L139" i="3"/>
  <c r="L131" i="3"/>
  <c r="L123" i="3"/>
  <c r="L115" i="3"/>
  <c r="P106" i="3"/>
  <c r="P98" i="3"/>
  <c r="L1052" i="4"/>
  <c r="L1038" i="4"/>
  <c r="I1028" i="4"/>
  <c r="J1017" i="4"/>
  <c r="L1006" i="4"/>
  <c r="I996" i="4"/>
  <c r="J985" i="4"/>
  <c r="L974" i="4"/>
  <c r="I964" i="4"/>
  <c r="J953" i="4"/>
  <c r="L942" i="4"/>
  <c r="I932" i="4"/>
  <c r="J921" i="4"/>
  <c r="L910" i="4"/>
  <c r="I900" i="4"/>
  <c r="J889" i="4"/>
  <c r="L878" i="4"/>
  <c r="I868" i="4"/>
  <c r="J857" i="4"/>
  <c r="L846" i="4"/>
  <c r="I836" i="4"/>
  <c r="J825" i="4"/>
  <c r="L814" i="4"/>
  <c r="I804" i="4"/>
  <c r="J793" i="4"/>
  <c r="L782" i="4"/>
  <c r="I772" i="4"/>
  <c r="J761" i="4"/>
  <c r="L750" i="4"/>
  <c r="I740" i="4"/>
  <c r="J729" i="4"/>
  <c r="L718" i="4"/>
  <c r="I708" i="4"/>
  <c r="O694" i="4"/>
  <c r="O678" i="4"/>
  <c r="O662" i="4"/>
  <c r="O646" i="4"/>
  <c r="O630" i="4"/>
  <c r="O614" i="4"/>
  <c r="O598" i="4"/>
  <c r="O582" i="4"/>
  <c r="O566" i="4"/>
  <c r="O550" i="4"/>
  <c r="O534" i="4"/>
  <c r="O518" i="4"/>
  <c r="O502" i="4"/>
  <c r="O486" i="4"/>
  <c r="O470" i="4"/>
  <c r="O454" i="4"/>
  <c r="O438" i="4"/>
  <c r="O422" i="4"/>
  <c r="O406" i="4"/>
  <c r="O390" i="4"/>
  <c r="O374" i="4"/>
  <c r="O358" i="4"/>
  <c r="O342" i="4"/>
  <c r="O326" i="4"/>
  <c r="O310" i="4"/>
  <c r="O294" i="4"/>
  <c r="O278" i="4"/>
  <c r="O262" i="4"/>
  <c r="O246" i="4"/>
  <c r="O230" i="4"/>
  <c r="J216" i="4"/>
  <c r="J208" i="4"/>
  <c r="J200" i="4"/>
  <c r="J192" i="4"/>
  <c r="J184" i="4"/>
  <c r="J176" i="4"/>
  <c r="J168" i="4"/>
  <c r="J160" i="4"/>
  <c r="J152" i="4"/>
  <c r="J144" i="4"/>
  <c r="J136" i="4"/>
  <c r="J128" i="4"/>
  <c r="J120" i="4"/>
  <c r="J112" i="4"/>
  <c r="J104" i="4"/>
  <c r="J96" i="4"/>
  <c r="J88" i="4"/>
  <c r="J80" i="4"/>
  <c r="J72" i="4"/>
  <c r="J64" i="4"/>
  <c r="J56" i="4"/>
  <c r="J48" i="4"/>
  <c r="J40" i="4"/>
  <c r="J32" i="4"/>
  <c r="J24" i="4"/>
  <c r="J16" i="4"/>
  <c r="J8" i="4"/>
  <c r="J150" i="3"/>
  <c r="J142" i="3"/>
  <c r="J134" i="3"/>
  <c r="J126" i="3"/>
  <c r="J118" i="3"/>
  <c r="O109" i="3"/>
  <c r="O93" i="3"/>
  <c r="O77" i="3"/>
  <c r="O61" i="3"/>
  <c r="O45" i="3"/>
  <c r="O29" i="3"/>
  <c r="O13" i="3"/>
  <c r="O97" i="2"/>
  <c r="O81" i="2"/>
  <c r="O65" i="2"/>
  <c r="O49" i="2"/>
  <c r="I87" i="3"/>
  <c r="I71" i="3"/>
  <c r="I55" i="3"/>
  <c r="I39" i="3"/>
  <c r="S27" i="3"/>
  <c r="P17" i="3"/>
  <c r="R6" i="3"/>
  <c r="S95" i="2"/>
  <c r="P85" i="2"/>
  <c r="R74" i="2"/>
  <c r="S63" i="2"/>
  <c r="P53" i="2"/>
  <c r="R42" i="2"/>
  <c r="P34" i="2"/>
  <c r="P26" i="2"/>
  <c r="P18" i="2"/>
  <c r="P10" i="2"/>
  <c r="P2" i="2"/>
  <c r="P14" i="1"/>
  <c r="L13" i="1"/>
  <c r="J3" i="1"/>
  <c r="P15" i="1"/>
  <c r="L85" i="3"/>
  <c r="L69" i="3"/>
  <c r="L53" i="3"/>
  <c r="L37" i="3"/>
  <c r="I27" i="3"/>
  <c r="J16" i="3"/>
  <c r="L5" i="3"/>
  <c r="I95" i="2"/>
  <c r="J84" i="2"/>
  <c r="L73" i="2"/>
  <c r="I63" i="2"/>
  <c r="J52" i="2"/>
  <c r="O41" i="2"/>
  <c r="O25" i="2"/>
  <c r="O9" i="2"/>
  <c r="J10" i="1"/>
  <c r="L24" i="2"/>
  <c r="I10" i="1"/>
  <c r="P83" i="3"/>
  <c r="P67" i="3"/>
  <c r="P51" i="3"/>
  <c r="I36" i="3"/>
  <c r="J25" i="3"/>
  <c r="L14" i="3"/>
  <c r="I4" i="3"/>
  <c r="J93" i="2"/>
  <c r="L82" i="2"/>
  <c r="I72" i="2"/>
  <c r="J61" i="2"/>
  <c r="L50" i="2"/>
  <c r="S38" i="2"/>
  <c r="S9" i="2"/>
  <c r="I88" i="3"/>
  <c r="I72" i="3"/>
  <c r="I56" i="3"/>
  <c r="I40" i="3"/>
  <c r="I29" i="3"/>
  <c r="J18" i="3"/>
  <c r="L7" i="3"/>
  <c r="I97" i="2"/>
  <c r="J86" i="2"/>
  <c r="L75" i="2"/>
  <c r="I65" i="2"/>
  <c r="J54" i="2"/>
  <c r="L43" i="2"/>
  <c r="J35" i="2"/>
  <c r="J27" i="2"/>
  <c r="J19" i="2"/>
  <c r="J11" i="2"/>
  <c r="J3" i="2"/>
  <c r="O2" i="1"/>
  <c r="S13" i="2"/>
  <c r="P87" i="2"/>
  <c r="I48" i="2"/>
  <c r="L17" i="2"/>
  <c r="L87" i="3"/>
  <c r="L63" i="3"/>
  <c r="L43" i="3"/>
  <c r="P28" i="3"/>
  <c r="P12" i="3"/>
  <c r="S98" i="2"/>
  <c r="P80" i="2"/>
  <c r="S58" i="2"/>
  <c r="R40" i="2"/>
  <c r="R26" i="2"/>
  <c r="R14" i="2"/>
  <c r="R2" i="2"/>
  <c r="S18" i="2"/>
  <c r="L3" i="1"/>
  <c r="I5" i="1"/>
  <c r="S71" i="3"/>
  <c r="S39" i="3"/>
  <c r="I23" i="3"/>
  <c r="I99" i="2"/>
  <c r="I75" i="2"/>
  <c r="I51" i="2"/>
  <c r="O23" i="2"/>
  <c r="R48" i="2"/>
  <c r="P2" i="1"/>
  <c r="I65" i="3"/>
  <c r="L34" i="3"/>
  <c r="I16" i="3"/>
  <c r="L94" i="2"/>
  <c r="I68" i="2"/>
  <c r="R44" i="2"/>
  <c r="S96" i="3"/>
  <c r="P62" i="3"/>
  <c r="I33" i="3"/>
  <c r="J14" i="3"/>
  <c r="L95" i="2"/>
  <c r="L79" i="2"/>
  <c r="L63" i="2"/>
  <c r="J42" i="2"/>
  <c r="J26" i="2"/>
  <c r="J8" i="2"/>
  <c r="S25" i="2"/>
  <c r="S13" i="1"/>
  <c r="L13" i="2"/>
  <c r="I74" i="3"/>
  <c r="I42" i="3"/>
  <c r="S16" i="3"/>
  <c r="S92" i="2"/>
  <c r="R71" i="2"/>
  <c r="R47" i="2"/>
  <c r="O22" i="2"/>
  <c r="J6" i="1"/>
  <c r="L20" i="2"/>
  <c r="P3" i="1"/>
  <c r="L80" i="3"/>
  <c r="L64" i="3"/>
  <c r="L48" i="3"/>
  <c r="S33" i="3"/>
  <c r="P23" i="3"/>
  <c r="R12" i="3"/>
  <c r="S101" i="2"/>
  <c r="P91" i="2"/>
  <c r="R80" i="2"/>
  <c r="S69" i="2"/>
  <c r="P59" i="2"/>
  <c r="L46" i="2"/>
  <c r="S35" i="2"/>
  <c r="S3" i="2"/>
  <c r="S85" i="3"/>
  <c r="S69" i="3"/>
  <c r="S53" i="3"/>
  <c r="S37" i="3"/>
  <c r="S26" i="3"/>
  <c r="P16" i="3"/>
  <c r="R5" i="3"/>
  <c r="S94" i="2"/>
  <c r="P84" i="2"/>
  <c r="R73" i="2"/>
  <c r="S62" i="2"/>
  <c r="P52" i="2"/>
  <c r="R41" i="2"/>
  <c r="R31" i="2"/>
  <c r="R23" i="2"/>
  <c r="R15" i="2"/>
  <c r="R7" i="2"/>
  <c r="J14" i="1"/>
  <c r="S32" i="2"/>
  <c r="S2" i="2"/>
  <c r="S7" i="1"/>
  <c r="I9" i="1"/>
  <c r="S28" i="2"/>
  <c r="I2" i="1"/>
  <c r="P80" i="3"/>
  <c r="P64" i="3"/>
  <c r="P48" i="3"/>
  <c r="P34" i="3"/>
  <c r="R23" i="3"/>
  <c r="S12" i="3"/>
  <c r="P2" i="3"/>
  <c r="R91" i="2"/>
  <c r="S80" i="2"/>
  <c r="P70" i="2"/>
  <c r="R59" i="2"/>
  <c r="S48" i="2"/>
  <c r="O36" i="2"/>
  <c r="O20" i="2"/>
  <c r="O4" i="2"/>
  <c r="R3" i="1"/>
  <c r="S17" i="2"/>
  <c r="L98" i="3"/>
  <c r="S78" i="3"/>
  <c r="S62" i="3"/>
  <c r="S46" i="3"/>
  <c r="R32" i="3"/>
  <c r="S21" i="3"/>
  <c r="P11" i="3"/>
  <c r="R100" i="2"/>
  <c r="S89" i="2"/>
  <c r="R76" i="2"/>
  <c r="S65" i="2"/>
  <c r="L40" i="2"/>
  <c r="L67" i="3"/>
  <c r="S14" i="3"/>
  <c r="R85" i="2"/>
  <c r="R61" i="2"/>
  <c r="R38" i="2"/>
  <c r="R18" i="2"/>
  <c r="O13" i="1"/>
  <c r="L7" i="1"/>
  <c r="R13" i="1"/>
  <c r="S87" i="3"/>
  <c r="S51" i="3"/>
  <c r="J20" i="3"/>
  <c r="L101" i="2"/>
  <c r="I83" i="2"/>
  <c r="L61" i="2"/>
  <c r="O39" i="2"/>
  <c r="O11" i="2"/>
  <c r="L33" i="2"/>
  <c r="I85" i="3"/>
  <c r="I53" i="3"/>
  <c r="I24" i="3"/>
  <c r="J5" i="3"/>
  <c r="I84" i="2"/>
  <c r="S41" i="2"/>
  <c r="P66" i="3"/>
  <c r="I85" i="2"/>
  <c r="J20" i="2"/>
  <c r="S10" i="1"/>
  <c r="I46" i="3"/>
  <c r="S84" i="2"/>
  <c r="O14" i="2"/>
  <c r="J36" i="2"/>
  <c r="J22" i="2"/>
  <c r="J4" i="2"/>
  <c r="L11" i="2"/>
  <c r="J5" i="1"/>
  <c r="I7" i="1"/>
  <c r="I66" i="3"/>
  <c r="R35" i="3"/>
  <c r="R11" i="3"/>
  <c r="R87" i="2"/>
  <c r="P66" i="2"/>
  <c r="O10" i="2"/>
  <c r="L38" i="2"/>
  <c r="L14" i="2"/>
  <c r="L94" i="3"/>
  <c r="L60" i="3"/>
  <c r="L44" i="3"/>
  <c r="R20" i="3"/>
  <c r="P99" i="2"/>
  <c r="S77" i="2"/>
  <c r="R56" i="2"/>
  <c r="S30" i="2"/>
  <c r="S65" i="3"/>
  <c r="S34" i="3"/>
  <c r="R13" i="3"/>
  <c r="S2" i="3"/>
  <c r="R81" i="2"/>
  <c r="P60" i="2"/>
  <c r="R29" i="2"/>
  <c r="R5" i="2"/>
  <c r="O10" i="1"/>
  <c r="S4" i="1"/>
  <c r="S94" i="3"/>
  <c r="P60" i="3"/>
  <c r="P44" i="3"/>
  <c r="S20" i="3"/>
  <c r="R99" i="2"/>
  <c r="P78" i="2"/>
  <c r="P46" i="2"/>
  <c r="R15" i="1"/>
  <c r="L10" i="2"/>
  <c r="S74" i="3"/>
  <c r="S58" i="3"/>
  <c r="S29" i="3"/>
  <c r="R8" i="3"/>
  <c r="R84" i="2"/>
  <c r="R60" i="2"/>
  <c r="L51" i="3"/>
  <c r="R77" i="2"/>
  <c r="R34" i="2"/>
  <c r="R10" i="2"/>
  <c r="L4" i="1"/>
  <c r="S75" i="3"/>
  <c r="S43" i="3"/>
  <c r="J96" i="2"/>
  <c r="J56" i="2"/>
  <c r="O7" i="2"/>
  <c r="I77" i="3"/>
  <c r="J97" i="2"/>
  <c r="I60" i="2"/>
  <c r="P90" i="3"/>
  <c r="J30" i="3"/>
  <c r="J6" i="3"/>
  <c r="J50" i="2"/>
  <c r="J16" i="2"/>
  <c r="L16" i="2"/>
  <c r="S6" i="1"/>
  <c r="I70" i="3"/>
  <c r="P98" i="2"/>
  <c r="S60" i="2"/>
  <c r="O1453" i="4"/>
  <c r="O1196" i="4"/>
  <c r="O940" i="4"/>
  <c r="O748" i="4"/>
  <c r="O1390" i="4"/>
  <c r="O878" i="4"/>
  <c r="R989" i="4"/>
  <c r="P904" i="4"/>
  <c r="S818" i="4"/>
  <c r="R733" i="4"/>
  <c r="S661" i="4"/>
  <c r="S597" i="4"/>
  <c r="S533" i="4"/>
  <c r="S469" i="4"/>
  <c r="S405" i="4"/>
  <c r="S341" i="4"/>
  <c r="S277" i="4"/>
  <c r="I213" i="4"/>
  <c r="I149" i="4"/>
  <c r="I85" i="4"/>
  <c r="I21" i="4"/>
  <c r="L107" i="3"/>
  <c r="S975" i="4"/>
  <c r="R890" i="4"/>
  <c r="R842" i="4"/>
  <c r="S799" i="4"/>
  <c r="P757" i="4"/>
  <c r="R679" i="4"/>
  <c r="R647" i="4"/>
  <c r="R615" i="4"/>
  <c r="R551" i="4"/>
  <c r="R519" i="4"/>
  <c r="R455" i="4"/>
  <c r="R391" i="4"/>
  <c r="R327" i="4"/>
  <c r="R263" i="4"/>
  <c r="O182" i="4"/>
  <c r="O140" i="3"/>
  <c r="J62" i="3"/>
  <c r="P998" i="4"/>
  <c r="S912" i="4"/>
  <c r="P540" i="4"/>
  <c r="P412" i="4"/>
  <c r="P316" i="4"/>
  <c r="P252" i="4"/>
  <c r="S156" i="4"/>
  <c r="S92" i="4"/>
  <c r="S28" i="4"/>
  <c r="S114" i="3"/>
  <c r="P995" i="4"/>
  <c r="S909" i="4"/>
  <c r="R824" i="4"/>
  <c r="P739" i="4"/>
  <c r="O629" i="4"/>
  <c r="O501" i="4"/>
  <c r="O309" i="4"/>
  <c r="R199" i="4"/>
  <c r="R135" i="4"/>
  <c r="R71" i="4"/>
  <c r="R7" i="4"/>
  <c r="O76" i="3"/>
  <c r="O48" i="2"/>
  <c r="J95" i="2"/>
  <c r="I18" i="2"/>
  <c r="O1306" i="4"/>
  <c r="O1050" i="4"/>
  <c r="J1018" i="4"/>
  <c r="I933" i="4"/>
  <c r="L847" i="4"/>
  <c r="J762" i="4"/>
  <c r="L683" i="4"/>
  <c r="L619" i="4"/>
  <c r="L555" i="4"/>
  <c r="L459" i="4"/>
  <c r="L395" i="4"/>
  <c r="L331" i="4"/>
  <c r="L267" i="4"/>
  <c r="P202" i="4"/>
  <c r="P106" i="4"/>
  <c r="P74" i="4"/>
  <c r="P10" i="4"/>
  <c r="R1049" i="4"/>
  <c r="L1004" i="4"/>
  <c r="J919" i="4"/>
  <c r="L876" i="4"/>
  <c r="J791" i="4"/>
  <c r="J673" i="4"/>
  <c r="J641" i="4"/>
  <c r="J577" i="4"/>
  <c r="J513" i="4"/>
  <c r="J449" i="4"/>
  <c r="J385" i="4"/>
  <c r="J321" i="4"/>
  <c r="J257" i="4"/>
  <c r="J225" i="4"/>
  <c r="O105" i="4"/>
  <c r="O127" i="3"/>
  <c r="R55" i="3"/>
  <c r="I947" i="4"/>
  <c r="L861" i="4"/>
  <c r="J776" i="4"/>
  <c r="I694" i="4"/>
  <c r="I630" i="4"/>
  <c r="I566" i="4"/>
  <c r="I502" i="4"/>
  <c r="I406" i="4"/>
  <c r="I342" i="4"/>
  <c r="I278" i="4"/>
  <c r="L214" i="4"/>
  <c r="L182" i="4"/>
  <c r="L118" i="4"/>
  <c r="L54" i="4"/>
  <c r="L140" i="3"/>
  <c r="L986" i="4"/>
  <c r="J901" i="4"/>
  <c r="L858" i="4"/>
  <c r="J773" i="4"/>
  <c r="O680" i="4"/>
  <c r="O616" i="4"/>
  <c r="O488" i="4"/>
  <c r="O360" i="4"/>
  <c r="O232" i="4"/>
  <c r="J161" i="4"/>
  <c r="J97" i="4"/>
  <c r="J33" i="4"/>
  <c r="J119" i="3"/>
  <c r="O99" i="2"/>
  <c r="P29" i="3"/>
  <c r="S43" i="2"/>
  <c r="O1286" i="4"/>
  <c r="O774" i="4"/>
  <c r="P972" i="4"/>
  <c r="S886" i="4"/>
  <c r="R801" i="4"/>
  <c r="S758" i="4"/>
  <c r="S680" i="4"/>
  <c r="S616" i="4"/>
  <c r="S552" i="4"/>
  <c r="S488" i="4"/>
  <c r="S424" i="4"/>
  <c r="S328" i="4"/>
  <c r="S264" i="4"/>
  <c r="I200" i="4"/>
  <c r="I136" i="4"/>
  <c r="I72" i="4"/>
  <c r="I40" i="4"/>
  <c r="I126" i="3"/>
  <c r="R958" i="4"/>
  <c r="P873" i="4"/>
  <c r="S787" i="4"/>
  <c r="R702" i="4"/>
  <c r="R638" i="4"/>
  <c r="R574" i="4"/>
  <c r="R510" i="4"/>
  <c r="R446" i="4"/>
  <c r="R382" i="4"/>
  <c r="R318" i="4"/>
  <c r="R254" i="4"/>
  <c r="O100" i="4"/>
  <c r="O122" i="3"/>
  <c r="J53" i="3"/>
  <c r="P986" i="4"/>
  <c r="S900" i="4"/>
  <c r="R815" i="4"/>
  <c r="P730" i="4"/>
  <c r="P659" i="4"/>
  <c r="P563" i="4"/>
  <c r="P499" i="4"/>
  <c r="P435" i="4"/>
  <c r="P371" i="4"/>
  <c r="P307" i="4"/>
  <c r="P243" i="4"/>
  <c r="S179" i="4"/>
  <c r="S83" i="4"/>
  <c r="S19" i="4"/>
  <c r="I105" i="3"/>
  <c r="R940" i="4"/>
  <c r="P855" i="4"/>
  <c r="S769" i="4"/>
  <c r="O675" i="4"/>
  <c r="O547" i="4"/>
  <c r="O419" i="4"/>
  <c r="O291" i="4"/>
  <c r="R190" i="4"/>
  <c r="R126" i="4"/>
  <c r="R62" i="4"/>
  <c r="R148" i="3"/>
  <c r="O58" i="3"/>
  <c r="S84" i="3"/>
  <c r="I41" i="2"/>
  <c r="O1507" i="4"/>
  <c r="O994" i="4"/>
  <c r="O738" i="4"/>
  <c r="J966" i="4"/>
  <c r="I881" i="4"/>
  <c r="I753" i="4"/>
  <c r="L676" i="4"/>
  <c r="L580" i="4"/>
  <c r="L484" i="4"/>
  <c r="L420" i="4"/>
  <c r="L324" i="4"/>
  <c r="L260" i="4"/>
  <c r="P195" i="4"/>
  <c r="P131" i="4"/>
  <c r="P99" i="4"/>
  <c r="P35" i="4"/>
  <c r="P121" i="3"/>
  <c r="I1038" i="4"/>
  <c r="J867" i="4"/>
  <c r="J739" i="4"/>
  <c r="J666" i="4"/>
  <c r="J602" i="4"/>
  <c r="J538" i="4"/>
  <c r="J474" i="4"/>
  <c r="J410" i="4"/>
  <c r="J346" i="4"/>
  <c r="J282" i="4"/>
  <c r="O175" i="4"/>
  <c r="O135" i="4"/>
  <c r="O111" i="4"/>
  <c r="O79" i="4"/>
  <c r="O47" i="4"/>
  <c r="O15" i="4"/>
  <c r="O133" i="3"/>
  <c r="R98" i="3"/>
  <c r="R82" i="3"/>
  <c r="R66" i="3"/>
  <c r="R50" i="3"/>
  <c r="R1048" i="4"/>
  <c r="L1025" i="4"/>
  <c r="J1004" i="4"/>
  <c r="J972" i="4"/>
  <c r="I951" i="4"/>
  <c r="J940" i="4"/>
  <c r="I919" i="4"/>
  <c r="L897" i="4"/>
  <c r="J876" i="4"/>
  <c r="L865" i="4"/>
  <c r="J844" i="4"/>
  <c r="J812" i="4"/>
  <c r="J780" i="4"/>
  <c r="I759" i="4"/>
  <c r="I727" i="4"/>
  <c r="I697" i="4"/>
  <c r="I673" i="4"/>
  <c r="I649" i="4"/>
  <c r="I617" i="4"/>
  <c r="I585" i="4"/>
  <c r="I569" i="4"/>
  <c r="I545" i="4"/>
  <c r="I521" i="4"/>
  <c r="I497" i="4"/>
  <c r="I465" i="4"/>
  <c r="I441" i="4"/>
  <c r="I409" i="4"/>
  <c r="I385" i="4"/>
  <c r="I353" i="4"/>
  <c r="I329" i="4"/>
  <c r="I305" i="4"/>
  <c r="I273" i="4"/>
  <c r="I241" i="4"/>
  <c r="L209" i="4"/>
  <c r="L185" i="4"/>
  <c r="L161" i="4"/>
  <c r="L137" i="4"/>
  <c r="L105" i="4"/>
  <c r="L81" i="4"/>
  <c r="L49" i="4"/>
  <c r="L25" i="4"/>
  <c r="L151" i="3"/>
  <c r="L119" i="3"/>
  <c r="P94" i="3"/>
  <c r="I1012" i="4"/>
  <c r="J969" i="4"/>
  <c r="J937" i="4"/>
  <c r="I916" i="4"/>
  <c r="I884" i="4"/>
  <c r="I852" i="4"/>
  <c r="I820" i="4"/>
  <c r="I788" i="4"/>
  <c r="I756" i="4"/>
  <c r="I724" i="4"/>
  <c r="O686" i="4"/>
  <c r="O622" i="4"/>
  <c r="O574" i="4"/>
  <c r="O526" i="4"/>
  <c r="O478" i="4"/>
  <c r="O430" i="4"/>
  <c r="O366" i="4"/>
  <c r="O334" i="4"/>
  <c r="O286" i="4"/>
  <c r="O238" i="4"/>
  <c r="J204" i="4"/>
  <c r="J180" i="4"/>
  <c r="J156" i="4"/>
  <c r="J140" i="4"/>
  <c r="J116" i="4"/>
  <c r="J122" i="3"/>
  <c r="O89" i="2"/>
  <c r="P33" i="3"/>
  <c r="R90" i="2"/>
  <c r="S47" i="2"/>
  <c r="P22" i="2"/>
  <c r="J9" i="1"/>
  <c r="S20" i="2"/>
  <c r="L45" i="3"/>
  <c r="I11" i="3"/>
  <c r="I79" i="2"/>
  <c r="I47" i="2"/>
  <c r="S36" i="2"/>
  <c r="P59" i="3"/>
  <c r="I20" i="3"/>
  <c r="I88" i="2"/>
  <c r="L66" i="2"/>
  <c r="S29" i="2"/>
  <c r="I64" i="3"/>
  <c r="L23" i="3"/>
  <c r="I81" i="2"/>
  <c r="I49" i="2"/>
  <c r="J23" i="2"/>
  <c r="L30" i="2"/>
  <c r="S37" i="2"/>
  <c r="L55" i="3"/>
  <c r="S6" i="3"/>
  <c r="P72" i="2"/>
  <c r="R20" i="2"/>
  <c r="S14" i="1"/>
  <c r="I31" i="3"/>
  <c r="I43" i="2"/>
  <c r="I81" i="3"/>
  <c r="L2" i="3"/>
  <c r="L25" i="2"/>
  <c r="P78" i="3"/>
  <c r="L3" i="3"/>
  <c r="I53" i="2"/>
  <c r="R14" i="1"/>
  <c r="I90" i="3"/>
  <c r="P30" i="3"/>
  <c r="P58" i="2"/>
  <c r="L31" i="2"/>
  <c r="L72" i="3"/>
  <c r="S17" i="3"/>
  <c r="S85" i="2"/>
  <c r="S53" i="2"/>
  <c r="L95" i="3"/>
  <c r="S45" i="3"/>
  <c r="S10" i="3"/>
  <c r="S78" i="2"/>
  <c r="R57" i="2"/>
  <c r="R27" i="2"/>
  <c r="O6" i="1"/>
  <c r="S2" i="1"/>
  <c r="P88" i="3"/>
  <c r="P40" i="3"/>
  <c r="R7" i="3"/>
  <c r="P86" i="2"/>
  <c r="P54" i="2"/>
  <c r="O28" i="2"/>
  <c r="L27" i="2"/>
  <c r="S86" i="3"/>
  <c r="S38" i="3"/>
  <c r="S5" i="3"/>
  <c r="P71" i="2"/>
  <c r="P36" i="3"/>
  <c r="R30" i="2"/>
  <c r="L5" i="2"/>
  <c r="I91" i="2"/>
  <c r="O27" i="2"/>
  <c r="I69" i="3"/>
  <c r="I92" i="2"/>
  <c r="L32" i="2"/>
  <c r="I25" i="3"/>
  <c r="I45" i="2"/>
  <c r="O5" i="1"/>
  <c r="S98" i="3"/>
  <c r="P14" i="3"/>
  <c r="P74" i="2"/>
  <c r="O26" i="2"/>
  <c r="P1066" i="4"/>
  <c r="O1517" i="4"/>
  <c r="O1260" i="4"/>
  <c r="O1004" i="4"/>
  <c r="O780" i="4"/>
  <c r="O1519" i="4"/>
  <c r="O1006" i="4"/>
  <c r="S1010" i="4"/>
  <c r="R925" i="4"/>
  <c r="P840" i="4"/>
  <c r="S754" i="4"/>
  <c r="S677" i="4"/>
  <c r="S613" i="4"/>
  <c r="S549" i="4"/>
  <c r="S485" i="4"/>
  <c r="S421" i="4"/>
  <c r="S357" i="4"/>
  <c r="S293" i="4"/>
  <c r="S229" i="4"/>
  <c r="I165" i="4"/>
  <c r="I101" i="4"/>
  <c r="I37" i="4"/>
  <c r="I123" i="3"/>
  <c r="P997" i="4"/>
  <c r="S911" i="4"/>
  <c r="P853" i="4"/>
  <c r="R810" i="4"/>
  <c r="S767" i="4"/>
  <c r="P725" i="4"/>
  <c r="R687" i="4"/>
  <c r="R655" i="4"/>
  <c r="R623" i="4"/>
  <c r="R591" i="4"/>
  <c r="R559" i="4"/>
  <c r="R527" i="4"/>
  <c r="R495" i="4"/>
  <c r="R463" i="4"/>
  <c r="R431" i="4"/>
  <c r="R399" i="4"/>
  <c r="R367" i="4"/>
  <c r="R335" i="4"/>
  <c r="R303" i="4"/>
  <c r="R271" i="4"/>
  <c r="R239" i="4"/>
  <c r="O198" i="4"/>
  <c r="O134" i="4"/>
  <c r="O70" i="4"/>
  <c r="O6" i="4"/>
  <c r="J102" i="3"/>
  <c r="J70" i="3"/>
  <c r="J38" i="3"/>
  <c r="S1008" i="4"/>
  <c r="P966" i="4"/>
  <c r="R923" i="4"/>
  <c r="S880" i="4"/>
  <c r="P838" i="4"/>
  <c r="R795" i="4"/>
  <c r="S752" i="4"/>
  <c r="P710" i="4"/>
  <c r="P676" i="4"/>
  <c r="P644" i="4"/>
  <c r="P612" i="4"/>
  <c r="P580" i="4"/>
  <c r="P548" i="4"/>
  <c r="P516" i="4"/>
  <c r="P484" i="4"/>
  <c r="P452" i="4"/>
  <c r="P420" i="4"/>
  <c r="P388" i="4"/>
  <c r="P356" i="4"/>
  <c r="P324" i="4"/>
  <c r="P292" i="4"/>
  <c r="P260" i="4"/>
  <c r="P228" i="4"/>
  <c r="S196" i="4"/>
  <c r="S164" i="4"/>
  <c r="S132" i="4"/>
  <c r="S100" i="4"/>
  <c r="S68" i="4"/>
  <c r="S36" i="4"/>
  <c r="S4" i="4"/>
  <c r="S122" i="3"/>
  <c r="R1051" i="4"/>
  <c r="S1005" i="4"/>
  <c r="P963" i="4"/>
  <c r="R920" i="4"/>
  <c r="S877" i="4"/>
  <c r="P835" i="4"/>
  <c r="R792" i="4"/>
  <c r="S749" i="4"/>
  <c r="P707" i="4"/>
  <c r="O645" i="4"/>
  <c r="O581" i="4"/>
  <c r="O517" i="4"/>
  <c r="O453" i="4"/>
  <c r="O389" i="4"/>
  <c r="O325" i="4"/>
  <c r="O261" i="4"/>
  <c r="R207" i="4"/>
  <c r="R175" i="4"/>
  <c r="R143" i="4"/>
  <c r="R111" i="4"/>
  <c r="R79" i="4"/>
  <c r="R47" i="4"/>
  <c r="R15" i="4"/>
  <c r="R133" i="3"/>
  <c r="O92" i="3"/>
  <c r="O28" i="3"/>
  <c r="O64" i="2"/>
  <c r="L54" i="3"/>
  <c r="I6" i="3"/>
  <c r="J63" i="2"/>
  <c r="I26" i="2"/>
  <c r="S1617" i="4"/>
  <c r="O1370" i="4"/>
  <c r="O1114" i="4"/>
  <c r="O858" i="4"/>
  <c r="I1029" i="4"/>
  <c r="J986" i="4"/>
  <c r="L943" i="4"/>
  <c r="I901" i="4"/>
  <c r="J858" i="4"/>
  <c r="L815" i="4"/>
  <c r="I773" i="4"/>
  <c r="J730" i="4"/>
  <c r="L691" i="4"/>
  <c r="L659" i="4"/>
  <c r="L627" i="4"/>
  <c r="L595" i="4"/>
  <c r="L563" i="4"/>
  <c r="L531" i="4"/>
  <c r="L499" i="4"/>
  <c r="L467" i="4"/>
  <c r="L435" i="4"/>
  <c r="L403" i="4"/>
  <c r="L371" i="4"/>
  <c r="L339" i="4"/>
  <c r="L307" i="4"/>
  <c r="L275" i="4"/>
  <c r="L243" i="4"/>
  <c r="P210" i="4"/>
  <c r="P178" i="4"/>
  <c r="P146" i="4"/>
  <c r="P114" i="4"/>
  <c r="P82" i="4"/>
  <c r="P50" i="4"/>
  <c r="P18" i="4"/>
  <c r="P136" i="3"/>
  <c r="S104" i="3"/>
  <c r="J1015" i="4"/>
  <c r="L972" i="4"/>
  <c r="I930" i="4"/>
  <c r="J887" i="4"/>
  <c r="L844" i="4"/>
  <c r="I802" i="4"/>
  <c r="J759" i="4"/>
  <c r="L716" i="4"/>
  <c r="J681" i="4"/>
  <c r="J649" i="4"/>
  <c r="J617" i="4"/>
  <c r="J585" i="4"/>
  <c r="J553" i="4"/>
  <c r="J521" i="4"/>
  <c r="J489" i="4"/>
  <c r="J457" i="4"/>
  <c r="J425" i="4"/>
  <c r="J393" i="4"/>
  <c r="J361" i="4"/>
  <c r="J329" i="4"/>
  <c r="J297" i="4"/>
  <c r="J265" i="4"/>
  <c r="J233" i="4"/>
  <c r="O185" i="4"/>
  <c r="O121" i="4"/>
  <c r="O57" i="4"/>
  <c r="O143" i="3"/>
  <c r="R95" i="3"/>
  <c r="R63" i="3"/>
  <c r="I1043" i="4"/>
  <c r="J1000" i="4"/>
  <c r="L957" i="4"/>
  <c r="I915" i="4"/>
  <c r="J872" i="4"/>
  <c r="L829" i="4"/>
  <c r="I787" i="4"/>
  <c r="J744" i="4"/>
  <c r="I702" i="4"/>
  <c r="I670" i="4"/>
  <c r="I638" i="4"/>
  <c r="I606" i="4"/>
  <c r="I574" i="4"/>
  <c r="I542" i="4"/>
  <c r="I510" i="4"/>
  <c r="I478" i="4"/>
  <c r="I446" i="4"/>
  <c r="I414" i="4"/>
  <c r="I382" i="4"/>
  <c r="I350" i="4"/>
  <c r="I318" i="4"/>
  <c r="I286" i="4"/>
  <c r="I254" i="4"/>
  <c r="I222" i="4"/>
  <c r="L190" i="4"/>
  <c r="L158" i="4"/>
  <c r="L126" i="4"/>
  <c r="L94" i="4"/>
  <c r="L62" i="4"/>
  <c r="L30" i="4"/>
  <c r="L148" i="3"/>
  <c r="L116" i="3"/>
  <c r="I1040" i="4"/>
  <c r="J997" i="4"/>
  <c r="L954" i="4"/>
  <c r="I912" i="4"/>
  <c r="J869" i="4"/>
  <c r="L826" i="4"/>
  <c r="I784" i="4"/>
  <c r="J741" i="4"/>
  <c r="O696" i="4"/>
  <c r="O632" i="4"/>
  <c r="O568" i="4"/>
  <c r="O504" i="4"/>
  <c r="O440" i="4"/>
  <c r="O376" i="4"/>
  <c r="O312" i="4"/>
  <c r="O248" i="4"/>
  <c r="J201" i="4"/>
  <c r="J169" i="4"/>
  <c r="J137" i="4"/>
  <c r="J105" i="4"/>
  <c r="J73" i="4"/>
  <c r="J41" i="4"/>
  <c r="J9" i="4"/>
  <c r="J127" i="3"/>
  <c r="O79" i="3"/>
  <c r="O15" i="3"/>
  <c r="O51" i="2"/>
  <c r="P41" i="3"/>
  <c r="P97" i="2"/>
  <c r="R54" i="2"/>
  <c r="P19" i="2"/>
  <c r="R1604" i="4"/>
  <c r="O1350" i="4"/>
  <c r="O1094" i="4"/>
  <c r="O838" i="4"/>
  <c r="R1025" i="4"/>
  <c r="S982" i="4"/>
  <c r="P940" i="4"/>
  <c r="R897" i="4"/>
  <c r="S854" i="4"/>
  <c r="P812" i="4"/>
  <c r="R769" i="4"/>
  <c r="S726" i="4"/>
  <c r="S688" i="4"/>
  <c r="S656" i="4"/>
  <c r="S624" i="4"/>
  <c r="S592" i="4"/>
  <c r="S560" i="4"/>
  <c r="S528" i="4"/>
  <c r="S496" i="4"/>
  <c r="S464" i="4"/>
  <c r="S432" i="4"/>
  <c r="S400" i="4"/>
  <c r="S368" i="4"/>
  <c r="S336" i="4"/>
  <c r="S304" i="4"/>
  <c r="S272" i="4"/>
  <c r="S240" i="4"/>
  <c r="I208" i="4"/>
  <c r="I176" i="4"/>
  <c r="I144" i="4"/>
  <c r="I112" i="4"/>
  <c r="I80" i="4"/>
  <c r="I48" i="4"/>
  <c r="I16" i="4"/>
  <c r="I134" i="3"/>
  <c r="L102" i="3"/>
  <c r="S1011" i="4"/>
  <c r="P969" i="4"/>
  <c r="R926" i="4"/>
  <c r="S883" i="4"/>
  <c r="P841" i="4"/>
  <c r="R798" i="4"/>
  <c r="S755" i="4"/>
  <c r="P713" i="4"/>
  <c r="R678" i="4"/>
  <c r="R646" i="4"/>
  <c r="R614" i="4"/>
  <c r="R582" i="4"/>
  <c r="R550" i="4"/>
  <c r="R518" i="4"/>
  <c r="R486" i="4"/>
  <c r="R454" i="4"/>
  <c r="R422" i="4"/>
  <c r="R390" i="4"/>
  <c r="R358" i="4"/>
  <c r="R326" i="4"/>
  <c r="R294" i="4"/>
  <c r="R262" i="4"/>
  <c r="R230" i="4"/>
  <c r="O180" i="4"/>
  <c r="O116" i="4"/>
  <c r="O52" i="4"/>
  <c r="O138" i="3"/>
  <c r="J93" i="3"/>
  <c r="J61" i="3"/>
  <c r="R1039" i="4"/>
  <c r="S996" i="4"/>
  <c r="P954" i="4"/>
  <c r="R911" i="4"/>
  <c r="S868" i="4"/>
  <c r="P826" i="4"/>
  <c r="R783" i="4"/>
  <c r="S740" i="4"/>
  <c r="P699" i="4"/>
  <c r="P667" i="4"/>
  <c r="P635" i="4"/>
  <c r="P603" i="4"/>
  <c r="P571" i="4"/>
  <c r="P539" i="4"/>
  <c r="P507" i="4"/>
  <c r="P475" i="4"/>
  <c r="P443" i="4"/>
  <c r="P411" i="4"/>
  <c r="P379" i="4"/>
  <c r="P347" i="4"/>
  <c r="P315" i="4"/>
  <c r="P283" i="4"/>
  <c r="P251" i="4"/>
  <c r="P219" i="4"/>
  <c r="S187" i="4"/>
  <c r="S155" i="4"/>
  <c r="S123" i="4"/>
  <c r="S91" i="4"/>
  <c r="S59" i="4"/>
  <c r="S27" i="4"/>
  <c r="S145" i="3"/>
  <c r="S113" i="3"/>
  <c r="R1036" i="4"/>
  <c r="S993" i="4"/>
  <c r="P951" i="4"/>
  <c r="R908" i="4"/>
  <c r="S865" i="4"/>
  <c r="P823" i="4"/>
  <c r="R780" i="4"/>
  <c r="S737" i="4"/>
  <c r="O691" i="4"/>
  <c r="O627" i="4"/>
  <c r="O563" i="4"/>
  <c r="O499" i="4"/>
  <c r="O435" i="4"/>
  <c r="O371" i="4"/>
  <c r="O307" i="4"/>
  <c r="O243" i="4"/>
  <c r="R198" i="4"/>
  <c r="R166" i="4"/>
  <c r="R134" i="4"/>
  <c r="R102" i="4"/>
  <c r="R70" i="4"/>
  <c r="R38" i="4"/>
  <c r="R6" i="4"/>
  <c r="R124" i="3"/>
  <c r="O74" i="3"/>
  <c r="O10" i="3"/>
  <c r="O46" i="2"/>
  <c r="L36" i="3"/>
  <c r="I94" i="2"/>
  <c r="J51" i="2"/>
  <c r="I17" i="2"/>
  <c r="O1571" i="4"/>
  <c r="O1314" i="4"/>
  <c r="O1058" i="4"/>
  <c r="O802" i="4"/>
  <c r="L1019" i="4"/>
  <c r="I977" i="4"/>
  <c r="J934" i="4"/>
  <c r="L891" i="4"/>
  <c r="I849" i="4"/>
  <c r="J806" i="4"/>
  <c r="L763" i="4"/>
  <c r="I721" i="4"/>
  <c r="L684" i="4"/>
  <c r="L652" i="4"/>
  <c r="L620" i="4"/>
  <c r="L588" i="4"/>
  <c r="L556" i="4"/>
  <c r="L524" i="4"/>
  <c r="L492" i="4"/>
  <c r="L460" i="4"/>
  <c r="L428" i="4"/>
  <c r="L396" i="4"/>
  <c r="L364" i="4"/>
  <c r="L332" i="4"/>
  <c r="L300" i="4"/>
  <c r="L268" i="4"/>
  <c r="L236" i="4"/>
  <c r="P203" i="4"/>
  <c r="P171" i="4"/>
  <c r="P139" i="4"/>
  <c r="P107" i="4"/>
  <c r="P75" i="4"/>
  <c r="P43" i="4"/>
  <c r="P11" i="4"/>
  <c r="P129" i="3"/>
  <c r="J1051" i="4"/>
  <c r="I1006" i="4"/>
  <c r="J963" i="4"/>
  <c r="L920" i="4"/>
  <c r="I878" i="4"/>
  <c r="J835" i="4"/>
  <c r="L792" i="4"/>
  <c r="I750" i="4"/>
  <c r="J707" i="4"/>
  <c r="J674" i="4"/>
  <c r="J642" i="4"/>
  <c r="J610" i="4"/>
  <c r="J578" i="4"/>
  <c r="J546" i="4"/>
  <c r="J514" i="4"/>
  <c r="J482" i="4"/>
  <c r="J450" i="4"/>
  <c r="J418" i="4"/>
  <c r="J386" i="4"/>
  <c r="J354" i="4"/>
  <c r="J322" i="4"/>
  <c r="J290" i="4"/>
  <c r="J258" i="4"/>
  <c r="J226" i="4"/>
  <c r="O183" i="4"/>
  <c r="O159" i="4"/>
  <c r="O139" i="4"/>
  <c r="O119" i="4"/>
  <c r="O99" i="4"/>
  <c r="O83" i="4"/>
  <c r="O67" i="4"/>
  <c r="O51" i="4"/>
  <c r="O35" i="4"/>
  <c r="O19" i="4"/>
  <c r="O3" i="4"/>
  <c r="O137" i="3"/>
  <c r="O121" i="3"/>
  <c r="R108" i="3"/>
  <c r="R100" i="3"/>
  <c r="R92" i="3"/>
  <c r="R84" i="3"/>
  <c r="R76" i="3"/>
  <c r="R68" i="3"/>
  <c r="R60" i="3"/>
  <c r="R52" i="3"/>
  <c r="R44" i="3"/>
  <c r="R1052" i="4"/>
  <c r="I1039" i="4"/>
  <c r="J1028" i="4"/>
  <c r="L1017" i="4"/>
  <c r="I1007" i="4"/>
  <c r="J996" i="4"/>
  <c r="L985" i="4"/>
  <c r="I975" i="4"/>
  <c r="J964" i="4"/>
  <c r="L953" i="4"/>
  <c r="I943" i="4"/>
  <c r="J932" i="4"/>
  <c r="L921" i="4"/>
  <c r="I911" i="4"/>
  <c r="J900" i="4"/>
  <c r="L889" i="4"/>
  <c r="I879" i="4"/>
  <c r="J868" i="4"/>
  <c r="L857" i="4"/>
  <c r="I847" i="4"/>
  <c r="J836" i="4"/>
  <c r="L825" i="4"/>
  <c r="I815" i="4"/>
  <c r="J804" i="4"/>
  <c r="L793" i="4"/>
  <c r="I783" i="4"/>
  <c r="J772" i="4"/>
  <c r="L761" i="4"/>
  <c r="I751" i="4"/>
  <c r="J740" i="4"/>
  <c r="L729" i="4"/>
  <c r="I719" i="4"/>
  <c r="J708" i="4"/>
  <c r="I699" i="4"/>
  <c r="I691" i="4"/>
  <c r="I683" i="4"/>
  <c r="I675" i="4"/>
  <c r="I667" i="4"/>
  <c r="I659" i="4"/>
  <c r="I651" i="4"/>
  <c r="I643" i="4"/>
  <c r="I635" i="4"/>
  <c r="I627" i="4"/>
  <c r="I619" i="4"/>
  <c r="I611" i="4"/>
  <c r="I603" i="4"/>
  <c r="I595" i="4"/>
  <c r="I587" i="4"/>
  <c r="I579" i="4"/>
  <c r="I571" i="4"/>
  <c r="I563" i="4"/>
  <c r="I555" i="4"/>
  <c r="I547" i="4"/>
  <c r="I539" i="4"/>
  <c r="I531" i="4"/>
  <c r="I523" i="4"/>
  <c r="I515" i="4"/>
  <c r="I507" i="4"/>
  <c r="I499" i="4"/>
  <c r="I491" i="4"/>
  <c r="I483" i="4"/>
  <c r="I475" i="4"/>
  <c r="I467" i="4"/>
  <c r="I459" i="4"/>
  <c r="I451" i="4"/>
  <c r="I443" i="4"/>
  <c r="I435" i="4"/>
  <c r="I427" i="4"/>
  <c r="I419" i="4"/>
  <c r="I411" i="4"/>
  <c r="I403" i="4"/>
  <c r="I395" i="4"/>
  <c r="I387" i="4"/>
  <c r="I379" i="4"/>
  <c r="I371" i="4"/>
  <c r="I363" i="4"/>
  <c r="I355" i="4"/>
  <c r="I347" i="4"/>
  <c r="I339" i="4"/>
  <c r="I331" i="4"/>
  <c r="I323" i="4"/>
  <c r="I315" i="4"/>
  <c r="I307" i="4"/>
  <c r="I299" i="4"/>
  <c r="I291" i="4"/>
  <c r="I283" i="4"/>
  <c r="I275" i="4"/>
  <c r="I267" i="4"/>
  <c r="I259" i="4"/>
  <c r="I251" i="4"/>
  <c r="I243" i="4"/>
  <c r="I235" i="4"/>
  <c r="I227" i="4"/>
  <c r="I219" i="4"/>
  <c r="L211" i="4"/>
  <c r="L203" i="4"/>
  <c r="L195" i="4"/>
  <c r="L187" i="4"/>
  <c r="L179" i="4"/>
  <c r="L171" i="4"/>
  <c r="L163" i="4"/>
  <c r="L155" i="4"/>
  <c r="L147" i="4"/>
  <c r="L139" i="4"/>
  <c r="L131" i="4"/>
  <c r="L123" i="4"/>
  <c r="L115" i="4"/>
  <c r="L107" i="4"/>
  <c r="L99" i="4"/>
  <c r="L91" i="4"/>
  <c r="L83" i="4"/>
  <c r="L75" i="4"/>
  <c r="L67" i="4"/>
  <c r="L59" i="4"/>
  <c r="L51" i="4"/>
  <c r="L43" i="4"/>
  <c r="L35" i="4"/>
  <c r="L27" i="4"/>
  <c r="L19" i="4"/>
  <c r="L11" i="4"/>
  <c r="L3" i="4"/>
  <c r="L145" i="3"/>
  <c r="L137" i="3"/>
  <c r="L129" i="3"/>
  <c r="L121" i="3"/>
  <c r="L113" i="3"/>
  <c r="P104" i="3"/>
  <c r="P96" i="3"/>
  <c r="L1048" i="4"/>
  <c r="I1036" i="4"/>
  <c r="J1025" i="4"/>
  <c r="L1014" i="4"/>
  <c r="I1004" i="4"/>
  <c r="J993" i="4"/>
  <c r="L982" i="4"/>
  <c r="I972" i="4"/>
  <c r="J961" i="4"/>
  <c r="L950" i="4"/>
  <c r="I940" i="4"/>
  <c r="J929" i="4"/>
  <c r="L918" i="4"/>
  <c r="I908" i="4"/>
  <c r="J897" i="4"/>
  <c r="L886" i="4"/>
  <c r="I876" i="4"/>
  <c r="J865" i="4"/>
  <c r="L854" i="4"/>
  <c r="I844" i="4"/>
  <c r="J833" i="4"/>
  <c r="L822" i="4"/>
  <c r="I812" i="4"/>
  <c r="J801" i="4"/>
  <c r="L790" i="4"/>
  <c r="I780" i="4"/>
  <c r="J769" i="4"/>
  <c r="L758" i="4"/>
  <c r="I748" i="4"/>
  <c r="J737" i="4"/>
  <c r="L726" i="4"/>
  <c r="I716" i="4"/>
  <c r="J705" i="4"/>
  <c r="O690" i="4"/>
  <c r="O674" i="4"/>
  <c r="O658" i="4"/>
  <c r="O642" i="4"/>
  <c r="O626" i="4"/>
  <c r="O610" i="4"/>
  <c r="O594" i="4"/>
  <c r="O578" i="4"/>
  <c r="O562" i="4"/>
  <c r="O546" i="4"/>
  <c r="O530" i="4"/>
  <c r="O514" i="4"/>
  <c r="O498" i="4"/>
  <c r="O482" i="4"/>
  <c r="O466" i="4"/>
  <c r="O450" i="4"/>
  <c r="O434" i="4"/>
  <c r="O418" i="4"/>
  <c r="O402" i="4"/>
  <c r="O386" i="4"/>
  <c r="O370" i="4"/>
  <c r="O354" i="4"/>
  <c r="O338" i="4"/>
  <c r="O322" i="4"/>
  <c r="O306" i="4"/>
  <c r="O290" i="4"/>
  <c r="O274" i="4"/>
  <c r="O258" i="4"/>
  <c r="O242" i="4"/>
  <c r="O226" i="4"/>
  <c r="J214" i="4"/>
  <c r="J206" i="4"/>
  <c r="J198" i="4"/>
  <c r="J190" i="4"/>
  <c r="J182" i="4"/>
  <c r="J174" i="4"/>
  <c r="J166" i="4"/>
  <c r="J158" i="4"/>
  <c r="J150" i="4"/>
  <c r="J142" i="4"/>
  <c r="J134" i="4"/>
  <c r="J126" i="4"/>
  <c r="J118" i="4"/>
  <c r="J110" i="4"/>
  <c r="J102" i="4"/>
  <c r="J94" i="4"/>
  <c r="J86" i="4"/>
  <c r="J78" i="4"/>
  <c r="J70" i="4"/>
  <c r="J62" i="4"/>
  <c r="J54" i="4"/>
  <c r="J46" i="4"/>
  <c r="J38" i="4"/>
  <c r="J30" i="4"/>
  <c r="J22" i="4"/>
  <c r="J14" i="4"/>
  <c r="J6" i="4"/>
  <c r="J148" i="3"/>
  <c r="J140" i="3"/>
  <c r="J132" i="3"/>
  <c r="J124" i="3"/>
  <c r="J116" i="3"/>
  <c r="O105" i="3"/>
  <c r="O89" i="3"/>
  <c r="O73" i="3"/>
  <c r="O57" i="3"/>
  <c r="O41" i="3"/>
  <c r="O25" i="3"/>
  <c r="O9" i="3"/>
  <c r="O93" i="2"/>
  <c r="O77" i="2"/>
  <c r="O61" i="2"/>
  <c r="O45" i="2"/>
  <c r="I83" i="3"/>
  <c r="I67" i="3"/>
  <c r="I51" i="3"/>
  <c r="S35" i="3"/>
  <c r="P25" i="3"/>
  <c r="R14" i="3"/>
  <c r="S3" i="3"/>
  <c r="P93" i="2"/>
  <c r="R82" i="2"/>
  <c r="S71" i="2"/>
  <c r="P61" i="2"/>
  <c r="R50" i="2"/>
  <c r="P40" i="2"/>
  <c r="P32" i="2"/>
  <c r="P24" i="2"/>
  <c r="P16" i="2"/>
  <c r="P8" i="2"/>
  <c r="L15" i="1"/>
  <c r="L10" i="1"/>
  <c r="L12" i="1"/>
  <c r="S31" i="2"/>
  <c r="I4" i="1"/>
  <c r="L81" i="3"/>
  <c r="L65" i="3"/>
  <c r="L49" i="3"/>
  <c r="I35" i="3"/>
  <c r="J24" i="3"/>
  <c r="L13" i="3"/>
  <c r="I3" i="3"/>
  <c r="J92" i="2"/>
  <c r="L81" i="2"/>
  <c r="I71" i="2"/>
  <c r="J60" i="2"/>
  <c r="L49" i="2"/>
  <c r="O37" i="2"/>
  <c r="O21" i="2"/>
  <c r="O5" i="2"/>
  <c r="J2" i="1"/>
  <c r="L19" i="2"/>
  <c r="I12" i="1"/>
  <c r="P79" i="3"/>
  <c r="P63" i="3"/>
  <c r="P47" i="3"/>
  <c r="J33" i="3"/>
  <c r="L22" i="3"/>
  <c r="I12" i="3"/>
  <c r="J101" i="2"/>
  <c r="L90" i="2"/>
  <c r="I80" i="2"/>
  <c r="J69" i="2"/>
  <c r="L58" i="2"/>
  <c r="S45" i="2"/>
  <c r="S34" i="2"/>
  <c r="L16" i="1"/>
  <c r="I84" i="3"/>
  <c r="I68" i="3"/>
  <c r="I52" i="3"/>
  <c r="I37" i="3"/>
  <c r="J26" i="3"/>
  <c r="L15" i="3"/>
  <c r="I5" i="3"/>
  <c r="J94" i="2"/>
  <c r="L83" i="2"/>
  <c r="I73" i="2"/>
  <c r="J62" i="2"/>
  <c r="L51" i="2"/>
  <c r="J41" i="2"/>
  <c r="J33" i="2"/>
  <c r="J25" i="2"/>
  <c r="J17" i="2"/>
  <c r="J9" i="2"/>
  <c r="I16" i="1"/>
  <c r="J12" i="1"/>
  <c r="L7" i="2"/>
  <c r="P63" i="2"/>
  <c r="L42" i="2"/>
  <c r="L8" i="2"/>
  <c r="L79" i="3"/>
  <c r="L59" i="3"/>
  <c r="L39" i="3"/>
  <c r="S22" i="3"/>
  <c r="R9" i="3"/>
  <c r="R93" i="2"/>
  <c r="S74" i="2"/>
  <c r="S50" i="2"/>
  <c r="R36" i="2"/>
  <c r="R22" i="2"/>
  <c r="R12" i="2"/>
  <c r="O15" i="1"/>
  <c r="S6" i="2"/>
  <c r="J11" i="1"/>
  <c r="L93" i="3"/>
  <c r="S63" i="3"/>
  <c r="L33" i="3"/>
  <c r="L17" i="3"/>
  <c r="L93" i="2"/>
  <c r="J72" i="2"/>
  <c r="L45" i="2"/>
  <c r="O15" i="2"/>
  <c r="S26" i="2"/>
  <c r="I89" i="3"/>
  <c r="I57" i="3"/>
  <c r="J29" i="3"/>
  <c r="I8" i="3"/>
  <c r="L86" i="2"/>
  <c r="L62" i="2"/>
  <c r="S39" i="2"/>
  <c r="P86" i="3"/>
  <c r="P54" i="3"/>
  <c r="L27" i="3"/>
  <c r="I9" i="3"/>
  <c r="J90" i="2"/>
  <c r="J74" i="2"/>
  <c r="J1032" i="4"/>
  <c r="L952" i="4"/>
  <c r="I983" i="4"/>
  <c r="L801" i="4"/>
  <c r="L737" i="4"/>
  <c r="L705" i="4"/>
  <c r="I681" i="4"/>
  <c r="I657" i="4"/>
  <c r="I633" i="4"/>
  <c r="I609" i="4"/>
  <c r="I593" i="4"/>
  <c r="I577" i="4"/>
  <c r="I553" i="4"/>
  <c r="I529" i="4"/>
  <c r="I505" i="4"/>
  <c r="I481" i="4"/>
  <c r="I473" i="4"/>
  <c r="I449" i="4"/>
  <c r="I425" i="4"/>
  <c r="I417" i="4"/>
  <c r="I393" i="4"/>
  <c r="I369" i="4"/>
  <c r="I361" i="4"/>
  <c r="I337" i="4"/>
  <c r="I321" i="4"/>
  <c r="I297" i="4"/>
  <c r="I281" i="4"/>
  <c r="I257" i="4"/>
  <c r="I233" i="4"/>
  <c r="J217" i="4"/>
  <c r="L201" i="4"/>
  <c r="L177" i="4"/>
  <c r="L169" i="4"/>
  <c r="L145" i="4"/>
  <c r="L121" i="4"/>
  <c r="L97" i="4"/>
  <c r="L73" i="4"/>
  <c r="L57" i="4"/>
  <c r="L33" i="4"/>
  <c r="L9" i="4"/>
  <c r="L135" i="3"/>
  <c r="L127" i="3"/>
  <c r="P102" i="3"/>
  <c r="J1033" i="4"/>
  <c r="J1001" i="4"/>
  <c r="I980" i="4"/>
  <c r="L958" i="4"/>
  <c r="L926" i="4"/>
  <c r="L894" i="4"/>
  <c r="J873" i="4"/>
  <c r="L862" i="4"/>
  <c r="L830" i="4"/>
  <c r="J809" i="4"/>
  <c r="J777" i="4"/>
  <c r="J745" i="4"/>
  <c r="J713" i="4"/>
  <c r="O670" i="4"/>
  <c r="O638" i="4"/>
  <c r="O590" i="4"/>
  <c r="O558" i="4"/>
  <c r="O510" i="4"/>
  <c r="O462" i="4"/>
  <c r="O414" i="4"/>
  <c r="O382" i="4"/>
  <c r="O350" i="4"/>
  <c r="O302" i="4"/>
  <c r="O254" i="4"/>
  <c r="J212" i="4"/>
  <c r="J188" i="4"/>
  <c r="J172" i="4"/>
  <c r="J148" i="4"/>
  <c r="J124" i="4"/>
  <c r="J108" i="4"/>
  <c r="J92" i="4"/>
  <c r="J84" i="4"/>
  <c r="J68" i="4"/>
  <c r="J60" i="4"/>
  <c r="J44" i="4"/>
  <c r="J28" i="4"/>
  <c r="J4" i="4"/>
  <c r="J138" i="3"/>
  <c r="J114" i="3"/>
  <c r="O85" i="3"/>
  <c r="O53" i="3"/>
  <c r="O37" i="3"/>
  <c r="O5" i="3"/>
  <c r="O57" i="2"/>
  <c r="I79" i="3"/>
  <c r="I47" i="3"/>
  <c r="S11" i="3"/>
  <c r="S79" i="2"/>
  <c r="P69" i="2"/>
  <c r="P38" i="2"/>
  <c r="P30" i="2"/>
  <c r="P6" i="2"/>
  <c r="L11" i="1"/>
  <c r="L97" i="3"/>
  <c r="L61" i="3"/>
  <c r="L21" i="3"/>
  <c r="L89" i="2"/>
  <c r="L57" i="2"/>
  <c r="O17" i="2"/>
  <c r="L12" i="2"/>
  <c r="P75" i="3"/>
  <c r="P43" i="3"/>
  <c r="J9" i="3"/>
  <c r="J77" i="2"/>
  <c r="P43" i="2"/>
  <c r="P13" i="1"/>
  <c r="I48" i="3"/>
  <c r="I13" i="3"/>
  <c r="L91" i="2"/>
  <c r="L59" i="2"/>
  <c r="J39" i="2"/>
  <c r="J15" i="2"/>
  <c r="S9" i="1"/>
  <c r="L2" i="2"/>
  <c r="I3" i="1"/>
  <c r="R33" i="3"/>
  <c r="P88" i="2"/>
  <c r="R32" i="2"/>
  <c r="O11" i="1"/>
  <c r="S49" i="2"/>
  <c r="S55" i="3"/>
  <c r="L85" i="2"/>
  <c r="O3" i="2"/>
  <c r="I49" i="3"/>
  <c r="J81" i="2"/>
  <c r="P46" i="3"/>
  <c r="L87" i="2"/>
  <c r="J18" i="2"/>
  <c r="J13" i="1"/>
  <c r="I54" i="3"/>
  <c r="P82" i="2"/>
  <c r="O2" i="2"/>
  <c r="L6" i="2"/>
  <c r="L56" i="3"/>
  <c r="R28" i="3"/>
  <c r="R96" i="2"/>
  <c r="R64" i="2"/>
  <c r="L22" i="2"/>
  <c r="S61" i="3"/>
  <c r="R21" i="3"/>
  <c r="R89" i="2"/>
  <c r="S46" i="2"/>
  <c r="R11" i="2"/>
  <c r="S14" i="2"/>
  <c r="R2" i="1"/>
  <c r="P72" i="3"/>
  <c r="S28" i="3"/>
  <c r="R75" i="2"/>
  <c r="O12" i="2"/>
  <c r="S16" i="1"/>
  <c r="S54" i="3"/>
  <c r="P95" i="2"/>
  <c r="P55" i="2"/>
  <c r="P96" i="2"/>
  <c r="R53" i="2"/>
  <c r="S11" i="2"/>
  <c r="S67" i="3"/>
  <c r="J12" i="3"/>
  <c r="L69" i="2"/>
  <c r="S8" i="2"/>
  <c r="J13" i="3"/>
  <c r="L54" i="2"/>
  <c r="P50" i="3"/>
  <c r="I69" i="2"/>
  <c r="J14" i="2"/>
  <c r="S12" i="1"/>
  <c r="S32" i="3"/>
  <c r="R55" i="2"/>
  <c r="M54" i="2" l="1"/>
  <c r="N54" i="2" s="1"/>
  <c r="H54" i="2"/>
  <c r="H69" i="2"/>
  <c r="M69" i="2"/>
  <c r="N69" i="2" s="1"/>
  <c r="M22" i="2"/>
  <c r="N22" i="2" s="1"/>
  <c r="H22" i="2"/>
  <c r="M56" i="3"/>
  <c r="N56" i="3" s="1"/>
  <c r="Y56" i="3"/>
  <c r="H56" i="3"/>
  <c r="M6" i="2"/>
  <c r="N6" i="2" s="1"/>
  <c r="H6" i="2"/>
  <c r="M87" i="2"/>
  <c r="N87" i="2" s="1"/>
  <c r="H87" i="2"/>
  <c r="M85" i="2"/>
  <c r="N85" i="2" s="1"/>
  <c r="H85" i="2"/>
  <c r="H2" i="2"/>
  <c r="M2" i="2"/>
  <c r="N2" i="2" s="1"/>
  <c r="H59" i="2"/>
  <c r="M59" i="2"/>
  <c r="N59" i="2" s="1"/>
  <c r="M91" i="2"/>
  <c r="N91" i="2" s="1"/>
  <c r="H91" i="2"/>
  <c r="M12" i="2"/>
  <c r="N12" i="2" s="1"/>
  <c r="H12" i="2"/>
  <c r="M57" i="2"/>
  <c r="N57" i="2" s="1"/>
  <c r="H57" i="2"/>
  <c r="M89" i="2"/>
  <c r="N89" i="2" s="1"/>
  <c r="H89" i="2"/>
  <c r="H21" i="3"/>
  <c r="Y21" i="3"/>
  <c r="M21" i="3"/>
  <c r="N21" i="3" s="1"/>
  <c r="M61" i="3"/>
  <c r="N61" i="3" s="1"/>
  <c r="H61" i="3"/>
  <c r="Y61" i="3"/>
  <c r="Y97" i="3"/>
  <c r="H97" i="3"/>
  <c r="M97" i="3"/>
  <c r="N97" i="3" s="1"/>
  <c r="H11" i="1"/>
  <c r="Y11" i="1"/>
  <c r="M11" i="1"/>
  <c r="N11" i="1" s="1"/>
  <c r="H830" i="4"/>
  <c r="Y830" i="4"/>
  <c r="M830" i="4"/>
  <c r="N830" i="4" s="1"/>
  <c r="H862" i="4"/>
  <c r="Y862" i="4"/>
  <c r="M862" i="4"/>
  <c r="N862" i="4" s="1"/>
  <c r="H894" i="4"/>
  <c r="Y894" i="4"/>
  <c r="M894" i="4"/>
  <c r="N894" i="4" s="1"/>
  <c r="H926" i="4"/>
  <c r="Y926" i="4"/>
  <c r="M926" i="4"/>
  <c r="N926" i="4" s="1"/>
  <c r="H958" i="4"/>
  <c r="Y958" i="4"/>
  <c r="M958" i="4"/>
  <c r="N958" i="4" s="1"/>
  <c r="M127" i="3"/>
  <c r="N127" i="3" s="1"/>
  <c r="Y127" i="3"/>
  <c r="H127" i="3"/>
  <c r="Y135" i="3"/>
  <c r="M135" i="3"/>
  <c r="N135" i="3" s="1"/>
  <c r="H135" i="3"/>
  <c r="M9" i="4"/>
  <c r="N9" i="4" s="1"/>
  <c r="H9" i="4"/>
  <c r="Y9" i="4"/>
  <c r="Y33" i="4"/>
  <c r="M33" i="4"/>
  <c r="N33" i="4" s="1"/>
  <c r="H33" i="4"/>
  <c r="Y57" i="4"/>
  <c r="M57" i="4"/>
  <c r="N57" i="4" s="1"/>
  <c r="H57" i="4"/>
  <c r="Y73" i="4"/>
  <c r="M73" i="4"/>
  <c r="N73" i="4" s="1"/>
  <c r="H73" i="4"/>
  <c r="H97" i="4"/>
  <c r="M97" i="4"/>
  <c r="N97" i="4" s="1"/>
  <c r="Y97" i="4"/>
  <c r="H121" i="4"/>
  <c r="Y121" i="4"/>
  <c r="M121" i="4"/>
  <c r="N121" i="4" s="1"/>
  <c r="Y145" i="4"/>
  <c r="H145" i="4"/>
  <c r="M145" i="4"/>
  <c r="N145" i="4" s="1"/>
  <c r="M169" i="4"/>
  <c r="N169" i="4" s="1"/>
  <c r="Y169" i="4"/>
  <c r="H169" i="4"/>
  <c r="Y177" i="4"/>
  <c r="H177" i="4"/>
  <c r="M177" i="4"/>
  <c r="N177" i="4" s="1"/>
  <c r="H201" i="4"/>
  <c r="Y201" i="4"/>
  <c r="M201" i="4"/>
  <c r="N201" i="4" s="1"/>
  <c r="H705" i="4"/>
  <c r="Y705" i="4"/>
  <c r="M705" i="4"/>
  <c r="N705" i="4" s="1"/>
  <c r="M737" i="4"/>
  <c r="N737" i="4" s="1"/>
  <c r="H737" i="4"/>
  <c r="Y737" i="4"/>
  <c r="M801" i="4"/>
  <c r="N801" i="4" s="1"/>
  <c r="H801" i="4"/>
  <c r="Y801" i="4"/>
  <c r="H952" i="4"/>
  <c r="Y952" i="4"/>
  <c r="M952" i="4"/>
  <c r="N952" i="4" s="1"/>
  <c r="Y27" i="3"/>
  <c r="H27" i="3"/>
  <c r="M27" i="3"/>
  <c r="N27" i="3" s="1"/>
  <c r="H62" i="2"/>
  <c r="M62" i="2"/>
  <c r="N62" i="2" s="1"/>
  <c r="M86" i="2"/>
  <c r="N86" i="2" s="1"/>
  <c r="H86" i="2"/>
  <c r="H45" i="2"/>
  <c r="M45" i="2"/>
  <c r="N45" i="2" s="1"/>
  <c r="M93" i="2"/>
  <c r="N93" i="2" s="1"/>
  <c r="H93" i="2"/>
  <c r="M17" i="3"/>
  <c r="N17" i="3" s="1"/>
  <c r="H17" i="3"/>
  <c r="Y17" i="3"/>
  <c r="M33" i="3"/>
  <c r="N33" i="3" s="1"/>
  <c r="Y33" i="3"/>
  <c r="H33" i="3"/>
  <c r="M93" i="3"/>
  <c r="N93" i="3" s="1"/>
  <c r="Y93" i="3"/>
  <c r="H93" i="3"/>
  <c r="Y39" i="3"/>
  <c r="H39" i="3"/>
  <c r="M39" i="3"/>
  <c r="N39" i="3" s="1"/>
  <c r="H59" i="3"/>
  <c r="M59" i="3"/>
  <c r="N59" i="3" s="1"/>
  <c r="Y59" i="3"/>
  <c r="Y79" i="3"/>
  <c r="H79" i="3"/>
  <c r="M79" i="3"/>
  <c r="N79" i="3" s="1"/>
  <c r="M8" i="2"/>
  <c r="N8" i="2" s="1"/>
  <c r="H8" i="2"/>
  <c r="M42" i="2"/>
  <c r="N42" i="2" s="1"/>
  <c r="H42" i="2"/>
  <c r="M7" i="2"/>
  <c r="N7" i="2" s="1"/>
  <c r="H7" i="2"/>
  <c r="H51" i="2"/>
  <c r="M51" i="2"/>
  <c r="N51" i="2" s="1"/>
  <c r="H83" i="2"/>
  <c r="M83" i="2"/>
  <c r="N83" i="2" s="1"/>
  <c r="Y15" i="3"/>
  <c r="H15" i="3"/>
  <c r="M15" i="3"/>
  <c r="N15" i="3" s="1"/>
  <c r="M16" i="1"/>
  <c r="N16" i="1" s="1"/>
  <c r="H58" i="2"/>
  <c r="M58" i="2"/>
  <c r="N58" i="2" s="1"/>
  <c r="M90" i="2"/>
  <c r="N90" i="2" s="1"/>
  <c r="H90" i="2"/>
  <c r="M22" i="3"/>
  <c r="N22" i="3" s="1"/>
  <c r="Y22" i="3"/>
  <c r="H22" i="3"/>
  <c r="M19" i="2"/>
  <c r="N19" i="2" s="1"/>
  <c r="H19" i="2"/>
  <c r="M49" i="2"/>
  <c r="N49" i="2" s="1"/>
  <c r="H49" i="2"/>
  <c r="M81" i="2"/>
  <c r="N81" i="2" s="1"/>
  <c r="H81" i="2"/>
  <c r="Y13" i="3"/>
  <c r="H13" i="3"/>
  <c r="M13" i="3"/>
  <c r="N13" i="3" s="1"/>
  <c r="H49" i="3"/>
  <c r="M49" i="3"/>
  <c r="N49" i="3" s="1"/>
  <c r="Y49" i="3"/>
  <c r="H65" i="3"/>
  <c r="M65" i="3"/>
  <c r="N65" i="3" s="1"/>
  <c r="Y65" i="3"/>
  <c r="H81" i="3"/>
  <c r="Y81" i="3"/>
  <c r="M81" i="3"/>
  <c r="N81" i="3" s="1"/>
  <c r="M12" i="1"/>
  <c r="N12" i="1" s="1"/>
  <c r="Y12" i="1"/>
  <c r="H12" i="1"/>
  <c r="Y10" i="1"/>
  <c r="M10" i="1"/>
  <c r="N10" i="1" s="1"/>
  <c r="H10" i="1"/>
  <c r="M15" i="1"/>
  <c r="N15" i="1" s="1"/>
  <c r="M726" i="4"/>
  <c r="N726" i="4" s="1"/>
  <c r="H726" i="4"/>
  <c r="Y726" i="4"/>
  <c r="M758" i="4"/>
  <c r="N758" i="4" s="1"/>
  <c r="H758" i="4"/>
  <c r="Y758" i="4"/>
  <c r="M790" i="4"/>
  <c r="N790" i="4" s="1"/>
  <c r="H790" i="4"/>
  <c r="Y790" i="4"/>
  <c r="M822" i="4"/>
  <c r="N822" i="4" s="1"/>
  <c r="H822" i="4"/>
  <c r="Y822" i="4"/>
  <c r="M854" i="4"/>
  <c r="N854" i="4" s="1"/>
  <c r="H854" i="4"/>
  <c r="Y854" i="4"/>
  <c r="M886" i="4"/>
  <c r="N886" i="4" s="1"/>
  <c r="H886" i="4"/>
  <c r="Y886" i="4"/>
  <c r="M918" i="4"/>
  <c r="N918" i="4" s="1"/>
  <c r="H918" i="4"/>
  <c r="Y918" i="4"/>
  <c r="M950" i="4"/>
  <c r="N950" i="4" s="1"/>
  <c r="H950" i="4"/>
  <c r="Y950" i="4"/>
  <c r="M982" i="4"/>
  <c r="N982" i="4" s="1"/>
  <c r="H982" i="4"/>
  <c r="Y982" i="4"/>
  <c r="M1014" i="4"/>
  <c r="N1014" i="4" s="1"/>
  <c r="H1014" i="4"/>
  <c r="Y1014" i="4"/>
  <c r="Y1048" i="4"/>
  <c r="M1048" i="4"/>
  <c r="N1048" i="4" s="1"/>
  <c r="H1048" i="4"/>
  <c r="H113" i="3"/>
  <c r="M113" i="3"/>
  <c r="N113" i="3" s="1"/>
  <c r="Y113" i="3"/>
  <c r="M121" i="3"/>
  <c r="N121" i="3" s="1"/>
  <c r="Y121" i="3"/>
  <c r="H121" i="3"/>
  <c r="M129" i="3"/>
  <c r="N129" i="3" s="1"/>
  <c r="Y129" i="3"/>
  <c r="H129" i="3"/>
  <c r="M137" i="3"/>
  <c r="N137" i="3" s="1"/>
  <c r="Y137" i="3"/>
  <c r="H137" i="3"/>
  <c r="M145" i="3"/>
  <c r="N145" i="3" s="1"/>
  <c r="Y145" i="3"/>
  <c r="H145" i="3"/>
  <c r="Y3" i="4"/>
  <c r="M3" i="4"/>
  <c r="N3" i="4" s="1"/>
  <c r="H3" i="4"/>
  <c r="H11" i="4"/>
  <c r="M11" i="4"/>
  <c r="N11" i="4" s="1"/>
  <c r="Y11" i="4"/>
  <c r="H19" i="4"/>
  <c r="M19" i="4"/>
  <c r="N19" i="4" s="1"/>
  <c r="Y19" i="4"/>
  <c r="M27" i="4"/>
  <c r="N27" i="4" s="1"/>
  <c r="H27" i="4"/>
  <c r="Y27" i="4"/>
  <c r="Y35" i="4"/>
  <c r="H35" i="4"/>
  <c r="M35" i="4"/>
  <c r="N35" i="4" s="1"/>
  <c r="Y43" i="4"/>
  <c r="H43" i="4"/>
  <c r="M43" i="4"/>
  <c r="N43" i="4" s="1"/>
  <c r="Y51" i="4"/>
  <c r="H51" i="4"/>
  <c r="M51" i="4"/>
  <c r="N51" i="4" s="1"/>
  <c r="Y59" i="4"/>
  <c r="H59" i="4"/>
  <c r="M59" i="4"/>
  <c r="N59" i="4" s="1"/>
  <c r="Y67" i="4"/>
  <c r="H67" i="4"/>
  <c r="M67" i="4"/>
  <c r="N67" i="4" s="1"/>
  <c r="Y75" i="4"/>
  <c r="H75" i="4"/>
  <c r="M75" i="4"/>
  <c r="N75" i="4" s="1"/>
  <c r="M83" i="4"/>
  <c r="N83" i="4" s="1"/>
  <c r="H83" i="4"/>
  <c r="Y83" i="4"/>
  <c r="M91" i="4"/>
  <c r="N91" i="4" s="1"/>
  <c r="H91" i="4"/>
  <c r="Y91" i="4"/>
  <c r="M99" i="4"/>
  <c r="N99" i="4" s="1"/>
  <c r="H99" i="4"/>
  <c r="Y99" i="4"/>
  <c r="M107" i="4"/>
  <c r="N107" i="4" s="1"/>
  <c r="H107" i="4"/>
  <c r="Y107" i="4"/>
  <c r="M115" i="4"/>
  <c r="N115" i="4" s="1"/>
  <c r="H115" i="4"/>
  <c r="Y115" i="4"/>
  <c r="M123" i="4"/>
  <c r="N123" i="4" s="1"/>
  <c r="H123" i="4"/>
  <c r="Y123" i="4"/>
  <c r="M131" i="4"/>
  <c r="N131" i="4" s="1"/>
  <c r="H131" i="4"/>
  <c r="Y131" i="4"/>
  <c r="M139" i="4"/>
  <c r="N139" i="4" s="1"/>
  <c r="H139" i="4"/>
  <c r="Y139" i="4"/>
  <c r="M147" i="4"/>
  <c r="N147" i="4" s="1"/>
  <c r="H147" i="4"/>
  <c r="Y147" i="4"/>
  <c r="M155" i="4"/>
  <c r="N155" i="4" s="1"/>
  <c r="H155" i="4"/>
  <c r="Y155" i="4"/>
  <c r="M163" i="4"/>
  <c r="N163" i="4" s="1"/>
  <c r="H163" i="4"/>
  <c r="Y163" i="4"/>
  <c r="M171" i="4"/>
  <c r="N171" i="4" s="1"/>
  <c r="H171" i="4"/>
  <c r="Y171" i="4"/>
  <c r="M179" i="4"/>
  <c r="N179" i="4" s="1"/>
  <c r="H179" i="4"/>
  <c r="Y179" i="4"/>
  <c r="M187" i="4"/>
  <c r="N187" i="4" s="1"/>
  <c r="H187" i="4"/>
  <c r="Y187" i="4"/>
  <c r="M195" i="4"/>
  <c r="N195" i="4" s="1"/>
  <c r="H195" i="4"/>
  <c r="Y195" i="4"/>
  <c r="M203" i="4"/>
  <c r="N203" i="4" s="1"/>
  <c r="H203" i="4"/>
  <c r="Y203" i="4"/>
  <c r="M211" i="4"/>
  <c r="N211" i="4" s="1"/>
  <c r="H211" i="4"/>
  <c r="Y211" i="4"/>
  <c r="H729" i="4"/>
  <c r="Y729" i="4"/>
  <c r="M729" i="4"/>
  <c r="N729" i="4" s="1"/>
  <c r="M761" i="4"/>
  <c r="N761" i="4" s="1"/>
  <c r="H761" i="4"/>
  <c r="Y761" i="4"/>
  <c r="H793" i="4"/>
  <c r="Y793" i="4"/>
  <c r="M793" i="4"/>
  <c r="N793" i="4" s="1"/>
  <c r="M825" i="4"/>
  <c r="N825" i="4" s="1"/>
  <c r="H825" i="4"/>
  <c r="Y825" i="4"/>
  <c r="H857" i="4"/>
  <c r="Y857" i="4"/>
  <c r="M857" i="4"/>
  <c r="N857" i="4" s="1"/>
  <c r="M889" i="4"/>
  <c r="N889" i="4" s="1"/>
  <c r="H889" i="4"/>
  <c r="Y889" i="4"/>
  <c r="H921" i="4"/>
  <c r="Y921" i="4"/>
  <c r="M921" i="4"/>
  <c r="N921" i="4" s="1"/>
  <c r="M953" i="4"/>
  <c r="N953" i="4" s="1"/>
  <c r="H953" i="4"/>
  <c r="Y953" i="4"/>
  <c r="H985" i="4"/>
  <c r="Y985" i="4"/>
  <c r="M985" i="4"/>
  <c r="N985" i="4" s="1"/>
  <c r="M1017" i="4"/>
  <c r="N1017" i="4" s="1"/>
  <c r="H1017" i="4"/>
  <c r="Y1017" i="4"/>
  <c r="H792" i="4"/>
  <c r="Y792" i="4"/>
  <c r="M792" i="4"/>
  <c r="N792" i="4" s="1"/>
  <c r="H920" i="4"/>
  <c r="Y920" i="4"/>
  <c r="M920" i="4"/>
  <c r="N920" i="4" s="1"/>
  <c r="Y236" i="4"/>
  <c r="H236" i="4"/>
  <c r="M236" i="4"/>
  <c r="N236" i="4" s="1"/>
  <c r="M268" i="4"/>
  <c r="N268" i="4" s="1"/>
  <c r="H268" i="4"/>
  <c r="Y268" i="4"/>
  <c r="H300" i="4"/>
  <c r="M300" i="4"/>
  <c r="N300" i="4" s="1"/>
  <c r="Y300" i="4"/>
  <c r="M332" i="4"/>
  <c r="N332" i="4" s="1"/>
  <c r="H332" i="4"/>
  <c r="Y332" i="4"/>
  <c r="M364" i="4"/>
  <c r="N364" i="4" s="1"/>
  <c r="H364" i="4"/>
  <c r="Y364" i="4"/>
  <c r="H396" i="4"/>
  <c r="M396" i="4"/>
  <c r="N396" i="4" s="1"/>
  <c r="Y396" i="4"/>
  <c r="M428" i="4"/>
  <c r="N428" i="4" s="1"/>
  <c r="H428" i="4"/>
  <c r="Y428" i="4"/>
  <c r="M460" i="4"/>
  <c r="N460" i="4" s="1"/>
  <c r="H460" i="4"/>
  <c r="Y460" i="4"/>
  <c r="M492" i="4"/>
  <c r="N492" i="4" s="1"/>
  <c r="H492" i="4"/>
  <c r="Y492" i="4"/>
  <c r="M524" i="4"/>
  <c r="N524" i="4" s="1"/>
  <c r="H524" i="4"/>
  <c r="Y524" i="4"/>
  <c r="M556" i="4"/>
  <c r="N556" i="4" s="1"/>
  <c r="Y556" i="4"/>
  <c r="H556" i="4"/>
  <c r="M588" i="4"/>
  <c r="N588" i="4" s="1"/>
  <c r="Y588" i="4"/>
  <c r="H588" i="4"/>
  <c r="M620" i="4"/>
  <c r="N620" i="4" s="1"/>
  <c r="Y620" i="4"/>
  <c r="H620" i="4"/>
  <c r="Y652" i="4"/>
  <c r="M652" i="4"/>
  <c r="N652" i="4" s="1"/>
  <c r="H652" i="4"/>
  <c r="Y684" i="4"/>
  <c r="M684" i="4"/>
  <c r="N684" i="4" s="1"/>
  <c r="H684" i="4"/>
  <c r="Y763" i="4"/>
  <c r="M763" i="4"/>
  <c r="N763" i="4" s="1"/>
  <c r="H763" i="4"/>
  <c r="Y891" i="4"/>
  <c r="M891" i="4"/>
  <c r="N891" i="4" s="1"/>
  <c r="H891" i="4"/>
  <c r="Y1019" i="4"/>
  <c r="M1019" i="4"/>
  <c r="N1019" i="4" s="1"/>
  <c r="H1019" i="4"/>
  <c r="M36" i="3"/>
  <c r="N36" i="3" s="1"/>
  <c r="Y36" i="3"/>
  <c r="H36" i="3"/>
  <c r="Y102" i="3"/>
  <c r="H102" i="3"/>
  <c r="M102" i="3"/>
  <c r="N102" i="3" s="1"/>
  <c r="H826" i="4"/>
  <c r="M826" i="4"/>
  <c r="N826" i="4" s="1"/>
  <c r="Y826" i="4"/>
  <c r="H954" i="4"/>
  <c r="M954" i="4"/>
  <c r="N954" i="4" s="1"/>
  <c r="Y954" i="4"/>
  <c r="Y116" i="3"/>
  <c r="H116" i="3"/>
  <c r="M116" i="3"/>
  <c r="N116" i="3" s="1"/>
  <c r="Y148" i="3"/>
  <c r="H148" i="3"/>
  <c r="M148" i="3"/>
  <c r="N148" i="3" s="1"/>
  <c r="Y30" i="4"/>
  <c r="H30" i="4"/>
  <c r="M30" i="4"/>
  <c r="N30" i="4" s="1"/>
  <c r="Y62" i="4"/>
  <c r="H62" i="4"/>
  <c r="M62" i="4"/>
  <c r="N62" i="4" s="1"/>
  <c r="Y94" i="4"/>
  <c r="H94" i="4"/>
  <c r="M94" i="4"/>
  <c r="N94" i="4" s="1"/>
  <c r="Y126" i="4"/>
  <c r="H126" i="4"/>
  <c r="M126" i="4"/>
  <c r="N126" i="4" s="1"/>
  <c r="Y158" i="4"/>
  <c r="H158" i="4"/>
  <c r="M158" i="4"/>
  <c r="N158" i="4" s="1"/>
  <c r="Y190" i="4"/>
  <c r="H190" i="4"/>
  <c r="M190" i="4"/>
  <c r="N190" i="4" s="1"/>
  <c r="H829" i="4"/>
  <c r="Y829" i="4"/>
  <c r="M829" i="4"/>
  <c r="N829" i="4" s="1"/>
  <c r="H957" i="4"/>
  <c r="Y957" i="4"/>
  <c r="M957" i="4"/>
  <c r="N957" i="4" s="1"/>
  <c r="H716" i="4"/>
  <c r="Y716" i="4"/>
  <c r="M716" i="4"/>
  <c r="N716" i="4" s="1"/>
  <c r="H844" i="4"/>
  <c r="Y844" i="4"/>
  <c r="M844" i="4"/>
  <c r="N844" i="4" s="1"/>
  <c r="H972" i="4"/>
  <c r="Y972" i="4"/>
  <c r="M972" i="4"/>
  <c r="N972" i="4" s="1"/>
  <c r="M243" i="4"/>
  <c r="N243" i="4" s="1"/>
  <c r="Y243" i="4"/>
  <c r="H243" i="4"/>
  <c r="Y275" i="4"/>
  <c r="M275" i="4"/>
  <c r="N275" i="4" s="1"/>
  <c r="H275" i="4"/>
  <c r="Y307" i="4"/>
  <c r="M307" i="4"/>
  <c r="N307" i="4" s="1"/>
  <c r="H307" i="4"/>
  <c r="Y339" i="4"/>
  <c r="M339" i="4"/>
  <c r="N339" i="4" s="1"/>
  <c r="H339" i="4"/>
  <c r="Y371" i="4"/>
  <c r="H371" i="4"/>
  <c r="M371" i="4"/>
  <c r="N371" i="4" s="1"/>
  <c r="Y403" i="4"/>
  <c r="H403" i="4"/>
  <c r="M403" i="4"/>
  <c r="N403" i="4" s="1"/>
  <c r="Y435" i="4"/>
  <c r="M435" i="4"/>
  <c r="N435" i="4" s="1"/>
  <c r="H435" i="4"/>
  <c r="Y467" i="4"/>
  <c r="M467" i="4"/>
  <c r="N467" i="4" s="1"/>
  <c r="H467" i="4"/>
  <c r="Y499" i="4"/>
  <c r="M499" i="4"/>
  <c r="N499" i="4" s="1"/>
  <c r="H499" i="4"/>
  <c r="H531" i="4"/>
  <c r="M531" i="4"/>
  <c r="N531" i="4" s="1"/>
  <c r="Y531" i="4"/>
  <c r="Y563" i="4"/>
  <c r="M563" i="4"/>
  <c r="N563" i="4" s="1"/>
  <c r="H563" i="4"/>
  <c r="H595" i="4"/>
  <c r="Y595" i="4"/>
  <c r="M595" i="4"/>
  <c r="N595" i="4" s="1"/>
  <c r="M627" i="4"/>
  <c r="N627" i="4" s="1"/>
  <c r="H627" i="4"/>
  <c r="Y627" i="4"/>
  <c r="M659" i="4"/>
  <c r="N659" i="4" s="1"/>
  <c r="H659" i="4"/>
  <c r="Y659" i="4"/>
  <c r="M691" i="4"/>
  <c r="N691" i="4" s="1"/>
  <c r="H691" i="4"/>
  <c r="Y691" i="4"/>
  <c r="M815" i="4"/>
  <c r="N815" i="4" s="1"/>
  <c r="H815" i="4"/>
  <c r="Y815" i="4"/>
  <c r="M943" i="4"/>
  <c r="N943" i="4" s="1"/>
  <c r="H943" i="4"/>
  <c r="Y943" i="4"/>
  <c r="Y54" i="3"/>
  <c r="H54" i="3"/>
  <c r="M54" i="3"/>
  <c r="N54" i="3" s="1"/>
  <c r="M32" i="2"/>
  <c r="N32" i="2" s="1"/>
  <c r="H32" i="2"/>
  <c r="H5" i="2"/>
  <c r="M5" i="2"/>
  <c r="N5" i="2" s="1"/>
  <c r="H27" i="2"/>
  <c r="M27" i="2"/>
  <c r="N27" i="2" s="1"/>
  <c r="H95" i="3"/>
  <c r="M95" i="3"/>
  <c r="N95" i="3" s="1"/>
  <c r="Y95" i="3"/>
  <c r="M72" i="3"/>
  <c r="N72" i="3" s="1"/>
  <c r="Y72" i="3"/>
  <c r="H72" i="3"/>
  <c r="H31" i="2"/>
  <c r="M31" i="2"/>
  <c r="N31" i="2" s="1"/>
  <c r="Y3" i="3"/>
  <c r="H3" i="3"/>
  <c r="M3" i="3"/>
  <c r="N3" i="3" s="1"/>
  <c r="M25" i="2"/>
  <c r="N25" i="2" s="1"/>
  <c r="H25" i="2"/>
  <c r="Y2" i="3"/>
  <c r="H2" i="3"/>
  <c r="M2" i="3"/>
  <c r="N2" i="3" s="1"/>
  <c r="M55" i="3"/>
  <c r="N55" i="3" s="1"/>
  <c r="Y55" i="3"/>
  <c r="H55" i="3"/>
  <c r="H30" i="2"/>
  <c r="M30" i="2"/>
  <c r="N30" i="2" s="1"/>
  <c r="Y23" i="3"/>
  <c r="M23" i="3"/>
  <c r="N23" i="3" s="1"/>
  <c r="H23" i="3"/>
  <c r="H66" i="2"/>
  <c r="M66" i="2"/>
  <c r="N66" i="2" s="1"/>
  <c r="H45" i="3"/>
  <c r="M45" i="3"/>
  <c r="N45" i="3" s="1"/>
  <c r="Y45" i="3"/>
  <c r="M119" i="3"/>
  <c r="N119" i="3" s="1"/>
  <c r="H119" i="3"/>
  <c r="Y119" i="3"/>
  <c r="H151" i="3"/>
  <c r="Y151" i="3"/>
  <c r="M151" i="3"/>
  <c r="N151" i="3" s="1"/>
  <c r="M25" i="4"/>
  <c r="N25" i="4" s="1"/>
  <c r="Y25" i="4"/>
  <c r="H25" i="4"/>
  <c r="H49" i="4"/>
  <c r="Y49" i="4"/>
  <c r="M49" i="4"/>
  <c r="N49" i="4" s="1"/>
  <c r="Y81" i="4"/>
  <c r="M81" i="4"/>
  <c r="N81" i="4" s="1"/>
  <c r="H81" i="4"/>
  <c r="M105" i="4"/>
  <c r="N105" i="4" s="1"/>
  <c r="H105" i="4"/>
  <c r="Y105" i="4"/>
  <c r="H137" i="4"/>
  <c r="Y137" i="4"/>
  <c r="M137" i="4"/>
  <c r="N137" i="4" s="1"/>
  <c r="H161" i="4"/>
  <c r="M161" i="4"/>
  <c r="N161" i="4" s="1"/>
  <c r="Y161" i="4"/>
  <c r="M185" i="4"/>
  <c r="N185" i="4" s="1"/>
  <c r="Y185" i="4"/>
  <c r="H185" i="4"/>
  <c r="Y209" i="4"/>
  <c r="H209" i="4"/>
  <c r="M209" i="4"/>
  <c r="N209" i="4" s="1"/>
  <c r="M865" i="4"/>
  <c r="N865" i="4" s="1"/>
  <c r="H865" i="4"/>
  <c r="Y865" i="4"/>
  <c r="H897" i="4"/>
  <c r="Y897" i="4"/>
  <c r="M897" i="4"/>
  <c r="N897" i="4" s="1"/>
  <c r="H1025" i="4"/>
  <c r="Y1025" i="4"/>
  <c r="M1025" i="4"/>
  <c r="N1025" i="4" s="1"/>
  <c r="M260" i="4"/>
  <c r="N260" i="4" s="1"/>
  <c r="H260" i="4"/>
  <c r="Y260" i="4"/>
  <c r="H324" i="4"/>
  <c r="M324" i="4"/>
  <c r="N324" i="4" s="1"/>
  <c r="Y324" i="4"/>
  <c r="M420" i="4"/>
  <c r="N420" i="4" s="1"/>
  <c r="H420" i="4"/>
  <c r="Y420" i="4"/>
  <c r="M484" i="4"/>
  <c r="N484" i="4" s="1"/>
  <c r="H484" i="4"/>
  <c r="Y484" i="4"/>
  <c r="Y580" i="4"/>
  <c r="M580" i="4"/>
  <c r="N580" i="4" s="1"/>
  <c r="H580" i="4"/>
  <c r="Y676" i="4"/>
  <c r="H676" i="4"/>
  <c r="M676" i="4"/>
  <c r="N676" i="4" s="1"/>
  <c r="H858" i="4"/>
  <c r="M858" i="4"/>
  <c r="N858" i="4" s="1"/>
  <c r="Y858" i="4"/>
  <c r="H986" i="4"/>
  <c r="M986" i="4"/>
  <c r="N986" i="4" s="1"/>
  <c r="Y986" i="4"/>
  <c r="Y140" i="3"/>
  <c r="H140" i="3"/>
  <c r="M140" i="3"/>
  <c r="N140" i="3" s="1"/>
  <c r="Y54" i="4"/>
  <c r="H54" i="4"/>
  <c r="M54" i="4"/>
  <c r="N54" i="4" s="1"/>
  <c r="Y118" i="4"/>
  <c r="H118" i="4"/>
  <c r="M118" i="4"/>
  <c r="N118" i="4" s="1"/>
  <c r="Y182" i="4"/>
  <c r="H182" i="4"/>
  <c r="M182" i="4"/>
  <c r="N182" i="4" s="1"/>
  <c r="Y214" i="4"/>
  <c r="H214" i="4"/>
  <c r="M214" i="4"/>
  <c r="N214" i="4" s="1"/>
  <c r="Y861" i="4"/>
  <c r="M861" i="4"/>
  <c r="N861" i="4" s="1"/>
  <c r="H861" i="4"/>
  <c r="H876" i="4"/>
  <c r="Y876" i="4"/>
  <c r="M876" i="4"/>
  <c r="N876" i="4" s="1"/>
  <c r="H1004" i="4"/>
  <c r="Y1004" i="4"/>
  <c r="M1004" i="4"/>
  <c r="N1004" i="4" s="1"/>
  <c r="Y267" i="4"/>
  <c r="M267" i="4"/>
  <c r="N267" i="4" s="1"/>
  <c r="H267" i="4"/>
  <c r="Y331" i="4"/>
  <c r="M331" i="4"/>
  <c r="N331" i="4" s="1"/>
  <c r="H331" i="4"/>
  <c r="Y395" i="4"/>
  <c r="M395" i="4"/>
  <c r="N395" i="4" s="1"/>
  <c r="H395" i="4"/>
  <c r="Y459" i="4"/>
  <c r="M459" i="4"/>
  <c r="N459" i="4" s="1"/>
  <c r="H459" i="4"/>
  <c r="M555" i="4"/>
  <c r="N555" i="4" s="1"/>
  <c r="Y555" i="4"/>
  <c r="H555" i="4"/>
  <c r="Y619" i="4"/>
  <c r="H619" i="4"/>
  <c r="M619" i="4"/>
  <c r="N619" i="4" s="1"/>
  <c r="Y683" i="4"/>
  <c r="M683" i="4"/>
  <c r="N683" i="4" s="1"/>
  <c r="H683" i="4"/>
  <c r="M847" i="4"/>
  <c r="N847" i="4" s="1"/>
  <c r="H847" i="4"/>
  <c r="Y847" i="4"/>
  <c r="Y107" i="3"/>
  <c r="M107" i="3"/>
  <c r="N107" i="3" s="1"/>
  <c r="H107" i="3"/>
  <c r="M16" i="2"/>
  <c r="N16" i="2" s="1"/>
  <c r="H16" i="2"/>
  <c r="Y4" i="1"/>
  <c r="H4" i="1"/>
  <c r="M4" i="1"/>
  <c r="N4" i="1" s="1"/>
  <c r="Y51" i="3"/>
  <c r="H51" i="3"/>
  <c r="M51" i="3"/>
  <c r="N51" i="3" s="1"/>
  <c r="H10" i="2"/>
  <c r="M10" i="2"/>
  <c r="N10" i="2" s="1"/>
  <c r="Y44" i="3"/>
  <c r="H44" i="3"/>
  <c r="M44" i="3"/>
  <c r="N44" i="3" s="1"/>
  <c r="Y60" i="3"/>
  <c r="H60" i="3"/>
  <c r="M60" i="3"/>
  <c r="N60" i="3" s="1"/>
  <c r="Y94" i="3"/>
  <c r="H94" i="3"/>
  <c r="M94" i="3"/>
  <c r="N94" i="3" s="1"/>
  <c r="M14" i="2"/>
  <c r="N14" i="2" s="1"/>
  <c r="H14" i="2"/>
  <c r="M38" i="2"/>
  <c r="N38" i="2" s="1"/>
  <c r="H38" i="2"/>
  <c r="H11" i="2"/>
  <c r="M11" i="2"/>
  <c r="N11" i="2" s="1"/>
  <c r="M33" i="2"/>
  <c r="N33" i="2" s="1"/>
  <c r="H33" i="2"/>
  <c r="M61" i="2"/>
  <c r="N61" i="2" s="1"/>
  <c r="H61" i="2"/>
  <c r="H101" i="2"/>
  <c r="M101" i="2"/>
  <c r="N101" i="2" s="1"/>
  <c r="H7" i="1"/>
  <c r="M7" i="1"/>
  <c r="N7" i="1" s="1"/>
  <c r="Y7" i="1"/>
  <c r="Y67" i="3"/>
  <c r="H67" i="3"/>
  <c r="M67" i="3"/>
  <c r="N67" i="3" s="1"/>
  <c r="M40" i="2"/>
  <c r="N40" i="2" s="1"/>
  <c r="H40" i="2"/>
  <c r="M98" i="3"/>
  <c r="N98" i="3" s="1"/>
  <c r="Y98" i="3"/>
  <c r="H98" i="3"/>
  <c r="M46" i="2"/>
  <c r="N46" i="2" s="1"/>
  <c r="H46" i="2"/>
  <c r="Y48" i="3"/>
  <c r="H48" i="3"/>
  <c r="M48" i="3"/>
  <c r="N48" i="3" s="1"/>
  <c r="Y64" i="3"/>
  <c r="H64" i="3"/>
  <c r="M64" i="3"/>
  <c r="N64" i="3" s="1"/>
  <c r="Y80" i="3"/>
  <c r="H80" i="3"/>
  <c r="M80" i="3"/>
  <c r="N80" i="3" s="1"/>
  <c r="M20" i="2"/>
  <c r="N20" i="2" s="1"/>
  <c r="H20" i="2"/>
  <c r="M13" i="2"/>
  <c r="N13" i="2" s="1"/>
  <c r="H13" i="2"/>
  <c r="H63" i="2"/>
  <c r="M63" i="2"/>
  <c r="N63" i="2" s="1"/>
  <c r="H79" i="2"/>
  <c r="M79" i="2"/>
  <c r="N79" i="2" s="1"/>
  <c r="M95" i="2"/>
  <c r="N95" i="2" s="1"/>
  <c r="H95" i="2"/>
  <c r="H94" i="2"/>
  <c r="M94" i="2"/>
  <c r="N94" i="2" s="1"/>
  <c r="H34" i="3"/>
  <c r="M34" i="3"/>
  <c r="N34" i="3" s="1"/>
  <c r="Y34" i="3"/>
  <c r="M3" i="1"/>
  <c r="N3" i="1" s="1"/>
  <c r="Y3" i="1"/>
  <c r="H3" i="1"/>
  <c r="M43" i="3"/>
  <c r="N43" i="3" s="1"/>
  <c r="Y43" i="3"/>
  <c r="H43" i="3"/>
  <c r="H63" i="3"/>
  <c r="M63" i="3"/>
  <c r="N63" i="3" s="1"/>
  <c r="Y63" i="3"/>
  <c r="H87" i="3"/>
  <c r="M87" i="3"/>
  <c r="N87" i="3" s="1"/>
  <c r="Y87" i="3"/>
  <c r="H17" i="2"/>
  <c r="M17" i="2"/>
  <c r="N17" i="2" s="1"/>
  <c r="M43" i="2"/>
  <c r="N43" i="2" s="1"/>
  <c r="H43" i="2"/>
  <c r="H75" i="2"/>
  <c r="M75" i="2"/>
  <c r="N75" i="2" s="1"/>
  <c r="M7" i="3"/>
  <c r="N7" i="3" s="1"/>
  <c r="Y7" i="3"/>
  <c r="H7" i="3"/>
  <c r="H50" i="2"/>
  <c r="M50" i="2"/>
  <c r="N50" i="2" s="1"/>
  <c r="H82" i="2"/>
  <c r="M82" i="2"/>
  <c r="N82" i="2" s="1"/>
  <c r="H14" i="3"/>
  <c r="M14" i="3"/>
  <c r="N14" i="3" s="1"/>
  <c r="Y14" i="3"/>
  <c r="M24" i="2"/>
  <c r="N24" i="2" s="1"/>
  <c r="H24" i="2"/>
  <c r="H73" i="2"/>
  <c r="M73" i="2"/>
  <c r="N73" i="2" s="1"/>
  <c r="Y5" i="3"/>
  <c r="M5" i="3"/>
  <c r="N5" i="3" s="1"/>
  <c r="H5" i="3"/>
  <c r="Y37" i="3"/>
  <c r="M37" i="3"/>
  <c r="N37" i="3" s="1"/>
  <c r="H37" i="3"/>
  <c r="Y53" i="3"/>
  <c r="M53" i="3"/>
  <c r="N53" i="3" s="1"/>
  <c r="H53" i="3"/>
  <c r="Y69" i="3"/>
  <c r="H69" i="3"/>
  <c r="M69" i="3"/>
  <c r="N69" i="3" s="1"/>
  <c r="Y85" i="3"/>
  <c r="M85" i="3"/>
  <c r="N85" i="3" s="1"/>
  <c r="H85" i="3"/>
  <c r="M13" i="1"/>
  <c r="N13" i="1" s="1"/>
  <c r="H13" i="1"/>
  <c r="Y13" i="1"/>
  <c r="Y718" i="4"/>
  <c r="M718" i="4"/>
  <c r="N718" i="4" s="1"/>
  <c r="H718" i="4"/>
  <c r="Y750" i="4"/>
  <c r="M750" i="4"/>
  <c r="N750" i="4" s="1"/>
  <c r="H750" i="4"/>
  <c r="Y782" i="4"/>
  <c r="M782" i="4"/>
  <c r="N782" i="4" s="1"/>
  <c r="H782" i="4"/>
  <c r="Y814" i="4"/>
  <c r="M814" i="4"/>
  <c r="N814" i="4" s="1"/>
  <c r="H814" i="4"/>
  <c r="Y846" i="4"/>
  <c r="M846" i="4"/>
  <c r="N846" i="4" s="1"/>
  <c r="H846" i="4"/>
  <c r="Y878" i="4"/>
  <c r="M878" i="4"/>
  <c r="N878" i="4" s="1"/>
  <c r="H878" i="4"/>
  <c r="Y910" i="4"/>
  <c r="M910" i="4"/>
  <c r="N910" i="4" s="1"/>
  <c r="H910" i="4"/>
  <c r="Y942" i="4"/>
  <c r="M942" i="4"/>
  <c r="N942" i="4" s="1"/>
  <c r="H942" i="4"/>
  <c r="Y974" i="4"/>
  <c r="M974" i="4"/>
  <c r="N974" i="4" s="1"/>
  <c r="H974" i="4"/>
  <c r="Y1006" i="4"/>
  <c r="M1006" i="4"/>
  <c r="N1006" i="4" s="1"/>
  <c r="H1006" i="4"/>
  <c r="Y1038" i="4"/>
  <c r="M1038" i="4"/>
  <c r="N1038" i="4" s="1"/>
  <c r="H1038" i="4"/>
  <c r="Y1052" i="4"/>
  <c r="M1052" i="4"/>
  <c r="N1052" i="4" s="1"/>
  <c r="H1052" i="4"/>
  <c r="M115" i="3"/>
  <c r="N115" i="3" s="1"/>
  <c r="Y115" i="3"/>
  <c r="H115" i="3"/>
  <c r="M123" i="3"/>
  <c r="N123" i="3" s="1"/>
  <c r="H123" i="3"/>
  <c r="Y123" i="3"/>
  <c r="M131" i="3"/>
  <c r="N131" i="3" s="1"/>
  <c r="Y131" i="3"/>
  <c r="H131" i="3"/>
  <c r="M139" i="3"/>
  <c r="N139" i="3" s="1"/>
  <c r="Y139" i="3"/>
  <c r="H139" i="3"/>
  <c r="M147" i="3"/>
  <c r="N147" i="3" s="1"/>
  <c r="Y147" i="3"/>
  <c r="H147" i="3"/>
  <c r="Y5" i="4"/>
  <c r="H5" i="4"/>
  <c r="M5" i="4"/>
  <c r="N5" i="4" s="1"/>
  <c r="M13" i="4"/>
  <c r="N13" i="4" s="1"/>
  <c r="H13" i="4"/>
  <c r="Y13" i="4"/>
  <c r="Y21" i="4"/>
  <c r="H21" i="4"/>
  <c r="M21" i="4"/>
  <c r="N21" i="4" s="1"/>
  <c r="M29" i="4"/>
  <c r="N29" i="4" s="1"/>
  <c r="Y29" i="4"/>
  <c r="H29" i="4"/>
  <c r="M37" i="4"/>
  <c r="N37" i="4" s="1"/>
  <c r="H37" i="4"/>
  <c r="Y37" i="4"/>
  <c r="M45" i="4"/>
  <c r="N45" i="4" s="1"/>
  <c r="Y45" i="4"/>
  <c r="H45" i="4"/>
  <c r="M53" i="4"/>
  <c r="N53" i="4" s="1"/>
  <c r="Y53" i="4"/>
  <c r="H53" i="4"/>
  <c r="M61" i="4"/>
  <c r="N61" i="4" s="1"/>
  <c r="Y61" i="4"/>
  <c r="H61" i="4"/>
  <c r="Y69" i="4"/>
  <c r="H69" i="4"/>
  <c r="M69" i="4"/>
  <c r="N69" i="4" s="1"/>
  <c r="M77" i="4"/>
  <c r="N77" i="4" s="1"/>
  <c r="H77" i="4"/>
  <c r="Y77" i="4"/>
  <c r="Y85" i="4"/>
  <c r="H85" i="4"/>
  <c r="M85" i="4"/>
  <c r="N85" i="4" s="1"/>
  <c r="M93" i="4"/>
  <c r="N93" i="4" s="1"/>
  <c r="Y93" i="4"/>
  <c r="H93" i="4"/>
  <c r="Y101" i="4"/>
  <c r="H101" i="4"/>
  <c r="M101" i="4"/>
  <c r="N101" i="4" s="1"/>
  <c r="M109" i="4"/>
  <c r="N109" i="4" s="1"/>
  <c r="Y109" i="4"/>
  <c r="H109" i="4"/>
  <c r="Y117" i="4"/>
  <c r="H117" i="4"/>
  <c r="M117" i="4"/>
  <c r="N117" i="4" s="1"/>
  <c r="M125" i="4"/>
  <c r="N125" i="4" s="1"/>
  <c r="Y125" i="4"/>
  <c r="H125" i="4"/>
  <c r="Y133" i="4"/>
  <c r="H133" i="4"/>
  <c r="M133" i="4"/>
  <c r="N133" i="4" s="1"/>
  <c r="M141" i="4"/>
  <c r="N141" i="4" s="1"/>
  <c r="Y141" i="4"/>
  <c r="H141" i="4"/>
  <c r="Y149" i="4"/>
  <c r="H149" i="4"/>
  <c r="M149" i="4"/>
  <c r="N149" i="4" s="1"/>
  <c r="M157" i="4"/>
  <c r="N157" i="4" s="1"/>
  <c r="Y157" i="4"/>
  <c r="H157" i="4"/>
  <c r="Y165" i="4"/>
  <c r="H165" i="4"/>
  <c r="M165" i="4"/>
  <c r="N165" i="4" s="1"/>
  <c r="M173" i="4"/>
  <c r="N173" i="4" s="1"/>
  <c r="Y173" i="4"/>
  <c r="H173" i="4"/>
  <c r="Y181" i="4"/>
  <c r="H181" i="4"/>
  <c r="M181" i="4"/>
  <c r="N181" i="4" s="1"/>
  <c r="M189" i="4"/>
  <c r="N189" i="4" s="1"/>
  <c r="Y189" i="4"/>
  <c r="H189" i="4"/>
  <c r="Y197" i="4"/>
  <c r="H197" i="4"/>
  <c r="M197" i="4"/>
  <c r="N197" i="4" s="1"/>
  <c r="M205" i="4"/>
  <c r="N205" i="4" s="1"/>
  <c r="Y205" i="4"/>
  <c r="H205" i="4"/>
  <c r="Y213" i="4"/>
  <c r="H213" i="4"/>
  <c r="M213" i="4"/>
  <c r="N213" i="4" s="1"/>
  <c r="H721" i="4"/>
  <c r="Y721" i="4"/>
  <c r="M721" i="4"/>
  <c r="N721" i="4" s="1"/>
  <c r="Y753" i="4"/>
  <c r="M753" i="4"/>
  <c r="N753" i="4" s="1"/>
  <c r="H753" i="4"/>
  <c r="H785" i="4"/>
  <c r="Y785" i="4"/>
  <c r="M785" i="4"/>
  <c r="N785" i="4" s="1"/>
  <c r="Y817" i="4"/>
  <c r="M817" i="4"/>
  <c r="N817" i="4" s="1"/>
  <c r="H817" i="4"/>
  <c r="H849" i="4"/>
  <c r="Y849" i="4"/>
  <c r="M849" i="4"/>
  <c r="N849" i="4" s="1"/>
  <c r="Y881" i="4"/>
  <c r="M881" i="4"/>
  <c r="N881" i="4" s="1"/>
  <c r="H881" i="4"/>
  <c r="H913" i="4"/>
  <c r="Y913" i="4"/>
  <c r="M913" i="4"/>
  <c r="N913" i="4" s="1"/>
  <c r="Y945" i="4"/>
  <c r="M945" i="4"/>
  <c r="N945" i="4" s="1"/>
  <c r="H945" i="4"/>
  <c r="H977" i="4"/>
  <c r="Y977" i="4"/>
  <c r="M977" i="4"/>
  <c r="N977" i="4" s="1"/>
  <c r="Y1009" i="4"/>
  <c r="M1009" i="4"/>
  <c r="N1009" i="4" s="1"/>
  <c r="H1009" i="4"/>
  <c r="H1041" i="4"/>
  <c r="Y1041" i="4"/>
  <c r="M1041" i="4"/>
  <c r="N1041" i="4" s="1"/>
  <c r="H760" i="4"/>
  <c r="Y760" i="4"/>
  <c r="M760" i="4"/>
  <c r="N760" i="4" s="1"/>
  <c r="H888" i="4"/>
  <c r="Y888" i="4"/>
  <c r="M888" i="4"/>
  <c r="N888" i="4" s="1"/>
  <c r="H1016" i="4"/>
  <c r="Y1016" i="4"/>
  <c r="M1016" i="4"/>
  <c r="N1016" i="4" s="1"/>
  <c r="H244" i="4"/>
  <c r="M244" i="4"/>
  <c r="N244" i="4" s="1"/>
  <c r="Y244" i="4"/>
  <c r="M276" i="4"/>
  <c r="N276" i="4" s="1"/>
  <c r="H276" i="4"/>
  <c r="Y276" i="4"/>
  <c r="M308" i="4"/>
  <c r="N308" i="4" s="1"/>
  <c r="H308" i="4"/>
  <c r="Y308" i="4"/>
  <c r="M340" i="4"/>
  <c r="N340" i="4" s="1"/>
  <c r="H340" i="4"/>
  <c r="Y340" i="4"/>
  <c r="M372" i="4"/>
  <c r="N372" i="4" s="1"/>
  <c r="H372" i="4"/>
  <c r="Y372" i="4"/>
  <c r="H404" i="4"/>
  <c r="M404" i="4"/>
  <c r="N404" i="4" s="1"/>
  <c r="Y404" i="4"/>
  <c r="M436" i="4"/>
  <c r="N436" i="4" s="1"/>
  <c r="H436" i="4"/>
  <c r="Y436" i="4"/>
  <c r="M468" i="4"/>
  <c r="N468" i="4" s="1"/>
  <c r="H468" i="4"/>
  <c r="Y468" i="4"/>
  <c r="M500" i="4"/>
  <c r="N500" i="4" s="1"/>
  <c r="H500" i="4"/>
  <c r="Y500" i="4"/>
  <c r="M532" i="4"/>
  <c r="N532" i="4" s="1"/>
  <c r="Y532" i="4"/>
  <c r="H532" i="4"/>
  <c r="Y564" i="4"/>
  <c r="M564" i="4"/>
  <c r="N564" i="4" s="1"/>
  <c r="H564" i="4"/>
  <c r="Y596" i="4"/>
  <c r="M596" i="4"/>
  <c r="N596" i="4" s="1"/>
  <c r="H596" i="4"/>
  <c r="Y628" i="4"/>
  <c r="H628" i="4"/>
  <c r="M628" i="4"/>
  <c r="N628" i="4" s="1"/>
  <c r="Y660" i="4"/>
  <c r="H660" i="4"/>
  <c r="M660" i="4"/>
  <c r="N660" i="4" s="1"/>
  <c r="Y692" i="4"/>
  <c r="H692" i="4"/>
  <c r="M692" i="4"/>
  <c r="N692" i="4" s="1"/>
  <c r="Y731" i="4"/>
  <c r="M731" i="4"/>
  <c r="N731" i="4" s="1"/>
  <c r="H731" i="4"/>
  <c r="Y859" i="4"/>
  <c r="M859" i="4"/>
  <c r="N859" i="4" s="1"/>
  <c r="H859" i="4"/>
  <c r="Y987" i="4"/>
  <c r="M987" i="4"/>
  <c r="N987" i="4" s="1"/>
  <c r="H987" i="4"/>
  <c r="M4" i="3"/>
  <c r="N4" i="3" s="1"/>
  <c r="Y4" i="3"/>
  <c r="H4" i="3"/>
  <c r="M1053" i="4"/>
  <c r="N1053" i="4" s="1"/>
  <c r="H1053" i="4"/>
  <c r="Y1053" i="4"/>
  <c r="Y110" i="3"/>
  <c r="H110" i="3"/>
  <c r="M110" i="3"/>
  <c r="N110" i="3" s="1"/>
  <c r="H794" i="4"/>
  <c r="M794" i="4"/>
  <c r="N794" i="4" s="1"/>
  <c r="Y794" i="4"/>
  <c r="H922" i="4"/>
  <c r="M922" i="4"/>
  <c r="N922" i="4" s="1"/>
  <c r="Y922" i="4"/>
  <c r="Y124" i="3"/>
  <c r="H124" i="3"/>
  <c r="M124" i="3"/>
  <c r="N124" i="3" s="1"/>
  <c r="Y6" i="4"/>
  <c r="H6" i="4"/>
  <c r="M6" i="4"/>
  <c r="N6" i="4" s="1"/>
  <c r="Y38" i="4"/>
  <c r="H38" i="4"/>
  <c r="M38" i="4"/>
  <c r="N38" i="4" s="1"/>
  <c r="Y70" i="4"/>
  <c r="H70" i="4"/>
  <c r="M70" i="4"/>
  <c r="N70" i="4" s="1"/>
  <c r="Y102" i="4"/>
  <c r="H102" i="4"/>
  <c r="M102" i="4"/>
  <c r="N102" i="4" s="1"/>
  <c r="Y134" i="4"/>
  <c r="H134" i="4"/>
  <c r="M134" i="4"/>
  <c r="N134" i="4" s="1"/>
  <c r="Y166" i="4"/>
  <c r="H166" i="4"/>
  <c r="M166" i="4"/>
  <c r="N166" i="4" s="1"/>
  <c r="Y198" i="4"/>
  <c r="H198" i="4"/>
  <c r="M198" i="4"/>
  <c r="N198" i="4" s="1"/>
  <c r="Y797" i="4"/>
  <c r="M797" i="4"/>
  <c r="N797" i="4" s="1"/>
  <c r="H797" i="4"/>
  <c r="Y925" i="4"/>
  <c r="M925" i="4"/>
  <c r="N925" i="4" s="1"/>
  <c r="H925" i="4"/>
  <c r="H812" i="4"/>
  <c r="Y812" i="4"/>
  <c r="M812" i="4"/>
  <c r="N812" i="4" s="1"/>
  <c r="H940" i="4"/>
  <c r="Y940" i="4"/>
  <c r="M940" i="4"/>
  <c r="N940" i="4" s="1"/>
  <c r="M219" i="4"/>
  <c r="N219" i="4" s="1"/>
  <c r="Y219" i="4"/>
  <c r="H219" i="4"/>
  <c r="Y251" i="4"/>
  <c r="M251" i="4"/>
  <c r="N251" i="4" s="1"/>
  <c r="H251" i="4"/>
  <c r="Y283" i="4"/>
  <c r="H283" i="4"/>
  <c r="M283" i="4"/>
  <c r="N283" i="4" s="1"/>
  <c r="Y315" i="4"/>
  <c r="H315" i="4"/>
  <c r="M315" i="4"/>
  <c r="N315" i="4" s="1"/>
  <c r="Y347" i="4"/>
  <c r="M347" i="4"/>
  <c r="N347" i="4" s="1"/>
  <c r="H347" i="4"/>
  <c r="Y379" i="4"/>
  <c r="M379" i="4"/>
  <c r="N379" i="4" s="1"/>
  <c r="H379" i="4"/>
  <c r="Y411" i="4"/>
  <c r="M411" i="4"/>
  <c r="N411" i="4" s="1"/>
  <c r="H411" i="4"/>
  <c r="Y443" i="4"/>
  <c r="M443" i="4"/>
  <c r="N443" i="4" s="1"/>
  <c r="H443" i="4"/>
  <c r="Y475" i="4"/>
  <c r="M475" i="4"/>
  <c r="N475" i="4" s="1"/>
  <c r="H475" i="4"/>
  <c r="Y507" i="4"/>
  <c r="M507" i="4"/>
  <c r="N507" i="4" s="1"/>
  <c r="H507" i="4"/>
  <c r="Y539" i="4"/>
  <c r="H539" i="4"/>
  <c r="M539" i="4"/>
  <c r="N539" i="4" s="1"/>
  <c r="Y571" i="4"/>
  <c r="H571" i="4"/>
  <c r="M571" i="4"/>
  <c r="N571" i="4" s="1"/>
  <c r="Y603" i="4"/>
  <c r="H603" i="4"/>
  <c r="M603" i="4"/>
  <c r="N603" i="4" s="1"/>
  <c r="Y635" i="4"/>
  <c r="M635" i="4"/>
  <c r="N635" i="4" s="1"/>
  <c r="H635" i="4"/>
  <c r="Y667" i="4"/>
  <c r="M667" i="4"/>
  <c r="N667" i="4" s="1"/>
  <c r="H667" i="4"/>
  <c r="Y699" i="4"/>
  <c r="M699" i="4"/>
  <c r="N699" i="4" s="1"/>
  <c r="H699" i="4"/>
  <c r="M783" i="4"/>
  <c r="N783" i="4" s="1"/>
  <c r="H783" i="4"/>
  <c r="Y783" i="4"/>
  <c r="M911" i="4"/>
  <c r="N911" i="4" s="1"/>
  <c r="H911" i="4"/>
  <c r="Y911" i="4"/>
  <c r="M1039" i="4"/>
  <c r="N1039" i="4" s="1"/>
  <c r="H1039" i="4"/>
  <c r="Y1039" i="4"/>
  <c r="H16" i="3"/>
  <c r="M16" i="3"/>
  <c r="N16" i="3" s="1"/>
  <c r="Y16" i="3"/>
  <c r="Y70" i="3"/>
  <c r="H70" i="3"/>
  <c r="M70" i="3"/>
  <c r="N70" i="3" s="1"/>
  <c r="H53" i="2"/>
  <c r="M53" i="2"/>
  <c r="N53" i="2" s="1"/>
  <c r="M2" i="1"/>
  <c r="N2" i="1" s="1"/>
  <c r="Y2" i="1"/>
  <c r="H2" i="1"/>
  <c r="H41" i="2"/>
  <c r="M41" i="2"/>
  <c r="N41" i="2" s="1"/>
  <c r="M40" i="3"/>
  <c r="N40" i="3" s="1"/>
  <c r="Y40" i="3"/>
  <c r="H40" i="3"/>
  <c r="M88" i="3"/>
  <c r="N88" i="3" s="1"/>
  <c r="Y88" i="3"/>
  <c r="H88" i="3"/>
  <c r="H71" i="2"/>
  <c r="M71" i="2"/>
  <c r="N71" i="2" s="1"/>
  <c r="Y26" i="3"/>
  <c r="H26" i="3"/>
  <c r="M26" i="3"/>
  <c r="N26" i="3" s="1"/>
  <c r="M9" i="3"/>
  <c r="N9" i="3" s="1"/>
  <c r="Y9" i="3"/>
  <c r="H9" i="3"/>
  <c r="H75" i="3"/>
  <c r="M75" i="3"/>
  <c r="N75" i="3" s="1"/>
  <c r="Y75" i="3"/>
  <c r="M98" i="2"/>
  <c r="N98" i="2" s="1"/>
  <c r="H98" i="2"/>
  <c r="Y30" i="3"/>
  <c r="H30" i="3"/>
  <c r="M30" i="3"/>
  <c r="N30" i="3" s="1"/>
  <c r="Y77" i="3"/>
  <c r="H77" i="3"/>
  <c r="M77" i="3"/>
  <c r="N77" i="3" s="1"/>
  <c r="H734" i="4"/>
  <c r="Y734" i="4"/>
  <c r="M734" i="4"/>
  <c r="N734" i="4" s="1"/>
  <c r="H766" i="4"/>
  <c r="Y766" i="4"/>
  <c r="M766" i="4"/>
  <c r="N766" i="4" s="1"/>
  <c r="H798" i="4"/>
  <c r="Y798" i="4"/>
  <c r="M798" i="4"/>
  <c r="N798" i="4" s="1"/>
  <c r="H990" i="4"/>
  <c r="Y990" i="4"/>
  <c r="M990" i="4"/>
  <c r="N990" i="4" s="1"/>
  <c r="H1022" i="4"/>
  <c r="Y1022" i="4"/>
  <c r="M1022" i="4"/>
  <c r="N1022" i="4" s="1"/>
  <c r="M1044" i="4"/>
  <c r="N1044" i="4" s="1"/>
  <c r="Y1044" i="4"/>
  <c r="H1044" i="4"/>
  <c r="Y143" i="3"/>
  <c r="H143" i="3"/>
  <c r="M143" i="3"/>
  <c r="N143" i="3" s="1"/>
  <c r="M17" i="4"/>
  <c r="N17" i="4" s="1"/>
  <c r="H17" i="4"/>
  <c r="Y17" i="4"/>
  <c r="Y41" i="4"/>
  <c r="H41" i="4"/>
  <c r="M41" i="4"/>
  <c r="N41" i="4" s="1"/>
  <c r="Y65" i="4"/>
  <c r="M65" i="4"/>
  <c r="N65" i="4" s="1"/>
  <c r="H65" i="4"/>
  <c r="H89" i="4"/>
  <c r="M89" i="4"/>
  <c r="N89" i="4" s="1"/>
  <c r="Y89" i="4"/>
  <c r="Y113" i="4"/>
  <c r="H113" i="4"/>
  <c r="M113" i="4"/>
  <c r="N113" i="4" s="1"/>
  <c r="H129" i="4"/>
  <c r="M129" i="4"/>
  <c r="N129" i="4" s="1"/>
  <c r="Y129" i="4"/>
  <c r="H153" i="4"/>
  <c r="Y153" i="4"/>
  <c r="M153" i="4"/>
  <c r="N153" i="4" s="1"/>
  <c r="H193" i="4"/>
  <c r="M193" i="4"/>
  <c r="N193" i="4" s="1"/>
  <c r="Y193" i="4"/>
  <c r="H769" i="4"/>
  <c r="Y769" i="4"/>
  <c r="M769" i="4"/>
  <c r="N769" i="4" s="1"/>
  <c r="H833" i="4"/>
  <c r="Y833" i="4"/>
  <c r="M833" i="4"/>
  <c r="N833" i="4" s="1"/>
  <c r="M929" i="4"/>
  <c r="N929" i="4" s="1"/>
  <c r="H929" i="4"/>
  <c r="Y929" i="4"/>
  <c r="H961" i="4"/>
  <c r="Y961" i="4"/>
  <c r="M961" i="4"/>
  <c r="N961" i="4" s="1"/>
  <c r="M993" i="4"/>
  <c r="N993" i="4" s="1"/>
  <c r="H993" i="4"/>
  <c r="Y993" i="4"/>
  <c r="H824" i="4"/>
  <c r="Y824" i="4"/>
  <c r="M824" i="4"/>
  <c r="N824" i="4" s="1"/>
  <c r="Y228" i="4"/>
  <c r="H228" i="4"/>
  <c r="M228" i="4"/>
  <c r="N228" i="4" s="1"/>
  <c r="H292" i="4"/>
  <c r="M292" i="4"/>
  <c r="N292" i="4" s="1"/>
  <c r="Y292" i="4"/>
  <c r="H356" i="4"/>
  <c r="M356" i="4"/>
  <c r="N356" i="4" s="1"/>
  <c r="Y356" i="4"/>
  <c r="M388" i="4"/>
  <c r="N388" i="4" s="1"/>
  <c r="H388" i="4"/>
  <c r="Y388" i="4"/>
  <c r="M452" i="4"/>
  <c r="N452" i="4" s="1"/>
  <c r="H452" i="4"/>
  <c r="Y452" i="4"/>
  <c r="M516" i="4"/>
  <c r="N516" i="4" s="1"/>
  <c r="H516" i="4"/>
  <c r="Y516" i="4"/>
  <c r="M548" i="4"/>
  <c r="N548" i="4" s="1"/>
  <c r="Y548" i="4"/>
  <c r="H548" i="4"/>
  <c r="Y612" i="4"/>
  <c r="M612" i="4"/>
  <c r="N612" i="4" s="1"/>
  <c r="H612" i="4"/>
  <c r="Y644" i="4"/>
  <c r="H644" i="4"/>
  <c r="M644" i="4"/>
  <c r="N644" i="4" s="1"/>
  <c r="Y795" i="4"/>
  <c r="M795" i="4"/>
  <c r="N795" i="4" s="1"/>
  <c r="H795" i="4"/>
  <c r="Y923" i="4"/>
  <c r="M923" i="4"/>
  <c r="N923" i="4" s="1"/>
  <c r="H923" i="4"/>
  <c r="H730" i="4"/>
  <c r="M730" i="4"/>
  <c r="N730" i="4" s="1"/>
  <c r="Y730" i="4"/>
  <c r="Y22" i="4"/>
  <c r="H22" i="4"/>
  <c r="M22" i="4"/>
  <c r="N22" i="4" s="1"/>
  <c r="Y86" i="4"/>
  <c r="H86" i="4"/>
  <c r="M86" i="4"/>
  <c r="N86" i="4" s="1"/>
  <c r="Y150" i="4"/>
  <c r="H150" i="4"/>
  <c r="M150" i="4"/>
  <c r="N150" i="4" s="1"/>
  <c r="Y733" i="4"/>
  <c r="M733" i="4"/>
  <c r="N733" i="4" s="1"/>
  <c r="H733" i="4"/>
  <c r="Y989" i="4"/>
  <c r="M989" i="4"/>
  <c r="N989" i="4" s="1"/>
  <c r="H989" i="4"/>
  <c r="H748" i="4"/>
  <c r="Y748" i="4"/>
  <c r="M748" i="4"/>
  <c r="N748" i="4" s="1"/>
  <c r="M235" i="4"/>
  <c r="N235" i="4" s="1"/>
  <c r="Y235" i="4"/>
  <c r="H235" i="4"/>
  <c r="Y299" i="4"/>
  <c r="M299" i="4"/>
  <c r="N299" i="4" s="1"/>
  <c r="H299" i="4"/>
  <c r="Y363" i="4"/>
  <c r="M363" i="4"/>
  <c r="N363" i="4" s="1"/>
  <c r="H363" i="4"/>
  <c r="Y427" i="4"/>
  <c r="M427" i="4"/>
  <c r="N427" i="4" s="1"/>
  <c r="H427" i="4"/>
  <c r="Y491" i="4"/>
  <c r="M491" i="4"/>
  <c r="N491" i="4" s="1"/>
  <c r="H491" i="4"/>
  <c r="Y523" i="4"/>
  <c r="M523" i="4"/>
  <c r="N523" i="4" s="1"/>
  <c r="H523" i="4"/>
  <c r="Y587" i="4"/>
  <c r="H587" i="4"/>
  <c r="M587" i="4"/>
  <c r="N587" i="4" s="1"/>
  <c r="Y651" i="4"/>
  <c r="M651" i="4"/>
  <c r="N651" i="4" s="1"/>
  <c r="H651" i="4"/>
  <c r="M719" i="4"/>
  <c r="N719" i="4" s="1"/>
  <c r="H719" i="4"/>
  <c r="Y719" i="4"/>
  <c r="M975" i="4"/>
  <c r="N975" i="4" s="1"/>
  <c r="H975" i="4"/>
  <c r="Y975" i="4"/>
  <c r="M52" i="2"/>
  <c r="N52" i="2" s="1"/>
  <c r="H52" i="2"/>
  <c r="Y38" i="3"/>
  <c r="H38" i="3"/>
  <c r="M38" i="3"/>
  <c r="N38" i="3" s="1"/>
  <c r="M3" i="2"/>
  <c r="N3" i="2" s="1"/>
  <c r="H3" i="2"/>
  <c r="M37" i="2"/>
  <c r="N37" i="2" s="1"/>
  <c r="H37" i="2"/>
  <c r="M78" i="2"/>
  <c r="N78" i="2" s="1"/>
  <c r="H78" i="2"/>
  <c r="H18" i="3"/>
  <c r="M18" i="3"/>
  <c r="N18" i="3" s="1"/>
  <c r="Y18" i="3"/>
  <c r="M21" i="2"/>
  <c r="N21" i="2" s="1"/>
  <c r="H21" i="2"/>
  <c r="H77" i="2"/>
  <c r="M77" i="2"/>
  <c r="N77" i="2" s="1"/>
  <c r="H26" i="2"/>
  <c r="M26" i="2"/>
  <c r="N26" i="2" s="1"/>
  <c r="M28" i="2"/>
  <c r="N28" i="2" s="1"/>
  <c r="H28" i="2"/>
  <c r="M34" i="2"/>
  <c r="N34" i="2" s="1"/>
  <c r="H34" i="2"/>
  <c r="M18" i="2"/>
  <c r="N18" i="2" s="1"/>
  <c r="H18" i="2"/>
  <c r="Y76" i="3"/>
  <c r="H76" i="3"/>
  <c r="M76" i="3"/>
  <c r="N76" i="3" s="1"/>
  <c r="H23" i="2"/>
  <c r="M23" i="2"/>
  <c r="N23" i="2" s="1"/>
  <c r="M36" i="2"/>
  <c r="N36" i="2" s="1"/>
  <c r="H36" i="2"/>
  <c r="M55" i="2"/>
  <c r="N55" i="2" s="1"/>
  <c r="H55" i="2"/>
  <c r="Y11" i="3"/>
  <c r="H11" i="3"/>
  <c r="M11" i="3"/>
  <c r="N11" i="3" s="1"/>
  <c r="Y35" i="3"/>
  <c r="H35" i="3"/>
  <c r="M35" i="3"/>
  <c r="N35" i="3" s="1"/>
  <c r="M15" i="2"/>
  <c r="N15" i="2" s="1"/>
  <c r="H15" i="2"/>
  <c r="M70" i="2"/>
  <c r="N70" i="2" s="1"/>
  <c r="H70" i="2"/>
  <c r="Y10" i="3"/>
  <c r="H10" i="3"/>
  <c r="M10" i="3"/>
  <c r="N10" i="3" s="1"/>
  <c r="H83" i="3"/>
  <c r="M83" i="3"/>
  <c r="N83" i="3" s="1"/>
  <c r="Y83" i="3"/>
  <c r="H9" i="2"/>
  <c r="M9" i="2"/>
  <c r="N9" i="2" s="1"/>
  <c r="H39" i="2"/>
  <c r="M39" i="2"/>
  <c r="N39" i="2" s="1"/>
  <c r="H52" i="3"/>
  <c r="M52" i="3"/>
  <c r="N52" i="3" s="1"/>
  <c r="Y52" i="3"/>
  <c r="H68" i="3"/>
  <c r="M68" i="3"/>
  <c r="N68" i="3" s="1"/>
  <c r="Y68" i="3"/>
  <c r="H84" i="3"/>
  <c r="M84" i="3"/>
  <c r="N84" i="3" s="1"/>
  <c r="Y84" i="3"/>
  <c r="M35" i="2"/>
  <c r="N35" i="2" s="1"/>
  <c r="H35" i="2"/>
  <c r="M47" i="2"/>
  <c r="N47" i="2" s="1"/>
  <c r="H47" i="2"/>
  <c r="H19" i="3"/>
  <c r="M19" i="3"/>
  <c r="N19" i="3" s="1"/>
  <c r="Y19" i="3"/>
  <c r="M14" i="1"/>
  <c r="N14" i="1" s="1"/>
  <c r="H14" i="1"/>
  <c r="Y25" i="3"/>
  <c r="H25" i="3"/>
  <c r="M25" i="3"/>
  <c r="N25" i="3" s="1"/>
  <c r="M47" i="3"/>
  <c r="N47" i="3" s="1"/>
  <c r="Y47" i="3"/>
  <c r="H47" i="3"/>
  <c r="M71" i="3"/>
  <c r="N71" i="3" s="1"/>
  <c r="H71" i="3"/>
  <c r="Y71" i="3"/>
  <c r="Y91" i="3"/>
  <c r="H91" i="3"/>
  <c r="M91" i="3"/>
  <c r="N91" i="3" s="1"/>
  <c r="H67" i="2"/>
  <c r="M67" i="2"/>
  <c r="N67" i="2" s="1"/>
  <c r="H99" i="2"/>
  <c r="M99" i="2"/>
  <c r="N99" i="2" s="1"/>
  <c r="M31" i="3"/>
  <c r="N31" i="3" s="1"/>
  <c r="Y31" i="3"/>
  <c r="H31" i="3"/>
  <c r="H74" i="2"/>
  <c r="M74" i="2"/>
  <c r="N74" i="2" s="1"/>
  <c r="Y6" i="3"/>
  <c r="H6" i="3"/>
  <c r="M6" i="3"/>
  <c r="N6" i="3" s="1"/>
  <c r="M4" i="2"/>
  <c r="N4" i="2" s="1"/>
  <c r="H4" i="2"/>
  <c r="H29" i="2"/>
  <c r="M29" i="2"/>
  <c r="N29" i="2" s="1"/>
  <c r="M65" i="2"/>
  <c r="N65" i="2" s="1"/>
  <c r="H65" i="2"/>
  <c r="H97" i="2"/>
  <c r="M97" i="2"/>
  <c r="N97" i="2" s="1"/>
  <c r="M29" i="3"/>
  <c r="N29" i="3" s="1"/>
  <c r="Y29" i="3"/>
  <c r="H29" i="3"/>
  <c r="H41" i="3"/>
  <c r="M41" i="3"/>
  <c r="N41" i="3" s="1"/>
  <c r="Y41" i="3"/>
  <c r="H57" i="3"/>
  <c r="M57" i="3"/>
  <c r="N57" i="3" s="1"/>
  <c r="Y57" i="3"/>
  <c r="H73" i="3"/>
  <c r="M73" i="3"/>
  <c r="N73" i="3" s="1"/>
  <c r="Y73" i="3"/>
  <c r="Y89" i="3"/>
  <c r="M89" i="3"/>
  <c r="N89" i="3" s="1"/>
  <c r="H89" i="3"/>
  <c r="M6" i="1"/>
  <c r="N6" i="1" s="1"/>
  <c r="H6" i="1"/>
  <c r="Y6" i="1"/>
  <c r="Y5" i="1"/>
  <c r="M5" i="1"/>
  <c r="N5" i="1" s="1"/>
  <c r="H5" i="1"/>
  <c r="H710" i="4"/>
  <c r="Y710" i="4"/>
  <c r="M710" i="4"/>
  <c r="N710" i="4" s="1"/>
  <c r="H742" i="4"/>
  <c r="Y742" i="4"/>
  <c r="M742" i="4"/>
  <c r="N742" i="4" s="1"/>
  <c r="H774" i="4"/>
  <c r="Y774" i="4"/>
  <c r="M774" i="4"/>
  <c r="N774" i="4" s="1"/>
  <c r="H806" i="4"/>
  <c r="Y806" i="4"/>
  <c r="M806" i="4"/>
  <c r="N806" i="4" s="1"/>
  <c r="H838" i="4"/>
  <c r="Y838" i="4"/>
  <c r="M838" i="4"/>
  <c r="N838" i="4" s="1"/>
  <c r="H870" i="4"/>
  <c r="Y870" i="4"/>
  <c r="M870" i="4"/>
  <c r="N870" i="4" s="1"/>
  <c r="H902" i="4"/>
  <c r="Y902" i="4"/>
  <c r="M902" i="4"/>
  <c r="N902" i="4" s="1"/>
  <c r="H934" i="4"/>
  <c r="Y934" i="4"/>
  <c r="M934" i="4"/>
  <c r="N934" i="4" s="1"/>
  <c r="H966" i="4"/>
  <c r="Y966" i="4"/>
  <c r="M966" i="4"/>
  <c r="N966" i="4" s="1"/>
  <c r="H998" i="4"/>
  <c r="Y998" i="4"/>
  <c r="M998" i="4"/>
  <c r="N998" i="4" s="1"/>
  <c r="H1030" i="4"/>
  <c r="Y1030" i="4"/>
  <c r="M1030" i="4"/>
  <c r="N1030" i="4" s="1"/>
  <c r="Y117" i="3"/>
  <c r="M117" i="3"/>
  <c r="N117" i="3" s="1"/>
  <c r="H117" i="3"/>
  <c r="M125" i="3"/>
  <c r="N125" i="3" s="1"/>
  <c r="Y125" i="3"/>
  <c r="H125" i="3"/>
  <c r="H133" i="3"/>
  <c r="Y133" i="3"/>
  <c r="M133" i="3"/>
  <c r="N133" i="3" s="1"/>
  <c r="Y141" i="3"/>
  <c r="H141" i="3"/>
  <c r="M141" i="3"/>
  <c r="N141" i="3" s="1"/>
  <c r="Y149" i="3"/>
  <c r="H149" i="3"/>
  <c r="M149" i="3"/>
  <c r="N149" i="3" s="1"/>
  <c r="Y7" i="4"/>
  <c r="M7" i="4"/>
  <c r="N7" i="4" s="1"/>
  <c r="H7" i="4"/>
  <c r="H15" i="4"/>
  <c r="Y15" i="4"/>
  <c r="M15" i="4"/>
  <c r="N15" i="4" s="1"/>
  <c r="Y23" i="4"/>
  <c r="M23" i="4"/>
  <c r="N23" i="4" s="1"/>
  <c r="H23" i="4"/>
  <c r="Y31" i="4"/>
  <c r="H31" i="4"/>
  <c r="M31" i="4"/>
  <c r="N31" i="4" s="1"/>
  <c r="H39" i="4"/>
  <c r="M39" i="4"/>
  <c r="N39" i="4" s="1"/>
  <c r="Y39" i="4"/>
  <c r="H47" i="4"/>
  <c r="M47" i="4"/>
  <c r="N47" i="4" s="1"/>
  <c r="Y47" i="4"/>
  <c r="H55" i="4"/>
  <c r="Y55" i="4"/>
  <c r="M55" i="4"/>
  <c r="N55" i="4" s="1"/>
  <c r="H63" i="4"/>
  <c r="Y63" i="4"/>
  <c r="M63" i="4"/>
  <c r="N63" i="4" s="1"/>
  <c r="Y71" i="4"/>
  <c r="H71" i="4"/>
  <c r="M71" i="4"/>
  <c r="N71" i="4" s="1"/>
  <c r="Y79" i="4"/>
  <c r="H79" i="4"/>
  <c r="M79" i="4"/>
  <c r="N79" i="4" s="1"/>
  <c r="Y87" i="4"/>
  <c r="H87" i="4"/>
  <c r="M87" i="4"/>
  <c r="N87" i="4" s="1"/>
  <c r="Y95" i="4"/>
  <c r="H95" i="4"/>
  <c r="M95" i="4"/>
  <c r="N95" i="4" s="1"/>
  <c r="Y103" i="4"/>
  <c r="H103" i="4"/>
  <c r="M103" i="4"/>
  <c r="N103" i="4" s="1"/>
  <c r="Y111" i="4"/>
  <c r="H111" i="4"/>
  <c r="M111" i="4"/>
  <c r="N111" i="4" s="1"/>
  <c r="Y119" i="4"/>
  <c r="H119" i="4"/>
  <c r="M119" i="4"/>
  <c r="N119" i="4" s="1"/>
  <c r="Y127" i="4"/>
  <c r="H127" i="4"/>
  <c r="M127" i="4"/>
  <c r="N127" i="4" s="1"/>
  <c r="Y135" i="4"/>
  <c r="H135" i="4"/>
  <c r="M135" i="4"/>
  <c r="N135" i="4" s="1"/>
  <c r="Y143" i="4"/>
  <c r="H143" i="4"/>
  <c r="M143" i="4"/>
  <c r="N143" i="4" s="1"/>
  <c r="Y151" i="4"/>
  <c r="H151" i="4"/>
  <c r="M151" i="4"/>
  <c r="N151" i="4" s="1"/>
  <c r="Y159" i="4"/>
  <c r="H159" i="4"/>
  <c r="M159" i="4"/>
  <c r="N159" i="4" s="1"/>
  <c r="Y167" i="4"/>
  <c r="H167" i="4"/>
  <c r="M167" i="4"/>
  <c r="N167" i="4" s="1"/>
  <c r="Y175" i="4"/>
  <c r="H175" i="4"/>
  <c r="M175" i="4"/>
  <c r="N175" i="4" s="1"/>
  <c r="Y183" i="4"/>
  <c r="H183" i="4"/>
  <c r="M183" i="4"/>
  <c r="N183" i="4" s="1"/>
  <c r="Y191" i="4"/>
  <c r="H191" i="4"/>
  <c r="M191" i="4"/>
  <c r="N191" i="4" s="1"/>
  <c r="Y199" i="4"/>
  <c r="H199" i="4"/>
  <c r="M199" i="4"/>
  <c r="N199" i="4" s="1"/>
  <c r="Y207" i="4"/>
  <c r="H207" i="4"/>
  <c r="M207" i="4"/>
  <c r="N207" i="4" s="1"/>
  <c r="Y215" i="4"/>
  <c r="H215" i="4"/>
  <c r="M215" i="4"/>
  <c r="N215" i="4" s="1"/>
  <c r="H713" i="4"/>
  <c r="Y713" i="4"/>
  <c r="M713" i="4"/>
  <c r="N713" i="4" s="1"/>
  <c r="M745" i="4"/>
  <c r="N745" i="4" s="1"/>
  <c r="H745" i="4"/>
  <c r="Y745" i="4"/>
  <c r="H777" i="4"/>
  <c r="Y777" i="4"/>
  <c r="M777" i="4"/>
  <c r="N777" i="4" s="1"/>
  <c r="M809" i="4"/>
  <c r="N809" i="4" s="1"/>
  <c r="H809" i="4"/>
  <c r="Y809" i="4"/>
  <c r="H841" i="4"/>
  <c r="Y841" i="4"/>
  <c r="M841" i="4"/>
  <c r="N841" i="4" s="1"/>
  <c r="M873" i="4"/>
  <c r="N873" i="4" s="1"/>
  <c r="H873" i="4"/>
  <c r="Y873" i="4"/>
  <c r="H905" i="4"/>
  <c r="Y905" i="4"/>
  <c r="M905" i="4"/>
  <c r="N905" i="4" s="1"/>
  <c r="M937" i="4"/>
  <c r="N937" i="4" s="1"/>
  <c r="H937" i="4"/>
  <c r="Y937" i="4"/>
  <c r="H969" i="4"/>
  <c r="Y969" i="4"/>
  <c r="M969" i="4"/>
  <c r="N969" i="4" s="1"/>
  <c r="M1001" i="4"/>
  <c r="N1001" i="4" s="1"/>
  <c r="H1001" i="4"/>
  <c r="Y1001" i="4"/>
  <c r="H1033" i="4"/>
  <c r="Y1033" i="4"/>
  <c r="M1033" i="4"/>
  <c r="N1033" i="4" s="1"/>
  <c r="H728" i="4"/>
  <c r="Y728" i="4"/>
  <c r="M728" i="4"/>
  <c r="N728" i="4" s="1"/>
  <c r="H856" i="4"/>
  <c r="Y856" i="4"/>
  <c r="M856" i="4"/>
  <c r="N856" i="4" s="1"/>
  <c r="H984" i="4"/>
  <c r="Y984" i="4"/>
  <c r="M984" i="4"/>
  <c r="N984" i="4" s="1"/>
  <c r="Y220" i="4"/>
  <c r="H220" i="4"/>
  <c r="M220" i="4"/>
  <c r="N220" i="4" s="1"/>
  <c r="M252" i="4"/>
  <c r="N252" i="4" s="1"/>
  <c r="H252" i="4"/>
  <c r="Y252" i="4"/>
  <c r="M284" i="4"/>
  <c r="N284" i="4" s="1"/>
  <c r="H284" i="4"/>
  <c r="Y284" i="4"/>
  <c r="H316" i="4"/>
  <c r="M316" i="4"/>
  <c r="N316" i="4" s="1"/>
  <c r="Y316" i="4"/>
  <c r="M348" i="4"/>
  <c r="N348" i="4" s="1"/>
  <c r="H348" i="4"/>
  <c r="Y348" i="4"/>
  <c r="M380" i="4"/>
  <c r="N380" i="4" s="1"/>
  <c r="H380" i="4"/>
  <c r="Y380" i="4"/>
  <c r="M412" i="4"/>
  <c r="N412" i="4" s="1"/>
  <c r="H412" i="4"/>
  <c r="Y412" i="4"/>
  <c r="M444" i="4"/>
  <c r="N444" i="4" s="1"/>
  <c r="H444" i="4"/>
  <c r="Y444" i="4"/>
  <c r="M476" i="4"/>
  <c r="N476" i="4" s="1"/>
  <c r="H476" i="4"/>
  <c r="Y476" i="4"/>
  <c r="M508" i="4"/>
  <c r="N508" i="4" s="1"/>
  <c r="H508" i="4"/>
  <c r="Y508" i="4"/>
  <c r="M540" i="4"/>
  <c r="N540" i="4" s="1"/>
  <c r="Y540" i="4"/>
  <c r="H540" i="4"/>
  <c r="M572" i="4"/>
  <c r="N572" i="4" s="1"/>
  <c r="Y572" i="4"/>
  <c r="H572" i="4"/>
  <c r="M604" i="4"/>
  <c r="N604" i="4" s="1"/>
  <c r="Y604" i="4"/>
  <c r="H604" i="4"/>
  <c r="Y636" i="4"/>
  <c r="M636" i="4"/>
  <c r="N636" i="4" s="1"/>
  <c r="H636" i="4"/>
  <c r="Y668" i="4"/>
  <c r="M668" i="4"/>
  <c r="N668" i="4" s="1"/>
  <c r="H668" i="4"/>
  <c r="Y700" i="4"/>
  <c r="M700" i="4"/>
  <c r="N700" i="4" s="1"/>
  <c r="H700" i="4"/>
  <c r="Y827" i="4"/>
  <c r="M827" i="4"/>
  <c r="N827" i="4" s="1"/>
  <c r="H827" i="4"/>
  <c r="Y955" i="4"/>
  <c r="M955" i="4"/>
  <c r="N955" i="4" s="1"/>
  <c r="H955" i="4"/>
  <c r="M72" i="2"/>
  <c r="N72" i="2" s="1"/>
  <c r="H72" i="2"/>
  <c r="H111" i="3"/>
  <c r="Y111" i="3"/>
  <c r="M111" i="3"/>
  <c r="N111" i="3" s="1"/>
  <c r="H762" i="4"/>
  <c r="M762" i="4"/>
  <c r="N762" i="4" s="1"/>
  <c r="Y762" i="4"/>
  <c r="H890" i="4"/>
  <c r="M890" i="4"/>
  <c r="N890" i="4" s="1"/>
  <c r="Y890" i="4"/>
  <c r="H1018" i="4"/>
  <c r="M1018" i="4"/>
  <c r="N1018" i="4" s="1"/>
  <c r="Y1018" i="4"/>
  <c r="Y132" i="3"/>
  <c r="H132" i="3"/>
  <c r="M132" i="3"/>
  <c r="N132" i="3" s="1"/>
  <c r="Y14" i="4"/>
  <c r="H14" i="4"/>
  <c r="M14" i="4"/>
  <c r="N14" i="4" s="1"/>
  <c r="Y46" i="4"/>
  <c r="H46" i="4"/>
  <c r="M46" i="4"/>
  <c r="N46" i="4" s="1"/>
  <c r="Y78" i="4"/>
  <c r="H78" i="4"/>
  <c r="M78" i="4"/>
  <c r="N78" i="4" s="1"/>
  <c r="Y110" i="4"/>
  <c r="H110" i="4"/>
  <c r="M110" i="4"/>
  <c r="N110" i="4" s="1"/>
  <c r="Y142" i="4"/>
  <c r="H142" i="4"/>
  <c r="M142" i="4"/>
  <c r="N142" i="4" s="1"/>
  <c r="Y174" i="4"/>
  <c r="H174" i="4"/>
  <c r="M174" i="4"/>
  <c r="N174" i="4" s="1"/>
  <c r="Y206" i="4"/>
  <c r="H206" i="4"/>
  <c r="M206" i="4"/>
  <c r="N206" i="4" s="1"/>
  <c r="H765" i="4"/>
  <c r="Y765" i="4"/>
  <c r="M765" i="4"/>
  <c r="N765" i="4" s="1"/>
  <c r="H893" i="4"/>
  <c r="Y893" i="4"/>
  <c r="M893" i="4"/>
  <c r="N893" i="4" s="1"/>
  <c r="H1021" i="4"/>
  <c r="Y1021" i="4"/>
  <c r="M1021" i="4"/>
  <c r="N1021" i="4" s="1"/>
  <c r="H217" i="4"/>
  <c r="Y217" i="4"/>
  <c r="M217" i="4"/>
  <c r="N217" i="4" s="1"/>
  <c r="H780" i="4"/>
  <c r="Y780" i="4"/>
  <c r="M780" i="4"/>
  <c r="N780" i="4" s="1"/>
  <c r="H908" i="4"/>
  <c r="Y908" i="4"/>
  <c r="M908" i="4"/>
  <c r="N908" i="4" s="1"/>
  <c r="H1036" i="4"/>
  <c r="Y1036" i="4"/>
  <c r="M1036" i="4"/>
  <c r="N1036" i="4" s="1"/>
  <c r="M227" i="4"/>
  <c r="N227" i="4" s="1"/>
  <c r="Y227" i="4"/>
  <c r="H227" i="4"/>
  <c r="Y259" i="4"/>
  <c r="M259" i="4"/>
  <c r="N259" i="4" s="1"/>
  <c r="H259" i="4"/>
  <c r="Y291" i="4"/>
  <c r="M291" i="4"/>
  <c r="N291" i="4" s="1"/>
  <c r="H291" i="4"/>
  <c r="Y323" i="4"/>
  <c r="M323" i="4"/>
  <c r="N323" i="4" s="1"/>
  <c r="H323" i="4"/>
  <c r="Y355" i="4"/>
  <c r="M355" i="4"/>
  <c r="N355" i="4" s="1"/>
  <c r="H355" i="4"/>
  <c r="Y387" i="4"/>
  <c r="M387" i="4"/>
  <c r="N387" i="4" s="1"/>
  <c r="H387" i="4"/>
  <c r="Y419" i="4"/>
  <c r="M419" i="4"/>
  <c r="N419" i="4" s="1"/>
  <c r="H419" i="4"/>
  <c r="Y451" i="4"/>
  <c r="M451" i="4"/>
  <c r="N451" i="4" s="1"/>
  <c r="H451" i="4"/>
  <c r="Y483" i="4"/>
  <c r="M483" i="4"/>
  <c r="N483" i="4" s="1"/>
  <c r="H483" i="4"/>
  <c r="Y515" i="4"/>
  <c r="M515" i="4"/>
  <c r="N515" i="4" s="1"/>
  <c r="H515" i="4"/>
  <c r="H547" i="4"/>
  <c r="Y547" i="4"/>
  <c r="M547" i="4"/>
  <c r="N547" i="4" s="1"/>
  <c r="H579" i="4"/>
  <c r="M579" i="4"/>
  <c r="N579" i="4" s="1"/>
  <c r="Y579" i="4"/>
  <c r="M611" i="4"/>
  <c r="N611" i="4" s="1"/>
  <c r="Y611" i="4"/>
  <c r="H611" i="4"/>
  <c r="M643" i="4"/>
  <c r="N643" i="4" s="1"/>
  <c r="H643" i="4"/>
  <c r="Y643" i="4"/>
  <c r="M675" i="4"/>
  <c r="N675" i="4" s="1"/>
  <c r="H675" i="4"/>
  <c r="Y675" i="4"/>
  <c r="M751" i="4"/>
  <c r="N751" i="4" s="1"/>
  <c r="H751" i="4"/>
  <c r="Y751" i="4"/>
  <c r="M879" i="4"/>
  <c r="N879" i="4" s="1"/>
  <c r="H879" i="4"/>
  <c r="Y879" i="4"/>
  <c r="M1007" i="4"/>
  <c r="N1007" i="4" s="1"/>
  <c r="H1007" i="4"/>
  <c r="Y1007" i="4"/>
  <c r="M84" i="2"/>
  <c r="N84" i="2" s="1"/>
  <c r="H84" i="2"/>
  <c r="Y86" i="3"/>
  <c r="H86" i="3"/>
  <c r="M86" i="3"/>
  <c r="N86" i="3" s="1"/>
  <c r="Y1067" i="4"/>
  <c r="M1067" i="4"/>
  <c r="N1067" i="4" s="1"/>
  <c r="H1067" i="4"/>
  <c r="H1099" i="4"/>
  <c r="Y1099" i="4"/>
  <c r="M1099" i="4"/>
  <c r="N1099" i="4" s="1"/>
  <c r="H1131" i="4"/>
  <c r="Y1131" i="4"/>
  <c r="M1131" i="4"/>
  <c r="N1131" i="4" s="1"/>
  <c r="Y1163" i="4"/>
  <c r="H1163" i="4"/>
  <c r="M1163" i="4"/>
  <c r="N1163" i="4" s="1"/>
  <c r="M1195" i="4"/>
  <c r="N1195" i="4" s="1"/>
  <c r="Y1195" i="4"/>
  <c r="H1195" i="4"/>
  <c r="Y1227" i="4"/>
  <c r="H1227" i="4"/>
  <c r="M1227" i="4"/>
  <c r="N1227" i="4" s="1"/>
  <c r="Y1259" i="4"/>
  <c r="H1259" i="4"/>
  <c r="M1259" i="4"/>
  <c r="N1259" i="4" s="1"/>
  <c r="Y1291" i="4"/>
  <c r="H1291" i="4"/>
  <c r="M1291" i="4"/>
  <c r="N1291" i="4" s="1"/>
  <c r="H1323" i="4"/>
  <c r="M1323" i="4"/>
  <c r="N1323" i="4" s="1"/>
  <c r="Y1323" i="4"/>
  <c r="H1355" i="4"/>
  <c r="Y1355" i="4"/>
  <c r="M1355" i="4"/>
  <c r="N1355" i="4" s="1"/>
  <c r="Y1630" i="4"/>
  <c r="M1630" i="4"/>
  <c r="N1630" i="4" s="1"/>
  <c r="H1630" i="4"/>
  <c r="H1616" i="4"/>
  <c r="Y1616" i="4"/>
  <c r="M1616" i="4"/>
  <c r="N1616" i="4" s="1"/>
  <c r="Y1082" i="4"/>
  <c r="H1082" i="4"/>
  <c r="M1082" i="4"/>
  <c r="N1082" i="4" s="1"/>
  <c r="H1114" i="4"/>
  <c r="M1114" i="4"/>
  <c r="N1114" i="4" s="1"/>
  <c r="Y1114" i="4"/>
  <c r="H1146" i="4"/>
  <c r="M1146" i="4"/>
  <c r="N1146" i="4" s="1"/>
  <c r="Y1146" i="4"/>
  <c r="Y1178" i="4"/>
  <c r="H1178" i="4"/>
  <c r="M1178" i="4"/>
  <c r="N1178" i="4" s="1"/>
  <c r="H1210" i="4"/>
  <c r="M1210" i="4"/>
  <c r="N1210" i="4" s="1"/>
  <c r="Y1210" i="4"/>
  <c r="H1242" i="4"/>
  <c r="M1242" i="4"/>
  <c r="N1242" i="4" s="1"/>
  <c r="Y1242" i="4"/>
  <c r="H1274" i="4"/>
  <c r="M1274" i="4"/>
  <c r="N1274" i="4" s="1"/>
  <c r="Y1274" i="4"/>
  <c r="M1306" i="4"/>
  <c r="N1306" i="4" s="1"/>
  <c r="H1306" i="4"/>
  <c r="Y1306" i="4"/>
  <c r="M1338" i="4"/>
  <c r="N1338" i="4" s="1"/>
  <c r="H1338" i="4"/>
  <c r="Y1338" i="4"/>
  <c r="Y1650" i="4"/>
  <c r="M1650" i="4"/>
  <c r="N1650" i="4" s="1"/>
  <c r="H1650" i="4"/>
  <c r="Y1636" i="4"/>
  <c r="H1636" i="4"/>
  <c r="M1636" i="4"/>
  <c r="N1636" i="4" s="1"/>
  <c r="H1370" i="4"/>
  <c r="Y1370" i="4"/>
  <c r="M1370" i="4"/>
  <c r="N1370" i="4" s="1"/>
  <c r="M1402" i="4"/>
  <c r="N1402" i="4" s="1"/>
  <c r="H1402" i="4"/>
  <c r="Y1402" i="4"/>
  <c r="Y1434" i="4"/>
  <c r="M1434" i="4"/>
  <c r="N1434" i="4" s="1"/>
  <c r="H1434" i="4"/>
  <c r="Y1467" i="4"/>
  <c r="M1467" i="4"/>
  <c r="N1467" i="4" s="1"/>
  <c r="H1467" i="4"/>
  <c r="H1499" i="4"/>
  <c r="Y1499" i="4"/>
  <c r="M1499" i="4"/>
  <c r="N1499" i="4" s="1"/>
  <c r="M1531" i="4"/>
  <c r="N1531" i="4" s="1"/>
  <c r="H1531" i="4"/>
  <c r="Y1531" i="4"/>
  <c r="Y1563" i="4"/>
  <c r="M1563" i="4"/>
  <c r="N1563" i="4" s="1"/>
  <c r="H1563" i="4"/>
  <c r="Y1595" i="4"/>
  <c r="M1595" i="4"/>
  <c r="N1595" i="4" s="1"/>
  <c r="H1595" i="4"/>
  <c r="Y1679" i="4"/>
  <c r="M1679" i="4"/>
  <c r="N1679" i="4" s="1"/>
  <c r="H1679" i="4"/>
  <c r="Y1967" i="4"/>
  <c r="M1967" i="4"/>
  <c r="N1967" i="4" s="1"/>
  <c r="H1967" i="4"/>
  <c r="H1714" i="4"/>
  <c r="Y1714" i="4"/>
  <c r="M1714" i="4"/>
  <c r="N1714" i="4" s="1"/>
  <c r="H1746" i="4"/>
  <c r="Y1746" i="4"/>
  <c r="M1746" i="4"/>
  <c r="N1746" i="4" s="1"/>
  <c r="Y1778" i="4"/>
  <c r="M1778" i="4"/>
  <c r="N1778" i="4" s="1"/>
  <c r="H1778" i="4"/>
  <c r="Y1810" i="4"/>
  <c r="M1810" i="4"/>
  <c r="N1810" i="4" s="1"/>
  <c r="H1810" i="4"/>
  <c r="Y1842" i="4"/>
  <c r="M1842" i="4"/>
  <c r="N1842" i="4" s="1"/>
  <c r="H1842" i="4"/>
  <c r="Y1874" i="4"/>
  <c r="M1874" i="4"/>
  <c r="N1874" i="4" s="1"/>
  <c r="H1874" i="4"/>
  <c r="Y1922" i="4"/>
  <c r="M1922" i="4"/>
  <c r="N1922" i="4" s="1"/>
  <c r="H1922" i="4"/>
  <c r="Y1991" i="4"/>
  <c r="H1991" i="4"/>
  <c r="M1991" i="4"/>
  <c r="N1991" i="4" s="1"/>
  <c r="H2319" i="4"/>
  <c r="M2319" i="4"/>
  <c r="N2319" i="4" s="1"/>
  <c r="Y2319" i="4"/>
  <c r="Y2064" i="4"/>
  <c r="H2064" i="4"/>
  <c r="M2064" i="4"/>
  <c r="N2064" i="4" s="1"/>
  <c r="Y2192" i="4"/>
  <c r="M2192" i="4"/>
  <c r="N2192" i="4" s="1"/>
  <c r="H2192" i="4"/>
  <c r="Y2059" i="4"/>
  <c r="M2059" i="4"/>
  <c r="N2059" i="4" s="1"/>
  <c r="H2059" i="4"/>
  <c r="Y2187" i="4"/>
  <c r="H2187" i="4"/>
  <c r="M2187" i="4"/>
  <c r="N2187" i="4" s="1"/>
  <c r="Y2315" i="4"/>
  <c r="H2315" i="4"/>
  <c r="M2315" i="4"/>
  <c r="N2315" i="4" s="1"/>
  <c r="M1940" i="4"/>
  <c r="N1940" i="4" s="1"/>
  <c r="Y1940" i="4"/>
  <c r="H1940" i="4"/>
  <c r="Y2073" i="4"/>
  <c r="M2073" i="4"/>
  <c r="N2073" i="4" s="1"/>
  <c r="H2073" i="4"/>
  <c r="Y2201" i="4"/>
  <c r="M2201" i="4"/>
  <c r="N2201" i="4" s="1"/>
  <c r="H2201" i="4"/>
  <c r="M720" i="4"/>
  <c r="N720" i="4" s="1"/>
  <c r="H720" i="4"/>
  <c r="Y720" i="4"/>
  <c r="M752" i="4"/>
  <c r="N752" i="4" s="1"/>
  <c r="H752" i="4"/>
  <c r="Y752" i="4"/>
  <c r="M784" i="4"/>
  <c r="N784" i="4" s="1"/>
  <c r="H784" i="4"/>
  <c r="Y784" i="4"/>
  <c r="M816" i="4"/>
  <c r="N816" i="4" s="1"/>
  <c r="H816" i="4"/>
  <c r="Y816" i="4"/>
  <c r="M848" i="4"/>
  <c r="N848" i="4" s="1"/>
  <c r="H848" i="4"/>
  <c r="Y848" i="4"/>
  <c r="M880" i="4"/>
  <c r="N880" i="4" s="1"/>
  <c r="H880" i="4"/>
  <c r="Y880" i="4"/>
  <c r="M912" i="4"/>
  <c r="N912" i="4" s="1"/>
  <c r="H912" i="4"/>
  <c r="Y912" i="4"/>
  <c r="M944" i="4"/>
  <c r="N944" i="4" s="1"/>
  <c r="H944" i="4"/>
  <c r="Y944" i="4"/>
  <c r="M976" i="4"/>
  <c r="N976" i="4" s="1"/>
  <c r="H976" i="4"/>
  <c r="Y976" i="4"/>
  <c r="M1008" i="4"/>
  <c r="N1008" i="4" s="1"/>
  <c r="H1008" i="4"/>
  <c r="Y1008" i="4"/>
  <c r="M1040" i="4"/>
  <c r="N1040" i="4" s="1"/>
  <c r="H1040" i="4"/>
  <c r="Y1040" i="4"/>
  <c r="Y222" i="4"/>
  <c r="H222" i="4"/>
  <c r="M222" i="4"/>
  <c r="N222" i="4" s="1"/>
  <c r="Y230" i="4"/>
  <c r="H230" i="4"/>
  <c r="M230" i="4"/>
  <c r="N230" i="4" s="1"/>
  <c r="Y238" i="4"/>
  <c r="H238" i="4"/>
  <c r="M238" i="4"/>
  <c r="N238" i="4" s="1"/>
  <c r="Y246" i="4"/>
  <c r="M246" i="4"/>
  <c r="N246" i="4" s="1"/>
  <c r="H246" i="4"/>
  <c r="Y254" i="4"/>
  <c r="M254" i="4"/>
  <c r="N254" i="4" s="1"/>
  <c r="H254" i="4"/>
  <c r="Y262" i="4"/>
  <c r="H262" i="4"/>
  <c r="M262" i="4"/>
  <c r="N262" i="4" s="1"/>
  <c r="Y270" i="4"/>
  <c r="H270" i="4"/>
  <c r="M270" i="4"/>
  <c r="N270" i="4" s="1"/>
  <c r="Y278" i="4"/>
  <c r="H278" i="4"/>
  <c r="M278" i="4"/>
  <c r="N278" i="4" s="1"/>
  <c r="Y286" i="4"/>
  <c r="M286" i="4"/>
  <c r="N286" i="4" s="1"/>
  <c r="H286" i="4"/>
  <c r="Y294" i="4"/>
  <c r="M294" i="4"/>
  <c r="N294" i="4" s="1"/>
  <c r="H294" i="4"/>
  <c r="Y302" i="4"/>
  <c r="M302" i="4"/>
  <c r="N302" i="4" s="1"/>
  <c r="H302" i="4"/>
  <c r="Y310" i="4"/>
  <c r="M310" i="4"/>
  <c r="N310" i="4" s="1"/>
  <c r="H310" i="4"/>
  <c r="Y318" i="4"/>
  <c r="H318" i="4"/>
  <c r="M318" i="4"/>
  <c r="N318" i="4" s="1"/>
  <c r="Y326" i="4"/>
  <c r="H326" i="4"/>
  <c r="M326" i="4"/>
  <c r="N326" i="4" s="1"/>
  <c r="Y334" i="4"/>
  <c r="H334" i="4"/>
  <c r="M334" i="4"/>
  <c r="N334" i="4" s="1"/>
  <c r="Y342" i="4"/>
  <c r="H342" i="4"/>
  <c r="M342" i="4"/>
  <c r="N342" i="4" s="1"/>
  <c r="Y350" i="4"/>
  <c r="M350" i="4"/>
  <c r="N350" i="4" s="1"/>
  <c r="H350" i="4"/>
  <c r="Y358" i="4"/>
  <c r="H358" i="4"/>
  <c r="M358" i="4"/>
  <c r="N358" i="4" s="1"/>
  <c r="Y366" i="4"/>
  <c r="M366" i="4"/>
  <c r="N366" i="4" s="1"/>
  <c r="H366" i="4"/>
  <c r="Y374" i="4"/>
  <c r="M374" i="4"/>
  <c r="N374" i="4" s="1"/>
  <c r="H374" i="4"/>
  <c r="Y382" i="4"/>
  <c r="H382" i="4"/>
  <c r="M382" i="4"/>
  <c r="N382" i="4" s="1"/>
  <c r="Y390" i="4"/>
  <c r="M390" i="4"/>
  <c r="N390" i="4" s="1"/>
  <c r="H390" i="4"/>
  <c r="Y398" i="4"/>
  <c r="M398" i="4"/>
  <c r="N398" i="4" s="1"/>
  <c r="H398" i="4"/>
  <c r="Y406" i="4"/>
  <c r="M406" i="4"/>
  <c r="N406" i="4" s="1"/>
  <c r="H406" i="4"/>
  <c r="Y414" i="4"/>
  <c r="M414" i="4"/>
  <c r="N414" i="4" s="1"/>
  <c r="H414" i="4"/>
  <c r="Y422" i="4"/>
  <c r="M422" i="4"/>
  <c r="N422" i="4" s="1"/>
  <c r="H422" i="4"/>
  <c r="Y430" i="4"/>
  <c r="M430" i="4"/>
  <c r="N430" i="4" s="1"/>
  <c r="H430" i="4"/>
  <c r="Y438" i="4"/>
  <c r="M438" i="4"/>
  <c r="N438" i="4" s="1"/>
  <c r="H438" i="4"/>
  <c r="Y446" i="4"/>
  <c r="M446" i="4"/>
  <c r="N446" i="4" s="1"/>
  <c r="H446" i="4"/>
  <c r="Y454" i="4"/>
  <c r="M454" i="4"/>
  <c r="N454" i="4" s="1"/>
  <c r="H454" i="4"/>
  <c r="Y462" i="4"/>
  <c r="M462" i="4"/>
  <c r="N462" i="4" s="1"/>
  <c r="H462" i="4"/>
  <c r="Y470" i="4"/>
  <c r="M470" i="4"/>
  <c r="N470" i="4" s="1"/>
  <c r="H470" i="4"/>
  <c r="Y478" i="4"/>
  <c r="M478" i="4"/>
  <c r="N478" i="4" s="1"/>
  <c r="H478" i="4"/>
  <c r="Y486" i="4"/>
  <c r="M486" i="4"/>
  <c r="N486" i="4" s="1"/>
  <c r="H486" i="4"/>
  <c r="Y494" i="4"/>
  <c r="M494" i="4"/>
  <c r="N494" i="4" s="1"/>
  <c r="H494" i="4"/>
  <c r="Y502" i="4"/>
  <c r="M502" i="4"/>
  <c r="N502" i="4" s="1"/>
  <c r="H502" i="4"/>
  <c r="Y510" i="4"/>
  <c r="M510" i="4"/>
  <c r="N510" i="4" s="1"/>
  <c r="H510" i="4"/>
  <c r="Y518" i="4"/>
  <c r="M518" i="4"/>
  <c r="N518" i="4" s="1"/>
  <c r="H518" i="4"/>
  <c r="Y526" i="4"/>
  <c r="M526" i="4"/>
  <c r="N526" i="4" s="1"/>
  <c r="H526" i="4"/>
  <c r="Y534" i="4"/>
  <c r="M534" i="4"/>
  <c r="N534" i="4" s="1"/>
  <c r="H534" i="4"/>
  <c r="H542" i="4"/>
  <c r="Y542" i="4"/>
  <c r="M542" i="4"/>
  <c r="N542" i="4" s="1"/>
  <c r="Y550" i="4"/>
  <c r="M550" i="4"/>
  <c r="N550" i="4" s="1"/>
  <c r="H550" i="4"/>
  <c r="H558" i="4"/>
  <c r="Y558" i="4"/>
  <c r="M558" i="4"/>
  <c r="N558" i="4" s="1"/>
  <c r="Y566" i="4"/>
  <c r="M566" i="4"/>
  <c r="N566" i="4" s="1"/>
  <c r="H566" i="4"/>
  <c r="H574" i="4"/>
  <c r="Y574" i="4"/>
  <c r="M574" i="4"/>
  <c r="N574" i="4" s="1"/>
  <c r="Y582" i="4"/>
  <c r="M582" i="4"/>
  <c r="N582" i="4" s="1"/>
  <c r="H582" i="4"/>
  <c r="H590" i="4"/>
  <c r="Y590" i="4"/>
  <c r="M590" i="4"/>
  <c r="N590" i="4" s="1"/>
  <c r="Y598" i="4"/>
  <c r="M598" i="4"/>
  <c r="N598" i="4" s="1"/>
  <c r="H598" i="4"/>
  <c r="H606" i="4"/>
  <c r="Y606" i="4"/>
  <c r="M606" i="4"/>
  <c r="N606" i="4" s="1"/>
  <c r="Y614" i="4"/>
  <c r="M614" i="4"/>
  <c r="N614" i="4" s="1"/>
  <c r="H614" i="4"/>
  <c r="H622" i="4"/>
  <c r="Y622" i="4"/>
  <c r="M622" i="4"/>
  <c r="N622" i="4" s="1"/>
  <c r="H630" i="4"/>
  <c r="Y630" i="4"/>
  <c r="M630" i="4"/>
  <c r="N630" i="4" s="1"/>
  <c r="H638" i="4"/>
  <c r="Y638" i="4"/>
  <c r="M638" i="4"/>
  <c r="N638" i="4" s="1"/>
  <c r="H646" i="4"/>
  <c r="Y646" i="4"/>
  <c r="M646" i="4"/>
  <c r="N646" i="4" s="1"/>
  <c r="H654" i="4"/>
  <c r="Y654" i="4"/>
  <c r="M654" i="4"/>
  <c r="N654" i="4" s="1"/>
  <c r="H662" i="4"/>
  <c r="Y662" i="4"/>
  <c r="M662" i="4"/>
  <c r="N662" i="4" s="1"/>
  <c r="H670" i="4"/>
  <c r="Y670" i="4"/>
  <c r="M670" i="4"/>
  <c r="N670" i="4" s="1"/>
  <c r="H678" i="4"/>
  <c r="Y678" i="4"/>
  <c r="M678" i="4"/>
  <c r="N678" i="4" s="1"/>
  <c r="H686" i="4"/>
  <c r="Y686" i="4"/>
  <c r="M686" i="4"/>
  <c r="N686" i="4" s="1"/>
  <c r="H694" i="4"/>
  <c r="Y694" i="4"/>
  <c r="M694" i="4"/>
  <c r="N694" i="4" s="1"/>
  <c r="H702" i="4"/>
  <c r="Y702" i="4"/>
  <c r="M702" i="4"/>
  <c r="N702" i="4" s="1"/>
  <c r="M723" i="4"/>
  <c r="N723" i="4" s="1"/>
  <c r="H723" i="4"/>
  <c r="Y723" i="4"/>
  <c r="M755" i="4"/>
  <c r="N755" i="4" s="1"/>
  <c r="H755" i="4"/>
  <c r="Y755" i="4"/>
  <c r="M787" i="4"/>
  <c r="N787" i="4" s="1"/>
  <c r="H787" i="4"/>
  <c r="Y787" i="4"/>
  <c r="M819" i="4"/>
  <c r="N819" i="4" s="1"/>
  <c r="H819" i="4"/>
  <c r="Y819" i="4"/>
  <c r="M851" i="4"/>
  <c r="N851" i="4" s="1"/>
  <c r="H851" i="4"/>
  <c r="Y851" i="4"/>
  <c r="M883" i="4"/>
  <c r="N883" i="4" s="1"/>
  <c r="H883" i="4"/>
  <c r="Y883" i="4"/>
  <c r="M915" i="4"/>
  <c r="N915" i="4" s="1"/>
  <c r="H915" i="4"/>
  <c r="Y915" i="4"/>
  <c r="M947" i="4"/>
  <c r="N947" i="4" s="1"/>
  <c r="H947" i="4"/>
  <c r="Y947" i="4"/>
  <c r="M979" i="4"/>
  <c r="N979" i="4" s="1"/>
  <c r="H979" i="4"/>
  <c r="Y979" i="4"/>
  <c r="M1011" i="4"/>
  <c r="N1011" i="4" s="1"/>
  <c r="H1011" i="4"/>
  <c r="Y1011" i="4"/>
  <c r="M1043" i="4"/>
  <c r="N1043" i="4" s="1"/>
  <c r="H1043" i="4"/>
  <c r="Y1043" i="4"/>
  <c r="M64" i="2"/>
  <c r="N64" i="2" s="1"/>
  <c r="H64" i="2"/>
  <c r="M96" i="2"/>
  <c r="N96" i="2" s="1"/>
  <c r="H96" i="2"/>
  <c r="H28" i="3"/>
  <c r="M28" i="3"/>
  <c r="N28" i="3" s="1"/>
  <c r="Y28" i="3"/>
  <c r="H104" i="3"/>
  <c r="M104" i="3"/>
  <c r="N104" i="3" s="1"/>
  <c r="Y104" i="3"/>
  <c r="M8" i="1"/>
  <c r="N8" i="1" s="1"/>
  <c r="H8" i="1"/>
  <c r="Y8" i="1"/>
  <c r="H722" i="4"/>
  <c r="Y722" i="4"/>
  <c r="M722" i="4"/>
  <c r="N722" i="4" s="1"/>
  <c r="H754" i="4"/>
  <c r="Y754" i="4"/>
  <c r="M754" i="4"/>
  <c r="N754" i="4" s="1"/>
  <c r="H786" i="4"/>
  <c r="Y786" i="4"/>
  <c r="M786" i="4"/>
  <c r="N786" i="4" s="1"/>
  <c r="H818" i="4"/>
  <c r="Y818" i="4"/>
  <c r="M818" i="4"/>
  <c r="N818" i="4" s="1"/>
  <c r="H850" i="4"/>
  <c r="Y850" i="4"/>
  <c r="M850" i="4"/>
  <c r="N850" i="4" s="1"/>
  <c r="H882" i="4"/>
  <c r="Y882" i="4"/>
  <c r="M882" i="4"/>
  <c r="N882" i="4" s="1"/>
  <c r="H914" i="4"/>
  <c r="Y914" i="4"/>
  <c r="M914" i="4"/>
  <c r="N914" i="4" s="1"/>
  <c r="H946" i="4"/>
  <c r="Y946" i="4"/>
  <c r="M946" i="4"/>
  <c r="N946" i="4" s="1"/>
  <c r="H978" i="4"/>
  <c r="Y978" i="4"/>
  <c r="M978" i="4"/>
  <c r="N978" i="4" s="1"/>
  <c r="H1010" i="4"/>
  <c r="Y1010" i="4"/>
  <c r="M1010" i="4"/>
  <c r="N1010" i="4" s="1"/>
  <c r="H1042" i="4"/>
  <c r="Y1042" i="4"/>
  <c r="M1042" i="4"/>
  <c r="N1042" i="4" s="1"/>
  <c r="H118" i="3"/>
  <c r="M118" i="3"/>
  <c r="N118" i="3" s="1"/>
  <c r="Y118" i="3"/>
  <c r="H126" i="3"/>
  <c r="M126" i="3"/>
  <c r="N126" i="3" s="1"/>
  <c r="Y126" i="3"/>
  <c r="H134" i="3"/>
  <c r="M134" i="3"/>
  <c r="N134" i="3" s="1"/>
  <c r="Y134" i="3"/>
  <c r="H142" i="3"/>
  <c r="M142" i="3"/>
  <c r="N142" i="3" s="1"/>
  <c r="Y142" i="3"/>
  <c r="H150" i="3"/>
  <c r="M150" i="3"/>
  <c r="N150" i="3" s="1"/>
  <c r="Y150" i="3"/>
  <c r="H8" i="4"/>
  <c r="M8" i="4"/>
  <c r="N8" i="4" s="1"/>
  <c r="Y8" i="4"/>
  <c r="H16" i="4"/>
  <c r="M16" i="4"/>
  <c r="N16" i="4" s="1"/>
  <c r="Y16" i="4"/>
  <c r="H24" i="4"/>
  <c r="M24" i="4"/>
  <c r="N24" i="4" s="1"/>
  <c r="Y24" i="4"/>
  <c r="H32" i="4"/>
  <c r="M32" i="4"/>
  <c r="N32" i="4" s="1"/>
  <c r="Y32" i="4"/>
  <c r="H40" i="4"/>
  <c r="M40" i="4"/>
  <c r="N40" i="4" s="1"/>
  <c r="Y40" i="4"/>
  <c r="H48" i="4"/>
  <c r="M48" i="4"/>
  <c r="N48" i="4" s="1"/>
  <c r="Y48" i="4"/>
  <c r="H56" i="4"/>
  <c r="M56" i="4"/>
  <c r="N56" i="4" s="1"/>
  <c r="Y56" i="4"/>
  <c r="H64" i="4"/>
  <c r="M64" i="4"/>
  <c r="N64" i="4" s="1"/>
  <c r="Y64" i="4"/>
  <c r="H72" i="4"/>
  <c r="M72" i="4"/>
  <c r="N72" i="4" s="1"/>
  <c r="Y72" i="4"/>
  <c r="H80" i="4"/>
  <c r="M80" i="4"/>
  <c r="N80" i="4" s="1"/>
  <c r="Y80" i="4"/>
  <c r="H88" i="4"/>
  <c r="M88" i="4"/>
  <c r="N88" i="4" s="1"/>
  <c r="Y88" i="4"/>
  <c r="H96" i="4"/>
  <c r="M96" i="4"/>
  <c r="N96" i="4" s="1"/>
  <c r="Y96" i="4"/>
  <c r="H104" i="4"/>
  <c r="M104" i="4"/>
  <c r="N104" i="4" s="1"/>
  <c r="Y104" i="4"/>
  <c r="H112" i="4"/>
  <c r="M112" i="4"/>
  <c r="N112" i="4" s="1"/>
  <c r="Y112" i="4"/>
  <c r="H120" i="4"/>
  <c r="M120" i="4"/>
  <c r="N120" i="4" s="1"/>
  <c r="Y120" i="4"/>
  <c r="H128" i="4"/>
  <c r="M128" i="4"/>
  <c r="N128" i="4" s="1"/>
  <c r="Y128" i="4"/>
  <c r="H136" i="4"/>
  <c r="M136" i="4"/>
  <c r="N136" i="4" s="1"/>
  <c r="Y136" i="4"/>
  <c r="H144" i="4"/>
  <c r="M144" i="4"/>
  <c r="N144" i="4" s="1"/>
  <c r="Y144" i="4"/>
  <c r="H152" i="4"/>
  <c r="M152" i="4"/>
  <c r="N152" i="4" s="1"/>
  <c r="Y152" i="4"/>
  <c r="H160" i="4"/>
  <c r="M160" i="4"/>
  <c r="N160" i="4" s="1"/>
  <c r="Y160" i="4"/>
  <c r="H168" i="4"/>
  <c r="M168" i="4"/>
  <c r="N168" i="4" s="1"/>
  <c r="Y168" i="4"/>
  <c r="H176" i="4"/>
  <c r="M176" i="4"/>
  <c r="N176" i="4" s="1"/>
  <c r="Y176" i="4"/>
  <c r="H184" i="4"/>
  <c r="M184" i="4"/>
  <c r="N184" i="4" s="1"/>
  <c r="Y184" i="4"/>
  <c r="H192" i="4"/>
  <c r="M192" i="4"/>
  <c r="N192" i="4" s="1"/>
  <c r="Y192" i="4"/>
  <c r="H200" i="4"/>
  <c r="M200" i="4"/>
  <c r="N200" i="4" s="1"/>
  <c r="Y200" i="4"/>
  <c r="H208" i="4"/>
  <c r="M208" i="4"/>
  <c r="N208" i="4" s="1"/>
  <c r="Y208" i="4"/>
  <c r="H216" i="4"/>
  <c r="M216" i="4"/>
  <c r="N216" i="4" s="1"/>
  <c r="Y216" i="4"/>
  <c r="M725" i="4"/>
  <c r="N725" i="4" s="1"/>
  <c r="H725" i="4"/>
  <c r="Y725" i="4"/>
  <c r="Y757" i="4"/>
  <c r="M757" i="4"/>
  <c r="N757" i="4" s="1"/>
  <c r="H757" i="4"/>
  <c r="M789" i="4"/>
  <c r="N789" i="4" s="1"/>
  <c r="H789" i="4"/>
  <c r="Y789" i="4"/>
  <c r="Y821" i="4"/>
  <c r="M821" i="4"/>
  <c r="N821" i="4" s="1"/>
  <c r="H821" i="4"/>
  <c r="M853" i="4"/>
  <c r="N853" i="4" s="1"/>
  <c r="H853" i="4"/>
  <c r="Y853" i="4"/>
  <c r="Y885" i="4"/>
  <c r="M885" i="4"/>
  <c r="N885" i="4" s="1"/>
  <c r="H885" i="4"/>
  <c r="M917" i="4"/>
  <c r="N917" i="4" s="1"/>
  <c r="H917" i="4"/>
  <c r="Y917" i="4"/>
  <c r="Y949" i="4"/>
  <c r="M949" i="4"/>
  <c r="N949" i="4" s="1"/>
  <c r="H949" i="4"/>
  <c r="M981" i="4"/>
  <c r="N981" i="4" s="1"/>
  <c r="H981" i="4"/>
  <c r="Y981" i="4"/>
  <c r="Y1013" i="4"/>
  <c r="M1013" i="4"/>
  <c r="N1013" i="4" s="1"/>
  <c r="H1013" i="4"/>
  <c r="H708" i="4"/>
  <c r="M708" i="4"/>
  <c r="N708" i="4" s="1"/>
  <c r="Y708" i="4"/>
  <c r="H740" i="4"/>
  <c r="M740" i="4"/>
  <c r="N740" i="4" s="1"/>
  <c r="Y740" i="4"/>
  <c r="H772" i="4"/>
  <c r="M772" i="4"/>
  <c r="N772" i="4" s="1"/>
  <c r="Y772" i="4"/>
  <c r="H804" i="4"/>
  <c r="M804" i="4"/>
  <c r="N804" i="4" s="1"/>
  <c r="Y804" i="4"/>
  <c r="H836" i="4"/>
  <c r="M836" i="4"/>
  <c r="N836" i="4" s="1"/>
  <c r="Y836" i="4"/>
  <c r="H868" i="4"/>
  <c r="M868" i="4"/>
  <c r="N868" i="4" s="1"/>
  <c r="Y868" i="4"/>
  <c r="H900" i="4"/>
  <c r="M900" i="4"/>
  <c r="N900" i="4" s="1"/>
  <c r="Y900" i="4"/>
  <c r="H932" i="4"/>
  <c r="M932" i="4"/>
  <c r="N932" i="4" s="1"/>
  <c r="Y932" i="4"/>
  <c r="H964" i="4"/>
  <c r="M964" i="4"/>
  <c r="N964" i="4" s="1"/>
  <c r="Y964" i="4"/>
  <c r="H996" i="4"/>
  <c r="M996" i="4"/>
  <c r="N996" i="4" s="1"/>
  <c r="Y996" i="4"/>
  <c r="H1028" i="4"/>
  <c r="M1028" i="4"/>
  <c r="N1028" i="4" s="1"/>
  <c r="Y1028" i="4"/>
  <c r="Y221" i="4"/>
  <c r="H221" i="4"/>
  <c r="M221" i="4"/>
  <c r="N221" i="4" s="1"/>
  <c r="Y229" i="4"/>
  <c r="H229" i="4"/>
  <c r="M229" i="4"/>
  <c r="N229" i="4" s="1"/>
  <c r="Y237" i="4"/>
  <c r="H237" i="4"/>
  <c r="M237" i="4"/>
  <c r="N237" i="4" s="1"/>
  <c r="H245" i="4"/>
  <c r="Y245" i="4"/>
  <c r="M245" i="4"/>
  <c r="N245" i="4" s="1"/>
  <c r="M253" i="4"/>
  <c r="N253" i="4" s="1"/>
  <c r="Y253" i="4"/>
  <c r="H253" i="4"/>
  <c r="H261" i="4"/>
  <c r="Y261" i="4"/>
  <c r="M261" i="4"/>
  <c r="N261" i="4" s="1"/>
  <c r="H269" i="4"/>
  <c r="Y269" i="4"/>
  <c r="M269" i="4"/>
  <c r="N269" i="4" s="1"/>
  <c r="H277" i="4"/>
  <c r="Y277" i="4"/>
  <c r="M277" i="4"/>
  <c r="N277" i="4" s="1"/>
  <c r="M285" i="4"/>
  <c r="N285" i="4" s="1"/>
  <c r="Y285" i="4"/>
  <c r="H285" i="4"/>
  <c r="H293" i="4"/>
  <c r="Y293" i="4"/>
  <c r="M293" i="4"/>
  <c r="N293" i="4" s="1"/>
  <c r="H301" i="4"/>
  <c r="Y301" i="4"/>
  <c r="M301" i="4"/>
  <c r="N301" i="4" s="1"/>
  <c r="M309" i="4"/>
  <c r="N309" i="4" s="1"/>
  <c r="Y309" i="4"/>
  <c r="H309" i="4"/>
  <c r="H317" i="4"/>
  <c r="Y317" i="4"/>
  <c r="M317" i="4"/>
  <c r="N317" i="4" s="1"/>
  <c r="M325" i="4"/>
  <c r="N325" i="4" s="1"/>
  <c r="Y325" i="4"/>
  <c r="H325" i="4"/>
  <c r="H333" i="4"/>
  <c r="Y333" i="4"/>
  <c r="M333" i="4"/>
  <c r="N333" i="4" s="1"/>
  <c r="H341" i="4"/>
  <c r="Y341" i="4"/>
  <c r="M341" i="4"/>
  <c r="N341" i="4" s="1"/>
  <c r="M349" i="4"/>
  <c r="N349" i="4" s="1"/>
  <c r="Y349" i="4"/>
  <c r="H349" i="4"/>
  <c r="M357" i="4"/>
  <c r="N357" i="4" s="1"/>
  <c r="Y357" i="4"/>
  <c r="H357" i="4"/>
  <c r="H365" i="4"/>
  <c r="Y365" i="4"/>
  <c r="M365" i="4"/>
  <c r="N365" i="4" s="1"/>
  <c r="H373" i="4"/>
  <c r="Y373" i="4"/>
  <c r="M373" i="4"/>
  <c r="N373" i="4" s="1"/>
  <c r="H381" i="4"/>
  <c r="Y381" i="4"/>
  <c r="M381" i="4"/>
  <c r="N381" i="4" s="1"/>
  <c r="M389" i="4"/>
  <c r="N389" i="4" s="1"/>
  <c r="Y389" i="4"/>
  <c r="H389" i="4"/>
  <c r="H397" i="4"/>
  <c r="Y397" i="4"/>
  <c r="M397" i="4"/>
  <c r="N397" i="4" s="1"/>
  <c r="H405" i="4"/>
  <c r="Y405" i="4"/>
  <c r="M405" i="4"/>
  <c r="N405" i="4" s="1"/>
  <c r="H413" i="4"/>
  <c r="Y413" i="4"/>
  <c r="M413" i="4"/>
  <c r="N413" i="4" s="1"/>
  <c r="H421" i="4"/>
  <c r="Y421" i="4"/>
  <c r="M421" i="4"/>
  <c r="N421" i="4" s="1"/>
  <c r="H429" i="4"/>
  <c r="Y429" i="4"/>
  <c r="M429" i="4"/>
  <c r="N429" i="4" s="1"/>
  <c r="H437" i="4"/>
  <c r="Y437" i="4"/>
  <c r="M437" i="4"/>
  <c r="N437" i="4" s="1"/>
  <c r="H445" i="4"/>
  <c r="Y445" i="4"/>
  <c r="M445" i="4"/>
  <c r="N445" i="4" s="1"/>
  <c r="H453" i="4"/>
  <c r="Y453" i="4"/>
  <c r="M453" i="4"/>
  <c r="N453" i="4" s="1"/>
  <c r="H461" i="4"/>
  <c r="Y461" i="4"/>
  <c r="M461" i="4"/>
  <c r="N461" i="4" s="1"/>
  <c r="H469" i="4"/>
  <c r="Y469" i="4"/>
  <c r="M469" i="4"/>
  <c r="N469" i="4" s="1"/>
  <c r="H477" i="4"/>
  <c r="Y477" i="4"/>
  <c r="M477" i="4"/>
  <c r="N477" i="4" s="1"/>
  <c r="H485" i="4"/>
  <c r="Y485" i="4"/>
  <c r="M485" i="4"/>
  <c r="N485" i="4" s="1"/>
  <c r="H493" i="4"/>
  <c r="Y493" i="4"/>
  <c r="M493" i="4"/>
  <c r="N493" i="4" s="1"/>
  <c r="H501" i="4"/>
  <c r="Y501" i="4"/>
  <c r="M501" i="4"/>
  <c r="N501" i="4" s="1"/>
  <c r="H509" i="4"/>
  <c r="Y509" i="4"/>
  <c r="M509" i="4"/>
  <c r="N509" i="4" s="1"/>
  <c r="H517" i="4"/>
  <c r="Y517" i="4"/>
  <c r="M517" i="4"/>
  <c r="N517" i="4" s="1"/>
  <c r="H525" i="4"/>
  <c r="Y525" i="4"/>
  <c r="M525" i="4"/>
  <c r="N525" i="4" s="1"/>
  <c r="Y533" i="4"/>
  <c r="M533" i="4"/>
  <c r="N533" i="4" s="1"/>
  <c r="H533" i="4"/>
  <c r="Y541" i="4"/>
  <c r="M541" i="4"/>
  <c r="N541" i="4" s="1"/>
  <c r="H541" i="4"/>
  <c r="Y549" i="4"/>
  <c r="M549" i="4"/>
  <c r="N549" i="4" s="1"/>
  <c r="H549" i="4"/>
  <c r="Y557" i="4"/>
  <c r="M557" i="4"/>
  <c r="N557" i="4" s="1"/>
  <c r="H557" i="4"/>
  <c r="Y565" i="4"/>
  <c r="M565" i="4"/>
  <c r="N565" i="4" s="1"/>
  <c r="H565" i="4"/>
  <c r="Y573" i="4"/>
  <c r="M573" i="4"/>
  <c r="N573" i="4" s="1"/>
  <c r="H573" i="4"/>
  <c r="Y581" i="4"/>
  <c r="M581" i="4"/>
  <c r="N581" i="4" s="1"/>
  <c r="H581" i="4"/>
  <c r="Y589" i="4"/>
  <c r="M589" i="4"/>
  <c r="N589" i="4" s="1"/>
  <c r="H589" i="4"/>
  <c r="Y597" i="4"/>
  <c r="M597" i="4"/>
  <c r="N597" i="4" s="1"/>
  <c r="H597" i="4"/>
  <c r="Y605" i="4"/>
  <c r="M605" i="4"/>
  <c r="N605" i="4" s="1"/>
  <c r="H605" i="4"/>
  <c r="Y613" i="4"/>
  <c r="M613" i="4"/>
  <c r="N613" i="4" s="1"/>
  <c r="H613" i="4"/>
  <c r="Y621" i="4"/>
  <c r="M621" i="4"/>
  <c r="N621" i="4" s="1"/>
  <c r="H621" i="4"/>
  <c r="Y629" i="4"/>
  <c r="M629" i="4"/>
  <c r="N629" i="4" s="1"/>
  <c r="H629" i="4"/>
  <c r="M637" i="4"/>
  <c r="N637" i="4" s="1"/>
  <c r="H637" i="4"/>
  <c r="Y637" i="4"/>
  <c r="M645" i="4"/>
  <c r="N645" i="4" s="1"/>
  <c r="H645" i="4"/>
  <c r="Y645" i="4"/>
  <c r="M653" i="4"/>
  <c r="N653" i="4" s="1"/>
  <c r="H653" i="4"/>
  <c r="Y653" i="4"/>
  <c r="M661" i="4"/>
  <c r="N661" i="4" s="1"/>
  <c r="H661" i="4"/>
  <c r="Y661" i="4"/>
  <c r="H669" i="4"/>
  <c r="Y669" i="4"/>
  <c r="M669" i="4"/>
  <c r="N669" i="4" s="1"/>
  <c r="H677" i="4"/>
  <c r="Y677" i="4"/>
  <c r="M677" i="4"/>
  <c r="N677" i="4" s="1"/>
  <c r="Y685" i="4"/>
  <c r="M685" i="4"/>
  <c r="N685" i="4" s="1"/>
  <c r="H685" i="4"/>
  <c r="Y693" i="4"/>
  <c r="M693" i="4"/>
  <c r="N693" i="4" s="1"/>
  <c r="H693" i="4"/>
  <c r="M701" i="4"/>
  <c r="N701" i="4" s="1"/>
  <c r="H701" i="4"/>
  <c r="Y701" i="4"/>
  <c r="M711" i="4"/>
  <c r="N711" i="4" s="1"/>
  <c r="H711" i="4"/>
  <c r="Y711" i="4"/>
  <c r="M743" i="4"/>
  <c r="N743" i="4" s="1"/>
  <c r="H743" i="4"/>
  <c r="Y743" i="4"/>
  <c r="M775" i="4"/>
  <c r="N775" i="4" s="1"/>
  <c r="H775" i="4"/>
  <c r="Y775" i="4"/>
  <c r="M807" i="4"/>
  <c r="N807" i="4" s="1"/>
  <c r="H807" i="4"/>
  <c r="Y807" i="4"/>
  <c r="M839" i="4"/>
  <c r="N839" i="4" s="1"/>
  <c r="H839" i="4"/>
  <c r="Y839" i="4"/>
  <c r="M871" i="4"/>
  <c r="N871" i="4" s="1"/>
  <c r="H871" i="4"/>
  <c r="Y871" i="4"/>
  <c r="M903" i="4"/>
  <c r="N903" i="4" s="1"/>
  <c r="H903" i="4"/>
  <c r="Y903" i="4"/>
  <c r="M935" i="4"/>
  <c r="N935" i="4" s="1"/>
  <c r="H935" i="4"/>
  <c r="Y935" i="4"/>
  <c r="M967" i="4"/>
  <c r="N967" i="4" s="1"/>
  <c r="H967" i="4"/>
  <c r="Y967" i="4"/>
  <c r="M999" i="4"/>
  <c r="N999" i="4" s="1"/>
  <c r="H999" i="4"/>
  <c r="Y999" i="4"/>
  <c r="M1031" i="4"/>
  <c r="N1031" i="4" s="1"/>
  <c r="H1031" i="4"/>
  <c r="Y1031" i="4"/>
  <c r="M44" i="2"/>
  <c r="N44" i="2" s="1"/>
  <c r="H44" i="2"/>
  <c r="M76" i="2"/>
  <c r="N76" i="2" s="1"/>
  <c r="H76" i="2"/>
  <c r="Y8" i="3"/>
  <c r="H8" i="3"/>
  <c r="M8" i="3"/>
  <c r="N8" i="3" s="1"/>
  <c r="H42" i="3"/>
  <c r="M42" i="3"/>
  <c r="N42" i="3" s="1"/>
  <c r="Y42" i="3"/>
  <c r="H58" i="3"/>
  <c r="M58" i="3"/>
  <c r="N58" i="3" s="1"/>
  <c r="Y58" i="3"/>
  <c r="H74" i="3"/>
  <c r="M74" i="3"/>
  <c r="N74" i="3" s="1"/>
  <c r="Y74" i="3"/>
  <c r="H90" i="3"/>
  <c r="M90" i="3"/>
  <c r="N90" i="3" s="1"/>
  <c r="Y90" i="3"/>
  <c r="H1046" i="4"/>
  <c r="Y1046" i="4"/>
  <c r="M1046" i="4"/>
  <c r="N1046" i="4" s="1"/>
  <c r="M1683" i="4"/>
  <c r="N1683" i="4" s="1"/>
  <c r="H1683" i="4"/>
  <c r="Y1683" i="4"/>
  <c r="M1075" i="4"/>
  <c r="N1075" i="4" s="1"/>
  <c r="H1075" i="4"/>
  <c r="Y1075" i="4"/>
  <c r="H1107" i="4"/>
  <c r="Y1107" i="4"/>
  <c r="M1107" i="4"/>
  <c r="N1107" i="4" s="1"/>
  <c r="Y1139" i="4"/>
  <c r="H1139" i="4"/>
  <c r="M1139" i="4"/>
  <c r="N1139" i="4" s="1"/>
  <c r="Y1171" i="4"/>
  <c r="H1171" i="4"/>
  <c r="M1171" i="4"/>
  <c r="N1171" i="4" s="1"/>
  <c r="Y1203" i="4"/>
  <c r="M1203" i="4"/>
  <c r="N1203" i="4" s="1"/>
  <c r="H1203" i="4"/>
  <c r="H1235" i="4"/>
  <c r="Y1235" i="4"/>
  <c r="M1235" i="4"/>
  <c r="N1235" i="4" s="1"/>
  <c r="H1267" i="4"/>
  <c r="Y1267" i="4"/>
  <c r="M1267" i="4"/>
  <c r="N1267" i="4" s="1"/>
  <c r="Y1299" i="4"/>
  <c r="M1299" i="4"/>
  <c r="N1299" i="4" s="1"/>
  <c r="H1299" i="4"/>
  <c r="H1331" i="4"/>
  <c r="Y1331" i="4"/>
  <c r="M1331" i="4"/>
  <c r="N1331" i="4" s="1"/>
  <c r="Y1669" i="4"/>
  <c r="M1669" i="4"/>
  <c r="N1669" i="4" s="1"/>
  <c r="H1669" i="4"/>
  <c r="H1058" i="4"/>
  <c r="Y1058" i="4"/>
  <c r="M1058" i="4"/>
  <c r="N1058" i="4" s="1"/>
  <c r="H1090" i="4"/>
  <c r="Y1090" i="4"/>
  <c r="M1090" i="4"/>
  <c r="N1090" i="4" s="1"/>
  <c r="H1122" i="4"/>
  <c r="M1122" i="4"/>
  <c r="N1122" i="4" s="1"/>
  <c r="Y1122" i="4"/>
  <c r="M1154" i="4"/>
  <c r="N1154" i="4" s="1"/>
  <c r="Y1154" i="4"/>
  <c r="H1154" i="4"/>
  <c r="Y1186" i="4"/>
  <c r="M1186" i="4"/>
  <c r="N1186" i="4" s="1"/>
  <c r="H1186" i="4"/>
  <c r="Y1218" i="4"/>
  <c r="M1218" i="4"/>
  <c r="N1218" i="4" s="1"/>
  <c r="H1218" i="4"/>
  <c r="H1250" i="4"/>
  <c r="M1250" i="4"/>
  <c r="N1250" i="4" s="1"/>
  <c r="Y1250" i="4"/>
  <c r="Y1282" i="4"/>
  <c r="M1282" i="4"/>
  <c r="N1282" i="4" s="1"/>
  <c r="H1282" i="4"/>
  <c r="H1314" i="4"/>
  <c r="M1314" i="4"/>
  <c r="N1314" i="4" s="1"/>
  <c r="Y1314" i="4"/>
  <c r="Y1346" i="4"/>
  <c r="M1346" i="4"/>
  <c r="N1346" i="4" s="1"/>
  <c r="H1346" i="4"/>
  <c r="Y1618" i="4"/>
  <c r="M1618" i="4"/>
  <c r="N1618" i="4" s="1"/>
  <c r="H1618" i="4"/>
  <c r="Y1604" i="4"/>
  <c r="M1604" i="4"/>
  <c r="N1604" i="4" s="1"/>
  <c r="H1604" i="4"/>
  <c r="M1378" i="4"/>
  <c r="N1378" i="4" s="1"/>
  <c r="H1378" i="4"/>
  <c r="Y1378" i="4"/>
  <c r="Y1410" i="4"/>
  <c r="M1410" i="4"/>
  <c r="N1410" i="4" s="1"/>
  <c r="H1410" i="4"/>
  <c r="H1443" i="4"/>
  <c r="Y1443" i="4"/>
  <c r="M1443" i="4"/>
  <c r="N1443" i="4" s="1"/>
  <c r="Y1475" i="4"/>
  <c r="H1475" i="4"/>
  <c r="M1475" i="4"/>
  <c r="N1475" i="4" s="1"/>
  <c r="H1507" i="4"/>
  <c r="M1507" i="4"/>
  <c r="N1507" i="4" s="1"/>
  <c r="Y1507" i="4"/>
  <c r="Y1539" i="4"/>
  <c r="H1539" i="4"/>
  <c r="M1539" i="4"/>
  <c r="N1539" i="4" s="1"/>
  <c r="M1571" i="4"/>
  <c r="N1571" i="4" s="1"/>
  <c r="H1571" i="4"/>
  <c r="Y1571" i="4"/>
  <c r="Y1647" i="4"/>
  <c r="M1647" i="4"/>
  <c r="N1647" i="4" s="1"/>
  <c r="H1647" i="4"/>
  <c r="Y1690" i="4"/>
  <c r="M1690" i="4"/>
  <c r="N1690" i="4" s="1"/>
  <c r="H1690" i="4"/>
  <c r="Y1722" i="4"/>
  <c r="M1722" i="4"/>
  <c r="N1722" i="4" s="1"/>
  <c r="H1722" i="4"/>
  <c r="Y1754" i="4"/>
  <c r="M1754" i="4"/>
  <c r="N1754" i="4" s="1"/>
  <c r="H1754" i="4"/>
  <c r="Y1786" i="4"/>
  <c r="M1786" i="4"/>
  <c r="N1786" i="4" s="1"/>
  <c r="H1786" i="4"/>
  <c r="Y1818" i="4"/>
  <c r="M1818" i="4"/>
  <c r="N1818" i="4" s="1"/>
  <c r="H1818" i="4"/>
  <c r="Y1850" i="4"/>
  <c r="M1850" i="4"/>
  <c r="N1850" i="4" s="1"/>
  <c r="H1850" i="4"/>
  <c r="Y1882" i="4"/>
  <c r="M1882" i="4"/>
  <c r="N1882" i="4" s="1"/>
  <c r="H1882" i="4"/>
  <c r="H2002" i="4"/>
  <c r="M2002" i="4"/>
  <c r="N2002" i="4" s="1"/>
  <c r="Y2002" i="4"/>
  <c r="Y2096" i="4"/>
  <c r="H2096" i="4"/>
  <c r="M2096" i="4"/>
  <c r="N2096" i="4" s="1"/>
  <c r="Y2224" i="4"/>
  <c r="M2224" i="4"/>
  <c r="N2224" i="4" s="1"/>
  <c r="H2224" i="4"/>
  <c r="Y2091" i="4"/>
  <c r="M2091" i="4"/>
  <c r="N2091" i="4" s="1"/>
  <c r="H2091" i="4"/>
  <c r="Y2219" i="4"/>
  <c r="H2219" i="4"/>
  <c r="M2219" i="4"/>
  <c r="N2219" i="4" s="1"/>
  <c r="M1945" i="4"/>
  <c r="N1945" i="4" s="1"/>
  <c r="Y1945" i="4"/>
  <c r="H1945" i="4"/>
  <c r="H1891" i="4"/>
  <c r="Y1891" i="4"/>
  <c r="M1891" i="4"/>
  <c r="N1891" i="4" s="1"/>
  <c r="Y1958" i="4"/>
  <c r="H1958" i="4"/>
  <c r="M1958" i="4"/>
  <c r="N1958" i="4" s="1"/>
  <c r="Y2105" i="4"/>
  <c r="M2105" i="4"/>
  <c r="N2105" i="4" s="1"/>
  <c r="H2105" i="4"/>
  <c r="Y2233" i="4"/>
  <c r="M2233" i="4"/>
  <c r="N2233" i="4" s="1"/>
  <c r="H2233" i="4"/>
  <c r="Y712" i="4"/>
  <c r="M712" i="4"/>
  <c r="N712" i="4" s="1"/>
  <c r="H712" i="4"/>
  <c r="Y744" i="4"/>
  <c r="M744" i="4"/>
  <c r="N744" i="4" s="1"/>
  <c r="H744" i="4"/>
  <c r="Y776" i="4"/>
  <c r="M776" i="4"/>
  <c r="N776" i="4" s="1"/>
  <c r="H776" i="4"/>
  <c r="Y808" i="4"/>
  <c r="M808" i="4"/>
  <c r="N808" i="4" s="1"/>
  <c r="H808" i="4"/>
  <c r="Y840" i="4"/>
  <c r="M840" i="4"/>
  <c r="N840" i="4" s="1"/>
  <c r="H840" i="4"/>
  <c r="Y872" i="4"/>
  <c r="M872" i="4"/>
  <c r="N872" i="4" s="1"/>
  <c r="H872" i="4"/>
  <c r="Y904" i="4"/>
  <c r="M904" i="4"/>
  <c r="N904" i="4" s="1"/>
  <c r="H904" i="4"/>
  <c r="Y936" i="4"/>
  <c r="M936" i="4"/>
  <c r="N936" i="4" s="1"/>
  <c r="H936" i="4"/>
  <c r="Y968" i="4"/>
  <c r="M968" i="4"/>
  <c r="N968" i="4" s="1"/>
  <c r="H968" i="4"/>
  <c r="Y1000" i="4"/>
  <c r="M1000" i="4"/>
  <c r="N1000" i="4" s="1"/>
  <c r="H1000" i="4"/>
  <c r="Y1032" i="4"/>
  <c r="M1032" i="4"/>
  <c r="N1032" i="4" s="1"/>
  <c r="H1032" i="4"/>
  <c r="H224" i="4"/>
  <c r="M224" i="4"/>
  <c r="N224" i="4" s="1"/>
  <c r="Y224" i="4"/>
  <c r="H232" i="4"/>
  <c r="M232" i="4"/>
  <c r="N232" i="4" s="1"/>
  <c r="Y232" i="4"/>
  <c r="H240" i="4"/>
  <c r="M240" i="4"/>
  <c r="N240" i="4" s="1"/>
  <c r="Y240" i="4"/>
  <c r="H248" i="4"/>
  <c r="Y248" i="4"/>
  <c r="M248" i="4"/>
  <c r="N248" i="4" s="1"/>
  <c r="M256" i="4"/>
  <c r="N256" i="4" s="1"/>
  <c r="Y256" i="4"/>
  <c r="H256" i="4"/>
  <c r="H264" i="4"/>
  <c r="Y264" i="4"/>
  <c r="M264" i="4"/>
  <c r="N264" i="4" s="1"/>
  <c r="H272" i="4"/>
  <c r="Y272" i="4"/>
  <c r="M272" i="4"/>
  <c r="N272" i="4" s="1"/>
  <c r="H280" i="4"/>
  <c r="Y280" i="4"/>
  <c r="M280" i="4"/>
  <c r="N280" i="4" s="1"/>
  <c r="H288" i="4"/>
  <c r="Y288" i="4"/>
  <c r="M288" i="4"/>
  <c r="N288" i="4" s="1"/>
  <c r="H296" i="4"/>
  <c r="Y296" i="4"/>
  <c r="M296" i="4"/>
  <c r="N296" i="4" s="1"/>
  <c r="H304" i="4"/>
  <c r="Y304" i="4"/>
  <c r="M304" i="4"/>
  <c r="N304" i="4" s="1"/>
  <c r="H312" i="4"/>
  <c r="Y312" i="4"/>
  <c r="M312" i="4"/>
  <c r="N312" i="4" s="1"/>
  <c r="H320" i="4"/>
  <c r="Y320" i="4"/>
  <c r="M320" i="4"/>
  <c r="N320" i="4" s="1"/>
  <c r="H328" i="4"/>
  <c r="Y328" i="4"/>
  <c r="M328" i="4"/>
  <c r="N328" i="4" s="1"/>
  <c r="H336" i="4"/>
  <c r="Y336" i="4"/>
  <c r="M336" i="4"/>
  <c r="N336" i="4" s="1"/>
  <c r="M344" i="4"/>
  <c r="N344" i="4" s="1"/>
  <c r="Y344" i="4"/>
  <c r="H344" i="4"/>
  <c r="H352" i="4"/>
  <c r="Y352" i="4"/>
  <c r="M352" i="4"/>
  <c r="N352" i="4" s="1"/>
  <c r="H360" i="4"/>
  <c r="Y360" i="4"/>
  <c r="M360" i="4"/>
  <c r="N360" i="4" s="1"/>
  <c r="H368" i="4"/>
  <c r="Y368" i="4"/>
  <c r="M368" i="4"/>
  <c r="N368" i="4" s="1"/>
  <c r="H376" i="4"/>
  <c r="Y376" i="4"/>
  <c r="M376" i="4"/>
  <c r="N376" i="4" s="1"/>
  <c r="H384" i="4"/>
  <c r="Y384" i="4"/>
  <c r="M384" i="4"/>
  <c r="N384" i="4" s="1"/>
  <c r="H392" i="4"/>
  <c r="Y392" i="4"/>
  <c r="M392" i="4"/>
  <c r="N392" i="4" s="1"/>
  <c r="H400" i="4"/>
  <c r="Y400" i="4"/>
  <c r="M400" i="4"/>
  <c r="N400" i="4" s="1"/>
  <c r="H408" i="4"/>
  <c r="Y408" i="4"/>
  <c r="M408" i="4"/>
  <c r="N408" i="4" s="1"/>
  <c r="H416" i="4"/>
  <c r="Y416" i="4"/>
  <c r="M416" i="4"/>
  <c r="N416" i="4" s="1"/>
  <c r="H424" i="4"/>
  <c r="Y424" i="4"/>
  <c r="M424" i="4"/>
  <c r="N424" i="4" s="1"/>
  <c r="H432" i="4"/>
  <c r="Y432" i="4"/>
  <c r="M432" i="4"/>
  <c r="N432" i="4" s="1"/>
  <c r="H440" i="4"/>
  <c r="Y440" i="4"/>
  <c r="M440" i="4"/>
  <c r="N440" i="4" s="1"/>
  <c r="H448" i="4"/>
  <c r="Y448" i="4"/>
  <c r="M448" i="4"/>
  <c r="N448" i="4" s="1"/>
  <c r="H456" i="4"/>
  <c r="Y456" i="4"/>
  <c r="M456" i="4"/>
  <c r="N456" i="4" s="1"/>
  <c r="H464" i="4"/>
  <c r="Y464" i="4"/>
  <c r="M464" i="4"/>
  <c r="N464" i="4" s="1"/>
  <c r="H472" i="4"/>
  <c r="Y472" i="4"/>
  <c r="M472" i="4"/>
  <c r="N472" i="4" s="1"/>
  <c r="H480" i="4"/>
  <c r="Y480" i="4"/>
  <c r="M480" i="4"/>
  <c r="N480" i="4" s="1"/>
  <c r="H488" i="4"/>
  <c r="Y488" i="4"/>
  <c r="M488" i="4"/>
  <c r="N488" i="4" s="1"/>
  <c r="H496" i="4"/>
  <c r="Y496" i="4"/>
  <c r="M496" i="4"/>
  <c r="N496" i="4" s="1"/>
  <c r="H504" i="4"/>
  <c r="Y504" i="4"/>
  <c r="M504" i="4"/>
  <c r="N504" i="4" s="1"/>
  <c r="H512" i="4"/>
  <c r="Y512" i="4"/>
  <c r="M512" i="4"/>
  <c r="N512" i="4" s="1"/>
  <c r="H520" i="4"/>
  <c r="Y520" i="4"/>
  <c r="M520" i="4"/>
  <c r="N520" i="4" s="1"/>
  <c r="H528" i="4"/>
  <c r="Y528" i="4"/>
  <c r="M528" i="4"/>
  <c r="N528" i="4" s="1"/>
  <c r="M536" i="4"/>
  <c r="N536" i="4" s="1"/>
  <c r="H536" i="4"/>
  <c r="Y536" i="4"/>
  <c r="M544" i="4"/>
  <c r="N544" i="4" s="1"/>
  <c r="H544" i="4"/>
  <c r="Y544" i="4"/>
  <c r="M552" i="4"/>
  <c r="N552" i="4" s="1"/>
  <c r="H552" i="4"/>
  <c r="Y552" i="4"/>
  <c r="M560" i="4"/>
  <c r="N560" i="4" s="1"/>
  <c r="H560" i="4"/>
  <c r="Y560" i="4"/>
  <c r="Y568" i="4"/>
  <c r="H568" i="4"/>
  <c r="M568" i="4"/>
  <c r="N568" i="4" s="1"/>
  <c r="Y576" i="4"/>
  <c r="H576" i="4"/>
  <c r="M576" i="4"/>
  <c r="N576" i="4" s="1"/>
  <c r="Y584" i="4"/>
  <c r="H584" i="4"/>
  <c r="M584" i="4"/>
  <c r="N584" i="4" s="1"/>
  <c r="Y592" i="4"/>
  <c r="H592" i="4"/>
  <c r="M592" i="4"/>
  <c r="N592" i="4" s="1"/>
  <c r="Y600" i="4"/>
  <c r="H600" i="4"/>
  <c r="M600" i="4"/>
  <c r="N600" i="4" s="1"/>
  <c r="Y608" i="4"/>
  <c r="H608" i="4"/>
  <c r="M608" i="4"/>
  <c r="N608" i="4" s="1"/>
  <c r="Y616" i="4"/>
  <c r="H616" i="4"/>
  <c r="M616" i="4"/>
  <c r="N616" i="4" s="1"/>
  <c r="M624" i="4"/>
  <c r="N624" i="4" s="1"/>
  <c r="H624" i="4"/>
  <c r="Y624" i="4"/>
  <c r="M632" i="4"/>
  <c r="N632" i="4" s="1"/>
  <c r="H632" i="4"/>
  <c r="Y632" i="4"/>
  <c r="M640" i="4"/>
  <c r="N640" i="4" s="1"/>
  <c r="H640" i="4"/>
  <c r="Y640" i="4"/>
  <c r="M648" i="4"/>
  <c r="N648" i="4" s="1"/>
  <c r="H648" i="4"/>
  <c r="Y648" i="4"/>
  <c r="M656" i="4"/>
  <c r="N656" i="4" s="1"/>
  <c r="H656" i="4"/>
  <c r="Y656" i="4"/>
  <c r="M664" i="4"/>
  <c r="N664" i="4" s="1"/>
  <c r="H664" i="4"/>
  <c r="Y664" i="4"/>
  <c r="M672" i="4"/>
  <c r="N672" i="4" s="1"/>
  <c r="H672" i="4"/>
  <c r="Y672" i="4"/>
  <c r="M680" i="4"/>
  <c r="N680" i="4" s="1"/>
  <c r="H680" i="4"/>
  <c r="Y680" i="4"/>
  <c r="M688" i="4"/>
  <c r="N688" i="4" s="1"/>
  <c r="H688" i="4"/>
  <c r="Y688" i="4"/>
  <c r="M696" i="4"/>
  <c r="N696" i="4" s="1"/>
  <c r="H696" i="4"/>
  <c r="Y696" i="4"/>
  <c r="H715" i="4"/>
  <c r="Y715" i="4"/>
  <c r="M715" i="4"/>
  <c r="N715" i="4" s="1"/>
  <c r="H747" i="4"/>
  <c r="Y747" i="4"/>
  <c r="M747" i="4"/>
  <c r="N747" i="4" s="1"/>
  <c r="H779" i="4"/>
  <c r="Y779" i="4"/>
  <c r="M779" i="4"/>
  <c r="N779" i="4" s="1"/>
  <c r="H811" i="4"/>
  <c r="Y811" i="4"/>
  <c r="M811" i="4"/>
  <c r="N811" i="4" s="1"/>
  <c r="H843" i="4"/>
  <c r="Y843" i="4"/>
  <c r="M843" i="4"/>
  <c r="N843" i="4" s="1"/>
  <c r="H875" i="4"/>
  <c r="Y875" i="4"/>
  <c r="M875" i="4"/>
  <c r="N875" i="4" s="1"/>
  <c r="H907" i="4"/>
  <c r="Y907" i="4"/>
  <c r="M907" i="4"/>
  <c r="N907" i="4" s="1"/>
  <c r="H939" i="4"/>
  <c r="Y939" i="4"/>
  <c r="M939" i="4"/>
  <c r="N939" i="4" s="1"/>
  <c r="H971" i="4"/>
  <c r="Y971" i="4"/>
  <c r="M971" i="4"/>
  <c r="N971" i="4" s="1"/>
  <c r="H1003" i="4"/>
  <c r="Y1003" i="4"/>
  <c r="M1003" i="4"/>
  <c r="N1003" i="4" s="1"/>
  <c r="H1035" i="4"/>
  <c r="Y1035" i="4"/>
  <c r="M1035" i="4"/>
  <c r="N1035" i="4" s="1"/>
  <c r="M56" i="2"/>
  <c r="N56" i="2" s="1"/>
  <c r="H56" i="2"/>
  <c r="M88" i="2"/>
  <c r="N88" i="2" s="1"/>
  <c r="H88" i="2"/>
  <c r="Y20" i="3"/>
  <c r="H20" i="3"/>
  <c r="M20" i="3"/>
  <c r="N20" i="3" s="1"/>
  <c r="Y92" i="3"/>
  <c r="H92" i="3"/>
  <c r="M92" i="3"/>
  <c r="N92" i="3" s="1"/>
  <c r="M1045" i="4"/>
  <c r="N1045" i="4" s="1"/>
  <c r="H1045" i="4"/>
  <c r="Y1045" i="4"/>
  <c r="M106" i="3"/>
  <c r="N106" i="3" s="1"/>
  <c r="Y106" i="3"/>
  <c r="H106" i="3"/>
  <c r="M714" i="4"/>
  <c r="N714" i="4" s="1"/>
  <c r="Y714" i="4"/>
  <c r="H714" i="4"/>
  <c r="M746" i="4"/>
  <c r="N746" i="4" s="1"/>
  <c r="Y746" i="4"/>
  <c r="H746" i="4"/>
  <c r="M778" i="4"/>
  <c r="N778" i="4" s="1"/>
  <c r="Y778" i="4"/>
  <c r="H778" i="4"/>
  <c r="M810" i="4"/>
  <c r="N810" i="4" s="1"/>
  <c r="Y810" i="4"/>
  <c r="H810" i="4"/>
  <c r="M842" i="4"/>
  <c r="N842" i="4" s="1"/>
  <c r="Y842" i="4"/>
  <c r="H842" i="4"/>
  <c r="M874" i="4"/>
  <c r="N874" i="4" s="1"/>
  <c r="Y874" i="4"/>
  <c r="H874" i="4"/>
  <c r="M906" i="4"/>
  <c r="N906" i="4" s="1"/>
  <c r="Y906" i="4"/>
  <c r="H906" i="4"/>
  <c r="M938" i="4"/>
  <c r="N938" i="4" s="1"/>
  <c r="Y938" i="4"/>
  <c r="H938" i="4"/>
  <c r="M970" i="4"/>
  <c r="N970" i="4" s="1"/>
  <c r="Y970" i="4"/>
  <c r="H970" i="4"/>
  <c r="M1002" i="4"/>
  <c r="N1002" i="4" s="1"/>
  <c r="Y1002" i="4"/>
  <c r="H1002" i="4"/>
  <c r="M1034" i="4"/>
  <c r="N1034" i="4" s="1"/>
  <c r="Y1034" i="4"/>
  <c r="H1034" i="4"/>
  <c r="M112" i="3"/>
  <c r="N112" i="3" s="1"/>
  <c r="Y112" i="3"/>
  <c r="H112" i="3"/>
  <c r="M120" i="3"/>
  <c r="N120" i="3" s="1"/>
  <c r="Y120" i="3"/>
  <c r="H120" i="3"/>
  <c r="M128" i="3"/>
  <c r="N128" i="3" s="1"/>
  <c r="Y128" i="3"/>
  <c r="H128" i="3"/>
  <c r="M136" i="3"/>
  <c r="N136" i="3" s="1"/>
  <c r="Y136" i="3"/>
  <c r="H136" i="3"/>
  <c r="M144" i="3"/>
  <c r="N144" i="3" s="1"/>
  <c r="Y144" i="3"/>
  <c r="H144" i="3"/>
  <c r="M2" i="4"/>
  <c r="N2" i="4" s="1"/>
  <c r="Y2" i="4"/>
  <c r="H2" i="4"/>
  <c r="M10" i="4"/>
  <c r="N10" i="4" s="1"/>
  <c r="Y10" i="4"/>
  <c r="H10" i="4"/>
  <c r="M18" i="4"/>
  <c r="N18" i="4" s="1"/>
  <c r="Y18" i="4"/>
  <c r="H18" i="4"/>
  <c r="M26" i="4"/>
  <c r="N26" i="4" s="1"/>
  <c r="Y26" i="4"/>
  <c r="H26" i="4"/>
  <c r="M34" i="4"/>
  <c r="N34" i="4" s="1"/>
  <c r="Y34" i="4"/>
  <c r="H34" i="4"/>
  <c r="M42" i="4"/>
  <c r="N42" i="4" s="1"/>
  <c r="Y42" i="4"/>
  <c r="H42" i="4"/>
  <c r="M50" i="4"/>
  <c r="N50" i="4" s="1"/>
  <c r="Y50" i="4"/>
  <c r="H50" i="4"/>
  <c r="M58" i="4"/>
  <c r="N58" i="4" s="1"/>
  <c r="Y58" i="4"/>
  <c r="H58" i="4"/>
  <c r="M66" i="4"/>
  <c r="N66" i="4" s="1"/>
  <c r="Y66" i="4"/>
  <c r="H66" i="4"/>
  <c r="M74" i="4"/>
  <c r="N74" i="4" s="1"/>
  <c r="Y74" i="4"/>
  <c r="H74" i="4"/>
  <c r="M82" i="4"/>
  <c r="N82" i="4" s="1"/>
  <c r="Y82" i="4"/>
  <c r="H82" i="4"/>
  <c r="M90" i="4"/>
  <c r="N90" i="4" s="1"/>
  <c r="Y90" i="4"/>
  <c r="H90" i="4"/>
  <c r="M98" i="4"/>
  <c r="N98" i="4" s="1"/>
  <c r="Y98" i="4"/>
  <c r="H98" i="4"/>
  <c r="M106" i="4"/>
  <c r="N106" i="4" s="1"/>
  <c r="Y106" i="4"/>
  <c r="H106" i="4"/>
  <c r="M114" i="4"/>
  <c r="N114" i="4" s="1"/>
  <c r="Y114" i="4"/>
  <c r="H114" i="4"/>
  <c r="M122" i="4"/>
  <c r="N122" i="4" s="1"/>
  <c r="Y122" i="4"/>
  <c r="H122" i="4"/>
  <c r="M130" i="4"/>
  <c r="N130" i="4" s="1"/>
  <c r="Y130" i="4"/>
  <c r="H130" i="4"/>
  <c r="M138" i="4"/>
  <c r="N138" i="4" s="1"/>
  <c r="Y138" i="4"/>
  <c r="H138" i="4"/>
  <c r="M146" i="4"/>
  <c r="N146" i="4" s="1"/>
  <c r="Y146" i="4"/>
  <c r="H146" i="4"/>
  <c r="M154" i="4"/>
  <c r="N154" i="4" s="1"/>
  <c r="Y154" i="4"/>
  <c r="H154" i="4"/>
  <c r="M162" i="4"/>
  <c r="N162" i="4" s="1"/>
  <c r="Y162" i="4"/>
  <c r="H162" i="4"/>
  <c r="M170" i="4"/>
  <c r="N170" i="4" s="1"/>
  <c r="Y170" i="4"/>
  <c r="H170" i="4"/>
  <c r="M178" i="4"/>
  <c r="N178" i="4" s="1"/>
  <c r="Y178" i="4"/>
  <c r="H178" i="4"/>
  <c r="M186" i="4"/>
  <c r="N186" i="4" s="1"/>
  <c r="Y186" i="4"/>
  <c r="H186" i="4"/>
  <c r="M194" i="4"/>
  <c r="N194" i="4" s="1"/>
  <c r="Y194" i="4"/>
  <c r="H194" i="4"/>
  <c r="M202" i="4"/>
  <c r="N202" i="4" s="1"/>
  <c r="Y202" i="4"/>
  <c r="H202" i="4"/>
  <c r="M210" i="4"/>
  <c r="N210" i="4" s="1"/>
  <c r="Y210" i="4"/>
  <c r="H210" i="4"/>
  <c r="M717" i="4"/>
  <c r="N717" i="4" s="1"/>
  <c r="H717" i="4"/>
  <c r="Y717" i="4"/>
  <c r="Y749" i="4"/>
  <c r="M749" i="4"/>
  <c r="N749" i="4" s="1"/>
  <c r="H749" i="4"/>
  <c r="M781" i="4"/>
  <c r="N781" i="4" s="1"/>
  <c r="H781" i="4"/>
  <c r="Y781" i="4"/>
  <c r="Y813" i="4"/>
  <c r="M813" i="4"/>
  <c r="N813" i="4" s="1"/>
  <c r="H813" i="4"/>
  <c r="M845" i="4"/>
  <c r="N845" i="4" s="1"/>
  <c r="H845" i="4"/>
  <c r="Y845" i="4"/>
  <c r="Y877" i="4"/>
  <c r="M877" i="4"/>
  <c r="N877" i="4" s="1"/>
  <c r="H877" i="4"/>
  <c r="M909" i="4"/>
  <c r="N909" i="4" s="1"/>
  <c r="H909" i="4"/>
  <c r="Y909" i="4"/>
  <c r="Y941" i="4"/>
  <c r="M941" i="4"/>
  <c r="N941" i="4" s="1"/>
  <c r="H941" i="4"/>
  <c r="M973" i="4"/>
  <c r="N973" i="4" s="1"/>
  <c r="H973" i="4"/>
  <c r="Y973" i="4"/>
  <c r="Y1005" i="4"/>
  <c r="M1005" i="4"/>
  <c r="N1005" i="4" s="1"/>
  <c r="H1005" i="4"/>
  <c r="M1037" i="4"/>
  <c r="N1037" i="4" s="1"/>
  <c r="H1037" i="4"/>
  <c r="Y1037" i="4"/>
  <c r="Y732" i="4"/>
  <c r="M732" i="4"/>
  <c r="N732" i="4" s="1"/>
  <c r="H732" i="4"/>
  <c r="Y764" i="4"/>
  <c r="M764" i="4"/>
  <c r="N764" i="4" s="1"/>
  <c r="H764" i="4"/>
  <c r="Y796" i="4"/>
  <c r="M796" i="4"/>
  <c r="N796" i="4" s="1"/>
  <c r="H796" i="4"/>
  <c r="Y828" i="4"/>
  <c r="M828" i="4"/>
  <c r="N828" i="4" s="1"/>
  <c r="H828" i="4"/>
  <c r="Y860" i="4"/>
  <c r="M860" i="4"/>
  <c r="N860" i="4" s="1"/>
  <c r="H860" i="4"/>
  <c r="Y892" i="4"/>
  <c r="M892" i="4"/>
  <c r="N892" i="4" s="1"/>
  <c r="H892" i="4"/>
  <c r="Y924" i="4"/>
  <c r="M924" i="4"/>
  <c r="N924" i="4" s="1"/>
  <c r="H924" i="4"/>
  <c r="Y956" i="4"/>
  <c r="M956" i="4"/>
  <c r="N956" i="4" s="1"/>
  <c r="H956" i="4"/>
  <c r="Y988" i="4"/>
  <c r="M988" i="4"/>
  <c r="N988" i="4" s="1"/>
  <c r="H988" i="4"/>
  <c r="Y1020" i="4"/>
  <c r="M1020" i="4"/>
  <c r="N1020" i="4" s="1"/>
  <c r="H1020" i="4"/>
  <c r="Y223" i="4"/>
  <c r="M223" i="4"/>
  <c r="N223" i="4" s="1"/>
  <c r="H223" i="4"/>
  <c r="Y231" i="4"/>
  <c r="M231" i="4"/>
  <c r="N231" i="4" s="1"/>
  <c r="H231" i="4"/>
  <c r="Y239" i="4"/>
  <c r="M239" i="4"/>
  <c r="N239" i="4" s="1"/>
  <c r="H239" i="4"/>
  <c r="M247" i="4"/>
  <c r="N247" i="4" s="1"/>
  <c r="H247" i="4"/>
  <c r="Y247" i="4"/>
  <c r="M255" i="4"/>
  <c r="N255" i="4" s="1"/>
  <c r="H255" i="4"/>
  <c r="Y255" i="4"/>
  <c r="M263" i="4"/>
  <c r="N263" i="4" s="1"/>
  <c r="H263" i="4"/>
  <c r="Y263" i="4"/>
  <c r="H271" i="4"/>
  <c r="M271" i="4"/>
  <c r="N271" i="4" s="1"/>
  <c r="Y271" i="4"/>
  <c r="H279" i="4"/>
  <c r="M279" i="4"/>
  <c r="N279" i="4" s="1"/>
  <c r="Y279" i="4"/>
  <c r="H287" i="4"/>
  <c r="M287" i="4"/>
  <c r="N287" i="4" s="1"/>
  <c r="Y287" i="4"/>
  <c r="M295" i="4"/>
  <c r="N295" i="4" s="1"/>
  <c r="H295" i="4"/>
  <c r="Y295" i="4"/>
  <c r="M303" i="4"/>
  <c r="N303" i="4" s="1"/>
  <c r="H303" i="4"/>
  <c r="Y303" i="4"/>
  <c r="M311" i="4"/>
  <c r="N311" i="4" s="1"/>
  <c r="H311" i="4"/>
  <c r="Y311" i="4"/>
  <c r="H319" i="4"/>
  <c r="M319" i="4"/>
  <c r="N319" i="4" s="1"/>
  <c r="Y319" i="4"/>
  <c r="H327" i="4"/>
  <c r="M327" i="4"/>
  <c r="N327" i="4" s="1"/>
  <c r="Y327" i="4"/>
  <c r="M335" i="4"/>
  <c r="N335" i="4" s="1"/>
  <c r="H335" i="4"/>
  <c r="Y335" i="4"/>
  <c r="H343" i="4"/>
  <c r="M343" i="4"/>
  <c r="N343" i="4" s="1"/>
  <c r="Y343" i="4"/>
  <c r="H351" i="4"/>
  <c r="M351" i="4"/>
  <c r="N351" i="4" s="1"/>
  <c r="Y351" i="4"/>
  <c r="M359" i="4"/>
  <c r="N359" i="4" s="1"/>
  <c r="H359" i="4"/>
  <c r="Y359" i="4"/>
  <c r="M367" i="4"/>
  <c r="N367" i="4" s="1"/>
  <c r="H367" i="4"/>
  <c r="Y367" i="4"/>
  <c r="M375" i="4"/>
  <c r="N375" i="4" s="1"/>
  <c r="H375" i="4"/>
  <c r="Y375" i="4"/>
  <c r="M383" i="4"/>
  <c r="N383" i="4" s="1"/>
  <c r="H383" i="4"/>
  <c r="Y383" i="4"/>
  <c r="M391" i="4"/>
  <c r="N391" i="4" s="1"/>
  <c r="H391" i="4"/>
  <c r="Y391" i="4"/>
  <c r="M399" i="4"/>
  <c r="N399" i="4" s="1"/>
  <c r="H399" i="4"/>
  <c r="Y399" i="4"/>
  <c r="M407" i="4"/>
  <c r="N407" i="4" s="1"/>
  <c r="H407" i="4"/>
  <c r="Y407" i="4"/>
  <c r="M415" i="4"/>
  <c r="N415" i="4" s="1"/>
  <c r="H415" i="4"/>
  <c r="Y415" i="4"/>
  <c r="M423" i="4"/>
  <c r="N423" i="4" s="1"/>
  <c r="H423" i="4"/>
  <c r="Y423" i="4"/>
  <c r="M431" i="4"/>
  <c r="N431" i="4" s="1"/>
  <c r="H431" i="4"/>
  <c r="Y431" i="4"/>
  <c r="M439" i="4"/>
  <c r="N439" i="4" s="1"/>
  <c r="H439" i="4"/>
  <c r="Y439" i="4"/>
  <c r="M447" i="4"/>
  <c r="N447" i="4" s="1"/>
  <c r="H447" i="4"/>
  <c r="Y447" i="4"/>
  <c r="M455" i="4"/>
  <c r="N455" i="4" s="1"/>
  <c r="H455" i="4"/>
  <c r="Y455" i="4"/>
  <c r="M463" i="4"/>
  <c r="N463" i="4" s="1"/>
  <c r="H463" i="4"/>
  <c r="Y463" i="4"/>
  <c r="M471" i="4"/>
  <c r="N471" i="4" s="1"/>
  <c r="H471" i="4"/>
  <c r="Y471" i="4"/>
  <c r="M479" i="4"/>
  <c r="N479" i="4" s="1"/>
  <c r="H479" i="4"/>
  <c r="Y479" i="4"/>
  <c r="M487" i="4"/>
  <c r="N487" i="4" s="1"/>
  <c r="H487" i="4"/>
  <c r="Y487" i="4"/>
  <c r="M495" i="4"/>
  <c r="N495" i="4" s="1"/>
  <c r="H495" i="4"/>
  <c r="Y495" i="4"/>
  <c r="M503" i="4"/>
  <c r="N503" i="4" s="1"/>
  <c r="H503" i="4"/>
  <c r="Y503" i="4"/>
  <c r="M511" i="4"/>
  <c r="N511" i="4" s="1"/>
  <c r="H511" i="4"/>
  <c r="Y511" i="4"/>
  <c r="M519" i="4"/>
  <c r="N519" i="4" s="1"/>
  <c r="H519" i="4"/>
  <c r="Y519" i="4"/>
  <c r="M527" i="4"/>
  <c r="N527" i="4" s="1"/>
  <c r="H527" i="4"/>
  <c r="Y527" i="4"/>
  <c r="H535" i="4"/>
  <c r="M535" i="4"/>
  <c r="N535" i="4" s="1"/>
  <c r="Y535" i="4"/>
  <c r="H543" i="4"/>
  <c r="M543" i="4"/>
  <c r="N543" i="4" s="1"/>
  <c r="Y543" i="4"/>
  <c r="Y551" i="4"/>
  <c r="H551" i="4"/>
  <c r="M551" i="4"/>
  <c r="N551" i="4" s="1"/>
  <c r="H559" i="4"/>
  <c r="M559" i="4"/>
  <c r="N559" i="4" s="1"/>
  <c r="Y559" i="4"/>
  <c r="Y567" i="4"/>
  <c r="H567" i="4"/>
  <c r="M567" i="4"/>
  <c r="N567" i="4" s="1"/>
  <c r="M575" i="4"/>
  <c r="N575" i="4" s="1"/>
  <c r="Y575" i="4"/>
  <c r="H575" i="4"/>
  <c r="H583" i="4"/>
  <c r="M583" i="4"/>
  <c r="N583" i="4" s="1"/>
  <c r="Y583" i="4"/>
  <c r="Y591" i="4"/>
  <c r="M591" i="4"/>
  <c r="N591" i="4" s="1"/>
  <c r="H591" i="4"/>
  <c r="H599" i="4"/>
  <c r="Y599" i="4"/>
  <c r="M599" i="4"/>
  <c r="N599" i="4" s="1"/>
  <c r="M607" i="4"/>
  <c r="N607" i="4" s="1"/>
  <c r="Y607" i="4"/>
  <c r="H607" i="4"/>
  <c r="Y615" i="4"/>
  <c r="H615" i="4"/>
  <c r="M615" i="4"/>
  <c r="N615" i="4" s="1"/>
  <c r="H623" i="4"/>
  <c r="Y623" i="4"/>
  <c r="M623" i="4"/>
  <c r="N623" i="4" s="1"/>
  <c r="Y631" i="4"/>
  <c r="M631" i="4"/>
  <c r="N631" i="4" s="1"/>
  <c r="H631" i="4"/>
  <c r="H639" i="4"/>
  <c r="Y639" i="4"/>
  <c r="M639" i="4"/>
  <c r="N639" i="4" s="1"/>
  <c r="Y647" i="4"/>
  <c r="M647" i="4"/>
  <c r="N647" i="4" s="1"/>
  <c r="H647" i="4"/>
  <c r="H655" i="4"/>
  <c r="Y655" i="4"/>
  <c r="M655" i="4"/>
  <c r="N655" i="4" s="1"/>
  <c r="Y663" i="4"/>
  <c r="M663" i="4"/>
  <c r="N663" i="4" s="1"/>
  <c r="H663" i="4"/>
  <c r="H671" i="4"/>
  <c r="Y671" i="4"/>
  <c r="M671" i="4"/>
  <c r="N671" i="4" s="1"/>
  <c r="Y679" i="4"/>
  <c r="M679" i="4"/>
  <c r="N679" i="4" s="1"/>
  <c r="H679" i="4"/>
  <c r="H687" i="4"/>
  <c r="Y687" i="4"/>
  <c r="M687" i="4"/>
  <c r="N687" i="4" s="1"/>
  <c r="Y695" i="4"/>
  <c r="M695" i="4"/>
  <c r="N695" i="4" s="1"/>
  <c r="H695" i="4"/>
  <c r="H703" i="4"/>
  <c r="Y703" i="4"/>
  <c r="M703" i="4"/>
  <c r="N703" i="4" s="1"/>
  <c r="H735" i="4"/>
  <c r="Y735" i="4"/>
  <c r="M735" i="4"/>
  <c r="N735" i="4" s="1"/>
  <c r="H767" i="4"/>
  <c r="Y767" i="4"/>
  <c r="M767" i="4"/>
  <c r="N767" i="4" s="1"/>
  <c r="H799" i="4"/>
  <c r="Y799" i="4"/>
  <c r="M799" i="4"/>
  <c r="N799" i="4" s="1"/>
  <c r="H831" i="4"/>
  <c r="Y831" i="4"/>
  <c r="M831" i="4"/>
  <c r="N831" i="4" s="1"/>
  <c r="H863" i="4"/>
  <c r="Y863" i="4"/>
  <c r="M863" i="4"/>
  <c r="N863" i="4" s="1"/>
  <c r="H895" i="4"/>
  <c r="Y895" i="4"/>
  <c r="M895" i="4"/>
  <c r="N895" i="4" s="1"/>
  <c r="H927" i="4"/>
  <c r="Y927" i="4"/>
  <c r="M927" i="4"/>
  <c r="N927" i="4" s="1"/>
  <c r="H959" i="4"/>
  <c r="Y959" i="4"/>
  <c r="M959" i="4"/>
  <c r="N959" i="4" s="1"/>
  <c r="H991" i="4"/>
  <c r="Y991" i="4"/>
  <c r="M991" i="4"/>
  <c r="N991" i="4" s="1"/>
  <c r="H1023" i="4"/>
  <c r="Y1023" i="4"/>
  <c r="M1023" i="4"/>
  <c r="N1023" i="4" s="1"/>
  <c r="M68" i="2"/>
  <c r="N68" i="2" s="1"/>
  <c r="H68" i="2"/>
  <c r="M100" i="2"/>
  <c r="N100" i="2" s="1"/>
  <c r="H100" i="2"/>
  <c r="Y32" i="3"/>
  <c r="H32" i="3"/>
  <c r="M32" i="3"/>
  <c r="N32" i="3" s="1"/>
  <c r="M46" i="3"/>
  <c r="N46" i="3" s="1"/>
  <c r="Y46" i="3"/>
  <c r="H46" i="3"/>
  <c r="M62" i="3"/>
  <c r="N62" i="3" s="1"/>
  <c r="Y62" i="3"/>
  <c r="H62" i="3"/>
  <c r="M78" i="3"/>
  <c r="N78" i="3" s="1"/>
  <c r="Y78" i="3"/>
  <c r="H78" i="3"/>
  <c r="M96" i="3"/>
  <c r="N96" i="3" s="1"/>
  <c r="Y96" i="3"/>
  <c r="H96" i="3"/>
  <c r="H99" i="3"/>
  <c r="M99" i="3"/>
  <c r="N99" i="3" s="1"/>
  <c r="Y99" i="3"/>
  <c r="Y1051" i="4"/>
  <c r="M1051" i="4"/>
  <c r="N1051" i="4" s="1"/>
  <c r="H1051" i="4"/>
  <c r="Y1083" i="4"/>
  <c r="M1083" i="4"/>
  <c r="N1083" i="4" s="1"/>
  <c r="H1083" i="4"/>
  <c r="H1115" i="4"/>
  <c r="M1115" i="4"/>
  <c r="N1115" i="4" s="1"/>
  <c r="Y1115" i="4"/>
  <c r="Y1147" i="4"/>
  <c r="H1147" i="4"/>
  <c r="M1147" i="4"/>
  <c r="N1147" i="4" s="1"/>
  <c r="H1179" i="4"/>
  <c r="M1179" i="4"/>
  <c r="N1179" i="4" s="1"/>
  <c r="Y1179" i="4"/>
  <c r="Y1211" i="4"/>
  <c r="H1211" i="4"/>
  <c r="M1211" i="4"/>
  <c r="N1211" i="4" s="1"/>
  <c r="Y1243" i="4"/>
  <c r="H1243" i="4"/>
  <c r="M1243" i="4"/>
  <c r="N1243" i="4" s="1"/>
  <c r="Y1275" i="4"/>
  <c r="M1275" i="4"/>
  <c r="N1275" i="4" s="1"/>
  <c r="H1275" i="4"/>
  <c r="H1307" i="4"/>
  <c r="M1307" i="4"/>
  <c r="N1307" i="4" s="1"/>
  <c r="Y1307" i="4"/>
  <c r="H1339" i="4"/>
  <c r="M1339" i="4"/>
  <c r="N1339" i="4" s="1"/>
  <c r="Y1339" i="4"/>
  <c r="Y1637" i="4"/>
  <c r="M1637" i="4"/>
  <c r="N1637" i="4" s="1"/>
  <c r="H1637" i="4"/>
  <c r="Y1680" i="4"/>
  <c r="H1680" i="4"/>
  <c r="M1680" i="4"/>
  <c r="N1680" i="4" s="1"/>
  <c r="Y1066" i="4"/>
  <c r="H1066" i="4"/>
  <c r="M1066" i="4"/>
  <c r="N1066" i="4" s="1"/>
  <c r="M1098" i="4"/>
  <c r="N1098" i="4" s="1"/>
  <c r="Y1098" i="4"/>
  <c r="H1098" i="4"/>
  <c r="M1130" i="4"/>
  <c r="N1130" i="4" s="1"/>
  <c r="Y1130" i="4"/>
  <c r="H1130" i="4"/>
  <c r="M1162" i="4"/>
  <c r="N1162" i="4" s="1"/>
  <c r="Y1162" i="4"/>
  <c r="H1162" i="4"/>
  <c r="H1194" i="4"/>
  <c r="M1194" i="4"/>
  <c r="N1194" i="4" s="1"/>
  <c r="Y1194" i="4"/>
  <c r="M1226" i="4"/>
  <c r="N1226" i="4" s="1"/>
  <c r="Y1226" i="4"/>
  <c r="H1226" i="4"/>
  <c r="M1258" i="4"/>
  <c r="N1258" i="4" s="1"/>
  <c r="Y1258" i="4"/>
  <c r="H1258" i="4"/>
  <c r="M1290" i="4"/>
  <c r="N1290" i="4" s="1"/>
  <c r="Y1290" i="4"/>
  <c r="H1290" i="4"/>
  <c r="H1322" i="4"/>
  <c r="Y1322" i="4"/>
  <c r="M1322" i="4"/>
  <c r="N1322" i="4" s="1"/>
  <c r="M1354" i="4"/>
  <c r="N1354" i="4" s="1"/>
  <c r="H1354" i="4"/>
  <c r="Y1354" i="4"/>
  <c r="M1657" i="4"/>
  <c r="N1657" i="4" s="1"/>
  <c r="Y1657" i="4"/>
  <c r="H1657" i="4"/>
  <c r="Y1386" i="4"/>
  <c r="M1386" i="4"/>
  <c r="N1386" i="4" s="1"/>
  <c r="H1386" i="4"/>
  <c r="H1418" i="4"/>
  <c r="Y1418" i="4"/>
  <c r="M1418" i="4"/>
  <c r="N1418" i="4" s="1"/>
  <c r="M1451" i="4"/>
  <c r="N1451" i="4" s="1"/>
  <c r="H1451" i="4"/>
  <c r="Y1451" i="4"/>
  <c r="Y1483" i="4"/>
  <c r="M1483" i="4"/>
  <c r="N1483" i="4" s="1"/>
  <c r="H1483" i="4"/>
  <c r="Y1515" i="4"/>
  <c r="M1515" i="4"/>
  <c r="N1515" i="4" s="1"/>
  <c r="H1515" i="4"/>
  <c r="Y1547" i="4"/>
  <c r="M1547" i="4"/>
  <c r="N1547" i="4" s="1"/>
  <c r="H1547" i="4"/>
  <c r="Y1579" i="4"/>
  <c r="M1579" i="4"/>
  <c r="N1579" i="4" s="1"/>
  <c r="H1579" i="4"/>
  <c r="Y1615" i="4"/>
  <c r="M1615" i="4"/>
  <c r="N1615" i="4" s="1"/>
  <c r="H1615" i="4"/>
  <c r="Y1935" i="4"/>
  <c r="M1935" i="4"/>
  <c r="N1935" i="4" s="1"/>
  <c r="H1935" i="4"/>
  <c r="Y1698" i="4"/>
  <c r="M1698" i="4"/>
  <c r="N1698" i="4" s="1"/>
  <c r="H1698" i="4"/>
  <c r="Y1730" i="4"/>
  <c r="M1730" i="4"/>
  <c r="N1730" i="4" s="1"/>
  <c r="H1730" i="4"/>
  <c r="Y1762" i="4"/>
  <c r="M1762" i="4"/>
  <c r="N1762" i="4" s="1"/>
  <c r="H1762" i="4"/>
  <c r="Y1794" i="4"/>
  <c r="M1794" i="4"/>
  <c r="N1794" i="4" s="1"/>
  <c r="H1794" i="4"/>
  <c r="Y1826" i="4"/>
  <c r="M1826" i="4"/>
  <c r="N1826" i="4" s="1"/>
  <c r="H1826" i="4"/>
  <c r="Y1858" i="4"/>
  <c r="M1858" i="4"/>
  <c r="N1858" i="4" s="1"/>
  <c r="H1858" i="4"/>
  <c r="Y1890" i="4"/>
  <c r="M1890" i="4"/>
  <c r="N1890" i="4" s="1"/>
  <c r="H1890" i="4"/>
  <c r="M1954" i="4"/>
  <c r="N1954" i="4" s="1"/>
  <c r="H1954" i="4"/>
  <c r="Y1954" i="4"/>
  <c r="H2255" i="4"/>
  <c r="M2255" i="4"/>
  <c r="N2255" i="4" s="1"/>
  <c r="Y2255" i="4"/>
  <c r="Y2128" i="4"/>
  <c r="H2128" i="4"/>
  <c r="M2128" i="4"/>
  <c r="N2128" i="4" s="1"/>
  <c r="H2789" i="4"/>
  <c r="Y2789" i="4"/>
  <c r="M2789" i="4"/>
  <c r="N2789" i="4" s="1"/>
  <c r="Y2123" i="4"/>
  <c r="M2123" i="4"/>
  <c r="N2123" i="4" s="1"/>
  <c r="H2123" i="4"/>
  <c r="Y2251" i="4"/>
  <c r="H2251" i="4"/>
  <c r="M2251" i="4"/>
  <c r="N2251" i="4" s="1"/>
  <c r="H1907" i="4"/>
  <c r="Y1907" i="4"/>
  <c r="M1907" i="4"/>
  <c r="N1907" i="4" s="1"/>
  <c r="Y2137" i="4"/>
  <c r="M2137" i="4"/>
  <c r="N2137" i="4" s="1"/>
  <c r="H2137" i="4"/>
  <c r="Y704" i="4"/>
  <c r="M704" i="4"/>
  <c r="N704" i="4" s="1"/>
  <c r="H704" i="4"/>
  <c r="Y736" i="4"/>
  <c r="M736" i="4"/>
  <c r="N736" i="4" s="1"/>
  <c r="H736" i="4"/>
  <c r="Y768" i="4"/>
  <c r="M768" i="4"/>
  <c r="N768" i="4" s="1"/>
  <c r="H768" i="4"/>
  <c r="Y800" i="4"/>
  <c r="M800" i="4"/>
  <c r="N800" i="4" s="1"/>
  <c r="H800" i="4"/>
  <c r="Y832" i="4"/>
  <c r="M832" i="4"/>
  <c r="N832" i="4" s="1"/>
  <c r="H832" i="4"/>
  <c r="Y864" i="4"/>
  <c r="M864" i="4"/>
  <c r="N864" i="4" s="1"/>
  <c r="H864" i="4"/>
  <c r="Y896" i="4"/>
  <c r="M896" i="4"/>
  <c r="N896" i="4" s="1"/>
  <c r="H896" i="4"/>
  <c r="Y928" i="4"/>
  <c r="M928" i="4"/>
  <c r="N928" i="4" s="1"/>
  <c r="H928" i="4"/>
  <c r="Y960" i="4"/>
  <c r="M960" i="4"/>
  <c r="N960" i="4" s="1"/>
  <c r="H960" i="4"/>
  <c r="Y992" i="4"/>
  <c r="M992" i="4"/>
  <c r="N992" i="4" s="1"/>
  <c r="H992" i="4"/>
  <c r="Y1024" i="4"/>
  <c r="M1024" i="4"/>
  <c r="N1024" i="4" s="1"/>
  <c r="H1024" i="4"/>
  <c r="M218" i="4"/>
  <c r="N218" i="4" s="1"/>
  <c r="Y218" i="4"/>
  <c r="H218" i="4"/>
  <c r="M226" i="4"/>
  <c r="N226" i="4" s="1"/>
  <c r="Y226" i="4"/>
  <c r="H226" i="4"/>
  <c r="M234" i="4"/>
  <c r="N234" i="4" s="1"/>
  <c r="Y234" i="4"/>
  <c r="H234" i="4"/>
  <c r="M242" i="4"/>
  <c r="N242" i="4" s="1"/>
  <c r="Y242" i="4"/>
  <c r="H242" i="4"/>
  <c r="H250" i="4"/>
  <c r="Y250" i="4"/>
  <c r="M250" i="4"/>
  <c r="N250" i="4" s="1"/>
  <c r="H258" i="4"/>
  <c r="Y258" i="4"/>
  <c r="M258" i="4"/>
  <c r="N258" i="4" s="1"/>
  <c r="H266" i="4"/>
  <c r="Y266" i="4"/>
  <c r="M266" i="4"/>
  <c r="N266" i="4" s="1"/>
  <c r="H274" i="4"/>
  <c r="Y274" i="4"/>
  <c r="M274" i="4"/>
  <c r="N274" i="4" s="1"/>
  <c r="H282" i="4"/>
  <c r="Y282" i="4"/>
  <c r="M282" i="4"/>
  <c r="N282" i="4" s="1"/>
  <c r="H290" i="4"/>
  <c r="Y290" i="4"/>
  <c r="M290" i="4"/>
  <c r="N290" i="4" s="1"/>
  <c r="M298" i="4"/>
  <c r="N298" i="4" s="1"/>
  <c r="Y298" i="4"/>
  <c r="H298" i="4"/>
  <c r="H306" i="4"/>
  <c r="Y306" i="4"/>
  <c r="M306" i="4"/>
  <c r="N306" i="4" s="1"/>
  <c r="H314" i="4"/>
  <c r="Y314" i="4"/>
  <c r="M314" i="4"/>
  <c r="N314" i="4" s="1"/>
  <c r="H322" i="4"/>
  <c r="Y322" i="4"/>
  <c r="M322" i="4"/>
  <c r="N322" i="4" s="1"/>
  <c r="H330" i="4"/>
  <c r="Y330" i="4"/>
  <c r="M330" i="4"/>
  <c r="N330" i="4" s="1"/>
  <c r="H338" i="4"/>
  <c r="Y338" i="4"/>
  <c r="M338" i="4"/>
  <c r="N338" i="4" s="1"/>
  <c r="H346" i="4"/>
  <c r="Y346" i="4"/>
  <c r="M346" i="4"/>
  <c r="N346" i="4" s="1"/>
  <c r="H354" i="4"/>
  <c r="Y354" i="4"/>
  <c r="M354" i="4"/>
  <c r="N354" i="4" s="1"/>
  <c r="H362" i="4"/>
  <c r="Y362" i="4"/>
  <c r="M362" i="4"/>
  <c r="N362" i="4" s="1"/>
  <c r="M370" i="4"/>
  <c r="N370" i="4" s="1"/>
  <c r="Y370" i="4"/>
  <c r="H370" i="4"/>
  <c r="H378" i="4"/>
  <c r="Y378" i="4"/>
  <c r="M378" i="4"/>
  <c r="N378" i="4" s="1"/>
  <c r="H386" i="4"/>
  <c r="Y386" i="4"/>
  <c r="M386" i="4"/>
  <c r="N386" i="4" s="1"/>
  <c r="H394" i="4"/>
  <c r="Y394" i="4"/>
  <c r="M394" i="4"/>
  <c r="N394" i="4" s="1"/>
  <c r="H402" i="4"/>
  <c r="Y402" i="4"/>
  <c r="M402" i="4"/>
  <c r="N402" i="4" s="1"/>
  <c r="M410" i="4"/>
  <c r="N410" i="4" s="1"/>
  <c r="Y410" i="4"/>
  <c r="H410" i="4"/>
  <c r="H418" i="4"/>
  <c r="Y418" i="4"/>
  <c r="M418" i="4"/>
  <c r="N418" i="4" s="1"/>
  <c r="H426" i="4"/>
  <c r="Y426" i="4"/>
  <c r="M426" i="4"/>
  <c r="N426" i="4" s="1"/>
  <c r="H434" i="4"/>
  <c r="Y434" i="4"/>
  <c r="M434" i="4"/>
  <c r="N434" i="4" s="1"/>
  <c r="H442" i="4"/>
  <c r="Y442" i="4"/>
  <c r="M442" i="4"/>
  <c r="N442" i="4" s="1"/>
  <c r="H450" i="4"/>
  <c r="Y450" i="4"/>
  <c r="M450" i="4"/>
  <c r="N450" i="4" s="1"/>
  <c r="H458" i="4"/>
  <c r="Y458" i="4"/>
  <c r="M458" i="4"/>
  <c r="N458" i="4" s="1"/>
  <c r="H466" i="4"/>
  <c r="Y466" i="4"/>
  <c r="M466" i="4"/>
  <c r="N466" i="4" s="1"/>
  <c r="H474" i="4"/>
  <c r="Y474" i="4"/>
  <c r="M474" i="4"/>
  <c r="N474" i="4" s="1"/>
  <c r="H482" i="4"/>
  <c r="Y482" i="4"/>
  <c r="M482" i="4"/>
  <c r="N482" i="4" s="1"/>
  <c r="H490" i="4"/>
  <c r="Y490" i="4"/>
  <c r="M490" i="4"/>
  <c r="N490" i="4" s="1"/>
  <c r="H498" i="4"/>
  <c r="Y498" i="4"/>
  <c r="M498" i="4"/>
  <c r="N498" i="4" s="1"/>
  <c r="H506" i="4"/>
  <c r="Y506" i="4"/>
  <c r="M506" i="4"/>
  <c r="N506" i="4" s="1"/>
  <c r="H514" i="4"/>
  <c r="Y514" i="4"/>
  <c r="M514" i="4"/>
  <c r="N514" i="4" s="1"/>
  <c r="H522" i="4"/>
  <c r="Y522" i="4"/>
  <c r="M522" i="4"/>
  <c r="N522" i="4" s="1"/>
  <c r="H530" i="4"/>
  <c r="Y530" i="4"/>
  <c r="M530" i="4"/>
  <c r="N530" i="4" s="1"/>
  <c r="Y538" i="4"/>
  <c r="M538" i="4"/>
  <c r="N538" i="4" s="1"/>
  <c r="H538" i="4"/>
  <c r="H546" i="4"/>
  <c r="Y546" i="4"/>
  <c r="M546" i="4"/>
  <c r="N546" i="4" s="1"/>
  <c r="Y554" i="4"/>
  <c r="M554" i="4"/>
  <c r="N554" i="4" s="1"/>
  <c r="H554" i="4"/>
  <c r="H562" i="4"/>
  <c r="Y562" i="4"/>
  <c r="M562" i="4"/>
  <c r="N562" i="4" s="1"/>
  <c r="Y570" i="4"/>
  <c r="M570" i="4"/>
  <c r="N570" i="4" s="1"/>
  <c r="H570" i="4"/>
  <c r="H578" i="4"/>
  <c r="Y578" i="4"/>
  <c r="M578" i="4"/>
  <c r="N578" i="4" s="1"/>
  <c r="Y586" i="4"/>
  <c r="M586" i="4"/>
  <c r="N586" i="4" s="1"/>
  <c r="H586" i="4"/>
  <c r="H594" i="4"/>
  <c r="Y594" i="4"/>
  <c r="M594" i="4"/>
  <c r="N594" i="4" s="1"/>
  <c r="Y602" i="4"/>
  <c r="M602" i="4"/>
  <c r="N602" i="4" s="1"/>
  <c r="H602" i="4"/>
  <c r="H610" i="4"/>
  <c r="Y610" i="4"/>
  <c r="M610" i="4"/>
  <c r="N610" i="4" s="1"/>
  <c r="Y618" i="4"/>
  <c r="M618" i="4"/>
  <c r="N618" i="4" s="1"/>
  <c r="H618" i="4"/>
  <c r="Y626" i="4"/>
  <c r="M626" i="4"/>
  <c r="N626" i="4" s="1"/>
  <c r="H626" i="4"/>
  <c r="H634" i="4"/>
  <c r="M634" i="4"/>
  <c r="N634" i="4" s="1"/>
  <c r="Y634" i="4"/>
  <c r="Y642" i="4"/>
  <c r="M642" i="4"/>
  <c r="N642" i="4" s="1"/>
  <c r="H642" i="4"/>
  <c r="H650" i="4"/>
  <c r="M650" i="4"/>
  <c r="N650" i="4" s="1"/>
  <c r="Y650" i="4"/>
  <c r="Y658" i="4"/>
  <c r="M658" i="4"/>
  <c r="N658" i="4" s="1"/>
  <c r="H658" i="4"/>
  <c r="H666" i="4"/>
  <c r="M666" i="4"/>
  <c r="N666" i="4" s="1"/>
  <c r="Y666" i="4"/>
  <c r="Y674" i="4"/>
  <c r="M674" i="4"/>
  <c r="N674" i="4" s="1"/>
  <c r="H674" i="4"/>
  <c r="H682" i="4"/>
  <c r="M682" i="4"/>
  <c r="N682" i="4" s="1"/>
  <c r="Y682" i="4"/>
  <c r="Y690" i="4"/>
  <c r="M690" i="4"/>
  <c r="N690" i="4" s="1"/>
  <c r="H690" i="4"/>
  <c r="H698" i="4"/>
  <c r="M698" i="4"/>
  <c r="N698" i="4" s="1"/>
  <c r="Y698" i="4"/>
  <c r="H707" i="4"/>
  <c r="Y707" i="4"/>
  <c r="M707" i="4"/>
  <c r="N707" i="4" s="1"/>
  <c r="H739" i="4"/>
  <c r="Y739" i="4"/>
  <c r="M739" i="4"/>
  <c r="N739" i="4" s="1"/>
  <c r="H771" i="4"/>
  <c r="Y771" i="4"/>
  <c r="M771" i="4"/>
  <c r="N771" i="4" s="1"/>
  <c r="H803" i="4"/>
  <c r="Y803" i="4"/>
  <c r="M803" i="4"/>
  <c r="N803" i="4" s="1"/>
  <c r="H835" i="4"/>
  <c r="Y835" i="4"/>
  <c r="M835" i="4"/>
  <c r="N835" i="4" s="1"/>
  <c r="H867" i="4"/>
  <c r="Y867" i="4"/>
  <c r="M867" i="4"/>
  <c r="N867" i="4" s="1"/>
  <c r="H899" i="4"/>
  <c r="Y899" i="4"/>
  <c r="M899" i="4"/>
  <c r="N899" i="4" s="1"/>
  <c r="H931" i="4"/>
  <c r="Y931" i="4"/>
  <c r="M931" i="4"/>
  <c r="N931" i="4" s="1"/>
  <c r="H963" i="4"/>
  <c r="Y963" i="4"/>
  <c r="M963" i="4"/>
  <c r="N963" i="4" s="1"/>
  <c r="H995" i="4"/>
  <c r="Y995" i="4"/>
  <c r="M995" i="4"/>
  <c r="N995" i="4" s="1"/>
  <c r="H1027" i="4"/>
  <c r="Y1027" i="4"/>
  <c r="M1027" i="4"/>
  <c r="N1027" i="4" s="1"/>
  <c r="M48" i="2"/>
  <c r="N48" i="2" s="1"/>
  <c r="H48" i="2"/>
  <c r="M80" i="2"/>
  <c r="N80" i="2" s="1"/>
  <c r="H80" i="2"/>
  <c r="Y12" i="3"/>
  <c r="H12" i="3"/>
  <c r="M12" i="3"/>
  <c r="N12" i="3" s="1"/>
  <c r="Y1049" i="4"/>
  <c r="M1049" i="4"/>
  <c r="N1049" i="4" s="1"/>
  <c r="H1049" i="4"/>
  <c r="Y100" i="3"/>
  <c r="H100" i="3"/>
  <c r="M100" i="3"/>
  <c r="N100" i="3" s="1"/>
  <c r="Y108" i="3"/>
  <c r="H108" i="3"/>
  <c r="M108" i="3"/>
  <c r="N108" i="3" s="1"/>
  <c r="M706" i="4"/>
  <c r="N706" i="4" s="1"/>
  <c r="H706" i="4"/>
  <c r="Y706" i="4"/>
  <c r="M738" i="4"/>
  <c r="N738" i="4" s="1"/>
  <c r="H738" i="4"/>
  <c r="Y738" i="4"/>
  <c r="M770" i="4"/>
  <c r="N770" i="4" s="1"/>
  <c r="H770" i="4"/>
  <c r="Y770" i="4"/>
  <c r="M802" i="4"/>
  <c r="N802" i="4" s="1"/>
  <c r="H802" i="4"/>
  <c r="Y802" i="4"/>
  <c r="M834" i="4"/>
  <c r="N834" i="4" s="1"/>
  <c r="H834" i="4"/>
  <c r="Y834" i="4"/>
  <c r="M866" i="4"/>
  <c r="N866" i="4" s="1"/>
  <c r="H866" i="4"/>
  <c r="Y866" i="4"/>
  <c r="M898" i="4"/>
  <c r="N898" i="4" s="1"/>
  <c r="H898" i="4"/>
  <c r="Y898" i="4"/>
  <c r="M930" i="4"/>
  <c r="N930" i="4" s="1"/>
  <c r="H930" i="4"/>
  <c r="Y930" i="4"/>
  <c r="M962" i="4"/>
  <c r="N962" i="4" s="1"/>
  <c r="H962" i="4"/>
  <c r="Y962" i="4"/>
  <c r="M994" i="4"/>
  <c r="N994" i="4" s="1"/>
  <c r="H994" i="4"/>
  <c r="Y994" i="4"/>
  <c r="M1026" i="4"/>
  <c r="N1026" i="4" s="1"/>
  <c r="H1026" i="4"/>
  <c r="Y1026" i="4"/>
  <c r="Y114" i="3"/>
  <c r="H114" i="3"/>
  <c r="M114" i="3"/>
  <c r="N114" i="3" s="1"/>
  <c r="Y122" i="3"/>
  <c r="H122" i="3"/>
  <c r="M122" i="3"/>
  <c r="N122" i="3" s="1"/>
  <c r="Y130" i="3"/>
  <c r="H130" i="3"/>
  <c r="M130" i="3"/>
  <c r="N130" i="3" s="1"/>
  <c r="Y138" i="3"/>
  <c r="H138" i="3"/>
  <c r="M138" i="3"/>
  <c r="N138" i="3" s="1"/>
  <c r="Y146" i="3"/>
  <c r="H146" i="3"/>
  <c r="M146" i="3"/>
  <c r="N146" i="3" s="1"/>
  <c r="Y4" i="4"/>
  <c r="H4" i="4"/>
  <c r="M4" i="4"/>
  <c r="N4" i="4" s="1"/>
  <c r="Y12" i="4"/>
  <c r="H12" i="4"/>
  <c r="M12" i="4"/>
  <c r="N12" i="4" s="1"/>
  <c r="Y20" i="4"/>
  <c r="H20" i="4"/>
  <c r="M20" i="4"/>
  <c r="N20" i="4" s="1"/>
  <c r="Y28" i="4"/>
  <c r="H28" i="4"/>
  <c r="M28" i="4"/>
  <c r="N28" i="4" s="1"/>
  <c r="Y36" i="4"/>
  <c r="H36" i="4"/>
  <c r="M36" i="4"/>
  <c r="N36" i="4" s="1"/>
  <c r="Y44" i="4"/>
  <c r="H44" i="4"/>
  <c r="M44" i="4"/>
  <c r="N44" i="4" s="1"/>
  <c r="Y52" i="4"/>
  <c r="H52" i="4"/>
  <c r="M52" i="4"/>
  <c r="N52" i="4" s="1"/>
  <c r="Y60" i="4"/>
  <c r="H60" i="4"/>
  <c r="M60" i="4"/>
  <c r="N60" i="4" s="1"/>
  <c r="Y68" i="4"/>
  <c r="H68" i="4"/>
  <c r="M68" i="4"/>
  <c r="N68" i="4" s="1"/>
  <c r="Y76" i="4"/>
  <c r="H76" i="4"/>
  <c r="M76" i="4"/>
  <c r="N76" i="4" s="1"/>
  <c r="Y84" i="4"/>
  <c r="H84" i="4"/>
  <c r="M84" i="4"/>
  <c r="N84" i="4" s="1"/>
  <c r="Y92" i="4"/>
  <c r="H92" i="4"/>
  <c r="M92" i="4"/>
  <c r="N92" i="4" s="1"/>
  <c r="Y100" i="4"/>
  <c r="H100" i="4"/>
  <c r="M100" i="4"/>
  <c r="N100" i="4" s="1"/>
  <c r="Y108" i="4"/>
  <c r="H108" i="4"/>
  <c r="M108" i="4"/>
  <c r="N108" i="4" s="1"/>
  <c r="Y116" i="4"/>
  <c r="H116" i="4"/>
  <c r="M116" i="4"/>
  <c r="N116" i="4" s="1"/>
  <c r="Y124" i="4"/>
  <c r="H124" i="4"/>
  <c r="M124" i="4"/>
  <c r="N124" i="4" s="1"/>
  <c r="Y132" i="4"/>
  <c r="H132" i="4"/>
  <c r="M132" i="4"/>
  <c r="N132" i="4" s="1"/>
  <c r="Y140" i="4"/>
  <c r="H140" i="4"/>
  <c r="M140" i="4"/>
  <c r="N140" i="4" s="1"/>
  <c r="Y148" i="4"/>
  <c r="H148" i="4"/>
  <c r="M148" i="4"/>
  <c r="N148" i="4" s="1"/>
  <c r="Y156" i="4"/>
  <c r="H156" i="4"/>
  <c r="M156" i="4"/>
  <c r="N156" i="4" s="1"/>
  <c r="Y164" i="4"/>
  <c r="H164" i="4"/>
  <c r="M164" i="4"/>
  <c r="N164" i="4" s="1"/>
  <c r="Y172" i="4"/>
  <c r="H172" i="4"/>
  <c r="M172" i="4"/>
  <c r="N172" i="4" s="1"/>
  <c r="Y180" i="4"/>
  <c r="H180" i="4"/>
  <c r="M180" i="4"/>
  <c r="N180" i="4" s="1"/>
  <c r="Y188" i="4"/>
  <c r="H188" i="4"/>
  <c r="M188" i="4"/>
  <c r="N188" i="4" s="1"/>
  <c r="Y196" i="4"/>
  <c r="H196" i="4"/>
  <c r="M196" i="4"/>
  <c r="N196" i="4" s="1"/>
  <c r="Y204" i="4"/>
  <c r="H204" i="4"/>
  <c r="M204" i="4"/>
  <c r="N204" i="4" s="1"/>
  <c r="Y212" i="4"/>
  <c r="H212" i="4"/>
  <c r="M212" i="4"/>
  <c r="N212" i="4" s="1"/>
  <c r="Y709" i="4"/>
  <c r="M709" i="4"/>
  <c r="N709" i="4" s="1"/>
  <c r="H709" i="4"/>
  <c r="M741" i="4"/>
  <c r="N741" i="4" s="1"/>
  <c r="H741" i="4"/>
  <c r="Y741" i="4"/>
  <c r="Y773" i="4"/>
  <c r="M773" i="4"/>
  <c r="N773" i="4" s="1"/>
  <c r="H773" i="4"/>
  <c r="M805" i="4"/>
  <c r="N805" i="4" s="1"/>
  <c r="H805" i="4"/>
  <c r="Y805" i="4"/>
  <c r="Y837" i="4"/>
  <c r="M837" i="4"/>
  <c r="N837" i="4" s="1"/>
  <c r="H837" i="4"/>
  <c r="M869" i="4"/>
  <c r="N869" i="4" s="1"/>
  <c r="H869" i="4"/>
  <c r="Y869" i="4"/>
  <c r="Y901" i="4"/>
  <c r="M901" i="4"/>
  <c r="N901" i="4" s="1"/>
  <c r="H901" i="4"/>
  <c r="M933" i="4"/>
  <c r="N933" i="4" s="1"/>
  <c r="H933" i="4"/>
  <c r="Y933" i="4"/>
  <c r="Y965" i="4"/>
  <c r="M965" i="4"/>
  <c r="N965" i="4" s="1"/>
  <c r="H965" i="4"/>
  <c r="M997" i="4"/>
  <c r="N997" i="4" s="1"/>
  <c r="H997" i="4"/>
  <c r="Y997" i="4"/>
  <c r="Y1029" i="4"/>
  <c r="M1029" i="4"/>
  <c r="N1029" i="4" s="1"/>
  <c r="H1029" i="4"/>
  <c r="Y724" i="4"/>
  <c r="H724" i="4"/>
  <c r="M724" i="4"/>
  <c r="N724" i="4" s="1"/>
  <c r="Y756" i="4"/>
  <c r="H756" i="4"/>
  <c r="M756" i="4"/>
  <c r="N756" i="4" s="1"/>
  <c r="Y788" i="4"/>
  <c r="H788" i="4"/>
  <c r="M788" i="4"/>
  <c r="N788" i="4" s="1"/>
  <c r="Y820" i="4"/>
  <c r="H820" i="4"/>
  <c r="M820" i="4"/>
  <c r="N820" i="4" s="1"/>
  <c r="Y852" i="4"/>
  <c r="H852" i="4"/>
  <c r="M852" i="4"/>
  <c r="N852" i="4" s="1"/>
  <c r="Y884" i="4"/>
  <c r="H884" i="4"/>
  <c r="M884" i="4"/>
  <c r="N884" i="4" s="1"/>
  <c r="Y916" i="4"/>
  <c r="H916" i="4"/>
  <c r="M916" i="4"/>
  <c r="N916" i="4" s="1"/>
  <c r="Y948" i="4"/>
  <c r="H948" i="4"/>
  <c r="M948" i="4"/>
  <c r="N948" i="4" s="1"/>
  <c r="Y980" i="4"/>
  <c r="H980" i="4"/>
  <c r="M980" i="4"/>
  <c r="N980" i="4" s="1"/>
  <c r="Y1012" i="4"/>
  <c r="H1012" i="4"/>
  <c r="M1012" i="4"/>
  <c r="N1012" i="4" s="1"/>
  <c r="M225" i="4"/>
  <c r="N225" i="4" s="1"/>
  <c r="Y225" i="4"/>
  <c r="H225" i="4"/>
  <c r="H233" i="4"/>
  <c r="Y233" i="4"/>
  <c r="M233" i="4"/>
  <c r="N233" i="4" s="1"/>
  <c r="M241" i="4"/>
  <c r="N241" i="4" s="1"/>
  <c r="Y241" i="4"/>
  <c r="H241" i="4"/>
  <c r="M249" i="4"/>
  <c r="N249" i="4" s="1"/>
  <c r="H249" i="4"/>
  <c r="Y249" i="4"/>
  <c r="M257" i="4"/>
  <c r="N257" i="4" s="1"/>
  <c r="H257" i="4"/>
  <c r="Y257" i="4"/>
  <c r="M265" i="4"/>
  <c r="N265" i="4" s="1"/>
  <c r="H265" i="4"/>
  <c r="Y265" i="4"/>
  <c r="H273" i="4"/>
  <c r="M273" i="4"/>
  <c r="N273" i="4" s="1"/>
  <c r="Y273" i="4"/>
  <c r="M281" i="4"/>
  <c r="N281" i="4" s="1"/>
  <c r="H281" i="4"/>
  <c r="Y281" i="4"/>
  <c r="M289" i="4"/>
  <c r="N289" i="4" s="1"/>
  <c r="H289" i="4"/>
  <c r="Y289" i="4"/>
  <c r="H297" i="4"/>
  <c r="M297" i="4"/>
  <c r="N297" i="4" s="1"/>
  <c r="Y297" i="4"/>
  <c r="M305" i="4"/>
  <c r="N305" i="4" s="1"/>
  <c r="H305" i="4"/>
  <c r="Y305" i="4"/>
  <c r="M313" i="4"/>
  <c r="N313" i="4" s="1"/>
  <c r="H313" i="4"/>
  <c r="Y313" i="4"/>
  <c r="H321" i="4"/>
  <c r="M321" i="4"/>
  <c r="N321" i="4" s="1"/>
  <c r="Y321" i="4"/>
  <c r="M329" i="4"/>
  <c r="N329" i="4" s="1"/>
  <c r="H329" i="4"/>
  <c r="Y329" i="4"/>
  <c r="M337" i="4"/>
  <c r="N337" i="4" s="1"/>
  <c r="H337" i="4"/>
  <c r="Y337" i="4"/>
  <c r="M345" i="4"/>
  <c r="N345" i="4" s="1"/>
  <c r="H345" i="4"/>
  <c r="Y345" i="4"/>
  <c r="M353" i="4"/>
  <c r="N353" i="4" s="1"/>
  <c r="H353" i="4"/>
  <c r="Y353" i="4"/>
  <c r="M361" i="4"/>
  <c r="N361" i="4" s="1"/>
  <c r="H361" i="4"/>
  <c r="Y361" i="4"/>
  <c r="M369" i="4"/>
  <c r="N369" i="4" s="1"/>
  <c r="H369" i="4"/>
  <c r="Y369" i="4"/>
  <c r="M377" i="4"/>
  <c r="N377" i="4" s="1"/>
  <c r="H377" i="4"/>
  <c r="Y377" i="4"/>
  <c r="H385" i="4"/>
  <c r="M385" i="4"/>
  <c r="N385" i="4" s="1"/>
  <c r="Y385" i="4"/>
  <c r="H393" i="4"/>
  <c r="M393" i="4"/>
  <c r="N393" i="4" s="1"/>
  <c r="Y393" i="4"/>
  <c r="M401" i="4"/>
  <c r="N401" i="4" s="1"/>
  <c r="H401" i="4"/>
  <c r="Y401" i="4"/>
  <c r="M409" i="4"/>
  <c r="N409" i="4" s="1"/>
  <c r="H409" i="4"/>
  <c r="Y409" i="4"/>
  <c r="M417" i="4"/>
  <c r="N417" i="4" s="1"/>
  <c r="H417" i="4"/>
  <c r="Y417" i="4"/>
  <c r="M425" i="4"/>
  <c r="N425" i="4" s="1"/>
  <c r="H425" i="4"/>
  <c r="Y425" i="4"/>
  <c r="M433" i="4"/>
  <c r="N433" i="4" s="1"/>
  <c r="H433" i="4"/>
  <c r="Y433" i="4"/>
  <c r="M441" i="4"/>
  <c r="N441" i="4" s="1"/>
  <c r="H441" i="4"/>
  <c r="Y441" i="4"/>
  <c r="M449" i="4"/>
  <c r="N449" i="4" s="1"/>
  <c r="H449" i="4"/>
  <c r="Y449" i="4"/>
  <c r="M457" i="4"/>
  <c r="N457" i="4" s="1"/>
  <c r="H457" i="4"/>
  <c r="Y457" i="4"/>
  <c r="M465" i="4"/>
  <c r="N465" i="4" s="1"/>
  <c r="H465" i="4"/>
  <c r="Y465" i="4"/>
  <c r="M473" i="4"/>
  <c r="N473" i="4" s="1"/>
  <c r="H473" i="4"/>
  <c r="Y473" i="4"/>
  <c r="M481" i="4"/>
  <c r="N481" i="4" s="1"/>
  <c r="H481" i="4"/>
  <c r="Y481" i="4"/>
  <c r="M489" i="4"/>
  <c r="N489" i="4" s="1"/>
  <c r="H489" i="4"/>
  <c r="Y489" i="4"/>
  <c r="M497" i="4"/>
  <c r="N497" i="4" s="1"/>
  <c r="H497" i="4"/>
  <c r="Y497" i="4"/>
  <c r="M505" i="4"/>
  <c r="N505" i="4" s="1"/>
  <c r="H505" i="4"/>
  <c r="Y505" i="4"/>
  <c r="M513" i="4"/>
  <c r="N513" i="4" s="1"/>
  <c r="H513" i="4"/>
  <c r="Y513" i="4"/>
  <c r="M521" i="4"/>
  <c r="N521" i="4" s="1"/>
  <c r="H521" i="4"/>
  <c r="Y521" i="4"/>
  <c r="M529" i="4"/>
  <c r="N529" i="4" s="1"/>
  <c r="H529" i="4"/>
  <c r="Y529" i="4"/>
  <c r="M537" i="4"/>
  <c r="N537" i="4" s="1"/>
  <c r="Y537" i="4"/>
  <c r="H537" i="4"/>
  <c r="M545" i="4"/>
  <c r="N545" i="4" s="1"/>
  <c r="Y545" i="4"/>
  <c r="H545" i="4"/>
  <c r="M553" i="4"/>
  <c r="N553" i="4" s="1"/>
  <c r="Y553" i="4"/>
  <c r="H553" i="4"/>
  <c r="M561" i="4"/>
  <c r="N561" i="4" s="1"/>
  <c r="Y561" i="4"/>
  <c r="H561" i="4"/>
  <c r="M569" i="4"/>
  <c r="N569" i="4" s="1"/>
  <c r="Y569" i="4"/>
  <c r="H569" i="4"/>
  <c r="M577" i="4"/>
  <c r="N577" i="4" s="1"/>
  <c r="Y577" i="4"/>
  <c r="H577" i="4"/>
  <c r="M585" i="4"/>
  <c r="N585" i="4" s="1"/>
  <c r="Y585" i="4"/>
  <c r="H585" i="4"/>
  <c r="M593" i="4"/>
  <c r="N593" i="4" s="1"/>
  <c r="Y593" i="4"/>
  <c r="H593" i="4"/>
  <c r="M601" i="4"/>
  <c r="N601" i="4" s="1"/>
  <c r="Y601" i="4"/>
  <c r="H601" i="4"/>
  <c r="M609" i="4"/>
  <c r="N609" i="4" s="1"/>
  <c r="Y609" i="4"/>
  <c r="H609" i="4"/>
  <c r="M617" i="4"/>
  <c r="N617" i="4" s="1"/>
  <c r="Y617" i="4"/>
  <c r="H617" i="4"/>
  <c r="M625" i="4"/>
  <c r="N625" i="4" s="1"/>
  <c r="H625" i="4"/>
  <c r="Y625" i="4"/>
  <c r="Y633" i="4"/>
  <c r="M633" i="4"/>
  <c r="N633" i="4" s="1"/>
  <c r="H633" i="4"/>
  <c r="H641" i="4"/>
  <c r="Y641" i="4"/>
  <c r="M641" i="4"/>
  <c r="N641" i="4" s="1"/>
  <c r="Y649" i="4"/>
  <c r="M649" i="4"/>
  <c r="N649" i="4" s="1"/>
  <c r="H649" i="4"/>
  <c r="Y657" i="4"/>
  <c r="M657" i="4"/>
  <c r="N657" i="4" s="1"/>
  <c r="H657" i="4"/>
  <c r="M665" i="4"/>
  <c r="N665" i="4" s="1"/>
  <c r="H665" i="4"/>
  <c r="Y665" i="4"/>
  <c r="Y673" i="4"/>
  <c r="M673" i="4"/>
  <c r="N673" i="4" s="1"/>
  <c r="H673" i="4"/>
  <c r="H681" i="4"/>
  <c r="Y681" i="4"/>
  <c r="M681" i="4"/>
  <c r="N681" i="4" s="1"/>
  <c r="Y689" i="4"/>
  <c r="M689" i="4"/>
  <c r="N689" i="4" s="1"/>
  <c r="H689" i="4"/>
  <c r="Y697" i="4"/>
  <c r="M697" i="4"/>
  <c r="N697" i="4" s="1"/>
  <c r="H697" i="4"/>
  <c r="H727" i="4"/>
  <c r="Y727" i="4"/>
  <c r="M727" i="4"/>
  <c r="N727" i="4" s="1"/>
  <c r="H759" i="4"/>
  <c r="Y759" i="4"/>
  <c r="M759" i="4"/>
  <c r="N759" i="4" s="1"/>
  <c r="H791" i="4"/>
  <c r="Y791" i="4"/>
  <c r="M791" i="4"/>
  <c r="N791" i="4" s="1"/>
  <c r="H823" i="4"/>
  <c r="Y823" i="4"/>
  <c r="M823" i="4"/>
  <c r="N823" i="4" s="1"/>
  <c r="H855" i="4"/>
  <c r="Y855" i="4"/>
  <c r="M855" i="4"/>
  <c r="N855" i="4" s="1"/>
  <c r="H887" i="4"/>
  <c r="Y887" i="4"/>
  <c r="M887" i="4"/>
  <c r="N887" i="4" s="1"/>
  <c r="H919" i="4"/>
  <c r="Y919" i="4"/>
  <c r="M919" i="4"/>
  <c r="N919" i="4" s="1"/>
  <c r="H951" i="4"/>
  <c r="Y951" i="4"/>
  <c r="M951" i="4"/>
  <c r="N951" i="4" s="1"/>
  <c r="H983" i="4"/>
  <c r="Y983" i="4"/>
  <c r="M983" i="4"/>
  <c r="N983" i="4" s="1"/>
  <c r="H1015" i="4"/>
  <c r="Y1015" i="4"/>
  <c r="M1015" i="4"/>
  <c r="N1015" i="4" s="1"/>
  <c r="M60" i="2"/>
  <c r="N60" i="2" s="1"/>
  <c r="H60" i="2"/>
  <c r="M92" i="2"/>
  <c r="N92" i="2" s="1"/>
  <c r="H92" i="2"/>
  <c r="M24" i="3"/>
  <c r="N24" i="3" s="1"/>
  <c r="Y24" i="3"/>
  <c r="H24" i="3"/>
  <c r="Y50" i="3"/>
  <c r="H50" i="3"/>
  <c r="M50" i="3"/>
  <c r="N50" i="3" s="1"/>
  <c r="Y66" i="3"/>
  <c r="H66" i="3"/>
  <c r="M66" i="3"/>
  <c r="N66" i="3" s="1"/>
  <c r="Y82" i="3"/>
  <c r="H82" i="3"/>
  <c r="M82" i="3"/>
  <c r="N82" i="3" s="1"/>
  <c r="Y103" i="3"/>
  <c r="M103" i="3"/>
  <c r="N103" i="3" s="1"/>
  <c r="H103" i="3"/>
  <c r="M1059" i="4"/>
  <c r="N1059" i="4" s="1"/>
  <c r="H1059" i="4"/>
  <c r="Y1059" i="4"/>
  <c r="M1091" i="4"/>
  <c r="N1091" i="4" s="1"/>
  <c r="H1091" i="4"/>
  <c r="Y1091" i="4"/>
  <c r="Y1123" i="4"/>
  <c r="H1123" i="4"/>
  <c r="M1123" i="4"/>
  <c r="N1123" i="4" s="1"/>
  <c r="Y1155" i="4"/>
  <c r="M1155" i="4"/>
  <c r="N1155" i="4" s="1"/>
  <c r="H1155" i="4"/>
  <c r="M1187" i="4"/>
  <c r="N1187" i="4" s="1"/>
  <c r="H1187" i="4"/>
  <c r="Y1187" i="4"/>
  <c r="Y1219" i="4"/>
  <c r="H1219" i="4"/>
  <c r="M1219" i="4"/>
  <c r="N1219" i="4" s="1"/>
  <c r="Y1251" i="4"/>
  <c r="H1251" i="4"/>
  <c r="M1251" i="4"/>
  <c r="N1251" i="4" s="1"/>
  <c r="Y1283" i="4"/>
  <c r="H1283" i="4"/>
  <c r="M1283" i="4"/>
  <c r="N1283" i="4" s="1"/>
  <c r="M1315" i="4"/>
  <c r="N1315" i="4" s="1"/>
  <c r="H1315" i="4"/>
  <c r="Y1315" i="4"/>
  <c r="Y1347" i="4"/>
  <c r="M1347" i="4"/>
  <c r="N1347" i="4" s="1"/>
  <c r="H1347" i="4"/>
  <c r="Y1662" i="4"/>
  <c r="M1662" i="4"/>
  <c r="N1662" i="4" s="1"/>
  <c r="H1662" i="4"/>
  <c r="M1605" i="4"/>
  <c r="N1605" i="4" s="1"/>
  <c r="H1605" i="4"/>
  <c r="Y1605" i="4"/>
  <c r="H1648" i="4"/>
  <c r="Y1648" i="4"/>
  <c r="M1648" i="4"/>
  <c r="N1648" i="4" s="1"/>
  <c r="H1074" i="4"/>
  <c r="Y1074" i="4"/>
  <c r="M1074" i="4"/>
  <c r="N1074" i="4" s="1"/>
  <c r="H1106" i="4"/>
  <c r="M1106" i="4"/>
  <c r="N1106" i="4" s="1"/>
  <c r="Y1106" i="4"/>
  <c r="M1138" i="4"/>
  <c r="N1138" i="4" s="1"/>
  <c r="H1138" i="4"/>
  <c r="Y1138" i="4"/>
  <c r="Y1170" i="4"/>
  <c r="M1170" i="4"/>
  <c r="N1170" i="4" s="1"/>
  <c r="H1170" i="4"/>
  <c r="M1202" i="4"/>
  <c r="N1202" i="4" s="1"/>
  <c r="H1202" i="4"/>
  <c r="Y1202" i="4"/>
  <c r="Y1234" i="4"/>
  <c r="H1234" i="4"/>
  <c r="M1234" i="4"/>
  <c r="N1234" i="4" s="1"/>
  <c r="Y1266" i="4"/>
  <c r="M1266" i="4"/>
  <c r="N1266" i="4" s="1"/>
  <c r="H1266" i="4"/>
  <c r="H1298" i="4"/>
  <c r="M1298" i="4"/>
  <c r="N1298" i="4" s="1"/>
  <c r="Y1298" i="4"/>
  <c r="H1330" i="4"/>
  <c r="Y1330" i="4"/>
  <c r="M1330" i="4"/>
  <c r="N1330" i="4" s="1"/>
  <c r="H1625" i="4"/>
  <c r="Y1625" i="4"/>
  <c r="M1625" i="4"/>
  <c r="N1625" i="4" s="1"/>
  <c r="Y1668" i="4"/>
  <c r="H1668" i="4"/>
  <c r="M1668" i="4"/>
  <c r="N1668" i="4" s="1"/>
  <c r="H1362" i="4"/>
  <c r="Y1362" i="4"/>
  <c r="M1362" i="4"/>
  <c r="N1362" i="4" s="1"/>
  <c r="Y1394" i="4"/>
  <c r="H1394" i="4"/>
  <c r="M1394" i="4"/>
  <c r="N1394" i="4" s="1"/>
  <c r="Y1426" i="4"/>
  <c r="H1426" i="4"/>
  <c r="M1426" i="4"/>
  <c r="N1426" i="4" s="1"/>
  <c r="H1459" i="4"/>
  <c r="M1459" i="4"/>
  <c r="N1459" i="4" s="1"/>
  <c r="Y1459" i="4"/>
  <c r="Y1491" i="4"/>
  <c r="M1491" i="4"/>
  <c r="N1491" i="4" s="1"/>
  <c r="H1491" i="4"/>
  <c r="H1523" i="4"/>
  <c r="Y1523" i="4"/>
  <c r="M1523" i="4"/>
  <c r="N1523" i="4" s="1"/>
  <c r="H1555" i="4"/>
  <c r="Y1555" i="4"/>
  <c r="M1555" i="4"/>
  <c r="N1555" i="4" s="1"/>
  <c r="Y1587" i="4"/>
  <c r="M1587" i="4"/>
  <c r="N1587" i="4" s="1"/>
  <c r="H1587" i="4"/>
  <c r="M1706" i="4"/>
  <c r="N1706" i="4" s="1"/>
  <c r="H1706" i="4"/>
  <c r="Y1706" i="4"/>
  <c r="M1738" i="4"/>
  <c r="N1738" i="4" s="1"/>
  <c r="H1738" i="4"/>
  <c r="Y1738" i="4"/>
  <c r="Y1770" i="4"/>
  <c r="M1770" i="4"/>
  <c r="N1770" i="4" s="1"/>
  <c r="H1770" i="4"/>
  <c r="Y1802" i="4"/>
  <c r="M1802" i="4"/>
  <c r="N1802" i="4" s="1"/>
  <c r="H1802" i="4"/>
  <c r="Y1834" i="4"/>
  <c r="M1834" i="4"/>
  <c r="N1834" i="4" s="1"/>
  <c r="H1834" i="4"/>
  <c r="Y1866" i="4"/>
  <c r="M1866" i="4"/>
  <c r="N1866" i="4" s="1"/>
  <c r="H1866" i="4"/>
  <c r="Y1906" i="4"/>
  <c r="M1906" i="4"/>
  <c r="N1906" i="4" s="1"/>
  <c r="H1906" i="4"/>
  <c r="H2287" i="4"/>
  <c r="M2287" i="4"/>
  <c r="N2287" i="4" s="1"/>
  <c r="Y2287" i="4"/>
  <c r="H2032" i="4"/>
  <c r="Y2032" i="4"/>
  <c r="M2032" i="4"/>
  <c r="N2032" i="4" s="1"/>
  <c r="Y2160" i="4"/>
  <c r="M2160" i="4"/>
  <c r="N2160" i="4" s="1"/>
  <c r="H2160" i="4"/>
  <c r="Y2027" i="4"/>
  <c r="M2027" i="4"/>
  <c r="N2027" i="4" s="1"/>
  <c r="H2027" i="4"/>
  <c r="Y2155" i="4"/>
  <c r="H2155" i="4"/>
  <c r="M2155" i="4"/>
  <c r="N2155" i="4" s="1"/>
  <c r="Y2283" i="4"/>
  <c r="H2283" i="4"/>
  <c r="M2283" i="4"/>
  <c r="N2283" i="4" s="1"/>
  <c r="H1923" i="4"/>
  <c r="Y1923" i="4"/>
  <c r="M1923" i="4"/>
  <c r="N1923" i="4" s="1"/>
  <c r="Y2041" i="4"/>
  <c r="M2041" i="4"/>
  <c r="N2041" i="4" s="1"/>
  <c r="H2041" i="4"/>
  <c r="Y2169" i="4"/>
  <c r="M2169" i="4"/>
  <c r="N2169" i="4" s="1"/>
  <c r="H2169" i="4"/>
  <c r="M2597" i="4"/>
  <c r="N2597" i="4" s="1"/>
  <c r="Y2597" i="4"/>
  <c r="H2597" i="4"/>
  <c r="Y2693" i="4"/>
  <c r="H2693" i="4"/>
  <c r="M2693" i="4"/>
  <c r="N2693" i="4" s="1"/>
  <c r="M1969" i="4"/>
  <c r="N1969" i="4" s="1"/>
  <c r="H1969" i="4"/>
  <c r="Y1969" i="4"/>
  <c r="H1968" i="4"/>
  <c r="Y1968" i="4"/>
  <c r="M1968" i="4"/>
  <c r="N1968" i="4" s="1"/>
  <c r="M2034" i="4"/>
  <c r="N2034" i="4" s="1"/>
  <c r="H2034" i="4"/>
  <c r="Y2034" i="4"/>
  <c r="Y2082" i="4"/>
  <c r="M2082" i="4"/>
  <c r="N2082" i="4" s="1"/>
  <c r="H2082" i="4"/>
  <c r="H2122" i="4"/>
  <c r="Y2122" i="4"/>
  <c r="M2122" i="4"/>
  <c r="N2122" i="4" s="1"/>
  <c r="M2162" i="4"/>
  <c r="N2162" i="4" s="1"/>
  <c r="H2162" i="4"/>
  <c r="Y2162" i="4"/>
  <c r="Y2210" i="4"/>
  <c r="M2210" i="4"/>
  <c r="N2210" i="4" s="1"/>
  <c r="H2210" i="4"/>
  <c r="H2250" i="4"/>
  <c r="Y2250" i="4"/>
  <c r="M2250" i="4"/>
  <c r="N2250" i="4" s="1"/>
  <c r="H2813" i="4"/>
  <c r="M2813" i="4"/>
  <c r="N2813" i="4" s="1"/>
  <c r="Y2813" i="4"/>
  <c r="M2909" i="4"/>
  <c r="N2909" i="4" s="1"/>
  <c r="Y2909" i="4"/>
  <c r="H2909" i="4"/>
  <c r="Y2989" i="4"/>
  <c r="M2989" i="4"/>
  <c r="N2989" i="4" s="1"/>
  <c r="H2989" i="4"/>
  <c r="H3069" i="4"/>
  <c r="M3069" i="4"/>
  <c r="N3069" i="4" s="1"/>
  <c r="Y3069" i="4"/>
  <c r="Y3165" i="4"/>
  <c r="M3165" i="4"/>
  <c r="N3165" i="4" s="1"/>
  <c r="H3165" i="4"/>
  <c r="M1367" i="4"/>
  <c r="N1367" i="4" s="1"/>
  <c r="H1367" i="4"/>
  <c r="Y1367" i="4"/>
  <c r="M1379" i="4"/>
  <c r="N1379" i="4" s="1"/>
  <c r="H1379" i="4"/>
  <c r="Y1379" i="4"/>
  <c r="M1389" i="4"/>
  <c r="N1389" i="4" s="1"/>
  <c r="H1389" i="4"/>
  <c r="Y1389" i="4"/>
  <c r="Y1399" i="4"/>
  <c r="M1399" i="4"/>
  <c r="N1399" i="4" s="1"/>
  <c r="H1399" i="4"/>
  <c r="Y1411" i="4"/>
  <c r="M1411" i="4"/>
  <c r="N1411" i="4" s="1"/>
  <c r="H1411" i="4"/>
  <c r="H1421" i="4"/>
  <c r="Y1421" i="4"/>
  <c r="M1421" i="4"/>
  <c r="N1421" i="4" s="1"/>
  <c r="Y1431" i="4"/>
  <c r="M1431" i="4"/>
  <c r="N1431" i="4" s="1"/>
  <c r="H1431" i="4"/>
  <c r="H1444" i="4"/>
  <c r="Y1444" i="4"/>
  <c r="M1444" i="4"/>
  <c r="N1444" i="4" s="1"/>
  <c r="H1454" i="4"/>
  <c r="Y1454" i="4"/>
  <c r="M1454" i="4"/>
  <c r="N1454" i="4" s="1"/>
  <c r="Y1464" i="4"/>
  <c r="M1464" i="4"/>
  <c r="N1464" i="4" s="1"/>
  <c r="H1464" i="4"/>
  <c r="M1476" i="4"/>
  <c r="N1476" i="4" s="1"/>
  <c r="H1476" i="4"/>
  <c r="Y1476" i="4"/>
  <c r="Y1486" i="4"/>
  <c r="M1486" i="4"/>
  <c r="N1486" i="4" s="1"/>
  <c r="H1486" i="4"/>
  <c r="Y1496" i="4"/>
  <c r="H1496" i="4"/>
  <c r="M1496" i="4"/>
  <c r="N1496" i="4" s="1"/>
  <c r="M1508" i="4"/>
  <c r="N1508" i="4" s="1"/>
  <c r="H1508" i="4"/>
  <c r="Y1508" i="4"/>
  <c r="M1518" i="4"/>
  <c r="N1518" i="4" s="1"/>
  <c r="H1518" i="4"/>
  <c r="Y1518" i="4"/>
  <c r="H1528" i="4"/>
  <c r="Y1528" i="4"/>
  <c r="M1528" i="4"/>
  <c r="N1528" i="4" s="1"/>
  <c r="M1540" i="4"/>
  <c r="N1540" i="4" s="1"/>
  <c r="H1540" i="4"/>
  <c r="Y1540" i="4"/>
  <c r="M1550" i="4"/>
  <c r="N1550" i="4" s="1"/>
  <c r="Y1550" i="4"/>
  <c r="H1550" i="4"/>
  <c r="H1560" i="4"/>
  <c r="Y1560" i="4"/>
  <c r="M1560" i="4"/>
  <c r="N1560" i="4" s="1"/>
  <c r="H1572" i="4"/>
  <c r="Y1572" i="4"/>
  <c r="M1572" i="4"/>
  <c r="N1572" i="4" s="1"/>
  <c r="M1582" i="4"/>
  <c r="N1582" i="4" s="1"/>
  <c r="Y1582" i="4"/>
  <c r="H1582" i="4"/>
  <c r="Y1592" i="4"/>
  <c r="M1592" i="4"/>
  <c r="N1592" i="4" s="1"/>
  <c r="H1592" i="4"/>
  <c r="H1619" i="4"/>
  <c r="Y1619" i="4"/>
  <c r="M1619" i="4"/>
  <c r="N1619" i="4" s="1"/>
  <c r="Y1675" i="4"/>
  <c r="H1675" i="4"/>
  <c r="M1675" i="4"/>
  <c r="N1675" i="4" s="1"/>
  <c r="H1942" i="4"/>
  <c r="M1942" i="4"/>
  <c r="N1942" i="4" s="1"/>
  <c r="Y1942" i="4"/>
  <c r="Y1691" i="4"/>
  <c r="H1691" i="4"/>
  <c r="M1691" i="4"/>
  <c r="N1691" i="4" s="1"/>
  <c r="Y1701" i="4"/>
  <c r="M1701" i="4"/>
  <c r="N1701" i="4" s="1"/>
  <c r="H1701" i="4"/>
  <c r="M1711" i="4"/>
  <c r="N1711" i="4" s="1"/>
  <c r="H1711" i="4"/>
  <c r="Y1711" i="4"/>
  <c r="Y1723" i="4"/>
  <c r="H1723" i="4"/>
  <c r="M1723" i="4"/>
  <c r="N1723" i="4" s="1"/>
  <c r="Y1733" i="4"/>
  <c r="M1733" i="4"/>
  <c r="N1733" i="4" s="1"/>
  <c r="H1733" i="4"/>
  <c r="M1743" i="4"/>
  <c r="N1743" i="4" s="1"/>
  <c r="H1743" i="4"/>
  <c r="Y1743" i="4"/>
  <c r="Y1755" i="4"/>
  <c r="M1755" i="4"/>
  <c r="N1755" i="4" s="1"/>
  <c r="H1755" i="4"/>
  <c r="Y1765" i="4"/>
  <c r="H1765" i="4"/>
  <c r="M1765" i="4"/>
  <c r="N1765" i="4" s="1"/>
  <c r="H1775" i="4"/>
  <c r="Y1775" i="4"/>
  <c r="M1775" i="4"/>
  <c r="N1775" i="4" s="1"/>
  <c r="Y1787" i="4"/>
  <c r="M1787" i="4"/>
  <c r="N1787" i="4" s="1"/>
  <c r="H1787" i="4"/>
  <c r="Y1797" i="4"/>
  <c r="H1797" i="4"/>
  <c r="M1797" i="4"/>
  <c r="N1797" i="4" s="1"/>
  <c r="H1807" i="4"/>
  <c r="Y1807" i="4"/>
  <c r="M1807" i="4"/>
  <c r="N1807" i="4" s="1"/>
  <c r="Y1819" i="4"/>
  <c r="M1819" i="4"/>
  <c r="N1819" i="4" s="1"/>
  <c r="H1819" i="4"/>
  <c r="Y1829" i="4"/>
  <c r="H1829" i="4"/>
  <c r="M1829" i="4"/>
  <c r="N1829" i="4" s="1"/>
  <c r="H1839" i="4"/>
  <c r="Y1839" i="4"/>
  <c r="M1839" i="4"/>
  <c r="N1839" i="4" s="1"/>
  <c r="Y1851" i="4"/>
  <c r="M1851" i="4"/>
  <c r="N1851" i="4" s="1"/>
  <c r="H1851" i="4"/>
  <c r="Y1861" i="4"/>
  <c r="H1861" i="4"/>
  <c r="M1861" i="4"/>
  <c r="N1861" i="4" s="1"/>
  <c r="H1871" i="4"/>
  <c r="Y1871" i="4"/>
  <c r="M1871" i="4"/>
  <c r="N1871" i="4" s="1"/>
  <c r="Y1883" i="4"/>
  <c r="M1883" i="4"/>
  <c r="N1883" i="4" s="1"/>
  <c r="H1883" i="4"/>
  <c r="Y1896" i="4"/>
  <c r="H1896" i="4"/>
  <c r="M1896" i="4"/>
  <c r="N1896" i="4" s="1"/>
  <c r="M1916" i="4"/>
  <c r="N1916" i="4" s="1"/>
  <c r="H1916" i="4"/>
  <c r="Y1916" i="4"/>
  <c r="Y1947" i="4"/>
  <c r="M1947" i="4"/>
  <c r="N1947" i="4" s="1"/>
  <c r="H1947" i="4"/>
  <c r="M1987" i="4"/>
  <c r="N1987" i="4" s="1"/>
  <c r="H1987" i="4"/>
  <c r="Y1987" i="4"/>
  <c r="H2052" i="4"/>
  <c r="Y2052" i="4"/>
  <c r="M2052" i="4"/>
  <c r="N2052" i="4" s="1"/>
  <c r="H2116" i="4"/>
  <c r="Y2116" i="4"/>
  <c r="M2116" i="4"/>
  <c r="N2116" i="4" s="1"/>
  <c r="Y2180" i="4"/>
  <c r="M2180" i="4"/>
  <c r="N2180" i="4" s="1"/>
  <c r="H2180" i="4"/>
  <c r="Y2244" i="4"/>
  <c r="M2244" i="4"/>
  <c r="N2244" i="4" s="1"/>
  <c r="H2244" i="4"/>
  <c r="M2047" i="4"/>
  <c r="N2047" i="4" s="1"/>
  <c r="Y2047" i="4"/>
  <c r="H2047" i="4"/>
  <c r="M2111" i="4"/>
  <c r="N2111" i="4" s="1"/>
  <c r="Y2111" i="4"/>
  <c r="H2111" i="4"/>
  <c r="M2175" i="4"/>
  <c r="N2175" i="4" s="1"/>
  <c r="Y2175" i="4"/>
  <c r="H2175" i="4"/>
  <c r="M2239" i="4"/>
  <c r="N2239" i="4" s="1"/>
  <c r="Y2239" i="4"/>
  <c r="H2239" i="4"/>
  <c r="Y1917" i="4"/>
  <c r="H1917" i="4"/>
  <c r="M1917" i="4"/>
  <c r="N1917" i="4" s="1"/>
  <c r="Y2029" i="4"/>
  <c r="H2029" i="4"/>
  <c r="M2029" i="4"/>
  <c r="N2029" i="4" s="1"/>
  <c r="Y2157" i="4"/>
  <c r="M2157" i="4"/>
  <c r="N2157" i="4" s="1"/>
  <c r="H2157" i="4"/>
  <c r="H2573" i="4"/>
  <c r="M2573" i="4"/>
  <c r="N2573" i="4" s="1"/>
  <c r="Y2573" i="4"/>
  <c r="Y2022" i="4"/>
  <c r="M2022" i="4"/>
  <c r="N2022" i="4" s="1"/>
  <c r="H2022" i="4"/>
  <c r="Y2150" i="4"/>
  <c r="M2150" i="4"/>
  <c r="N2150" i="4" s="1"/>
  <c r="H2150" i="4"/>
  <c r="H2781" i="4"/>
  <c r="Y2781" i="4"/>
  <c r="M2781" i="4"/>
  <c r="N2781" i="4" s="1"/>
  <c r="H3045" i="4"/>
  <c r="Y3045" i="4"/>
  <c r="M3045" i="4"/>
  <c r="N3045" i="4" s="1"/>
  <c r="H2761" i="4"/>
  <c r="Y2761" i="4"/>
  <c r="M2761" i="4"/>
  <c r="N2761" i="4" s="1"/>
  <c r="H3017" i="4"/>
  <c r="Y3017" i="4"/>
  <c r="M3017" i="4"/>
  <c r="N3017" i="4" s="1"/>
  <c r="Y2572" i="4"/>
  <c r="H2572" i="4"/>
  <c r="M2572" i="4"/>
  <c r="N2572" i="4" s="1"/>
  <c r="Y2700" i="4"/>
  <c r="H2700" i="4"/>
  <c r="M2700" i="4"/>
  <c r="N2700" i="4" s="1"/>
  <c r="Y2860" i="4"/>
  <c r="H2860" i="4"/>
  <c r="M2860" i="4"/>
  <c r="N2860" i="4" s="1"/>
  <c r="Y2988" i="4"/>
  <c r="H2988" i="4"/>
  <c r="M2988" i="4"/>
  <c r="N2988" i="4" s="1"/>
  <c r="Y3116" i="4"/>
  <c r="H3116" i="4"/>
  <c r="M3116" i="4"/>
  <c r="N3116" i="4" s="1"/>
  <c r="H2262" i="4"/>
  <c r="Y2262" i="4"/>
  <c r="M2262" i="4"/>
  <c r="N2262" i="4" s="1"/>
  <c r="H2309" i="4"/>
  <c r="Y2309" i="4"/>
  <c r="M2309" i="4"/>
  <c r="N2309" i="4" s="1"/>
  <c r="H2338" i="4"/>
  <c r="Y2338" i="4"/>
  <c r="M2338" i="4"/>
  <c r="N2338" i="4" s="1"/>
  <c r="H2370" i="4"/>
  <c r="Y2370" i="4"/>
  <c r="M2370" i="4"/>
  <c r="N2370" i="4" s="1"/>
  <c r="Y2402" i="4"/>
  <c r="M2402" i="4"/>
  <c r="N2402" i="4" s="1"/>
  <c r="H2402" i="4"/>
  <c r="Y2434" i="4"/>
  <c r="M2434" i="4"/>
  <c r="N2434" i="4" s="1"/>
  <c r="H2434" i="4"/>
  <c r="Y2466" i="4"/>
  <c r="M2466" i="4"/>
  <c r="N2466" i="4" s="1"/>
  <c r="H2466" i="4"/>
  <c r="Y2498" i="4"/>
  <c r="M2498" i="4"/>
  <c r="N2498" i="4" s="1"/>
  <c r="H2498" i="4"/>
  <c r="H2530" i="4"/>
  <c r="Y2530" i="4"/>
  <c r="M2530" i="4"/>
  <c r="N2530" i="4" s="1"/>
  <c r="Y2542" i="4"/>
  <c r="M2542" i="4"/>
  <c r="N2542" i="4" s="1"/>
  <c r="H2542" i="4"/>
  <c r="Y2593" i="4"/>
  <c r="M2593" i="4"/>
  <c r="N2593" i="4" s="1"/>
  <c r="H2593" i="4"/>
  <c r="H2769" i="4"/>
  <c r="Y2769" i="4"/>
  <c r="M2769" i="4"/>
  <c r="N2769" i="4" s="1"/>
  <c r="Y3105" i="4"/>
  <c r="H3105" i="4"/>
  <c r="M3105" i="4"/>
  <c r="N3105" i="4" s="1"/>
  <c r="H2776" i="4"/>
  <c r="Y2776" i="4"/>
  <c r="M2776" i="4"/>
  <c r="N2776" i="4" s="1"/>
  <c r="Y2952" i="4"/>
  <c r="M2952" i="4"/>
  <c r="N2952" i="4" s="1"/>
  <c r="H2952" i="4"/>
  <c r="M3120" i="4"/>
  <c r="N3120" i="4" s="1"/>
  <c r="H3120" i="4"/>
  <c r="Y3120" i="4"/>
  <c r="H2683" i="4"/>
  <c r="Y2683" i="4"/>
  <c r="M2683" i="4"/>
  <c r="N2683" i="4" s="1"/>
  <c r="Y2349" i="4"/>
  <c r="M2349" i="4"/>
  <c r="N2349" i="4" s="1"/>
  <c r="H2349" i="4"/>
  <c r="Y2477" i="4"/>
  <c r="M2477" i="4"/>
  <c r="N2477" i="4" s="1"/>
  <c r="H2477" i="4"/>
  <c r="M2819" i="4"/>
  <c r="N2819" i="4" s="1"/>
  <c r="H2819" i="4"/>
  <c r="Y2819" i="4"/>
  <c r="H3042" i="4"/>
  <c r="Y3042" i="4"/>
  <c r="M3042" i="4"/>
  <c r="N3042" i="4" s="1"/>
  <c r="M101" i="3"/>
  <c r="N101" i="3" s="1"/>
  <c r="Y101" i="3"/>
  <c r="H101" i="3"/>
  <c r="M109" i="3"/>
  <c r="N109" i="3" s="1"/>
  <c r="H109" i="3"/>
  <c r="Y109" i="3"/>
  <c r="Y1061" i="4"/>
  <c r="M1061" i="4"/>
  <c r="N1061" i="4" s="1"/>
  <c r="H1061" i="4"/>
  <c r="M1069" i="4"/>
  <c r="N1069" i="4" s="1"/>
  <c r="H1069" i="4"/>
  <c r="Y1069" i="4"/>
  <c r="M1077" i="4"/>
  <c r="N1077" i="4" s="1"/>
  <c r="H1077" i="4"/>
  <c r="Y1077" i="4"/>
  <c r="H1085" i="4"/>
  <c r="Y1085" i="4"/>
  <c r="M1085" i="4"/>
  <c r="N1085" i="4" s="1"/>
  <c r="M1093" i="4"/>
  <c r="N1093" i="4" s="1"/>
  <c r="H1093" i="4"/>
  <c r="Y1093" i="4"/>
  <c r="Y1101" i="4"/>
  <c r="M1101" i="4"/>
  <c r="N1101" i="4" s="1"/>
  <c r="H1101" i="4"/>
  <c r="M1109" i="4"/>
  <c r="N1109" i="4" s="1"/>
  <c r="H1109" i="4"/>
  <c r="Y1109" i="4"/>
  <c r="M1117" i="4"/>
  <c r="N1117" i="4" s="1"/>
  <c r="H1117" i="4"/>
  <c r="Y1117" i="4"/>
  <c r="M1125" i="4"/>
  <c r="N1125" i="4" s="1"/>
  <c r="H1125" i="4"/>
  <c r="Y1125" i="4"/>
  <c r="H1133" i="4"/>
  <c r="Y1133" i="4"/>
  <c r="M1133" i="4"/>
  <c r="N1133" i="4" s="1"/>
  <c r="Y1141" i="4"/>
  <c r="M1141" i="4"/>
  <c r="N1141" i="4" s="1"/>
  <c r="H1141" i="4"/>
  <c r="M1149" i="4"/>
  <c r="N1149" i="4" s="1"/>
  <c r="H1149" i="4"/>
  <c r="Y1149" i="4"/>
  <c r="M1157" i="4"/>
  <c r="N1157" i="4" s="1"/>
  <c r="H1157" i="4"/>
  <c r="Y1157" i="4"/>
  <c r="H1165" i="4"/>
  <c r="Y1165" i="4"/>
  <c r="M1165" i="4"/>
  <c r="N1165" i="4" s="1"/>
  <c r="Y1173" i="4"/>
  <c r="M1173" i="4"/>
  <c r="N1173" i="4" s="1"/>
  <c r="H1173" i="4"/>
  <c r="M1181" i="4"/>
  <c r="N1181" i="4" s="1"/>
  <c r="H1181" i="4"/>
  <c r="Y1181" i="4"/>
  <c r="M1189" i="4"/>
  <c r="N1189" i="4" s="1"/>
  <c r="H1189" i="4"/>
  <c r="Y1189" i="4"/>
  <c r="H1197" i="4"/>
  <c r="Y1197" i="4"/>
  <c r="M1197" i="4"/>
  <c r="N1197" i="4" s="1"/>
  <c r="Y1205" i="4"/>
  <c r="M1205" i="4"/>
  <c r="N1205" i="4" s="1"/>
  <c r="H1205" i="4"/>
  <c r="M1213" i="4"/>
  <c r="N1213" i="4" s="1"/>
  <c r="H1213" i="4"/>
  <c r="Y1213" i="4"/>
  <c r="H1221" i="4"/>
  <c r="Y1221" i="4"/>
  <c r="M1221" i="4"/>
  <c r="N1221" i="4" s="1"/>
  <c r="H1229" i="4"/>
  <c r="Y1229" i="4"/>
  <c r="M1229" i="4"/>
  <c r="N1229" i="4" s="1"/>
  <c r="M1237" i="4"/>
  <c r="N1237" i="4" s="1"/>
  <c r="H1237" i="4"/>
  <c r="Y1237" i="4"/>
  <c r="M1245" i="4"/>
  <c r="N1245" i="4" s="1"/>
  <c r="H1245" i="4"/>
  <c r="Y1245" i="4"/>
  <c r="Y1253" i="4"/>
  <c r="M1253" i="4"/>
  <c r="N1253" i="4" s="1"/>
  <c r="H1253" i="4"/>
  <c r="Y1261" i="4"/>
  <c r="M1261" i="4"/>
  <c r="N1261" i="4" s="1"/>
  <c r="H1261" i="4"/>
  <c r="M1269" i="4"/>
  <c r="N1269" i="4" s="1"/>
  <c r="H1269" i="4"/>
  <c r="Y1269" i="4"/>
  <c r="H1277" i="4"/>
  <c r="Y1277" i="4"/>
  <c r="M1277" i="4"/>
  <c r="N1277" i="4" s="1"/>
  <c r="M1285" i="4"/>
  <c r="N1285" i="4" s="1"/>
  <c r="H1285" i="4"/>
  <c r="Y1285" i="4"/>
  <c r="M1293" i="4"/>
  <c r="N1293" i="4" s="1"/>
  <c r="H1293" i="4"/>
  <c r="Y1293" i="4"/>
  <c r="H1301" i="4"/>
  <c r="Y1301" i="4"/>
  <c r="M1301" i="4"/>
  <c r="N1301" i="4" s="1"/>
  <c r="Y1309" i="4"/>
  <c r="M1309" i="4"/>
  <c r="N1309" i="4" s="1"/>
  <c r="H1309" i="4"/>
  <c r="M1317" i="4"/>
  <c r="N1317" i="4" s="1"/>
  <c r="H1317" i="4"/>
  <c r="Y1317" i="4"/>
  <c r="M1325" i="4"/>
  <c r="N1325" i="4" s="1"/>
  <c r="H1325" i="4"/>
  <c r="Y1325" i="4"/>
  <c r="Y1333" i="4"/>
  <c r="M1333" i="4"/>
  <c r="N1333" i="4" s="1"/>
  <c r="H1333" i="4"/>
  <c r="M1341" i="4"/>
  <c r="N1341" i="4" s="1"/>
  <c r="H1341" i="4"/>
  <c r="Y1341" i="4"/>
  <c r="H1349" i="4"/>
  <c r="Y1349" i="4"/>
  <c r="M1349" i="4"/>
  <c r="N1349" i="4" s="1"/>
  <c r="H1357" i="4"/>
  <c r="Y1357" i="4"/>
  <c r="M1357" i="4"/>
  <c r="N1357" i="4" s="1"/>
  <c r="M1622" i="4"/>
  <c r="N1622" i="4" s="1"/>
  <c r="H1622" i="4"/>
  <c r="Y1622" i="4"/>
  <c r="Y1654" i="4"/>
  <c r="M1654" i="4"/>
  <c r="N1654" i="4" s="1"/>
  <c r="H1654" i="4"/>
  <c r="Y1629" i="4"/>
  <c r="M1629" i="4"/>
  <c r="N1629" i="4" s="1"/>
  <c r="H1629" i="4"/>
  <c r="M1661" i="4"/>
  <c r="N1661" i="4" s="1"/>
  <c r="Y1661" i="4"/>
  <c r="H1661" i="4"/>
  <c r="H1608" i="4"/>
  <c r="Y1608" i="4"/>
  <c r="M1608" i="4"/>
  <c r="N1608" i="4" s="1"/>
  <c r="M1640" i="4"/>
  <c r="N1640" i="4" s="1"/>
  <c r="H1640" i="4"/>
  <c r="Y1640" i="4"/>
  <c r="M1672" i="4"/>
  <c r="N1672" i="4" s="1"/>
  <c r="Y1672" i="4"/>
  <c r="H1672" i="4"/>
  <c r="M1358" i="4"/>
  <c r="N1358" i="4" s="1"/>
  <c r="H1358" i="4"/>
  <c r="Y1358" i="4"/>
  <c r="M1060" i="4"/>
  <c r="N1060" i="4" s="1"/>
  <c r="Y1060" i="4"/>
  <c r="H1060" i="4"/>
  <c r="H1068" i="4"/>
  <c r="Y1068" i="4"/>
  <c r="M1068" i="4"/>
  <c r="N1068" i="4" s="1"/>
  <c r="M1076" i="4"/>
  <c r="N1076" i="4" s="1"/>
  <c r="Y1076" i="4"/>
  <c r="H1076" i="4"/>
  <c r="H1084" i="4"/>
  <c r="Y1084" i="4"/>
  <c r="M1084" i="4"/>
  <c r="N1084" i="4" s="1"/>
  <c r="M1092" i="4"/>
  <c r="N1092" i="4" s="1"/>
  <c r="Y1092" i="4"/>
  <c r="H1092" i="4"/>
  <c r="H1100" i="4"/>
  <c r="Y1100" i="4"/>
  <c r="M1100" i="4"/>
  <c r="N1100" i="4" s="1"/>
  <c r="H1108" i="4"/>
  <c r="Y1108" i="4"/>
  <c r="M1108" i="4"/>
  <c r="N1108" i="4" s="1"/>
  <c r="H1116" i="4"/>
  <c r="Y1116" i="4"/>
  <c r="M1116" i="4"/>
  <c r="N1116" i="4" s="1"/>
  <c r="H1124" i="4"/>
  <c r="Y1124" i="4"/>
  <c r="M1124" i="4"/>
  <c r="N1124" i="4" s="1"/>
  <c r="H1132" i="4"/>
  <c r="Y1132" i="4"/>
  <c r="M1132" i="4"/>
  <c r="N1132" i="4" s="1"/>
  <c r="H1140" i="4"/>
  <c r="Y1140" i="4"/>
  <c r="M1140" i="4"/>
  <c r="N1140" i="4" s="1"/>
  <c r="H1148" i="4"/>
  <c r="Y1148" i="4"/>
  <c r="M1148" i="4"/>
  <c r="N1148" i="4" s="1"/>
  <c r="H1156" i="4"/>
  <c r="Y1156" i="4"/>
  <c r="M1156" i="4"/>
  <c r="N1156" i="4" s="1"/>
  <c r="H1164" i="4"/>
  <c r="Y1164" i="4"/>
  <c r="M1164" i="4"/>
  <c r="N1164" i="4" s="1"/>
  <c r="H1172" i="4"/>
  <c r="Y1172" i="4"/>
  <c r="M1172" i="4"/>
  <c r="N1172" i="4" s="1"/>
  <c r="H1180" i="4"/>
  <c r="Y1180" i="4"/>
  <c r="M1180" i="4"/>
  <c r="N1180" i="4" s="1"/>
  <c r="H1188" i="4"/>
  <c r="Y1188" i="4"/>
  <c r="M1188" i="4"/>
  <c r="N1188" i="4" s="1"/>
  <c r="H1196" i="4"/>
  <c r="Y1196" i="4"/>
  <c r="M1196" i="4"/>
  <c r="N1196" i="4" s="1"/>
  <c r="H1204" i="4"/>
  <c r="Y1204" i="4"/>
  <c r="M1204" i="4"/>
  <c r="N1204" i="4" s="1"/>
  <c r="H1212" i="4"/>
  <c r="Y1212" i="4"/>
  <c r="M1212" i="4"/>
  <c r="N1212" i="4" s="1"/>
  <c r="H1220" i="4"/>
  <c r="Y1220" i="4"/>
  <c r="M1220" i="4"/>
  <c r="N1220" i="4" s="1"/>
  <c r="H1228" i="4"/>
  <c r="Y1228" i="4"/>
  <c r="M1228" i="4"/>
  <c r="N1228" i="4" s="1"/>
  <c r="H1236" i="4"/>
  <c r="Y1236" i="4"/>
  <c r="M1236" i="4"/>
  <c r="N1236" i="4" s="1"/>
  <c r="H1244" i="4"/>
  <c r="Y1244" i="4"/>
  <c r="M1244" i="4"/>
  <c r="N1244" i="4" s="1"/>
  <c r="H1252" i="4"/>
  <c r="Y1252" i="4"/>
  <c r="M1252" i="4"/>
  <c r="N1252" i="4" s="1"/>
  <c r="H1260" i="4"/>
  <c r="Y1260" i="4"/>
  <c r="M1260" i="4"/>
  <c r="N1260" i="4" s="1"/>
  <c r="H1268" i="4"/>
  <c r="Y1268" i="4"/>
  <c r="M1268" i="4"/>
  <c r="N1268" i="4" s="1"/>
  <c r="H1276" i="4"/>
  <c r="Y1276" i="4"/>
  <c r="M1276" i="4"/>
  <c r="N1276" i="4" s="1"/>
  <c r="H1284" i="4"/>
  <c r="Y1284" i="4"/>
  <c r="M1284" i="4"/>
  <c r="N1284" i="4" s="1"/>
  <c r="H1292" i="4"/>
  <c r="Y1292" i="4"/>
  <c r="M1292" i="4"/>
  <c r="N1292" i="4" s="1"/>
  <c r="H1300" i="4"/>
  <c r="Y1300" i="4"/>
  <c r="M1300" i="4"/>
  <c r="N1300" i="4" s="1"/>
  <c r="H1308" i="4"/>
  <c r="Y1308" i="4"/>
  <c r="M1308" i="4"/>
  <c r="N1308" i="4" s="1"/>
  <c r="H1316" i="4"/>
  <c r="Y1316" i="4"/>
  <c r="M1316" i="4"/>
  <c r="N1316" i="4" s="1"/>
  <c r="H1324" i="4"/>
  <c r="Y1324" i="4"/>
  <c r="M1324" i="4"/>
  <c r="N1324" i="4" s="1"/>
  <c r="H1332" i="4"/>
  <c r="Y1332" i="4"/>
  <c r="M1332" i="4"/>
  <c r="N1332" i="4" s="1"/>
  <c r="H1340" i="4"/>
  <c r="Y1340" i="4"/>
  <c r="M1340" i="4"/>
  <c r="N1340" i="4" s="1"/>
  <c r="H1348" i="4"/>
  <c r="Y1348" i="4"/>
  <c r="M1348" i="4"/>
  <c r="N1348" i="4" s="1"/>
  <c r="H1356" i="4"/>
  <c r="Y1356" i="4"/>
  <c r="M1356" i="4"/>
  <c r="N1356" i="4" s="1"/>
  <c r="M1610" i="4"/>
  <c r="N1610" i="4" s="1"/>
  <c r="H1610" i="4"/>
  <c r="Y1610" i="4"/>
  <c r="M1642" i="4"/>
  <c r="N1642" i="4" s="1"/>
  <c r="H1642" i="4"/>
  <c r="Y1642" i="4"/>
  <c r="M1674" i="4"/>
  <c r="N1674" i="4" s="1"/>
  <c r="H1674" i="4"/>
  <c r="Y1674" i="4"/>
  <c r="Y1617" i="4"/>
  <c r="M1617" i="4"/>
  <c r="N1617" i="4" s="1"/>
  <c r="H1617" i="4"/>
  <c r="M1649" i="4"/>
  <c r="N1649" i="4" s="1"/>
  <c r="Y1649" i="4"/>
  <c r="H1649" i="4"/>
  <c r="M1681" i="4"/>
  <c r="N1681" i="4" s="1"/>
  <c r="Y1681" i="4"/>
  <c r="H1681" i="4"/>
  <c r="Y1628" i="4"/>
  <c r="M1628" i="4"/>
  <c r="N1628" i="4" s="1"/>
  <c r="H1628" i="4"/>
  <c r="M1660" i="4"/>
  <c r="N1660" i="4" s="1"/>
  <c r="H1660" i="4"/>
  <c r="Y1660" i="4"/>
  <c r="M1364" i="4"/>
  <c r="N1364" i="4" s="1"/>
  <c r="H1364" i="4"/>
  <c r="Y1364" i="4"/>
  <c r="M1372" i="4"/>
  <c r="N1372" i="4" s="1"/>
  <c r="H1372" i="4"/>
  <c r="Y1372" i="4"/>
  <c r="M1380" i="4"/>
  <c r="N1380" i="4" s="1"/>
  <c r="H1380" i="4"/>
  <c r="Y1380" i="4"/>
  <c r="M1388" i="4"/>
  <c r="N1388" i="4" s="1"/>
  <c r="H1388" i="4"/>
  <c r="Y1388" i="4"/>
  <c r="M1396" i="4"/>
  <c r="N1396" i="4" s="1"/>
  <c r="H1396" i="4"/>
  <c r="Y1396" i="4"/>
  <c r="M1404" i="4"/>
  <c r="N1404" i="4" s="1"/>
  <c r="H1404" i="4"/>
  <c r="Y1404" i="4"/>
  <c r="M1412" i="4"/>
  <c r="N1412" i="4" s="1"/>
  <c r="H1412" i="4"/>
  <c r="Y1412" i="4"/>
  <c r="M1420" i="4"/>
  <c r="N1420" i="4" s="1"/>
  <c r="H1420" i="4"/>
  <c r="Y1420" i="4"/>
  <c r="M1428" i="4"/>
  <c r="N1428" i="4" s="1"/>
  <c r="H1428" i="4"/>
  <c r="Y1428" i="4"/>
  <c r="M1436" i="4"/>
  <c r="N1436" i="4" s="1"/>
  <c r="H1436" i="4"/>
  <c r="Y1436" i="4"/>
  <c r="M1445" i="4"/>
  <c r="N1445" i="4" s="1"/>
  <c r="H1445" i="4"/>
  <c r="Y1445" i="4"/>
  <c r="M1453" i="4"/>
  <c r="N1453" i="4" s="1"/>
  <c r="H1453" i="4"/>
  <c r="Y1453" i="4"/>
  <c r="M1461" i="4"/>
  <c r="N1461" i="4" s="1"/>
  <c r="H1461" i="4"/>
  <c r="Y1461" i="4"/>
  <c r="M1469" i="4"/>
  <c r="N1469" i="4" s="1"/>
  <c r="H1469" i="4"/>
  <c r="Y1469" i="4"/>
  <c r="M1477" i="4"/>
  <c r="N1477" i="4" s="1"/>
  <c r="H1477" i="4"/>
  <c r="Y1477" i="4"/>
  <c r="M1485" i="4"/>
  <c r="N1485" i="4" s="1"/>
  <c r="H1485" i="4"/>
  <c r="Y1485" i="4"/>
  <c r="M1493" i="4"/>
  <c r="N1493" i="4" s="1"/>
  <c r="H1493" i="4"/>
  <c r="Y1493" i="4"/>
  <c r="M1501" i="4"/>
  <c r="N1501" i="4" s="1"/>
  <c r="H1501" i="4"/>
  <c r="Y1501" i="4"/>
  <c r="M1509" i="4"/>
  <c r="N1509" i="4" s="1"/>
  <c r="H1509" i="4"/>
  <c r="Y1509" i="4"/>
  <c r="M1517" i="4"/>
  <c r="N1517" i="4" s="1"/>
  <c r="H1517" i="4"/>
  <c r="Y1517" i="4"/>
  <c r="M1525" i="4"/>
  <c r="N1525" i="4" s="1"/>
  <c r="H1525" i="4"/>
  <c r="Y1525" i="4"/>
  <c r="H1533" i="4"/>
  <c r="Y1533" i="4"/>
  <c r="M1533" i="4"/>
  <c r="N1533" i="4" s="1"/>
  <c r="Y1541" i="4"/>
  <c r="M1541" i="4"/>
  <c r="N1541" i="4" s="1"/>
  <c r="H1541" i="4"/>
  <c r="M1549" i="4"/>
  <c r="N1549" i="4" s="1"/>
  <c r="H1549" i="4"/>
  <c r="Y1549" i="4"/>
  <c r="H1557" i="4"/>
  <c r="Y1557" i="4"/>
  <c r="M1557" i="4"/>
  <c r="N1557" i="4" s="1"/>
  <c r="M1565" i="4"/>
  <c r="N1565" i="4" s="1"/>
  <c r="H1565" i="4"/>
  <c r="Y1565" i="4"/>
  <c r="H1573" i="4"/>
  <c r="Y1573" i="4"/>
  <c r="M1573" i="4"/>
  <c r="N1573" i="4" s="1"/>
  <c r="M1581" i="4"/>
  <c r="N1581" i="4" s="1"/>
  <c r="H1581" i="4"/>
  <c r="Y1581" i="4"/>
  <c r="H1589" i="4"/>
  <c r="Y1589" i="4"/>
  <c r="M1589" i="4"/>
  <c r="N1589" i="4" s="1"/>
  <c r="M1597" i="4"/>
  <c r="N1597" i="4" s="1"/>
  <c r="H1597" i="4"/>
  <c r="Y1597" i="4"/>
  <c r="H1607" i="4"/>
  <c r="Y1607" i="4"/>
  <c r="M1607" i="4"/>
  <c r="N1607" i="4" s="1"/>
  <c r="H1639" i="4"/>
  <c r="Y1639" i="4"/>
  <c r="M1639" i="4"/>
  <c r="N1639" i="4" s="1"/>
  <c r="H1671" i="4"/>
  <c r="Y1671" i="4"/>
  <c r="M1671" i="4"/>
  <c r="N1671" i="4" s="1"/>
  <c r="Y1682" i="4"/>
  <c r="M1682" i="4"/>
  <c r="N1682" i="4" s="1"/>
  <c r="H1682" i="4"/>
  <c r="Y1970" i="4"/>
  <c r="H1970" i="4"/>
  <c r="M1970" i="4"/>
  <c r="N1970" i="4" s="1"/>
  <c r="M1692" i="4"/>
  <c r="N1692" i="4" s="1"/>
  <c r="H1692" i="4"/>
  <c r="Y1692" i="4"/>
  <c r="H1700" i="4"/>
  <c r="Y1700" i="4"/>
  <c r="M1700" i="4"/>
  <c r="N1700" i="4" s="1"/>
  <c r="M1708" i="4"/>
  <c r="N1708" i="4" s="1"/>
  <c r="Y1708" i="4"/>
  <c r="H1708" i="4"/>
  <c r="H1716" i="4"/>
  <c r="Y1716" i="4"/>
  <c r="M1716" i="4"/>
  <c r="N1716" i="4" s="1"/>
  <c r="Y1724" i="4"/>
  <c r="H1724" i="4"/>
  <c r="M1724" i="4"/>
  <c r="N1724" i="4" s="1"/>
  <c r="Y1732" i="4"/>
  <c r="H1732" i="4"/>
  <c r="M1732" i="4"/>
  <c r="N1732" i="4" s="1"/>
  <c r="M1740" i="4"/>
  <c r="N1740" i="4" s="1"/>
  <c r="H1740" i="4"/>
  <c r="Y1740" i="4"/>
  <c r="H1748" i="4"/>
  <c r="M1748" i="4"/>
  <c r="N1748" i="4" s="1"/>
  <c r="Y1748" i="4"/>
  <c r="Y1756" i="4"/>
  <c r="M1756" i="4"/>
  <c r="N1756" i="4" s="1"/>
  <c r="H1756" i="4"/>
  <c r="Y1764" i="4"/>
  <c r="H1764" i="4"/>
  <c r="M1764" i="4"/>
  <c r="N1764" i="4" s="1"/>
  <c r="H1772" i="4"/>
  <c r="Y1772" i="4"/>
  <c r="M1772" i="4"/>
  <c r="N1772" i="4" s="1"/>
  <c r="H1780" i="4"/>
  <c r="Y1780" i="4"/>
  <c r="M1780" i="4"/>
  <c r="N1780" i="4" s="1"/>
  <c r="Y1788" i="4"/>
  <c r="M1788" i="4"/>
  <c r="N1788" i="4" s="1"/>
  <c r="H1788" i="4"/>
  <c r="M1796" i="4"/>
  <c r="N1796" i="4" s="1"/>
  <c r="Y1796" i="4"/>
  <c r="H1796" i="4"/>
  <c r="Y1804" i="4"/>
  <c r="M1804" i="4"/>
  <c r="N1804" i="4" s="1"/>
  <c r="H1804" i="4"/>
  <c r="Y1812" i="4"/>
  <c r="H1812" i="4"/>
  <c r="M1812" i="4"/>
  <c r="N1812" i="4" s="1"/>
  <c r="M1820" i="4"/>
  <c r="N1820" i="4" s="1"/>
  <c r="H1820" i="4"/>
  <c r="Y1820" i="4"/>
  <c r="Y1828" i="4"/>
  <c r="H1828" i="4"/>
  <c r="M1828" i="4"/>
  <c r="N1828" i="4" s="1"/>
  <c r="Y1836" i="4"/>
  <c r="M1836" i="4"/>
  <c r="N1836" i="4" s="1"/>
  <c r="H1836" i="4"/>
  <c r="Y1844" i="4"/>
  <c r="H1844" i="4"/>
  <c r="M1844" i="4"/>
  <c r="N1844" i="4" s="1"/>
  <c r="H1852" i="4"/>
  <c r="Y1852" i="4"/>
  <c r="M1852" i="4"/>
  <c r="N1852" i="4" s="1"/>
  <c r="Y1860" i="4"/>
  <c r="H1860" i="4"/>
  <c r="M1860" i="4"/>
  <c r="N1860" i="4" s="1"/>
  <c r="M1868" i="4"/>
  <c r="N1868" i="4" s="1"/>
  <c r="H1868" i="4"/>
  <c r="Y1868" i="4"/>
  <c r="H1876" i="4"/>
  <c r="M1876" i="4"/>
  <c r="N1876" i="4" s="1"/>
  <c r="Y1876" i="4"/>
  <c r="Y1884" i="4"/>
  <c r="M1884" i="4"/>
  <c r="N1884" i="4" s="1"/>
  <c r="H1884" i="4"/>
  <c r="Y1894" i="4"/>
  <c r="H1894" i="4"/>
  <c r="M1894" i="4"/>
  <c r="N1894" i="4" s="1"/>
  <c r="Y1910" i="4"/>
  <c r="H1910" i="4"/>
  <c r="M1910" i="4"/>
  <c r="N1910" i="4" s="1"/>
  <c r="Y1926" i="4"/>
  <c r="H1926" i="4"/>
  <c r="M1926" i="4"/>
  <c r="N1926" i="4" s="1"/>
  <c r="Y1944" i="4"/>
  <c r="M1944" i="4"/>
  <c r="N1944" i="4" s="1"/>
  <c r="H1944" i="4"/>
  <c r="Y1962" i="4"/>
  <c r="M1962" i="4"/>
  <c r="N1962" i="4" s="1"/>
  <c r="H1962" i="4"/>
  <c r="Y1983" i="4"/>
  <c r="M1983" i="4"/>
  <c r="N1983" i="4" s="1"/>
  <c r="H1983" i="4"/>
  <c r="Y2015" i="4"/>
  <c r="H2015" i="4"/>
  <c r="M2015" i="4"/>
  <c r="N2015" i="4" s="1"/>
  <c r="M2263" i="4"/>
  <c r="N2263" i="4" s="1"/>
  <c r="Y2263" i="4"/>
  <c r="H2263" i="4"/>
  <c r="M2295" i="4"/>
  <c r="N2295" i="4" s="1"/>
  <c r="Y2295" i="4"/>
  <c r="H2295" i="4"/>
  <c r="M2327" i="4"/>
  <c r="N2327" i="4" s="1"/>
  <c r="Y2327" i="4"/>
  <c r="H2327" i="4"/>
  <c r="H1994" i="4"/>
  <c r="M1994" i="4"/>
  <c r="N1994" i="4" s="1"/>
  <c r="Y1994" i="4"/>
  <c r="M2040" i="4"/>
  <c r="N2040" i="4" s="1"/>
  <c r="H2040" i="4"/>
  <c r="Y2040" i="4"/>
  <c r="H2072" i="4"/>
  <c r="M2072" i="4"/>
  <c r="N2072" i="4" s="1"/>
  <c r="Y2072" i="4"/>
  <c r="H2104" i="4"/>
  <c r="M2104" i="4"/>
  <c r="N2104" i="4" s="1"/>
  <c r="Y2104" i="4"/>
  <c r="H2136" i="4"/>
  <c r="M2136" i="4"/>
  <c r="N2136" i="4" s="1"/>
  <c r="Y2136" i="4"/>
  <c r="Y2168" i="4"/>
  <c r="M2168" i="4"/>
  <c r="N2168" i="4" s="1"/>
  <c r="H2168" i="4"/>
  <c r="Y2200" i="4"/>
  <c r="M2200" i="4"/>
  <c r="N2200" i="4" s="1"/>
  <c r="H2200" i="4"/>
  <c r="Y2232" i="4"/>
  <c r="M2232" i="4"/>
  <c r="N2232" i="4" s="1"/>
  <c r="H2232" i="4"/>
  <c r="M2035" i="4"/>
  <c r="N2035" i="4" s="1"/>
  <c r="H2035" i="4"/>
  <c r="Y2035" i="4"/>
  <c r="M2067" i="4"/>
  <c r="N2067" i="4" s="1"/>
  <c r="H2067" i="4"/>
  <c r="Y2067" i="4"/>
  <c r="M2099" i="4"/>
  <c r="N2099" i="4" s="1"/>
  <c r="H2099" i="4"/>
  <c r="Y2099" i="4"/>
  <c r="M2131" i="4"/>
  <c r="N2131" i="4" s="1"/>
  <c r="H2131" i="4"/>
  <c r="Y2131" i="4"/>
  <c r="H2163" i="4"/>
  <c r="M2163" i="4"/>
  <c r="N2163" i="4" s="1"/>
  <c r="Y2163" i="4"/>
  <c r="H2195" i="4"/>
  <c r="M2195" i="4"/>
  <c r="N2195" i="4" s="1"/>
  <c r="Y2195" i="4"/>
  <c r="H2227" i="4"/>
  <c r="M2227" i="4"/>
  <c r="N2227" i="4" s="1"/>
  <c r="Y2227" i="4"/>
  <c r="H2259" i="4"/>
  <c r="M2259" i="4"/>
  <c r="N2259" i="4" s="1"/>
  <c r="Y2259" i="4"/>
  <c r="H2291" i="4"/>
  <c r="M2291" i="4"/>
  <c r="N2291" i="4" s="1"/>
  <c r="Y2291" i="4"/>
  <c r="H2323" i="4"/>
  <c r="M2323" i="4"/>
  <c r="N2323" i="4" s="1"/>
  <c r="Y2323" i="4"/>
  <c r="H2752" i="4"/>
  <c r="Y2752" i="4"/>
  <c r="M2752" i="4"/>
  <c r="N2752" i="4" s="1"/>
  <c r="M1961" i="4"/>
  <c r="N1961" i="4" s="1"/>
  <c r="H1961" i="4"/>
  <c r="Y1961" i="4"/>
  <c r="Y1946" i="4"/>
  <c r="M1946" i="4"/>
  <c r="N1946" i="4" s="1"/>
  <c r="H1946" i="4"/>
  <c r="Y1895" i="4"/>
  <c r="M1895" i="4"/>
  <c r="N1895" i="4" s="1"/>
  <c r="H1895" i="4"/>
  <c r="Y1911" i="4"/>
  <c r="M1911" i="4"/>
  <c r="N1911" i="4" s="1"/>
  <c r="H1911" i="4"/>
  <c r="Y1927" i="4"/>
  <c r="M1927" i="4"/>
  <c r="N1927" i="4" s="1"/>
  <c r="H1927" i="4"/>
  <c r="Y2049" i="4"/>
  <c r="M2049" i="4"/>
  <c r="N2049" i="4" s="1"/>
  <c r="H2049" i="4"/>
  <c r="Y2081" i="4"/>
  <c r="M2081" i="4"/>
  <c r="N2081" i="4" s="1"/>
  <c r="H2081" i="4"/>
  <c r="Y2113" i="4"/>
  <c r="M2113" i="4"/>
  <c r="N2113" i="4" s="1"/>
  <c r="H2113" i="4"/>
  <c r="Y2145" i="4"/>
  <c r="M2145" i="4"/>
  <c r="N2145" i="4" s="1"/>
  <c r="H2145" i="4"/>
  <c r="Y2177" i="4"/>
  <c r="M2177" i="4"/>
  <c r="N2177" i="4" s="1"/>
  <c r="H2177" i="4"/>
  <c r="Y2209" i="4"/>
  <c r="M2209" i="4"/>
  <c r="N2209" i="4" s="1"/>
  <c r="H2209" i="4"/>
  <c r="Y2241" i="4"/>
  <c r="M2241" i="4"/>
  <c r="N2241" i="4" s="1"/>
  <c r="H2241" i="4"/>
  <c r="M2629" i="4"/>
  <c r="N2629" i="4" s="1"/>
  <c r="H2629" i="4"/>
  <c r="Y2629" i="4"/>
  <c r="M2709" i="4"/>
  <c r="N2709" i="4" s="1"/>
  <c r="H2709" i="4"/>
  <c r="Y2709" i="4"/>
  <c r="M2001" i="4"/>
  <c r="N2001" i="4" s="1"/>
  <c r="H2001" i="4"/>
  <c r="Y2001" i="4"/>
  <c r="M2000" i="4"/>
  <c r="N2000" i="4" s="1"/>
  <c r="Y2000" i="4"/>
  <c r="H2000" i="4"/>
  <c r="Y2050" i="4"/>
  <c r="M2050" i="4"/>
  <c r="N2050" i="4" s="1"/>
  <c r="H2050" i="4"/>
  <c r="H2090" i="4"/>
  <c r="Y2090" i="4"/>
  <c r="M2090" i="4"/>
  <c r="N2090" i="4" s="1"/>
  <c r="M2130" i="4"/>
  <c r="N2130" i="4" s="1"/>
  <c r="H2130" i="4"/>
  <c r="Y2130" i="4"/>
  <c r="Y2178" i="4"/>
  <c r="M2178" i="4"/>
  <c r="N2178" i="4" s="1"/>
  <c r="H2178" i="4"/>
  <c r="H2218" i="4"/>
  <c r="Y2218" i="4"/>
  <c r="M2218" i="4"/>
  <c r="N2218" i="4" s="1"/>
  <c r="M2845" i="4"/>
  <c r="N2845" i="4" s="1"/>
  <c r="H2845" i="4"/>
  <c r="Y2845" i="4"/>
  <c r="H2925" i="4"/>
  <c r="Y2925" i="4"/>
  <c r="M2925" i="4"/>
  <c r="N2925" i="4" s="1"/>
  <c r="Y3005" i="4"/>
  <c r="H3005" i="4"/>
  <c r="M3005" i="4"/>
  <c r="N3005" i="4" s="1"/>
  <c r="Y3101" i="4"/>
  <c r="M3101" i="4"/>
  <c r="N3101" i="4" s="1"/>
  <c r="H3101" i="4"/>
  <c r="Y3181" i="4"/>
  <c r="H3181" i="4"/>
  <c r="M3181" i="4"/>
  <c r="N3181" i="4" s="1"/>
  <c r="Y1371" i="4"/>
  <c r="M1371" i="4"/>
  <c r="N1371" i="4" s="1"/>
  <c r="H1371" i="4"/>
  <c r="M1381" i="4"/>
  <c r="N1381" i="4" s="1"/>
  <c r="H1381" i="4"/>
  <c r="Y1381" i="4"/>
  <c r="Y1391" i="4"/>
  <c r="M1391" i="4"/>
  <c r="N1391" i="4" s="1"/>
  <c r="H1391" i="4"/>
  <c r="Y1403" i="4"/>
  <c r="H1403" i="4"/>
  <c r="M1403" i="4"/>
  <c r="N1403" i="4" s="1"/>
  <c r="H1413" i="4"/>
  <c r="Y1413" i="4"/>
  <c r="M1413" i="4"/>
  <c r="N1413" i="4" s="1"/>
  <c r="Y1423" i="4"/>
  <c r="M1423" i="4"/>
  <c r="N1423" i="4" s="1"/>
  <c r="H1423" i="4"/>
  <c r="M1435" i="4"/>
  <c r="N1435" i="4" s="1"/>
  <c r="H1435" i="4"/>
  <c r="Y1435" i="4"/>
  <c r="H1446" i="4"/>
  <c r="Y1446" i="4"/>
  <c r="M1446" i="4"/>
  <c r="N1446" i="4" s="1"/>
  <c r="H1456" i="4"/>
  <c r="Y1456" i="4"/>
  <c r="M1456" i="4"/>
  <c r="N1456" i="4" s="1"/>
  <c r="Y1468" i="4"/>
  <c r="M1468" i="4"/>
  <c r="N1468" i="4" s="1"/>
  <c r="H1468" i="4"/>
  <c r="Y1478" i="4"/>
  <c r="M1478" i="4"/>
  <c r="N1478" i="4" s="1"/>
  <c r="H1478" i="4"/>
  <c r="M1488" i="4"/>
  <c r="N1488" i="4" s="1"/>
  <c r="H1488" i="4"/>
  <c r="Y1488" i="4"/>
  <c r="Y1500" i="4"/>
  <c r="M1500" i="4"/>
  <c r="N1500" i="4" s="1"/>
  <c r="H1500" i="4"/>
  <c r="M1510" i="4"/>
  <c r="N1510" i="4" s="1"/>
  <c r="H1510" i="4"/>
  <c r="Y1510" i="4"/>
  <c r="Y1520" i="4"/>
  <c r="M1520" i="4"/>
  <c r="N1520" i="4" s="1"/>
  <c r="H1520" i="4"/>
  <c r="H1532" i="4"/>
  <c r="Y1532" i="4"/>
  <c r="M1532" i="4"/>
  <c r="N1532" i="4" s="1"/>
  <c r="Y1542" i="4"/>
  <c r="M1542" i="4"/>
  <c r="N1542" i="4" s="1"/>
  <c r="H1542" i="4"/>
  <c r="M1552" i="4"/>
  <c r="N1552" i="4" s="1"/>
  <c r="Y1552" i="4"/>
  <c r="H1552" i="4"/>
  <c r="M1564" i="4"/>
  <c r="N1564" i="4" s="1"/>
  <c r="H1564" i="4"/>
  <c r="Y1564" i="4"/>
  <c r="M1574" i="4"/>
  <c r="N1574" i="4" s="1"/>
  <c r="Y1574" i="4"/>
  <c r="H1574" i="4"/>
  <c r="M1584" i="4"/>
  <c r="N1584" i="4" s="1"/>
  <c r="Y1584" i="4"/>
  <c r="H1584" i="4"/>
  <c r="H1596" i="4"/>
  <c r="Y1596" i="4"/>
  <c r="M1596" i="4"/>
  <c r="N1596" i="4" s="1"/>
  <c r="M1651" i="4"/>
  <c r="N1651" i="4" s="1"/>
  <c r="H1651" i="4"/>
  <c r="Y1651" i="4"/>
  <c r="M1693" i="4"/>
  <c r="N1693" i="4" s="1"/>
  <c r="Y1693" i="4"/>
  <c r="H1693" i="4"/>
  <c r="Y1703" i="4"/>
  <c r="M1703" i="4"/>
  <c r="N1703" i="4" s="1"/>
  <c r="H1703" i="4"/>
  <c r="Y1715" i="4"/>
  <c r="M1715" i="4"/>
  <c r="N1715" i="4" s="1"/>
  <c r="H1715" i="4"/>
  <c r="M1725" i="4"/>
  <c r="N1725" i="4" s="1"/>
  <c r="Y1725" i="4"/>
  <c r="H1725" i="4"/>
  <c r="Y1735" i="4"/>
  <c r="M1735" i="4"/>
  <c r="N1735" i="4" s="1"/>
  <c r="H1735" i="4"/>
  <c r="Y1747" i="4"/>
  <c r="M1747" i="4"/>
  <c r="N1747" i="4" s="1"/>
  <c r="H1747" i="4"/>
  <c r="M1757" i="4"/>
  <c r="N1757" i="4" s="1"/>
  <c r="Y1757" i="4"/>
  <c r="H1757" i="4"/>
  <c r="M1767" i="4"/>
  <c r="N1767" i="4" s="1"/>
  <c r="H1767" i="4"/>
  <c r="Y1767" i="4"/>
  <c r="H1779" i="4"/>
  <c r="Y1779" i="4"/>
  <c r="M1779" i="4"/>
  <c r="N1779" i="4" s="1"/>
  <c r="M1789" i="4"/>
  <c r="N1789" i="4" s="1"/>
  <c r="Y1789" i="4"/>
  <c r="H1789" i="4"/>
  <c r="M1799" i="4"/>
  <c r="N1799" i="4" s="1"/>
  <c r="H1799" i="4"/>
  <c r="Y1799" i="4"/>
  <c r="H1811" i="4"/>
  <c r="Y1811" i="4"/>
  <c r="M1811" i="4"/>
  <c r="N1811" i="4" s="1"/>
  <c r="M1821" i="4"/>
  <c r="N1821" i="4" s="1"/>
  <c r="Y1821" i="4"/>
  <c r="H1821" i="4"/>
  <c r="M1831" i="4"/>
  <c r="N1831" i="4" s="1"/>
  <c r="H1831" i="4"/>
  <c r="Y1831" i="4"/>
  <c r="H1843" i="4"/>
  <c r="Y1843" i="4"/>
  <c r="M1843" i="4"/>
  <c r="N1843" i="4" s="1"/>
  <c r="M1853" i="4"/>
  <c r="N1853" i="4" s="1"/>
  <c r="Y1853" i="4"/>
  <c r="H1853" i="4"/>
  <c r="M1863" i="4"/>
  <c r="N1863" i="4" s="1"/>
  <c r="H1863" i="4"/>
  <c r="Y1863" i="4"/>
  <c r="H1875" i="4"/>
  <c r="Y1875" i="4"/>
  <c r="M1875" i="4"/>
  <c r="N1875" i="4" s="1"/>
  <c r="M1885" i="4"/>
  <c r="N1885" i="4" s="1"/>
  <c r="Y1885" i="4"/>
  <c r="H1885" i="4"/>
  <c r="Y1900" i="4"/>
  <c r="M1900" i="4"/>
  <c r="N1900" i="4" s="1"/>
  <c r="H1900" i="4"/>
  <c r="M1924" i="4"/>
  <c r="N1924" i="4" s="1"/>
  <c r="Y1924" i="4"/>
  <c r="H1924" i="4"/>
  <c r="Y1971" i="4"/>
  <c r="H1971" i="4"/>
  <c r="M1971" i="4"/>
  <c r="N1971" i="4" s="1"/>
  <c r="M2748" i="4"/>
  <c r="N2748" i="4" s="1"/>
  <c r="Y2748" i="4"/>
  <c r="H2748" i="4"/>
  <c r="M2014" i="4"/>
  <c r="N2014" i="4" s="1"/>
  <c r="H2014" i="4"/>
  <c r="Y2014" i="4"/>
  <c r="M2068" i="4"/>
  <c r="N2068" i="4" s="1"/>
  <c r="H2068" i="4"/>
  <c r="Y2068" i="4"/>
  <c r="M2132" i="4"/>
  <c r="N2132" i="4" s="1"/>
  <c r="H2132" i="4"/>
  <c r="Y2132" i="4"/>
  <c r="H2196" i="4"/>
  <c r="Y2196" i="4"/>
  <c r="M2196" i="4"/>
  <c r="N2196" i="4" s="1"/>
  <c r="Y2063" i="4"/>
  <c r="H2063" i="4"/>
  <c r="M2063" i="4"/>
  <c r="N2063" i="4" s="1"/>
  <c r="Y2127" i="4"/>
  <c r="H2127" i="4"/>
  <c r="M2127" i="4"/>
  <c r="N2127" i="4" s="1"/>
  <c r="Y2191" i="4"/>
  <c r="H2191" i="4"/>
  <c r="M2191" i="4"/>
  <c r="N2191" i="4" s="1"/>
  <c r="M1933" i="4"/>
  <c r="N1933" i="4" s="1"/>
  <c r="Y1933" i="4"/>
  <c r="H1933" i="4"/>
  <c r="Y2061" i="4"/>
  <c r="M2061" i="4"/>
  <c r="N2061" i="4" s="1"/>
  <c r="H2061" i="4"/>
  <c r="Y2189" i="4"/>
  <c r="M2189" i="4"/>
  <c r="N2189" i="4" s="1"/>
  <c r="H2189" i="4"/>
  <c r="H2637" i="4"/>
  <c r="Y2637" i="4"/>
  <c r="M2637" i="4"/>
  <c r="N2637" i="4" s="1"/>
  <c r="M1989" i="4"/>
  <c r="N1989" i="4" s="1"/>
  <c r="Y1989" i="4"/>
  <c r="H1989" i="4"/>
  <c r="Y1988" i="4"/>
  <c r="M1988" i="4"/>
  <c r="N1988" i="4" s="1"/>
  <c r="H1988" i="4"/>
  <c r="Y2054" i="4"/>
  <c r="M2054" i="4"/>
  <c r="N2054" i="4" s="1"/>
  <c r="H2054" i="4"/>
  <c r="Y2182" i="4"/>
  <c r="M2182" i="4"/>
  <c r="N2182" i="4" s="1"/>
  <c r="H2182" i="4"/>
  <c r="Y2853" i="4"/>
  <c r="M2853" i="4"/>
  <c r="N2853" i="4" s="1"/>
  <c r="H2853" i="4"/>
  <c r="H3109" i="4"/>
  <c r="Y3109" i="4"/>
  <c r="M3109" i="4"/>
  <c r="N3109" i="4" s="1"/>
  <c r="H2825" i="4"/>
  <c r="Y2825" i="4"/>
  <c r="M2825" i="4"/>
  <c r="N2825" i="4" s="1"/>
  <c r="Y3081" i="4"/>
  <c r="M3081" i="4"/>
  <c r="N3081" i="4" s="1"/>
  <c r="H3081" i="4"/>
  <c r="M2332" i="4"/>
  <c r="N2332" i="4" s="1"/>
  <c r="H2332" i="4"/>
  <c r="Y2332" i="4"/>
  <c r="Y2540" i="4"/>
  <c r="H2540" i="4"/>
  <c r="M2540" i="4"/>
  <c r="N2540" i="4" s="1"/>
  <c r="Y2668" i="4"/>
  <c r="H2668" i="4"/>
  <c r="M2668" i="4"/>
  <c r="N2668" i="4" s="1"/>
  <c r="Y2764" i="4"/>
  <c r="H2764" i="4"/>
  <c r="M2764" i="4"/>
  <c r="N2764" i="4" s="1"/>
  <c r="Y2892" i="4"/>
  <c r="H2892" i="4"/>
  <c r="M2892" i="4"/>
  <c r="N2892" i="4" s="1"/>
  <c r="Y3020" i="4"/>
  <c r="H3020" i="4"/>
  <c r="M3020" i="4"/>
  <c r="N3020" i="4" s="1"/>
  <c r="Y3148" i="4"/>
  <c r="H3148" i="4"/>
  <c r="M3148" i="4"/>
  <c r="N3148" i="4" s="1"/>
  <c r="H2667" i="4"/>
  <c r="Y2667" i="4"/>
  <c r="M2667" i="4"/>
  <c r="N2667" i="4" s="1"/>
  <c r="Y2742" i="4"/>
  <c r="H2742" i="4"/>
  <c r="M2742" i="4"/>
  <c r="N2742" i="4" s="1"/>
  <c r="H2277" i="4"/>
  <c r="Y2277" i="4"/>
  <c r="M2277" i="4"/>
  <c r="N2277" i="4" s="1"/>
  <c r="Y2346" i="4"/>
  <c r="M2346" i="4"/>
  <c r="N2346" i="4" s="1"/>
  <c r="H2346" i="4"/>
  <c r="Y2378" i="4"/>
  <c r="M2378" i="4"/>
  <c r="N2378" i="4" s="1"/>
  <c r="H2378" i="4"/>
  <c r="M2410" i="4"/>
  <c r="N2410" i="4" s="1"/>
  <c r="H2410" i="4"/>
  <c r="Y2410" i="4"/>
  <c r="M2442" i="4"/>
  <c r="N2442" i="4" s="1"/>
  <c r="H2442" i="4"/>
  <c r="Y2442" i="4"/>
  <c r="M2474" i="4"/>
  <c r="N2474" i="4" s="1"/>
  <c r="H2474" i="4"/>
  <c r="Y2474" i="4"/>
  <c r="Y2506" i="4"/>
  <c r="M2506" i="4"/>
  <c r="N2506" i="4" s="1"/>
  <c r="H2506" i="4"/>
  <c r="Y2538" i="4"/>
  <c r="M2538" i="4"/>
  <c r="N2538" i="4" s="1"/>
  <c r="H2538" i="4"/>
  <c r="H2633" i="4"/>
  <c r="M2633" i="4"/>
  <c r="N2633" i="4" s="1"/>
  <c r="Y2633" i="4"/>
  <c r="H2849" i="4"/>
  <c r="M2849" i="4"/>
  <c r="N2849" i="4" s="1"/>
  <c r="Y2849" i="4"/>
  <c r="M3201" i="4"/>
  <c r="N3201" i="4" s="1"/>
  <c r="H3201" i="4"/>
  <c r="Y3201" i="4"/>
  <c r="M2544" i="4"/>
  <c r="N2544" i="4" s="1"/>
  <c r="H2544" i="4"/>
  <c r="Y2544" i="4"/>
  <c r="M2824" i="4"/>
  <c r="N2824" i="4" s="1"/>
  <c r="H2824" i="4"/>
  <c r="Y2824" i="4"/>
  <c r="Y2992" i="4"/>
  <c r="M2992" i="4"/>
  <c r="N2992" i="4" s="1"/>
  <c r="H2992" i="4"/>
  <c r="Y3160" i="4"/>
  <c r="M3160" i="4"/>
  <c r="N3160" i="4" s="1"/>
  <c r="H3160" i="4"/>
  <c r="M2281" i="4"/>
  <c r="N2281" i="4" s="1"/>
  <c r="H2281" i="4"/>
  <c r="Y2281" i="4"/>
  <c r="Y2381" i="4"/>
  <c r="M2381" i="4"/>
  <c r="N2381" i="4" s="1"/>
  <c r="H2381" i="4"/>
  <c r="M2509" i="4"/>
  <c r="N2509" i="4" s="1"/>
  <c r="H2509" i="4"/>
  <c r="Y2509" i="4"/>
  <c r="M2947" i="4"/>
  <c r="N2947" i="4" s="1"/>
  <c r="H2947" i="4"/>
  <c r="Y2947" i="4"/>
  <c r="H3170" i="4"/>
  <c r="Y3170" i="4"/>
  <c r="M3170" i="4"/>
  <c r="N3170" i="4" s="1"/>
  <c r="Y1055" i="4"/>
  <c r="M1055" i="4"/>
  <c r="N1055" i="4" s="1"/>
  <c r="H1055" i="4"/>
  <c r="M1063" i="4"/>
  <c r="N1063" i="4" s="1"/>
  <c r="H1063" i="4"/>
  <c r="Y1063" i="4"/>
  <c r="Y1071" i="4"/>
  <c r="M1071" i="4"/>
  <c r="N1071" i="4" s="1"/>
  <c r="H1071" i="4"/>
  <c r="M1079" i="4"/>
  <c r="N1079" i="4" s="1"/>
  <c r="H1079" i="4"/>
  <c r="Y1079" i="4"/>
  <c r="Y1087" i="4"/>
  <c r="M1087" i="4"/>
  <c r="N1087" i="4" s="1"/>
  <c r="H1087" i="4"/>
  <c r="M1095" i="4"/>
  <c r="N1095" i="4" s="1"/>
  <c r="Y1095" i="4"/>
  <c r="H1095" i="4"/>
  <c r="M1103" i="4"/>
  <c r="N1103" i="4" s="1"/>
  <c r="Y1103" i="4"/>
  <c r="H1103" i="4"/>
  <c r="M1111" i="4"/>
  <c r="N1111" i="4" s="1"/>
  <c r="Y1111" i="4"/>
  <c r="H1111" i="4"/>
  <c r="Y1119" i="4"/>
  <c r="H1119" i="4"/>
  <c r="M1119" i="4"/>
  <c r="N1119" i="4" s="1"/>
  <c r="M1127" i="4"/>
  <c r="N1127" i="4" s="1"/>
  <c r="Y1127" i="4"/>
  <c r="H1127" i="4"/>
  <c r="M1135" i="4"/>
  <c r="N1135" i="4" s="1"/>
  <c r="Y1135" i="4"/>
  <c r="H1135" i="4"/>
  <c r="Y1143" i="4"/>
  <c r="H1143" i="4"/>
  <c r="M1143" i="4"/>
  <c r="N1143" i="4" s="1"/>
  <c r="M1151" i="4"/>
  <c r="N1151" i="4" s="1"/>
  <c r="H1151" i="4"/>
  <c r="Y1151" i="4"/>
  <c r="M1159" i="4"/>
  <c r="N1159" i="4" s="1"/>
  <c r="Y1159" i="4"/>
  <c r="H1159" i="4"/>
  <c r="Y1167" i="4"/>
  <c r="H1167" i="4"/>
  <c r="M1167" i="4"/>
  <c r="N1167" i="4" s="1"/>
  <c r="M1175" i="4"/>
  <c r="N1175" i="4" s="1"/>
  <c r="Y1175" i="4"/>
  <c r="H1175" i="4"/>
  <c r="M1183" i="4"/>
  <c r="N1183" i="4" s="1"/>
  <c r="H1183" i="4"/>
  <c r="Y1183" i="4"/>
  <c r="M1191" i="4"/>
  <c r="N1191" i="4" s="1"/>
  <c r="Y1191" i="4"/>
  <c r="H1191" i="4"/>
  <c r="M1199" i="4"/>
  <c r="N1199" i="4" s="1"/>
  <c r="Y1199" i="4"/>
  <c r="H1199" i="4"/>
  <c r="M1207" i="4"/>
  <c r="N1207" i="4" s="1"/>
  <c r="Y1207" i="4"/>
  <c r="H1207" i="4"/>
  <c r="Y1215" i="4"/>
  <c r="H1215" i="4"/>
  <c r="M1215" i="4"/>
  <c r="N1215" i="4" s="1"/>
  <c r="M1223" i="4"/>
  <c r="N1223" i="4" s="1"/>
  <c r="H1223" i="4"/>
  <c r="Y1223" i="4"/>
  <c r="M1231" i="4"/>
  <c r="N1231" i="4" s="1"/>
  <c r="Y1231" i="4"/>
  <c r="H1231" i="4"/>
  <c r="M1239" i="4"/>
  <c r="N1239" i="4" s="1"/>
  <c r="H1239" i="4"/>
  <c r="Y1239" i="4"/>
  <c r="Y1247" i="4"/>
  <c r="H1247" i="4"/>
  <c r="M1247" i="4"/>
  <c r="N1247" i="4" s="1"/>
  <c r="H1255" i="4"/>
  <c r="M1255" i="4"/>
  <c r="N1255" i="4" s="1"/>
  <c r="Y1255" i="4"/>
  <c r="M1263" i="4"/>
  <c r="N1263" i="4" s="1"/>
  <c r="Y1263" i="4"/>
  <c r="H1263" i="4"/>
  <c r="M1271" i="4"/>
  <c r="N1271" i="4" s="1"/>
  <c r="Y1271" i="4"/>
  <c r="H1271" i="4"/>
  <c r="Y1279" i="4"/>
  <c r="H1279" i="4"/>
  <c r="M1279" i="4"/>
  <c r="N1279" i="4" s="1"/>
  <c r="H1287" i="4"/>
  <c r="Y1287" i="4"/>
  <c r="M1287" i="4"/>
  <c r="N1287" i="4" s="1"/>
  <c r="M1295" i="4"/>
  <c r="N1295" i="4" s="1"/>
  <c r="Y1295" i="4"/>
  <c r="H1295" i="4"/>
  <c r="M1303" i="4"/>
  <c r="N1303" i="4" s="1"/>
  <c r="Y1303" i="4"/>
  <c r="H1303" i="4"/>
  <c r="H1311" i="4"/>
  <c r="Y1311" i="4"/>
  <c r="M1311" i="4"/>
  <c r="N1311" i="4" s="1"/>
  <c r="M1319" i="4"/>
  <c r="N1319" i="4" s="1"/>
  <c r="Y1319" i="4"/>
  <c r="H1319" i="4"/>
  <c r="M1327" i="4"/>
  <c r="N1327" i="4" s="1"/>
  <c r="H1327" i="4"/>
  <c r="Y1327" i="4"/>
  <c r="M1335" i="4"/>
  <c r="N1335" i="4" s="1"/>
  <c r="Y1335" i="4"/>
  <c r="H1335" i="4"/>
  <c r="H1343" i="4"/>
  <c r="Y1343" i="4"/>
  <c r="M1343" i="4"/>
  <c r="N1343" i="4" s="1"/>
  <c r="M1351" i="4"/>
  <c r="N1351" i="4" s="1"/>
  <c r="H1351" i="4"/>
  <c r="Y1351" i="4"/>
  <c r="Y1614" i="4"/>
  <c r="M1614" i="4"/>
  <c r="N1614" i="4" s="1"/>
  <c r="H1614" i="4"/>
  <c r="Y1646" i="4"/>
  <c r="M1646" i="4"/>
  <c r="N1646" i="4" s="1"/>
  <c r="H1646" i="4"/>
  <c r="Y1678" i="4"/>
  <c r="M1678" i="4"/>
  <c r="N1678" i="4" s="1"/>
  <c r="H1678" i="4"/>
  <c r="Y1621" i="4"/>
  <c r="M1621" i="4"/>
  <c r="N1621" i="4" s="1"/>
  <c r="H1621" i="4"/>
  <c r="H1653" i="4"/>
  <c r="M1653" i="4"/>
  <c r="N1653" i="4" s="1"/>
  <c r="Y1653" i="4"/>
  <c r="M1600" i="4"/>
  <c r="N1600" i="4" s="1"/>
  <c r="H1600" i="4"/>
  <c r="Y1600" i="4"/>
  <c r="Y1632" i="4"/>
  <c r="H1632" i="4"/>
  <c r="M1632" i="4"/>
  <c r="N1632" i="4" s="1"/>
  <c r="M1664" i="4"/>
  <c r="N1664" i="4" s="1"/>
  <c r="Y1664" i="4"/>
  <c r="H1664" i="4"/>
  <c r="M1684" i="4"/>
  <c r="N1684" i="4" s="1"/>
  <c r="Y1684" i="4"/>
  <c r="H1684" i="4"/>
  <c r="H1054" i="4"/>
  <c r="Y1054" i="4"/>
  <c r="M1054" i="4"/>
  <c r="N1054" i="4" s="1"/>
  <c r="H1062" i="4"/>
  <c r="Y1062" i="4"/>
  <c r="M1062" i="4"/>
  <c r="N1062" i="4" s="1"/>
  <c r="H1070" i="4"/>
  <c r="Y1070" i="4"/>
  <c r="M1070" i="4"/>
  <c r="N1070" i="4" s="1"/>
  <c r="H1078" i="4"/>
  <c r="Y1078" i="4"/>
  <c r="M1078" i="4"/>
  <c r="N1078" i="4" s="1"/>
  <c r="H1086" i="4"/>
  <c r="Y1086" i="4"/>
  <c r="M1086" i="4"/>
  <c r="N1086" i="4" s="1"/>
  <c r="Y1094" i="4"/>
  <c r="H1094" i="4"/>
  <c r="M1094" i="4"/>
  <c r="N1094" i="4" s="1"/>
  <c r="Y1102" i="4"/>
  <c r="M1102" i="4"/>
  <c r="N1102" i="4" s="1"/>
  <c r="H1102" i="4"/>
  <c r="Y1110" i="4"/>
  <c r="H1110" i="4"/>
  <c r="M1110" i="4"/>
  <c r="N1110" i="4" s="1"/>
  <c r="Y1118" i="4"/>
  <c r="H1118" i="4"/>
  <c r="M1118" i="4"/>
  <c r="N1118" i="4" s="1"/>
  <c r="Y1126" i="4"/>
  <c r="H1126" i="4"/>
  <c r="M1126" i="4"/>
  <c r="N1126" i="4" s="1"/>
  <c r="Y1134" i="4"/>
  <c r="M1134" i="4"/>
  <c r="N1134" i="4" s="1"/>
  <c r="H1134" i="4"/>
  <c r="Y1142" i="4"/>
  <c r="H1142" i="4"/>
  <c r="M1142" i="4"/>
  <c r="N1142" i="4" s="1"/>
  <c r="Y1150" i="4"/>
  <c r="H1150" i="4"/>
  <c r="M1150" i="4"/>
  <c r="N1150" i="4" s="1"/>
  <c r="Y1158" i="4"/>
  <c r="H1158" i="4"/>
  <c r="M1158" i="4"/>
  <c r="N1158" i="4" s="1"/>
  <c r="Y1166" i="4"/>
  <c r="M1166" i="4"/>
  <c r="N1166" i="4" s="1"/>
  <c r="H1166" i="4"/>
  <c r="Y1174" i="4"/>
  <c r="H1174" i="4"/>
  <c r="M1174" i="4"/>
  <c r="N1174" i="4" s="1"/>
  <c r="Y1182" i="4"/>
  <c r="H1182" i="4"/>
  <c r="M1182" i="4"/>
  <c r="N1182" i="4" s="1"/>
  <c r="Y1190" i="4"/>
  <c r="H1190" i="4"/>
  <c r="M1190" i="4"/>
  <c r="N1190" i="4" s="1"/>
  <c r="Y1198" i="4"/>
  <c r="M1198" i="4"/>
  <c r="N1198" i="4" s="1"/>
  <c r="H1198" i="4"/>
  <c r="Y1206" i="4"/>
  <c r="H1206" i="4"/>
  <c r="M1206" i="4"/>
  <c r="N1206" i="4" s="1"/>
  <c r="Y1214" i="4"/>
  <c r="H1214" i="4"/>
  <c r="M1214" i="4"/>
  <c r="N1214" i="4" s="1"/>
  <c r="Y1222" i="4"/>
  <c r="H1222" i="4"/>
  <c r="M1222" i="4"/>
  <c r="N1222" i="4" s="1"/>
  <c r="Y1230" i="4"/>
  <c r="M1230" i="4"/>
  <c r="N1230" i="4" s="1"/>
  <c r="H1230" i="4"/>
  <c r="Y1238" i="4"/>
  <c r="H1238" i="4"/>
  <c r="M1238" i="4"/>
  <c r="N1238" i="4" s="1"/>
  <c r="Y1246" i="4"/>
  <c r="H1246" i="4"/>
  <c r="M1246" i="4"/>
  <c r="N1246" i="4" s="1"/>
  <c r="Y1254" i="4"/>
  <c r="H1254" i="4"/>
  <c r="M1254" i="4"/>
  <c r="N1254" i="4" s="1"/>
  <c r="Y1262" i="4"/>
  <c r="M1262" i="4"/>
  <c r="N1262" i="4" s="1"/>
  <c r="H1262" i="4"/>
  <c r="Y1270" i="4"/>
  <c r="H1270" i="4"/>
  <c r="M1270" i="4"/>
  <c r="N1270" i="4" s="1"/>
  <c r="Y1278" i="4"/>
  <c r="H1278" i="4"/>
  <c r="M1278" i="4"/>
  <c r="N1278" i="4" s="1"/>
  <c r="Y1286" i="4"/>
  <c r="H1286" i="4"/>
  <c r="M1286" i="4"/>
  <c r="N1286" i="4" s="1"/>
  <c r="Y1294" i="4"/>
  <c r="M1294" i="4"/>
  <c r="N1294" i="4" s="1"/>
  <c r="H1294" i="4"/>
  <c r="Y1302" i="4"/>
  <c r="H1302" i="4"/>
  <c r="M1302" i="4"/>
  <c r="N1302" i="4" s="1"/>
  <c r="Y1310" i="4"/>
  <c r="H1310" i="4"/>
  <c r="M1310" i="4"/>
  <c r="N1310" i="4" s="1"/>
  <c r="Y1318" i="4"/>
  <c r="H1318" i="4"/>
  <c r="M1318" i="4"/>
  <c r="N1318" i="4" s="1"/>
  <c r="Y1326" i="4"/>
  <c r="M1326" i="4"/>
  <c r="N1326" i="4" s="1"/>
  <c r="H1326" i="4"/>
  <c r="Y1334" i="4"/>
  <c r="H1334" i="4"/>
  <c r="M1334" i="4"/>
  <c r="N1334" i="4" s="1"/>
  <c r="Y1342" i="4"/>
  <c r="H1342" i="4"/>
  <c r="M1342" i="4"/>
  <c r="N1342" i="4" s="1"/>
  <c r="Y1350" i="4"/>
  <c r="H1350" i="4"/>
  <c r="M1350" i="4"/>
  <c r="N1350" i="4" s="1"/>
  <c r="Y1602" i="4"/>
  <c r="M1602" i="4"/>
  <c r="N1602" i="4" s="1"/>
  <c r="H1602" i="4"/>
  <c r="Y1634" i="4"/>
  <c r="M1634" i="4"/>
  <c r="N1634" i="4" s="1"/>
  <c r="H1634" i="4"/>
  <c r="Y1666" i="4"/>
  <c r="M1666" i="4"/>
  <c r="N1666" i="4" s="1"/>
  <c r="H1666" i="4"/>
  <c r="M1609" i="4"/>
  <c r="N1609" i="4" s="1"/>
  <c r="H1609" i="4"/>
  <c r="Y1609" i="4"/>
  <c r="H1641" i="4"/>
  <c r="M1641" i="4"/>
  <c r="N1641" i="4" s="1"/>
  <c r="Y1641" i="4"/>
  <c r="H1673" i="4"/>
  <c r="M1673" i="4"/>
  <c r="N1673" i="4" s="1"/>
  <c r="Y1673" i="4"/>
  <c r="H1620" i="4"/>
  <c r="Y1620" i="4"/>
  <c r="M1620" i="4"/>
  <c r="N1620" i="4" s="1"/>
  <c r="Y1652" i="4"/>
  <c r="H1652" i="4"/>
  <c r="M1652" i="4"/>
  <c r="N1652" i="4" s="1"/>
  <c r="Y1359" i="4"/>
  <c r="M1359" i="4"/>
  <c r="N1359" i="4" s="1"/>
  <c r="H1359" i="4"/>
  <c r="M1366" i="4"/>
  <c r="N1366" i="4" s="1"/>
  <c r="Y1366" i="4"/>
  <c r="H1366" i="4"/>
  <c r="M1374" i="4"/>
  <c r="N1374" i="4" s="1"/>
  <c r="Y1374" i="4"/>
  <c r="H1374" i="4"/>
  <c r="M1382" i="4"/>
  <c r="N1382" i="4" s="1"/>
  <c r="Y1382" i="4"/>
  <c r="H1382" i="4"/>
  <c r="H1390" i="4"/>
  <c r="Y1390" i="4"/>
  <c r="M1390" i="4"/>
  <c r="N1390" i="4" s="1"/>
  <c r="M1398" i="4"/>
  <c r="N1398" i="4" s="1"/>
  <c r="Y1398" i="4"/>
  <c r="H1398" i="4"/>
  <c r="M1406" i="4"/>
  <c r="N1406" i="4" s="1"/>
  <c r="Y1406" i="4"/>
  <c r="H1406" i="4"/>
  <c r="M1414" i="4"/>
  <c r="N1414" i="4" s="1"/>
  <c r="Y1414" i="4"/>
  <c r="H1414" i="4"/>
  <c r="H1422" i="4"/>
  <c r="Y1422" i="4"/>
  <c r="M1422" i="4"/>
  <c r="N1422" i="4" s="1"/>
  <c r="M1430" i="4"/>
  <c r="N1430" i="4" s="1"/>
  <c r="Y1430" i="4"/>
  <c r="H1430" i="4"/>
  <c r="M1439" i="4"/>
  <c r="N1439" i="4" s="1"/>
  <c r="Y1439" i="4"/>
  <c r="H1439" i="4"/>
  <c r="M1447" i="4"/>
  <c r="N1447" i="4" s="1"/>
  <c r="Y1447" i="4"/>
  <c r="H1447" i="4"/>
  <c r="H1455" i="4"/>
  <c r="Y1455" i="4"/>
  <c r="M1455" i="4"/>
  <c r="N1455" i="4" s="1"/>
  <c r="M1463" i="4"/>
  <c r="N1463" i="4" s="1"/>
  <c r="Y1463" i="4"/>
  <c r="H1463" i="4"/>
  <c r="M1471" i="4"/>
  <c r="N1471" i="4" s="1"/>
  <c r="Y1471" i="4"/>
  <c r="H1471" i="4"/>
  <c r="M1479" i="4"/>
  <c r="N1479" i="4" s="1"/>
  <c r="Y1479" i="4"/>
  <c r="H1479" i="4"/>
  <c r="H1487" i="4"/>
  <c r="Y1487" i="4"/>
  <c r="M1487" i="4"/>
  <c r="N1487" i="4" s="1"/>
  <c r="M1495" i="4"/>
  <c r="N1495" i="4" s="1"/>
  <c r="Y1495" i="4"/>
  <c r="H1495" i="4"/>
  <c r="M1503" i="4"/>
  <c r="N1503" i="4" s="1"/>
  <c r="Y1503" i="4"/>
  <c r="H1503" i="4"/>
  <c r="M1511" i="4"/>
  <c r="N1511" i="4" s="1"/>
  <c r="Y1511" i="4"/>
  <c r="H1511" i="4"/>
  <c r="H1519" i="4"/>
  <c r="Y1519" i="4"/>
  <c r="M1519" i="4"/>
  <c r="N1519" i="4" s="1"/>
  <c r="M1527" i="4"/>
  <c r="N1527" i="4" s="1"/>
  <c r="Y1527" i="4"/>
  <c r="H1527" i="4"/>
  <c r="M1535" i="4"/>
  <c r="N1535" i="4" s="1"/>
  <c r="Y1535" i="4"/>
  <c r="H1535" i="4"/>
  <c r="M1543" i="4"/>
  <c r="N1543" i="4" s="1"/>
  <c r="Y1543" i="4"/>
  <c r="H1543" i="4"/>
  <c r="Y1551" i="4"/>
  <c r="M1551" i="4"/>
  <c r="N1551" i="4" s="1"/>
  <c r="H1551" i="4"/>
  <c r="H1559" i="4"/>
  <c r="Y1559" i="4"/>
  <c r="M1559" i="4"/>
  <c r="N1559" i="4" s="1"/>
  <c r="Y1567" i="4"/>
  <c r="M1567" i="4"/>
  <c r="N1567" i="4" s="1"/>
  <c r="H1567" i="4"/>
  <c r="M1575" i="4"/>
  <c r="N1575" i="4" s="1"/>
  <c r="H1575" i="4"/>
  <c r="Y1575" i="4"/>
  <c r="M1583" i="4"/>
  <c r="N1583" i="4" s="1"/>
  <c r="H1583" i="4"/>
  <c r="Y1583" i="4"/>
  <c r="H1591" i="4"/>
  <c r="Y1591" i="4"/>
  <c r="M1591" i="4"/>
  <c r="N1591" i="4" s="1"/>
  <c r="Y1599" i="4"/>
  <c r="M1599" i="4"/>
  <c r="N1599" i="4" s="1"/>
  <c r="H1599" i="4"/>
  <c r="Y1631" i="4"/>
  <c r="M1631" i="4"/>
  <c r="N1631" i="4" s="1"/>
  <c r="H1631" i="4"/>
  <c r="Y1663" i="4"/>
  <c r="M1663" i="4"/>
  <c r="N1663" i="4" s="1"/>
  <c r="H1663" i="4"/>
  <c r="M1686" i="4"/>
  <c r="N1686" i="4" s="1"/>
  <c r="H1686" i="4"/>
  <c r="Y1686" i="4"/>
  <c r="Y1694" i="4"/>
  <c r="M1694" i="4"/>
  <c r="N1694" i="4" s="1"/>
  <c r="H1694" i="4"/>
  <c r="H1702" i="4"/>
  <c r="Y1702" i="4"/>
  <c r="M1702" i="4"/>
  <c r="N1702" i="4" s="1"/>
  <c r="M1710" i="4"/>
  <c r="N1710" i="4" s="1"/>
  <c r="H1710" i="4"/>
  <c r="Y1710" i="4"/>
  <c r="M1718" i="4"/>
  <c r="N1718" i="4" s="1"/>
  <c r="H1718" i="4"/>
  <c r="Y1718" i="4"/>
  <c r="Y1726" i="4"/>
  <c r="M1726" i="4"/>
  <c r="N1726" i="4" s="1"/>
  <c r="H1726" i="4"/>
  <c r="H1734" i="4"/>
  <c r="Y1734" i="4"/>
  <c r="M1734" i="4"/>
  <c r="N1734" i="4" s="1"/>
  <c r="M1742" i="4"/>
  <c r="N1742" i="4" s="1"/>
  <c r="H1742" i="4"/>
  <c r="Y1742" i="4"/>
  <c r="H1750" i="4"/>
  <c r="M1750" i="4"/>
  <c r="N1750" i="4" s="1"/>
  <c r="Y1750" i="4"/>
  <c r="H1758" i="4"/>
  <c r="M1758" i="4"/>
  <c r="N1758" i="4" s="1"/>
  <c r="Y1758" i="4"/>
  <c r="H1766" i="4"/>
  <c r="M1766" i="4"/>
  <c r="N1766" i="4" s="1"/>
  <c r="Y1766" i="4"/>
  <c r="H1774" i="4"/>
  <c r="M1774" i="4"/>
  <c r="N1774" i="4" s="1"/>
  <c r="Y1774" i="4"/>
  <c r="H1782" i="4"/>
  <c r="M1782" i="4"/>
  <c r="N1782" i="4" s="1"/>
  <c r="Y1782" i="4"/>
  <c r="H1790" i="4"/>
  <c r="M1790" i="4"/>
  <c r="N1790" i="4" s="1"/>
  <c r="Y1790" i="4"/>
  <c r="H1798" i="4"/>
  <c r="M1798" i="4"/>
  <c r="N1798" i="4" s="1"/>
  <c r="Y1798" i="4"/>
  <c r="H1806" i="4"/>
  <c r="M1806" i="4"/>
  <c r="N1806" i="4" s="1"/>
  <c r="Y1806" i="4"/>
  <c r="H1814" i="4"/>
  <c r="M1814" i="4"/>
  <c r="N1814" i="4" s="1"/>
  <c r="Y1814" i="4"/>
  <c r="H1822" i="4"/>
  <c r="M1822" i="4"/>
  <c r="N1822" i="4" s="1"/>
  <c r="Y1822" i="4"/>
  <c r="H1830" i="4"/>
  <c r="M1830" i="4"/>
  <c r="N1830" i="4" s="1"/>
  <c r="Y1830" i="4"/>
  <c r="H1838" i="4"/>
  <c r="M1838" i="4"/>
  <c r="N1838" i="4" s="1"/>
  <c r="Y1838" i="4"/>
  <c r="H1846" i="4"/>
  <c r="M1846" i="4"/>
  <c r="N1846" i="4" s="1"/>
  <c r="Y1846" i="4"/>
  <c r="H1854" i="4"/>
  <c r="M1854" i="4"/>
  <c r="N1854" i="4" s="1"/>
  <c r="Y1854" i="4"/>
  <c r="H1862" i="4"/>
  <c r="M1862" i="4"/>
  <c r="N1862" i="4" s="1"/>
  <c r="Y1862" i="4"/>
  <c r="H1870" i="4"/>
  <c r="M1870" i="4"/>
  <c r="N1870" i="4" s="1"/>
  <c r="Y1870" i="4"/>
  <c r="H1878" i="4"/>
  <c r="M1878" i="4"/>
  <c r="N1878" i="4" s="1"/>
  <c r="Y1878" i="4"/>
  <c r="H1886" i="4"/>
  <c r="M1886" i="4"/>
  <c r="N1886" i="4" s="1"/>
  <c r="Y1886" i="4"/>
  <c r="M1898" i="4"/>
  <c r="N1898" i="4" s="1"/>
  <c r="H1898" i="4"/>
  <c r="Y1898" i="4"/>
  <c r="M1914" i="4"/>
  <c r="N1914" i="4" s="1"/>
  <c r="H1914" i="4"/>
  <c r="Y1914" i="4"/>
  <c r="H1975" i="4"/>
  <c r="Y1975" i="4"/>
  <c r="M1975" i="4"/>
  <c r="N1975" i="4" s="1"/>
  <c r="Y2007" i="4"/>
  <c r="H2007" i="4"/>
  <c r="M2007" i="4"/>
  <c r="N2007" i="4" s="1"/>
  <c r="Y2271" i="4"/>
  <c r="H2271" i="4"/>
  <c r="M2271" i="4"/>
  <c r="N2271" i="4" s="1"/>
  <c r="Y2303" i="4"/>
  <c r="H2303" i="4"/>
  <c r="M2303" i="4"/>
  <c r="N2303" i="4" s="1"/>
  <c r="M1986" i="4"/>
  <c r="N1986" i="4" s="1"/>
  <c r="Y1986" i="4"/>
  <c r="H1986" i="4"/>
  <c r="H2018" i="4"/>
  <c r="Y2018" i="4"/>
  <c r="M2018" i="4"/>
  <c r="N2018" i="4" s="1"/>
  <c r="M2048" i="4"/>
  <c r="N2048" i="4" s="1"/>
  <c r="H2048" i="4"/>
  <c r="Y2048" i="4"/>
  <c r="H2080" i="4"/>
  <c r="M2080" i="4"/>
  <c r="N2080" i="4" s="1"/>
  <c r="Y2080" i="4"/>
  <c r="H2112" i="4"/>
  <c r="M2112" i="4"/>
  <c r="N2112" i="4" s="1"/>
  <c r="Y2112" i="4"/>
  <c r="H2144" i="4"/>
  <c r="M2144" i="4"/>
  <c r="N2144" i="4" s="1"/>
  <c r="Y2144" i="4"/>
  <c r="M2176" i="4"/>
  <c r="N2176" i="4" s="1"/>
  <c r="H2176" i="4"/>
  <c r="Y2176" i="4"/>
  <c r="M2208" i="4"/>
  <c r="N2208" i="4" s="1"/>
  <c r="H2208" i="4"/>
  <c r="Y2208" i="4"/>
  <c r="M2240" i="4"/>
  <c r="N2240" i="4" s="1"/>
  <c r="H2240" i="4"/>
  <c r="Y2240" i="4"/>
  <c r="H2043" i="4"/>
  <c r="Y2043" i="4"/>
  <c r="M2043" i="4"/>
  <c r="N2043" i="4" s="1"/>
  <c r="H2075" i="4"/>
  <c r="Y2075" i="4"/>
  <c r="M2075" i="4"/>
  <c r="N2075" i="4" s="1"/>
  <c r="H2107" i="4"/>
  <c r="Y2107" i="4"/>
  <c r="M2107" i="4"/>
  <c r="N2107" i="4" s="1"/>
  <c r="H2139" i="4"/>
  <c r="Y2139" i="4"/>
  <c r="M2139" i="4"/>
  <c r="N2139" i="4" s="1"/>
  <c r="M2171" i="4"/>
  <c r="N2171" i="4" s="1"/>
  <c r="Y2171" i="4"/>
  <c r="H2171" i="4"/>
  <c r="M2203" i="4"/>
  <c r="N2203" i="4" s="1"/>
  <c r="Y2203" i="4"/>
  <c r="H2203" i="4"/>
  <c r="M2235" i="4"/>
  <c r="N2235" i="4" s="1"/>
  <c r="Y2235" i="4"/>
  <c r="H2235" i="4"/>
  <c r="M2267" i="4"/>
  <c r="N2267" i="4" s="1"/>
  <c r="Y2267" i="4"/>
  <c r="H2267" i="4"/>
  <c r="M2299" i="4"/>
  <c r="N2299" i="4" s="1"/>
  <c r="Y2299" i="4"/>
  <c r="H2299" i="4"/>
  <c r="M2331" i="4"/>
  <c r="N2331" i="4" s="1"/>
  <c r="Y2331" i="4"/>
  <c r="H2331" i="4"/>
  <c r="Y1950" i="4"/>
  <c r="H1950" i="4"/>
  <c r="M1950" i="4"/>
  <c r="N1950" i="4" s="1"/>
  <c r="H1936" i="4"/>
  <c r="Y1936" i="4"/>
  <c r="M1936" i="4"/>
  <c r="N1936" i="4" s="1"/>
  <c r="H1965" i="4"/>
  <c r="M1965" i="4"/>
  <c r="N1965" i="4" s="1"/>
  <c r="Y1965" i="4"/>
  <c r="M1899" i="4"/>
  <c r="N1899" i="4" s="1"/>
  <c r="H1899" i="4"/>
  <c r="Y1899" i="4"/>
  <c r="M1915" i="4"/>
  <c r="N1915" i="4" s="1"/>
  <c r="H1915" i="4"/>
  <c r="Y1915" i="4"/>
  <c r="H1949" i="4"/>
  <c r="M1949" i="4"/>
  <c r="N1949" i="4" s="1"/>
  <c r="Y1949" i="4"/>
  <c r="Y1966" i="4"/>
  <c r="H1966" i="4"/>
  <c r="M1966" i="4"/>
  <c r="N1966" i="4" s="1"/>
  <c r="M2025" i="4"/>
  <c r="N2025" i="4" s="1"/>
  <c r="H2025" i="4"/>
  <c r="Y2025" i="4"/>
  <c r="M2057" i="4"/>
  <c r="N2057" i="4" s="1"/>
  <c r="H2057" i="4"/>
  <c r="Y2057" i="4"/>
  <c r="M2089" i="4"/>
  <c r="N2089" i="4" s="1"/>
  <c r="H2089" i="4"/>
  <c r="Y2089" i="4"/>
  <c r="M2121" i="4"/>
  <c r="N2121" i="4" s="1"/>
  <c r="H2121" i="4"/>
  <c r="Y2121" i="4"/>
  <c r="M2153" i="4"/>
  <c r="N2153" i="4" s="1"/>
  <c r="H2153" i="4"/>
  <c r="Y2153" i="4"/>
  <c r="M2185" i="4"/>
  <c r="N2185" i="4" s="1"/>
  <c r="H2185" i="4"/>
  <c r="Y2185" i="4"/>
  <c r="M2217" i="4"/>
  <c r="N2217" i="4" s="1"/>
  <c r="H2217" i="4"/>
  <c r="Y2217" i="4"/>
  <c r="M2249" i="4"/>
  <c r="N2249" i="4" s="1"/>
  <c r="H2249" i="4"/>
  <c r="Y2249" i="4"/>
  <c r="Y2565" i="4"/>
  <c r="H2565" i="4"/>
  <c r="M2565" i="4"/>
  <c r="N2565" i="4" s="1"/>
  <c r="Y2645" i="4"/>
  <c r="M2645" i="4"/>
  <c r="N2645" i="4" s="1"/>
  <c r="H2645" i="4"/>
  <c r="M2725" i="4"/>
  <c r="N2725" i="4" s="1"/>
  <c r="H2725" i="4"/>
  <c r="Y2725" i="4"/>
  <c r="Y1977" i="4"/>
  <c r="H1977" i="4"/>
  <c r="M1977" i="4"/>
  <c r="N1977" i="4" s="1"/>
  <c r="M1960" i="4"/>
  <c r="N1960" i="4" s="1"/>
  <c r="Y1960" i="4"/>
  <c r="H1960" i="4"/>
  <c r="M1976" i="4"/>
  <c r="N1976" i="4" s="1"/>
  <c r="H1976" i="4"/>
  <c r="Y1976" i="4"/>
  <c r="H2058" i="4"/>
  <c r="Y2058" i="4"/>
  <c r="M2058" i="4"/>
  <c r="N2058" i="4" s="1"/>
  <c r="M2098" i="4"/>
  <c r="N2098" i="4" s="1"/>
  <c r="H2098" i="4"/>
  <c r="Y2098" i="4"/>
  <c r="Y2146" i="4"/>
  <c r="M2146" i="4"/>
  <c r="N2146" i="4" s="1"/>
  <c r="H2146" i="4"/>
  <c r="H2186" i="4"/>
  <c r="Y2186" i="4"/>
  <c r="M2186" i="4"/>
  <c r="N2186" i="4" s="1"/>
  <c r="M2226" i="4"/>
  <c r="N2226" i="4" s="1"/>
  <c r="H2226" i="4"/>
  <c r="Y2226" i="4"/>
  <c r="M2765" i="4"/>
  <c r="N2765" i="4" s="1"/>
  <c r="H2765" i="4"/>
  <c r="Y2765" i="4"/>
  <c r="Y2861" i="4"/>
  <c r="M2861" i="4"/>
  <c r="N2861" i="4" s="1"/>
  <c r="H2861" i="4"/>
  <c r="Y2941" i="4"/>
  <c r="H2941" i="4"/>
  <c r="M2941" i="4"/>
  <c r="N2941" i="4" s="1"/>
  <c r="H3037" i="4"/>
  <c r="Y3037" i="4"/>
  <c r="M3037" i="4"/>
  <c r="N3037" i="4" s="1"/>
  <c r="Y3117" i="4"/>
  <c r="H3117" i="4"/>
  <c r="M3117" i="4"/>
  <c r="N3117" i="4" s="1"/>
  <c r="H3197" i="4"/>
  <c r="M3197" i="4"/>
  <c r="N3197" i="4" s="1"/>
  <c r="Y3197" i="4"/>
  <c r="H1363" i="4"/>
  <c r="Y1363" i="4"/>
  <c r="M1363" i="4"/>
  <c r="N1363" i="4" s="1"/>
  <c r="H1373" i="4"/>
  <c r="Y1373" i="4"/>
  <c r="M1373" i="4"/>
  <c r="N1373" i="4" s="1"/>
  <c r="Y1383" i="4"/>
  <c r="H1383" i="4"/>
  <c r="M1383" i="4"/>
  <c r="N1383" i="4" s="1"/>
  <c r="M1395" i="4"/>
  <c r="N1395" i="4" s="1"/>
  <c r="H1395" i="4"/>
  <c r="Y1395" i="4"/>
  <c r="Y1405" i="4"/>
  <c r="M1405" i="4"/>
  <c r="N1405" i="4" s="1"/>
  <c r="H1405" i="4"/>
  <c r="M1415" i="4"/>
  <c r="N1415" i="4" s="1"/>
  <c r="Y1415" i="4"/>
  <c r="H1415" i="4"/>
  <c r="M1427" i="4"/>
  <c r="N1427" i="4" s="1"/>
  <c r="H1427" i="4"/>
  <c r="Y1427" i="4"/>
  <c r="M1438" i="4"/>
  <c r="N1438" i="4" s="1"/>
  <c r="H1438" i="4"/>
  <c r="Y1438" i="4"/>
  <c r="H1448" i="4"/>
  <c r="Y1448" i="4"/>
  <c r="M1448" i="4"/>
  <c r="N1448" i="4" s="1"/>
  <c r="Y1460" i="4"/>
  <c r="M1460" i="4"/>
  <c r="N1460" i="4" s="1"/>
  <c r="H1460" i="4"/>
  <c r="H1470" i="4"/>
  <c r="Y1470" i="4"/>
  <c r="M1470" i="4"/>
  <c r="N1470" i="4" s="1"/>
  <c r="Y1480" i="4"/>
  <c r="M1480" i="4"/>
  <c r="N1480" i="4" s="1"/>
  <c r="H1480" i="4"/>
  <c r="H1492" i="4"/>
  <c r="Y1492" i="4"/>
  <c r="M1492" i="4"/>
  <c r="N1492" i="4" s="1"/>
  <c r="H1502" i="4"/>
  <c r="Y1502" i="4"/>
  <c r="M1502" i="4"/>
  <c r="N1502" i="4" s="1"/>
  <c r="M1512" i="4"/>
  <c r="N1512" i="4" s="1"/>
  <c r="H1512" i="4"/>
  <c r="Y1512" i="4"/>
  <c r="M1524" i="4"/>
  <c r="N1524" i="4" s="1"/>
  <c r="H1524" i="4"/>
  <c r="Y1524" i="4"/>
  <c r="H1534" i="4"/>
  <c r="Y1534" i="4"/>
  <c r="M1534" i="4"/>
  <c r="N1534" i="4" s="1"/>
  <c r="Y1544" i="4"/>
  <c r="M1544" i="4"/>
  <c r="N1544" i="4" s="1"/>
  <c r="H1544" i="4"/>
  <c r="M1556" i="4"/>
  <c r="N1556" i="4" s="1"/>
  <c r="H1556" i="4"/>
  <c r="Y1556" i="4"/>
  <c r="M1566" i="4"/>
  <c r="N1566" i="4" s="1"/>
  <c r="Y1566" i="4"/>
  <c r="H1566" i="4"/>
  <c r="Y1576" i="4"/>
  <c r="M1576" i="4"/>
  <c r="N1576" i="4" s="1"/>
  <c r="H1576" i="4"/>
  <c r="Y1588" i="4"/>
  <c r="M1588" i="4"/>
  <c r="N1588" i="4" s="1"/>
  <c r="H1588" i="4"/>
  <c r="M1598" i="4"/>
  <c r="N1598" i="4" s="1"/>
  <c r="Y1598" i="4"/>
  <c r="H1598" i="4"/>
  <c r="Y1611" i="4"/>
  <c r="M1611" i="4"/>
  <c r="N1611" i="4" s="1"/>
  <c r="H1611" i="4"/>
  <c r="M1627" i="4"/>
  <c r="N1627" i="4" s="1"/>
  <c r="H1627" i="4"/>
  <c r="Y1627" i="4"/>
  <c r="M1685" i="4"/>
  <c r="N1685" i="4" s="1"/>
  <c r="Y1685" i="4"/>
  <c r="H1685" i="4"/>
  <c r="H1695" i="4"/>
  <c r="Y1695" i="4"/>
  <c r="M1695" i="4"/>
  <c r="N1695" i="4" s="1"/>
  <c r="Y1707" i="4"/>
  <c r="H1707" i="4"/>
  <c r="M1707" i="4"/>
  <c r="N1707" i="4" s="1"/>
  <c r="M1717" i="4"/>
  <c r="N1717" i="4" s="1"/>
  <c r="Y1717" i="4"/>
  <c r="H1717" i="4"/>
  <c r="H1727" i="4"/>
  <c r="Y1727" i="4"/>
  <c r="M1727" i="4"/>
  <c r="N1727" i="4" s="1"/>
  <c r="Y1739" i="4"/>
  <c r="H1739" i="4"/>
  <c r="M1739" i="4"/>
  <c r="N1739" i="4" s="1"/>
  <c r="M1749" i="4"/>
  <c r="N1749" i="4" s="1"/>
  <c r="Y1749" i="4"/>
  <c r="H1749" i="4"/>
  <c r="H1759" i="4"/>
  <c r="Y1759" i="4"/>
  <c r="M1759" i="4"/>
  <c r="N1759" i="4" s="1"/>
  <c r="Y1771" i="4"/>
  <c r="M1771" i="4"/>
  <c r="N1771" i="4" s="1"/>
  <c r="H1771" i="4"/>
  <c r="M1781" i="4"/>
  <c r="N1781" i="4" s="1"/>
  <c r="Y1781" i="4"/>
  <c r="H1781" i="4"/>
  <c r="H1791" i="4"/>
  <c r="Y1791" i="4"/>
  <c r="M1791" i="4"/>
  <c r="N1791" i="4" s="1"/>
  <c r="Y1803" i="4"/>
  <c r="M1803" i="4"/>
  <c r="N1803" i="4" s="1"/>
  <c r="H1803" i="4"/>
  <c r="M1813" i="4"/>
  <c r="N1813" i="4" s="1"/>
  <c r="Y1813" i="4"/>
  <c r="H1813" i="4"/>
  <c r="H1823" i="4"/>
  <c r="Y1823" i="4"/>
  <c r="M1823" i="4"/>
  <c r="N1823" i="4" s="1"/>
  <c r="Y1835" i="4"/>
  <c r="M1835" i="4"/>
  <c r="N1835" i="4" s="1"/>
  <c r="H1835" i="4"/>
  <c r="M1845" i="4"/>
  <c r="N1845" i="4" s="1"/>
  <c r="Y1845" i="4"/>
  <c r="H1845" i="4"/>
  <c r="H1855" i="4"/>
  <c r="Y1855" i="4"/>
  <c r="M1855" i="4"/>
  <c r="N1855" i="4" s="1"/>
  <c r="Y1867" i="4"/>
  <c r="M1867" i="4"/>
  <c r="N1867" i="4" s="1"/>
  <c r="H1867" i="4"/>
  <c r="M1877" i="4"/>
  <c r="N1877" i="4" s="1"/>
  <c r="Y1877" i="4"/>
  <c r="H1877" i="4"/>
  <c r="H1887" i="4"/>
  <c r="Y1887" i="4"/>
  <c r="M1887" i="4"/>
  <c r="N1887" i="4" s="1"/>
  <c r="Y1908" i="4"/>
  <c r="H1908" i="4"/>
  <c r="M1908" i="4"/>
  <c r="N1908" i="4" s="1"/>
  <c r="Y1963" i="4"/>
  <c r="M1963" i="4"/>
  <c r="N1963" i="4" s="1"/>
  <c r="H1963" i="4"/>
  <c r="M2019" i="4"/>
  <c r="N2019" i="4" s="1"/>
  <c r="H2019" i="4"/>
  <c r="Y2019" i="4"/>
  <c r="Y1998" i="4"/>
  <c r="M1998" i="4"/>
  <c r="N1998" i="4" s="1"/>
  <c r="H1998" i="4"/>
  <c r="H2020" i="4"/>
  <c r="Y2020" i="4"/>
  <c r="M2020" i="4"/>
  <c r="N2020" i="4" s="1"/>
  <c r="H2084" i="4"/>
  <c r="Y2084" i="4"/>
  <c r="M2084" i="4"/>
  <c r="N2084" i="4" s="1"/>
  <c r="H2148" i="4"/>
  <c r="Y2148" i="4"/>
  <c r="M2148" i="4"/>
  <c r="N2148" i="4" s="1"/>
  <c r="Y2212" i="4"/>
  <c r="M2212" i="4"/>
  <c r="N2212" i="4" s="1"/>
  <c r="H2212" i="4"/>
  <c r="M2079" i="4"/>
  <c r="N2079" i="4" s="1"/>
  <c r="Y2079" i="4"/>
  <c r="H2079" i="4"/>
  <c r="M2143" i="4"/>
  <c r="N2143" i="4" s="1"/>
  <c r="Y2143" i="4"/>
  <c r="H2143" i="4"/>
  <c r="M2207" i="4"/>
  <c r="N2207" i="4" s="1"/>
  <c r="Y2207" i="4"/>
  <c r="H2207" i="4"/>
  <c r="Y2093" i="4"/>
  <c r="M2093" i="4"/>
  <c r="N2093" i="4" s="1"/>
  <c r="H2093" i="4"/>
  <c r="Y2221" i="4"/>
  <c r="M2221" i="4"/>
  <c r="N2221" i="4" s="1"/>
  <c r="H2221" i="4"/>
  <c r="M2701" i="4"/>
  <c r="N2701" i="4" s="1"/>
  <c r="H2701" i="4"/>
  <c r="Y2701" i="4"/>
  <c r="Y2086" i="4"/>
  <c r="M2086" i="4"/>
  <c r="N2086" i="4" s="1"/>
  <c r="H2086" i="4"/>
  <c r="Y2214" i="4"/>
  <c r="M2214" i="4"/>
  <c r="N2214" i="4" s="1"/>
  <c r="H2214" i="4"/>
  <c r="Y2917" i="4"/>
  <c r="M2917" i="4"/>
  <c r="N2917" i="4" s="1"/>
  <c r="H2917" i="4"/>
  <c r="M3173" i="4"/>
  <c r="N3173" i="4" s="1"/>
  <c r="H3173" i="4"/>
  <c r="Y3173" i="4"/>
  <c r="Y2889" i="4"/>
  <c r="M2889" i="4"/>
  <c r="N2889" i="4" s="1"/>
  <c r="H2889" i="4"/>
  <c r="Y3145" i="4"/>
  <c r="M3145" i="4"/>
  <c r="N3145" i="4" s="1"/>
  <c r="H3145" i="4"/>
  <c r="M2300" i="4"/>
  <c r="N2300" i="4" s="1"/>
  <c r="H2300" i="4"/>
  <c r="Y2300" i="4"/>
  <c r="Y2636" i="4"/>
  <c r="H2636" i="4"/>
  <c r="M2636" i="4"/>
  <c r="N2636" i="4" s="1"/>
  <c r="Y2796" i="4"/>
  <c r="H2796" i="4"/>
  <c r="M2796" i="4"/>
  <c r="N2796" i="4" s="1"/>
  <c r="Y2924" i="4"/>
  <c r="H2924" i="4"/>
  <c r="M2924" i="4"/>
  <c r="N2924" i="4" s="1"/>
  <c r="Y3052" i="4"/>
  <c r="H3052" i="4"/>
  <c r="M3052" i="4"/>
  <c r="N3052" i="4" s="1"/>
  <c r="Y3180" i="4"/>
  <c r="H3180" i="4"/>
  <c r="M3180" i="4"/>
  <c r="N3180" i="4" s="1"/>
  <c r="Y2614" i="4"/>
  <c r="H2614" i="4"/>
  <c r="M2614" i="4"/>
  <c r="N2614" i="4" s="1"/>
  <c r="H2326" i="4"/>
  <c r="Y2326" i="4"/>
  <c r="M2326" i="4"/>
  <c r="N2326" i="4" s="1"/>
  <c r="M2354" i="4"/>
  <c r="N2354" i="4" s="1"/>
  <c r="H2354" i="4"/>
  <c r="Y2354" i="4"/>
  <c r="M2386" i="4"/>
  <c r="N2386" i="4" s="1"/>
  <c r="H2386" i="4"/>
  <c r="Y2386" i="4"/>
  <c r="M2418" i="4"/>
  <c r="N2418" i="4" s="1"/>
  <c r="H2418" i="4"/>
  <c r="Y2418" i="4"/>
  <c r="M2450" i="4"/>
  <c r="N2450" i="4" s="1"/>
  <c r="H2450" i="4"/>
  <c r="Y2450" i="4"/>
  <c r="M2482" i="4"/>
  <c r="N2482" i="4" s="1"/>
  <c r="H2482" i="4"/>
  <c r="Y2482" i="4"/>
  <c r="M2514" i="4"/>
  <c r="N2514" i="4" s="1"/>
  <c r="H2514" i="4"/>
  <c r="Y2514" i="4"/>
  <c r="Y2723" i="4"/>
  <c r="M2723" i="4"/>
  <c r="N2723" i="4" s="1"/>
  <c r="H2723" i="4"/>
  <c r="M2673" i="4"/>
  <c r="N2673" i="4" s="1"/>
  <c r="H2673" i="4"/>
  <c r="Y2673" i="4"/>
  <c r="H2945" i="4"/>
  <c r="M2945" i="4"/>
  <c r="N2945" i="4" s="1"/>
  <c r="Y2945" i="4"/>
  <c r="M2280" i="4"/>
  <c r="N2280" i="4" s="1"/>
  <c r="H2280" i="4"/>
  <c r="Y2280" i="4"/>
  <c r="H2560" i="4"/>
  <c r="Y2560" i="4"/>
  <c r="M2560" i="4"/>
  <c r="N2560" i="4" s="1"/>
  <c r="H2616" i="4"/>
  <c r="M2616" i="4"/>
  <c r="N2616" i="4" s="1"/>
  <c r="Y2616" i="4"/>
  <c r="M2672" i="4"/>
  <c r="N2672" i="4" s="1"/>
  <c r="H2672" i="4"/>
  <c r="Y2672" i="4"/>
  <c r="H2864" i="4"/>
  <c r="Y2864" i="4"/>
  <c r="M2864" i="4"/>
  <c r="N2864" i="4" s="1"/>
  <c r="H3032" i="4"/>
  <c r="Y3032" i="4"/>
  <c r="M3032" i="4"/>
  <c r="N3032" i="4" s="1"/>
  <c r="H3208" i="4"/>
  <c r="M3208" i="4"/>
  <c r="N3208" i="4" s="1"/>
  <c r="Y3208" i="4"/>
  <c r="Y2413" i="4"/>
  <c r="M2413" i="4"/>
  <c r="N2413" i="4" s="1"/>
  <c r="H2413" i="4"/>
  <c r="M3075" i="4"/>
  <c r="N3075" i="4" s="1"/>
  <c r="H3075" i="4"/>
  <c r="Y3075" i="4"/>
  <c r="M2786" i="4"/>
  <c r="N2786" i="4" s="1"/>
  <c r="Y2786" i="4"/>
  <c r="H2786" i="4"/>
  <c r="M1050" i="4"/>
  <c r="N1050" i="4" s="1"/>
  <c r="Y1050" i="4"/>
  <c r="H1050" i="4"/>
  <c r="H105" i="3"/>
  <c r="M105" i="3"/>
  <c r="N105" i="3" s="1"/>
  <c r="Y105" i="3"/>
  <c r="H1047" i="4"/>
  <c r="Y1047" i="4"/>
  <c r="M1047" i="4"/>
  <c r="N1047" i="4" s="1"/>
  <c r="M1057" i="4"/>
  <c r="N1057" i="4" s="1"/>
  <c r="H1057" i="4"/>
  <c r="Y1057" i="4"/>
  <c r="Y1065" i="4"/>
  <c r="M1065" i="4"/>
  <c r="N1065" i="4" s="1"/>
  <c r="H1065" i="4"/>
  <c r="M1073" i="4"/>
  <c r="N1073" i="4" s="1"/>
  <c r="H1073" i="4"/>
  <c r="Y1073" i="4"/>
  <c r="M1081" i="4"/>
  <c r="N1081" i="4" s="1"/>
  <c r="H1081" i="4"/>
  <c r="Y1081" i="4"/>
  <c r="H1089" i="4"/>
  <c r="Y1089" i="4"/>
  <c r="M1089" i="4"/>
  <c r="N1089" i="4" s="1"/>
  <c r="Y1097" i="4"/>
  <c r="M1097" i="4"/>
  <c r="N1097" i="4" s="1"/>
  <c r="H1097" i="4"/>
  <c r="Y1105" i="4"/>
  <c r="M1105" i="4"/>
  <c r="N1105" i="4" s="1"/>
  <c r="H1105" i="4"/>
  <c r="H1113" i="4"/>
  <c r="Y1113" i="4"/>
  <c r="M1113" i="4"/>
  <c r="N1113" i="4" s="1"/>
  <c r="M1121" i="4"/>
  <c r="N1121" i="4" s="1"/>
  <c r="H1121" i="4"/>
  <c r="Y1121" i="4"/>
  <c r="Y1129" i="4"/>
  <c r="M1129" i="4"/>
  <c r="N1129" i="4" s="1"/>
  <c r="H1129" i="4"/>
  <c r="Y1137" i="4"/>
  <c r="M1137" i="4"/>
  <c r="N1137" i="4" s="1"/>
  <c r="H1137" i="4"/>
  <c r="H1145" i="4"/>
  <c r="Y1145" i="4"/>
  <c r="M1145" i="4"/>
  <c r="N1145" i="4" s="1"/>
  <c r="M1153" i="4"/>
  <c r="N1153" i="4" s="1"/>
  <c r="H1153" i="4"/>
  <c r="Y1153" i="4"/>
  <c r="Y1161" i="4"/>
  <c r="M1161" i="4"/>
  <c r="N1161" i="4" s="1"/>
  <c r="H1161" i="4"/>
  <c r="Y1169" i="4"/>
  <c r="M1169" i="4"/>
  <c r="N1169" i="4" s="1"/>
  <c r="H1169" i="4"/>
  <c r="H1177" i="4"/>
  <c r="Y1177" i="4"/>
  <c r="M1177" i="4"/>
  <c r="N1177" i="4" s="1"/>
  <c r="M1185" i="4"/>
  <c r="N1185" i="4" s="1"/>
  <c r="H1185" i="4"/>
  <c r="Y1185" i="4"/>
  <c r="Y1193" i="4"/>
  <c r="M1193" i="4"/>
  <c r="N1193" i="4" s="1"/>
  <c r="H1193" i="4"/>
  <c r="Y1201" i="4"/>
  <c r="M1201" i="4"/>
  <c r="N1201" i="4" s="1"/>
  <c r="H1201" i="4"/>
  <c r="H1209" i="4"/>
  <c r="Y1209" i="4"/>
  <c r="M1209" i="4"/>
  <c r="N1209" i="4" s="1"/>
  <c r="M1217" i="4"/>
  <c r="N1217" i="4" s="1"/>
  <c r="H1217" i="4"/>
  <c r="Y1217" i="4"/>
  <c r="Y1225" i="4"/>
  <c r="M1225" i="4"/>
  <c r="N1225" i="4" s="1"/>
  <c r="H1225" i="4"/>
  <c r="Y1233" i="4"/>
  <c r="M1233" i="4"/>
  <c r="N1233" i="4" s="1"/>
  <c r="H1233" i="4"/>
  <c r="H1241" i="4"/>
  <c r="Y1241" i="4"/>
  <c r="M1241" i="4"/>
  <c r="N1241" i="4" s="1"/>
  <c r="M1249" i="4"/>
  <c r="N1249" i="4" s="1"/>
  <c r="H1249" i="4"/>
  <c r="Y1249" i="4"/>
  <c r="Y1257" i="4"/>
  <c r="M1257" i="4"/>
  <c r="N1257" i="4" s="1"/>
  <c r="H1257" i="4"/>
  <c r="Y1265" i="4"/>
  <c r="M1265" i="4"/>
  <c r="N1265" i="4" s="1"/>
  <c r="H1265" i="4"/>
  <c r="H1273" i="4"/>
  <c r="Y1273" i="4"/>
  <c r="M1273" i="4"/>
  <c r="N1273" i="4" s="1"/>
  <c r="M1281" i="4"/>
  <c r="N1281" i="4" s="1"/>
  <c r="H1281" i="4"/>
  <c r="Y1281" i="4"/>
  <c r="Y1289" i="4"/>
  <c r="M1289" i="4"/>
  <c r="N1289" i="4" s="1"/>
  <c r="H1289" i="4"/>
  <c r="Y1297" i="4"/>
  <c r="M1297" i="4"/>
  <c r="N1297" i="4" s="1"/>
  <c r="H1297" i="4"/>
  <c r="H1305" i="4"/>
  <c r="Y1305" i="4"/>
  <c r="M1305" i="4"/>
  <c r="N1305" i="4" s="1"/>
  <c r="M1313" i="4"/>
  <c r="N1313" i="4" s="1"/>
  <c r="H1313" i="4"/>
  <c r="Y1313" i="4"/>
  <c r="Y1321" i="4"/>
  <c r="M1321" i="4"/>
  <c r="N1321" i="4" s="1"/>
  <c r="H1321" i="4"/>
  <c r="Y1329" i="4"/>
  <c r="M1329" i="4"/>
  <c r="N1329" i="4" s="1"/>
  <c r="H1329" i="4"/>
  <c r="H1337" i="4"/>
  <c r="Y1337" i="4"/>
  <c r="M1337" i="4"/>
  <c r="N1337" i="4" s="1"/>
  <c r="M1345" i="4"/>
  <c r="N1345" i="4" s="1"/>
  <c r="H1345" i="4"/>
  <c r="Y1345" i="4"/>
  <c r="Y1353" i="4"/>
  <c r="M1353" i="4"/>
  <c r="N1353" i="4" s="1"/>
  <c r="H1353" i="4"/>
  <c r="H1606" i="4"/>
  <c r="Y1606" i="4"/>
  <c r="M1606" i="4"/>
  <c r="N1606" i="4" s="1"/>
  <c r="Y1638" i="4"/>
  <c r="M1638" i="4"/>
  <c r="N1638" i="4" s="1"/>
  <c r="H1638" i="4"/>
  <c r="Y1670" i="4"/>
  <c r="M1670" i="4"/>
  <c r="N1670" i="4" s="1"/>
  <c r="H1670" i="4"/>
  <c r="M1613" i="4"/>
  <c r="N1613" i="4" s="1"/>
  <c r="H1613" i="4"/>
  <c r="Y1613" i="4"/>
  <c r="Y1645" i="4"/>
  <c r="H1645" i="4"/>
  <c r="M1645" i="4"/>
  <c r="N1645" i="4" s="1"/>
  <c r="Y1677" i="4"/>
  <c r="H1677" i="4"/>
  <c r="M1677" i="4"/>
  <c r="N1677" i="4" s="1"/>
  <c r="M1624" i="4"/>
  <c r="N1624" i="4" s="1"/>
  <c r="H1624" i="4"/>
  <c r="Y1624" i="4"/>
  <c r="M1656" i="4"/>
  <c r="N1656" i="4" s="1"/>
  <c r="Y1656" i="4"/>
  <c r="H1656" i="4"/>
  <c r="Y1056" i="4"/>
  <c r="M1056" i="4"/>
  <c r="N1056" i="4" s="1"/>
  <c r="H1056" i="4"/>
  <c r="Y1064" i="4"/>
  <c r="M1064" i="4"/>
  <c r="N1064" i="4" s="1"/>
  <c r="H1064" i="4"/>
  <c r="Y1072" i="4"/>
  <c r="M1072" i="4"/>
  <c r="N1072" i="4" s="1"/>
  <c r="H1072" i="4"/>
  <c r="Y1080" i="4"/>
  <c r="M1080" i="4"/>
  <c r="N1080" i="4" s="1"/>
  <c r="H1080" i="4"/>
  <c r="Y1088" i="4"/>
  <c r="M1088" i="4"/>
  <c r="N1088" i="4" s="1"/>
  <c r="H1088" i="4"/>
  <c r="Y1096" i="4"/>
  <c r="H1096" i="4"/>
  <c r="M1096" i="4"/>
  <c r="N1096" i="4" s="1"/>
  <c r="Y1104" i="4"/>
  <c r="H1104" i="4"/>
  <c r="M1104" i="4"/>
  <c r="N1104" i="4" s="1"/>
  <c r="Y1112" i="4"/>
  <c r="H1112" i="4"/>
  <c r="M1112" i="4"/>
  <c r="N1112" i="4" s="1"/>
  <c r="Y1120" i="4"/>
  <c r="H1120" i="4"/>
  <c r="M1120" i="4"/>
  <c r="N1120" i="4" s="1"/>
  <c r="Y1128" i="4"/>
  <c r="H1128" i="4"/>
  <c r="M1128" i="4"/>
  <c r="N1128" i="4" s="1"/>
  <c r="Y1136" i="4"/>
  <c r="H1136" i="4"/>
  <c r="M1136" i="4"/>
  <c r="N1136" i="4" s="1"/>
  <c r="Y1144" i="4"/>
  <c r="H1144" i="4"/>
  <c r="M1144" i="4"/>
  <c r="N1144" i="4" s="1"/>
  <c r="Y1152" i="4"/>
  <c r="H1152" i="4"/>
  <c r="M1152" i="4"/>
  <c r="N1152" i="4" s="1"/>
  <c r="Y1160" i="4"/>
  <c r="H1160" i="4"/>
  <c r="M1160" i="4"/>
  <c r="N1160" i="4" s="1"/>
  <c r="Y1168" i="4"/>
  <c r="H1168" i="4"/>
  <c r="M1168" i="4"/>
  <c r="N1168" i="4" s="1"/>
  <c r="Y1176" i="4"/>
  <c r="H1176" i="4"/>
  <c r="M1176" i="4"/>
  <c r="N1176" i="4" s="1"/>
  <c r="Y1184" i="4"/>
  <c r="H1184" i="4"/>
  <c r="M1184" i="4"/>
  <c r="N1184" i="4" s="1"/>
  <c r="Y1192" i="4"/>
  <c r="H1192" i="4"/>
  <c r="M1192" i="4"/>
  <c r="N1192" i="4" s="1"/>
  <c r="Y1200" i="4"/>
  <c r="H1200" i="4"/>
  <c r="M1200" i="4"/>
  <c r="N1200" i="4" s="1"/>
  <c r="Y1208" i="4"/>
  <c r="H1208" i="4"/>
  <c r="M1208" i="4"/>
  <c r="N1208" i="4" s="1"/>
  <c r="Y1216" i="4"/>
  <c r="H1216" i="4"/>
  <c r="M1216" i="4"/>
  <c r="N1216" i="4" s="1"/>
  <c r="Y1224" i="4"/>
  <c r="H1224" i="4"/>
  <c r="M1224" i="4"/>
  <c r="N1224" i="4" s="1"/>
  <c r="Y1232" i="4"/>
  <c r="H1232" i="4"/>
  <c r="M1232" i="4"/>
  <c r="N1232" i="4" s="1"/>
  <c r="Y1240" i="4"/>
  <c r="H1240" i="4"/>
  <c r="M1240" i="4"/>
  <c r="N1240" i="4" s="1"/>
  <c r="Y1248" i="4"/>
  <c r="H1248" i="4"/>
  <c r="M1248" i="4"/>
  <c r="N1248" i="4" s="1"/>
  <c r="Y1256" i="4"/>
  <c r="H1256" i="4"/>
  <c r="M1256" i="4"/>
  <c r="N1256" i="4" s="1"/>
  <c r="Y1264" i="4"/>
  <c r="H1264" i="4"/>
  <c r="M1264" i="4"/>
  <c r="N1264" i="4" s="1"/>
  <c r="Y1272" i="4"/>
  <c r="H1272" i="4"/>
  <c r="M1272" i="4"/>
  <c r="N1272" i="4" s="1"/>
  <c r="Y1280" i="4"/>
  <c r="H1280" i="4"/>
  <c r="M1280" i="4"/>
  <c r="N1280" i="4" s="1"/>
  <c r="Y1288" i="4"/>
  <c r="H1288" i="4"/>
  <c r="M1288" i="4"/>
  <c r="N1288" i="4" s="1"/>
  <c r="Y1296" i="4"/>
  <c r="H1296" i="4"/>
  <c r="M1296" i="4"/>
  <c r="N1296" i="4" s="1"/>
  <c r="Y1304" i="4"/>
  <c r="H1304" i="4"/>
  <c r="M1304" i="4"/>
  <c r="N1304" i="4" s="1"/>
  <c r="Y1312" i="4"/>
  <c r="H1312" i="4"/>
  <c r="M1312" i="4"/>
  <c r="N1312" i="4" s="1"/>
  <c r="Y1320" i="4"/>
  <c r="H1320" i="4"/>
  <c r="M1320" i="4"/>
  <c r="N1320" i="4" s="1"/>
  <c r="Y1328" i="4"/>
  <c r="H1328" i="4"/>
  <c r="M1328" i="4"/>
  <c r="N1328" i="4" s="1"/>
  <c r="Y1336" i="4"/>
  <c r="H1336" i="4"/>
  <c r="M1336" i="4"/>
  <c r="N1336" i="4" s="1"/>
  <c r="Y1344" i="4"/>
  <c r="H1344" i="4"/>
  <c r="M1344" i="4"/>
  <c r="N1344" i="4" s="1"/>
  <c r="Y1352" i="4"/>
  <c r="H1352" i="4"/>
  <c r="M1352" i="4"/>
  <c r="N1352" i="4" s="1"/>
  <c r="H1626" i="4"/>
  <c r="Y1626" i="4"/>
  <c r="M1626" i="4"/>
  <c r="N1626" i="4" s="1"/>
  <c r="H1658" i="4"/>
  <c r="Y1658" i="4"/>
  <c r="M1658" i="4"/>
  <c r="N1658" i="4" s="1"/>
  <c r="M1601" i="4"/>
  <c r="N1601" i="4" s="1"/>
  <c r="H1601" i="4"/>
  <c r="Y1601" i="4"/>
  <c r="M1633" i="4"/>
  <c r="N1633" i="4" s="1"/>
  <c r="H1633" i="4"/>
  <c r="Y1633" i="4"/>
  <c r="M1665" i="4"/>
  <c r="N1665" i="4" s="1"/>
  <c r="H1665" i="4"/>
  <c r="Y1665" i="4"/>
  <c r="Y1612" i="4"/>
  <c r="M1612" i="4"/>
  <c r="N1612" i="4" s="1"/>
  <c r="H1612" i="4"/>
  <c r="M1644" i="4"/>
  <c r="N1644" i="4" s="1"/>
  <c r="H1644" i="4"/>
  <c r="Y1644" i="4"/>
  <c r="H1676" i="4"/>
  <c r="Y1676" i="4"/>
  <c r="M1676" i="4"/>
  <c r="N1676" i="4" s="1"/>
  <c r="Y1360" i="4"/>
  <c r="H1360" i="4"/>
  <c r="M1360" i="4"/>
  <c r="N1360" i="4" s="1"/>
  <c r="Y1368" i="4"/>
  <c r="H1368" i="4"/>
  <c r="M1368" i="4"/>
  <c r="N1368" i="4" s="1"/>
  <c r="Y1376" i="4"/>
  <c r="H1376" i="4"/>
  <c r="M1376" i="4"/>
  <c r="N1376" i="4" s="1"/>
  <c r="Y1384" i="4"/>
  <c r="H1384" i="4"/>
  <c r="M1384" i="4"/>
  <c r="N1384" i="4" s="1"/>
  <c r="Y1392" i="4"/>
  <c r="H1392" i="4"/>
  <c r="M1392" i="4"/>
  <c r="N1392" i="4" s="1"/>
  <c r="Y1400" i="4"/>
  <c r="H1400" i="4"/>
  <c r="M1400" i="4"/>
  <c r="N1400" i="4" s="1"/>
  <c r="Y1408" i="4"/>
  <c r="H1408" i="4"/>
  <c r="M1408" i="4"/>
  <c r="N1408" i="4" s="1"/>
  <c r="Y1416" i="4"/>
  <c r="H1416" i="4"/>
  <c r="M1416" i="4"/>
  <c r="N1416" i="4" s="1"/>
  <c r="Y1424" i="4"/>
  <c r="H1424" i="4"/>
  <c r="M1424" i="4"/>
  <c r="N1424" i="4" s="1"/>
  <c r="Y1432" i="4"/>
  <c r="H1432" i="4"/>
  <c r="M1432" i="4"/>
  <c r="N1432" i="4" s="1"/>
  <c r="Y1441" i="4"/>
  <c r="H1441" i="4"/>
  <c r="M1441" i="4"/>
  <c r="N1441" i="4" s="1"/>
  <c r="Y1449" i="4"/>
  <c r="H1449" i="4"/>
  <c r="M1449" i="4"/>
  <c r="N1449" i="4" s="1"/>
  <c r="Y1457" i="4"/>
  <c r="H1457" i="4"/>
  <c r="M1457" i="4"/>
  <c r="N1457" i="4" s="1"/>
  <c r="Y1465" i="4"/>
  <c r="H1465" i="4"/>
  <c r="M1465" i="4"/>
  <c r="N1465" i="4" s="1"/>
  <c r="Y1473" i="4"/>
  <c r="H1473" i="4"/>
  <c r="M1473" i="4"/>
  <c r="N1473" i="4" s="1"/>
  <c r="Y1481" i="4"/>
  <c r="H1481" i="4"/>
  <c r="M1481" i="4"/>
  <c r="N1481" i="4" s="1"/>
  <c r="Y1489" i="4"/>
  <c r="H1489" i="4"/>
  <c r="M1489" i="4"/>
  <c r="N1489" i="4" s="1"/>
  <c r="Y1497" i="4"/>
  <c r="H1497" i="4"/>
  <c r="M1497" i="4"/>
  <c r="N1497" i="4" s="1"/>
  <c r="Y1505" i="4"/>
  <c r="H1505" i="4"/>
  <c r="M1505" i="4"/>
  <c r="N1505" i="4" s="1"/>
  <c r="Y1513" i="4"/>
  <c r="H1513" i="4"/>
  <c r="M1513" i="4"/>
  <c r="N1513" i="4" s="1"/>
  <c r="Y1521" i="4"/>
  <c r="H1521" i="4"/>
  <c r="M1521" i="4"/>
  <c r="N1521" i="4" s="1"/>
  <c r="Y1529" i="4"/>
  <c r="H1529" i="4"/>
  <c r="M1529" i="4"/>
  <c r="N1529" i="4" s="1"/>
  <c r="Y1537" i="4"/>
  <c r="H1537" i="4"/>
  <c r="M1537" i="4"/>
  <c r="N1537" i="4" s="1"/>
  <c r="Y1545" i="4"/>
  <c r="M1545" i="4"/>
  <c r="N1545" i="4" s="1"/>
  <c r="H1545" i="4"/>
  <c r="Y1553" i="4"/>
  <c r="M1553" i="4"/>
  <c r="N1553" i="4" s="1"/>
  <c r="H1553" i="4"/>
  <c r="H1561" i="4"/>
  <c r="Y1561" i="4"/>
  <c r="M1561" i="4"/>
  <c r="N1561" i="4" s="1"/>
  <c r="Y1569" i="4"/>
  <c r="M1569" i="4"/>
  <c r="N1569" i="4" s="1"/>
  <c r="H1569" i="4"/>
  <c r="H1577" i="4"/>
  <c r="Y1577" i="4"/>
  <c r="M1577" i="4"/>
  <c r="N1577" i="4" s="1"/>
  <c r="Y1585" i="4"/>
  <c r="M1585" i="4"/>
  <c r="N1585" i="4" s="1"/>
  <c r="H1585" i="4"/>
  <c r="H1593" i="4"/>
  <c r="Y1593" i="4"/>
  <c r="M1593" i="4"/>
  <c r="N1593" i="4" s="1"/>
  <c r="Y1623" i="4"/>
  <c r="M1623" i="4"/>
  <c r="N1623" i="4" s="1"/>
  <c r="H1623" i="4"/>
  <c r="M1655" i="4"/>
  <c r="N1655" i="4" s="1"/>
  <c r="H1655" i="4"/>
  <c r="Y1655" i="4"/>
  <c r="M1688" i="4"/>
  <c r="N1688" i="4" s="1"/>
  <c r="H1688" i="4"/>
  <c r="Y1688" i="4"/>
  <c r="H1696" i="4"/>
  <c r="Y1696" i="4"/>
  <c r="M1696" i="4"/>
  <c r="N1696" i="4" s="1"/>
  <c r="M1704" i="4"/>
  <c r="N1704" i="4" s="1"/>
  <c r="Y1704" i="4"/>
  <c r="H1704" i="4"/>
  <c r="H1712" i="4"/>
  <c r="M1712" i="4"/>
  <c r="N1712" i="4" s="1"/>
  <c r="Y1712" i="4"/>
  <c r="M1720" i="4"/>
  <c r="N1720" i="4" s="1"/>
  <c r="H1720" i="4"/>
  <c r="Y1720" i="4"/>
  <c r="H1728" i="4"/>
  <c r="Y1728" i="4"/>
  <c r="M1728" i="4"/>
  <c r="N1728" i="4" s="1"/>
  <c r="H1736" i="4"/>
  <c r="M1736" i="4"/>
  <c r="N1736" i="4" s="1"/>
  <c r="Y1736" i="4"/>
  <c r="Y1744" i="4"/>
  <c r="M1744" i="4"/>
  <c r="N1744" i="4" s="1"/>
  <c r="H1744" i="4"/>
  <c r="M1752" i="4"/>
  <c r="N1752" i="4" s="1"/>
  <c r="H1752" i="4"/>
  <c r="Y1752" i="4"/>
  <c r="H1760" i="4"/>
  <c r="Y1760" i="4"/>
  <c r="M1760" i="4"/>
  <c r="N1760" i="4" s="1"/>
  <c r="M1768" i="4"/>
  <c r="N1768" i="4" s="1"/>
  <c r="Y1768" i="4"/>
  <c r="H1768" i="4"/>
  <c r="M1776" i="4"/>
  <c r="N1776" i="4" s="1"/>
  <c r="Y1776" i="4"/>
  <c r="H1776" i="4"/>
  <c r="M1784" i="4"/>
  <c r="N1784" i="4" s="1"/>
  <c r="H1784" i="4"/>
  <c r="Y1784" i="4"/>
  <c r="Y1792" i="4"/>
  <c r="M1792" i="4"/>
  <c r="N1792" i="4" s="1"/>
  <c r="H1792" i="4"/>
  <c r="M1800" i="4"/>
  <c r="N1800" i="4" s="1"/>
  <c r="H1800" i="4"/>
  <c r="Y1800" i="4"/>
  <c r="M1808" i="4"/>
  <c r="N1808" i="4" s="1"/>
  <c r="Y1808" i="4"/>
  <c r="H1808" i="4"/>
  <c r="Y1816" i="4"/>
  <c r="H1816" i="4"/>
  <c r="M1816" i="4"/>
  <c r="N1816" i="4" s="1"/>
  <c r="Y1824" i="4"/>
  <c r="M1824" i="4"/>
  <c r="N1824" i="4" s="1"/>
  <c r="H1824" i="4"/>
  <c r="M1832" i="4"/>
  <c r="N1832" i="4" s="1"/>
  <c r="Y1832" i="4"/>
  <c r="H1832" i="4"/>
  <c r="H1840" i="4"/>
  <c r="M1840" i="4"/>
  <c r="N1840" i="4" s="1"/>
  <c r="Y1840" i="4"/>
  <c r="Y1848" i="4"/>
  <c r="H1848" i="4"/>
  <c r="M1848" i="4"/>
  <c r="N1848" i="4" s="1"/>
  <c r="M1856" i="4"/>
  <c r="N1856" i="4" s="1"/>
  <c r="H1856" i="4"/>
  <c r="Y1856" i="4"/>
  <c r="M1864" i="4"/>
  <c r="N1864" i="4" s="1"/>
  <c r="Y1864" i="4"/>
  <c r="H1864" i="4"/>
  <c r="M1872" i="4"/>
  <c r="N1872" i="4" s="1"/>
  <c r="Y1872" i="4"/>
  <c r="H1872" i="4"/>
  <c r="M1880" i="4"/>
  <c r="N1880" i="4" s="1"/>
  <c r="Y1880" i="4"/>
  <c r="H1880" i="4"/>
  <c r="M1888" i="4"/>
  <c r="N1888" i="4" s="1"/>
  <c r="H1888" i="4"/>
  <c r="Y1888" i="4"/>
  <c r="M1902" i="4"/>
  <c r="N1902" i="4" s="1"/>
  <c r="Y1902" i="4"/>
  <c r="H1902" i="4"/>
  <c r="M1918" i="4"/>
  <c r="N1918" i="4" s="1"/>
  <c r="Y1918" i="4"/>
  <c r="H1918" i="4"/>
  <c r="Y1953" i="4"/>
  <c r="M1953" i="4"/>
  <c r="N1953" i="4" s="1"/>
  <c r="H1953" i="4"/>
  <c r="Y1931" i="4"/>
  <c r="M1931" i="4"/>
  <c r="N1931" i="4" s="1"/>
  <c r="H1931" i="4"/>
  <c r="Y1948" i="4"/>
  <c r="M1948" i="4"/>
  <c r="N1948" i="4" s="1"/>
  <c r="H1948" i="4"/>
  <c r="M1999" i="4"/>
  <c r="N1999" i="4" s="1"/>
  <c r="Y1999" i="4"/>
  <c r="H1999" i="4"/>
  <c r="Y2279" i="4"/>
  <c r="H2279" i="4"/>
  <c r="M2279" i="4"/>
  <c r="N2279" i="4" s="1"/>
  <c r="Y2311" i="4"/>
  <c r="H2311" i="4"/>
  <c r="M2311" i="4"/>
  <c r="N2311" i="4" s="1"/>
  <c r="Y1978" i="4"/>
  <c r="M1978" i="4"/>
  <c r="N1978" i="4" s="1"/>
  <c r="H1978" i="4"/>
  <c r="M2010" i="4"/>
  <c r="N2010" i="4" s="1"/>
  <c r="H2010" i="4"/>
  <c r="Y2010" i="4"/>
  <c r="Y2024" i="4"/>
  <c r="M2024" i="4"/>
  <c r="N2024" i="4" s="1"/>
  <c r="H2024" i="4"/>
  <c r="M2056" i="4"/>
  <c r="N2056" i="4" s="1"/>
  <c r="Y2056" i="4"/>
  <c r="H2056" i="4"/>
  <c r="M2088" i="4"/>
  <c r="N2088" i="4" s="1"/>
  <c r="Y2088" i="4"/>
  <c r="H2088" i="4"/>
  <c r="M2120" i="4"/>
  <c r="N2120" i="4" s="1"/>
  <c r="Y2120" i="4"/>
  <c r="H2120" i="4"/>
  <c r="M2152" i="4"/>
  <c r="N2152" i="4" s="1"/>
  <c r="Y2152" i="4"/>
  <c r="H2152" i="4"/>
  <c r="M2184" i="4"/>
  <c r="N2184" i="4" s="1"/>
  <c r="H2184" i="4"/>
  <c r="Y2184" i="4"/>
  <c r="M2216" i="4"/>
  <c r="N2216" i="4" s="1"/>
  <c r="H2216" i="4"/>
  <c r="Y2216" i="4"/>
  <c r="M2248" i="4"/>
  <c r="N2248" i="4" s="1"/>
  <c r="H2248" i="4"/>
  <c r="Y2248" i="4"/>
  <c r="H2757" i="4"/>
  <c r="Y2757" i="4"/>
  <c r="M2757" i="4"/>
  <c r="N2757" i="4" s="1"/>
  <c r="Y2051" i="4"/>
  <c r="M2051" i="4"/>
  <c r="N2051" i="4" s="1"/>
  <c r="H2051" i="4"/>
  <c r="Y2083" i="4"/>
  <c r="M2083" i="4"/>
  <c r="N2083" i="4" s="1"/>
  <c r="H2083" i="4"/>
  <c r="Y2115" i="4"/>
  <c r="M2115" i="4"/>
  <c r="N2115" i="4" s="1"/>
  <c r="H2115" i="4"/>
  <c r="Y2147" i="4"/>
  <c r="M2147" i="4"/>
  <c r="N2147" i="4" s="1"/>
  <c r="H2147" i="4"/>
  <c r="Y2179" i="4"/>
  <c r="H2179" i="4"/>
  <c r="M2179" i="4"/>
  <c r="N2179" i="4" s="1"/>
  <c r="Y2211" i="4"/>
  <c r="H2211" i="4"/>
  <c r="M2211" i="4"/>
  <c r="N2211" i="4" s="1"/>
  <c r="Y2243" i="4"/>
  <c r="H2243" i="4"/>
  <c r="M2243" i="4"/>
  <c r="N2243" i="4" s="1"/>
  <c r="Y2275" i="4"/>
  <c r="H2275" i="4"/>
  <c r="M2275" i="4"/>
  <c r="N2275" i="4" s="1"/>
  <c r="Y2307" i="4"/>
  <c r="H2307" i="4"/>
  <c r="M2307" i="4"/>
  <c r="N2307" i="4" s="1"/>
  <c r="Y1955" i="4"/>
  <c r="M1955" i="4"/>
  <c r="N1955" i="4" s="1"/>
  <c r="H1955" i="4"/>
  <c r="Y1903" i="4"/>
  <c r="M1903" i="4"/>
  <c r="N1903" i="4" s="1"/>
  <c r="H1903" i="4"/>
  <c r="Y1919" i="4"/>
  <c r="M1919" i="4"/>
  <c r="N1919" i="4" s="1"/>
  <c r="H1919" i="4"/>
  <c r="H2033" i="4"/>
  <c r="Y2033" i="4"/>
  <c r="M2033" i="4"/>
  <c r="N2033" i="4" s="1"/>
  <c r="H2065" i="4"/>
  <c r="Y2065" i="4"/>
  <c r="M2065" i="4"/>
  <c r="N2065" i="4" s="1"/>
  <c r="H2097" i="4"/>
  <c r="Y2097" i="4"/>
  <c r="M2097" i="4"/>
  <c r="N2097" i="4" s="1"/>
  <c r="H2129" i="4"/>
  <c r="Y2129" i="4"/>
  <c r="M2129" i="4"/>
  <c r="N2129" i="4" s="1"/>
  <c r="H2161" i="4"/>
  <c r="Y2161" i="4"/>
  <c r="M2161" i="4"/>
  <c r="N2161" i="4" s="1"/>
  <c r="H2193" i="4"/>
  <c r="Y2193" i="4"/>
  <c r="M2193" i="4"/>
  <c r="N2193" i="4" s="1"/>
  <c r="H2225" i="4"/>
  <c r="Y2225" i="4"/>
  <c r="M2225" i="4"/>
  <c r="N2225" i="4" s="1"/>
  <c r="Y2581" i="4"/>
  <c r="M2581" i="4"/>
  <c r="N2581" i="4" s="1"/>
  <c r="H2581" i="4"/>
  <c r="H2661" i="4"/>
  <c r="M2661" i="4"/>
  <c r="N2661" i="4" s="1"/>
  <c r="Y2661" i="4"/>
  <c r="Y1993" i="4"/>
  <c r="M1993" i="4"/>
  <c r="N1993" i="4" s="1"/>
  <c r="H1993" i="4"/>
  <c r="Y2009" i="4"/>
  <c r="M2009" i="4"/>
  <c r="N2009" i="4" s="1"/>
  <c r="H2009" i="4"/>
  <c r="H1992" i="4"/>
  <c r="Y1992" i="4"/>
  <c r="M1992" i="4"/>
  <c r="N1992" i="4" s="1"/>
  <c r="M2008" i="4"/>
  <c r="N2008" i="4" s="1"/>
  <c r="H2008" i="4"/>
  <c r="Y2008" i="4"/>
  <c r="H2026" i="4"/>
  <c r="Y2026" i="4"/>
  <c r="M2026" i="4"/>
  <c r="N2026" i="4" s="1"/>
  <c r="M2066" i="4"/>
  <c r="N2066" i="4" s="1"/>
  <c r="H2066" i="4"/>
  <c r="Y2066" i="4"/>
  <c r="Y2114" i="4"/>
  <c r="M2114" i="4"/>
  <c r="N2114" i="4" s="1"/>
  <c r="H2114" i="4"/>
  <c r="H2154" i="4"/>
  <c r="Y2154" i="4"/>
  <c r="M2154" i="4"/>
  <c r="N2154" i="4" s="1"/>
  <c r="M2194" i="4"/>
  <c r="N2194" i="4" s="1"/>
  <c r="H2194" i="4"/>
  <c r="Y2194" i="4"/>
  <c r="Y2242" i="4"/>
  <c r="M2242" i="4"/>
  <c r="N2242" i="4" s="1"/>
  <c r="H2242" i="4"/>
  <c r="H2797" i="4"/>
  <c r="Y2797" i="4"/>
  <c r="M2797" i="4"/>
  <c r="N2797" i="4" s="1"/>
  <c r="Y2877" i="4"/>
  <c r="M2877" i="4"/>
  <c r="N2877" i="4" s="1"/>
  <c r="H2877" i="4"/>
  <c r="M2973" i="4"/>
  <c r="N2973" i="4" s="1"/>
  <c r="Y2973" i="4"/>
  <c r="H2973" i="4"/>
  <c r="Y3053" i="4"/>
  <c r="H3053" i="4"/>
  <c r="M3053" i="4"/>
  <c r="N3053" i="4" s="1"/>
  <c r="H3133" i="4"/>
  <c r="M3133" i="4"/>
  <c r="N3133" i="4" s="1"/>
  <c r="Y3133" i="4"/>
  <c r="Y3229" i="4"/>
  <c r="M3229" i="4"/>
  <c r="N3229" i="4" s="1"/>
  <c r="H3229" i="4"/>
  <c r="H1365" i="4"/>
  <c r="Y1365" i="4"/>
  <c r="M1365" i="4"/>
  <c r="N1365" i="4" s="1"/>
  <c r="H1375" i="4"/>
  <c r="Y1375" i="4"/>
  <c r="M1375" i="4"/>
  <c r="N1375" i="4" s="1"/>
  <c r="M1387" i="4"/>
  <c r="N1387" i="4" s="1"/>
  <c r="H1387" i="4"/>
  <c r="Y1387" i="4"/>
  <c r="H1397" i="4"/>
  <c r="Y1397" i="4"/>
  <c r="M1397" i="4"/>
  <c r="N1397" i="4" s="1"/>
  <c r="M1407" i="4"/>
  <c r="N1407" i="4" s="1"/>
  <c r="H1407" i="4"/>
  <c r="Y1407" i="4"/>
  <c r="H1419" i="4"/>
  <c r="Y1419" i="4"/>
  <c r="M1419" i="4"/>
  <c r="N1419" i="4" s="1"/>
  <c r="Y1429" i="4"/>
  <c r="M1429" i="4"/>
  <c r="N1429" i="4" s="1"/>
  <c r="H1429" i="4"/>
  <c r="Y1440" i="4"/>
  <c r="M1440" i="4"/>
  <c r="N1440" i="4" s="1"/>
  <c r="H1440" i="4"/>
  <c r="H1452" i="4"/>
  <c r="Y1452" i="4"/>
  <c r="M1452" i="4"/>
  <c r="N1452" i="4" s="1"/>
  <c r="M1462" i="4"/>
  <c r="N1462" i="4" s="1"/>
  <c r="H1462" i="4"/>
  <c r="Y1462" i="4"/>
  <c r="Y1472" i="4"/>
  <c r="M1472" i="4"/>
  <c r="N1472" i="4" s="1"/>
  <c r="H1472" i="4"/>
  <c r="M1484" i="4"/>
  <c r="N1484" i="4" s="1"/>
  <c r="Y1484" i="4"/>
  <c r="H1484" i="4"/>
  <c r="H1494" i="4"/>
  <c r="Y1494" i="4"/>
  <c r="M1494" i="4"/>
  <c r="N1494" i="4" s="1"/>
  <c r="H1504" i="4"/>
  <c r="Y1504" i="4"/>
  <c r="M1504" i="4"/>
  <c r="N1504" i="4" s="1"/>
  <c r="H1516" i="4"/>
  <c r="M1516" i="4"/>
  <c r="N1516" i="4" s="1"/>
  <c r="Y1516" i="4"/>
  <c r="H1526" i="4"/>
  <c r="Y1526" i="4"/>
  <c r="M1526" i="4"/>
  <c r="N1526" i="4" s="1"/>
  <c r="Y1536" i="4"/>
  <c r="M1536" i="4"/>
  <c r="N1536" i="4" s="1"/>
  <c r="H1536" i="4"/>
  <c r="Y1548" i="4"/>
  <c r="M1548" i="4"/>
  <c r="N1548" i="4" s="1"/>
  <c r="H1548" i="4"/>
  <c r="M1558" i="4"/>
  <c r="N1558" i="4" s="1"/>
  <c r="Y1558" i="4"/>
  <c r="H1558" i="4"/>
  <c r="Y1568" i="4"/>
  <c r="M1568" i="4"/>
  <c r="N1568" i="4" s="1"/>
  <c r="H1568" i="4"/>
  <c r="M1580" i="4"/>
  <c r="N1580" i="4" s="1"/>
  <c r="H1580" i="4"/>
  <c r="Y1580" i="4"/>
  <c r="M1590" i="4"/>
  <c r="N1590" i="4" s="1"/>
  <c r="Y1590" i="4"/>
  <c r="H1590" i="4"/>
  <c r="Y1643" i="4"/>
  <c r="H1643" i="4"/>
  <c r="M1643" i="4"/>
  <c r="N1643" i="4" s="1"/>
  <c r="M1659" i="4"/>
  <c r="N1659" i="4" s="1"/>
  <c r="Y1659" i="4"/>
  <c r="H1659" i="4"/>
  <c r="Y1959" i="4"/>
  <c r="M1959" i="4"/>
  <c r="N1959" i="4" s="1"/>
  <c r="H1959" i="4"/>
  <c r="M1687" i="4"/>
  <c r="N1687" i="4" s="1"/>
  <c r="H1687" i="4"/>
  <c r="Y1687" i="4"/>
  <c r="Y1699" i="4"/>
  <c r="H1699" i="4"/>
  <c r="M1699" i="4"/>
  <c r="N1699" i="4" s="1"/>
  <c r="M1709" i="4"/>
  <c r="N1709" i="4" s="1"/>
  <c r="Y1709" i="4"/>
  <c r="H1709" i="4"/>
  <c r="M1719" i="4"/>
  <c r="N1719" i="4" s="1"/>
  <c r="H1719" i="4"/>
  <c r="Y1719" i="4"/>
  <c r="Y1731" i="4"/>
  <c r="H1731" i="4"/>
  <c r="M1731" i="4"/>
  <c r="N1731" i="4" s="1"/>
  <c r="M1741" i="4"/>
  <c r="N1741" i="4" s="1"/>
  <c r="Y1741" i="4"/>
  <c r="H1741" i="4"/>
  <c r="M1751" i="4"/>
  <c r="N1751" i="4" s="1"/>
  <c r="H1751" i="4"/>
  <c r="Y1751" i="4"/>
  <c r="H1763" i="4"/>
  <c r="Y1763" i="4"/>
  <c r="M1763" i="4"/>
  <c r="N1763" i="4" s="1"/>
  <c r="M1773" i="4"/>
  <c r="N1773" i="4" s="1"/>
  <c r="H1773" i="4"/>
  <c r="Y1773" i="4"/>
  <c r="M1783" i="4"/>
  <c r="N1783" i="4" s="1"/>
  <c r="H1783" i="4"/>
  <c r="Y1783" i="4"/>
  <c r="H1795" i="4"/>
  <c r="Y1795" i="4"/>
  <c r="M1795" i="4"/>
  <c r="N1795" i="4" s="1"/>
  <c r="M1805" i="4"/>
  <c r="N1805" i="4" s="1"/>
  <c r="Y1805" i="4"/>
  <c r="H1805" i="4"/>
  <c r="M1815" i="4"/>
  <c r="N1815" i="4" s="1"/>
  <c r="H1815" i="4"/>
  <c r="Y1815" i="4"/>
  <c r="H1827" i="4"/>
  <c r="Y1827" i="4"/>
  <c r="M1827" i="4"/>
  <c r="N1827" i="4" s="1"/>
  <c r="M1837" i="4"/>
  <c r="N1837" i="4" s="1"/>
  <c r="Y1837" i="4"/>
  <c r="H1837" i="4"/>
  <c r="M1847" i="4"/>
  <c r="N1847" i="4" s="1"/>
  <c r="H1847" i="4"/>
  <c r="Y1847" i="4"/>
  <c r="H1859" i="4"/>
  <c r="Y1859" i="4"/>
  <c r="M1859" i="4"/>
  <c r="N1859" i="4" s="1"/>
  <c r="M1869" i="4"/>
  <c r="N1869" i="4" s="1"/>
  <c r="Y1869" i="4"/>
  <c r="H1869" i="4"/>
  <c r="M1879" i="4"/>
  <c r="N1879" i="4" s="1"/>
  <c r="H1879" i="4"/>
  <c r="Y1879" i="4"/>
  <c r="M1892" i="4"/>
  <c r="N1892" i="4" s="1"/>
  <c r="Y1892" i="4"/>
  <c r="H1892" i="4"/>
  <c r="Y1912" i="4"/>
  <c r="H1912" i="4"/>
  <c r="M1912" i="4"/>
  <c r="N1912" i="4" s="1"/>
  <c r="H1938" i="4"/>
  <c r="Y1938" i="4"/>
  <c r="M1938" i="4"/>
  <c r="N1938" i="4" s="1"/>
  <c r="Y2003" i="4"/>
  <c r="M2003" i="4"/>
  <c r="N2003" i="4" s="1"/>
  <c r="H2003" i="4"/>
  <c r="Y1982" i="4"/>
  <c r="H1982" i="4"/>
  <c r="M1982" i="4"/>
  <c r="N1982" i="4" s="1"/>
  <c r="Y2036" i="4"/>
  <c r="M2036" i="4"/>
  <c r="N2036" i="4" s="1"/>
  <c r="H2036" i="4"/>
  <c r="M2100" i="4"/>
  <c r="N2100" i="4" s="1"/>
  <c r="H2100" i="4"/>
  <c r="Y2100" i="4"/>
  <c r="H2164" i="4"/>
  <c r="Y2164" i="4"/>
  <c r="M2164" i="4"/>
  <c r="N2164" i="4" s="1"/>
  <c r="H2228" i="4"/>
  <c r="Y2228" i="4"/>
  <c r="M2228" i="4"/>
  <c r="N2228" i="4" s="1"/>
  <c r="Y2031" i="4"/>
  <c r="H2031" i="4"/>
  <c r="M2031" i="4"/>
  <c r="N2031" i="4" s="1"/>
  <c r="Y2095" i="4"/>
  <c r="H2095" i="4"/>
  <c r="M2095" i="4"/>
  <c r="N2095" i="4" s="1"/>
  <c r="Y2159" i="4"/>
  <c r="H2159" i="4"/>
  <c r="M2159" i="4"/>
  <c r="N2159" i="4" s="1"/>
  <c r="Y2223" i="4"/>
  <c r="H2223" i="4"/>
  <c r="M2223" i="4"/>
  <c r="N2223" i="4" s="1"/>
  <c r="Y1934" i="4"/>
  <c r="H1934" i="4"/>
  <c r="M1934" i="4"/>
  <c r="N1934" i="4" s="1"/>
  <c r="H1901" i="4"/>
  <c r="Y1901" i="4"/>
  <c r="M1901" i="4"/>
  <c r="N1901" i="4" s="1"/>
  <c r="Y2125" i="4"/>
  <c r="M2125" i="4"/>
  <c r="N2125" i="4" s="1"/>
  <c r="H2125" i="4"/>
  <c r="Y2118" i="4"/>
  <c r="M2118" i="4"/>
  <c r="N2118" i="4" s="1"/>
  <c r="H2118" i="4"/>
  <c r="Y2246" i="4"/>
  <c r="M2246" i="4"/>
  <c r="N2246" i="4" s="1"/>
  <c r="H2246" i="4"/>
  <c r="M2981" i="4"/>
  <c r="N2981" i="4" s="1"/>
  <c r="H2981" i="4"/>
  <c r="Y2981" i="4"/>
  <c r="Y3237" i="4"/>
  <c r="M3237" i="4"/>
  <c r="N3237" i="4" s="1"/>
  <c r="H3237" i="4"/>
  <c r="M2953" i="4"/>
  <c r="N2953" i="4" s="1"/>
  <c r="Y2953" i="4"/>
  <c r="H2953" i="4"/>
  <c r="H3209" i="4"/>
  <c r="Y3209" i="4"/>
  <c r="M3209" i="4"/>
  <c r="N3209" i="4" s="1"/>
  <c r="M2268" i="4"/>
  <c r="N2268" i="4" s="1"/>
  <c r="H2268" i="4"/>
  <c r="Y2268" i="4"/>
  <c r="Y2604" i="4"/>
  <c r="H2604" i="4"/>
  <c r="M2604" i="4"/>
  <c r="N2604" i="4" s="1"/>
  <c r="Y2732" i="4"/>
  <c r="H2732" i="4"/>
  <c r="M2732" i="4"/>
  <c r="N2732" i="4" s="1"/>
  <c r="Y2828" i="4"/>
  <c r="H2828" i="4"/>
  <c r="M2828" i="4"/>
  <c r="N2828" i="4" s="1"/>
  <c r="Y2956" i="4"/>
  <c r="H2956" i="4"/>
  <c r="M2956" i="4"/>
  <c r="N2956" i="4" s="1"/>
  <c r="Y3084" i="4"/>
  <c r="H3084" i="4"/>
  <c r="M3084" i="4"/>
  <c r="N3084" i="4" s="1"/>
  <c r="Y3212" i="4"/>
  <c r="H3212" i="4"/>
  <c r="M3212" i="4"/>
  <c r="N3212" i="4" s="1"/>
  <c r="H2294" i="4"/>
  <c r="Y2294" i="4"/>
  <c r="M2294" i="4"/>
  <c r="N2294" i="4" s="1"/>
  <c r="M3680" i="4"/>
  <c r="N3680" i="4" s="1"/>
  <c r="H3680" i="4"/>
  <c r="Y3680" i="4"/>
  <c r="M2362" i="4"/>
  <c r="N2362" i="4" s="1"/>
  <c r="H2362" i="4"/>
  <c r="Y2362" i="4"/>
  <c r="M2394" i="4"/>
  <c r="N2394" i="4" s="1"/>
  <c r="H2394" i="4"/>
  <c r="Y2394" i="4"/>
  <c r="H2426" i="4"/>
  <c r="Y2426" i="4"/>
  <c r="M2426" i="4"/>
  <c r="N2426" i="4" s="1"/>
  <c r="H2458" i="4"/>
  <c r="Y2458" i="4"/>
  <c r="M2458" i="4"/>
  <c r="N2458" i="4" s="1"/>
  <c r="H2490" i="4"/>
  <c r="Y2490" i="4"/>
  <c r="M2490" i="4"/>
  <c r="N2490" i="4" s="1"/>
  <c r="M2522" i="4"/>
  <c r="N2522" i="4" s="1"/>
  <c r="H2522" i="4"/>
  <c r="Y2522" i="4"/>
  <c r="Y2595" i="4"/>
  <c r="M2595" i="4"/>
  <c r="N2595" i="4" s="1"/>
  <c r="H2595" i="4"/>
  <c r="Y2670" i="4"/>
  <c r="H2670" i="4"/>
  <c r="M2670" i="4"/>
  <c r="N2670" i="4" s="1"/>
  <c r="Y2545" i="4"/>
  <c r="H2545" i="4"/>
  <c r="M2545" i="4"/>
  <c r="N2545" i="4" s="1"/>
  <c r="H2721" i="4"/>
  <c r="M2721" i="4"/>
  <c r="N2721" i="4" s="1"/>
  <c r="Y2721" i="4"/>
  <c r="M3025" i="4"/>
  <c r="N3025" i="4" s="1"/>
  <c r="H3025" i="4"/>
  <c r="Y3025" i="4"/>
  <c r="H2688" i="4"/>
  <c r="Y2688" i="4"/>
  <c r="M2688" i="4"/>
  <c r="N2688" i="4" s="1"/>
  <c r="H2744" i="4"/>
  <c r="M2744" i="4"/>
  <c r="N2744" i="4" s="1"/>
  <c r="Y2744" i="4"/>
  <c r="H2904" i="4"/>
  <c r="M2904" i="4"/>
  <c r="N2904" i="4" s="1"/>
  <c r="Y2904" i="4"/>
  <c r="H3080" i="4"/>
  <c r="Y3080" i="4"/>
  <c r="M3080" i="4"/>
  <c r="N3080" i="4" s="1"/>
  <c r="M2566" i="4"/>
  <c r="N2566" i="4" s="1"/>
  <c r="H2566" i="4"/>
  <c r="Y2566" i="4"/>
  <c r="Y2314" i="4"/>
  <c r="M2314" i="4"/>
  <c r="N2314" i="4" s="1"/>
  <c r="H2314" i="4"/>
  <c r="Y2445" i="4"/>
  <c r="M2445" i="4"/>
  <c r="N2445" i="4" s="1"/>
  <c r="H2445" i="4"/>
  <c r="M3203" i="4"/>
  <c r="N3203" i="4" s="1"/>
  <c r="H3203" i="4"/>
  <c r="Y3203" i="4"/>
  <c r="H2914" i="4"/>
  <c r="Y2914" i="4"/>
  <c r="M2914" i="4"/>
  <c r="N2914" i="4" s="1"/>
  <c r="H1928" i="4"/>
  <c r="Y1928" i="4"/>
  <c r="M1928" i="4"/>
  <c r="N1928" i="4" s="1"/>
  <c r="H1941" i="4"/>
  <c r="M1941" i="4"/>
  <c r="N1941" i="4" s="1"/>
  <c r="Y1941" i="4"/>
  <c r="H1995" i="4"/>
  <c r="Y1995" i="4"/>
  <c r="M1995" i="4"/>
  <c r="N1995" i="4" s="1"/>
  <c r="H1974" i="4"/>
  <c r="Y1974" i="4"/>
  <c r="M1974" i="4"/>
  <c r="N1974" i="4" s="1"/>
  <c r="M2006" i="4"/>
  <c r="N2006" i="4" s="1"/>
  <c r="H2006" i="4"/>
  <c r="Y2006" i="4"/>
  <c r="M2044" i="4"/>
  <c r="N2044" i="4" s="1"/>
  <c r="H2044" i="4"/>
  <c r="Y2044" i="4"/>
  <c r="M2076" i="4"/>
  <c r="N2076" i="4" s="1"/>
  <c r="Y2076" i="4"/>
  <c r="H2076" i="4"/>
  <c r="M2108" i="4"/>
  <c r="N2108" i="4" s="1"/>
  <c r="Y2108" i="4"/>
  <c r="H2108" i="4"/>
  <c r="M2140" i="4"/>
  <c r="N2140" i="4" s="1"/>
  <c r="Y2140" i="4"/>
  <c r="H2140" i="4"/>
  <c r="M2172" i="4"/>
  <c r="N2172" i="4" s="1"/>
  <c r="H2172" i="4"/>
  <c r="Y2172" i="4"/>
  <c r="M2204" i="4"/>
  <c r="N2204" i="4" s="1"/>
  <c r="H2204" i="4"/>
  <c r="Y2204" i="4"/>
  <c r="M2236" i="4"/>
  <c r="N2236" i="4" s="1"/>
  <c r="H2236" i="4"/>
  <c r="Y2236" i="4"/>
  <c r="H2039" i="4"/>
  <c r="M2039" i="4"/>
  <c r="N2039" i="4" s="1"/>
  <c r="Y2039" i="4"/>
  <c r="H2071" i="4"/>
  <c r="M2071" i="4"/>
  <c r="N2071" i="4" s="1"/>
  <c r="Y2071" i="4"/>
  <c r="H2103" i="4"/>
  <c r="M2103" i="4"/>
  <c r="N2103" i="4" s="1"/>
  <c r="Y2103" i="4"/>
  <c r="H2135" i="4"/>
  <c r="M2135" i="4"/>
  <c r="N2135" i="4" s="1"/>
  <c r="Y2135" i="4"/>
  <c r="H2167" i="4"/>
  <c r="M2167" i="4"/>
  <c r="N2167" i="4" s="1"/>
  <c r="Y2167" i="4"/>
  <c r="H2199" i="4"/>
  <c r="M2199" i="4"/>
  <c r="N2199" i="4" s="1"/>
  <c r="Y2199" i="4"/>
  <c r="H2231" i="4"/>
  <c r="M2231" i="4"/>
  <c r="N2231" i="4" s="1"/>
  <c r="Y2231" i="4"/>
  <c r="Y1939" i="4"/>
  <c r="M1939" i="4"/>
  <c r="N1939" i="4" s="1"/>
  <c r="H1939" i="4"/>
  <c r="M1957" i="4"/>
  <c r="N1957" i="4" s="1"/>
  <c r="Y1957" i="4"/>
  <c r="H1957" i="4"/>
  <c r="M1905" i="4"/>
  <c r="N1905" i="4" s="1"/>
  <c r="Y1905" i="4"/>
  <c r="H1905" i="4"/>
  <c r="Y1921" i="4"/>
  <c r="M1921" i="4"/>
  <c r="N1921" i="4" s="1"/>
  <c r="H1921" i="4"/>
  <c r="H1956" i="4"/>
  <c r="Y1956" i="4"/>
  <c r="M1956" i="4"/>
  <c r="N1956" i="4" s="1"/>
  <c r="Y2037" i="4"/>
  <c r="H2037" i="4"/>
  <c r="M2037" i="4"/>
  <c r="N2037" i="4" s="1"/>
  <c r="Y2069" i="4"/>
  <c r="H2069" i="4"/>
  <c r="M2069" i="4"/>
  <c r="N2069" i="4" s="1"/>
  <c r="Y2101" i="4"/>
  <c r="H2101" i="4"/>
  <c r="M2101" i="4"/>
  <c r="N2101" i="4" s="1"/>
  <c r="Y2133" i="4"/>
  <c r="H2133" i="4"/>
  <c r="M2133" i="4"/>
  <c r="N2133" i="4" s="1"/>
  <c r="Y2165" i="4"/>
  <c r="M2165" i="4"/>
  <c r="N2165" i="4" s="1"/>
  <c r="H2165" i="4"/>
  <c r="Y2197" i="4"/>
  <c r="M2197" i="4"/>
  <c r="N2197" i="4" s="1"/>
  <c r="H2197" i="4"/>
  <c r="Y2229" i="4"/>
  <c r="M2229" i="4"/>
  <c r="N2229" i="4" s="1"/>
  <c r="H2229" i="4"/>
  <c r="H2589" i="4"/>
  <c r="M2589" i="4"/>
  <c r="N2589" i="4" s="1"/>
  <c r="Y2589" i="4"/>
  <c r="Y2653" i="4"/>
  <c r="H2653" i="4"/>
  <c r="M2653" i="4"/>
  <c r="N2653" i="4" s="1"/>
  <c r="H2717" i="4"/>
  <c r="M2717" i="4"/>
  <c r="N2717" i="4" s="1"/>
  <c r="Y2717" i="4"/>
  <c r="H1981" i="4"/>
  <c r="M1981" i="4"/>
  <c r="N1981" i="4" s="1"/>
  <c r="Y1981" i="4"/>
  <c r="H2013" i="4"/>
  <c r="M2013" i="4"/>
  <c r="N2013" i="4" s="1"/>
  <c r="Y2013" i="4"/>
  <c r="H1980" i="4"/>
  <c r="M1980" i="4"/>
  <c r="N1980" i="4" s="1"/>
  <c r="Y1980" i="4"/>
  <c r="M2012" i="4"/>
  <c r="N2012" i="4" s="1"/>
  <c r="H2012" i="4"/>
  <c r="Y2012" i="4"/>
  <c r="H2030" i="4"/>
  <c r="Y2030" i="4"/>
  <c r="M2030" i="4"/>
  <c r="N2030" i="4" s="1"/>
  <c r="H2062" i="4"/>
  <c r="Y2062" i="4"/>
  <c r="M2062" i="4"/>
  <c r="N2062" i="4" s="1"/>
  <c r="H2094" i="4"/>
  <c r="Y2094" i="4"/>
  <c r="M2094" i="4"/>
  <c r="N2094" i="4" s="1"/>
  <c r="H2126" i="4"/>
  <c r="Y2126" i="4"/>
  <c r="M2126" i="4"/>
  <c r="N2126" i="4" s="1"/>
  <c r="H2158" i="4"/>
  <c r="Y2158" i="4"/>
  <c r="M2158" i="4"/>
  <c r="N2158" i="4" s="1"/>
  <c r="H2190" i="4"/>
  <c r="Y2190" i="4"/>
  <c r="M2190" i="4"/>
  <c r="N2190" i="4" s="1"/>
  <c r="H2222" i="4"/>
  <c r="Y2222" i="4"/>
  <c r="M2222" i="4"/>
  <c r="N2222" i="4" s="1"/>
  <c r="H2805" i="4"/>
  <c r="Y2805" i="4"/>
  <c r="M2805" i="4"/>
  <c r="N2805" i="4" s="1"/>
  <c r="Y2869" i="4"/>
  <c r="M2869" i="4"/>
  <c r="N2869" i="4" s="1"/>
  <c r="H2869" i="4"/>
  <c r="H2933" i="4"/>
  <c r="Y2933" i="4"/>
  <c r="M2933" i="4"/>
  <c r="N2933" i="4" s="1"/>
  <c r="Y2997" i="4"/>
  <c r="M2997" i="4"/>
  <c r="N2997" i="4" s="1"/>
  <c r="H2997" i="4"/>
  <c r="H3061" i="4"/>
  <c r="Y3061" i="4"/>
  <c r="M3061" i="4"/>
  <c r="N3061" i="4" s="1"/>
  <c r="Y3125" i="4"/>
  <c r="M3125" i="4"/>
  <c r="N3125" i="4" s="1"/>
  <c r="H3125" i="4"/>
  <c r="M3189" i="4"/>
  <c r="N3189" i="4" s="1"/>
  <c r="Y3189" i="4"/>
  <c r="H3189" i="4"/>
  <c r="H2777" i="4"/>
  <c r="Y2777" i="4"/>
  <c r="M2777" i="4"/>
  <c r="N2777" i="4" s="1"/>
  <c r="Y2841" i="4"/>
  <c r="M2841" i="4"/>
  <c r="N2841" i="4" s="1"/>
  <c r="H2841" i="4"/>
  <c r="H2905" i="4"/>
  <c r="Y2905" i="4"/>
  <c r="M2905" i="4"/>
  <c r="N2905" i="4" s="1"/>
  <c r="Y2969" i="4"/>
  <c r="M2969" i="4"/>
  <c r="N2969" i="4" s="1"/>
  <c r="H2969" i="4"/>
  <c r="M3033" i="4"/>
  <c r="N3033" i="4" s="1"/>
  <c r="Y3033" i="4"/>
  <c r="H3033" i="4"/>
  <c r="Y3097" i="4"/>
  <c r="H3097" i="4"/>
  <c r="M3097" i="4"/>
  <c r="N3097" i="4" s="1"/>
  <c r="Y3161" i="4"/>
  <c r="M3161" i="4"/>
  <c r="N3161" i="4" s="1"/>
  <c r="H3161" i="4"/>
  <c r="Y3225" i="4"/>
  <c r="H3225" i="4"/>
  <c r="M3225" i="4"/>
  <c r="N3225" i="4" s="1"/>
  <c r="M2260" i="4"/>
  <c r="N2260" i="4" s="1"/>
  <c r="H2260" i="4"/>
  <c r="Y2260" i="4"/>
  <c r="H2292" i="4"/>
  <c r="Y2292" i="4"/>
  <c r="M2292" i="4"/>
  <c r="N2292" i="4" s="1"/>
  <c r="H2324" i="4"/>
  <c r="Y2324" i="4"/>
  <c r="M2324" i="4"/>
  <c r="N2324" i="4" s="1"/>
  <c r="Y2564" i="4"/>
  <c r="H2564" i="4"/>
  <c r="M2564" i="4"/>
  <c r="N2564" i="4" s="1"/>
  <c r="Y2596" i="4"/>
  <c r="H2596" i="4"/>
  <c r="M2596" i="4"/>
  <c r="N2596" i="4" s="1"/>
  <c r="Y2628" i="4"/>
  <c r="H2628" i="4"/>
  <c r="M2628" i="4"/>
  <c r="N2628" i="4" s="1"/>
  <c r="Y2660" i="4"/>
  <c r="H2660" i="4"/>
  <c r="M2660" i="4"/>
  <c r="N2660" i="4" s="1"/>
  <c r="Y2692" i="4"/>
  <c r="H2692" i="4"/>
  <c r="M2692" i="4"/>
  <c r="N2692" i="4" s="1"/>
  <c r="Y2724" i="4"/>
  <c r="H2724" i="4"/>
  <c r="M2724" i="4"/>
  <c r="N2724" i="4" s="1"/>
  <c r="Y2772" i="4"/>
  <c r="M2772" i="4"/>
  <c r="N2772" i="4" s="1"/>
  <c r="H2772" i="4"/>
  <c r="Y2804" i="4"/>
  <c r="M2804" i="4"/>
  <c r="N2804" i="4" s="1"/>
  <c r="H2804" i="4"/>
  <c r="Y2836" i="4"/>
  <c r="M2836" i="4"/>
  <c r="N2836" i="4" s="1"/>
  <c r="H2836" i="4"/>
  <c r="Y2868" i="4"/>
  <c r="M2868" i="4"/>
  <c r="N2868" i="4" s="1"/>
  <c r="H2868" i="4"/>
  <c r="Y2900" i="4"/>
  <c r="M2900" i="4"/>
  <c r="N2900" i="4" s="1"/>
  <c r="H2900" i="4"/>
  <c r="Y2932" i="4"/>
  <c r="M2932" i="4"/>
  <c r="N2932" i="4" s="1"/>
  <c r="H2932" i="4"/>
  <c r="Y2964" i="4"/>
  <c r="M2964" i="4"/>
  <c r="N2964" i="4" s="1"/>
  <c r="H2964" i="4"/>
  <c r="Y2996" i="4"/>
  <c r="M2996" i="4"/>
  <c r="N2996" i="4" s="1"/>
  <c r="H2996" i="4"/>
  <c r="Y3028" i="4"/>
  <c r="M3028" i="4"/>
  <c r="N3028" i="4" s="1"/>
  <c r="H3028" i="4"/>
  <c r="Y3060" i="4"/>
  <c r="M3060" i="4"/>
  <c r="N3060" i="4" s="1"/>
  <c r="H3060" i="4"/>
  <c r="Y3092" i="4"/>
  <c r="M3092" i="4"/>
  <c r="N3092" i="4" s="1"/>
  <c r="H3092" i="4"/>
  <c r="Y3124" i="4"/>
  <c r="M3124" i="4"/>
  <c r="N3124" i="4" s="1"/>
  <c r="H3124" i="4"/>
  <c r="Y3156" i="4"/>
  <c r="M3156" i="4"/>
  <c r="N3156" i="4" s="1"/>
  <c r="H3156" i="4"/>
  <c r="Y3188" i="4"/>
  <c r="M3188" i="4"/>
  <c r="N3188" i="4" s="1"/>
  <c r="H3188" i="4"/>
  <c r="Y3220" i="4"/>
  <c r="M3220" i="4"/>
  <c r="N3220" i="4" s="1"/>
  <c r="H3220" i="4"/>
  <c r="M2635" i="4"/>
  <c r="N2635" i="4" s="1"/>
  <c r="H2635" i="4"/>
  <c r="Y2635" i="4"/>
  <c r="M2582" i="4"/>
  <c r="N2582" i="4" s="1"/>
  <c r="Y2582" i="4"/>
  <c r="H2582" i="4"/>
  <c r="M2710" i="4"/>
  <c r="N2710" i="4" s="1"/>
  <c r="Y2710" i="4"/>
  <c r="H2710" i="4"/>
  <c r="Y2254" i="4"/>
  <c r="M2254" i="4"/>
  <c r="N2254" i="4" s="1"/>
  <c r="H2254" i="4"/>
  <c r="Y2286" i="4"/>
  <c r="M2286" i="4"/>
  <c r="N2286" i="4" s="1"/>
  <c r="H2286" i="4"/>
  <c r="Y2318" i="4"/>
  <c r="M2318" i="4"/>
  <c r="N2318" i="4" s="1"/>
  <c r="H2318" i="4"/>
  <c r="M2269" i="4"/>
  <c r="N2269" i="4" s="1"/>
  <c r="H2269" i="4"/>
  <c r="Y2269" i="4"/>
  <c r="M2301" i="4"/>
  <c r="N2301" i="4" s="1"/>
  <c r="H2301" i="4"/>
  <c r="Y2301" i="4"/>
  <c r="M2333" i="4"/>
  <c r="N2333" i="4" s="1"/>
  <c r="H2333" i="4"/>
  <c r="Y2333" i="4"/>
  <c r="M2340" i="4"/>
  <c r="N2340" i="4" s="1"/>
  <c r="H2340" i="4"/>
  <c r="Y2340" i="4"/>
  <c r="H2348" i="4"/>
  <c r="Y2348" i="4"/>
  <c r="M2348" i="4"/>
  <c r="N2348" i="4" s="1"/>
  <c r="M2356" i="4"/>
  <c r="N2356" i="4" s="1"/>
  <c r="H2356" i="4"/>
  <c r="Y2356" i="4"/>
  <c r="H2364" i="4"/>
  <c r="Y2364" i="4"/>
  <c r="M2364" i="4"/>
  <c r="N2364" i="4" s="1"/>
  <c r="M2372" i="4"/>
  <c r="N2372" i="4" s="1"/>
  <c r="H2372" i="4"/>
  <c r="Y2372" i="4"/>
  <c r="H2380" i="4"/>
  <c r="Y2380" i="4"/>
  <c r="M2380" i="4"/>
  <c r="N2380" i="4" s="1"/>
  <c r="M2388" i="4"/>
  <c r="N2388" i="4" s="1"/>
  <c r="H2388" i="4"/>
  <c r="Y2388" i="4"/>
  <c r="H2396" i="4"/>
  <c r="Y2396" i="4"/>
  <c r="M2396" i="4"/>
  <c r="N2396" i="4" s="1"/>
  <c r="M2404" i="4"/>
  <c r="N2404" i="4" s="1"/>
  <c r="H2404" i="4"/>
  <c r="Y2404" i="4"/>
  <c r="H2412" i="4"/>
  <c r="Y2412" i="4"/>
  <c r="M2412" i="4"/>
  <c r="N2412" i="4" s="1"/>
  <c r="M2420" i="4"/>
  <c r="N2420" i="4" s="1"/>
  <c r="H2420" i="4"/>
  <c r="Y2420" i="4"/>
  <c r="H2428" i="4"/>
  <c r="Y2428" i="4"/>
  <c r="M2428" i="4"/>
  <c r="N2428" i="4" s="1"/>
  <c r="M2436" i="4"/>
  <c r="N2436" i="4" s="1"/>
  <c r="H2436" i="4"/>
  <c r="Y2436" i="4"/>
  <c r="H2444" i="4"/>
  <c r="Y2444" i="4"/>
  <c r="M2444" i="4"/>
  <c r="N2444" i="4" s="1"/>
  <c r="M2452" i="4"/>
  <c r="N2452" i="4" s="1"/>
  <c r="H2452" i="4"/>
  <c r="Y2452" i="4"/>
  <c r="H2460" i="4"/>
  <c r="Y2460" i="4"/>
  <c r="M2460" i="4"/>
  <c r="N2460" i="4" s="1"/>
  <c r="M2468" i="4"/>
  <c r="N2468" i="4" s="1"/>
  <c r="H2468" i="4"/>
  <c r="Y2468" i="4"/>
  <c r="H2476" i="4"/>
  <c r="Y2476" i="4"/>
  <c r="M2476" i="4"/>
  <c r="N2476" i="4" s="1"/>
  <c r="M2484" i="4"/>
  <c r="N2484" i="4" s="1"/>
  <c r="H2484" i="4"/>
  <c r="Y2484" i="4"/>
  <c r="H2492" i="4"/>
  <c r="Y2492" i="4"/>
  <c r="M2492" i="4"/>
  <c r="N2492" i="4" s="1"/>
  <c r="M2500" i="4"/>
  <c r="N2500" i="4" s="1"/>
  <c r="H2500" i="4"/>
  <c r="Y2500" i="4"/>
  <c r="H2508" i="4"/>
  <c r="M2508" i="4"/>
  <c r="N2508" i="4" s="1"/>
  <c r="Y2508" i="4"/>
  <c r="M2516" i="4"/>
  <c r="N2516" i="4" s="1"/>
  <c r="H2516" i="4"/>
  <c r="Y2516" i="4"/>
  <c r="Y2524" i="4"/>
  <c r="M2524" i="4"/>
  <c r="N2524" i="4" s="1"/>
  <c r="H2524" i="4"/>
  <c r="H2532" i="4"/>
  <c r="M2532" i="4"/>
  <c r="N2532" i="4" s="1"/>
  <c r="Y2532" i="4"/>
  <c r="Y2563" i="4"/>
  <c r="H2563" i="4"/>
  <c r="M2563" i="4"/>
  <c r="N2563" i="4" s="1"/>
  <c r="H2691" i="4"/>
  <c r="Y2691" i="4"/>
  <c r="M2691" i="4"/>
  <c r="N2691" i="4" s="1"/>
  <c r="Y2638" i="4"/>
  <c r="H2638" i="4"/>
  <c r="M2638" i="4"/>
  <c r="N2638" i="4" s="1"/>
  <c r="H2561" i="4"/>
  <c r="M2561" i="4"/>
  <c r="N2561" i="4" s="1"/>
  <c r="Y2561" i="4"/>
  <c r="M2601" i="4"/>
  <c r="N2601" i="4" s="1"/>
  <c r="Y2601" i="4"/>
  <c r="H2601" i="4"/>
  <c r="Y2641" i="4"/>
  <c r="M2641" i="4"/>
  <c r="N2641" i="4" s="1"/>
  <c r="H2641" i="4"/>
  <c r="H2689" i="4"/>
  <c r="Y2689" i="4"/>
  <c r="M2689" i="4"/>
  <c r="N2689" i="4" s="1"/>
  <c r="M2729" i="4"/>
  <c r="N2729" i="4" s="1"/>
  <c r="H2729" i="4"/>
  <c r="Y2729" i="4"/>
  <c r="H2785" i="4"/>
  <c r="M2785" i="4"/>
  <c r="N2785" i="4" s="1"/>
  <c r="Y2785" i="4"/>
  <c r="Y2881" i="4"/>
  <c r="M2881" i="4"/>
  <c r="N2881" i="4" s="1"/>
  <c r="H2881" i="4"/>
  <c r="H2961" i="4"/>
  <c r="Y2961" i="4"/>
  <c r="M2961" i="4"/>
  <c r="N2961" i="4" s="1"/>
  <c r="Y3041" i="4"/>
  <c r="M3041" i="4"/>
  <c r="N3041" i="4" s="1"/>
  <c r="H3041" i="4"/>
  <c r="M3137" i="4"/>
  <c r="N3137" i="4" s="1"/>
  <c r="H3137" i="4"/>
  <c r="Y3137" i="4"/>
  <c r="M3217" i="4"/>
  <c r="N3217" i="4" s="1"/>
  <c r="Y3217" i="4"/>
  <c r="H3217" i="4"/>
  <c r="M2256" i="4"/>
  <c r="N2256" i="4" s="1"/>
  <c r="H2256" i="4"/>
  <c r="Y2256" i="4"/>
  <c r="M2312" i="4"/>
  <c r="N2312" i="4" s="1"/>
  <c r="H2312" i="4"/>
  <c r="Y2312" i="4"/>
  <c r="Y2576" i="4"/>
  <c r="M2576" i="4"/>
  <c r="N2576" i="4" s="1"/>
  <c r="H2576" i="4"/>
  <c r="Y2592" i="4"/>
  <c r="M2592" i="4"/>
  <c r="N2592" i="4" s="1"/>
  <c r="H2592" i="4"/>
  <c r="M2648" i="4"/>
  <c r="N2648" i="4" s="1"/>
  <c r="H2648" i="4"/>
  <c r="Y2648" i="4"/>
  <c r="Y2704" i="4"/>
  <c r="M2704" i="4"/>
  <c r="N2704" i="4" s="1"/>
  <c r="H2704" i="4"/>
  <c r="Y2720" i="4"/>
  <c r="M2720" i="4"/>
  <c r="N2720" i="4" s="1"/>
  <c r="H2720" i="4"/>
  <c r="Y2792" i="4"/>
  <c r="M2792" i="4"/>
  <c r="N2792" i="4" s="1"/>
  <c r="H2792" i="4"/>
  <c r="M2832" i="4"/>
  <c r="N2832" i="4" s="1"/>
  <c r="H2832" i="4"/>
  <c r="Y2832" i="4"/>
  <c r="M2872" i="4"/>
  <c r="N2872" i="4" s="1"/>
  <c r="Y2872" i="4"/>
  <c r="H2872" i="4"/>
  <c r="H2920" i="4"/>
  <c r="Y2920" i="4"/>
  <c r="M2920" i="4"/>
  <c r="N2920" i="4" s="1"/>
  <c r="H2960" i="4"/>
  <c r="M2960" i="4"/>
  <c r="N2960" i="4" s="1"/>
  <c r="Y2960" i="4"/>
  <c r="M3000" i="4"/>
  <c r="N3000" i="4" s="1"/>
  <c r="Y3000" i="4"/>
  <c r="H3000" i="4"/>
  <c r="M3048" i="4"/>
  <c r="N3048" i="4" s="1"/>
  <c r="H3048" i="4"/>
  <c r="Y3048" i="4"/>
  <c r="H3088" i="4"/>
  <c r="M3088" i="4"/>
  <c r="N3088" i="4" s="1"/>
  <c r="Y3088" i="4"/>
  <c r="M3128" i="4"/>
  <c r="N3128" i="4" s="1"/>
  <c r="H3128" i="4"/>
  <c r="Y3128" i="4"/>
  <c r="Y3176" i="4"/>
  <c r="M3176" i="4"/>
  <c r="N3176" i="4" s="1"/>
  <c r="H3176" i="4"/>
  <c r="H3216" i="4"/>
  <c r="M3216" i="4"/>
  <c r="N3216" i="4" s="1"/>
  <c r="Y3216" i="4"/>
  <c r="Y2587" i="4"/>
  <c r="M2587" i="4"/>
  <c r="N2587" i="4" s="1"/>
  <c r="H2587" i="4"/>
  <c r="H2298" i="4"/>
  <c r="Y2298" i="4"/>
  <c r="M2298" i="4"/>
  <c r="N2298" i="4" s="1"/>
  <c r="Y2357" i="4"/>
  <c r="M2357" i="4"/>
  <c r="N2357" i="4" s="1"/>
  <c r="H2357" i="4"/>
  <c r="Y2389" i="4"/>
  <c r="M2389" i="4"/>
  <c r="N2389" i="4" s="1"/>
  <c r="H2389" i="4"/>
  <c r="Y2421" i="4"/>
  <c r="M2421" i="4"/>
  <c r="N2421" i="4" s="1"/>
  <c r="H2421" i="4"/>
  <c r="Y2453" i="4"/>
  <c r="M2453" i="4"/>
  <c r="N2453" i="4" s="1"/>
  <c r="H2453" i="4"/>
  <c r="Y2485" i="4"/>
  <c r="M2485" i="4"/>
  <c r="N2485" i="4" s="1"/>
  <c r="H2485" i="4"/>
  <c r="M2517" i="4"/>
  <c r="N2517" i="4" s="1"/>
  <c r="H2517" i="4"/>
  <c r="Y2517" i="4"/>
  <c r="Y2739" i="4"/>
  <c r="M2739" i="4"/>
  <c r="N2739" i="4" s="1"/>
  <c r="H2739" i="4"/>
  <c r="M2851" i="4"/>
  <c r="N2851" i="4" s="1"/>
  <c r="H2851" i="4"/>
  <c r="Y2851" i="4"/>
  <c r="M2979" i="4"/>
  <c r="N2979" i="4" s="1"/>
  <c r="H2979" i="4"/>
  <c r="Y2979" i="4"/>
  <c r="M3107" i="4"/>
  <c r="N3107" i="4" s="1"/>
  <c r="H3107" i="4"/>
  <c r="Y3107" i="4"/>
  <c r="M3235" i="4"/>
  <c r="N3235" i="4" s="1"/>
  <c r="H3235" i="4"/>
  <c r="Y3235" i="4"/>
  <c r="M2818" i="4"/>
  <c r="N2818" i="4" s="1"/>
  <c r="Y2818" i="4"/>
  <c r="H2818" i="4"/>
  <c r="M2946" i="4"/>
  <c r="N2946" i="4" s="1"/>
  <c r="Y2946" i="4"/>
  <c r="H2946" i="4"/>
  <c r="M3074" i="4"/>
  <c r="N3074" i="4" s="1"/>
  <c r="Y3074" i="4"/>
  <c r="H3074" i="4"/>
  <c r="M3202" i="4"/>
  <c r="N3202" i="4" s="1"/>
  <c r="Y3202" i="4"/>
  <c r="H3202" i="4"/>
  <c r="M1943" i="4"/>
  <c r="N1943" i="4" s="1"/>
  <c r="H1943" i="4"/>
  <c r="Y1943" i="4"/>
  <c r="H1929" i="4"/>
  <c r="Y1929" i="4"/>
  <c r="M1929" i="4"/>
  <c r="N1929" i="4" s="1"/>
  <c r="Y1893" i="4"/>
  <c r="H1893" i="4"/>
  <c r="M1893" i="4"/>
  <c r="N1893" i="4" s="1"/>
  <c r="M1909" i="4"/>
  <c r="N1909" i="4" s="1"/>
  <c r="Y1909" i="4"/>
  <c r="H1909" i="4"/>
  <c r="Y1925" i="4"/>
  <c r="H1925" i="4"/>
  <c r="M1925" i="4"/>
  <c r="N1925" i="4" s="1"/>
  <c r="H2045" i="4"/>
  <c r="M2045" i="4"/>
  <c r="N2045" i="4" s="1"/>
  <c r="Y2045" i="4"/>
  <c r="M2077" i="4"/>
  <c r="N2077" i="4" s="1"/>
  <c r="H2077" i="4"/>
  <c r="Y2077" i="4"/>
  <c r="M2109" i="4"/>
  <c r="N2109" i="4" s="1"/>
  <c r="H2109" i="4"/>
  <c r="Y2109" i="4"/>
  <c r="M2141" i="4"/>
  <c r="N2141" i="4" s="1"/>
  <c r="H2141" i="4"/>
  <c r="Y2141" i="4"/>
  <c r="M2173" i="4"/>
  <c r="N2173" i="4" s="1"/>
  <c r="H2173" i="4"/>
  <c r="Y2173" i="4"/>
  <c r="M2205" i="4"/>
  <c r="N2205" i="4" s="1"/>
  <c r="H2205" i="4"/>
  <c r="Y2205" i="4"/>
  <c r="M2237" i="4"/>
  <c r="N2237" i="4" s="1"/>
  <c r="H2237" i="4"/>
  <c r="Y2237" i="4"/>
  <c r="Y2541" i="4"/>
  <c r="H2541" i="4"/>
  <c r="M2541" i="4"/>
  <c r="N2541" i="4" s="1"/>
  <c r="Y2605" i="4"/>
  <c r="M2605" i="4"/>
  <c r="N2605" i="4" s="1"/>
  <c r="H2605" i="4"/>
  <c r="H2669" i="4"/>
  <c r="Y2669" i="4"/>
  <c r="M2669" i="4"/>
  <c r="N2669" i="4" s="1"/>
  <c r="Y2733" i="4"/>
  <c r="M2733" i="4"/>
  <c r="N2733" i="4" s="1"/>
  <c r="H2733" i="4"/>
  <c r="Y1973" i="4"/>
  <c r="H1973" i="4"/>
  <c r="M1973" i="4"/>
  <c r="N1973" i="4" s="1"/>
  <c r="Y2005" i="4"/>
  <c r="H2005" i="4"/>
  <c r="M2005" i="4"/>
  <c r="N2005" i="4" s="1"/>
  <c r="Y1972" i="4"/>
  <c r="M1972" i="4"/>
  <c r="N1972" i="4" s="1"/>
  <c r="H1972" i="4"/>
  <c r="Y2004" i="4"/>
  <c r="M2004" i="4"/>
  <c r="N2004" i="4" s="1"/>
  <c r="H2004" i="4"/>
  <c r="M2038" i="4"/>
  <c r="N2038" i="4" s="1"/>
  <c r="H2038" i="4"/>
  <c r="Y2038" i="4"/>
  <c r="M2070" i="4"/>
  <c r="N2070" i="4" s="1"/>
  <c r="H2070" i="4"/>
  <c r="Y2070" i="4"/>
  <c r="M2102" i="4"/>
  <c r="N2102" i="4" s="1"/>
  <c r="H2102" i="4"/>
  <c r="Y2102" i="4"/>
  <c r="M2134" i="4"/>
  <c r="N2134" i="4" s="1"/>
  <c r="H2134" i="4"/>
  <c r="Y2134" i="4"/>
  <c r="M2166" i="4"/>
  <c r="N2166" i="4" s="1"/>
  <c r="H2166" i="4"/>
  <c r="Y2166" i="4"/>
  <c r="M2198" i="4"/>
  <c r="N2198" i="4" s="1"/>
  <c r="H2198" i="4"/>
  <c r="Y2198" i="4"/>
  <c r="M2230" i="4"/>
  <c r="N2230" i="4" s="1"/>
  <c r="H2230" i="4"/>
  <c r="Y2230" i="4"/>
  <c r="Y2821" i="4"/>
  <c r="M2821" i="4"/>
  <c r="N2821" i="4" s="1"/>
  <c r="H2821" i="4"/>
  <c r="H2885" i="4"/>
  <c r="Y2885" i="4"/>
  <c r="M2885" i="4"/>
  <c r="N2885" i="4" s="1"/>
  <c r="Y2949" i="4"/>
  <c r="H2949" i="4"/>
  <c r="M2949" i="4"/>
  <c r="N2949" i="4" s="1"/>
  <c r="Y3013" i="4"/>
  <c r="H3013" i="4"/>
  <c r="M3013" i="4"/>
  <c r="N3013" i="4" s="1"/>
  <c r="H3077" i="4"/>
  <c r="Y3077" i="4"/>
  <c r="M3077" i="4"/>
  <c r="N3077" i="4" s="1"/>
  <c r="Y3141" i="4"/>
  <c r="M3141" i="4"/>
  <c r="N3141" i="4" s="1"/>
  <c r="H3141" i="4"/>
  <c r="Y3205" i="4"/>
  <c r="M3205" i="4"/>
  <c r="N3205" i="4" s="1"/>
  <c r="H3205" i="4"/>
  <c r="H2793" i="4"/>
  <c r="M2793" i="4"/>
  <c r="N2793" i="4" s="1"/>
  <c r="Y2793" i="4"/>
  <c r="M2857" i="4"/>
  <c r="N2857" i="4" s="1"/>
  <c r="H2857" i="4"/>
  <c r="Y2857" i="4"/>
  <c r="M2921" i="4"/>
  <c r="N2921" i="4" s="1"/>
  <c r="H2921" i="4"/>
  <c r="Y2921" i="4"/>
  <c r="M2985" i="4"/>
  <c r="N2985" i="4" s="1"/>
  <c r="H2985" i="4"/>
  <c r="Y2985" i="4"/>
  <c r="M3049" i="4"/>
  <c r="N3049" i="4" s="1"/>
  <c r="H3049" i="4"/>
  <c r="Y3049" i="4"/>
  <c r="H3113" i="4"/>
  <c r="Y3113" i="4"/>
  <c r="M3113" i="4"/>
  <c r="N3113" i="4" s="1"/>
  <c r="Y3177" i="4"/>
  <c r="M3177" i="4"/>
  <c r="N3177" i="4" s="1"/>
  <c r="H3177" i="4"/>
  <c r="H2252" i="4"/>
  <c r="Y2252" i="4"/>
  <c r="M2252" i="4"/>
  <c r="N2252" i="4" s="1"/>
  <c r="H2284" i="4"/>
  <c r="Y2284" i="4"/>
  <c r="M2284" i="4"/>
  <c r="N2284" i="4" s="1"/>
  <c r="H2316" i="4"/>
  <c r="Y2316" i="4"/>
  <c r="M2316" i="4"/>
  <c r="N2316" i="4" s="1"/>
  <c r="H2556" i="4"/>
  <c r="Y2556" i="4"/>
  <c r="M2556" i="4"/>
  <c r="N2556" i="4" s="1"/>
  <c r="M2588" i="4"/>
  <c r="N2588" i="4" s="1"/>
  <c r="Y2588" i="4"/>
  <c r="H2588" i="4"/>
  <c r="M2620" i="4"/>
  <c r="N2620" i="4" s="1"/>
  <c r="Y2620" i="4"/>
  <c r="H2620" i="4"/>
  <c r="M2652" i="4"/>
  <c r="N2652" i="4" s="1"/>
  <c r="Y2652" i="4"/>
  <c r="H2652" i="4"/>
  <c r="M2684" i="4"/>
  <c r="N2684" i="4" s="1"/>
  <c r="Y2684" i="4"/>
  <c r="H2684" i="4"/>
  <c r="M2716" i="4"/>
  <c r="N2716" i="4" s="1"/>
  <c r="Y2716" i="4"/>
  <c r="H2716" i="4"/>
  <c r="H2780" i="4"/>
  <c r="M2780" i="4"/>
  <c r="N2780" i="4" s="1"/>
  <c r="Y2780" i="4"/>
  <c r="H2812" i="4"/>
  <c r="M2812" i="4"/>
  <c r="N2812" i="4" s="1"/>
  <c r="Y2812" i="4"/>
  <c r="H2844" i="4"/>
  <c r="M2844" i="4"/>
  <c r="N2844" i="4" s="1"/>
  <c r="Y2844" i="4"/>
  <c r="H2876" i="4"/>
  <c r="M2876" i="4"/>
  <c r="N2876" i="4" s="1"/>
  <c r="Y2876" i="4"/>
  <c r="H2908" i="4"/>
  <c r="M2908" i="4"/>
  <c r="N2908" i="4" s="1"/>
  <c r="Y2908" i="4"/>
  <c r="H2940" i="4"/>
  <c r="M2940" i="4"/>
  <c r="N2940" i="4" s="1"/>
  <c r="Y2940" i="4"/>
  <c r="H2972" i="4"/>
  <c r="M2972" i="4"/>
  <c r="N2972" i="4" s="1"/>
  <c r="Y2972" i="4"/>
  <c r="H3004" i="4"/>
  <c r="M3004" i="4"/>
  <c r="N3004" i="4" s="1"/>
  <c r="Y3004" i="4"/>
  <c r="H3036" i="4"/>
  <c r="M3036" i="4"/>
  <c r="N3036" i="4" s="1"/>
  <c r="Y3036" i="4"/>
  <c r="H3068" i="4"/>
  <c r="M3068" i="4"/>
  <c r="N3068" i="4" s="1"/>
  <c r="Y3068" i="4"/>
  <c r="H3100" i="4"/>
  <c r="M3100" i="4"/>
  <c r="N3100" i="4" s="1"/>
  <c r="Y3100" i="4"/>
  <c r="H3132" i="4"/>
  <c r="M3132" i="4"/>
  <c r="N3132" i="4" s="1"/>
  <c r="Y3132" i="4"/>
  <c r="H3164" i="4"/>
  <c r="M3164" i="4"/>
  <c r="N3164" i="4" s="1"/>
  <c r="Y3164" i="4"/>
  <c r="H3196" i="4"/>
  <c r="M3196" i="4"/>
  <c r="N3196" i="4" s="1"/>
  <c r="Y3196" i="4"/>
  <c r="H3228" i="4"/>
  <c r="M3228" i="4"/>
  <c r="N3228" i="4" s="1"/>
  <c r="Y3228" i="4"/>
  <c r="Y2603" i="4"/>
  <c r="M2603" i="4"/>
  <c r="N2603" i="4" s="1"/>
  <c r="H2603" i="4"/>
  <c r="Y2731" i="4"/>
  <c r="M2731" i="4"/>
  <c r="N2731" i="4" s="1"/>
  <c r="H2731" i="4"/>
  <c r="H2550" i="4"/>
  <c r="Y2550" i="4"/>
  <c r="M2550" i="4"/>
  <c r="N2550" i="4" s="1"/>
  <c r="H2678" i="4"/>
  <c r="M2678" i="4"/>
  <c r="N2678" i="4" s="1"/>
  <c r="Y2678" i="4"/>
  <c r="H2278" i="4"/>
  <c r="Y2278" i="4"/>
  <c r="M2278" i="4"/>
  <c r="N2278" i="4" s="1"/>
  <c r="H2310" i="4"/>
  <c r="Y2310" i="4"/>
  <c r="M2310" i="4"/>
  <c r="N2310" i="4" s="1"/>
  <c r="Y2261" i="4"/>
  <c r="M2261" i="4"/>
  <c r="N2261" i="4" s="1"/>
  <c r="H2261" i="4"/>
  <c r="Y2293" i="4"/>
  <c r="M2293" i="4"/>
  <c r="N2293" i="4" s="1"/>
  <c r="H2293" i="4"/>
  <c r="Y2325" i="4"/>
  <c r="M2325" i="4"/>
  <c r="N2325" i="4" s="1"/>
  <c r="H2325" i="4"/>
  <c r="M2342" i="4"/>
  <c r="N2342" i="4" s="1"/>
  <c r="H2342" i="4"/>
  <c r="Y2342" i="4"/>
  <c r="H2350" i="4"/>
  <c r="Y2350" i="4"/>
  <c r="M2350" i="4"/>
  <c r="N2350" i="4" s="1"/>
  <c r="Y2358" i="4"/>
  <c r="M2358" i="4"/>
  <c r="N2358" i="4" s="1"/>
  <c r="H2358" i="4"/>
  <c r="Y2366" i="4"/>
  <c r="M2366" i="4"/>
  <c r="N2366" i="4" s="1"/>
  <c r="H2366" i="4"/>
  <c r="M2374" i="4"/>
  <c r="N2374" i="4" s="1"/>
  <c r="H2374" i="4"/>
  <c r="Y2374" i="4"/>
  <c r="H2382" i="4"/>
  <c r="Y2382" i="4"/>
  <c r="M2382" i="4"/>
  <c r="N2382" i="4" s="1"/>
  <c r="Y2390" i="4"/>
  <c r="M2390" i="4"/>
  <c r="N2390" i="4" s="1"/>
  <c r="H2390" i="4"/>
  <c r="Y2398" i="4"/>
  <c r="M2398" i="4"/>
  <c r="N2398" i="4" s="1"/>
  <c r="H2398" i="4"/>
  <c r="M2406" i="4"/>
  <c r="N2406" i="4" s="1"/>
  <c r="H2406" i="4"/>
  <c r="Y2406" i="4"/>
  <c r="H2414" i="4"/>
  <c r="Y2414" i="4"/>
  <c r="M2414" i="4"/>
  <c r="N2414" i="4" s="1"/>
  <c r="Y2422" i="4"/>
  <c r="M2422" i="4"/>
  <c r="N2422" i="4" s="1"/>
  <c r="H2422" i="4"/>
  <c r="Y2430" i="4"/>
  <c r="M2430" i="4"/>
  <c r="N2430" i="4" s="1"/>
  <c r="H2430" i="4"/>
  <c r="M2438" i="4"/>
  <c r="N2438" i="4" s="1"/>
  <c r="H2438" i="4"/>
  <c r="Y2438" i="4"/>
  <c r="H2446" i="4"/>
  <c r="Y2446" i="4"/>
  <c r="M2446" i="4"/>
  <c r="N2446" i="4" s="1"/>
  <c r="Y2454" i="4"/>
  <c r="M2454" i="4"/>
  <c r="N2454" i="4" s="1"/>
  <c r="H2454" i="4"/>
  <c r="Y2462" i="4"/>
  <c r="M2462" i="4"/>
  <c r="N2462" i="4" s="1"/>
  <c r="H2462" i="4"/>
  <c r="M2470" i="4"/>
  <c r="N2470" i="4" s="1"/>
  <c r="H2470" i="4"/>
  <c r="Y2470" i="4"/>
  <c r="H2478" i="4"/>
  <c r="Y2478" i="4"/>
  <c r="M2478" i="4"/>
  <c r="N2478" i="4" s="1"/>
  <c r="Y2486" i="4"/>
  <c r="M2486" i="4"/>
  <c r="N2486" i="4" s="1"/>
  <c r="H2486" i="4"/>
  <c r="Y2494" i="4"/>
  <c r="M2494" i="4"/>
  <c r="N2494" i="4" s="1"/>
  <c r="H2494" i="4"/>
  <c r="M2502" i="4"/>
  <c r="N2502" i="4" s="1"/>
  <c r="H2502" i="4"/>
  <c r="Y2502" i="4"/>
  <c r="H2510" i="4"/>
  <c r="Y2510" i="4"/>
  <c r="M2510" i="4"/>
  <c r="N2510" i="4" s="1"/>
  <c r="H2518" i="4"/>
  <c r="Y2518" i="4"/>
  <c r="M2518" i="4"/>
  <c r="N2518" i="4" s="1"/>
  <c r="Y2526" i="4"/>
  <c r="M2526" i="4"/>
  <c r="N2526" i="4" s="1"/>
  <c r="H2526" i="4"/>
  <c r="H2534" i="4"/>
  <c r="Y2534" i="4"/>
  <c r="M2534" i="4"/>
  <c r="N2534" i="4" s="1"/>
  <c r="H2543" i="4"/>
  <c r="M2543" i="4"/>
  <c r="N2543" i="4" s="1"/>
  <c r="Y2543" i="4"/>
  <c r="M2659" i="4"/>
  <c r="N2659" i="4" s="1"/>
  <c r="H2659" i="4"/>
  <c r="Y2659" i="4"/>
  <c r="M2606" i="4"/>
  <c r="N2606" i="4" s="1"/>
  <c r="Y2606" i="4"/>
  <c r="H2606" i="4"/>
  <c r="M2734" i="4"/>
  <c r="N2734" i="4" s="1"/>
  <c r="Y2734" i="4"/>
  <c r="H2734" i="4"/>
  <c r="M2569" i="4"/>
  <c r="N2569" i="4" s="1"/>
  <c r="Y2569" i="4"/>
  <c r="H2569" i="4"/>
  <c r="M2609" i="4"/>
  <c r="N2609" i="4" s="1"/>
  <c r="H2609" i="4"/>
  <c r="Y2609" i="4"/>
  <c r="M2657" i="4"/>
  <c r="N2657" i="4" s="1"/>
  <c r="Y2657" i="4"/>
  <c r="H2657" i="4"/>
  <c r="H2697" i="4"/>
  <c r="Y2697" i="4"/>
  <c r="M2697" i="4"/>
  <c r="N2697" i="4" s="1"/>
  <c r="M2737" i="4"/>
  <c r="N2737" i="4" s="1"/>
  <c r="H2737" i="4"/>
  <c r="Y2737" i="4"/>
  <c r="H2817" i="4"/>
  <c r="M2817" i="4"/>
  <c r="N2817" i="4" s="1"/>
  <c r="Y2817" i="4"/>
  <c r="H2897" i="4"/>
  <c r="Y2897" i="4"/>
  <c r="M2897" i="4"/>
  <c r="N2897" i="4" s="1"/>
  <c r="H2977" i="4"/>
  <c r="M2977" i="4"/>
  <c r="N2977" i="4" s="1"/>
  <c r="Y2977" i="4"/>
  <c r="M3073" i="4"/>
  <c r="N3073" i="4" s="1"/>
  <c r="H3073" i="4"/>
  <c r="Y3073" i="4"/>
  <c r="M3153" i="4"/>
  <c r="N3153" i="4" s="1"/>
  <c r="Y3153" i="4"/>
  <c r="H3153" i="4"/>
  <c r="Y3233" i="4"/>
  <c r="H3233" i="4"/>
  <c r="M3233" i="4"/>
  <c r="N3233" i="4" s="1"/>
  <c r="M2272" i="4"/>
  <c r="N2272" i="4" s="1"/>
  <c r="H2272" i="4"/>
  <c r="Y2272" i="4"/>
  <c r="H2288" i="4"/>
  <c r="Y2288" i="4"/>
  <c r="M2288" i="4"/>
  <c r="N2288" i="4" s="1"/>
  <c r="Y2552" i="4"/>
  <c r="H2552" i="4"/>
  <c r="M2552" i="4"/>
  <c r="N2552" i="4" s="1"/>
  <c r="H2608" i="4"/>
  <c r="Y2608" i="4"/>
  <c r="M2608" i="4"/>
  <c r="N2608" i="4" s="1"/>
  <c r="H2624" i="4"/>
  <c r="Y2624" i="4"/>
  <c r="M2624" i="4"/>
  <c r="N2624" i="4" s="1"/>
  <c r="H2680" i="4"/>
  <c r="Y2680" i="4"/>
  <c r="M2680" i="4"/>
  <c r="N2680" i="4" s="1"/>
  <c r="M2736" i="4"/>
  <c r="N2736" i="4" s="1"/>
  <c r="H2736" i="4"/>
  <c r="Y2736" i="4"/>
  <c r="Y2760" i="4"/>
  <c r="M2760" i="4"/>
  <c r="N2760" i="4" s="1"/>
  <c r="H2760" i="4"/>
  <c r="M2800" i="4"/>
  <c r="N2800" i="4" s="1"/>
  <c r="H2800" i="4"/>
  <c r="Y2800" i="4"/>
  <c r="H2840" i="4"/>
  <c r="M2840" i="4"/>
  <c r="N2840" i="4" s="1"/>
  <c r="Y2840" i="4"/>
  <c r="Y2888" i="4"/>
  <c r="M2888" i="4"/>
  <c r="N2888" i="4" s="1"/>
  <c r="H2888" i="4"/>
  <c r="Y2928" i="4"/>
  <c r="M2928" i="4"/>
  <c r="N2928" i="4" s="1"/>
  <c r="H2928" i="4"/>
  <c r="H2968" i="4"/>
  <c r="M2968" i="4"/>
  <c r="N2968" i="4" s="1"/>
  <c r="Y2968" i="4"/>
  <c r="M3016" i="4"/>
  <c r="N3016" i="4" s="1"/>
  <c r="H3016" i="4"/>
  <c r="Y3016" i="4"/>
  <c r="H3056" i="4"/>
  <c r="M3056" i="4"/>
  <c r="N3056" i="4" s="1"/>
  <c r="Y3056" i="4"/>
  <c r="Y3096" i="4"/>
  <c r="M3096" i="4"/>
  <c r="N3096" i="4" s="1"/>
  <c r="H3096" i="4"/>
  <c r="H3144" i="4"/>
  <c r="Y3144" i="4"/>
  <c r="M3144" i="4"/>
  <c r="N3144" i="4" s="1"/>
  <c r="M3184" i="4"/>
  <c r="N3184" i="4" s="1"/>
  <c r="H3184" i="4"/>
  <c r="Y3184" i="4"/>
  <c r="M3224" i="4"/>
  <c r="N3224" i="4" s="1"/>
  <c r="H3224" i="4"/>
  <c r="Y3224" i="4"/>
  <c r="Y2715" i="4"/>
  <c r="M2715" i="4"/>
  <c r="N2715" i="4" s="1"/>
  <c r="H2715" i="4"/>
  <c r="M2694" i="4"/>
  <c r="N2694" i="4" s="1"/>
  <c r="Y2694" i="4"/>
  <c r="H2694" i="4"/>
  <c r="Y2282" i="4"/>
  <c r="M2282" i="4"/>
  <c r="N2282" i="4" s="1"/>
  <c r="H2282" i="4"/>
  <c r="Y2265" i="4"/>
  <c r="M2265" i="4"/>
  <c r="N2265" i="4" s="1"/>
  <c r="H2265" i="4"/>
  <c r="Y2365" i="4"/>
  <c r="M2365" i="4"/>
  <c r="N2365" i="4" s="1"/>
  <c r="H2365" i="4"/>
  <c r="Y2397" i="4"/>
  <c r="M2397" i="4"/>
  <c r="N2397" i="4" s="1"/>
  <c r="H2397" i="4"/>
  <c r="Y2429" i="4"/>
  <c r="M2429" i="4"/>
  <c r="N2429" i="4" s="1"/>
  <c r="H2429" i="4"/>
  <c r="Y2461" i="4"/>
  <c r="M2461" i="4"/>
  <c r="N2461" i="4" s="1"/>
  <c r="H2461" i="4"/>
  <c r="Y2493" i="4"/>
  <c r="M2493" i="4"/>
  <c r="N2493" i="4" s="1"/>
  <c r="H2493" i="4"/>
  <c r="H2525" i="4"/>
  <c r="Y2525" i="4"/>
  <c r="M2525" i="4"/>
  <c r="N2525" i="4" s="1"/>
  <c r="Y2611" i="4"/>
  <c r="M2611" i="4"/>
  <c r="N2611" i="4" s="1"/>
  <c r="H2611" i="4"/>
  <c r="Y2686" i="4"/>
  <c r="H2686" i="4"/>
  <c r="M2686" i="4"/>
  <c r="N2686" i="4" s="1"/>
  <c r="M2755" i="4"/>
  <c r="N2755" i="4" s="1"/>
  <c r="H2755" i="4"/>
  <c r="Y2755" i="4"/>
  <c r="M2883" i="4"/>
  <c r="N2883" i="4" s="1"/>
  <c r="H2883" i="4"/>
  <c r="Y2883" i="4"/>
  <c r="M3011" i="4"/>
  <c r="N3011" i="4" s="1"/>
  <c r="H3011" i="4"/>
  <c r="Y3011" i="4"/>
  <c r="M3139" i="4"/>
  <c r="N3139" i="4" s="1"/>
  <c r="H3139" i="4"/>
  <c r="Y3139" i="4"/>
  <c r="H2850" i="4"/>
  <c r="Y2850" i="4"/>
  <c r="M2850" i="4"/>
  <c r="N2850" i="4" s="1"/>
  <c r="H2978" i="4"/>
  <c r="Y2978" i="4"/>
  <c r="M2978" i="4"/>
  <c r="N2978" i="4" s="1"/>
  <c r="H3106" i="4"/>
  <c r="Y3106" i="4"/>
  <c r="M3106" i="4"/>
  <c r="N3106" i="4" s="1"/>
  <c r="H3234" i="4"/>
  <c r="Y3234" i="4"/>
  <c r="M3234" i="4"/>
  <c r="N3234" i="4" s="1"/>
  <c r="M2549" i="4"/>
  <c r="N2549" i="4" s="1"/>
  <c r="Y2549" i="4"/>
  <c r="H2549" i="4"/>
  <c r="M2613" i="4"/>
  <c r="N2613" i="4" s="1"/>
  <c r="H2613" i="4"/>
  <c r="Y2613" i="4"/>
  <c r="H2677" i="4"/>
  <c r="Y2677" i="4"/>
  <c r="M2677" i="4"/>
  <c r="N2677" i="4" s="1"/>
  <c r="H2741" i="4"/>
  <c r="Y2741" i="4"/>
  <c r="M2741" i="4"/>
  <c r="N2741" i="4" s="1"/>
  <c r="H1985" i="4"/>
  <c r="Y1985" i="4"/>
  <c r="M1985" i="4"/>
  <c r="N1985" i="4" s="1"/>
  <c r="M2017" i="4"/>
  <c r="N2017" i="4" s="1"/>
  <c r="H2017" i="4"/>
  <c r="Y2017" i="4"/>
  <c r="Y1984" i="4"/>
  <c r="H1984" i="4"/>
  <c r="M1984" i="4"/>
  <c r="N1984" i="4" s="1"/>
  <c r="H2016" i="4"/>
  <c r="Y2016" i="4"/>
  <c r="M2016" i="4"/>
  <c r="N2016" i="4" s="1"/>
  <c r="M2042" i="4"/>
  <c r="N2042" i="4" s="1"/>
  <c r="H2042" i="4"/>
  <c r="Y2042" i="4"/>
  <c r="M2074" i="4"/>
  <c r="N2074" i="4" s="1"/>
  <c r="H2074" i="4"/>
  <c r="Y2074" i="4"/>
  <c r="M2106" i="4"/>
  <c r="N2106" i="4" s="1"/>
  <c r="H2106" i="4"/>
  <c r="Y2106" i="4"/>
  <c r="M2138" i="4"/>
  <c r="N2138" i="4" s="1"/>
  <c r="H2138" i="4"/>
  <c r="Y2138" i="4"/>
  <c r="M2170" i="4"/>
  <c r="N2170" i="4" s="1"/>
  <c r="H2170" i="4"/>
  <c r="Y2170" i="4"/>
  <c r="M2202" i="4"/>
  <c r="N2202" i="4" s="1"/>
  <c r="H2202" i="4"/>
  <c r="Y2202" i="4"/>
  <c r="M2234" i="4"/>
  <c r="N2234" i="4" s="1"/>
  <c r="H2234" i="4"/>
  <c r="Y2234" i="4"/>
  <c r="H2829" i="4"/>
  <c r="Y2829" i="4"/>
  <c r="M2829" i="4"/>
  <c r="N2829" i="4" s="1"/>
  <c r="Y2893" i="4"/>
  <c r="M2893" i="4"/>
  <c r="N2893" i="4" s="1"/>
  <c r="H2893" i="4"/>
  <c r="H2957" i="4"/>
  <c r="Y2957" i="4"/>
  <c r="M2957" i="4"/>
  <c r="N2957" i="4" s="1"/>
  <c r="H3021" i="4"/>
  <c r="M3021" i="4"/>
  <c r="N3021" i="4" s="1"/>
  <c r="Y3021" i="4"/>
  <c r="H3085" i="4"/>
  <c r="M3085" i="4"/>
  <c r="N3085" i="4" s="1"/>
  <c r="Y3085" i="4"/>
  <c r="M3149" i="4"/>
  <c r="N3149" i="4" s="1"/>
  <c r="H3149" i="4"/>
  <c r="Y3149" i="4"/>
  <c r="H3213" i="4"/>
  <c r="M3213" i="4"/>
  <c r="N3213" i="4" s="1"/>
  <c r="Y3213" i="4"/>
  <c r="Y1361" i="4"/>
  <c r="M1361" i="4"/>
  <c r="N1361" i="4" s="1"/>
  <c r="H1361" i="4"/>
  <c r="H1369" i="4"/>
  <c r="Y1369" i="4"/>
  <c r="M1369" i="4"/>
  <c r="N1369" i="4" s="1"/>
  <c r="M1377" i="4"/>
  <c r="N1377" i="4" s="1"/>
  <c r="H1377" i="4"/>
  <c r="Y1377" i="4"/>
  <c r="Y1385" i="4"/>
  <c r="M1385" i="4"/>
  <c r="N1385" i="4" s="1"/>
  <c r="H1385" i="4"/>
  <c r="Y1393" i="4"/>
  <c r="M1393" i="4"/>
  <c r="N1393" i="4" s="1"/>
  <c r="H1393" i="4"/>
  <c r="H1401" i="4"/>
  <c r="Y1401" i="4"/>
  <c r="M1401" i="4"/>
  <c r="N1401" i="4" s="1"/>
  <c r="M1409" i="4"/>
  <c r="N1409" i="4" s="1"/>
  <c r="H1409" i="4"/>
  <c r="Y1409" i="4"/>
  <c r="Y1417" i="4"/>
  <c r="M1417" i="4"/>
  <c r="N1417" i="4" s="1"/>
  <c r="H1417" i="4"/>
  <c r="Y1425" i="4"/>
  <c r="M1425" i="4"/>
  <c r="N1425" i="4" s="1"/>
  <c r="H1425" i="4"/>
  <c r="H1433" i="4"/>
  <c r="Y1433" i="4"/>
  <c r="M1433" i="4"/>
  <c r="N1433" i="4" s="1"/>
  <c r="M1442" i="4"/>
  <c r="N1442" i="4" s="1"/>
  <c r="H1442" i="4"/>
  <c r="Y1442" i="4"/>
  <c r="Y1450" i="4"/>
  <c r="M1450" i="4"/>
  <c r="N1450" i="4" s="1"/>
  <c r="H1450" i="4"/>
  <c r="Y1458" i="4"/>
  <c r="M1458" i="4"/>
  <c r="N1458" i="4" s="1"/>
  <c r="H1458" i="4"/>
  <c r="H1466" i="4"/>
  <c r="Y1466" i="4"/>
  <c r="M1466" i="4"/>
  <c r="N1466" i="4" s="1"/>
  <c r="M1474" i="4"/>
  <c r="N1474" i="4" s="1"/>
  <c r="H1474" i="4"/>
  <c r="Y1474" i="4"/>
  <c r="Y1482" i="4"/>
  <c r="M1482" i="4"/>
  <c r="N1482" i="4" s="1"/>
  <c r="H1482" i="4"/>
  <c r="Y1490" i="4"/>
  <c r="M1490" i="4"/>
  <c r="N1490" i="4" s="1"/>
  <c r="H1490" i="4"/>
  <c r="H1498" i="4"/>
  <c r="Y1498" i="4"/>
  <c r="M1498" i="4"/>
  <c r="N1498" i="4" s="1"/>
  <c r="M1506" i="4"/>
  <c r="N1506" i="4" s="1"/>
  <c r="H1506" i="4"/>
  <c r="Y1506" i="4"/>
  <c r="Y1514" i="4"/>
  <c r="M1514" i="4"/>
  <c r="N1514" i="4" s="1"/>
  <c r="H1514" i="4"/>
  <c r="Y1522" i="4"/>
  <c r="M1522" i="4"/>
  <c r="N1522" i="4" s="1"/>
  <c r="H1522" i="4"/>
  <c r="H1530" i="4"/>
  <c r="Y1530" i="4"/>
  <c r="M1530" i="4"/>
  <c r="N1530" i="4" s="1"/>
  <c r="Y1538" i="4"/>
  <c r="M1538" i="4"/>
  <c r="N1538" i="4" s="1"/>
  <c r="H1538" i="4"/>
  <c r="H1546" i="4"/>
  <c r="Y1546" i="4"/>
  <c r="M1546" i="4"/>
  <c r="N1546" i="4" s="1"/>
  <c r="Y1554" i="4"/>
  <c r="H1554" i="4"/>
  <c r="M1554" i="4"/>
  <c r="N1554" i="4" s="1"/>
  <c r="Y1562" i="4"/>
  <c r="H1562" i="4"/>
  <c r="M1562" i="4"/>
  <c r="N1562" i="4" s="1"/>
  <c r="Y1570" i="4"/>
  <c r="H1570" i="4"/>
  <c r="M1570" i="4"/>
  <c r="N1570" i="4" s="1"/>
  <c r="Y1578" i="4"/>
  <c r="H1578" i="4"/>
  <c r="M1578" i="4"/>
  <c r="N1578" i="4" s="1"/>
  <c r="Y1586" i="4"/>
  <c r="H1586" i="4"/>
  <c r="M1586" i="4"/>
  <c r="N1586" i="4" s="1"/>
  <c r="Y1594" i="4"/>
  <c r="H1594" i="4"/>
  <c r="M1594" i="4"/>
  <c r="N1594" i="4" s="1"/>
  <c r="M1603" i="4"/>
  <c r="N1603" i="4" s="1"/>
  <c r="H1603" i="4"/>
  <c r="Y1603" i="4"/>
  <c r="Y1635" i="4"/>
  <c r="H1635" i="4"/>
  <c r="M1635" i="4"/>
  <c r="N1635" i="4" s="1"/>
  <c r="Y1667" i="4"/>
  <c r="H1667" i="4"/>
  <c r="M1667" i="4"/>
  <c r="N1667" i="4" s="1"/>
  <c r="Y1951" i="4"/>
  <c r="M1951" i="4"/>
  <c r="N1951" i="4" s="1"/>
  <c r="H1951" i="4"/>
  <c r="H1689" i="4"/>
  <c r="M1689" i="4"/>
  <c r="N1689" i="4" s="1"/>
  <c r="Y1689" i="4"/>
  <c r="H1697" i="4"/>
  <c r="Y1697" i="4"/>
  <c r="M1697" i="4"/>
  <c r="N1697" i="4" s="1"/>
  <c r="H1705" i="4"/>
  <c r="M1705" i="4"/>
  <c r="N1705" i="4" s="1"/>
  <c r="Y1705" i="4"/>
  <c r="H1713" i="4"/>
  <c r="M1713" i="4"/>
  <c r="N1713" i="4" s="1"/>
  <c r="Y1713" i="4"/>
  <c r="H1721" i="4"/>
  <c r="M1721" i="4"/>
  <c r="N1721" i="4" s="1"/>
  <c r="Y1721" i="4"/>
  <c r="H1729" i="4"/>
  <c r="Y1729" i="4"/>
  <c r="M1729" i="4"/>
  <c r="N1729" i="4" s="1"/>
  <c r="H1737" i="4"/>
  <c r="M1737" i="4"/>
  <c r="N1737" i="4" s="1"/>
  <c r="Y1737" i="4"/>
  <c r="H1745" i="4"/>
  <c r="M1745" i="4"/>
  <c r="N1745" i="4" s="1"/>
  <c r="Y1745" i="4"/>
  <c r="H1753" i="4"/>
  <c r="M1753" i="4"/>
  <c r="N1753" i="4" s="1"/>
  <c r="Y1753" i="4"/>
  <c r="Y1761" i="4"/>
  <c r="M1761" i="4"/>
  <c r="N1761" i="4" s="1"/>
  <c r="H1761" i="4"/>
  <c r="H1769" i="4"/>
  <c r="Y1769" i="4"/>
  <c r="M1769" i="4"/>
  <c r="N1769" i="4" s="1"/>
  <c r="M1777" i="4"/>
  <c r="N1777" i="4" s="1"/>
  <c r="Y1777" i="4"/>
  <c r="H1777" i="4"/>
  <c r="H1785" i="4"/>
  <c r="M1785" i="4"/>
  <c r="N1785" i="4" s="1"/>
  <c r="Y1785" i="4"/>
  <c r="Y1793" i="4"/>
  <c r="M1793" i="4"/>
  <c r="N1793" i="4" s="1"/>
  <c r="H1793" i="4"/>
  <c r="H1801" i="4"/>
  <c r="Y1801" i="4"/>
  <c r="M1801" i="4"/>
  <c r="N1801" i="4" s="1"/>
  <c r="M1809" i="4"/>
  <c r="N1809" i="4" s="1"/>
  <c r="Y1809" i="4"/>
  <c r="H1809" i="4"/>
  <c r="H1817" i="4"/>
  <c r="M1817" i="4"/>
  <c r="N1817" i="4" s="1"/>
  <c r="Y1817" i="4"/>
  <c r="Y1825" i="4"/>
  <c r="M1825" i="4"/>
  <c r="N1825" i="4" s="1"/>
  <c r="H1825" i="4"/>
  <c r="H1833" i="4"/>
  <c r="Y1833" i="4"/>
  <c r="M1833" i="4"/>
  <c r="N1833" i="4" s="1"/>
  <c r="M1841" i="4"/>
  <c r="N1841" i="4" s="1"/>
  <c r="Y1841" i="4"/>
  <c r="H1841" i="4"/>
  <c r="H1849" i="4"/>
  <c r="M1849" i="4"/>
  <c r="N1849" i="4" s="1"/>
  <c r="Y1849" i="4"/>
  <c r="Y1857" i="4"/>
  <c r="M1857" i="4"/>
  <c r="N1857" i="4" s="1"/>
  <c r="H1857" i="4"/>
  <c r="M1865" i="4"/>
  <c r="N1865" i="4" s="1"/>
  <c r="Y1865" i="4"/>
  <c r="H1865" i="4"/>
  <c r="M1873" i="4"/>
  <c r="N1873" i="4" s="1"/>
  <c r="Y1873" i="4"/>
  <c r="H1873" i="4"/>
  <c r="H1881" i="4"/>
  <c r="M1881" i="4"/>
  <c r="N1881" i="4" s="1"/>
  <c r="Y1881" i="4"/>
  <c r="Y1889" i="4"/>
  <c r="M1889" i="4"/>
  <c r="N1889" i="4" s="1"/>
  <c r="H1889" i="4"/>
  <c r="M1904" i="4"/>
  <c r="N1904" i="4" s="1"/>
  <c r="H1904" i="4"/>
  <c r="Y1904" i="4"/>
  <c r="Y1920" i="4"/>
  <c r="H1920" i="4"/>
  <c r="M1920" i="4"/>
  <c r="N1920" i="4" s="1"/>
  <c r="H1937" i="4"/>
  <c r="M1937" i="4"/>
  <c r="N1937" i="4" s="1"/>
  <c r="Y1937" i="4"/>
  <c r="M1932" i="4"/>
  <c r="N1932" i="4" s="1"/>
  <c r="H1932" i="4"/>
  <c r="Y1932" i="4"/>
  <c r="Y1979" i="4"/>
  <c r="M1979" i="4"/>
  <c r="N1979" i="4" s="1"/>
  <c r="H1979" i="4"/>
  <c r="Y2011" i="4"/>
  <c r="M2011" i="4"/>
  <c r="N2011" i="4" s="1"/>
  <c r="H2011" i="4"/>
  <c r="M1990" i="4"/>
  <c r="N1990" i="4" s="1"/>
  <c r="H1990" i="4"/>
  <c r="Y1990" i="4"/>
  <c r="M2028" i="4"/>
  <c r="N2028" i="4" s="1"/>
  <c r="H2028" i="4"/>
  <c r="Y2028" i="4"/>
  <c r="H2060" i="4"/>
  <c r="M2060" i="4"/>
  <c r="N2060" i="4" s="1"/>
  <c r="Y2060" i="4"/>
  <c r="H2092" i="4"/>
  <c r="M2092" i="4"/>
  <c r="N2092" i="4" s="1"/>
  <c r="Y2092" i="4"/>
  <c r="H2124" i="4"/>
  <c r="M2124" i="4"/>
  <c r="N2124" i="4" s="1"/>
  <c r="Y2124" i="4"/>
  <c r="Y2156" i="4"/>
  <c r="M2156" i="4"/>
  <c r="N2156" i="4" s="1"/>
  <c r="H2156" i="4"/>
  <c r="Y2188" i="4"/>
  <c r="M2188" i="4"/>
  <c r="N2188" i="4" s="1"/>
  <c r="H2188" i="4"/>
  <c r="Y2220" i="4"/>
  <c r="M2220" i="4"/>
  <c r="N2220" i="4" s="1"/>
  <c r="H2220" i="4"/>
  <c r="Y2773" i="4"/>
  <c r="M2773" i="4"/>
  <c r="N2773" i="4" s="1"/>
  <c r="H2773" i="4"/>
  <c r="Y2023" i="4"/>
  <c r="H2023" i="4"/>
  <c r="M2023" i="4"/>
  <c r="N2023" i="4" s="1"/>
  <c r="Y2055" i="4"/>
  <c r="H2055" i="4"/>
  <c r="M2055" i="4"/>
  <c r="N2055" i="4" s="1"/>
  <c r="Y2087" i="4"/>
  <c r="H2087" i="4"/>
  <c r="M2087" i="4"/>
  <c r="N2087" i="4" s="1"/>
  <c r="Y2119" i="4"/>
  <c r="H2119" i="4"/>
  <c r="M2119" i="4"/>
  <c r="N2119" i="4" s="1"/>
  <c r="Y2151" i="4"/>
  <c r="H2151" i="4"/>
  <c r="M2151" i="4"/>
  <c r="N2151" i="4" s="1"/>
  <c r="Y2183" i="4"/>
  <c r="H2183" i="4"/>
  <c r="M2183" i="4"/>
  <c r="N2183" i="4" s="1"/>
  <c r="Y2215" i="4"/>
  <c r="H2215" i="4"/>
  <c r="M2215" i="4"/>
  <c r="N2215" i="4" s="1"/>
  <c r="Y2247" i="4"/>
  <c r="H2247" i="4"/>
  <c r="M2247" i="4"/>
  <c r="N2247" i="4" s="1"/>
  <c r="H1952" i="4"/>
  <c r="Y1952" i="4"/>
  <c r="M1952" i="4"/>
  <c r="N1952" i="4" s="1"/>
  <c r="Y1930" i="4"/>
  <c r="M1930" i="4"/>
  <c r="N1930" i="4" s="1"/>
  <c r="H1930" i="4"/>
  <c r="Y1897" i="4"/>
  <c r="M1897" i="4"/>
  <c r="N1897" i="4" s="1"/>
  <c r="H1897" i="4"/>
  <c r="M1913" i="4"/>
  <c r="N1913" i="4" s="1"/>
  <c r="Y1913" i="4"/>
  <c r="H1913" i="4"/>
  <c r="M2021" i="4"/>
  <c r="N2021" i="4" s="1"/>
  <c r="Y2021" i="4"/>
  <c r="H2021" i="4"/>
  <c r="M2053" i="4"/>
  <c r="N2053" i="4" s="1"/>
  <c r="Y2053" i="4"/>
  <c r="H2053" i="4"/>
  <c r="M2085" i="4"/>
  <c r="N2085" i="4" s="1"/>
  <c r="Y2085" i="4"/>
  <c r="H2085" i="4"/>
  <c r="M2117" i="4"/>
  <c r="N2117" i="4" s="1"/>
  <c r="Y2117" i="4"/>
  <c r="H2117" i="4"/>
  <c r="M2149" i="4"/>
  <c r="N2149" i="4" s="1"/>
  <c r="Y2149" i="4"/>
  <c r="H2149" i="4"/>
  <c r="H2181" i="4"/>
  <c r="Y2181" i="4"/>
  <c r="M2181" i="4"/>
  <c r="N2181" i="4" s="1"/>
  <c r="H2213" i="4"/>
  <c r="Y2213" i="4"/>
  <c r="M2213" i="4"/>
  <c r="N2213" i="4" s="1"/>
  <c r="H2245" i="4"/>
  <c r="Y2245" i="4"/>
  <c r="M2245" i="4"/>
  <c r="N2245" i="4" s="1"/>
  <c r="M2557" i="4"/>
  <c r="N2557" i="4" s="1"/>
  <c r="Y2557" i="4"/>
  <c r="H2557" i="4"/>
  <c r="Y2621" i="4"/>
  <c r="M2621" i="4"/>
  <c r="N2621" i="4" s="1"/>
  <c r="H2621" i="4"/>
  <c r="Y2685" i="4"/>
  <c r="M2685" i="4"/>
  <c r="N2685" i="4" s="1"/>
  <c r="H2685" i="4"/>
  <c r="Y1997" i="4"/>
  <c r="H1997" i="4"/>
  <c r="M1997" i="4"/>
  <c r="N1997" i="4" s="1"/>
  <c r="H1964" i="4"/>
  <c r="Y1964" i="4"/>
  <c r="M1964" i="4"/>
  <c r="N1964" i="4" s="1"/>
  <c r="H1996" i="4"/>
  <c r="Y1996" i="4"/>
  <c r="M1996" i="4"/>
  <c r="N1996" i="4" s="1"/>
  <c r="M2046" i="4"/>
  <c r="N2046" i="4" s="1"/>
  <c r="H2046" i="4"/>
  <c r="Y2046" i="4"/>
  <c r="M2078" i="4"/>
  <c r="N2078" i="4" s="1"/>
  <c r="H2078" i="4"/>
  <c r="Y2078" i="4"/>
  <c r="M2110" i="4"/>
  <c r="N2110" i="4" s="1"/>
  <c r="H2110" i="4"/>
  <c r="Y2110" i="4"/>
  <c r="M2142" i="4"/>
  <c r="N2142" i="4" s="1"/>
  <c r="H2142" i="4"/>
  <c r="Y2142" i="4"/>
  <c r="M2174" i="4"/>
  <c r="N2174" i="4" s="1"/>
  <c r="H2174" i="4"/>
  <c r="Y2174" i="4"/>
  <c r="M2206" i="4"/>
  <c r="N2206" i="4" s="1"/>
  <c r="H2206" i="4"/>
  <c r="Y2206" i="4"/>
  <c r="M2238" i="4"/>
  <c r="N2238" i="4" s="1"/>
  <c r="H2238" i="4"/>
  <c r="Y2238" i="4"/>
  <c r="M2837" i="4"/>
  <c r="N2837" i="4" s="1"/>
  <c r="H2837" i="4"/>
  <c r="Y2837" i="4"/>
  <c r="H2901" i="4"/>
  <c r="Y2901" i="4"/>
  <c r="M2901" i="4"/>
  <c r="N2901" i="4" s="1"/>
  <c r="M2965" i="4"/>
  <c r="N2965" i="4" s="1"/>
  <c r="H2965" i="4"/>
  <c r="Y2965" i="4"/>
  <c r="M3029" i="4"/>
  <c r="N3029" i="4" s="1"/>
  <c r="H3029" i="4"/>
  <c r="Y3029" i="4"/>
  <c r="H3093" i="4"/>
  <c r="M3093" i="4"/>
  <c r="N3093" i="4" s="1"/>
  <c r="Y3093" i="4"/>
  <c r="Y3157" i="4"/>
  <c r="H3157" i="4"/>
  <c r="M3157" i="4"/>
  <c r="N3157" i="4" s="1"/>
  <c r="H3221" i="4"/>
  <c r="M3221" i="4"/>
  <c r="N3221" i="4" s="1"/>
  <c r="Y3221" i="4"/>
  <c r="H2809" i="4"/>
  <c r="Y2809" i="4"/>
  <c r="M2809" i="4"/>
  <c r="N2809" i="4" s="1"/>
  <c r="Y2873" i="4"/>
  <c r="M2873" i="4"/>
  <c r="N2873" i="4" s="1"/>
  <c r="H2873" i="4"/>
  <c r="H2937" i="4"/>
  <c r="Y2937" i="4"/>
  <c r="M2937" i="4"/>
  <c r="N2937" i="4" s="1"/>
  <c r="Y3001" i="4"/>
  <c r="M3001" i="4"/>
  <c r="N3001" i="4" s="1"/>
  <c r="H3001" i="4"/>
  <c r="H3065" i="4"/>
  <c r="M3065" i="4"/>
  <c r="N3065" i="4" s="1"/>
  <c r="Y3065" i="4"/>
  <c r="H3129" i="4"/>
  <c r="Y3129" i="4"/>
  <c r="M3129" i="4"/>
  <c r="N3129" i="4" s="1"/>
  <c r="M3193" i="4"/>
  <c r="N3193" i="4" s="1"/>
  <c r="H3193" i="4"/>
  <c r="Y3193" i="4"/>
  <c r="Y2276" i="4"/>
  <c r="M2276" i="4"/>
  <c r="N2276" i="4" s="1"/>
  <c r="H2276" i="4"/>
  <c r="Y2308" i="4"/>
  <c r="M2308" i="4"/>
  <c r="N2308" i="4" s="1"/>
  <c r="H2308" i="4"/>
  <c r="H2548" i="4"/>
  <c r="M2548" i="4"/>
  <c r="N2548" i="4" s="1"/>
  <c r="Y2548" i="4"/>
  <c r="M2580" i="4"/>
  <c r="N2580" i="4" s="1"/>
  <c r="H2580" i="4"/>
  <c r="Y2580" i="4"/>
  <c r="M2612" i="4"/>
  <c r="N2612" i="4" s="1"/>
  <c r="H2612" i="4"/>
  <c r="Y2612" i="4"/>
  <c r="M2644" i="4"/>
  <c r="N2644" i="4" s="1"/>
  <c r="H2644" i="4"/>
  <c r="Y2644" i="4"/>
  <c r="M2676" i="4"/>
  <c r="N2676" i="4" s="1"/>
  <c r="H2676" i="4"/>
  <c r="Y2676" i="4"/>
  <c r="M2708" i="4"/>
  <c r="N2708" i="4" s="1"/>
  <c r="H2708" i="4"/>
  <c r="Y2708" i="4"/>
  <c r="M2740" i="4"/>
  <c r="N2740" i="4" s="1"/>
  <c r="H2740" i="4"/>
  <c r="Y2740" i="4"/>
  <c r="M2756" i="4"/>
  <c r="N2756" i="4" s="1"/>
  <c r="Y2756" i="4"/>
  <c r="H2756" i="4"/>
  <c r="M2788" i="4"/>
  <c r="N2788" i="4" s="1"/>
  <c r="Y2788" i="4"/>
  <c r="H2788" i="4"/>
  <c r="M2820" i="4"/>
  <c r="N2820" i="4" s="1"/>
  <c r="Y2820" i="4"/>
  <c r="H2820" i="4"/>
  <c r="M2852" i="4"/>
  <c r="N2852" i="4" s="1"/>
  <c r="Y2852" i="4"/>
  <c r="H2852" i="4"/>
  <c r="M2884" i="4"/>
  <c r="N2884" i="4" s="1"/>
  <c r="Y2884" i="4"/>
  <c r="H2884" i="4"/>
  <c r="M2916" i="4"/>
  <c r="N2916" i="4" s="1"/>
  <c r="Y2916" i="4"/>
  <c r="H2916" i="4"/>
  <c r="M2948" i="4"/>
  <c r="N2948" i="4" s="1"/>
  <c r="Y2948" i="4"/>
  <c r="H2948" i="4"/>
  <c r="M2980" i="4"/>
  <c r="N2980" i="4" s="1"/>
  <c r="Y2980" i="4"/>
  <c r="H2980" i="4"/>
  <c r="M3012" i="4"/>
  <c r="N3012" i="4" s="1"/>
  <c r="Y3012" i="4"/>
  <c r="H3012" i="4"/>
  <c r="M3044" i="4"/>
  <c r="N3044" i="4" s="1"/>
  <c r="Y3044" i="4"/>
  <c r="H3044" i="4"/>
  <c r="M3076" i="4"/>
  <c r="N3076" i="4" s="1"/>
  <c r="Y3076" i="4"/>
  <c r="H3076" i="4"/>
  <c r="M3108" i="4"/>
  <c r="N3108" i="4" s="1"/>
  <c r="Y3108" i="4"/>
  <c r="H3108" i="4"/>
  <c r="M3140" i="4"/>
  <c r="N3140" i="4" s="1"/>
  <c r="Y3140" i="4"/>
  <c r="H3140" i="4"/>
  <c r="M3172" i="4"/>
  <c r="N3172" i="4" s="1"/>
  <c r="Y3172" i="4"/>
  <c r="H3172" i="4"/>
  <c r="M3204" i="4"/>
  <c r="N3204" i="4" s="1"/>
  <c r="Y3204" i="4"/>
  <c r="H3204" i="4"/>
  <c r="M3236" i="4"/>
  <c r="N3236" i="4" s="1"/>
  <c r="Y3236" i="4"/>
  <c r="H3236" i="4"/>
  <c r="Y2571" i="4"/>
  <c r="H2571" i="4"/>
  <c r="M2571" i="4"/>
  <c r="N2571" i="4" s="1"/>
  <c r="Y2699" i="4"/>
  <c r="M2699" i="4"/>
  <c r="N2699" i="4" s="1"/>
  <c r="H2699" i="4"/>
  <c r="Y2646" i="4"/>
  <c r="H2646" i="4"/>
  <c r="M2646" i="4"/>
  <c r="N2646" i="4" s="1"/>
  <c r="Y2270" i="4"/>
  <c r="M2270" i="4"/>
  <c r="N2270" i="4" s="1"/>
  <c r="H2270" i="4"/>
  <c r="Y2302" i="4"/>
  <c r="M2302" i="4"/>
  <c r="N2302" i="4" s="1"/>
  <c r="H2302" i="4"/>
  <c r="Y2334" i="4"/>
  <c r="M2334" i="4"/>
  <c r="N2334" i="4" s="1"/>
  <c r="H2334" i="4"/>
  <c r="Y2253" i="4"/>
  <c r="M2253" i="4"/>
  <c r="N2253" i="4" s="1"/>
  <c r="H2253" i="4"/>
  <c r="Y2285" i="4"/>
  <c r="M2285" i="4"/>
  <c r="N2285" i="4" s="1"/>
  <c r="H2285" i="4"/>
  <c r="Y2317" i="4"/>
  <c r="M2317" i="4"/>
  <c r="N2317" i="4" s="1"/>
  <c r="H2317" i="4"/>
  <c r="H2336" i="4"/>
  <c r="Y2336" i="4"/>
  <c r="M2336" i="4"/>
  <c r="N2336" i="4" s="1"/>
  <c r="M2344" i="4"/>
  <c r="N2344" i="4" s="1"/>
  <c r="H2344" i="4"/>
  <c r="Y2344" i="4"/>
  <c r="H2352" i="4"/>
  <c r="Y2352" i="4"/>
  <c r="M2352" i="4"/>
  <c r="N2352" i="4" s="1"/>
  <c r="M2360" i="4"/>
  <c r="N2360" i="4" s="1"/>
  <c r="H2360" i="4"/>
  <c r="Y2360" i="4"/>
  <c r="H2368" i="4"/>
  <c r="Y2368" i="4"/>
  <c r="M2368" i="4"/>
  <c r="N2368" i="4" s="1"/>
  <c r="M2376" i="4"/>
  <c r="N2376" i="4" s="1"/>
  <c r="H2376" i="4"/>
  <c r="Y2376" i="4"/>
  <c r="H2384" i="4"/>
  <c r="Y2384" i="4"/>
  <c r="M2384" i="4"/>
  <c r="N2384" i="4" s="1"/>
  <c r="M2392" i="4"/>
  <c r="N2392" i="4" s="1"/>
  <c r="H2392" i="4"/>
  <c r="Y2392" i="4"/>
  <c r="H2400" i="4"/>
  <c r="Y2400" i="4"/>
  <c r="M2400" i="4"/>
  <c r="N2400" i="4" s="1"/>
  <c r="M2408" i="4"/>
  <c r="N2408" i="4" s="1"/>
  <c r="H2408" i="4"/>
  <c r="Y2408" i="4"/>
  <c r="H2416" i="4"/>
  <c r="Y2416" i="4"/>
  <c r="M2416" i="4"/>
  <c r="N2416" i="4" s="1"/>
  <c r="M2424" i="4"/>
  <c r="N2424" i="4" s="1"/>
  <c r="H2424" i="4"/>
  <c r="Y2424" i="4"/>
  <c r="H2432" i="4"/>
  <c r="Y2432" i="4"/>
  <c r="M2432" i="4"/>
  <c r="N2432" i="4" s="1"/>
  <c r="M2440" i="4"/>
  <c r="N2440" i="4" s="1"/>
  <c r="H2440" i="4"/>
  <c r="Y2440" i="4"/>
  <c r="H2448" i="4"/>
  <c r="Y2448" i="4"/>
  <c r="M2448" i="4"/>
  <c r="N2448" i="4" s="1"/>
  <c r="M2456" i="4"/>
  <c r="N2456" i="4" s="1"/>
  <c r="H2456" i="4"/>
  <c r="Y2456" i="4"/>
  <c r="H2464" i="4"/>
  <c r="Y2464" i="4"/>
  <c r="M2464" i="4"/>
  <c r="N2464" i="4" s="1"/>
  <c r="M2472" i="4"/>
  <c r="N2472" i="4" s="1"/>
  <c r="H2472" i="4"/>
  <c r="Y2472" i="4"/>
  <c r="H2480" i="4"/>
  <c r="Y2480" i="4"/>
  <c r="M2480" i="4"/>
  <c r="N2480" i="4" s="1"/>
  <c r="M2488" i="4"/>
  <c r="N2488" i="4" s="1"/>
  <c r="H2488" i="4"/>
  <c r="Y2488" i="4"/>
  <c r="H2496" i="4"/>
  <c r="Y2496" i="4"/>
  <c r="M2496" i="4"/>
  <c r="N2496" i="4" s="1"/>
  <c r="M2504" i="4"/>
  <c r="N2504" i="4" s="1"/>
  <c r="H2504" i="4"/>
  <c r="Y2504" i="4"/>
  <c r="M2512" i="4"/>
  <c r="N2512" i="4" s="1"/>
  <c r="H2512" i="4"/>
  <c r="Y2512" i="4"/>
  <c r="Y2520" i="4"/>
  <c r="H2520" i="4"/>
  <c r="M2520" i="4"/>
  <c r="N2520" i="4" s="1"/>
  <c r="H2528" i="4"/>
  <c r="Y2528" i="4"/>
  <c r="M2528" i="4"/>
  <c r="N2528" i="4" s="1"/>
  <c r="H2536" i="4"/>
  <c r="M2536" i="4"/>
  <c r="N2536" i="4" s="1"/>
  <c r="Y2536" i="4"/>
  <c r="Y2627" i="4"/>
  <c r="M2627" i="4"/>
  <c r="N2627" i="4" s="1"/>
  <c r="H2627" i="4"/>
  <c r="M2574" i="4"/>
  <c r="N2574" i="4" s="1"/>
  <c r="H2574" i="4"/>
  <c r="Y2574" i="4"/>
  <c r="H2702" i="4"/>
  <c r="M2702" i="4"/>
  <c r="N2702" i="4" s="1"/>
  <c r="Y2702" i="4"/>
  <c r="M2577" i="4"/>
  <c r="N2577" i="4" s="1"/>
  <c r="H2577" i="4"/>
  <c r="Y2577" i="4"/>
  <c r="H2625" i="4"/>
  <c r="M2625" i="4"/>
  <c r="N2625" i="4" s="1"/>
  <c r="Y2625" i="4"/>
  <c r="H2665" i="4"/>
  <c r="Y2665" i="4"/>
  <c r="M2665" i="4"/>
  <c r="N2665" i="4" s="1"/>
  <c r="Y2705" i="4"/>
  <c r="M2705" i="4"/>
  <c r="N2705" i="4" s="1"/>
  <c r="H2705" i="4"/>
  <c r="H2753" i="4"/>
  <c r="Y2753" i="4"/>
  <c r="M2753" i="4"/>
  <c r="N2753" i="4" s="1"/>
  <c r="H2833" i="4"/>
  <c r="Y2833" i="4"/>
  <c r="M2833" i="4"/>
  <c r="N2833" i="4" s="1"/>
  <c r="Y2913" i="4"/>
  <c r="H2913" i="4"/>
  <c r="M2913" i="4"/>
  <c r="N2913" i="4" s="1"/>
  <c r="H3009" i="4"/>
  <c r="M3009" i="4"/>
  <c r="N3009" i="4" s="1"/>
  <c r="Y3009" i="4"/>
  <c r="H3089" i="4"/>
  <c r="Y3089" i="4"/>
  <c r="M3089" i="4"/>
  <c r="N3089" i="4" s="1"/>
  <c r="Y3169" i="4"/>
  <c r="H3169" i="4"/>
  <c r="M3169" i="4"/>
  <c r="N3169" i="4" s="1"/>
  <c r="M2304" i="4"/>
  <c r="N2304" i="4" s="1"/>
  <c r="H2304" i="4"/>
  <c r="Y2304" i="4"/>
  <c r="H2320" i="4"/>
  <c r="Y2320" i="4"/>
  <c r="M2320" i="4"/>
  <c r="N2320" i="4" s="1"/>
  <c r="H2584" i="4"/>
  <c r="Y2584" i="4"/>
  <c r="M2584" i="4"/>
  <c r="N2584" i="4" s="1"/>
  <c r="M2640" i="4"/>
  <c r="N2640" i="4" s="1"/>
  <c r="Y2640" i="4"/>
  <c r="H2640" i="4"/>
  <c r="Y2656" i="4"/>
  <c r="M2656" i="4"/>
  <c r="N2656" i="4" s="1"/>
  <c r="H2656" i="4"/>
  <c r="H2712" i="4"/>
  <c r="Y2712" i="4"/>
  <c r="M2712" i="4"/>
  <c r="N2712" i="4" s="1"/>
  <c r="H2768" i="4"/>
  <c r="M2768" i="4"/>
  <c r="N2768" i="4" s="1"/>
  <c r="Y2768" i="4"/>
  <c r="M2808" i="4"/>
  <c r="N2808" i="4" s="1"/>
  <c r="H2808" i="4"/>
  <c r="Y2808" i="4"/>
  <c r="H2856" i="4"/>
  <c r="Y2856" i="4"/>
  <c r="M2856" i="4"/>
  <c r="N2856" i="4" s="1"/>
  <c r="H2896" i="4"/>
  <c r="M2896" i="4"/>
  <c r="N2896" i="4" s="1"/>
  <c r="Y2896" i="4"/>
  <c r="M2936" i="4"/>
  <c r="N2936" i="4" s="1"/>
  <c r="Y2936" i="4"/>
  <c r="H2936" i="4"/>
  <c r="Y2984" i="4"/>
  <c r="M2984" i="4"/>
  <c r="N2984" i="4" s="1"/>
  <c r="H2984" i="4"/>
  <c r="Y3024" i="4"/>
  <c r="M3024" i="4"/>
  <c r="N3024" i="4" s="1"/>
  <c r="H3024" i="4"/>
  <c r="Y3064" i="4"/>
  <c r="M3064" i="4"/>
  <c r="N3064" i="4" s="1"/>
  <c r="H3064" i="4"/>
  <c r="Y3112" i="4"/>
  <c r="H3112" i="4"/>
  <c r="M3112" i="4"/>
  <c r="N3112" i="4" s="1"/>
  <c r="H3152" i="4"/>
  <c r="M3152" i="4"/>
  <c r="N3152" i="4" s="1"/>
  <c r="Y3152" i="4"/>
  <c r="Y3192" i="4"/>
  <c r="M3192" i="4"/>
  <c r="N3192" i="4" s="1"/>
  <c r="H3192" i="4"/>
  <c r="Y2555" i="4"/>
  <c r="H2555" i="4"/>
  <c r="M2555" i="4"/>
  <c r="N2555" i="4" s="1"/>
  <c r="M2619" i="4"/>
  <c r="N2619" i="4" s="1"/>
  <c r="H2619" i="4"/>
  <c r="Y2619" i="4"/>
  <c r="Y2630" i="4"/>
  <c r="H2630" i="4"/>
  <c r="M2630" i="4"/>
  <c r="N2630" i="4" s="1"/>
  <c r="H2266" i="4"/>
  <c r="Y2266" i="4"/>
  <c r="M2266" i="4"/>
  <c r="N2266" i="4" s="1"/>
  <c r="H2330" i="4"/>
  <c r="Y2330" i="4"/>
  <c r="M2330" i="4"/>
  <c r="N2330" i="4" s="1"/>
  <c r="M2313" i="4"/>
  <c r="N2313" i="4" s="1"/>
  <c r="H2313" i="4"/>
  <c r="Y2313" i="4"/>
  <c r="Y2341" i="4"/>
  <c r="M2341" i="4"/>
  <c r="N2341" i="4" s="1"/>
  <c r="H2341" i="4"/>
  <c r="Y2373" i="4"/>
  <c r="M2373" i="4"/>
  <c r="N2373" i="4" s="1"/>
  <c r="H2373" i="4"/>
  <c r="Y2405" i="4"/>
  <c r="M2405" i="4"/>
  <c r="N2405" i="4" s="1"/>
  <c r="H2405" i="4"/>
  <c r="Y2437" i="4"/>
  <c r="M2437" i="4"/>
  <c r="N2437" i="4" s="1"/>
  <c r="H2437" i="4"/>
  <c r="Y2469" i="4"/>
  <c r="M2469" i="4"/>
  <c r="N2469" i="4" s="1"/>
  <c r="H2469" i="4"/>
  <c r="Y2501" i="4"/>
  <c r="M2501" i="4"/>
  <c r="N2501" i="4" s="1"/>
  <c r="H2501" i="4"/>
  <c r="Y2533" i="4"/>
  <c r="H2533" i="4"/>
  <c r="M2533" i="4"/>
  <c r="N2533" i="4" s="1"/>
  <c r="M2558" i="4"/>
  <c r="N2558" i="4" s="1"/>
  <c r="H2558" i="4"/>
  <c r="Y2558" i="4"/>
  <c r="M2787" i="4"/>
  <c r="N2787" i="4" s="1"/>
  <c r="H2787" i="4"/>
  <c r="Y2787" i="4"/>
  <c r="M2915" i="4"/>
  <c r="N2915" i="4" s="1"/>
  <c r="H2915" i="4"/>
  <c r="Y2915" i="4"/>
  <c r="M3043" i="4"/>
  <c r="N3043" i="4" s="1"/>
  <c r="H3043" i="4"/>
  <c r="Y3043" i="4"/>
  <c r="M3171" i="4"/>
  <c r="N3171" i="4" s="1"/>
  <c r="H3171" i="4"/>
  <c r="Y3171" i="4"/>
  <c r="M2754" i="4"/>
  <c r="N2754" i="4" s="1"/>
  <c r="Y2754" i="4"/>
  <c r="H2754" i="4"/>
  <c r="M2882" i="4"/>
  <c r="N2882" i="4" s="1"/>
  <c r="Y2882" i="4"/>
  <c r="H2882" i="4"/>
  <c r="M3010" i="4"/>
  <c r="N3010" i="4" s="1"/>
  <c r="Y3010" i="4"/>
  <c r="H3010" i="4"/>
  <c r="M3138" i="4"/>
  <c r="N3138" i="4" s="1"/>
  <c r="Y3138" i="4"/>
  <c r="H3138" i="4"/>
  <c r="M2567" i="4"/>
  <c r="N2567" i="4" s="1"/>
  <c r="H2567" i="4"/>
  <c r="Y2567" i="4"/>
  <c r="H2631" i="4"/>
  <c r="Y2631" i="4"/>
  <c r="M2631" i="4"/>
  <c r="N2631" i="4" s="1"/>
  <c r="H2695" i="4"/>
  <c r="Y2695" i="4"/>
  <c r="M2695" i="4"/>
  <c r="N2695" i="4" s="1"/>
  <c r="M2578" i="4"/>
  <c r="N2578" i="4" s="1"/>
  <c r="H2578" i="4"/>
  <c r="Y2578" i="4"/>
  <c r="Y2642" i="4"/>
  <c r="H2642" i="4"/>
  <c r="M2642" i="4"/>
  <c r="N2642" i="4" s="1"/>
  <c r="Y2706" i="4"/>
  <c r="H2706" i="4"/>
  <c r="M2706" i="4"/>
  <c r="N2706" i="4" s="1"/>
  <c r="H2759" i="4"/>
  <c r="Y2759" i="4"/>
  <c r="M2759" i="4"/>
  <c r="N2759" i="4" s="1"/>
  <c r="H2919" i="4"/>
  <c r="Y2919" i="4"/>
  <c r="M2919" i="4"/>
  <c r="N2919" i="4" s="1"/>
  <c r="H3079" i="4"/>
  <c r="Y3079" i="4"/>
  <c r="M3079" i="4"/>
  <c r="N3079" i="4" s="1"/>
  <c r="Y2790" i="4"/>
  <c r="H2790" i="4"/>
  <c r="M2790" i="4"/>
  <c r="N2790" i="4" s="1"/>
  <c r="Y2982" i="4"/>
  <c r="H2982" i="4"/>
  <c r="M2982" i="4"/>
  <c r="N2982" i="4" s="1"/>
  <c r="Y3142" i="4"/>
  <c r="H3142" i="4"/>
  <c r="M3142" i="4"/>
  <c r="N3142" i="4" s="1"/>
  <c r="Y3458" i="4"/>
  <c r="H3458" i="4"/>
  <c r="M3458" i="4"/>
  <c r="N3458" i="4" s="1"/>
  <c r="Y2553" i="4"/>
  <c r="H2553" i="4"/>
  <c r="M2553" i="4"/>
  <c r="N2553" i="4" s="1"/>
  <c r="H2585" i="4"/>
  <c r="Y2585" i="4"/>
  <c r="M2585" i="4"/>
  <c r="N2585" i="4" s="1"/>
  <c r="Y2617" i="4"/>
  <c r="M2617" i="4"/>
  <c r="N2617" i="4" s="1"/>
  <c r="H2617" i="4"/>
  <c r="Y2649" i="4"/>
  <c r="M2649" i="4"/>
  <c r="N2649" i="4" s="1"/>
  <c r="H2649" i="4"/>
  <c r="Y2681" i="4"/>
  <c r="M2681" i="4"/>
  <c r="N2681" i="4" s="1"/>
  <c r="H2681" i="4"/>
  <c r="Y2713" i="4"/>
  <c r="M2713" i="4"/>
  <c r="N2713" i="4" s="1"/>
  <c r="H2713" i="4"/>
  <c r="M2745" i="4"/>
  <c r="N2745" i="4" s="1"/>
  <c r="H2745" i="4"/>
  <c r="Y2745" i="4"/>
  <c r="M2801" i="4"/>
  <c r="N2801" i="4" s="1"/>
  <c r="H2801" i="4"/>
  <c r="Y2801" i="4"/>
  <c r="M2865" i="4"/>
  <c r="N2865" i="4" s="1"/>
  <c r="H2865" i="4"/>
  <c r="Y2865" i="4"/>
  <c r="M2929" i="4"/>
  <c r="N2929" i="4" s="1"/>
  <c r="H2929" i="4"/>
  <c r="Y2929" i="4"/>
  <c r="M2993" i="4"/>
  <c r="N2993" i="4" s="1"/>
  <c r="H2993" i="4"/>
  <c r="Y2993" i="4"/>
  <c r="Y3057" i="4"/>
  <c r="H3057" i="4"/>
  <c r="M3057" i="4"/>
  <c r="N3057" i="4" s="1"/>
  <c r="Y3121" i="4"/>
  <c r="H3121" i="4"/>
  <c r="M3121" i="4"/>
  <c r="N3121" i="4" s="1"/>
  <c r="Y3185" i="4"/>
  <c r="H3185" i="4"/>
  <c r="M3185" i="4"/>
  <c r="N3185" i="4" s="1"/>
  <c r="M2264" i="4"/>
  <c r="N2264" i="4" s="1"/>
  <c r="H2264" i="4"/>
  <c r="Y2264" i="4"/>
  <c r="H2296" i="4"/>
  <c r="Y2296" i="4"/>
  <c r="M2296" i="4"/>
  <c r="N2296" i="4" s="1"/>
  <c r="H2328" i="4"/>
  <c r="Y2328" i="4"/>
  <c r="M2328" i="4"/>
  <c r="N2328" i="4" s="1"/>
  <c r="M2568" i="4"/>
  <c r="N2568" i="4" s="1"/>
  <c r="Y2568" i="4"/>
  <c r="H2568" i="4"/>
  <c r="H2600" i="4"/>
  <c r="M2600" i="4"/>
  <c r="N2600" i="4" s="1"/>
  <c r="Y2600" i="4"/>
  <c r="H2632" i="4"/>
  <c r="M2632" i="4"/>
  <c r="N2632" i="4" s="1"/>
  <c r="Y2632" i="4"/>
  <c r="H2664" i="4"/>
  <c r="M2664" i="4"/>
  <c r="N2664" i="4" s="1"/>
  <c r="Y2664" i="4"/>
  <c r="H2696" i="4"/>
  <c r="M2696" i="4"/>
  <c r="N2696" i="4" s="1"/>
  <c r="Y2696" i="4"/>
  <c r="H2728" i="4"/>
  <c r="M2728" i="4"/>
  <c r="N2728" i="4" s="1"/>
  <c r="Y2728" i="4"/>
  <c r="Y2784" i="4"/>
  <c r="M2784" i="4"/>
  <c r="N2784" i="4" s="1"/>
  <c r="H2784" i="4"/>
  <c r="H2816" i="4"/>
  <c r="Y2816" i="4"/>
  <c r="M2816" i="4"/>
  <c r="N2816" i="4" s="1"/>
  <c r="Y2848" i="4"/>
  <c r="M2848" i="4"/>
  <c r="N2848" i="4" s="1"/>
  <c r="H2848" i="4"/>
  <c r="H2880" i="4"/>
  <c r="Y2880" i="4"/>
  <c r="M2880" i="4"/>
  <c r="N2880" i="4" s="1"/>
  <c r="Y2912" i="4"/>
  <c r="M2912" i="4"/>
  <c r="N2912" i="4" s="1"/>
  <c r="H2912" i="4"/>
  <c r="H2944" i="4"/>
  <c r="Y2944" i="4"/>
  <c r="M2944" i="4"/>
  <c r="N2944" i="4" s="1"/>
  <c r="Y2976" i="4"/>
  <c r="M2976" i="4"/>
  <c r="N2976" i="4" s="1"/>
  <c r="H2976" i="4"/>
  <c r="H3008" i="4"/>
  <c r="Y3008" i="4"/>
  <c r="M3008" i="4"/>
  <c r="N3008" i="4" s="1"/>
  <c r="M3040" i="4"/>
  <c r="N3040" i="4" s="1"/>
  <c r="Y3040" i="4"/>
  <c r="H3040" i="4"/>
  <c r="Y3072" i="4"/>
  <c r="H3072" i="4"/>
  <c r="M3072" i="4"/>
  <c r="N3072" i="4" s="1"/>
  <c r="Y3104" i="4"/>
  <c r="M3104" i="4"/>
  <c r="N3104" i="4" s="1"/>
  <c r="H3104" i="4"/>
  <c r="M3136" i="4"/>
  <c r="N3136" i="4" s="1"/>
  <c r="H3136" i="4"/>
  <c r="Y3136" i="4"/>
  <c r="H3168" i="4"/>
  <c r="Y3168" i="4"/>
  <c r="M3168" i="4"/>
  <c r="N3168" i="4" s="1"/>
  <c r="Y3200" i="4"/>
  <c r="H3200" i="4"/>
  <c r="M3200" i="4"/>
  <c r="N3200" i="4" s="1"/>
  <c r="M3232" i="4"/>
  <c r="N3232" i="4" s="1"/>
  <c r="H3232" i="4"/>
  <c r="Y3232" i="4"/>
  <c r="H2651" i="4"/>
  <c r="Y2651" i="4"/>
  <c r="M2651" i="4"/>
  <c r="N2651" i="4" s="1"/>
  <c r="Y2598" i="4"/>
  <c r="H2598" i="4"/>
  <c r="M2598" i="4"/>
  <c r="N2598" i="4" s="1"/>
  <c r="Y2726" i="4"/>
  <c r="H2726" i="4"/>
  <c r="M2726" i="4"/>
  <c r="N2726" i="4" s="1"/>
  <c r="M2258" i="4"/>
  <c r="N2258" i="4" s="1"/>
  <c r="H2258" i="4"/>
  <c r="Y2258" i="4"/>
  <c r="M2290" i="4"/>
  <c r="N2290" i="4" s="1"/>
  <c r="H2290" i="4"/>
  <c r="Y2290" i="4"/>
  <c r="M2322" i="4"/>
  <c r="N2322" i="4" s="1"/>
  <c r="H2322" i="4"/>
  <c r="Y2322" i="4"/>
  <c r="Y2273" i="4"/>
  <c r="M2273" i="4"/>
  <c r="N2273" i="4" s="1"/>
  <c r="H2273" i="4"/>
  <c r="Y2305" i="4"/>
  <c r="M2305" i="4"/>
  <c r="N2305" i="4" s="1"/>
  <c r="H2305" i="4"/>
  <c r="H2335" i="4"/>
  <c r="M2335" i="4"/>
  <c r="N2335" i="4" s="1"/>
  <c r="Y2335" i="4"/>
  <c r="H2343" i="4"/>
  <c r="M2343" i="4"/>
  <c r="N2343" i="4" s="1"/>
  <c r="Y2343" i="4"/>
  <c r="H2351" i="4"/>
  <c r="M2351" i="4"/>
  <c r="N2351" i="4" s="1"/>
  <c r="Y2351" i="4"/>
  <c r="H2359" i="4"/>
  <c r="M2359" i="4"/>
  <c r="N2359" i="4" s="1"/>
  <c r="Y2359" i="4"/>
  <c r="H2367" i="4"/>
  <c r="M2367" i="4"/>
  <c r="N2367" i="4" s="1"/>
  <c r="Y2367" i="4"/>
  <c r="H2375" i="4"/>
  <c r="M2375" i="4"/>
  <c r="N2375" i="4" s="1"/>
  <c r="Y2375" i="4"/>
  <c r="H2383" i="4"/>
  <c r="M2383" i="4"/>
  <c r="N2383" i="4" s="1"/>
  <c r="Y2383" i="4"/>
  <c r="H2391" i="4"/>
  <c r="M2391" i="4"/>
  <c r="N2391" i="4" s="1"/>
  <c r="Y2391" i="4"/>
  <c r="H2399" i="4"/>
  <c r="M2399" i="4"/>
  <c r="N2399" i="4" s="1"/>
  <c r="Y2399" i="4"/>
  <c r="H2407" i="4"/>
  <c r="M2407" i="4"/>
  <c r="N2407" i="4" s="1"/>
  <c r="Y2407" i="4"/>
  <c r="H2415" i="4"/>
  <c r="M2415" i="4"/>
  <c r="N2415" i="4" s="1"/>
  <c r="Y2415" i="4"/>
  <c r="H2423" i="4"/>
  <c r="M2423" i="4"/>
  <c r="N2423" i="4" s="1"/>
  <c r="Y2423" i="4"/>
  <c r="H2431" i="4"/>
  <c r="M2431" i="4"/>
  <c r="N2431" i="4" s="1"/>
  <c r="Y2431" i="4"/>
  <c r="H2439" i="4"/>
  <c r="M2439" i="4"/>
  <c r="N2439" i="4" s="1"/>
  <c r="Y2439" i="4"/>
  <c r="H2447" i="4"/>
  <c r="M2447" i="4"/>
  <c r="N2447" i="4" s="1"/>
  <c r="Y2447" i="4"/>
  <c r="H2455" i="4"/>
  <c r="M2455" i="4"/>
  <c r="N2455" i="4" s="1"/>
  <c r="Y2455" i="4"/>
  <c r="H2463" i="4"/>
  <c r="M2463" i="4"/>
  <c r="N2463" i="4" s="1"/>
  <c r="Y2463" i="4"/>
  <c r="H2471" i="4"/>
  <c r="M2471" i="4"/>
  <c r="N2471" i="4" s="1"/>
  <c r="Y2471" i="4"/>
  <c r="H2479" i="4"/>
  <c r="M2479" i="4"/>
  <c r="N2479" i="4" s="1"/>
  <c r="Y2479" i="4"/>
  <c r="H2487" i="4"/>
  <c r="M2487" i="4"/>
  <c r="N2487" i="4" s="1"/>
  <c r="Y2487" i="4"/>
  <c r="H2495" i="4"/>
  <c r="M2495" i="4"/>
  <c r="N2495" i="4" s="1"/>
  <c r="Y2495" i="4"/>
  <c r="H2503" i="4"/>
  <c r="M2503" i="4"/>
  <c r="N2503" i="4" s="1"/>
  <c r="Y2503" i="4"/>
  <c r="M2511" i="4"/>
  <c r="N2511" i="4" s="1"/>
  <c r="Y2511" i="4"/>
  <c r="H2511" i="4"/>
  <c r="M2519" i="4"/>
  <c r="N2519" i="4" s="1"/>
  <c r="H2519" i="4"/>
  <c r="Y2519" i="4"/>
  <c r="H2527" i="4"/>
  <c r="M2527" i="4"/>
  <c r="N2527" i="4" s="1"/>
  <c r="Y2527" i="4"/>
  <c r="M2535" i="4"/>
  <c r="N2535" i="4" s="1"/>
  <c r="H2535" i="4"/>
  <c r="Y2535" i="4"/>
  <c r="H2579" i="4"/>
  <c r="M2579" i="4"/>
  <c r="N2579" i="4" s="1"/>
  <c r="Y2579" i="4"/>
  <c r="H2707" i="4"/>
  <c r="Y2707" i="4"/>
  <c r="M2707" i="4"/>
  <c r="N2707" i="4" s="1"/>
  <c r="M2654" i="4"/>
  <c r="N2654" i="4" s="1"/>
  <c r="Y2654" i="4"/>
  <c r="H2654" i="4"/>
  <c r="H2763" i="4"/>
  <c r="Y2763" i="4"/>
  <c r="M2763" i="4"/>
  <c r="N2763" i="4" s="1"/>
  <c r="H2795" i="4"/>
  <c r="Y2795" i="4"/>
  <c r="M2795" i="4"/>
  <c r="N2795" i="4" s="1"/>
  <c r="H2827" i="4"/>
  <c r="Y2827" i="4"/>
  <c r="M2827" i="4"/>
  <c r="N2827" i="4" s="1"/>
  <c r="H2859" i="4"/>
  <c r="Y2859" i="4"/>
  <c r="M2859" i="4"/>
  <c r="N2859" i="4" s="1"/>
  <c r="H2891" i="4"/>
  <c r="Y2891" i="4"/>
  <c r="M2891" i="4"/>
  <c r="N2891" i="4" s="1"/>
  <c r="H2923" i="4"/>
  <c r="Y2923" i="4"/>
  <c r="M2923" i="4"/>
  <c r="N2923" i="4" s="1"/>
  <c r="H2955" i="4"/>
  <c r="Y2955" i="4"/>
  <c r="M2955" i="4"/>
  <c r="N2955" i="4" s="1"/>
  <c r="H2987" i="4"/>
  <c r="Y2987" i="4"/>
  <c r="M2987" i="4"/>
  <c r="N2987" i="4" s="1"/>
  <c r="H3019" i="4"/>
  <c r="Y3019" i="4"/>
  <c r="M3019" i="4"/>
  <c r="N3019" i="4" s="1"/>
  <c r="H3051" i="4"/>
  <c r="Y3051" i="4"/>
  <c r="M3051" i="4"/>
  <c r="N3051" i="4" s="1"/>
  <c r="H3083" i="4"/>
  <c r="Y3083" i="4"/>
  <c r="M3083" i="4"/>
  <c r="N3083" i="4" s="1"/>
  <c r="H3115" i="4"/>
  <c r="Y3115" i="4"/>
  <c r="M3115" i="4"/>
  <c r="N3115" i="4" s="1"/>
  <c r="H3147" i="4"/>
  <c r="Y3147" i="4"/>
  <c r="M3147" i="4"/>
  <c r="N3147" i="4" s="1"/>
  <c r="H3179" i="4"/>
  <c r="Y3179" i="4"/>
  <c r="M3179" i="4"/>
  <c r="N3179" i="4" s="1"/>
  <c r="H3211" i="4"/>
  <c r="Y3211" i="4"/>
  <c r="M3211" i="4"/>
  <c r="N3211" i="4" s="1"/>
  <c r="Y2762" i="4"/>
  <c r="H2762" i="4"/>
  <c r="M2762" i="4"/>
  <c r="N2762" i="4" s="1"/>
  <c r="Y2794" i="4"/>
  <c r="M2794" i="4"/>
  <c r="N2794" i="4" s="1"/>
  <c r="H2794" i="4"/>
  <c r="Y2826" i="4"/>
  <c r="M2826" i="4"/>
  <c r="N2826" i="4" s="1"/>
  <c r="H2826" i="4"/>
  <c r="Y2858" i="4"/>
  <c r="H2858" i="4"/>
  <c r="M2858" i="4"/>
  <c r="N2858" i="4" s="1"/>
  <c r="Y2890" i="4"/>
  <c r="H2890" i="4"/>
  <c r="M2890" i="4"/>
  <c r="N2890" i="4" s="1"/>
  <c r="Y2922" i="4"/>
  <c r="H2922" i="4"/>
  <c r="M2922" i="4"/>
  <c r="N2922" i="4" s="1"/>
  <c r="Y2954" i="4"/>
  <c r="H2954" i="4"/>
  <c r="M2954" i="4"/>
  <c r="N2954" i="4" s="1"/>
  <c r="Y2986" i="4"/>
  <c r="H2986" i="4"/>
  <c r="M2986" i="4"/>
  <c r="N2986" i="4" s="1"/>
  <c r="Y3018" i="4"/>
  <c r="H3018" i="4"/>
  <c r="M3018" i="4"/>
  <c r="N3018" i="4" s="1"/>
  <c r="Y3050" i="4"/>
  <c r="H3050" i="4"/>
  <c r="M3050" i="4"/>
  <c r="N3050" i="4" s="1"/>
  <c r="Y3082" i="4"/>
  <c r="M3082" i="4"/>
  <c r="N3082" i="4" s="1"/>
  <c r="H3082" i="4"/>
  <c r="Y3114" i="4"/>
  <c r="H3114" i="4"/>
  <c r="M3114" i="4"/>
  <c r="N3114" i="4" s="1"/>
  <c r="Y3146" i="4"/>
  <c r="M3146" i="4"/>
  <c r="N3146" i="4" s="1"/>
  <c r="H3146" i="4"/>
  <c r="Y3178" i="4"/>
  <c r="H3178" i="4"/>
  <c r="M3178" i="4"/>
  <c r="N3178" i="4" s="1"/>
  <c r="Y3210" i="4"/>
  <c r="H3210" i="4"/>
  <c r="M3210" i="4"/>
  <c r="N3210" i="4" s="1"/>
  <c r="Y2551" i="4"/>
  <c r="M2551" i="4"/>
  <c r="N2551" i="4" s="1"/>
  <c r="H2551" i="4"/>
  <c r="Y2615" i="4"/>
  <c r="M2615" i="4"/>
  <c r="N2615" i="4" s="1"/>
  <c r="H2615" i="4"/>
  <c r="Y2679" i="4"/>
  <c r="M2679" i="4"/>
  <c r="N2679" i="4" s="1"/>
  <c r="H2679" i="4"/>
  <c r="Y2743" i="4"/>
  <c r="M2743" i="4"/>
  <c r="N2743" i="4" s="1"/>
  <c r="H2743" i="4"/>
  <c r="M2562" i="4"/>
  <c r="N2562" i="4" s="1"/>
  <c r="H2562" i="4"/>
  <c r="Y2562" i="4"/>
  <c r="M2626" i="4"/>
  <c r="N2626" i="4" s="1"/>
  <c r="H2626" i="4"/>
  <c r="Y2626" i="4"/>
  <c r="H2690" i="4"/>
  <c r="M2690" i="4"/>
  <c r="N2690" i="4" s="1"/>
  <c r="Y2690" i="4"/>
  <c r="H2791" i="4"/>
  <c r="Y2791" i="4"/>
  <c r="M2791" i="4"/>
  <c r="N2791" i="4" s="1"/>
  <c r="H2951" i="4"/>
  <c r="Y2951" i="4"/>
  <c r="M2951" i="4"/>
  <c r="N2951" i="4" s="1"/>
  <c r="H3143" i="4"/>
  <c r="Y3143" i="4"/>
  <c r="M3143" i="4"/>
  <c r="N3143" i="4" s="1"/>
  <c r="Y2854" i="4"/>
  <c r="H2854" i="4"/>
  <c r="M2854" i="4"/>
  <c r="N2854" i="4" s="1"/>
  <c r="Y3014" i="4"/>
  <c r="H3014" i="4"/>
  <c r="M3014" i="4"/>
  <c r="N3014" i="4" s="1"/>
  <c r="Y3174" i="4"/>
  <c r="H3174" i="4"/>
  <c r="M3174" i="4"/>
  <c r="N3174" i="4" s="1"/>
  <c r="M3586" i="4"/>
  <c r="N3586" i="4" s="1"/>
  <c r="Y3586" i="4"/>
  <c r="H3586" i="4"/>
  <c r="M3333" i="4"/>
  <c r="N3333" i="4" s="1"/>
  <c r="H3333" i="4"/>
  <c r="Y3333" i="4"/>
  <c r="Y2297" i="4"/>
  <c r="M2297" i="4"/>
  <c r="N2297" i="4" s="1"/>
  <c r="H2297" i="4"/>
  <c r="Y2329" i="4"/>
  <c r="M2329" i="4"/>
  <c r="N2329" i="4" s="1"/>
  <c r="H2329" i="4"/>
  <c r="H2337" i="4"/>
  <c r="Y2337" i="4"/>
  <c r="M2337" i="4"/>
  <c r="N2337" i="4" s="1"/>
  <c r="H2345" i="4"/>
  <c r="Y2345" i="4"/>
  <c r="M2345" i="4"/>
  <c r="N2345" i="4" s="1"/>
  <c r="H2353" i="4"/>
  <c r="Y2353" i="4"/>
  <c r="M2353" i="4"/>
  <c r="N2353" i="4" s="1"/>
  <c r="H2361" i="4"/>
  <c r="Y2361" i="4"/>
  <c r="M2361" i="4"/>
  <c r="N2361" i="4" s="1"/>
  <c r="H2369" i="4"/>
  <c r="Y2369" i="4"/>
  <c r="M2369" i="4"/>
  <c r="N2369" i="4" s="1"/>
  <c r="H2377" i="4"/>
  <c r="Y2377" i="4"/>
  <c r="M2377" i="4"/>
  <c r="N2377" i="4" s="1"/>
  <c r="H2385" i="4"/>
  <c r="Y2385" i="4"/>
  <c r="M2385" i="4"/>
  <c r="N2385" i="4" s="1"/>
  <c r="H2393" i="4"/>
  <c r="Y2393" i="4"/>
  <c r="M2393" i="4"/>
  <c r="N2393" i="4" s="1"/>
  <c r="H2401" i="4"/>
  <c r="Y2401" i="4"/>
  <c r="M2401" i="4"/>
  <c r="N2401" i="4" s="1"/>
  <c r="H2409" i="4"/>
  <c r="Y2409" i="4"/>
  <c r="M2409" i="4"/>
  <c r="N2409" i="4" s="1"/>
  <c r="H2417" i="4"/>
  <c r="Y2417" i="4"/>
  <c r="M2417" i="4"/>
  <c r="N2417" i="4" s="1"/>
  <c r="H2425" i="4"/>
  <c r="Y2425" i="4"/>
  <c r="M2425" i="4"/>
  <c r="N2425" i="4" s="1"/>
  <c r="H2433" i="4"/>
  <c r="Y2433" i="4"/>
  <c r="M2433" i="4"/>
  <c r="N2433" i="4" s="1"/>
  <c r="H2441" i="4"/>
  <c r="Y2441" i="4"/>
  <c r="M2441" i="4"/>
  <c r="N2441" i="4" s="1"/>
  <c r="H2449" i="4"/>
  <c r="Y2449" i="4"/>
  <c r="M2449" i="4"/>
  <c r="N2449" i="4" s="1"/>
  <c r="H2457" i="4"/>
  <c r="Y2457" i="4"/>
  <c r="M2457" i="4"/>
  <c r="N2457" i="4" s="1"/>
  <c r="H2465" i="4"/>
  <c r="Y2465" i="4"/>
  <c r="M2465" i="4"/>
  <c r="N2465" i="4" s="1"/>
  <c r="H2473" i="4"/>
  <c r="Y2473" i="4"/>
  <c r="M2473" i="4"/>
  <c r="N2473" i="4" s="1"/>
  <c r="H2481" i="4"/>
  <c r="Y2481" i="4"/>
  <c r="M2481" i="4"/>
  <c r="N2481" i="4" s="1"/>
  <c r="H2489" i="4"/>
  <c r="Y2489" i="4"/>
  <c r="M2489" i="4"/>
  <c r="N2489" i="4" s="1"/>
  <c r="H2497" i="4"/>
  <c r="Y2497" i="4"/>
  <c r="M2497" i="4"/>
  <c r="N2497" i="4" s="1"/>
  <c r="H2505" i="4"/>
  <c r="Y2505" i="4"/>
  <c r="M2505" i="4"/>
  <c r="N2505" i="4" s="1"/>
  <c r="Y2513" i="4"/>
  <c r="M2513" i="4"/>
  <c r="N2513" i="4" s="1"/>
  <c r="H2513" i="4"/>
  <c r="M2521" i="4"/>
  <c r="N2521" i="4" s="1"/>
  <c r="H2521" i="4"/>
  <c r="Y2521" i="4"/>
  <c r="Y2529" i="4"/>
  <c r="H2529" i="4"/>
  <c r="M2529" i="4"/>
  <c r="N2529" i="4" s="1"/>
  <c r="M2537" i="4"/>
  <c r="N2537" i="4" s="1"/>
  <c r="Y2537" i="4"/>
  <c r="H2537" i="4"/>
  <c r="H2547" i="4"/>
  <c r="Y2547" i="4"/>
  <c r="M2547" i="4"/>
  <c r="N2547" i="4" s="1"/>
  <c r="M2675" i="4"/>
  <c r="N2675" i="4" s="1"/>
  <c r="H2675" i="4"/>
  <c r="Y2675" i="4"/>
  <c r="H2622" i="4"/>
  <c r="M2622" i="4"/>
  <c r="N2622" i="4" s="1"/>
  <c r="Y2622" i="4"/>
  <c r="M2771" i="4"/>
  <c r="N2771" i="4" s="1"/>
  <c r="H2771" i="4"/>
  <c r="Y2771" i="4"/>
  <c r="M2803" i="4"/>
  <c r="N2803" i="4" s="1"/>
  <c r="H2803" i="4"/>
  <c r="Y2803" i="4"/>
  <c r="M2835" i="4"/>
  <c r="N2835" i="4" s="1"/>
  <c r="H2835" i="4"/>
  <c r="Y2835" i="4"/>
  <c r="M2867" i="4"/>
  <c r="N2867" i="4" s="1"/>
  <c r="H2867" i="4"/>
  <c r="Y2867" i="4"/>
  <c r="M2899" i="4"/>
  <c r="N2899" i="4" s="1"/>
  <c r="H2899" i="4"/>
  <c r="Y2899" i="4"/>
  <c r="M2931" i="4"/>
  <c r="N2931" i="4" s="1"/>
  <c r="H2931" i="4"/>
  <c r="Y2931" i="4"/>
  <c r="M2963" i="4"/>
  <c r="N2963" i="4" s="1"/>
  <c r="H2963" i="4"/>
  <c r="Y2963" i="4"/>
  <c r="M2995" i="4"/>
  <c r="N2995" i="4" s="1"/>
  <c r="H2995" i="4"/>
  <c r="Y2995" i="4"/>
  <c r="M3027" i="4"/>
  <c r="N3027" i="4" s="1"/>
  <c r="H3027" i="4"/>
  <c r="Y3027" i="4"/>
  <c r="M3059" i="4"/>
  <c r="N3059" i="4" s="1"/>
  <c r="H3059" i="4"/>
  <c r="Y3059" i="4"/>
  <c r="M3091" i="4"/>
  <c r="N3091" i="4" s="1"/>
  <c r="H3091" i="4"/>
  <c r="Y3091" i="4"/>
  <c r="M3123" i="4"/>
  <c r="N3123" i="4" s="1"/>
  <c r="H3123" i="4"/>
  <c r="Y3123" i="4"/>
  <c r="M3155" i="4"/>
  <c r="N3155" i="4" s="1"/>
  <c r="H3155" i="4"/>
  <c r="Y3155" i="4"/>
  <c r="M3187" i="4"/>
  <c r="N3187" i="4" s="1"/>
  <c r="H3187" i="4"/>
  <c r="Y3187" i="4"/>
  <c r="M3219" i="4"/>
  <c r="N3219" i="4" s="1"/>
  <c r="H3219" i="4"/>
  <c r="Y3219" i="4"/>
  <c r="Y2770" i="4"/>
  <c r="H2770" i="4"/>
  <c r="M2770" i="4"/>
  <c r="N2770" i="4" s="1"/>
  <c r="Y2802" i="4"/>
  <c r="H2802" i="4"/>
  <c r="M2802" i="4"/>
  <c r="N2802" i="4" s="1"/>
  <c r="Y2834" i="4"/>
  <c r="H2834" i="4"/>
  <c r="M2834" i="4"/>
  <c r="N2834" i="4" s="1"/>
  <c r="Y2866" i="4"/>
  <c r="H2866" i="4"/>
  <c r="M2866" i="4"/>
  <c r="N2866" i="4" s="1"/>
  <c r="Y2898" i="4"/>
  <c r="M2898" i="4"/>
  <c r="N2898" i="4" s="1"/>
  <c r="H2898" i="4"/>
  <c r="Y2930" i="4"/>
  <c r="H2930" i="4"/>
  <c r="M2930" i="4"/>
  <c r="N2930" i="4" s="1"/>
  <c r="Y2962" i="4"/>
  <c r="M2962" i="4"/>
  <c r="N2962" i="4" s="1"/>
  <c r="H2962" i="4"/>
  <c r="Y2994" i="4"/>
  <c r="H2994" i="4"/>
  <c r="M2994" i="4"/>
  <c r="N2994" i="4" s="1"/>
  <c r="Y3026" i="4"/>
  <c r="M3026" i="4"/>
  <c r="N3026" i="4" s="1"/>
  <c r="H3026" i="4"/>
  <c r="Y3058" i="4"/>
  <c r="H3058" i="4"/>
  <c r="M3058" i="4"/>
  <c r="N3058" i="4" s="1"/>
  <c r="Y3090" i="4"/>
  <c r="H3090" i="4"/>
  <c r="M3090" i="4"/>
  <c r="N3090" i="4" s="1"/>
  <c r="Y3122" i="4"/>
  <c r="H3122" i="4"/>
  <c r="M3122" i="4"/>
  <c r="N3122" i="4" s="1"/>
  <c r="Y3154" i="4"/>
  <c r="H3154" i="4"/>
  <c r="M3154" i="4"/>
  <c r="N3154" i="4" s="1"/>
  <c r="Y3186" i="4"/>
  <c r="H3186" i="4"/>
  <c r="M3186" i="4"/>
  <c r="N3186" i="4" s="1"/>
  <c r="Y3218" i="4"/>
  <c r="M3218" i="4"/>
  <c r="N3218" i="4" s="1"/>
  <c r="H3218" i="4"/>
  <c r="H2599" i="4"/>
  <c r="Y2599" i="4"/>
  <c r="M2599" i="4"/>
  <c r="N2599" i="4" s="1"/>
  <c r="H2663" i="4"/>
  <c r="Y2663" i="4"/>
  <c r="M2663" i="4"/>
  <c r="N2663" i="4" s="1"/>
  <c r="H2727" i="4"/>
  <c r="Y2727" i="4"/>
  <c r="M2727" i="4"/>
  <c r="N2727" i="4" s="1"/>
  <c r="H2750" i="4"/>
  <c r="M2750" i="4"/>
  <c r="N2750" i="4" s="1"/>
  <c r="Y2750" i="4"/>
  <c r="Y2546" i="4"/>
  <c r="M2546" i="4"/>
  <c r="N2546" i="4" s="1"/>
  <c r="H2546" i="4"/>
  <c r="Y2610" i="4"/>
  <c r="H2610" i="4"/>
  <c r="M2610" i="4"/>
  <c r="N2610" i="4" s="1"/>
  <c r="Y2674" i="4"/>
  <c r="H2674" i="4"/>
  <c r="M2674" i="4"/>
  <c r="N2674" i="4" s="1"/>
  <c r="Y2738" i="4"/>
  <c r="H2738" i="4"/>
  <c r="M2738" i="4"/>
  <c r="N2738" i="4" s="1"/>
  <c r="H2823" i="4"/>
  <c r="Y2823" i="4"/>
  <c r="M2823" i="4"/>
  <c r="N2823" i="4" s="1"/>
  <c r="H3015" i="4"/>
  <c r="Y3015" i="4"/>
  <c r="M3015" i="4"/>
  <c r="N3015" i="4" s="1"/>
  <c r="H3175" i="4"/>
  <c r="Y3175" i="4"/>
  <c r="M3175" i="4"/>
  <c r="N3175" i="4" s="1"/>
  <c r="Y2886" i="4"/>
  <c r="H2886" i="4"/>
  <c r="M2886" i="4"/>
  <c r="N2886" i="4" s="1"/>
  <c r="Y3046" i="4"/>
  <c r="H3046" i="4"/>
  <c r="M3046" i="4"/>
  <c r="N3046" i="4" s="1"/>
  <c r="Y3238" i="4"/>
  <c r="H3238" i="4"/>
  <c r="M3238" i="4"/>
  <c r="N3238" i="4" s="1"/>
  <c r="M3589" i="4"/>
  <c r="N3589" i="4" s="1"/>
  <c r="Y3589" i="4"/>
  <c r="H3589" i="4"/>
  <c r="H3790" i="4"/>
  <c r="Y3790" i="4"/>
  <c r="M3790" i="4"/>
  <c r="N3790" i="4" s="1"/>
  <c r="H2662" i="4"/>
  <c r="M2662" i="4"/>
  <c r="N2662" i="4" s="1"/>
  <c r="Y2662" i="4"/>
  <c r="M2274" i="4"/>
  <c r="N2274" i="4" s="1"/>
  <c r="H2274" i="4"/>
  <c r="Y2274" i="4"/>
  <c r="M2306" i="4"/>
  <c r="N2306" i="4" s="1"/>
  <c r="H2306" i="4"/>
  <c r="Y2306" i="4"/>
  <c r="H2257" i="4"/>
  <c r="Y2257" i="4"/>
  <c r="M2257" i="4"/>
  <c r="N2257" i="4" s="1"/>
  <c r="H2289" i="4"/>
  <c r="Y2289" i="4"/>
  <c r="M2289" i="4"/>
  <c r="N2289" i="4" s="1"/>
  <c r="H2321" i="4"/>
  <c r="Y2321" i="4"/>
  <c r="M2321" i="4"/>
  <c r="N2321" i="4" s="1"/>
  <c r="Y2749" i="4"/>
  <c r="M2749" i="4"/>
  <c r="N2749" i="4" s="1"/>
  <c r="H2749" i="4"/>
  <c r="Y2339" i="4"/>
  <c r="H2339" i="4"/>
  <c r="M2339" i="4"/>
  <c r="N2339" i="4" s="1"/>
  <c r="Y2347" i="4"/>
  <c r="H2347" i="4"/>
  <c r="M2347" i="4"/>
  <c r="N2347" i="4" s="1"/>
  <c r="Y2355" i="4"/>
  <c r="H2355" i="4"/>
  <c r="M2355" i="4"/>
  <c r="N2355" i="4" s="1"/>
  <c r="Y2363" i="4"/>
  <c r="H2363" i="4"/>
  <c r="M2363" i="4"/>
  <c r="N2363" i="4" s="1"/>
  <c r="Y2371" i="4"/>
  <c r="H2371" i="4"/>
  <c r="M2371" i="4"/>
  <c r="N2371" i="4" s="1"/>
  <c r="Y2379" i="4"/>
  <c r="H2379" i="4"/>
  <c r="M2379" i="4"/>
  <c r="N2379" i="4" s="1"/>
  <c r="Y2387" i="4"/>
  <c r="H2387" i="4"/>
  <c r="M2387" i="4"/>
  <c r="N2387" i="4" s="1"/>
  <c r="Y2395" i="4"/>
  <c r="H2395" i="4"/>
  <c r="M2395" i="4"/>
  <c r="N2395" i="4" s="1"/>
  <c r="Y2403" i="4"/>
  <c r="H2403" i="4"/>
  <c r="M2403" i="4"/>
  <c r="N2403" i="4" s="1"/>
  <c r="Y2411" i="4"/>
  <c r="H2411" i="4"/>
  <c r="M2411" i="4"/>
  <c r="N2411" i="4" s="1"/>
  <c r="Y2419" i="4"/>
  <c r="H2419" i="4"/>
  <c r="M2419" i="4"/>
  <c r="N2419" i="4" s="1"/>
  <c r="Y2427" i="4"/>
  <c r="H2427" i="4"/>
  <c r="M2427" i="4"/>
  <c r="N2427" i="4" s="1"/>
  <c r="Y2435" i="4"/>
  <c r="H2435" i="4"/>
  <c r="M2435" i="4"/>
  <c r="N2435" i="4" s="1"/>
  <c r="Y2443" i="4"/>
  <c r="H2443" i="4"/>
  <c r="M2443" i="4"/>
  <c r="N2443" i="4" s="1"/>
  <c r="Y2451" i="4"/>
  <c r="H2451" i="4"/>
  <c r="M2451" i="4"/>
  <c r="N2451" i="4" s="1"/>
  <c r="Y2459" i="4"/>
  <c r="H2459" i="4"/>
  <c r="M2459" i="4"/>
  <c r="N2459" i="4" s="1"/>
  <c r="Y2467" i="4"/>
  <c r="H2467" i="4"/>
  <c r="M2467" i="4"/>
  <c r="N2467" i="4" s="1"/>
  <c r="Y2475" i="4"/>
  <c r="H2475" i="4"/>
  <c r="M2475" i="4"/>
  <c r="N2475" i="4" s="1"/>
  <c r="Y2483" i="4"/>
  <c r="H2483" i="4"/>
  <c r="M2483" i="4"/>
  <c r="N2483" i="4" s="1"/>
  <c r="Y2491" i="4"/>
  <c r="H2491" i="4"/>
  <c r="M2491" i="4"/>
  <c r="N2491" i="4" s="1"/>
  <c r="Y2499" i="4"/>
  <c r="H2499" i="4"/>
  <c r="M2499" i="4"/>
  <c r="N2499" i="4" s="1"/>
  <c r="Y2507" i="4"/>
  <c r="H2507" i="4"/>
  <c r="M2507" i="4"/>
  <c r="N2507" i="4" s="1"/>
  <c r="Y2515" i="4"/>
  <c r="M2515" i="4"/>
  <c r="N2515" i="4" s="1"/>
  <c r="H2515" i="4"/>
  <c r="Y2523" i="4"/>
  <c r="H2523" i="4"/>
  <c r="M2523" i="4"/>
  <c r="N2523" i="4" s="1"/>
  <c r="Y2531" i="4"/>
  <c r="M2531" i="4"/>
  <c r="N2531" i="4" s="1"/>
  <c r="H2531" i="4"/>
  <c r="Y2539" i="4"/>
  <c r="M2539" i="4"/>
  <c r="N2539" i="4" s="1"/>
  <c r="H2539" i="4"/>
  <c r="M2643" i="4"/>
  <c r="N2643" i="4" s="1"/>
  <c r="H2643" i="4"/>
  <c r="Y2643" i="4"/>
  <c r="Y2590" i="4"/>
  <c r="H2590" i="4"/>
  <c r="M2590" i="4"/>
  <c r="N2590" i="4" s="1"/>
  <c r="Y2718" i="4"/>
  <c r="H2718" i="4"/>
  <c r="M2718" i="4"/>
  <c r="N2718" i="4" s="1"/>
  <c r="H2779" i="4"/>
  <c r="Y2779" i="4"/>
  <c r="M2779" i="4"/>
  <c r="N2779" i="4" s="1"/>
  <c r="H2811" i="4"/>
  <c r="Y2811" i="4"/>
  <c r="M2811" i="4"/>
  <c r="N2811" i="4" s="1"/>
  <c r="H2843" i="4"/>
  <c r="Y2843" i="4"/>
  <c r="M2843" i="4"/>
  <c r="N2843" i="4" s="1"/>
  <c r="H2875" i="4"/>
  <c r="Y2875" i="4"/>
  <c r="M2875" i="4"/>
  <c r="N2875" i="4" s="1"/>
  <c r="H2907" i="4"/>
  <c r="Y2907" i="4"/>
  <c r="M2907" i="4"/>
  <c r="N2907" i="4" s="1"/>
  <c r="H2939" i="4"/>
  <c r="Y2939" i="4"/>
  <c r="M2939" i="4"/>
  <c r="N2939" i="4" s="1"/>
  <c r="H2971" i="4"/>
  <c r="Y2971" i="4"/>
  <c r="M2971" i="4"/>
  <c r="N2971" i="4" s="1"/>
  <c r="H3003" i="4"/>
  <c r="Y3003" i="4"/>
  <c r="M3003" i="4"/>
  <c r="N3003" i="4" s="1"/>
  <c r="H3035" i="4"/>
  <c r="Y3035" i="4"/>
  <c r="M3035" i="4"/>
  <c r="N3035" i="4" s="1"/>
  <c r="H3067" i="4"/>
  <c r="Y3067" i="4"/>
  <c r="M3067" i="4"/>
  <c r="N3067" i="4" s="1"/>
  <c r="H3099" i="4"/>
  <c r="Y3099" i="4"/>
  <c r="M3099" i="4"/>
  <c r="N3099" i="4" s="1"/>
  <c r="H3131" i="4"/>
  <c r="Y3131" i="4"/>
  <c r="M3131" i="4"/>
  <c r="N3131" i="4" s="1"/>
  <c r="H3163" i="4"/>
  <c r="Y3163" i="4"/>
  <c r="M3163" i="4"/>
  <c r="N3163" i="4" s="1"/>
  <c r="H3195" i="4"/>
  <c r="Y3195" i="4"/>
  <c r="M3195" i="4"/>
  <c r="N3195" i="4" s="1"/>
  <c r="H3227" i="4"/>
  <c r="Y3227" i="4"/>
  <c r="M3227" i="4"/>
  <c r="N3227" i="4" s="1"/>
  <c r="H2778" i="4"/>
  <c r="M2778" i="4"/>
  <c r="N2778" i="4" s="1"/>
  <c r="Y2778" i="4"/>
  <c r="H2810" i="4"/>
  <c r="M2810" i="4"/>
  <c r="N2810" i="4" s="1"/>
  <c r="Y2810" i="4"/>
  <c r="H2842" i="4"/>
  <c r="M2842" i="4"/>
  <c r="N2842" i="4" s="1"/>
  <c r="Y2842" i="4"/>
  <c r="M2874" i="4"/>
  <c r="N2874" i="4" s="1"/>
  <c r="H2874" i="4"/>
  <c r="Y2874" i="4"/>
  <c r="H2906" i="4"/>
  <c r="M2906" i="4"/>
  <c r="N2906" i="4" s="1"/>
  <c r="Y2906" i="4"/>
  <c r="M2938" i="4"/>
  <c r="N2938" i="4" s="1"/>
  <c r="H2938" i="4"/>
  <c r="Y2938" i="4"/>
  <c r="H2970" i="4"/>
  <c r="M2970" i="4"/>
  <c r="N2970" i="4" s="1"/>
  <c r="Y2970" i="4"/>
  <c r="M3002" i="4"/>
  <c r="N3002" i="4" s="1"/>
  <c r="H3002" i="4"/>
  <c r="Y3002" i="4"/>
  <c r="H3034" i="4"/>
  <c r="M3034" i="4"/>
  <c r="N3034" i="4" s="1"/>
  <c r="Y3034" i="4"/>
  <c r="M3066" i="4"/>
  <c r="N3066" i="4" s="1"/>
  <c r="H3066" i="4"/>
  <c r="Y3066" i="4"/>
  <c r="H3098" i="4"/>
  <c r="M3098" i="4"/>
  <c r="N3098" i="4" s="1"/>
  <c r="Y3098" i="4"/>
  <c r="M3130" i="4"/>
  <c r="N3130" i="4" s="1"/>
  <c r="H3130" i="4"/>
  <c r="Y3130" i="4"/>
  <c r="H3162" i="4"/>
  <c r="M3162" i="4"/>
  <c r="N3162" i="4" s="1"/>
  <c r="Y3162" i="4"/>
  <c r="M3194" i="4"/>
  <c r="N3194" i="4" s="1"/>
  <c r="H3194" i="4"/>
  <c r="Y3194" i="4"/>
  <c r="H3226" i="4"/>
  <c r="M3226" i="4"/>
  <c r="N3226" i="4" s="1"/>
  <c r="Y3226" i="4"/>
  <c r="Y2583" i="4"/>
  <c r="M2583" i="4"/>
  <c r="N2583" i="4" s="1"/>
  <c r="H2583" i="4"/>
  <c r="Y2647" i="4"/>
  <c r="M2647" i="4"/>
  <c r="N2647" i="4" s="1"/>
  <c r="H2647" i="4"/>
  <c r="Y2711" i="4"/>
  <c r="M2711" i="4"/>
  <c r="N2711" i="4" s="1"/>
  <c r="H2711" i="4"/>
  <c r="H2594" i="4"/>
  <c r="M2594" i="4"/>
  <c r="N2594" i="4" s="1"/>
  <c r="Y2594" i="4"/>
  <c r="H2658" i="4"/>
  <c r="M2658" i="4"/>
  <c r="N2658" i="4" s="1"/>
  <c r="Y2658" i="4"/>
  <c r="H2722" i="4"/>
  <c r="M2722" i="4"/>
  <c r="N2722" i="4" s="1"/>
  <c r="Y2722" i="4"/>
  <c r="Y3679" i="4"/>
  <c r="M3679" i="4"/>
  <c r="N3679" i="4" s="1"/>
  <c r="H3679" i="4"/>
  <c r="H2887" i="4"/>
  <c r="Y2887" i="4"/>
  <c r="M2887" i="4"/>
  <c r="N2887" i="4" s="1"/>
  <c r="H3047" i="4"/>
  <c r="Y3047" i="4"/>
  <c r="M3047" i="4"/>
  <c r="N3047" i="4" s="1"/>
  <c r="H3207" i="4"/>
  <c r="Y3207" i="4"/>
  <c r="M3207" i="4"/>
  <c r="N3207" i="4" s="1"/>
  <c r="Y2758" i="4"/>
  <c r="H2758" i="4"/>
  <c r="M2758" i="4"/>
  <c r="N2758" i="4" s="1"/>
  <c r="Y2918" i="4"/>
  <c r="H2918" i="4"/>
  <c r="M2918" i="4"/>
  <c r="N2918" i="4" s="1"/>
  <c r="Y3110" i="4"/>
  <c r="H3110" i="4"/>
  <c r="M3110" i="4"/>
  <c r="N3110" i="4" s="1"/>
  <c r="Y3330" i="4"/>
  <c r="M3330" i="4"/>
  <c r="N3330" i="4" s="1"/>
  <c r="H3330" i="4"/>
  <c r="Y3674" i="4"/>
  <c r="H3674" i="4"/>
  <c r="M3674" i="4"/>
  <c r="N3674" i="4" s="1"/>
  <c r="Y4074" i="4"/>
  <c r="H4074" i="4"/>
  <c r="M4074" i="4"/>
  <c r="N4074" i="4" s="1"/>
  <c r="Y3362" i="4"/>
  <c r="M3362" i="4"/>
  <c r="N3362" i="4" s="1"/>
  <c r="H3362" i="4"/>
  <c r="Y3490" i="4"/>
  <c r="H3490" i="4"/>
  <c r="M3490" i="4"/>
  <c r="N3490" i="4" s="1"/>
  <c r="Y3618" i="4"/>
  <c r="M3618" i="4"/>
  <c r="N3618" i="4" s="1"/>
  <c r="H3618" i="4"/>
  <c r="M3397" i="4"/>
  <c r="N3397" i="4" s="1"/>
  <c r="Y3397" i="4"/>
  <c r="H3397" i="4"/>
  <c r="Y3653" i="4"/>
  <c r="M3653" i="4"/>
  <c r="N3653" i="4" s="1"/>
  <c r="H3653" i="4"/>
  <c r="M3960" i="4"/>
  <c r="N3960" i="4" s="1"/>
  <c r="H3960" i="4"/>
  <c r="Y3960" i="4"/>
  <c r="H2855" i="4"/>
  <c r="Y2855" i="4"/>
  <c r="M2855" i="4"/>
  <c r="N2855" i="4" s="1"/>
  <c r="H2983" i="4"/>
  <c r="Y2983" i="4"/>
  <c r="M2983" i="4"/>
  <c r="N2983" i="4" s="1"/>
  <c r="H3111" i="4"/>
  <c r="Y3111" i="4"/>
  <c r="M3111" i="4"/>
  <c r="N3111" i="4" s="1"/>
  <c r="H3239" i="4"/>
  <c r="Y3239" i="4"/>
  <c r="M3239" i="4"/>
  <c r="N3239" i="4" s="1"/>
  <c r="Y2822" i="4"/>
  <c r="H2822" i="4"/>
  <c r="M2822" i="4"/>
  <c r="N2822" i="4" s="1"/>
  <c r="Y2950" i="4"/>
  <c r="H2950" i="4"/>
  <c r="M2950" i="4"/>
  <c r="N2950" i="4" s="1"/>
  <c r="Y3078" i="4"/>
  <c r="H3078" i="4"/>
  <c r="M3078" i="4"/>
  <c r="N3078" i="4" s="1"/>
  <c r="Y3206" i="4"/>
  <c r="H3206" i="4"/>
  <c r="M3206" i="4"/>
  <c r="N3206" i="4" s="1"/>
  <c r="Y3266" i="4"/>
  <c r="H3266" i="4"/>
  <c r="M3266" i="4"/>
  <c r="N3266" i="4" s="1"/>
  <c r="Y3394" i="4"/>
  <c r="H3394" i="4"/>
  <c r="M3394" i="4"/>
  <c r="N3394" i="4" s="1"/>
  <c r="Y3522" i="4"/>
  <c r="H3522" i="4"/>
  <c r="M3522" i="4"/>
  <c r="N3522" i="4" s="1"/>
  <c r="H3650" i="4"/>
  <c r="Y3650" i="4"/>
  <c r="M3650" i="4"/>
  <c r="N3650" i="4" s="1"/>
  <c r="M3461" i="4"/>
  <c r="N3461" i="4" s="1"/>
  <c r="Y3461" i="4"/>
  <c r="H3461" i="4"/>
  <c r="Y4009" i="4"/>
  <c r="H4009" i="4"/>
  <c r="M4009" i="4"/>
  <c r="N4009" i="4" s="1"/>
  <c r="Y3855" i="4"/>
  <c r="H3855" i="4"/>
  <c r="M3855" i="4"/>
  <c r="N3855" i="4" s="1"/>
  <c r="Y3921" i="4"/>
  <c r="H3921" i="4"/>
  <c r="M3921" i="4"/>
  <c r="N3921" i="4" s="1"/>
  <c r="Y3298" i="4"/>
  <c r="M3298" i="4"/>
  <c r="N3298" i="4" s="1"/>
  <c r="H3298" i="4"/>
  <c r="Y3426" i="4"/>
  <c r="H3426" i="4"/>
  <c r="M3426" i="4"/>
  <c r="N3426" i="4" s="1"/>
  <c r="Y3554" i="4"/>
  <c r="H3554" i="4"/>
  <c r="M3554" i="4"/>
  <c r="N3554" i="4" s="1"/>
  <c r="M3269" i="4"/>
  <c r="N3269" i="4" s="1"/>
  <c r="H3269" i="4"/>
  <c r="Y3269" i="4"/>
  <c r="M3525" i="4"/>
  <c r="N3525" i="4" s="1"/>
  <c r="H3525" i="4"/>
  <c r="Y3525" i="4"/>
  <c r="Y2559" i="4"/>
  <c r="H2559" i="4"/>
  <c r="M2559" i="4"/>
  <c r="N2559" i="4" s="1"/>
  <c r="H2591" i="4"/>
  <c r="Y2591" i="4"/>
  <c r="M2591" i="4"/>
  <c r="N2591" i="4" s="1"/>
  <c r="H2623" i="4"/>
  <c r="Y2623" i="4"/>
  <c r="M2623" i="4"/>
  <c r="N2623" i="4" s="1"/>
  <c r="H2655" i="4"/>
  <c r="Y2655" i="4"/>
  <c r="M2655" i="4"/>
  <c r="N2655" i="4" s="1"/>
  <c r="H2687" i="4"/>
  <c r="Y2687" i="4"/>
  <c r="M2687" i="4"/>
  <c r="N2687" i="4" s="1"/>
  <c r="H2719" i="4"/>
  <c r="Y2719" i="4"/>
  <c r="M2719" i="4"/>
  <c r="N2719" i="4" s="1"/>
  <c r="H2570" i="4"/>
  <c r="Y2570" i="4"/>
  <c r="M2570" i="4"/>
  <c r="N2570" i="4" s="1"/>
  <c r="M2602" i="4"/>
  <c r="N2602" i="4" s="1"/>
  <c r="Y2602" i="4"/>
  <c r="H2602" i="4"/>
  <c r="M2634" i="4"/>
  <c r="N2634" i="4" s="1"/>
  <c r="Y2634" i="4"/>
  <c r="H2634" i="4"/>
  <c r="M2666" i="4"/>
  <c r="N2666" i="4" s="1"/>
  <c r="Y2666" i="4"/>
  <c r="H2666" i="4"/>
  <c r="M2698" i="4"/>
  <c r="N2698" i="4" s="1"/>
  <c r="Y2698" i="4"/>
  <c r="H2698" i="4"/>
  <c r="M2730" i="4"/>
  <c r="N2730" i="4" s="1"/>
  <c r="Y2730" i="4"/>
  <c r="H2730" i="4"/>
  <c r="H2767" i="4"/>
  <c r="Y2767" i="4"/>
  <c r="M2767" i="4"/>
  <c r="N2767" i="4" s="1"/>
  <c r="H2799" i="4"/>
  <c r="Y2799" i="4"/>
  <c r="M2799" i="4"/>
  <c r="N2799" i="4" s="1"/>
  <c r="H2831" i="4"/>
  <c r="Y2831" i="4"/>
  <c r="M2831" i="4"/>
  <c r="N2831" i="4" s="1"/>
  <c r="H2863" i="4"/>
  <c r="Y2863" i="4"/>
  <c r="M2863" i="4"/>
  <c r="N2863" i="4" s="1"/>
  <c r="H2895" i="4"/>
  <c r="Y2895" i="4"/>
  <c r="M2895" i="4"/>
  <c r="N2895" i="4" s="1"/>
  <c r="H2927" i="4"/>
  <c r="Y2927" i="4"/>
  <c r="M2927" i="4"/>
  <c r="N2927" i="4" s="1"/>
  <c r="H2959" i="4"/>
  <c r="Y2959" i="4"/>
  <c r="M2959" i="4"/>
  <c r="N2959" i="4" s="1"/>
  <c r="H2991" i="4"/>
  <c r="Y2991" i="4"/>
  <c r="M2991" i="4"/>
  <c r="N2991" i="4" s="1"/>
  <c r="H3023" i="4"/>
  <c r="Y3023" i="4"/>
  <c r="M3023" i="4"/>
  <c r="N3023" i="4" s="1"/>
  <c r="H3055" i="4"/>
  <c r="Y3055" i="4"/>
  <c r="M3055" i="4"/>
  <c r="N3055" i="4" s="1"/>
  <c r="H3087" i="4"/>
  <c r="Y3087" i="4"/>
  <c r="M3087" i="4"/>
  <c r="N3087" i="4" s="1"/>
  <c r="H3119" i="4"/>
  <c r="Y3119" i="4"/>
  <c r="M3119" i="4"/>
  <c r="N3119" i="4" s="1"/>
  <c r="H3151" i="4"/>
  <c r="Y3151" i="4"/>
  <c r="M3151" i="4"/>
  <c r="N3151" i="4" s="1"/>
  <c r="H3183" i="4"/>
  <c r="Y3183" i="4"/>
  <c r="M3183" i="4"/>
  <c r="N3183" i="4" s="1"/>
  <c r="H3215" i="4"/>
  <c r="Y3215" i="4"/>
  <c r="M3215" i="4"/>
  <c r="N3215" i="4" s="1"/>
  <c r="H2766" i="4"/>
  <c r="M2766" i="4"/>
  <c r="N2766" i="4" s="1"/>
  <c r="Y2766" i="4"/>
  <c r="H2798" i="4"/>
  <c r="M2798" i="4"/>
  <c r="N2798" i="4" s="1"/>
  <c r="Y2798" i="4"/>
  <c r="H2830" i="4"/>
  <c r="M2830" i="4"/>
  <c r="N2830" i="4" s="1"/>
  <c r="Y2830" i="4"/>
  <c r="H2862" i="4"/>
  <c r="M2862" i="4"/>
  <c r="N2862" i="4" s="1"/>
  <c r="Y2862" i="4"/>
  <c r="H2894" i="4"/>
  <c r="M2894" i="4"/>
  <c r="N2894" i="4" s="1"/>
  <c r="Y2894" i="4"/>
  <c r="H2926" i="4"/>
  <c r="M2926" i="4"/>
  <c r="N2926" i="4" s="1"/>
  <c r="Y2926" i="4"/>
  <c r="H2958" i="4"/>
  <c r="M2958" i="4"/>
  <c r="N2958" i="4" s="1"/>
  <c r="Y2958" i="4"/>
  <c r="H2990" i="4"/>
  <c r="M2990" i="4"/>
  <c r="N2990" i="4" s="1"/>
  <c r="Y2990" i="4"/>
  <c r="H3022" i="4"/>
  <c r="M3022" i="4"/>
  <c r="N3022" i="4" s="1"/>
  <c r="Y3022" i="4"/>
  <c r="M3054" i="4"/>
  <c r="N3054" i="4" s="1"/>
  <c r="H3054" i="4"/>
  <c r="Y3054" i="4"/>
  <c r="H3086" i="4"/>
  <c r="M3086" i="4"/>
  <c r="N3086" i="4" s="1"/>
  <c r="Y3086" i="4"/>
  <c r="H3118" i="4"/>
  <c r="M3118" i="4"/>
  <c r="N3118" i="4" s="1"/>
  <c r="Y3118" i="4"/>
  <c r="H3150" i="4"/>
  <c r="M3150" i="4"/>
  <c r="N3150" i="4" s="1"/>
  <c r="Y3150" i="4"/>
  <c r="H3182" i="4"/>
  <c r="M3182" i="4"/>
  <c r="N3182" i="4" s="1"/>
  <c r="Y3182" i="4"/>
  <c r="H3214" i="4"/>
  <c r="M3214" i="4"/>
  <c r="N3214" i="4" s="1"/>
  <c r="Y3214" i="4"/>
  <c r="Y3242" i="4"/>
  <c r="H3242" i="4"/>
  <c r="M3242" i="4"/>
  <c r="N3242" i="4" s="1"/>
  <c r="Y3274" i="4"/>
  <c r="M3274" i="4"/>
  <c r="N3274" i="4" s="1"/>
  <c r="H3274" i="4"/>
  <c r="M3306" i="4"/>
  <c r="N3306" i="4" s="1"/>
  <c r="H3306" i="4"/>
  <c r="Y3306" i="4"/>
  <c r="Y3338" i="4"/>
  <c r="M3338" i="4"/>
  <c r="N3338" i="4" s="1"/>
  <c r="H3338" i="4"/>
  <c r="Y3370" i="4"/>
  <c r="M3370" i="4"/>
  <c r="N3370" i="4" s="1"/>
  <c r="H3370" i="4"/>
  <c r="Y3402" i="4"/>
  <c r="H3402" i="4"/>
  <c r="M3402" i="4"/>
  <c r="N3402" i="4" s="1"/>
  <c r="Y3434" i="4"/>
  <c r="H3434" i="4"/>
  <c r="M3434" i="4"/>
  <c r="N3434" i="4" s="1"/>
  <c r="Y3466" i="4"/>
  <c r="H3466" i="4"/>
  <c r="M3466" i="4"/>
  <c r="N3466" i="4" s="1"/>
  <c r="Y3498" i="4"/>
  <c r="H3498" i="4"/>
  <c r="M3498" i="4"/>
  <c r="N3498" i="4" s="1"/>
  <c r="Y3530" i="4"/>
  <c r="H3530" i="4"/>
  <c r="M3530" i="4"/>
  <c r="N3530" i="4" s="1"/>
  <c r="Y3562" i="4"/>
  <c r="H3562" i="4"/>
  <c r="M3562" i="4"/>
  <c r="N3562" i="4" s="1"/>
  <c r="Y3594" i="4"/>
  <c r="H3594" i="4"/>
  <c r="M3594" i="4"/>
  <c r="N3594" i="4" s="1"/>
  <c r="Y3626" i="4"/>
  <c r="H3626" i="4"/>
  <c r="M3626" i="4"/>
  <c r="N3626" i="4" s="1"/>
  <c r="Y3658" i="4"/>
  <c r="M3658" i="4"/>
  <c r="N3658" i="4" s="1"/>
  <c r="H3658" i="4"/>
  <c r="Y3285" i="4"/>
  <c r="M3285" i="4"/>
  <c r="N3285" i="4" s="1"/>
  <c r="H3285" i="4"/>
  <c r="Y3349" i="4"/>
  <c r="M3349" i="4"/>
  <c r="N3349" i="4" s="1"/>
  <c r="H3349" i="4"/>
  <c r="Y3413" i="4"/>
  <c r="M3413" i="4"/>
  <c r="N3413" i="4" s="1"/>
  <c r="H3413" i="4"/>
  <c r="H3477" i="4"/>
  <c r="Y3477" i="4"/>
  <c r="M3477" i="4"/>
  <c r="N3477" i="4" s="1"/>
  <c r="H3541" i="4"/>
  <c r="M3541" i="4"/>
  <c r="N3541" i="4" s="1"/>
  <c r="Y3541" i="4"/>
  <c r="M3605" i="4"/>
  <c r="N3605" i="4" s="1"/>
  <c r="Y3605" i="4"/>
  <c r="H3605" i="4"/>
  <c r="M3669" i="4"/>
  <c r="N3669" i="4" s="1"/>
  <c r="Y3669" i="4"/>
  <c r="H3669" i="4"/>
  <c r="H3694" i="4"/>
  <c r="Y3694" i="4"/>
  <c r="M3694" i="4"/>
  <c r="N3694" i="4" s="1"/>
  <c r="H3822" i="4"/>
  <c r="Y3822" i="4"/>
  <c r="M3822" i="4"/>
  <c r="N3822" i="4" s="1"/>
  <c r="H4062" i="4"/>
  <c r="Y4062" i="4"/>
  <c r="M4062" i="4"/>
  <c r="N4062" i="4" s="1"/>
  <c r="Y4007" i="4"/>
  <c r="M4007" i="4"/>
  <c r="N4007" i="4" s="1"/>
  <c r="H4007" i="4"/>
  <c r="Y4059" i="4"/>
  <c r="M4059" i="4"/>
  <c r="N4059" i="4" s="1"/>
  <c r="H4059" i="4"/>
  <c r="Y2775" i="4"/>
  <c r="M2775" i="4"/>
  <c r="N2775" i="4" s="1"/>
  <c r="H2775" i="4"/>
  <c r="Y2807" i="4"/>
  <c r="M2807" i="4"/>
  <c r="N2807" i="4" s="1"/>
  <c r="H2807" i="4"/>
  <c r="Y2839" i="4"/>
  <c r="M2839" i="4"/>
  <c r="N2839" i="4" s="1"/>
  <c r="H2839" i="4"/>
  <c r="Y2871" i="4"/>
  <c r="M2871" i="4"/>
  <c r="N2871" i="4" s="1"/>
  <c r="H2871" i="4"/>
  <c r="Y2903" i="4"/>
  <c r="M2903" i="4"/>
  <c r="N2903" i="4" s="1"/>
  <c r="H2903" i="4"/>
  <c r="Y2935" i="4"/>
  <c r="M2935" i="4"/>
  <c r="N2935" i="4" s="1"/>
  <c r="H2935" i="4"/>
  <c r="Y2967" i="4"/>
  <c r="M2967" i="4"/>
  <c r="N2967" i="4" s="1"/>
  <c r="H2967" i="4"/>
  <c r="Y2999" i="4"/>
  <c r="M2999" i="4"/>
  <c r="N2999" i="4" s="1"/>
  <c r="H2999" i="4"/>
  <c r="Y3031" i="4"/>
  <c r="M3031" i="4"/>
  <c r="N3031" i="4" s="1"/>
  <c r="H3031" i="4"/>
  <c r="Y3063" i="4"/>
  <c r="M3063" i="4"/>
  <c r="N3063" i="4" s="1"/>
  <c r="H3063" i="4"/>
  <c r="Y3095" i="4"/>
  <c r="M3095" i="4"/>
  <c r="N3095" i="4" s="1"/>
  <c r="H3095" i="4"/>
  <c r="Y3127" i="4"/>
  <c r="M3127" i="4"/>
  <c r="N3127" i="4" s="1"/>
  <c r="H3127" i="4"/>
  <c r="Y3159" i="4"/>
  <c r="M3159" i="4"/>
  <c r="N3159" i="4" s="1"/>
  <c r="H3159" i="4"/>
  <c r="Y3191" i="4"/>
  <c r="M3191" i="4"/>
  <c r="N3191" i="4" s="1"/>
  <c r="H3191" i="4"/>
  <c r="Y3223" i="4"/>
  <c r="M3223" i="4"/>
  <c r="N3223" i="4" s="1"/>
  <c r="H3223" i="4"/>
  <c r="M2747" i="4"/>
  <c r="N2747" i="4" s="1"/>
  <c r="H2747" i="4"/>
  <c r="Y2747" i="4"/>
  <c r="M2774" i="4"/>
  <c r="N2774" i="4" s="1"/>
  <c r="Y2774" i="4"/>
  <c r="H2774" i="4"/>
  <c r="M2806" i="4"/>
  <c r="N2806" i="4" s="1"/>
  <c r="Y2806" i="4"/>
  <c r="H2806" i="4"/>
  <c r="M2838" i="4"/>
  <c r="N2838" i="4" s="1"/>
  <c r="Y2838" i="4"/>
  <c r="H2838" i="4"/>
  <c r="M2870" i="4"/>
  <c r="N2870" i="4" s="1"/>
  <c r="Y2870" i="4"/>
  <c r="H2870" i="4"/>
  <c r="M2902" i="4"/>
  <c r="N2902" i="4" s="1"/>
  <c r="Y2902" i="4"/>
  <c r="H2902" i="4"/>
  <c r="M2934" i="4"/>
  <c r="N2934" i="4" s="1"/>
  <c r="Y2934" i="4"/>
  <c r="H2934" i="4"/>
  <c r="M2966" i="4"/>
  <c r="N2966" i="4" s="1"/>
  <c r="Y2966" i="4"/>
  <c r="H2966" i="4"/>
  <c r="M2998" i="4"/>
  <c r="N2998" i="4" s="1"/>
  <c r="Y2998" i="4"/>
  <c r="H2998" i="4"/>
  <c r="M3030" i="4"/>
  <c r="N3030" i="4" s="1"/>
  <c r="Y3030" i="4"/>
  <c r="H3030" i="4"/>
  <c r="H3062" i="4"/>
  <c r="Y3062" i="4"/>
  <c r="M3062" i="4"/>
  <c r="N3062" i="4" s="1"/>
  <c r="M3094" i="4"/>
  <c r="N3094" i="4" s="1"/>
  <c r="Y3094" i="4"/>
  <c r="H3094" i="4"/>
  <c r="M3126" i="4"/>
  <c r="N3126" i="4" s="1"/>
  <c r="Y3126" i="4"/>
  <c r="H3126" i="4"/>
  <c r="M3158" i="4"/>
  <c r="N3158" i="4" s="1"/>
  <c r="Y3158" i="4"/>
  <c r="H3158" i="4"/>
  <c r="M3190" i="4"/>
  <c r="N3190" i="4" s="1"/>
  <c r="Y3190" i="4"/>
  <c r="H3190" i="4"/>
  <c r="M3222" i="4"/>
  <c r="N3222" i="4" s="1"/>
  <c r="Y3222" i="4"/>
  <c r="H3222" i="4"/>
  <c r="M3676" i="4"/>
  <c r="N3676" i="4" s="1"/>
  <c r="H3676" i="4"/>
  <c r="Y3676" i="4"/>
  <c r="H3895" i="4"/>
  <c r="Y3895" i="4"/>
  <c r="M3895" i="4"/>
  <c r="N3895" i="4" s="1"/>
  <c r="Y3250" i="4"/>
  <c r="M3250" i="4"/>
  <c r="N3250" i="4" s="1"/>
  <c r="H3250" i="4"/>
  <c r="Y3282" i="4"/>
  <c r="M3282" i="4"/>
  <c r="N3282" i="4" s="1"/>
  <c r="H3282" i="4"/>
  <c r="Y3314" i="4"/>
  <c r="M3314" i="4"/>
  <c r="N3314" i="4" s="1"/>
  <c r="H3314" i="4"/>
  <c r="Y3346" i="4"/>
  <c r="M3346" i="4"/>
  <c r="N3346" i="4" s="1"/>
  <c r="H3346" i="4"/>
  <c r="Y3378" i="4"/>
  <c r="M3378" i="4"/>
  <c r="N3378" i="4" s="1"/>
  <c r="H3378" i="4"/>
  <c r="Y3410" i="4"/>
  <c r="H3410" i="4"/>
  <c r="M3410" i="4"/>
  <c r="N3410" i="4" s="1"/>
  <c r="Y3442" i="4"/>
  <c r="H3442" i="4"/>
  <c r="M3442" i="4"/>
  <c r="N3442" i="4" s="1"/>
  <c r="Y3474" i="4"/>
  <c r="H3474" i="4"/>
  <c r="M3474" i="4"/>
  <c r="N3474" i="4" s="1"/>
  <c r="Y3506" i="4"/>
  <c r="H3506" i="4"/>
  <c r="M3506" i="4"/>
  <c r="N3506" i="4" s="1"/>
  <c r="Y3538" i="4"/>
  <c r="H3538" i="4"/>
  <c r="M3538" i="4"/>
  <c r="N3538" i="4" s="1"/>
  <c r="H3570" i="4"/>
  <c r="Y3570" i="4"/>
  <c r="M3570" i="4"/>
  <c r="N3570" i="4" s="1"/>
  <c r="Y3602" i="4"/>
  <c r="H3602" i="4"/>
  <c r="M3602" i="4"/>
  <c r="N3602" i="4" s="1"/>
  <c r="H3634" i="4"/>
  <c r="Y3634" i="4"/>
  <c r="M3634" i="4"/>
  <c r="N3634" i="4" s="1"/>
  <c r="Y3666" i="4"/>
  <c r="H3666" i="4"/>
  <c r="M3666" i="4"/>
  <c r="N3666" i="4" s="1"/>
  <c r="H4098" i="4"/>
  <c r="M4098" i="4"/>
  <c r="N4098" i="4" s="1"/>
  <c r="Y4098" i="4"/>
  <c r="Y3301" i="4"/>
  <c r="M3301" i="4"/>
  <c r="N3301" i="4" s="1"/>
  <c r="H3301" i="4"/>
  <c r="Y3365" i="4"/>
  <c r="H3365" i="4"/>
  <c r="M3365" i="4"/>
  <c r="N3365" i="4" s="1"/>
  <c r="M3429" i="4"/>
  <c r="N3429" i="4" s="1"/>
  <c r="H3429" i="4"/>
  <c r="Y3429" i="4"/>
  <c r="M3493" i="4"/>
  <c r="N3493" i="4" s="1"/>
  <c r="H3493" i="4"/>
  <c r="Y3493" i="4"/>
  <c r="M3557" i="4"/>
  <c r="N3557" i="4" s="1"/>
  <c r="H3557" i="4"/>
  <c r="Y3557" i="4"/>
  <c r="Y3621" i="4"/>
  <c r="H3621" i="4"/>
  <c r="M3621" i="4"/>
  <c r="N3621" i="4" s="1"/>
  <c r="H3726" i="4"/>
  <c r="Y3726" i="4"/>
  <c r="M3726" i="4"/>
  <c r="N3726" i="4" s="1"/>
  <c r="H3854" i="4"/>
  <c r="Y3854" i="4"/>
  <c r="M3854" i="4"/>
  <c r="N3854" i="4" s="1"/>
  <c r="Y3727" i="4"/>
  <c r="M3727" i="4"/>
  <c r="N3727" i="4" s="1"/>
  <c r="H3727" i="4"/>
  <c r="Y4111" i="4"/>
  <c r="M4111" i="4"/>
  <c r="N4111" i="4" s="1"/>
  <c r="H4111" i="4"/>
  <c r="M2575" i="4"/>
  <c r="N2575" i="4" s="1"/>
  <c r="Y2575" i="4"/>
  <c r="H2575" i="4"/>
  <c r="H2607" i="4"/>
  <c r="Y2607" i="4"/>
  <c r="M2607" i="4"/>
  <c r="N2607" i="4" s="1"/>
  <c r="H2639" i="4"/>
  <c r="Y2639" i="4"/>
  <c r="M2639" i="4"/>
  <c r="N2639" i="4" s="1"/>
  <c r="H2671" i="4"/>
  <c r="Y2671" i="4"/>
  <c r="M2671" i="4"/>
  <c r="N2671" i="4" s="1"/>
  <c r="H2703" i="4"/>
  <c r="Y2703" i="4"/>
  <c r="M2703" i="4"/>
  <c r="N2703" i="4" s="1"/>
  <c r="H2735" i="4"/>
  <c r="Y2735" i="4"/>
  <c r="M2735" i="4"/>
  <c r="N2735" i="4" s="1"/>
  <c r="Y2746" i="4"/>
  <c r="M2746" i="4"/>
  <c r="N2746" i="4" s="1"/>
  <c r="H2746" i="4"/>
  <c r="H3678" i="4"/>
  <c r="Y3678" i="4"/>
  <c r="M3678" i="4"/>
  <c r="N3678" i="4" s="1"/>
  <c r="M2554" i="4"/>
  <c r="N2554" i="4" s="1"/>
  <c r="H2554" i="4"/>
  <c r="Y2554" i="4"/>
  <c r="Y2586" i="4"/>
  <c r="H2586" i="4"/>
  <c r="M2586" i="4"/>
  <c r="N2586" i="4" s="1"/>
  <c r="Y2618" i="4"/>
  <c r="H2618" i="4"/>
  <c r="M2618" i="4"/>
  <c r="N2618" i="4" s="1"/>
  <c r="Y2650" i="4"/>
  <c r="H2650" i="4"/>
  <c r="M2650" i="4"/>
  <c r="N2650" i="4" s="1"/>
  <c r="Y2682" i="4"/>
  <c r="H2682" i="4"/>
  <c r="M2682" i="4"/>
  <c r="N2682" i="4" s="1"/>
  <c r="Y2714" i="4"/>
  <c r="H2714" i="4"/>
  <c r="M2714" i="4"/>
  <c r="N2714" i="4" s="1"/>
  <c r="H2783" i="4"/>
  <c r="Y2783" i="4"/>
  <c r="M2783" i="4"/>
  <c r="N2783" i="4" s="1"/>
  <c r="H2815" i="4"/>
  <c r="Y2815" i="4"/>
  <c r="M2815" i="4"/>
  <c r="N2815" i="4" s="1"/>
  <c r="H2847" i="4"/>
  <c r="Y2847" i="4"/>
  <c r="M2847" i="4"/>
  <c r="N2847" i="4" s="1"/>
  <c r="H2879" i="4"/>
  <c r="Y2879" i="4"/>
  <c r="M2879" i="4"/>
  <c r="N2879" i="4" s="1"/>
  <c r="H2911" i="4"/>
  <c r="Y2911" i="4"/>
  <c r="M2911" i="4"/>
  <c r="N2911" i="4" s="1"/>
  <c r="H2943" i="4"/>
  <c r="Y2943" i="4"/>
  <c r="M2943" i="4"/>
  <c r="N2943" i="4" s="1"/>
  <c r="H2975" i="4"/>
  <c r="Y2975" i="4"/>
  <c r="M2975" i="4"/>
  <c r="N2975" i="4" s="1"/>
  <c r="H3007" i="4"/>
  <c r="Y3007" i="4"/>
  <c r="M3007" i="4"/>
  <c r="N3007" i="4" s="1"/>
  <c r="H3039" i="4"/>
  <c r="Y3039" i="4"/>
  <c r="M3039" i="4"/>
  <c r="N3039" i="4" s="1"/>
  <c r="H3071" i="4"/>
  <c r="Y3071" i="4"/>
  <c r="M3071" i="4"/>
  <c r="N3071" i="4" s="1"/>
  <c r="H3103" i="4"/>
  <c r="Y3103" i="4"/>
  <c r="M3103" i="4"/>
  <c r="N3103" i="4" s="1"/>
  <c r="H3135" i="4"/>
  <c r="Y3135" i="4"/>
  <c r="M3135" i="4"/>
  <c r="N3135" i="4" s="1"/>
  <c r="H3167" i="4"/>
  <c r="Y3167" i="4"/>
  <c r="M3167" i="4"/>
  <c r="N3167" i="4" s="1"/>
  <c r="H3199" i="4"/>
  <c r="Y3199" i="4"/>
  <c r="M3199" i="4"/>
  <c r="N3199" i="4" s="1"/>
  <c r="H3231" i="4"/>
  <c r="Y3231" i="4"/>
  <c r="M3231" i="4"/>
  <c r="N3231" i="4" s="1"/>
  <c r="H2751" i="4"/>
  <c r="Y2751" i="4"/>
  <c r="M2751" i="4"/>
  <c r="N2751" i="4" s="1"/>
  <c r="Y2782" i="4"/>
  <c r="H2782" i="4"/>
  <c r="M2782" i="4"/>
  <c r="N2782" i="4" s="1"/>
  <c r="Y2814" i="4"/>
  <c r="H2814" i="4"/>
  <c r="M2814" i="4"/>
  <c r="N2814" i="4" s="1"/>
  <c r="Y2846" i="4"/>
  <c r="H2846" i="4"/>
  <c r="M2846" i="4"/>
  <c r="N2846" i="4" s="1"/>
  <c r="Y2878" i="4"/>
  <c r="H2878" i="4"/>
  <c r="M2878" i="4"/>
  <c r="N2878" i="4" s="1"/>
  <c r="Y2910" i="4"/>
  <c r="H2910" i="4"/>
  <c r="M2910" i="4"/>
  <c r="N2910" i="4" s="1"/>
  <c r="Y2942" i="4"/>
  <c r="H2942" i="4"/>
  <c r="M2942" i="4"/>
  <c r="N2942" i="4" s="1"/>
  <c r="Y2974" i="4"/>
  <c r="H2974" i="4"/>
  <c r="M2974" i="4"/>
  <c r="N2974" i="4" s="1"/>
  <c r="Y3006" i="4"/>
  <c r="H3006" i="4"/>
  <c r="M3006" i="4"/>
  <c r="N3006" i="4" s="1"/>
  <c r="Y3038" i="4"/>
  <c r="M3038" i="4"/>
  <c r="N3038" i="4" s="1"/>
  <c r="H3038" i="4"/>
  <c r="Y3070" i="4"/>
  <c r="H3070" i="4"/>
  <c r="M3070" i="4"/>
  <c r="N3070" i="4" s="1"/>
  <c r="Y3102" i="4"/>
  <c r="H3102" i="4"/>
  <c r="M3102" i="4"/>
  <c r="N3102" i="4" s="1"/>
  <c r="Y3134" i="4"/>
  <c r="H3134" i="4"/>
  <c r="M3134" i="4"/>
  <c r="N3134" i="4" s="1"/>
  <c r="Y3166" i="4"/>
  <c r="H3166" i="4"/>
  <c r="M3166" i="4"/>
  <c r="N3166" i="4" s="1"/>
  <c r="Y3198" i="4"/>
  <c r="H3198" i="4"/>
  <c r="M3198" i="4"/>
  <c r="N3198" i="4" s="1"/>
  <c r="Y3230" i="4"/>
  <c r="H3230" i="4"/>
  <c r="M3230" i="4"/>
  <c r="N3230" i="4" s="1"/>
  <c r="H3677" i="4"/>
  <c r="Y3677" i="4"/>
  <c r="M3677" i="4"/>
  <c r="N3677" i="4" s="1"/>
  <c r="Y4010" i="4"/>
  <c r="H4010" i="4"/>
  <c r="M4010" i="4"/>
  <c r="N4010" i="4" s="1"/>
  <c r="Y3258" i="4"/>
  <c r="H3258" i="4"/>
  <c r="M3258" i="4"/>
  <c r="N3258" i="4" s="1"/>
  <c r="Y3290" i="4"/>
  <c r="M3290" i="4"/>
  <c r="N3290" i="4" s="1"/>
  <c r="H3290" i="4"/>
  <c r="M3322" i="4"/>
  <c r="N3322" i="4" s="1"/>
  <c r="H3322" i="4"/>
  <c r="Y3322" i="4"/>
  <c r="M3354" i="4"/>
  <c r="N3354" i="4" s="1"/>
  <c r="H3354" i="4"/>
  <c r="Y3354" i="4"/>
  <c r="Y3386" i="4"/>
  <c r="M3386" i="4"/>
  <c r="N3386" i="4" s="1"/>
  <c r="H3386" i="4"/>
  <c r="Y3418" i="4"/>
  <c r="H3418" i="4"/>
  <c r="M3418" i="4"/>
  <c r="N3418" i="4" s="1"/>
  <c r="Y3450" i="4"/>
  <c r="H3450" i="4"/>
  <c r="M3450" i="4"/>
  <c r="N3450" i="4" s="1"/>
  <c r="Y3482" i="4"/>
  <c r="M3482" i="4"/>
  <c r="N3482" i="4" s="1"/>
  <c r="H3482" i="4"/>
  <c r="Y3514" i="4"/>
  <c r="H3514" i="4"/>
  <c r="M3514" i="4"/>
  <c r="N3514" i="4" s="1"/>
  <c r="Y3546" i="4"/>
  <c r="H3546" i="4"/>
  <c r="M3546" i="4"/>
  <c r="N3546" i="4" s="1"/>
  <c r="Y3578" i="4"/>
  <c r="H3578" i="4"/>
  <c r="M3578" i="4"/>
  <c r="N3578" i="4" s="1"/>
  <c r="H3610" i="4"/>
  <c r="Y3610" i="4"/>
  <c r="M3610" i="4"/>
  <c r="N3610" i="4" s="1"/>
  <c r="Y3642" i="4"/>
  <c r="M3642" i="4"/>
  <c r="N3642" i="4" s="1"/>
  <c r="H3642" i="4"/>
  <c r="H3253" i="4"/>
  <c r="M3253" i="4"/>
  <c r="N3253" i="4" s="1"/>
  <c r="Y3253" i="4"/>
  <c r="M3317" i="4"/>
  <c r="N3317" i="4" s="1"/>
  <c r="Y3317" i="4"/>
  <c r="H3317" i="4"/>
  <c r="Y3381" i="4"/>
  <c r="H3381" i="4"/>
  <c r="M3381" i="4"/>
  <c r="N3381" i="4" s="1"/>
  <c r="Y3445" i="4"/>
  <c r="M3445" i="4"/>
  <c r="N3445" i="4" s="1"/>
  <c r="H3445" i="4"/>
  <c r="H3509" i="4"/>
  <c r="Y3509" i="4"/>
  <c r="M3509" i="4"/>
  <c r="N3509" i="4" s="1"/>
  <c r="H3573" i="4"/>
  <c r="M3573" i="4"/>
  <c r="N3573" i="4" s="1"/>
  <c r="Y3573" i="4"/>
  <c r="M3637" i="4"/>
  <c r="N3637" i="4" s="1"/>
  <c r="H3637" i="4"/>
  <c r="Y3637" i="4"/>
  <c r="H3758" i="4"/>
  <c r="Y3758" i="4"/>
  <c r="M3758" i="4"/>
  <c r="N3758" i="4" s="1"/>
  <c r="H3886" i="4"/>
  <c r="Y3886" i="4"/>
  <c r="M3886" i="4"/>
  <c r="N3886" i="4" s="1"/>
  <c r="Y3791" i="4"/>
  <c r="M3791" i="4"/>
  <c r="N3791" i="4" s="1"/>
  <c r="H3791" i="4"/>
  <c r="H4360" i="4"/>
  <c r="Y4360" i="4"/>
  <c r="M4360" i="4"/>
  <c r="N4360" i="4" s="1"/>
  <c r="H3681" i="4"/>
  <c r="Y3681" i="4"/>
  <c r="M3681" i="4"/>
  <c r="N3681" i="4" s="1"/>
  <c r="Y4026" i="4"/>
  <c r="H4026" i="4"/>
  <c r="M4026" i="4"/>
  <c r="N4026" i="4" s="1"/>
  <c r="M4090" i="4"/>
  <c r="N4090" i="4" s="1"/>
  <c r="Y4090" i="4"/>
  <c r="H4090" i="4"/>
  <c r="Y3244" i="4"/>
  <c r="H3244" i="4"/>
  <c r="M3244" i="4"/>
  <c r="N3244" i="4" s="1"/>
  <c r="Y3252" i="4"/>
  <c r="M3252" i="4"/>
  <c r="N3252" i="4" s="1"/>
  <c r="H3252" i="4"/>
  <c r="Y3260" i="4"/>
  <c r="H3260" i="4"/>
  <c r="M3260" i="4"/>
  <c r="N3260" i="4" s="1"/>
  <c r="Y3268" i="4"/>
  <c r="H3268" i="4"/>
  <c r="M3268" i="4"/>
  <c r="N3268" i="4" s="1"/>
  <c r="H3276" i="4"/>
  <c r="Y3276" i="4"/>
  <c r="M3276" i="4"/>
  <c r="N3276" i="4" s="1"/>
  <c r="M3284" i="4"/>
  <c r="N3284" i="4" s="1"/>
  <c r="Y3284" i="4"/>
  <c r="H3284" i="4"/>
  <c r="M3292" i="4"/>
  <c r="N3292" i="4" s="1"/>
  <c r="H3292" i="4"/>
  <c r="Y3292" i="4"/>
  <c r="M3300" i="4"/>
  <c r="N3300" i="4" s="1"/>
  <c r="H3300" i="4"/>
  <c r="Y3300" i="4"/>
  <c r="Y3308" i="4"/>
  <c r="M3308" i="4"/>
  <c r="N3308" i="4" s="1"/>
  <c r="H3308" i="4"/>
  <c r="M3316" i="4"/>
  <c r="N3316" i="4" s="1"/>
  <c r="Y3316" i="4"/>
  <c r="H3316" i="4"/>
  <c r="Y3324" i="4"/>
  <c r="M3324" i="4"/>
  <c r="N3324" i="4" s="1"/>
  <c r="H3324" i="4"/>
  <c r="H3332" i="4"/>
  <c r="Y3332" i="4"/>
  <c r="M3332" i="4"/>
  <c r="N3332" i="4" s="1"/>
  <c r="H3340" i="4"/>
  <c r="Y3340" i="4"/>
  <c r="M3340" i="4"/>
  <c r="N3340" i="4" s="1"/>
  <c r="H3348" i="4"/>
  <c r="Y3348" i="4"/>
  <c r="M3348" i="4"/>
  <c r="N3348" i="4" s="1"/>
  <c r="M3356" i="4"/>
  <c r="N3356" i="4" s="1"/>
  <c r="H3356" i="4"/>
  <c r="Y3356" i="4"/>
  <c r="Y3364" i="4"/>
  <c r="M3364" i="4"/>
  <c r="N3364" i="4" s="1"/>
  <c r="H3364" i="4"/>
  <c r="Y3372" i="4"/>
  <c r="M3372" i="4"/>
  <c r="N3372" i="4" s="1"/>
  <c r="H3372" i="4"/>
  <c r="M3380" i="4"/>
  <c r="N3380" i="4" s="1"/>
  <c r="Y3380" i="4"/>
  <c r="H3380" i="4"/>
  <c r="M3388" i="4"/>
  <c r="N3388" i="4" s="1"/>
  <c r="Y3388" i="4"/>
  <c r="H3388" i="4"/>
  <c r="M3396" i="4"/>
  <c r="N3396" i="4" s="1"/>
  <c r="Y3396" i="4"/>
  <c r="H3396" i="4"/>
  <c r="M3404" i="4"/>
  <c r="N3404" i="4" s="1"/>
  <c r="H3404" i="4"/>
  <c r="Y3404" i="4"/>
  <c r="H3412" i="4"/>
  <c r="Y3412" i="4"/>
  <c r="M3412" i="4"/>
  <c r="N3412" i="4" s="1"/>
  <c r="H3420" i="4"/>
  <c r="M3420" i="4"/>
  <c r="N3420" i="4" s="1"/>
  <c r="Y3420" i="4"/>
  <c r="M3428" i="4"/>
  <c r="N3428" i="4" s="1"/>
  <c r="H3428" i="4"/>
  <c r="Y3428" i="4"/>
  <c r="Y3436" i="4"/>
  <c r="M3436" i="4"/>
  <c r="N3436" i="4" s="1"/>
  <c r="H3436" i="4"/>
  <c r="M3444" i="4"/>
  <c r="N3444" i="4" s="1"/>
  <c r="Y3444" i="4"/>
  <c r="H3444" i="4"/>
  <c r="M3452" i="4"/>
  <c r="N3452" i="4" s="1"/>
  <c r="Y3452" i="4"/>
  <c r="H3452" i="4"/>
  <c r="M3460" i="4"/>
  <c r="N3460" i="4" s="1"/>
  <c r="Y3460" i="4"/>
  <c r="H3460" i="4"/>
  <c r="Y3468" i="4"/>
  <c r="M3468" i="4"/>
  <c r="N3468" i="4" s="1"/>
  <c r="H3468" i="4"/>
  <c r="Y3476" i="4"/>
  <c r="H3476" i="4"/>
  <c r="M3476" i="4"/>
  <c r="N3476" i="4" s="1"/>
  <c r="Y3484" i="4"/>
  <c r="H3484" i="4"/>
  <c r="M3484" i="4"/>
  <c r="N3484" i="4" s="1"/>
  <c r="Y3492" i="4"/>
  <c r="M3492" i="4"/>
  <c r="N3492" i="4" s="1"/>
  <c r="H3492" i="4"/>
  <c r="Y3500" i="4"/>
  <c r="H3500" i="4"/>
  <c r="M3500" i="4"/>
  <c r="N3500" i="4" s="1"/>
  <c r="Y3508" i="4"/>
  <c r="H3508" i="4"/>
  <c r="M3508" i="4"/>
  <c r="N3508" i="4" s="1"/>
  <c r="Y3516" i="4"/>
  <c r="H3516" i="4"/>
  <c r="M3516" i="4"/>
  <c r="N3516" i="4" s="1"/>
  <c r="Y3524" i="4"/>
  <c r="M3524" i="4"/>
  <c r="N3524" i="4" s="1"/>
  <c r="H3524" i="4"/>
  <c r="Y3532" i="4"/>
  <c r="H3532" i="4"/>
  <c r="M3532" i="4"/>
  <c r="N3532" i="4" s="1"/>
  <c r="Y3540" i="4"/>
  <c r="H3540" i="4"/>
  <c r="M3540" i="4"/>
  <c r="N3540" i="4" s="1"/>
  <c r="Y3548" i="4"/>
  <c r="H3548" i="4"/>
  <c r="M3548" i="4"/>
  <c r="N3548" i="4" s="1"/>
  <c r="Y3556" i="4"/>
  <c r="H3556" i="4"/>
  <c r="M3556" i="4"/>
  <c r="N3556" i="4" s="1"/>
  <c r="Y3564" i="4"/>
  <c r="M3564" i="4"/>
  <c r="N3564" i="4" s="1"/>
  <c r="H3564" i="4"/>
  <c r="Y3572" i="4"/>
  <c r="H3572" i="4"/>
  <c r="M3572" i="4"/>
  <c r="N3572" i="4" s="1"/>
  <c r="Y3580" i="4"/>
  <c r="H3580" i="4"/>
  <c r="M3580" i="4"/>
  <c r="N3580" i="4" s="1"/>
  <c r="Y3588" i="4"/>
  <c r="H3588" i="4"/>
  <c r="M3588" i="4"/>
  <c r="N3588" i="4" s="1"/>
  <c r="Y3596" i="4"/>
  <c r="M3596" i="4"/>
  <c r="N3596" i="4" s="1"/>
  <c r="H3596" i="4"/>
  <c r="Y3604" i="4"/>
  <c r="H3604" i="4"/>
  <c r="M3604" i="4"/>
  <c r="N3604" i="4" s="1"/>
  <c r="Y3612" i="4"/>
  <c r="M3612" i="4"/>
  <c r="N3612" i="4" s="1"/>
  <c r="H3612" i="4"/>
  <c r="M3620" i="4"/>
  <c r="N3620" i="4" s="1"/>
  <c r="Y3620" i="4"/>
  <c r="H3620" i="4"/>
  <c r="H3628" i="4"/>
  <c r="M3628" i="4"/>
  <c r="N3628" i="4" s="1"/>
  <c r="Y3628" i="4"/>
  <c r="Y3636" i="4"/>
  <c r="M3636" i="4"/>
  <c r="N3636" i="4" s="1"/>
  <c r="H3636" i="4"/>
  <c r="Y3644" i="4"/>
  <c r="H3644" i="4"/>
  <c r="M3644" i="4"/>
  <c r="N3644" i="4" s="1"/>
  <c r="M3652" i="4"/>
  <c r="N3652" i="4" s="1"/>
  <c r="H3652" i="4"/>
  <c r="Y3652" i="4"/>
  <c r="H3660" i="4"/>
  <c r="M3660" i="4"/>
  <c r="N3660" i="4" s="1"/>
  <c r="Y3660" i="4"/>
  <c r="Y3668" i="4"/>
  <c r="H3668" i="4"/>
  <c r="M3668" i="4"/>
  <c r="N3668" i="4" s="1"/>
  <c r="M3897" i="4"/>
  <c r="N3897" i="4" s="1"/>
  <c r="Y3897" i="4"/>
  <c r="H3897" i="4"/>
  <c r="H3241" i="4"/>
  <c r="Y3241" i="4"/>
  <c r="M3241" i="4"/>
  <c r="N3241" i="4" s="1"/>
  <c r="Y3257" i="4"/>
  <c r="M3257" i="4"/>
  <c r="N3257" i="4" s="1"/>
  <c r="H3257" i="4"/>
  <c r="Y3273" i="4"/>
  <c r="M3273" i="4"/>
  <c r="N3273" i="4" s="1"/>
  <c r="H3273" i="4"/>
  <c r="Y3289" i="4"/>
  <c r="H3289" i="4"/>
  <c r="M3289" i="4"/>
  <c r="N3289" i="4" s="1"/>
  <c r="Y3305" i="4"/>
  <c r="M3305" i="4"/>
  <c r="N3305" i="4" s="1"/>
  <c r="H3305" i="4"/>
  <c r="H3321" i="4"/>
  <c r="M3321" i="4"/>
  <c r="N3321" i="4" s="1"/>
  <c r="Y3321" i="4"/>
  <c r="H3337" i="4"/>
  <c r="Y3337" i="4"/>
  <c r="M3337" i="4"/>
  <c r="N3337" i="4" s="1"/>
  <c r="H3353" i="4"/>
  <c r="M3353" i="4"/>
  <c r="N3353" i="4" s="1"/>
  <c r="Y3353" i="4"/>
  <c r="M3369" i="4"/>
  <c r="N3369" i="4" s="1"/>
  <c r="H3369" i="4"/>
  <c r="Y3369" i="4"/>
  <c r="Y3385" i="4"/>
  <c r="M3385" i="4"/>
  <c r="N3385" i="4" s="1"/>
  <c r="H3385" i="4"/>
  <c r="M3401" i="4"/>
  <c r="N3401" i="4" s="1"/>
  <c r="H3401" i="4"/>
  <c r="Y3401" i="4"/>
  <c r="M3417" i="4"/>
  <c r="N3417" i="4" s="1"/>
  <c r="H3417" i="4"/>
  <c r="Y3417" i="4"/>
  <c r="Y3433" i="4"/>
  <c r="M3433" i="4"/>
  <c r="N3433" i="4" s="1"/>
  <c r="H3433" i="4"/>
  <c r="H3449" i="4"/>
  <c r="Y3449" i="4"/>
  <c r="M3449" i="4"/>
  <c r="N3449" i="4" s="1"/>
  <c r="Y3465" i="4"/>
  <c r="M3465" i="4"/>
  <c r="N3465" i="4" s="1"/>
  <c r="H3465" i="4"/>
  <c r="M3481" i="4"/>
  <c r="N3481" i="4" s="1"/>
  <c r="H3481" i="4"/>
  <c r="Y3481" i="4"/>
  <c r="Y3497" i="4"/>
  <c r="M3497" i="4"/>
  <c r="N3497" i="4" s="1"/>
  <c r="H3497" i="4"/>
  <c r="M3513" i="4"/>
  <c r="N3513" i="4" s="1"/>
  <c r="H3513" i="4"/>
  <c r="Y3513" i="4"/>
  <c r="Y3529" i="4"/>
  <c r="M3529" i="4"/>
  <c r="N3529" i="4" s="1"/>
  <c r="H3529" i="4"/>
  <c r="M3545" i="4"/>
  <c r="N3545" i="4" s="1"/>
  <c r="H3545" i="4"/>
  <c r="Y3545" i="4"/>
  <c r="Y3561" i="4"/>
  <c r="M3561" i="4"/>
  <c r="N3561" i="4" s="1"/>
  <c r="H3561" i="4"/>
  <c r="M3577" i="4"/>
  <c r="N3577" i="4" s="1"/>
  <c r="H3577" i="4"/>
  <c r="Y3577" i="4"/>
  <c r="Y3593" i="4"/>
  <c r="M3593" i="4"/>
  <c r="N3593" i="4" s="1"/>
  <c r="H3593" i="4"/>
  <c r="H3609" i="4"/>
  <c r="Y3609" i="4"/>
  <c r="M3609" i="4"/>
  <c r="N3609" i="4" s="1"/>
  <c r="Y3625" i="4"/>
  <c r="M3625" i="4"/>
  <c r="N3625" i="4" s="1"/>
  <c r="H3625" i="4"/>
  <c r="H3641" i="4"/>
  <c r="Y3641" i="4"/>
  <c r="M3641" i="4"/>
  <c r="N3641" i="4" s="1"/>
  <c r="Y3657" i="4"/>
  <c r="M3657" i="4"/>
  <c r="N3657" i="4" s="1"/>
  <c r="H3657" i="4"/>
  <c r="H3675" i="4"/>
  <c r="Y3675" i="4"/>
  <c r="M3675" i="4"/>
  <c r="N3675" i="4" s="1"/>
  <c r="H3702" i="4"/>
  <c r="Y3702" i="4"/>
  <c r="M3702" i="4"/>
  <c r="N3702" i="4" s="1"/>
  <c r="M3734" i="4"/>
  <c r="N3734" i="4" s="1"/>
  <c r="Y3734" i="4"/>
  <c r="H3734" i="4"/>
  <c r="Y3766" i="4"/>
  <c r="M3766" i="4"/>
  <c r="N3766" i="4" s="1"/>
  <c r="H3766" i="4"/>
  <c r="H3798" i="4"/>
  <c r="Y3798" i="4"/>
  <c r="M3798" i="4"/>
  <c r="N3798" i="4" s="1"/>
  <c r="H3830" i="4"/>
  <c r="Y3830" i="4"/>
  <c r="M3830" i="4"/>
  <c r="N3830" i="4" s="1"/>
  <c r="H3862" i="4"/>
  <c r="Y3862" i="4"/>
  <c r="M3862" i="4"/>
  <c r="N3862" i="4" s="1"/>
  <c r="H4105" i="4"/>
  <c r="Y4105" i="4"/>
  <c r="M4105" i="4"/>
  <c r="N4105" i="4" s="1"/>
  <c r="M3743" i="4"/>
  <c r="N3743" i="4" s="1"/>
  <c r="Y3743" i="4"/>
  <c r="H3743" i="4"/>
  <c r="H3807" i="4"/>
  <c r="Y3807" i="4"/>
  <c r="M3807" i="4"/>
  <c r="N3807" i="4" s="1"/>
  <c r="Y3871" i="4"/>
  <c r="H3871" i="4"/>
  <c r="M3871" i="4"/>
  <c r="N3871" i="4" s="1"/>
  <c r="H4088" i="4"/>
  <c r="M4088" i="4"/>
  <c r="N4088" i="4" s="1"/>
  <c r="Y4088" i="4"/>
  <c r="H3943" i="4"/>
  <c r="Y3943" i="4"/>
  <c r="M3943" i="4"/>
  <c r="N3943" i="4" s="1"/>
  <c r="Y3982" i="4"/>
  <c r="M3982" i="4"/>
  <c r="N3982" i="4" s="1"/>
  <c r="H3982" i="4"/>
  <c r="H3672" i="4"/>
  <c r="M3672" i="4"/>
  <c r="N3672" i="4" s="1"/>
  <c r="Y3672" i="4"/>
  <c r="H4042" i="4"/>
  <c r="M4042" i="4"/>
  <c r="N4042" i="4" s="1"/>
  <c r="Y4042" i="4"/>
  <c r="Y4106" i="4"/>
  <c r="M4106" i="4"/>
  <c r="N4106" i="4" s="1"/>
  <c r="H4106" i="4"/>
  <c r="H3246" i="4"/>
  <c r="M3246" i="4"/>
  <c r="N3246" i="4" s="1"/>
  <c r="Y3246" i="4"/>
  <c r="H3254" i="4"/>
  <c r="M3254" i="4"/>
  <c r="N3254" i="4" s="1"/>
  <c r="Y3254" i="4"/>
  <c r="H3262" i="4"/>
  <c r="M3262" i="4"/>
  <c r="N3262" i="4" s="1"/>
  <c r="Y3262" i="4"/>
  <c r="H3270" i="4"/>
  <c r="M3270" i="4"/>
  <c r="N3270" i="4" s="1"/>
  <c r="Y3270" i="4"/>
  <c r="H3278" i="4"/>
  <c r="Y3278" i="4"/>
  <c r="M3278" i="4"/>
  <c r="N3278" i="4" s="1"/>
  <c r="M3286" i="4"/>
  <c r="N3286" i="4" s="1"/>
  <c r="H3286" i="4"/>
  <c r="Y3286" i="4"/>
  <c r="Y3294" i="4"/>
  <c r="M3294" i="4"/>
  <c r="N3294" i="4" s="1"/>
  <c r="H3294" i="4"/>
  <c r="Y3302" i="4"/>
  <c r="H3302" i="4"/>
  <c r="M3302" i="4"/>
  <c r="N3302" i="4" s="1"/>
  <c r="H3310" i="4"/>
  <c r="Y3310" i="4"/>
  <c r="M3310" i="4"/>
  <c r="N3310" i="4" s="1"/>
  <c r="Y3318" i="4"/>
  <c r="M3318" i="4"/>
  <c r="N3318" i="4" s="1"/>
  <c r="H3318" i="4"/>
  <c r="Y3326" i="4"/>
  <c r="M3326" i="4"/>
  <c r="N3326" i="4" s="1"/>
  <c r="H3326" i="4"/>
  <c r="H3334" i="4"/>
  <c r="Y3334" i="4"/>
  <c r="M3334" i="4"/>
  <c r="N3334" i="4" s="1"/>
  <c r="H3342" i="4"/>
  <c r="Y3342" i="4"/>
  <c r="M3342" i="4"/>
  <c r="N3342" i="4" s="1"/>
  <c r="M3350" i="4"/>
  <c r="N3350" i="4" s="1"/>
  <c r="H3350" i="4"/>
  <c r="Y3350" i="4"/>
  <c r="Y3358" i="4"/>
  <c r="M3358" i="4"/>
  <c r="N3358" i="4" s="1"/>
  <c r="H3358" i="4"/>
  <c r="Y3366" i="4"/>
  <c r="H3366" i="4"/>
  <c r="M3366" i="4"/>
  <c r="N3366" i="4" s="1"/>
  <c r="H3374" i="4"/>
  <c r="Y3374" i="4"/>
  <c r="M3374" i="4"/>
  <c r="N3374" i="4" s="1"/>
  <c r="M3382" i="4"/>
  <c r="N3382" i="4" s="1"/>
  <c r="H3382" i="4"/>
  <c r="Y3382" i="4"/>
  <c r="M3390" i="4"/>
  <c r="N3390" i="4" s="1"/>
  <c r="H3390" i="4"/>
  <c r="Y3390" i="4"/>
  <c r="H3398" i="4"/>
  <c r="M3398" i="4"/>
  <c r="N3398" i="4" s="1"/>
  <c r="Y3398" i="4"/>
  <c r="M3406" i="4"/>
  <c r="N3406" i="4" s="1"/>
  <c r="H3406" i="4"/>
  <c r="Y3406" i="4"/>
  <c r="M3414" i="4"/>
  <c r="N3414" i="4" s="1"/>
  <c r="H3414" i="4"/>
  <c r="Y3414" i="4"/>
  <c r="H3422" i="4"/>
  <c r="M3422" i="4"/>
  <c r="N3422" i="4" s="1"/>
  <c r="Y3422" i="4"/>
  <c r="M3430" i="4"/>
  <c r="N3430" i="4" s="1"/>
  <c r="H3430" i="4"/>
  <c r="Y3430" i="4"/>
  <c r="H3438" i="4"/>
  <c r="M3438" i="4"/>
  <c r="N3438" i="4" s="1"/>
  <c r="Y3438" i="4"/>
  <c r="M3446" i="4"/>
  <c r="N3446" i="4" s="1"/>
  <c r="H3446" i="4"/>
  <c r="Y3446" i="4"/>
  <c r="M3454" i="4"/>
  <c r="N3454" i="4" s="1"/>
  <c r="H3454" i="4"/>
  <c r="Y3454" i="4"/>
  <c r="H3462" i="4"/>
  <c r="M3462" i="4"/>
  <c r="N3462" i="4" s="1"/>
  <c r="Y3462" i="4"/>
  <c r="M3470" i="4"/>
  <c r="N3470" i="4" s="1"/>
  <c r="H3470" i="4"/>
  <c r="Y3470" i="4"/>
  <c r="M3478" i="4"/>
  <c r="N3478" i="4" s="1"/>
  <c r="H3478" i="4"/>
  <c r="Y3478" i="4"/>
  <c r="H3486" i="4"/>
  <c r="M3486" i="4"/>
  <c r="N3486" i="4" s="1"/>
  <c r="Y3486" i="4"/>
  <c r="M3494" i="4"/>
  <c r="N3494" i="4" s="1"/>
  <c r="H3494" i="4"/>
  <c r="Y3494" i="4"/>
  <c r="M3502" i="4"/>
  <c r="N3502" i="4" s="1"/>
  <c r="H3502" i="4"/>
  <c r="Y3502" i="4"/>
  <c r="H3510" i="4"/>
  <c r="M3510" i="4"/>
  <c r="N3510" i="4" s="1"/>
  <c r="Y3510" i="4"/>
  <c r="M3518" i="4"/>
  <c r="N3518" i="4" s="1"/>
  <c r="H3518" i="4"/>
  <c r="Y3518" i="4"/>
  <c r="H3526" i="4"/>
  <c r="M3526" i="4"/>
  <c r="N3526" i="4" s="1"/>
  <c r="Y3526" i="4"/>
  <c r="M3534" i="4"/>
  <c r="N3534" i="4" s="1"/>
  <c r="H3534" i="4"/>
  <c r="Y3534" i="4"/>
  <c r="M3542" i="4"/>
  <c r="N3542" i="4" s="1"/>
  <c r="H3542" i="4"/>
  <c r="Y3542" i="4"/>
  <c r="H3550" i="4"/>
  <c r="M3550" i="4"/>
  <c r="N3550" i="4" s="1"/>
  <c r="Y3550" i="4"/>
  <c r="M3558" i="4"/>
  <c r="N3558" i="4" s="1"/>
  <c r="H3558" i="4"/>
  <c r="Y3558" i="4"/>
  <c r="H3566" i="4"/>
  <c r="M3566" i="4"/>
  <c r="N3566" i="4" s="1"/>
  <c r="Y3566" i="4"/>
  <c r="M3574" i="4"/>
  <c r="N3574" i="4" s="1"/>
  <c r="H3574" i="4"/>
  <c r="Y3574" i="4"/>
  <c r="M3582" i="4"/>
  <c r="N3582" i="4" s="1"/>
  <c r="H3582" i="4"/>
  <c r="Y3582" i="4"/>
  <c r="H3590" i="4"/>
  <c r="M3590" i="4"/>
  <c r="N3590" i="4" s="1"/>
  <c r="Y3590" i="4"/>
  <c r="M3598" i="4"/>
  <c r="N3598" i="4" s="1"/>
  <c r="H3598" i="4"/>
  <c r="Y3598" i="4"/>
  <c r="M3606" i="4"/>
  <c r="N3606" i="4" s="1"/>
  <c r="H3606" i="4"/>
  <c r="Y3606" i="4"/>
  <c r="M3614" i="4"/>
  <c r="N3614" i="4" s="1"/>
  <c r="H3614" i="4"/>
  <c r="Y3614" i="4"/>
  <c r="M3622" i="4"/>
  <c r="N3622" i="4" s="1"/>
  <c r="H3622" i="4"/>
  <c r="Y3622" i="4"/>
  <c r="M3630" i="4"/>
  <c r="N3630" i="4" s="1"/>
  <c r="H3630" i="4"/>
  <c r="Y3630" i="4"/>
  <c r="H3638" i="4"/>
  <c r="M3638" i="4"/>
  <c r="N3638" i="4" s="1"/>
  <c r="Y3638" i="4"/>
  <c r="M3646" i="4"/>
  <c r="N3646" i="4" s="1"/>
  <c r="H3646" i="4"/>
  <c r="Y3646" i="4"/>
  <c r="M3654" i="4"/>
  <c r="N3654" i="4" s="1"/>
  <c r="H3654" i="4"/>
  <c r="Y3654" i="4"/>
  <c r="M3662" i="4"/>
  <c r="N3662" i="4" s="1"/>
  <c r="H3662" i="4"/>
  <c r="Y3662" i="4"/>
  <c r="M3670" i="4"/>
  <c r="N3670" i="4" s="1"/>
  <c r="H3670" i="4"/>
  <c r="Y3670" i="4"/>
  <c r="H4034" i="4"/>
  <c r="M4034" i="4"/>
  <c r="N4034" i="4" s="1"/>
  <c r="Y4034" i="4"/>
  <c r="Y3245" i="4"/>
  <c r="H3245" i="4"/>
  <c r="M3245" i="4"/>
  <c r="N3245" i="4" s="1"/>
  <c r="Y3261" i="4"/>
  <c r="H3261" i="4"/>
  <c r="M3261" i="4"/>
  <c r="N3261" i="4" s="1"/>
  <c r="M3277" i="4"/>
  <c r="N3277" i="4" s="1"/>
  <c r="H3277" i="4"/>
  <c r="Y3277" i="4"/>
  <c r="M3293" i="4"/>
  <c r="N3293" i="4" s="1"/>
  <c r="Y3293" i="4"/>
  <c r="H3293" i="4"/>
  <c r="H3309" i="4"/>
  <c r="M3309" i="4"/>
  <c r="N3309" i="4" s="1"/>
  <c r="Y3309" i="4"/>
  <c r="H3325" i="4"/>
  <c r="M3325" i="4"/>
  <c r="N3325" i="4" s="1"/>
  <c r="Y3325" i="4"/>
  <c r="M3341" i="4"/>
  <c r="N3341" i="4" s="1"/>
  <c r="H3341" i="4"/>
  <c r="Y3341" i="4"/>
  <c r="M3357" i="4"/>
  <c r="N3357" i="4" s="1"/>
  <c r="H3357" i="4"/>
  <c r="Y3357" i="4"/>
  <c r="Y3373" i="4"/>
  <c r="M3373" i="4"/>
  <c r="N3373" i="4" s="1"/>
  <c r="H3373" i="4"/>
  <c r="Y3389" i="4"/>
  <c r="M3389" i="4"/>
  <c r="N3389" i="4" s="1"/>
  <c r="H3389" i="4"/>
  <c r="H3405" i="4"/>
  <c r="M3405" i="4"/>
  <c r="N3405" i="4" s="1"/>
  <c r="Y3405" i="4"/>
  <c r="M3421" i="4"/>
  <c r="N3421" i="4" s="1"/>
  <c r="H3421" i="4"/>
  <c r="Y3421" i="4"/>
  <c r="M3437" i="4"/>
  <c r="N3437" i="4" s="1"/>
  <c r="Y3437" i="4"/>
  <c r="H3437" i="4"/>
  <c r="Y3453" i="4"/>
  <c r="M3453" i="4"/>
  <c r="N3453" i="4" s="1"/>
  <c r="H3453" i="4"/>
  <c r="M3469" i="4"/>
  <c r="N3469" i="4" s="1"/>
  <c r="Y3469" i="4"/>
  <c r="H3469" i="4"/>
  <c r="Y3485" i="4"/>
  <c r="H3485" i="4"/>
  <c r="M3485" i="4"/>
  <c r="N3485" i="4" s="1"/>
  <c r="M3501" i="4"/>
  <c r="N3501" i="4" s="1"/>
  <c r="Y3501" i="4"/>
  <c r="H3501" i="4"/>
  <c r="Y3517" i="4"/>
  <c r="H3517" i="4"/>
  <c r="M3517" i="4"/>
  <c r="N3517" i="4" s="1"/>
  <c r="M3533" i="4"/>
  <c r="N3533" i="4" s="1"/>
  <c r="Y3533" i="4"/>
  <c r="H3533" i="4"/>
  <c r="Y3549" i="4"/>
  <c r="H3549" i="4"/>
  <c r="M3549" i="4"/>
  <c r="N3549" i="4" s="1"/>
  <c r="M3565" i="4"/>
  <c r="N3565" i="4" s="1"/>
  <c r="Y3565" i="4"/>
  <c r="H3565" i="4"/>
  <c r="Y3581" i="4"/>
  <c r="M3581" i="4"/>
  <c r="N3581" i="4" s="1"/>
  <c r="H3581" i="4"/>
  <c r="M3597" i="4"/>
  <c r="N3597" i="4" s="1"/>
  <c r="H3597" i="4"/>
  <c r="Y3597" i="4"/>
  <c r="H3613" i="4"/>
  <c r="Y3613" i="4"/>
  <c r="M3613" i="4"/>
  <c r="N3613" i="4" s="1"/>
  <c r="Y3629" i="4"/>
  <c r="M3629" i="4"/>
  <c r="N3629" i="4" s="1"/>
  <c r="H3629" i="4"/>
  <c r="H3645" i="4"/>
  <c r="M3645" i="4"/>
  <c r="N3645" i="4" s="1"/>
  <c r="Y3645" i="4"/>
  <c r="Y3661" i="4"/>
  <c r="H3661" i="4"/>
  <c r="M3661" i="4"/>
  <c r="N3661" i="4" s="1"/>
  <c r="H3710" i="4"/>
  <c r="Y3710" i="4"/>
  <c r="M3710" i="4"/>
  <c r="N3710" i="4" s="1"/>
  <c r="M3742" i="4"/>
  <c r="N3742" i="4" s="1"/>
  <c r="H3742" i="4"/>
  <c r="Y3742" i="4"/>
  <c r="M3774" i="4"/>
  <c r="N3774" i="4" s="1"/>
  <c r="H3774" i="4"/>
  <c r="Y3774" i="4"/>
  <c r="H3806" i="4"/>
  <c r="Y3806" i="4"/>
  <c r="M3806" i="4"/>
  <c r="N3806" i="4" s="1"/>
  <c r="H3838" i="4"/>
  <c r="Y3838" i="4"/>
  <c r="M3838" i="4"/>
  <c r="N3838" i="4" s="1"/>
  <c r="H3870" i="4"/>
  <c r="Y3870" i="4"/>
  <c r="M3870" i="4"/>
  <c r="N3870" i="4" s="1"/>
  <c r="H4073" i="4"/>
  <c r="Y4073" i="4"/>
  <c r="M4073" i="4"/>
  <c r="N4073" i="4" s="1"/>
  <c r="M3695" i="4"/>
  <c r="N3695" i="4" s="1"/>
  <c r="Y3695" i="4"/>
  <c r="H3695" i="4"/>
  <c r="M3759" i="4"/>
  <c r="N3759" i="4" s="1"/>
  <c r="Y3759" i="4"/>
  <c r="H3759" i="4"/>
  <c r="Y3823" i="4"/>
  <c r="M3823" i="4"/>
  <c r="N3823" i="4" s="1"/>
  <c r="H3823" i="4"/>
  <c r="Y3887" i="4"/>
  <c r="H3887" i="4"/>
  <c r="M3887" i="4"/>
  <c r="N3887" i="4" s="1"/>
  <c r="Y4053" i="4"/>
  <c r="M4053" i="4"/>
  <c r="N4053" i="4" s="1"/>
  <c r="H4053" i="4"/>
  <c r="M4024" i="4"/>
  <c r="N4024" i="4" s="1"/>
  <c r="Y4024" i="4"/>
  <c r="H4024" i="4"/>
  <c r="Y3965" i="4"/>
  <c r="M3965" i="4"/>
  <c r="N3965" i="4" s="1"/>
  <c r="H3965" i="4"/>
  <c r="Y4063" i="4"/>
  <c r="M4063" i="4"/>
  <c r="N4063" i="4" s="1"/>
  <c r="H4063" i="4"/>
  <c r="M4149" i="4"/>
  <c r="N4149" i="4" s="1"/>
  <c r="H4149" i="4"/>
  <c r="Y4149" i="4"/>
  <c r="Y3918" i="4"/>
  <c r="M3918" i="4"/>
  <c r="N3918" i="4" s="1"/>
  <c r="H3918" i="4"/>
  <c r="Y4004" i="4"/>
  <c r="M4004" i="4"/>
  <c r="N4004" i="4" s="1"/>
  <c r="H4004" i="4"/>
  <c r="Y4215" i="4"/>
  <c r="H4215" i="4"/>
  <c r="M4215" i="4"/>
  <c r="N4215" i="4" s="1"/>
  <c r="H4233" i="4"/>
  <c r="Y4233" i="4"/>
  <c r="M4233" i="4"/>
  <c r="N4233" i="4" s="1"/>
  <c r="M4174" i="4"/>
  <c r="N4174" i="4" s="1"/>
  <c r="Y4174" i="4"/>
  <c r="H4174" i="4"/>
  <c r="M4058" i="4"/>
  <c r="N4058" i="4" s="1"/>
  <c r="Y4058" i="4"/>
  <c r="H4058" i="4"/>
  <c r="H3240" i="4"/>
  <c r="Y3240" i="4"/>
  <c r="M3240" i="4"/>
  <c r="N3240" i="4" s="1"/>
  <c r="H3248" i="4"/>
  <c r="Y3248" i="4"/>
  <c r="M3248" i="4"/>
  <c r="N3248" i="4" s="1"/>
  <c r="H3256" i="4"/>
  <c r="Y3256" i="4"/>
  <c r="M3256" i="4"/>
  <c r="N3256" i="4" s="1"/>
  <c r="H3264" i="4"/>
  <c r="Y3264" i="4"/>
  <c r="M3264" i="4"/>
  <c r="N3264" i="4" s="1"/>
  <c r="H3272" i="4"/>
  <c r="M3272" i="4"/>
  <c r="N3272" i="4" s="1"/>
  <c r="Y3272" i="4"/>
  <c r="H3280" i="4"/>
  <c r="M3280" i="4"/>
  <c r="N3280" i="4" s="1"/>
  <c r="Y3280" i="4"/>
  <c r="Y3288" i="4"/>
  <c r="M3288" i="4"/>
  <c r="N3288" i="4" s="1"/>
  <c r="H3288" i="4"/>
  <c r="H3296" i="4"/>
  <c r="M3296" i="4"/>
  <c r="N3296" i="4" s="1"/>
  <c r="Y3296" i="4"/>
  <c r="M3304" i="4"/>
  <c r="N3304" i="4" s="1"/>
  <c r="Y3304" i="4"/>
  <c r="H3304" i="4"/>
  <c r="H3312" i="4"/>
  <c r="M3312" i="4"/>
  <c r="N3312" i="4" s="1"/>
  <c r="Y3312" i="4"/>
  <c r="M3320" i="4"/>
  <c r="N3320" i="4" s="1"/>
  <c r="Y3320" i="4"/>
  <c r="H3320" i="4"/>
  <c r="Y3328" i="4"/>
  <c r="M3328" i="4"/>
  <c r="N3328" i="4" s="1"/>
  <c r="H3328" i="4"/>
  <c r="M3336" i="4"/>
  <c r="N3336" i="4" s="1"/>
  <c r="H3336" i="4"/>
  <c r="Y3336" i="4"/>
  <c r="H3344" i="4"/>
  <c r="M3344" i="4"/>
  <c r="N3344" i="4" s="1"/>
  <c r="Y3344" i="4"/>
  <c r="M3352" i="4"/>
  <c r="N3352" i="4" s="1"/>
  <c r="H3352" i="4"/>
  <c r="Y3352" i="4"/>
  <c r="H3360" i="4"/>
  <c r="M3360" i="4"/>
  <c r="N3360" i="4" s="1"/>
  <c r="Y3360" i="4"/>
  <c r="M3368" i="4"/>
  <c r="N3368" i="4" s="1"/>
  <c r="Y3368" i="4"/>
  <c r="H3368" i="4"/>
  <c r="H3376" i="4"/>
  <c r="Y3376" i="4"/>
  <c r="M3376" i="4"/>
  <c r="N3376" i="4" s="1"/>
  <c r="M3384" i="4"/>
  <c r="N3384" i="4" s="1"/>
  <c r="Y3384" i="4"/>
  <c r="H3384" i="4"/>
  <c r="Y3392" i="4"/>
  <c r="M3392" i="4"/>
  <c r="N3392" i="4" s="1"/>
  <c r="H3392" i="4"/>
  <c r="H3400" i="4"/>
  <c r="Y3400" i="4"/>
  <c r="M3400" i="4"/>
  <c r="N3400" i="4" s="1"/>
  <c r="Y3408" i="4"/>
  <c r="M3408" i="4"/>
  <c r="N3408" i="4" s="1"/>
  <c r="H3408" i="4"/>
  <c r="H3416" i="4"/>
  <c r="Y3416" i="4"/>
  <c r="M3416" i="4"/>
  <c r="N3416" i="4" s="1"/>
  <c r="Y3424" i="4"/>
  <c r="M3424" i="4"/>
  <c r="N3424" i="4" s="1"/>
  <c r="H3424" i="4"/>
  <c r="H3432" i="4"/>
  <c r="Y3432" i="4"/>
  <c r="M3432" i="4"/>
  <c r="N3432" i="4" s="1"/>
  <c r="M3440" i="4"/>
  <c r="N3440" i="4" s="1"/>
  <c r="H3440" i="4"/>
  <c r="Y3440" i="4"/>
  <c r="M3448" i="4"/>
  <c r="N3448" i="4" s="1"/>
  <c r="Y3448" i="4"/>
  <c r="H3448" i="4"/>
  <c r="H3456" i="4"/>
  <c r="Y3456" i="4"/>
  <c r="M3456" i="4"/>
  <c r="N3456" i="4" s="1"/>
  <c r="H3464" i="4"/>
  <c r="Y3464" i="4"/>
  <c r="M3464" i="4"/>
  <c r="N3464" i="4" s="1"/>
  <c r="H3472" i="4"/>
  <c r="Y3472" i="4"/>
  <c r="M3472" i="4"/>
  <c r="N3472" i="4" s="1"/>
  <c r="H3480" i="4"/>
  <c r="Y3480" i="4"/>
  <c r="M3480" i="4"/>
  <c r="N3480" i="4" s="1"/>
  <c r="M3488" i="4"/>
  <c r="N3488" i="4" s="1"/>
  <c r="Y3488" i="4"/>
  <c r="H3488" i="4"/>
  <c r="H3496" i="4"/>
  <c r="Y3496" i="4"/>
  <c r="M3496" i="4"/>
  <c r="N3496" i="4" s="1"/>
  <c r="H3504" i="4"/>
  <c r="Y3504" i="4"/>
  <c r="M3504" i="4"/>
  <c r="N3504" i="4" s="1"/>
  <c r="M3512" i="4"/>
  <c r="N3512" i="4" s="1"/>
  <c r="Y3512" i="4"/>
  <c r="H3512" i="4"/>
  <c r="H3520" i="4"/>
  <c r="Y3520" i="4"/>
  <c r="M3520" i="4"/>
  <c r="N3520" i="4" s="1"/>
  <c r="M3528" i="4"/>
  <c r="N3528" i="4" s="1"/>
  <c r="Y3528" i="4"/>
  <c r="H3528" i="4"/>
  <c r="H3536" i="4"/>
  <c r="Y3536" i="4"/>
  <c r="M3536" i="4"/>
  <c r="N3536" i="4" s="1"/>
  <c r="M3544" i="4"/>
  <c r="N3544" i="4" s="1"/>
  <c r="Y3544" i="4"/>
  <c r="H3544" i="4"/>
  <c r="H3552" i="4"/>
  <c r="Y3552" i="4"/>
  <c r="M3552" i="4"/>
  <c r="N3552" i="4" s="1"/>
  <c r="M3560" i="4"/>
  <c r="N3560" i="4" s="1"/>
  <c r="Y3560" i="4"/>
  <c r="H3560" i="4"/>
  <c r="H3568" i="4"/>
  <c r="Y3568" i="4"/>
  <c r="M3568" i="4"/>
  <c r="N3568" i="4" s="1"/>
  <c r="M3576" i="4"/>
  <c r="N3576" i="4" s="1"/>
  <c r="Y3576" i="4"/>
  <c r="H3576" i="4"/>
  <c r="H3584" i="4"/>
  <c r="Y3584" i="4"/>
  <c r="M3584" i="4"/>
  <c r="N3584" i="4" s="1"/>
  <c r="M3592" i="4"/>
  <c r="N3592" i="4" s="1"/>
  <c r="Y3592" i="4"/>
  <c r="H3592" i="4"/>
  <c r="H3600" i="4"/>
  <c r="Y3600" i="4"/>
  <c r="M3600" i="4"/>
  <c r="N3600" i="4" s="1"/>
  <c r="M3608" i="4"/>
  <c r="N3608" i="4" s="1"/>
  <c r="Y3608" i="4"/>
  <c r="H3608" i="4"/>
  <c r="M3616" i="4"/>
  <c r="N3616" i="4" s="1"/>
  <c r="Y3616" i="4"/>
  <c r="H3616" i="4"/>
  <c r="M3624" i="4"/>
  <c r="N3624" i="4" s="1"/>
  <c r="H3624" i="4"/>
  <c r="Y3624" i="4"/>
  <c r="Y3632" i="4"/>
  <c r="H3632" i="4"/>
  <c r="M3632" i="4"/>
  <c r="N3632" i="4" s="1"/>
  <c r="M3640" i="4"/>
  <c r="N3640" i="4" s="1"/>
  <c r="Y3640" i="4"/>
  <c r="H3640" i="4"/>
  <c r="M3648" i="4"/>
  <c r="N3648" i="4" s="1"/>
  <c r="Y3648" i="4"/>
  <c r="H3648" i="4"/>
  <c r="M3656" i="4"/>
  <c r="N3656" i="4" s="1"/>
  <c r="H3656" i="4"/>
  <c r="Y3656" i="4"/>
  <c r="Y3664" i="4"/>
  <c r="H3664" i="4"/>
  <c r="M3664" i="4"/>
  <c r="N3664" i="4" s="1"/>
  <c r="H3673" i="4"/>
  <c r="Y3673" i="4"/>
  <c r="M3673" i="4"/>
  <c r="N3673" i="4" s="1"/>
  <c r="Y4066" i="4"/>
  <c r="H4066" i="4"/>
  <c r="M4066" i="4"/>
  <c r="N4066" i="4" s="1"/>
  <c r="M3249" i="4"/>
  <c r="N3249" i="4" s="1"/>
  <c r="Y3249" i="4"/>
  <c r="H3249" i="4"/>
  <c r="H3265" i="4"/>
  <c r="Y3265" i="4"/>
  <c r="M3265" i="4"/>
  <c r="N3265" i="4" s="1"/>
  <c r="H3281" i="4"/>
  <c r="M3281" i="4"/>
  <c r="N3281" i="4" s="1"/>
  <c r="Y3281" i="4"/>
  <c r="M3297" i="4"/>
  <c r="N3297" i="4" s="1"/>
  <c r="H3297" i="4"/>
  <c r="Y3297" i="4"/>
  <c r="M3313" i="4"/>
  <c r="N3313" i="4" s="1"/>
  <c r="Y3313" i="4"/>
  <c r="H3313" i="4"/>
  <c r="H3329" i="4"/>
  <c r="M3329" i="4"/>
  <c r="N3329" i="4" s="1"/>
  <c r="Y3329" i="4"/>
  <c r="M3345" i="4"/>
  <c r="N3345" i="4" s="1"/>
  <c r="Y3345" i="4"/>
  <c r="H3345" i="4"/>
  <c r="H3361" i="4"/>
  <c r="Y3361" i="4"/>
  <c r="M3361" i="4"/>
  <c r="N3361" i="4" s="1"/>
  <c r="H3377" i="4"/>
  <c r="Y3377" i="4"/>
  <c r="M3377" i="4"/>
  <c r="N3377" i="4" s="1"/>
  <c r="M3393" i="4"/>
  <c r="N3393" i="4" s="1"/>
  <c r="H3393" i="4"/>
  <c r="Y3393" i="4"/>
  <c r="H3409" i="4"/>
  <c r="Y3409" i="4"/>
  <c r="M3409" i="4"/>
  <c r="N3409" i="4" s="1"/>
  <c r="Y3425" i="4"/>
  <c r="M3425" i="4"/>
  <c r="N3425" i="4" s="1"/>
  <c r="H3425" i="4"/>
  <c r="Y3441" i="4"/>
  <c r="M3441" i="4"/>
  <c r="N3441" i="4" s="1"/>
  <c r="H3441" i="4"/>
  <c r="M3457" i="4"/>
  <c r="N3457" i="4" s="1"/>
  <c r="H3457" i="4"/>
  <c r="Y3457" i="4"/>
  <c r="Y3473" i="4"/>
  <c r="M3473" i="4"/>
  <c r="N3473" i="4" s="1"/>
  <c r="H3473" i="4"/>
  <c r="H3489" i="4"/>
  <c r="Y3489" i="4"/>
  <c r="M3489" i="4"/>
  <c r="N3489" i="4" s="1"/>
  <c r="Y3505" i="4"/>
  <c r="M3505" i="4"/>
  <c r="N3505" i="4" s="1"/>
  <c r="H3505" i="4"/>
  <c r="H3521" i="4"/>
  <c r="Y3521" i="4"/>
  <c r="M3521" i="4"/>
  <c r="N3521" i="4" s="1"/>
  <c r="Y3537" i="4"/>
  <c r="M3537" i="4"/>
  <c r="N3537" i="4" s="1"/>
  <c r="H3537" i="4"/>
  <c r="H3553" i="4"/>
  <c r="Y3553" i="4"/>
  <c r="M3553" i="4"/>
  <c r="N3553" i="4" s="1"/>
  <c r="Y3569" i="4"/>
  <c r="M3569" i="4"/>
  <c r="N3569" i="4" s="1"/>
  <c r="H3569" i="4"/>
  <c r="H3585" i="4"/>
  <c r="Y3585" i="4"/>
  <c r="M3585" i="4"/>
  <c r="N3585" i="4" s="1"/>
  <c r="Y3601" i="4"/>
  <c r="M3601" i="4"/>
  <c r="N3601" i="4" s="1"/>
  <c r="H3601" i="4"/>
  <c r="H3617" i="4"/>
  <c r="Y3617" i="4"/>
  <c r="M3617" i="4"/>
  <c r="N3617" i="4" s="1"/>
  <c r="M3633" i="4"/>
  <c r="N3633" i="4" s="1"/>
  <c r="H3633" i="4"/>
  <c r="Y3633" i="4"/>
  <c r="H3649" i="4"/>
  <c r="Y3649" i="4"/>
  <c r="M3649" i="4"/>
  <c r="N3649" i="4" s="1"/>
  <c r="M3665" i="4"/>
  <c r="N3665" i="4" s="1"/>
  <c r="H3665" i="4"/>
  <c r="Y3665" i="4"/>
  <c r="M3894" i="4"/>
  <c r="N3894" i="4" s="1"/>
  <c r="Y3894" i="4"/>
  <c r="H3894" i="4"/>
  <c r="H3686" i="4"/>
  <c r="Y3686" i="4"/>
  <c r="M3686" i="4"/>
  <c r="N3686" i="4" s="1"/>
  <c r="H3718" i="4"/>
  <c r="Y3718" i="4"/>
  <c r="M3718" i="4"/>
  <c r="N3718" i="4" s="1"/>
  <c r="H3750" i="4"/>
  <c r="Y3750" i="4"/>
  <c r="M3750" i="4"/>
  <c r="N3750" i="4" s="1"/>
  <c r="H3782" i="4"/>
  <c r="Y3782" i="4"/>
  <c r="M3782" i="4"/>
  <c r="N3782" i="4" s="1"/>
  <c r="H3814" i="4"/>
  <c r="Y3814" i="4"/>
  <c r="M3814" i="4"/>
  <c r="N3814" i="4" s="1"/>
  <c r="H3846" i="4"/>
  <c r="Y3846" i="4"/>
  <c r="M3846" i="4"/>
  <c r="N3846" i="4" s="1"/>
  <c r="H3878" i="4"/>
  <c r="Y3878" i="4"/>
  <c r="M3878" i="4"/>
  <c r="N3878" i="4" s="1"/>
  <c r="Y4041" i="4"/>
  <c r="M4041" i="4"/>
  <c r="N4041" i="4" s="1"/>
  <c r="H4041" i="4"/>
  <c r="M3711" i="4"/>
  <c r="N3711" i="4" s="1"/>
  <c r="Y3711" i="4"/>
  <c r="H3711" i="4"/>
  <c r="Y3775" i="4"/>
  <c r="H3775" i="4"/>
  <c r="M3775" i="4"/>
  <c r="N3775" i="4" s="1"/>
  <c r="Y3839" i="4"/>
  <c r="H3839" i="4"/>
  <c r="M3839" i="4"/>
  <c r="N3839" i="4" s="1"/>
  <c r="M3901" i="4"/>
  <c r="N3901" i="4" s="1"/>
  <c r="Y3901" i="4"/>
  <c r="H3901" i="4"/>
  <c r="H3985" i="4"/>
  <c r="Y3985" i="4"/>
  <c r="M3985" i="4"/>
  <c r="N3985" i="4" s="1"/>
  <c r="M4155" i="4"/>
  <c r="N4155" i="4" s="1"/>
  <c r="Y4155" i="4"/>
  <c r="H4155" i="4"/>
  <c r="H3940" i="4"/>
  <c r="Y3940" i="4"/>
  <c r="M3940" i="4"/>
  <c r="N3940" i="4" s="1"/>
  <c r="Y4460" i="4"/>
  <c r="M4460" i="4"/>
  <c r="N4460" i="4" s="1"/>
  <c r="H4460" i="4"/>
  <c r="Y4018" i="4"/>
  <c r="H4018" i="4"/>
  <c r="M4018" i="4"/>
  <c r="N4018" i="4" s="1"/>
  <c r="Y4082" i="4"/>
  <c r="M4082" i="4"/>
  <c r="N4082" i="4" s="1"/>
  <c r="H4082" i="4"/>
  <c r="M3243" i="4"/>
  <c r="N3243" i="4" s="1"/>
  <c r="Y3243" i="4"/>
  <c r="H3243" i="4"/>
  <c r="M3251" i="4"/>
  <c r="N3251" i="4" s="1"/>
  <c r="H3251" i="4"/>
  <c r="Y3251" i="4"/>
  <c r="Y3259" i="4"/>
  <c r="H3259" i="4"/>
  <c r="M3259" i="4"/>
  <c r="N3259" i="4" s="1"/>
  <c r="M3267" i="4"/>
  <c r="N3267" i="4" s="1"/>
  <c r="Y3267" i="4"/>
  <c r="H3267" i="4"/>
  <c r="H3275" i="4"/>
  <c r="M3275" i="4"/>
  <c r="N3275" i="4" s="1"/>
  <c r="Y3275" i="4"/>
  <c r="M3283" i="4"/>
  <c r="N3283" i="4" s="1"/>
  <c r="Y3283" i="4"/>
  <c r="H3283" i="4"/>
  <c r="Y3291" i="4"/>
  <c r="M3291" i="4"/>
  <c r="N3291" i="4" s="1"/>
  <c r="H3291" i="4"/>
  <c r="H3299" i="4"/>
  <c r="M3299" i="4"/>
  <c r="N3299" i="4" s="1"/>
  <c r="Y3299" i="4"/>
  <c r="Y3307" i="4"/>
  <c r="H3307" i="4"/>
  <c r="M3307" i="4"/>
  <c r="N3307" i="4" s="1"/>
  <c r="Y3315" i="4"/>
  <c r="M3315" i="4"/>
  <c r="N3315" i="4" s="1"/>
  <c r="H3315" i="4"/>
  <c r="M3323" i="4"/>
  <c r="N3323" i="4" s="1"/>
  <c r="Y3323" i="4"/>
  <c r="H3323" i="4"/>
  <c r="Y3331" i="4"/>
  <c r="M3331" i="4"/>
  <c r="N3331" i="4" s="1"/>
  <c r="H3331" i="4"/>
  <c r="H3339" i="4"/>
  <c r="Y3339" i="4"/>
  <c r="M3339" i="4"/>
  <c r="N3339" i="4" s="1"/>
  <c r="H3347" i="4"/>
  <c r="M3347" i="4"/>
  <c r="N3347" i="4" s="1"/>
  <c r="Y3347" i="4"/>
  <c r="Y3355" i="4"/>
  <c r="M3355" i="4"/>
  <c r="N3355" i="4" s="1"/>
  <c r="H3355" i="4"/>
  <c r="M3363" i="4"/>
  <c r="N3363" i="4" s="1"/>
  <c r="H3363" i="4"/>
  <c r="Y3363" i="4"/>
  <c r="H3371" i="4"/>
  <c r="M3371" i="4"/>
  <c r="N3371" i="4" s="1"/>
  <c r="Y3371" i="4"/>
  <c r="Y3379" i="4"/>
  <c r="M3379" i="4"/>
  <c r="N3379" i="4" s="1"/>
  <c r="H3379" i="4"/>
  <c r="Y3387" i="4"/>
  <c r="H3387" i="4"/>
  <c r="M3387" i="4"/>
  <c r="N3387" i="4" s="1"/>
  <c r="Y3395" i="4"/>
  <c r="M3395" i="4"/>
  <c r="N3395" i="4" s="1"/>
  <c r="H3395" i="4"/>
  <c r="M3403" i="4"/>
  <c r="N3403" i="4" s="1"/>
  <c r="H3403" i="4"/>
  <c r="Y3403" i="4"/>
  <c r="H3411" i="4"/>
  <c r="Y3411" i="4"/>
  <c r="M3411" i="4"/>
  <c r="N3411" i="4" s="1"/>
  <c r="H3419" i="4"/>
  <c r="M3419" i="4"/>
  <c r="N3419" i="4" s="1"/>
  <c r="Y3419" i="4"/>
  <c r="H3427" i="4"/>
  <c r="Y3427" i="4"/>
  <c r="M3427" i="4"/>
  <c r="N3427" i="4" s="1"/>
  <c r="Y3435" i="4"/>
  <c r="M3435" i="4"/>
  <c r="N3435" i="4" s="1"/>
  <c r="H3435" i="4"/>
  <c r="M3443" i="4"/>
  <c r="N3443" i="4" s="1"/>
  <c r="Y3443" i="4"/>
  <c r="H3443" i="4"/>
  <c r="Y3451" i="4"/>
  <c r="H3451" i="4"/>
  <c r="M3451" i="4"/>
  <c r="N3451" i="4" s="1"/>
  <c r="Y3459" i="4"/>
  <c r="M3459" i="4"/>
  <c r="N3459" i="4" s="1"/>
  <c r="H3459" i="4"/>
  <c r="M3467" i="4"/>
  <c r="N3467" i="4" s="1"/>
  <c r="H3467" i="4"/>
  <c r="Y3467" i="4"/>
  <c r="Y3475" i="4"/>
  <c r="H3475" i="4"/>
  <c r="M3475" i="4"/>
  <c r="N3475" i="4" s="1"/>
  <c r="Y3483" i="4"/>
  <c r="M3483" i="4"/>
  <c r="N3483" i="4" s="1"/>
  <c r="H3483" i="4"/>
  <c r="H3491" i="4"/>
  <c r="M3491" i="4"/>
  <c r="N3491" i="4" s="1"/>
  <c r="Y3491" i="4"/>
  <c r="M3499" i="4"/>
  <c r="N3499" i="4" s="1"/>
  <c r="H3499" i="4"/>
  <c r="Y3499" i="4"/>
  <c r="Y3507" i="4"/>
  <c r="H3507" i="4"/>
  <c r="M3507" i="4"/>
  <c r="N3507" i="4" s="1"/>
  <c r="Y3515" i="4"/>
  <c r="M3515" i="4"/>
  <c r="N3515" i="4" s="1"/>
  <c r="H3515" i="4"/>
  <c r="H3523" i="4"/>
  <c r="M3523" i="4"/>
  <c r="N3523" i="4" s="1"/>
  <c r="Y3523" i="4"/>
  <c r="M3531" i="4"/>
  <c r="N3531" i="4" s="1"/>
  <c r="H3531" i="4"/>
  <c r="Y3531" i="4"/>
  <c r="Y3539" i="4"/>
  <c r="H3539" i="4"/>
  <c r="M3539" i="4"/>
  <c r="N3539" i="4" s="1"/>
  <c r="Y3547" i="4"/>
  <c r="M3547" i="4"/>
  <c r="N3547" i="4" s="1"/>
  <c r="H3547" i="4"/>
  <c r="H3555" i="4"/>
  <c r="M3555" i="4"/>
  <c r="N3555" i="4" s="1"/>
  <c r="Y3555" i="4"/>
  <c r="M3563" i="4"/>
  <c r="N3563" i="4" s="1"/>
  <c r="H3563" i="4"/>
  <c r="Y3563" i="4"/>
  <c r="H3571" i="4"/>
  <c r="Y3571" i="4"/>
  <c r="M3571" i="4"/>
  <c r="N3571" i="4" s="1"/>
  <c r="M3579" i="4"/>
  <c r="N3579" i="4" s="1"/>
  <c r="Y3579" i="4"/>
  <c r="H3579" i="4"/>
  <c r="M3587" i="4"/>
  <c r="N3587" i="4" s="1"/>
  <c r="H3587" i="4"/>
  <c r="Y3587" i="4"/>
  <c r="H3595" i="4"/>
  <c r="M3595" i="4"/>
  <c r="N3595" i="4" s="1"/>
  <c r="Y3595" i="4"/>
  <c r="M3603" i="4"/>
  <c r="N3603" i="4" s="1"/>
  <c r="H3603" i="4"/>
  <c r="Y3603" i="4"/>
  <c r="M3611" i="4"/>
  <c r="N3611" i="4" s="1"/>
  <c r="Y3611" i="4"/>
  <c r="H3611" i="4"/>
  <c r="M3619" i="4"/>
  <c r="N3619" i="4" s="1"/>
  <c r="H3619" i="4"/>
  <c r="Y3619" i="4"/>
  <c r="M3627" i="4"/>
  <c r="N3627" i="4" s="1"/>
  <c r="Y3627" i="4"/>
  <c r="H3627" i="4"/>
  <c r="Y3635" i="4"/>
  <c r="H3635" i="4"/>
  <c r="M3635" i="4"/>
  <c r="N3635" i="4" s="1"/>
  <c r="M3643" i="4"/>
  <c r="N3643" i="4" s="1"/>
  <c r="H3643" i="4"/>
  <c r="Y3643" i="4"/>
  <c r="H3651" i="4"/>
  <c r="M3651" i="4"/>
  <c r="N3651" i="4" s="1"/>
  <c r="Y3651" i="4"/>
  <c r="H3659" i="4"/>
  <c r="M3659" i="4"/>
  <c r="N3659" i="4" s="1"/>
  <c r="Y3659" i="4"/>
  <c r="Y3667" i="4"/>
  <c r="M3667" i="4"/>
  <c r="N3667" i="4" s="1"/>
  <c r="H3667" i="4"/>
  <c r="Y3688" i="4"/>
  <c r="H3688" i="4"/>
  <c r="M3688" i="4"/>
  <c r="N3688" i="4" s="1"/>
  <c r="M3696" i="4"/>
  <c r="N3696" i="4" s="1"/>
  <c r="H3696" i="4"/>
  <c r="Y3696" i="4"/>
  <c r="H3704" i="4"/>
  <c r="Y3704" i="4"/>
  <c r="M3704" i="4"/>
  <c r="N3704" i="4" s="1"/>
  <c r="H3712" i="4"/>
  <c r="Y3712" i="4"/>
  <c r="M3712" i="4"/>
  <c r="N3712" i="4" s="1"/>
  <c r="H3720" i="4"/>
  <c r="Y3720" i="4"/>
  <c r="M3720" i="4"/>
  <c r="N3720" i="4" s="1"/>
  <c r="H3728" i="4"/>
  <c r="M3728" i="4"/>
  <c r="N3728" i="4" s="1"/>
  <c r="Y3728" i="4"/>
  <c r="H3736" i="4"/>
  <c r="Y3736" i="4"/>
  <c r="M3736" i="4"/>
  <c r="N3736" i="4" s="1"/>
  <c r="H3744" i="4"/>
  <c r="M3744" i="4"/>
  <c r="N3744" i="4" s="1"/>
  <c r="Y3744" i="4"/>
  <c r="Y3752" i="4"/>
  <c r="H3752" i="4"/>
  <c r="M3752" i="4"/>
  <c r="N3752" i="4" s="1"/>
  <c r="Y3760" i="4"/>
  <c r="H3760" i="4"/>
  <c r="M3760" i="4"/>
  <c r="N3760" i="4" s="1"/>
  <c r="H3768" i="4"/>
  <c r="Y3768" i="4"/>
  <c r="M3768" i="4"/>
  <c r="N3768" i="4" s="1"/>
  <c r="M3776" i="4"/>
  <c r="N3776" i="4" s="1"/>
  <c r="H3776" i="4"/>
  <c r="Y3776" i="4"/>
  <c r="H3784" i="4"/>
  <c r="Y3784" i="4"/>
  <c r="M3784" i="4"/>
  <c r="N3784" i="4" s="1"/>
  <c r="H3792" i="4"/>
  <c r="Y3792" i="4"/>
  <c r="M3792" i="4"/>
  <c r="N3792" i="4" s="1"/>
  <c r="Y3800" i="4"/>
  <c r="M3800" i="4"/>
  <c r="N3800" i="4" s="1"/>
  <c r="H3800" i="4"/>
  <c r="M3808" i="4"/>
  <c r="N3808" i="4" s="1"/>
  <c r="Y3808" i="4"/>
  <c r="H3808" i="4"/>
  <c r="Y3816" i="4"/>
  <c r="M3816" i="4"/>
  <c r="N3816" i="4" s="1"/>
  <c r="H3816" i="4"/>
  <c r="M3824" i="4"/>
  <c r="N3824" i="4" s="1"/>
  <c r="Y3824" i="4"/>
  <c r="H3824" i="4"/>
  <c r="Y3832" i="4"/>
  <c r="M3832" i="4"/>
  <c r="N3832" i="4" s="1"/>
  <c r="H3832" i="4"/>
  <c r="M3840" i="4"/>
  <c r="N3840" i="4" s="1"/>
  <c r="Y3840" i="4"/>
  <c r="H3840" i="4"/>
  <c r="Y3848" i="4"/>
  <c r="M3848" i="4"/>
  <c r="N3848" i="4" s="1"/>
  <c r="H3848" i="4"/>
  <c r="M3856" i="4"/>
  <c r="N3856" i="4" s="1"/>
  <c r="Y3856" i="4"/>
  <c r="H3856" i="4"/>
  <c r="Y3864" i="4"/>
  <c r="M3864" i="4"/>
  <c r="N3864" i="4" s="1"/>
  <c r="H3864" i="4"/>
  <c r="M3872" i="4"/>
  <c r="N3872" i="4" s="1"/>
  <c r="Y3872" i="4"/>
  <c r="H3872" i="4"/>
  <c r="Y3880" i="4"/>
  <c r="M3880" i="4"/>
  <c r="N3880" i="4" s="1"/>
  <c r="H3880" i="4"/>
  <c r="M3888" i="4"/>
  <c r="N3888" i="4" s="1"/>
  <c r="Y3888" i="4"/>
  <c r="H3888" i="4"/>
  <c r="M4033" i="4"/>
  <c r="N4033" i="4" s="1"/>
  <c r="Y4033" i="4"/>
  <c r="H4033" i="4"/>
  <c r="Y4065" i="4"/>
  <c r="M4065" i="4"/>
  <c r="N4065" i="4" s="1"/>
  <c r="H4065" i="4"/>
  <c r="M4097" i="4"/>
  <c r="N4097" i="4" s="1"/>
  <c r="H4097" i="4"/>
  <c r="Y4097" i="4"/>
  <c r="M3896" i="4"/>
  <c r="N3896" i="4" s="1"/>
  <c r="Y3896" i="4"/>
  <c r="H3896" i="4"/>
  <c r="Y4014" i="4"/>
  <c r="H4014" i="4"/>
  <c r="M4014" i="4"/>
  <c r="N4014" i="4" s="1"/>
  <c r="Y4078" i="4"/>
  <c r="H4078" i="4"/>
  <c r="M4078" i="4"/>
  <c r="N4078" i="4" s="1"/>
  <c r="Y3683" i="4"/>
  <c r="M3683" i="4"/>
  <c r="N3683" i="4" s="1"/>
  <c r="H3683" i="4"/>
  <c r="M3699" i="4"/>
  <c r="N3699" i="4" s="1"/>
  <c r="H3699" i="4"/>
  <c r="Y3699" i="4"/>
  <c r="Y3715" i="4"/>
  <c r="M3715" i="4"/>
  <c r="N3715" i="4" s="1"/>
  <c r="H3715" i="4"/>
  <c r="H3731" i="4"/>
  <c r="Y3731" i="4"/>
  <c r="M3731" i="4"/>
  <c r="N3731" i="4" s="1"/>
  <c r="H3747" i="4"/>
  <c r="M3747" i="4"/>
  <c r="N3747" i="4" s="1"/>
  <c r="Y3747" i="4"/>
  <c r="H3763" i="4"/>
  <c r="M3763" i="4"/>
  <c r="N3763" i="4" s="1"/>
  <c r="Y3763" i="4"/>
  <c r="M3779" i="4"/>
  <c r="N3779" i="4" s="1"/>
  <c r="H3779" i="4"/>
  <c r="Y3779" i="4"/>
  <c r="H3795" i="4"/>
  <c r="M3795" i="4"/>
  <c r="N3795" i="4" s="1"/>
  <c r="Y3795" i="4"/>
  <c r="M3811" i="4"/>
  <c r="N3811" i="4" s="1"/>
  <c r="H3811" i="4"/>
  <c r="Y3811" i="4"/>
  <c r="H3827" i="4"/>
  <c r="M3827" i="4"/>
  <c r="N3827" i="4" s="1"/>
  <c r="Y3827" i="4"/>
  <c r="M3843" i="4"/>
  <c r="N3843" i="4" s="1"/>
  <c r="H3843" i="4"/>
  <c r="Y3843" i="4"/>
  <c r="H3859" i="4"/>
  <c r="M3859" i="4"/>
  <c r="N3859" i="4" s="1"/>
  <c r="Y3859" i="4"/>
  <c r="M3875" i="4"/>
  <c r="N3875" i="4" s="1"/>
  <c r="H3875" i="4"/>
  <c r="Y3875" i="4"/>
  <c r="H3891" i="4"/>
  <c r="M3891" i="4"/>
  <c r="N3891" i="4" s="1"/>
  <c r="Y3891" i="4"/>
  <c r="H4037" i="4"/>
  <c r="Y4037" i="4"/>
  <c r="M4037" i="4"/>
  <c r="N4037" i="4" s="1"/>
  <c r="M4101" i="4"/>
  <c r="N4101" i="4" s="1"/>
  <c r="H4101" i="4"/>
  <c r="Y4101" i="4"/>
  <c r="Y4008" i="4"/>
  <c r="H4008" i="4"/>
  <c r="M4008" i="4"/>
  <c r="N4008" i="4" s="1"/>
  <c r="Y4072" i="4"/>
  <c r="H4072" i="4"/>
  <c r="M4072" i="4"/>
  <c r="N4072" i="4" s="1"/>
  <c r="Y3905" i="4"/>
  <c r="H3905" i="4"/>
  <c r="M3905" i="4"/>
  <c r="N3905" i="4" s="1"/>
  <c r="M3927" i="4"/>
  <c r="N3927" i="4" s="1"/>
  <c r="Y3927" i="4"/>
  <c r="H3927" i="4"/>
  <c r="Y3949" i="4"/>
  <c r="M3949" i="4"/>
  <c r="N3949" i="4" s="1"/>
  <c r="H3949" i="4"/>
  <c r="H3969" i="4"/>
  <c r="Y3969" i="4"/>
  <c r="M3969" i="4"/>
  <c r="N3969" i="4" s="1"/>
  <c r="M3991" i="4"/>
  <c r="N3991" i="4" s="1"/>
  <c r="H3991" i="4"/>
  <c r="Y3991" i="4"/>
  <c r="M4015" i="4"/>
  <c r="N4015" i="4" s="1"/>
  <c r="H4015" i="4"/>
  <c r="Y4015" i="4"/>
  <c r="M4071" i="4"/>
  <c r="N4071" i="4" s="1"/>
  <c r="H4071" i="4"/>
  <c r="Y4071" i="4"/>
  <c r="M4060" i="4"/>
  <c r="N4060" i="4" s="1"/>
  <c r="Y4060" i="4"/>
  <c r="H4060" i="4"/>
  <c r="Y3902" i="4"/>
  <c r="M3902" i="4"/>
  <c r="N3902" i="4" s="1"/>
  <c r="H3902" i="4"/>
  <c r="H3924" i="4"/>
  <c r="Y3924" i="4"/>
  <c r="M3924" i="4"/>
  <c r="N3924" i="4" s="1"/>
  <c r="M3944" i="4"/>
  <c r="N3944" i="4" s="1"/>
  <c r="H3944" i="4"/>
  <c r="Y3944" i="4"/>
  <c r="Y3966" i="4"/>
  <c r="H3966" i="4"/>
  <c r="M3966" i="4"/>
  <c r="N3966" i="4" s="1"/>
  <c r="Y3988" i="4"/>
  <c r="M3988" i="4"/>
  <c r="N3988" i="4" s="1"/>
  <c r="H3988" i="4"/>
  <c r="M4067" i="4"/>
  <c r="N4067" i="4" s="1"/>
  <c r="Y4067" i="4"/>
  <c r="H4067" i="4"/>
  <c r="Y4157" i="4"/>
  <c r="M4157" i="4"/>
  <c r="N4157" i="4" s="1"/>
  <c r="H4157" i="4"/>
  <c r="H4235" i="4"/>
  <c r="M4235" i="4"/>
  <c r="N4235" i="4" s="1"/>
  <c r="Y4235" i="4"/>
  <c r="Y4169" i="4"/>
  <c r="M4169" i="4"/>
  <c r="N4169" i="4" s="1"/>
  <c r="H4169" i="4"/>
  <c r="M4253" i="4"/>
  <c r="N4253" i="4" s="1"/>
  <c r="Y4253" i="4"/>
  <c r="H4253" i="4"/>
  <c r="M4285" i="4"/>
  <c r="N4285" i="4" s="1"/>
  <c r="Y4285" i="4"/>
  <c r="H4285" i="4"/>
  <c r="M4302" i="4"/>
  <c r="N4302" i="4" s="1"/>
  <c r="H4302" i="4"/>
  <c r="Y4302" i="4"/>
  <c r="Y3682" i="4"/>
  <c r="M3682" i="4"/>
  <c r="N3682" i="4" s="1"/>
  <c r="H3682" i="4"/>
  <c r="Y3690" i="4"/>
  <c r="M3690" i="4"/>
  <c r="N3690" i="4" s="1"/>
  <c r="H3690" i="4"/>
  <c r="Y3698" i="4"/>
  <c r="M3698" i="4"/>
  <c r="N3698" i="4" s="1"/>
  <c r="H3698" i="4"/>
  <c r="Y3706" i="4"/>
  <c r="M3706" i="4"/>
  <c r="N3706" i="4" s="1"/>
  <c r="H3706" i="4"/>
  <c r="Y3714" i="4"/>
  <c r="M3714" i="4"/>
  <c r="N3714" i="4" s="1"/>
  <c r="H3714" i="4"/>
  <c r="Y3722" i="4"/>
  <c r="M3722" i="4"/>
  <c r="N3722" i="4" s="1"/>
  <c r="H3722" i="4"/>
  <c r="Y3730" i="4"/>
  <c r="M3730" i="4"/>
  <c r="N3730" i="4" s="1"/>
  <c r="H3730" i="4"/>
  <c r="Y3738" i="4"/>
  <c r="H3738" i="4"/>
  <c r="M3738" i="4"/>
  <c r="N3738" i="4" s="1"/>
  <c r="Y3746" i="4"/>
  <c r="H3746" i="4"/>
  <c r="M3746" i="4"/>
  <c r="N3746" i="4" s="1"/>
  <c r="M3754" i="4"/>
  <c r="N3754" i="4" s="1"/>
  <c r="H3754" i="4"/>
  <c r="Y3754" i="4"/>
  <c r="H3762" i="4"/>
  <c r="M3762" i="4"/>
  <c r="N3762" i="4" s="1"/>
  <c r="Y3762" i="4"/>
  <c r="Y3770" i="4"/>
  <c r="M3770" i="4"/>
  <c r="N3770" i="4" s="1"/>
  <c r="H3770" i="4"/>
  <c r="Y3778" i="4"/>
  <c r="M3778" i="4"/>
  <c r="N3778" i="4" s="1"/>
  <c r="H3778" i="4"/>
  <c r="M3786" i="4"/>
  <c r="N3786" i="4" s="1"/>
  <c r="Y3786" i="4"/>
  <c r="H3786" i="4"/>
  <c r="M3794" i="4"/>
  <c r="N3794" i="4" s="1"/>
  <c r="H3794" i="4"/>
  <c r="Y3794" i="4"/>
  <c r="M3802" i="4"/>
  <c r="N3802" i="4" s="1"/>
  <c r="Y3802" i="4"/>
  <c r="H3802" i="4"/>
  <c r="M3810" i="4"/>
  <c r="N3810" i="4" s="1"/>
  <c r="H3810" i="4"/>
  <c r="Y3810" i="4"/>
  <c r="M3818" i="4"/>
  <c r="N3818" i="4" s="1"/>
  <c r="Y3818" i="4"/>
  <c r="H3818" i="4"/>
  <c r="M3826" i="4"/>
  <c r="N3826" i="4" s="1"/>
  <c r="H3826" i="4"/>
  <c r="Y3826" i="4"/>
  <c r="M3834" i="4"/>
  <c r="N3834" i="4" s="1"/>
  <c r="Y3834" i="4"/>
  <c r="H3834" i="4"/>
  <c r="M3842" i="4"/>
  <c r="N3842" i="4" s="1"/>
  <c r="H3842" i="4"/>
  <c r="Y3842" i="4"/>
  <c r="M3850" i="4"/>
  <c r="N3850" i="4" s="1"/>
  <c r="Y3850" i="4"/>
  <c r="H3850" i="4"/>
  <c r="M3858" i="4"/>
  <c r="N3858" i="4" s="1"/>
  <c r="H3858" i="4"/>
  <c r="Y3858" i="4"/>
  <c r="M3866" i="4"/>
  <c r="N3866" i="4" s="1"/>
  <c r="Y3866" i="4"/>
  <c r="H3866" i="4"/>
  <c r="M3874" i="4"/>
  <c r="N3874" i="4" s="1"/>
  <c r="H3874" i="4"/>
  <c r="Y3874" i="4"/>
  <c r="M3882" i="4"/>
  <c r="N3882" i="4" s="1"/>
  <c r="Y3882" i="4"/>
  <c r="H3882" i="4"/>
  <c r="M3890" i="4"/>
  <c r="N3890" i="4" s="1"/>
  <c r="H3890" i="4"/>
  <c r="Y3890" i="4"/>
  <c r="H4025" i="4"/>
  <c r="Y4025" i="4"/>
  <c r="M4025" i="4"/>
  <c r="N4025" i="4" s="1"/>
  <c r="Y4057" i="4"/>
  <c r="H4057" i="4"/>
  <c r="M4057" i="4"/>
  <c r="N4057" i="4" s="1"/>
  <c r="Y4089" i="4"/>
  <c r="M4089" i="4"/>
  <c r="N4089" i="4" s="1"/>
  <c r="H4089" i="4"/>
  <c r="M4030" i="4"/>
  <c r="N4030" i="4" s="1"/>
  <c r="Y4030" i="4"/>
  <c r="H4030" i="4"/>
  <c r="M4094" i="4"/>
  <c r="N4094" i="4" s="1"/>
  <c r="Y4094" i="4"/>
  <c r="H4094" i="4"/>
  <c r="Y3687" i="4"/>
  <c r="H3687" i="4"/>
  <c r="M3687" i="4"/>
  <c r="N3687" i="4" s="1"/>
  <c r="Y3703" i="4"/>
  <c r="M3703" i="4"/>
  <c r="N3703" i="4" s="1"/>
  <c r="H3703" i="4"/>
  <c r="Y3719" i="4"/>
  <c r="M3719" i="4"/>
  <c r="N3719" i="4" s="1"/>
  <c r="H3719" i="4"/>
  <c r="M3735" i="4"/>
  <c r="N3735" i="4" s="1"/>
  <c r="H3735" i="4"/>
  <c r="Y3735" i="4"/>
  <c r="Y3751" i="4"/>
  <c r="M3751" i="4"/>
  <c r="N3751" i="4" s="1"/>
  <c r="H3751" i="4"/>
  <c r="Y3767" i="4"/>
  <c r="H3767" i="4"/>
  <c r="M3767" i="4"/>
  <c r="N3767" i="4" s="1"/>
  <c r="H3783" i="4"/>
  <c r="Y3783" i="4"/>
  <c r="M3783" i="4"/>
  <c r="N3783" i="4" s="1"/>
  <c r="H3799" i="4"/>
  <c r="Y3799" i="4"/>
  <c r="M3799" i="4"/>
  <c r="N3799" i="4" s="1"/>
  <c r="H3815" i="4"/>
  <c r="Y3815" i="4"/>
  <c r="M3815" i="4"/>
  <c r="N3815" i="4" s="1"/>
  <c r="M3831" i="4"/>
  <c r="N3831" i="4" s="1"/>
  <c r="Y3831" i="4"/>
  <c r="H3831" i="4"/>
  <c r="H3847" i="4"/>
  <c r="Y3847" i="4"/>
  <c r="M3847" i="4"/>
  <c r="N3847" i="4" s="1"/>
  <c r="M3863" i="4"/>
  <c r="N3863" i="4" s="1"/>
  <c r="Y3863" i="4"/>
  <c r="H3863" i="4"/>
  <c r="H3879" i="4"/>
  <c r="Y3879" i="4"/>
  <c r="M3879" i="4"/>
  <c r="N3879" i="4" s="1"/>
  <c r="H4021" i="4"/>
  <c r="Y4021" i="4"/>
  <c r="M4021" i="4"/>
  <c r="N4021" i="4" s="1"/>
  <c r="Y4085" i="4"/>
  <c r="H4085" i="4"/>
  <c r="M4085" i="4"/>
  <c r="N4085" i="4" s="1"/>
  <c r="H4056" i="4"/>
  <c r="Y4056" i="4"/>
  <c r="M4056" i="4"/>
  <c r="N4056" i="4" s="1"/>
  <c r="H3911" i="4"/>
  <c r="Y3911" i="4"/>
  <c r="M3911" i="4"/>
  <c r="N3911" i="4" s="1"/>
  <c r="H3933" i="4"/>
  <c r="Y3933" i="4"/>
  <c r="M3933" i="4"/>
  <c r="N3933" i="4" s="1"/>
  <c r="H3953" i="4"/>
  <c r="Y3953" i="4"/>
  <c r="M3953" i="4"/>
  <c r="N3953" i="4" s="1"/>
  <c r="M3975" i="4"/>
  <c r="N3975" i="4" s="1"/>
  <c r="H3975" i="4"/>
  <c r="Y3975" i="4"/>
  <c r="Y3997" i="4"/>
  <c r="M3997" i="4"/>
  <c r="N3997" i="4" s="1"/>
  <c r="H3997" i="4"/>
  <c r="H4079" i="4"/>
  <c r="Y4079" i="4"/>
  <c r="M4079" i="4"/>
  <c r="N4079" i="4" s="1"/>
  <c r="Y4107" i="4"/>
  <c r="M4107" i="4"/>
  <c r="N4107" i="4" s="1"/>
  <c r="H4107" i="4"/>
  <c r="Y4012" i="4"/>
  <c r="H4012" i="4"/>
  <c r="M4012" i="4"/>
  <c r="N4012" i="4" s="1"/>
  <c r="Y4068" i="4"/>
  <c r="H4068" i="4"/>
  <c r="M4068" i="4"/>
  <c r="N4068" i="4" s="1"/>
  <c r="Y4131" i="4"/>
  <c r="H4131" i="4"/>
  <c r="M4131" i="4"/>
  <c r="N4131" i="4" s="1"/>
  <c r="H3908" i="4"/>
  <c r="Y3908" i="4"/>
  <c r="M3908" i="4"/>
  <c r="N3908" i="4" s="1"/>
  <c r="M3928" i="4"/>
  <c r="N3928" i="4" s="1"/>
  <c r="H3928" i="4"/>
  <c r="Y3928" i="4"/>
  <c r="Y3950" i="4"/>
  <c r="H3950" i="4"/>
  <c r="M3950" i="4"/>
  <c r="N3950" i="4" s="1"/>
  <c r="Y3972" i="4"/>
  <c r="H3972" i="4"/>
  <c r="M3972" i="4"/>
  <c r="N3972" i="4" s="1"/>
  <c r="H3992" i="4"/>
  <c r="M3992" i="4"/>
  <c r="N3992" i="4" s="1"/>
  <c r="Y3992" i="4"/>
  <c r="H4171" i="4"/>
  <c r="Y4171" i="4"/>
  <c r="M4171" i="4"/>
  <c r="N4171" i="4" s="1"/>
  <c r="Y4259" i="4"/>
  <c r="M4259" i="4"/>
  <c r="N4259" i="4" s="1"/>
  <c r="H4259" i="4"/>
  <c r="H4189" i="4"/>
  <c r="M4189" i="4"/>
  <c r="N4189" i="4" s="1"/>
  <c r="Y4189" i="4"/>
  <c r="M4277" i="4"/>
  <c r="N4277" i="4" s="1"/>
  <c r="H4277" i="4"/>
  <c r="Y4277" i="4"/>
  <c r="H4135" i="4"/>
  <c r="Y4135" i="4"/>
  <c r="M4135" i="4"/>
  <c r="N4135" i="4" s="1"/>
  <c r="M4301" i="4"/>
  <c r="N4301" i="4" s="1"/>
  <c r="Y4301" i="4"/>
  <c r="H4301" i="4"/>
  <c r="Y4417" i="4"/>
  <c r="M4417" i="4"/>
  <c r="N4417" i="4" s="1"/>
  <c r="H4417" i="4"/>
  <c r="M4050" i="4"/>
  <c r="N4050" i="4" s="1"/>
  <c r="Y4050" i="4"/>
  <c r="H4050" i="4"/>
  <c r="M3247" i="4"/>
  <c r="N3247" i="4" s="1"/>
  <c r="H3247" i="4"/>
  <c r="Y3247" i="4"/>
  <c r="M3255" i="4"/>
  <c r="N3255" i="4" s="1"/>
  <c r="H3255" i="4"/>
  <c r="Y3255" i="4"/>
  <c r="Y3263" i="4"/>
  <c r="M3263" i="4"/>
  <c r="N3263" i="4" s="1"/>
  <c r="H3263" i="4"/>
  <c r="H3271" i="4"/>
  <c r="Y3271" i="4"/>
  <c r="M3271" i="4"/>
  <c r="N3271" i="4" s="1"/>
  <c r="H3279" i="4"/>
  <c r="M3279" i="4"/>
  <c r="N3279" i="4" s="1"/>
  <c r="Y3279" i="4"/>
  <c r="H3287" i="4"/>
  <c r="M3287" i="4"/>
  <c r="N3287" i="4" s="1"/>
  <c r="Y3287" i="4"/>
  <c r="H3295" i="4"/>
  <c r="M3295" i="4"/>
  <c r="N3295" i="4" s="1"/>
  <c r="Y3295" i="4"/>
  <c r="H3303" i="4"/>
  <c r="M3303" i="4"/>
  <c r="N3303" i="4" s="1"/>
  <c r="Y3303" i="4"/>
  <c r="H3311" i="4"/>
  <c r="M3311" i="4"/>
  <c r="N3311" i="4" s="1"/>
  <c r="Y3311" i="4"/>
  <c r="H3319" i="4"/>
  <c r="M3319" i="4"/>
  <c r="N3319" i="4" s="1"/>
  <c r="Y3319" i="4"/>
  <c r="M3327" i="4"/>
  <c r="N3327" i="4" s="1"/>
  <c r="H3327" i="4"/>
  <c r="Y3327" i="4"/>
  <c r="H3335" i="4"/>
  <c r="M3335" i="4"/>
  <c r="N3335" i="4" s="1"/>
  <c r="Y3335" i="4"/>
  <c r="H3343" i="4"/>
  <c r="M3343" i="4"/>
  <c r="N3343" i="4" s="1"/>
  <c r="Y3343" i="4"/>
  <c r="H3351" i="4"/>
  <c r="M3351" i="4"/>
  <c r="N3351" i="4" s="1"/>
  <c r="Y3351" i="4"/>
  <c r="H3359" i="4"/>
  <c r="M3359" i="4"/>
  <c r="N3359" i="4" s="1"/>
  <c r="Y3359" i="4"/>
  <c r="H3367" i="4"/>
  <c r="M3367" i="4"/>
  <c r="N3367" i="4" s="1"/>
  <c r="Y3367" i="4"/>
  <c r="H3375" i="4"/>
  <c r="M3375" i="4"/>
  <c r="N3375" i="4" s="1"/>
  <c r="Y3375" i="4"/>
  <c r="Y3383" i="4"/>
  <c r="M3383" i="4"/>
  <c r="N3383" i="4" s="1"/>
  <c r="H3383" i="4"/>
  <c r="M3391" i="4"/>
  <c r="N3391" i="4" s="1"/>
  <c r="H3391" i="4"/>
  <c r="Y3391" i="4"/>
  <c r="M3399" i="4"/>
  <c r="N3399" i="4" s="1"/>
  <c r="H3399" i="4"/>
  <c r="Y3399" i="4"/>
  <c r="H3407" i="4"/>
  <c r="M3407" i="4"/>
  <c r="N3407" i="4" s="1"/>
  <c r="Y3407" i="4"/>
  <c r="M3415" i="4"/>
  <c r="N3415" i="4" s="1"/>
  <c r="H3415" i="4"/>
  <c r="Y3415" i="4"/>
  <c r="M3423" i="4"/>
  <c r="N3423" i="4" s="1"/>
  <c r="H3423" i="4"/>
  <c r="Y3423" i="4"/>
  <c r="H3431" i="4"/>
  <c r="Y3431" i="4"/>
  <c r="M3431" i="4"/>
  <c r="N3431" i="4" s="1"/>
  <c r="H3439" i="4"/>
  <c r="M3439" i="4"/>
  <c r="N3439" i="4" s="1"/>
  <c r="Y3439" i="4"/>
  <c r="Y3447" i="4"/>
  <c r="M3447" i="4"/>
  <c r="N3447" i="4" s="1"/>
  <c r="H3447" i="4"/>
  <c r="M3455" i="4"/>
  <c r="N3455" i="4" s="1"/>
  <c r="H3455" i="4"/>
  <c r="Y3455" i="4"/>
  <c r="H3463" i="4"/>
  <c r="Y3463" i="4"/>
  <c r="M3463" i="4"/>
  <c r="N3463" i="4" s="1"/>
  <c r="H3471" i="4"/>
  <c r="M3471" i="4"/>
  <c r="N3471" i="4" s="1"/>
  <c r="Y3471" i="4"/>
  <c r="H3479" i="4"/>
  <c r="Y3479" i="4"/>
  <c r="M3479" i="4"/>
  <c r="N3479" i="4" s="1"/>
  <c r="H3487" i="4"/>
  <c r="Y3487" i="4"/>
  <c r="M3487" i="4"/>
  <c r="N3487" i="4" s="1"/>
  <c r="Y3495" i="4"/>
  <c r="M3495" i="4"/>
  <c r="N3495" i="4" s="1"/>
  <c r="H3495" i="4"/>
  <c r="H3503" i="4"/>
  <c r="M3503" i="4"/>
  <c r="N3503" i="4" s="1"/>
  <c r="Y3503" i="4"/>
  <c r="H3511" i="4"/>
  <c r="Y3511" i="4"/>
  <c r="M3511" i="4"/>
  <c r="N3511" i="4" s="1"/>
  <c r="H3519" i="4"/>
  <c r="Y3519" i="4"/>
  <c r="M3519" i="4"/>
  <c r="N3519" i="4" s="1"/>
  <c r="Y3527" i="4"/>
  <c r="M3527" i="4"/>
  <c r="N3527" i="4" s="1"/>
  <c r="H3527" i="4"/>
  <c r="M3535" i="4"/>
  <c r="N3535" i="4" s="1"/>
  <c r="H3535" i="4"/>
  <c r="Y3535" i="4"/>
  <c r="Y3543" i="4"/>
  <c r="H3543" i="4"/>
  <c r="M3543" i="4"/>
  <c r="N3543" i="4" s="1"/>
  <c r="H3551" i="4"/>
  <c r="Y3551" i="4"/>
  <c r="M3551" i="4"/>
  <c r="N3551" i="4" s="1"/>
  <c r="Y3559" i="4"/>
  <c r="M3559" i="4"/>
  <c r="N3559" i="4" s="1"/>
  <c r="H3559" i="4"/>
  <c r="M3567" i="4"/>
  <c r="N3567" i="4" s="1"/>
  <c r="H3567" i="4"/>
  <c r="Y3567" i="4"/>
  <c r="Y3575" i="4"/>
  <c r="H3575" i="4"/>
  <c r="M3575" i="4"/>
  <c r="N3575" i="4" s="1"/>
  <c r="H3583" i="4"/>
  <c r="Y3583" i="4"/>
  <c r="M3583" i="4"/>
  <c r="N3583" i="4" s="1"/>
  <c r="Y3591" i="4"/>
  <c r="M3591" i="4"/>
  <c r="N3591" i="4" s="1"/>
  <c r="H3591" i="4"/>
  <c r="H3599" i="4"/>
  <c r="M3599" i="4"/>
  <c r="N3599" i="4" s="1"/>
  <c r="Y3599" i="4"/>
  <c r="H3607" i="4"/>
  <c r="Y3607" i="4"/>
  <c r="M3607" i="4"/>
  <c r="N3607" i="4" s="1"/>
  <c r="H3615" i="4"/>
  <c r="Y3615" i="4"/>
  <c r="M3615" i="4"/>
  <c r="N3615" i="4" s="1"/>
  <c r="Y3623" i="4"/>
  <c r="M3623" i="4"/>
  <c r="N3623" i="4" s="1"/>
  <c r="H3623" i="4"/>
  <c r="Y3631" i="4"/>
  <c r="M3631" i="4"/>
  <c r="N3631" i="4" s="1"/>
  <c r="H3631" i="4"/>
  <c r="M3639" i="4"/>
  <c r="N3639" i="4" s="1"/>
  <c r="H3639" i="4"/>
  <c r="Y3639" i="4"/>
  <c r="Y3647" i="4"/>
  <c r="M3647" i="4"/>
  <c r="N3647" i="4" s="1"/>
  <c r="H3647" i="4"/>
  <c r="M3655" i="4"/>
  <c r="N3655" i="4" s="1"/>
  <c r="H3655" i="4"/>
  <c r="Y3655" i="4"/>
  <c r="Y3663" i="4"/>
  <c r="M3663" i="4"/>
  <c r="N3663" i="4" s="1"/>
  <c r="H3663" i="4"/>
  <c r="H3671" i="4"/>
  <c r="Y3671" i="4"/>
  <c r="M3671" i="4"/>
  <c r="N3671" i="4" s="1"/>
  <c r="H3684" i="4"/>
  <c r="Y3684" i="4"/>
  <c r="M3684" i="4"/>
  <c r="N3684" i="4" s="1"/>
  <c r="Y3692" i="4"/>
  <c r="M3692" i="4"/>
  <c r="N3692" i="4" s="1"/>
  <c r="H3692" i="4"/>
  <c r="M3700" i="4"/>
  <c r="N3700" i="4" s="1"/>
  <c r="H3700" i="4"/>
  <c r="Y3700" i="4"/>
  <c r="M3708" i="4"/>
  <c r="N3708" i="4" s="1"/>
  <c r="H3708" i="4"/>
  <c r="Y3708" i="4"/>
  <c r="H3716" i="4"/>
  <c r="Y3716" i="4"/>
  <c r="M3716" i="4"/>
  <c r="N3716" i="4" s="1"/>
  <c r="Y3724" i="4"/>
  <c r="M3724" i="4"/>
  <c r="N3724" i="4" s="1"/>
  <c r="H3724" i="4"/>
  <c r="M3732" i="4"/>
  <c r="N3732" i="4" s="1"/>
  <c r="H3732" i="4"/>
  <c r="Y3732" i="4"/>
  <c r="M3740" i="4"/>
  <c r="N3740" i="4" s="1"/>
  <c r="H3740" i="4"/>
  <c r="Y3740" i="4"/>
  <c r="H3748" i="4"/>
  <c r="Y3748" i="4"/>
  <c r="M3748" i="4"/>
  <c r="N3748" i="4" s="1"/>
  <c r="Y3756" i="4"/>
  <c r="M3756" i="4"/>
  <c r="N3756" i="4" s="1"/>
  <c r="H3756" i="4"/>
  <c r="M3764" i="4"/>
  <c r="N3764" i="4" s="1"/>
  <c r="H3764" i="4"/>
  <c r="Y3764" i="4"/>
  <c r="M3772" i="4"/>
  <c r="N3772" i="4" s="1"/>
  <c r="H3772" i="4"/>
  <c r="Y3772" i="4"/>
  <c r="H3780" i="4"/>
  <c r="Y3780" i="4"/>
  <c r="M3780" i="4"/>
  <c r="N3780" i="4" s="1"/>
  <c r="Y3788" i="4"/>
  <c r="M3788" i="4"/>
  <c r="N3788" i="4" s="1"/>
  <c r="H3788" i="4"/>
  <c r="Y3796" i="4"/>
  <c r="M3796" i="4"/>
  <c r="N3796" i="4" s="1"/>
  <c r="H3796" i="4"/>
  <c r="Y3804" i="4"/>
  <c r="M3804" i="4"/>
  <c r="N3804" i="4" s="1"/>
  <c r="H3804" i="4"/>
  <c r="Y3812" i="4"/>
  <c r="M3812" i="4"/>
  <c r="N3812" i="4" s="1"/>
  <c r="H3812" i="4"/>
  <c r="Y3820" i="4"/>
  <c r="M3820" i="4"/>
  <c r="N3820" i="4" s="1"/>
  <c r="H3820" i="4"/>
  <c r="Y3828" i="4"/>
  <c r="M3828" i="4"/>
  <c r="N3828" i="4" s="1"/>
  <c r="H3828" i="4"/>
  <c r="Y3836" i="4"/>
  <c r="M3836" i="4"/>
  <c r="N3836" i="4" s="1"/>
  <c r="H3836" i="4"/>
  <c r="Y3844" i="4"/>
  <c r="M3844" i="4"/>
  <c r="N3844" i="4" s="1"/>
  <c r="H3844" i="4"/>
  <c r="Y3852" i="4"/>
  <c r="M3852" i="4"/>
  <c r="N3852" i="4" s="1"/>
  <c r="H3852" i="4"/>
  <c r="Y3860" i="4"/>
  <c r="M3860" i="4"/>
  <c r="N3860" i="4" s="1"/>
  <c r="H3860" i="4"/>
  <c r="Y3868" i="4"/>
  <c r="M3868" i="4"/>
  <c r="N3868" i="4" s="1"/>
  <c r="H3868" i="4"/>
  <c r="Y3876" i="4"/>
  <c r="M3876" i="4"/>
  <c r="N3876" i="4" s="1"/>
  <c r="H3876" i="4"/>
  <c r="Y3884" i="4"/>
  <c r="M3884" i="4"/>
  <c r="N3884" i="4" s="1"/>
  <c r="H3884" i="4"/>
  <c r="Y3892" i="4"/>
  <c r="M3892" i="4"/>
  <c r="N3892" i="4" s="1"/>
  <c r="H3892" i="4"/>
  <c r="H4017" i="4"/>
  <c r="M4017" i="4"/>
  <c r="N4017" i="4" s="1"/>
  <c r="Y4017" i="4"/>
  <c r="M4049" i="4"/>
  <c r="N4049" i="4" s="1"/>
  <c r="H4049" i="4"/>
  <c r="Y4049" i="4"/>
  <c r="Y4081" i="4"/>
  <c r="H4081" i="4"/>
  <c r="M4081" i="4"/>
  <c r="N4081" i="4" s="1"/>
  <c r="Y4046" i="4"/>
  <c r="M4046" i="4"/>
  <c r="N4046" i="4" s="1"/>
  <c r="H4046" i="4"/>
  <c r="Y4110" i="4"/>
  <c r="M4110" i="4"/>
  <c r="N4110" i="4" s="1"/>
  <c r="H4110" i="4"/>
  <c r="M3691" i="4"/>
  <c r="N3691" i="4" s="1"/>
  <c r="H3691" i="4"/>
  <c r="Y3691" i="4"/>
  <c r="H3707" i="4"/>
  <c r="Y3707" i="4"/>
  <c r="M3707" i="4"/>
  <c r="N3707" i="4" s="1"/>
  <c r="M3723" i="4"/>
  <c r="N3723" i="4" s="1"/>
  <c r="Y3723" i="4"/>
  <c r="H3723" i="4"/>
  <c r="M3739" i="4"/>
  <c r="N3739" i="4" s="1"/>
  <c r="H3739" i="4"/>
  <c r="Y3739" i="4"/>
  <c r="H3755" i="4"/>
  <c r="M3755" i="4"/>
  <c r="N3755" i="4" s="1"/>
  <c r="Y3755" i="4"/>
  <c r="M3771" i="4"/>
  <c r="N3771" i="4" s="1"/>
  <c r="H3771" i="4"/>
  <c r="Y3771" i="4"/>
  <c r="H3787" i="4"/>
  <c r="M3787" i="4"/>
  <c r="N3787" i="4" s="1"/>
  <c r="Y3787" i="4"/>
  <c r="M3803" i="4"/>
  <c r="N3803" i="4" s="1"/>
  <c r="H3803" i="4"/>
  <c r="Y3803" i="4"/>
  <c r="H3819" i="4"/>
  <c r="M3819" i="4"/>
  <c r="N3819" i="4" s="1"/>
  <c r="Y3819" i="4"/>
  <c r="H3835" i="4"/>
  <c r="M3835" i="4"/>
  <c r="N3835" i="4" s="1"/>
  <c r="Y3835" i="4"/>
  <c r="M3851" i="4"/>
  <c r="N3851" i="4" s="1"/>
  <c r="H3851" i="4"/>
  <c r="Y3851" i="4"/>
  <c r="H3867" i="4"/>
  <c r="M3867" i="4"/>
  <c r="N3867" i="4" s="1"/>
  <c r="Y3867" i="4"/>
  <c r="M3883" i="4"/>
  <c r="N3883" i="4" s="1"/>
  <c r="H3883" i="4"/>
  <c r="Y3883" i="4"/>
  <c r="M4069" i="4"/>
  <c r="N4069" i="4" s="1"/>
  <c r="Y4069" i="4"/>
  <c r="H4069" i="4"/>
  <c r="Y4040" i="4"/>
  <c r="M4040" i="4"/>
  <c r="N4040" i="4" s="1"/>
  <c r="H4040" i="4"/>
  <c r="Y4104" i="4"/>
  <c r="M4104" i="4"/>
  <c r="N4104" i="4" s="1"/>
  <c r="H4104" i="4"/>
  <c r="H4129" i="4"/>
  <c r="Y4129" i="4"/>
  <c r="M4129" i="4"/>
  <c r="N4129" i="4" s="1"/>
  <c r="H3917" i="4"/>
  <c r="Y3917" i="4"/>
  <c r="M3917" i="4"/>
  <c r="N3917" i="4" s="1"/>
  <c r="Y3937" i="4"/>
  <c r="H3937" i="4"/>
  <c r="M3937" i="4"/>
  <c r="N3937" i="4" s="1"/>
  <c r="Y3959" i="4"/>
  <c r="M3959" i="4"/>
  <c r="N3959" i="4" s="1"/>
  <c r="H3959" i="4"/>
  <c r="H3981" i="4"/>
  <c r="M3981" i="4"/>
  <c r="N3981" i="4" s="1"/>
  <c r="Y3981" i="4"/>
  <c r="H4001" i="4"/>
  <c r="M4001" i="4"/>
  <c r="N4001" i="4" s="1"/>
  <c r="Y4001" i="4"/>
  <c r="Y4076" i="4"/>
  <c r="M4076" i="4"/>
  <c r="N4076" i="4" s="1"/>
  <c r="H4076" i="4"/>
  <c r="M3912" i="4"/>
  <c r="N3912" i="4" s="1"/>
  <c r="H3912" i="4"/>
  <c r="Y3912" i="4"/>
  <c r="Y3934" i="4"/>
  <c r="M3934" i="4"/>
  <c r="N3934" i="4" s="1"/>
  <c r="H3934" i="4"/>
  <c r="Y3956" i="4"/>
  <c r="M3956" i="4"/>
  <c r="N3956" i="4" s="1"/>
  <c r="H3956" i="4"/>
  <c r="M3976" i="4"/>
  <c r="N3976" i="4" s="1"/>
  <c r="H3976" i="4"/>
  <c r="Y3976" i="4"/>
  <c r="Y3998" i="4"/>
  <c r="H3998" i="4"/>
  <c r="M3998" i="4"/>
  <c r="N3998" i="4" s="1"/>
  <c r="Y4051" i="4"/>
  <c r="M4051" i="4"/>
  <c r="N4051" i="4" s="1"/>
  <c r="H4051" i="4"/>
  <c r="Y4139" i="4"/>
  <c r="H4139" i="4"/>
  <c r="M4139" i="4"/>
  <c r="N4139" i="4" s="1"/>
  <c r="H4195" i="4"/>
  <c r="M4195" i="4"/>
  <c r="N4195" i="4" s="1"/>
  <c r="Y4195" i="4"/>
  <c r="Y4279" i="4"/>
  <c r="H4279" i="4"/>
  <c r="M4279" i="4"/>
  <c r="N4279" i="4" s="1"/>
  <c r="H4213" i="4"/>
  <c r="M4213" i="4"/>
  <c r="N4213" i="4" s="1"/>
  <c r="Y4213" i="4"/>
  <c r="H4151" i="4"/>
  <c r="Y4151" i="4"/>
  <c r="M4151" i="4"/>
  <c r="N4151" i="4" s="1"/>
  <c r="M4317" i="4"/>
  <c r="N4317" i="4" s="1"/>
  <c r="Y4317" i="4"/>
  <c r="H4317" i="4"/>
  <c r="M4022" i="4"/>
  <c r="N4022" i="4" s="1"/>
  <c r="H4022" i="4"/>
  <c r="Y4022" i="4"/>
  <c r="H4054" i="4"/>
  <c r="M4054" i="4"/>
  <c r="N4054" i="4" s="1"/>
  <c r="Y4054" i="4"/>
  <c r="H4086" i="4"/>
  <c r="M4086" i="4"/>
  <c r="N4086" i="4" s="1"/>
  <c r="Y4086" i="4"/>
  <c r="H3685" i="4"/>
  <c r="Y3685" i="4"/>
  <c r="M3685" i="4"/>
  <c r="N3685" i="4" s="1"/>
  <c r="H3693" i="4"/>
  <c r="Y3693" i="4"/>
  <c r="M3693" i="4"/>
  <c r="N3693" i="4" s="1"/>
  <c r="Y3701" i="4"/>
  <c r="M3701" i="4"/>
  <c r="N3701" i="4" s="1"/>
  <c r="H3701" i="4"/>
  <c r="M3709" i="4"/>
  <c r="N3709" i="4" s="1"/>
  <c r="H3709" i="4"/>
  <c r="Y3709" i="4"/>
  <c r="H3717" i="4"/>
  <c r="Y3717" i="4"/>
  <c r="M3717" i="4"/>
  <c r="N3717" i="4" s="1"/>
  <c r="H3725" i="4"/>
  <c r="Y3725" i="4"/>
  <c r="M3725" i="4"/>
  <c r="N3725" i="4" s="1"/>
  <c r="Y3733" i="4"/>
  <c r="M3733" i="4"/>
  <c r="N3733" i="4" s="1"/>
  <c r="H3733" i="4"/>
  <c r="H3741" i="4"/>
  <c r="Y3741" i="4"/>
  <c r="M3741" i="4"/>
  <c r="N3741" i="4" s="1"/>
  <c r="H3749" i="4"/>
  <c r="Y3749" i="4"/>
  <c r="M3749" i="4"/>
  <c r="N3749" i="4" s="1"/>
  <c r="H3757" i="4"/>
  <c r="Y3757" i="4"/>
  <c r="M3757" i="4"/>
  <c r="N3757" i="4" s="1"/>
  <c r="H3765" i="4"/>
  <c r="Y3765" i="4"/>
  <c r="M3765" i="4"/>
  <c r="N3765" i="4" s="1"/>
  <c r="H3773" i="4"/>
  <c r="Y3773" i="4"/>
  <c r="M3773" i="4"/>
  <c r="N3773" i="4" s="1"/>
  <c r="H3781" i="4"/>
  <c r="Y3781" i="4"/>
  <c r="M3781" i="4"/>
  <c r="N3781" i="4" s="1"/>
  <c r="M3789" i="4"/>
  <c r="N3789" i="4" s="1"/>
  <c r="Y3789" i="4"/>
  <c r="H3789" i="4"/>
  <c r="H3797" i="4"/>
  <c r="Y3797" i="4"/>
  <c r="M3797" i="4"/>
  <c r="N3797" i="4" s="1"/>
  <c r="H3805" i="4"/>
  <c r="Y3805" i="4"/>
  <c r="M3805" i="4"/>
  <c r="N3805" i="4" s="1"/>
  <c r="H3813" i="4"/>
  <c r="Y3813" i="4"/>
  <c r="M3813" i="4"/>
  <c r="N3813" i="4" s="1"/>
  <c r="H3821" i="4"/>
  <c r="Y3821" i="4"/>
  <c r="M3821" i="4"/>
  <c r="N3821" i="4" s="1"/>
  <c r="H3829" i="4"/>
  <c r="Y3829" i="4"/>
  <c r="M3829" i="4"/>
  <c r="N3829" i="4" s="1"/>
  <c r="H3837" i="4"/>
  <c r="Y3837" i="4"/>
  <c r="M3837" i="4"/>
  <c r="N3837" i="4" s="1"/>
  <c r="M3845" i="4"/>
  <c r="N3845" i="4" s="1"/>
  <c r="Y3845" i="4"/>
  <c r="H3845" i="4"/>
  <c r="H3853" i="4"/>
  <c r="Y3853" i="4"/>
  <c r="M3853" i="4"/>
  <c r="N3853" i="4" s="1"/>
  <c r="H3861" i="4"/>
  <c r="Y3861" i="4"/>
  <c r="M3861" i="4"/>
  <c r="N3861" i="4" s="1"/>
  <c r="H3869" i="4"/>
  <c r="Y3869" i="4"/>
  <c r="M3869" i="4"/>
  <c r="N3869" i="4" s="1"/>
  <c r="H3877" i="4"/>
  <c r="Y3877" i="4"/>
  <c r="M3877" i="4"/>
  <c r="N3877" i="4" s="1"/>
  <c r="H3885" i="4"/>
  <c r="Y3885" i="4"/>
  <c r="M3885" i="4"/>
  <c r="N3885" i="4" s="1"/>
  <c r="H3893" i="4"/>
  <c r="Y3893" i="4"/>
  <c r="M3893" i="4"/>
  <c r="N3893" i="4" s="1"/>
  <c r="H4029" i="4"/>
  <c r="Y4029" i="4"/>
  <c r="M4029" i="4"/>
  <c r="N4029" i="4" s="1"/>
  <c r="Y4061" i="4"/>
  <c r="H4061" i="4"/>
  <c r="M4061" i="4"/>
  <c r="N4061" i="4" s="1"/>
  <c r="M4093" i="4"/>
  <c r="N4093" i="4" s="1"/>
  <c r="H4093" i="4"/>
  <c r="Y4093" i="4"/>
  <c r="M4032" i="4"/>
  <c r="N4032" i="4" s="1"/>
  <c r="Y4032" i="4"/>
  <c r="H4032" i="4"/>
  <c r="Y4064" i="4"/>
  <c r="M4064" i="4"/>
  <c r="N4064" i="4" s="1"/>
  <c r="H4064" i="4"/>
  <c r="Y4096" i="4"/>
  <c r="H4096" i="4"/>
  <c r="M4096" i="4"/>
  <c r="N4096" i="4" s="1"/>
  <c r="H4115" i="4"/>
  <c r="M4115" i="4"/>
  <c r="N4115" i="4" s="1"/>
  <c r="Y4115" i="4"/>
  <c r="H3909" i="4"/>
  <c r="Y3909" i="4"/>
  <c r="M3909" i="4"/>
  <c r="N3909" i="4" s="1"/>
  <c r="Y3919" i="4"/>
  <c r="H3919" i="4"/>
  <c r="M3919" i="4"/>
  <c r="N3919" i="4" s="1"/>
  <c r="Y3929" i="4"/>
  <c r="M3929" i="4"/>
  <c r="N3929" i="4" s="1"/>
  <c r="H3929" i="4"/>
  <c r="H3941" i="4"/>
  <c r="Y3941" i="4"/>
  <c r="M3941" i="4"/>
  <c r="N3941" i="4" s="1"/>
  <c r="Y3951" i="4"/>
  <c r="H3951" i="4"/>
  <c r="M3951" i="4"/>
  <c r="N3951" i="4" s="1"/>
  <c r="M3961" i="4"/>
  <c r="N3961" i="4" s="1"/>
  <c r="Y3961" i="4"/>
  <c r="H3961" i="4"/>
  <c r="H3973" i="4"/>
  <c r="Y3973" i="4"/>
  <c r="M3973" i="4"/>
  <c r="N3973" i="4" s="1"/>
  <c r="M3983" i="4"/>
  <c r="N3983" i="4" s="1"/>
  <c r="H3983" i="4"/>
  <c r="Y3983" i="4"/>
  <c r="H3993" i="4"/>
  <c r="M3993" i="4"/>
  <c r="N3993" i="4" s="1"/>
  <c r="Y3993" i="4"/>
  <c r="H4005" i="4"/>
  <c r="Y4005" i="4"/>
  <c r="M4005" i="4"/>
  <c r="N4005" i="4" s="1"/>
  <c r="M4031" i="4"/>
  <c r="N4031" i="4" s="1"/>
  <c r="Y4031" i="4"/>
  <c r="H4031" i="4"/>
  <c r="M4047" i="4"/>
  <c r="N4047" i="4" s="1"/>
  <c r="H4047" i="4"/>
  <c r="Y4047" i="4"/>
  <c r="Y4036" i="4"/>
  <c r="H4036" i="4"/>
  <c r="M4036" i="4"/>
  <c r="N4036" i="4" s="1"/>
  <c r="H4092" i="4"/>
  <c r="Y4092" i="4"/>
  <c r="M4092" i="4"/>
  <c r="N4092" i="4" s="1"/>
  <c r="Y4108" i="4"/>
  <c r="H4108" i="4"/>
  <c r="M4108" i="4"/>
  <c r="N4108" i="4" s="1"/>
  <c r="Y4145" i="4"/>
  <c r="M4145" i="4"/>
  <c r="N4145" i="4" s="1"/>
  <c r="H4145" i="4"/>
  <c r="M3904" i="4"/>
  <c r="N3904" i="4" s="1"/>
  <c r="H3904" i="4"/>
  <c r="Y3904" i="4"/>
  <c r="H3916" i="4"/>
  <c r="Y3916" i="4"/>
  <c r="M3916" i="4"/>
  <c r="N3916" i="4" s="1"/>
  <c r="Y3926" i="4"/>
  <c r="M3926" i="4"/>
  <c r="N3926" i="4" s="1"/>
  <c r="H3926" i="4"/>
  <c r="M3936" i="4"/>
  <c r="N3936" i="4" s="1"/>
  <c r="H3936" i="4"/>
  <c r="Y3936" i="4"/>
  <c r="Y3948" i="4"/>
  <c r="M3948" i="4"/>
  <c r="N3948" i="4" s="1"/>
  <c r="H3948" i="4"/>
  <c r="Y3958" i="4"/>
  <c r="H3958" i="4"/>
  <c r="M3958" i="4"/>
  <c r="N3958" i="4" s="1"/>
  <c r="M3968" i="4"/>
  <c r="N3968" i="4" s="1"/>
  <c r="H3968" i="4"/>
  <c r="Y3968" i="4"/>
  <c r="Y3980" i="4"/>
  <c r="H3980" i="4"/>
  <c r="M3980" i="4"/>
  <c r="N3980" i="4" s="1"/>
  <c r="Y3990" i="4"/>
  <c r="H3990" i="4"/>
  <c r="M3990" i="4"/>
  <c r="N3990" i="4" s="1"/>
  <c r="H4000" i="4"/>
  <c r="M4000" i="4"/>
  <c r="N4000" i="4" s="1"/>
  <c r="Y4000" i="4"/>
  <c r="M4027" i="4"/>
  <c r="N4027" i="4" s="1"/>
  <c r="Y4027" i="4"/>
  <c r="H4027" i="4"/>
  <c r="M4083" i="4"/>
  <c r="N4083" i="4" s="1"/>
  <c r="H4083" i="4"/>
  <c r="Y4083" i="4"/>
  <c r="Y4099" i="4"/>
  <c r="H4099" i="4"/>
  <c r="M4099" i="4"/>
  <c r="N4099" i="4" s="1"/>
  <c r="H4125" i="4"/>
  <c r="Y4125" i="4"/>
  <c r="M4125" i="4"/>
  <c r="N4125" i="4" s="1"/>
  <c r="Y4179" i="4"/>
  <c r="H4179" i="4"/>
  <c r="M4179" i="4"/>
  <c r="N4179" i="4" s="1"/>
  <c r="Y4199" i="4"/>
  <c r="M4199" i="4"/>
  <c r="N4199" i="4" s="1"/>
  <c r="H4199" i="4"/>
  <c r="M4219" i="4"/>
  <c r="N4219" i="4" s="1"/>
  <c r="H4219" i="4"/>
  <c r="Y4219" i="4"/>
  <c r="Y4243" i="4"/>
  <c r="H4243" i="4"/>
  <c r="M4243" i="4"/>
  <c r="N4243" i="4" s="1"/>
  <c r="M4263" i="4"/>
  <c r="N4263" i="4" s="1"/>
  <c r="Y4263" i="4"/>
  <c r="H4263" i="4"/>
  <c r="Y4283" i="4"/>
  <c r="H4283" i="4"/>
  <c r="M4283" i="4"/>
  <c r="N4283" i="4" s="1"/>
  <c r="H4637" i="4"/>
  <c r="Y4637" i="4"/>
  <c r="M4637" i="4"/>
  <c r="N4637" i="4" s="1"/>
  <c r="Y4566" i="4"/>
  <c r="M4566" i="4"/>
  <c r="N4566" i="4" s="1"/>
  <c r="H4566" i="4"/>
  <c r="H4173" i="4"/>
  <c r="Y4173" i="4"/>
  <c r="M4173" i="4"/>
  <c r="N4173" i="4" s="1"/>
  <c r="M4197" i="4"/>
  <c r="N4197" i="4" s="1"/>
  <c r="H4197" i="4"/>
  <c r="Y4197" i="4"/>
  <c r="Y4217" i="4"/>
  <c r="M4217" i="4"/>
  <c r="N4217" i="4" s="1"/>
  <c r="H4217" i="4"/>
  <c r="M4237" i="4"/>
  <c r="N4237" i="4" s="1"/>
  <c r="H4237" i="4"/>
  <c r="Y4237" i="4"/>
  <c r="M4261" i="4"/>
  <c r="N4261" i="4" s="1"/>
  <c r="H4261" i="4"/>
  <c r="Y4261" i="4"/>
  <c r="H4281" i="4"/>
  <c r="Y4281" i="4"/>
  <c r="M4281" i="4"/>
  <c r="N4281" i="4" s="1"/>
  <c r="Y4287" i="4"/>
  <c r="M4287" i="4"/>
  <c r="N4287" i="4" s="1"/>
  <c r="H4287" i="4"/>
  <c r="M4303" i="4"/>
  <c r="N4303" i="4" s="1"/>
  <c r="H4303" i="4"/>
  <c r="Y4303" i="4"/>
  <c r="Y4319" i="4"/>
  <c r="M4319" i="4"/>
  <c r="N4319" i="4" s="1"/>
  <c r="H4319" i="4"/>
  <c r="H4206" i="4"/>
  <c r="Y4206" i="4"/>
  <c r="M4206" i="4"/>
  <c r="N4206" i="4" s="1"/>
  <c r="Y4334" i="4"/>
  <c r="M4334" i="4"/>
  <c r="N4334" i="4" s="1"/>
  <c r="H4334" i="4"/>
  <c r="M4567" i="4"/>
  <c r="N4567" i="4" s="1"/>
  <c r="H4567" i="4"/>
  <c r="Y4567" i="4"/>
  <c r="H4163" i="4"/>
  <c r="M4163" i="4"/>
  <c r="N4163" i="4" s="1"/>
  <c r="Y4163" i="4"/>
  <c r="Y4183" i="4"/>
  <c r="H4183" i="4"/>
  <c r="M4183" i="4"/>
  <c r="N4183" i="4" s="1"/>
  <c r="H4203" i="4"/>
  <c r="M4203" i="4"/>
  <c r="N4203" i="4" s="1"/>
  <c r="Y4203" i="4"/>
  <c r="Y4227" i="4"/>
  <c r="H4227" i="4"/>
  <c r="M4227" i="4"/>
  <c r="N4227" i="4" s="1"/>
  <c r="H4247" i="4"/>
  <c r="Y4247" i="4"/>
  <c r="M4247" i="4"/>
  <c r="N4247" i="4" s="1"/>
  <c r="H4267" i="4"/>
  <c r="M4267" i="4"/>
  <c r="N4267" i="4" s="1"/>
  <c r="Y4267" i="4"/>
  <c r="M4181" i="4"/>
  <c r="N4181" i="4" s="1"/>
  <c r="H4181" i="4"/>
  <c r="Y4181" i="4"/>
  <c r="H4201" i="4"/>
  <c r="Y4201" i="4"/>
  <c r="M4201" i="4"/>
  <c r="N4201" i="4" s="1"/>
  <c r="M4221" i="4"/>
  <c r="N4221" i="4" s="1"/>
  <c r="H4221" i="4"/>
  <c r="Y4221" i="4"/>
  <c r="H4245" i="4"/>
  <c r="M4245" i="4"/>
  <c r="N4245" i="4" s="1"/>
  <c r="Y4245" i="4"/>
  <c r="H4265" i="4"/>
  <c r="Y4265" i="4"/>
  <c r="M4265" i="4"/>
  <c r="N4265" i="4" s="1"/>
  <c r="M4143" i="4"/>
  <c r="N4143" i="4" s="1"/>
  <c r="Y4143" i="4"/>
  <c r="H4143" i="4"/>
  <c r="Y4293" i="4"/>
  <c r="H4293" i="4"/>
  <c r="M4293" i="4"/>
  <c r="N4293" i="4" s="1"/>
  <c r="M4309" i="4"/>
  <c r="N4309" i="4" s="1"/>
  <c r="Y4309" i="4"/>
  <c r="H4309" i="4"/>
  <c r="M4325" i="4"/>
  <c r="N4325" i="4" s="1"/>
  <c r="H4325" i="4"/>
  <c r="Y4325" i="4"/>
  <c r="Y4238" i="4"/>
  <c r="M4238" i="4"/>
  <c r="N4238" i="4" s="1"/>
  <c r="H4238" i="4"/>
  <c r="Y4038" i="4"/>
  <c r="H4038" i="4"/>
  <c r="M4038" i="4"/>
  <c r="N4038" i="4" s="1"/>
  <c r="H4070" i="4"/>
  <c r="Y4070" i="4"/>
  <c r="M4070" i="4"/>
  <c r="N4070" i="4" s="1"/>
  <c r="Y4102" i="4"/>
  <c r="M4102" i="4"/>
  <c r="N4102" i="4" s="1"/>
  <c r="H4102" i="4"/>
  <c r="M3689" i="4"/>
  <c r="N3689" i="4" s="1"/>
  <c r="H3689" i="4"/>
  <c r="Y3689" i="4"/>
  <c r="H3697" i="4"/>
  <c r="Y3697" i="4"/>
  <c r="M3697" i="4"/>
  <c r="N3697" i="4" s="1"/>
  <c r="Y3705" i="4"/>
  <c r="H3705" i="4"/>
  <c r="M3705" i="4"/>
  <c r="N3705" i="4" s="1"/>
  <c r="Y3713" i="4"/>
  <c r="M3713" i="4"/>
  <c r="N3713" i="4" s="1"/>
  <c r="H3713" i="4"/>
  <c r="M3721" i="4"/>
  <c r="N3721" i="4" s="1"/>
  <c r="Y3721" i="4"/>
  <c r="H3721" i="4"/>
  <c r="H3729" i="4"/>
  <c r="Y3729" i="4"/>
  <c r="M3729" i="4"/>
  <c r="N3729" i="4" s="1"/>
  <c r="Y3737" i="4"/>
  <c r="H3737" i="4"/>
  <c r="M3737" i="4"/>
  <c r="N3737" i="4" s="1"/>
  <c r="Y3745" i="4"/>
  <c r="M3745" i="4"/>
  <c r="N3745" i="4" s="1"/>
  <c r="H3745" i="4"/>
  <c r="Y3753" i="4"/>
  <c r="H3753" i="4"/>
  <c r="M3753" i="4"/>
  <c r="N3753" i="4" s="1"/>
  <c r="Y3761" i="4"/>
  <c r="M3761" i="4"/>
  <c r="N3761" i="4" s="1"/>
  <c r="H3761" i="4"/>
  <c r="Y3769" i="4"/>
  <c r="M3769" i="4"/>
  <c r="N3769" i="4" s="1"/>
  <c r="H3769" i="4"/>
  <c r="Y3777" i="4"/>
  <c r="H3777" i="4"/>
  <c r="M3777" i="4"/>
  <c r="N3777" i="4" s="1"/>
  <c r="Y3785" i="4"/>
  <c r="M3785" i="4"/>
  <c r="N3785" i="4" s="1"/>
  <c r="H3785" i="4"/>
  <c r="Y3793" i="4"/>
  <c r="H3793" i="4"/>
  <c r="M3793" i="4"/>
  <c r="N3793" i="4" s="1"/>
  <c r="Y3801" i="4"/>
  <c r="M3801" i="4"/>
  <c r="N3801" i="4" s="1"/>
  <c r="H3801" i="4"/>
  <c r="Y3809" i="4"/>
  <c r="M3809" i="4"/>
  <c r="N3809" i="4" s="1"/>
  <c r="H3809" i="4"/>
  <c r="Y3817" i="4"/>
  <c r="M3817" i="4"/>
  <c r="N3817" i="4" s="1"/>
  <c r="H3817" i="4"/>
  <c r="Y3825" i="4"/>
  <c r="H3825" i="4"/>
  <c r="M3825" i="4"/>
  <c r="N3825" i="4" s="1"/>
  <c r="Y3833" i="4"/>
  <c r="M3833" i="4"/>
  <c r="N3833" i="4" s="1"/>
  <c r="H3833" i="4"/>
  <c r="Y3841" i="4"/>
  <c r="H3841" i="4"/>
  <c r="M3841" i="4"/>
  <c r="N3841" i="4" s="1"/>
  <c r="Y3849" i="4"/>
  <c r="M3849" i="4"/>
  <c r="N3849" i="4" s="1"/>
  <c r="H3849" i="4"/>
  <c r="Y3857" i="4"/>
  <c r="H3857" i="4"/>
  <c r="M3857" i="4"/>
  <c r="N3857" i="4" s="1"/>
  <c r="Y3865" i="4"/>
  <c r="M3865" i="4"/>
  <c r="N3865" i="4" s="1"/>
  <c r="H3865" i="4"/>
  <c r="Y3873" i="4"/>
  <c r="H3873" i="4"/>
  <c r="M3873" i="4"/>
  <c r="N3873" i="4" s="1"/>
  <c r="Y3881" i="4"/>
  <c r="M3881" i="4"/>
  <c r="N3881" i="4" s="1"/>
  <c r="H3881" i="4"/>
  <c r="Y3889" i="4"/>
  <c r="H3889" i="4"/>
  <c r="M3889" i="4"/>
  <c r="N3889" i="4" s="1"/>
  <c r="H4013" i="4"/>
  <c r="M4013" i="4"/>
  <c r="N4013" i="4" s="1"/>
  <c r="Y4013" i="4"/>
  <c r="M4045" i="4"/>
  <c r="N4045" i="4" s="1"/>
  <c r="Y4045" i="4"/>
  <c r="H4045" i="4"/>
  <c r="Y4077" i="4"/>
  <c r="M4077" i="4"/>
  <c r="N4077" i="4" s="1"/>
  <c r="H4077" i="4"/>
  <c r="M4109" i="4"/>
  <c r="N4109" i="4" s="1"/>
  <c r="H4109" i="4"/>
  <c r="Y4109" i="4"/>
  <c r="M4016" i="4"/>
  <c r="N4016" i="4" s="1"/>
  <c r="H4016" i="4"/>
  <c r="Y4016" i="4"/>
  <c r="H4048" i="4"/>
  <c r="M4048" i="4"/>
  <c r="N4048" i="4" s="1"/>
  <c r="Y4048" i="4"/>
  <c r="H4080" i="4"/>
  <c r="M4080" i="4"/>
  <c r="N4080" i="4" s="1"/>
  <c r="Y4080" i="4"/>
  <c r="Y3903" i="4"/>
  <c r="H3903" i="4"/>
  <c r="M3903" i="4"/>
  <c r="N3903" i="4" s="1"/>
  <c r="Y3913" i="4"/>
  <c r="M3913" i="4"/>
  <c r="N3913" i="4" s="1"/>
  <c r="H3913" i="4"/>
  <c r="H3925" i="4"/>
  <c r="Y3925" i="4"/>
  <c r="M3925" i="4"/>
  <c r="N3925" i="4" s="1"/>
  <c r="Y3935" i="4"/>
  <c r="M3935" i="4"/>
  <c r="N3935" i="4" s="1"/>
  <c r="H3935" i="4"/>
  <c r="Y3945" i="4"/>
  <c r="H3945" i="4"/>
  <c r="M3945" i="4"/>
  <c r="N3945" i="4" s="1"/>
  <c r="H3957" i="4"/>
  <c r="Y3957" i="4"/>
  <c r="M3957" i="4"/>
  <c r="N3957" i="4" s="1"/>
  <c r="M3967" i="4"/>
  <c r="N3967" i="4" s="1"/>
  <c r="H3967" i="4"/>
  <c r="Y3967" i="4"/>
  <c r="M3977" i="4"/>
  <c r="N3977" i="4" s="1"/>
  <c r="H3977" i="4"/>
  <c r="Y3977" i="4"/>
  <c r="M3989" i="4"/>
  <c r="N3989" i="4" s="1"/>
  <c r="Y3989" i="4"/>
  <c r="H3989" i="4"/>
  <c r="Y3999" i="4"/>
  <c r="H3999" i="4"/>
  <c r="M3999" i="4"/>
  <c r="N3999" i="4" s="1"/>
  <c r="M4039" i="4"/>
  <c r="N4039" i="4" s="1"/>
  <c r="H4039" i="4"/>
  <c r="Y4039" i="4"/>
  <c r="Y4095" i="4"/>
  <c r="M4095" i="4"/>
  <c r="N4095" i="4" s="1"/>
  <c r="H4095" i="4"/>
  <c r="M4141" i="4"/>
  <c r="N4141" i="4" s="1"/>
  <c r="H4141" i="4"/>
  <c r="Y4141" i="4"/>
  <c r="H4028" i="4"/>
  <c r="Y4028" i="4"/>
  <c r="M4028" i="4"/>
  <c r="N4028" i="4" s="1"/>
  <c r="Y4044" i="4"/>
  <c r="M4044" i="4"/>
  <c r="N4044" i="4" s="1"/>
  <c r="H4044" i="4"/>
  <c r="Y4100" i="4"/>
  <c r="M4100" i="4"/>
  <c r="N4100" i="4" s="1"/>
  <c r="H4100" i="4"/>
  <c r="H4117" i="4"/>
  <c r="Y4117" i="4"/>
  <c r="M4117" i="4"/>
  <c r="N4117" i="4" s="1"/>
  <c r="H3900" i="4"/>
  <c r="Y3900" i="4"/>
  <c r="M3900" i="4"/>
  <c r="N3900" i="4" s="1"/>
  <c r="Y3910" i="4"/>
  <c r="M3910" i="4"/>
  <c r="N3910" i="4" s="1"/>
  <c r="H3910" i="4"/>
  <c r="M3920" i="4"/>
  <c r="N3920" i="4" s="1"/>
  <c r="H3920" i="4"/>
  <c r="Y3920" i="4"/>
  <c r="H3932" i="4"/>
  <c r="Y3932" i="4"/>
  <c r="M3932" i="4"/>
  <c r="N3932" i="4" s="1"/>
  <c r="Y3942" i="4"/>
  <c r="M3942" i="4"/>
  <c r="N3942" i="4" s="1"/>
  <c r="H3942" i="4"/>
  <c r="H3952" i="4"/>
  <c r="M3952" i="4"/>
  <c r="N3952" i="4" s="1"/>
  <c r="Y3952" i="4"/>
  <c r="Y3964" i="4"/>
  <c r="H3964" i="4"/>
  <c r="M3964" i="4"/>
  <c r="N3964" i="4" s="1"/>
  <c r="Y3974" i="4"/>
  <c r="H3974" i="4"/>
  <c r="M3974" i="4"/>
  <c r="N3974" i="4" s="1"/>
  <c r="M3984" i="4"/>
  <c r="N3984" i="4" s="1"/>
  <c r="H3984" i="4"/>
  <c r="Y3984" i="4"/>
  <c r="Y3996" i="4"/>
  <c r="M3996" i="4"/>
  <c r="N3996" i="4" s="1"/>
  <c r="H3996" i="4"/>
  <c r="Y4006" i="4"/>
  <c r="H4006" i="4"/>
  <c r="M4006" i="4"/>
  <c r="N4006" i="4" s="1"/>
  <c r="Y4019" i="4"/>
  <c r="H4019" i="4"/>
  <c r="M4019" i="4"/>
  <c r="N4019" i="4" s="1"/>
  <c r="H4035" i="4"/>
  <c r="Y4035" i="4"/>
  <c r="M4035" i="4"/>
  <c r="N4035" i="4" s="1"/>
  <c r="Y4091" i="4"/>
  <c r="H4091" i="4"/>
  <c r="M4091" i="4"/>
  <c r="N4091" i="4" s="1"/>
  <c r="Y4153" i="4"/>
  <c r="H4153" i="4"/>
  <c r="M4153" i="4"/>
  <c r="N4153" i="4" s="1"/>
  <c r="H4167" i="4"/>
  <c r="M4167" i="4"/>
  <c r="N4167" i="4" s="1"/>
  <c r="Y4167" i="4"/>
  <c r="M4187" i="4"/>
  <c r="N4187" i="4" s="1"/>
  <c r="Y4187" i="4"/>
  <c r="H4187" i="4"/>
  <c r="Y4211" i="4"/>
  <c r="H4211" i="4"/>
  <c r="M4211" i="4"/>
  <c r="N4211" i="4" s="1"/>
  <c r="Y4231" i="4"/>
  <c r="H4231" i="4"/>
  <c r="M4231" i="4"/>
  <c r="N4231" i="4" s="1"/>
  <c r="Y4251" i="4"/>
  <c r="H4251" i="4"/>
  <c r="M4251" i="4"/>
  <c r="N4251" i="4" s="1"/>
  <c r="H4275" i="4"/>
  <c r="Y4275" i="4"/>
  <c r="M4275" i="4"/>
  <c r="N4275" i="4" s="1"/>
  <c r="Y4165" i="4"/>
  <c r="H4165" i="4"/>
  <c r="M4165" i="4"/>
  <c r="N4165" i="4" s="1"/>
  <c r="Y4185" i="4"/>
  <c r="H4185" i="4"/>
  <c r="M4185" i="4"/>
  <c r="N4185" i="4" s="1"/>
  <c r="Y4205" i="4"/>
  <c r="M4205" i="4"/>
  <c r="N4205" i="4" s="1"/>
  <c r="H4205" i="4"/>
  <c r="M4229" i="4"/>
  <c r="N4229" i="4" s="1"/>
  <c r="H4229" i="4"/>
  <c r="Y4229" i="4"/>
  <c r="H4249" i="4"/>
  <c r="Y4249" i="4"/>
  <c r="M4249" i="4"/>
  <c r="N4249" i="4" s="1"/>
  <c r="M4269" i="4"/>
  <c r="N4269" i="4" s="1"/>
  <c r="Y4269" i="4"/>
  <c r="H4269" i="4"/>
  <c r="M4119" i="4"/>
  <c r="N4119" i="4" s="1"/>
  <c r="H4119" i="4"/>
  <c r="Y4119" i="4"/>
  <c r="Y4295" i="4"/>
  <c r="M4295" i="4"/>
  <c r="N4295" i="4" s="1"/>
  <c r="H4295" i="4"/>
  <c r="Y4311" i="4"/>
  <c r="H4311" i="4"/>
  <c r="M4311" i="4"/>
  <c r="N4311" i="4" s="1"/>
  <c r="M4333" i="4"/>
  <c r="N4333" i="4" s="1"/>
  <c r="H4333" i="4"/>
  <c r="Y4333" i="4"/>
  <c r="Y4532" i="4"/>
  <c r="M4532" i="4"/>
  <c r="N4532" i="4" s="1"/>
  <c r="H4532" i="4"/>
  <c r="M4142" i="4"/>
  <c r="N4142" i="4" s="1"/>
  <c r="Y4142" i="4"/>
  <c r="H4142" i="4"/>
  <c r="Y4270" i="4"/>
  <c r="H4270" i="4"/>
  <c r="M4270" i="4"/>
  <c r="N4270" i="4" s="1"/>
  <c r="H4353" i="4"/>
  <c r="Y4353" i="4"/>
  <c r="M4353" i="4"/>
  <c r="N4353" i="4" s="1"/>
  <c r="H4484" i="4"/>
  <c r="Y4484" i="4"/>
  <c r="M4484" i="4"/>
  <c r="N4484" i="4" s="1"/>
  <c r="Y4327" i="4"/>
  <c r="M4327" i="4"/>
  <c r="N4327" i="4" s="1"/>
  <c r="H4327" i="4"/>
  <c r="M4335" i="4"/>
  <c r="N4335" i="4" s="1"/>
  <c r="H4335" i="4"/>
  <c r="Y4335" i="4"/>
  <c r="H4118" i="4"/>
  <c r="Y4118" i="4"/>
  <c r="M4118" i="4"/>
  <c r="N4118" i="4" s="1"/>
  <c r="H4150" i="4"/>
  <c r="M4150" i="4"/>
  <c r="N4150" i="4" s="1"/>
  <c r="Y4150" i="4"/>
  <c r="M4182" i="4"/>
  <c r="N4182" i="4" s="1"/>
  <c r="Y4182" i="4"/>
  <c r="H4182" i="4"/>
  <c r="H4214" i="4"/>
  <c r="Y4214" i="4"/>
  <c r="M4214" i="4"/>
  <c r="N4214" i="4" s="1"/>
  <c r="H4246" i="4"/>
  <c r="Y4246" i="4"/>
  <c r="M4246" i="4"/>
  <c r="N4246" i="4" s="1"/>
  <c r="M4278" i="4"/>
  <c r="N4278" i="4" s="1"/>
  <c r="Y4278" i="4"/>
  <c r="H4278" i="4"/>
  <c r="H4310" i="4"/>
  <c r="Y4310" i="4"/>
  <c r="M4310" i="4"/>
  <c r="N4310" i="4" s="1"/>
  <c r="M4369" i="4"/>
  <c r="N4369" i="4" s="1"/>
  <c r="Y4369" i="4"/>
  <c r="H4369" i="4"/>
  <c r="H4433" i="4"/>
  <c r="Y4433" i="4"/>
  <c r="M4433" i="4"/>
  <c r="N4433" i="4" s="1"/>
  <c r="M4547" i="4"/>
  <c r="N4547" i="4" s="1"/>
  <c r="H4547" i="4"/>
  <c r="Y4547" i="4"/>
  <c r="H4571" i="4"/>
  <c r="M4571" i="4"/>
  <c r="N4571" i="4" s="1"/>
  <c r="Y4571" i="4"/>
  <c r="Y4392" i="4"/>
  <c r="H4392" i="4"/>
  <c r="M4392" i="4"/>
  <c r="N4392" i="4" s="1"/>
  <c r="H4672" i="4"/>
  <c r="Y4672" i="4"/>
  <c r="M4672" i="4"/>
  <c r="N4672" i="4" s="1"/>
  <c r="Y4289" i="4"/>
  <c r="M4289" i="4"/>
  <c r="N4289" i="4" s="1"/>
  <c r="H4289" i="4"/>
  <c r="M4297" i="4"/>
  <c r="N4297" i="4" s="1"/>
  <c r="H4297" i="4"/>
  <c r="Y4297" i="4"/>
  <c r="Y4305" i="4"/>
  <c r="M4305" i="4"/>
  <c r="N4305" i="4" s="1"/>
  <c r="H4305" i="4"/>
  <c r="M4313" i="4"/>
  <c r="N4313" i="4" s="1"/>
  <c r="H4313" i="4"/>
  <c r="Y4313" i="4"/>
  <c r="Y4321" i="4"/>
  <c r="M4321" i="4"/>
  <c r="N4321" i="4" s="1"/>
  <c r="H4321" i="4"/>
  <c r="H4329" i="4"/>
  <c r="M4329" i="4"/>
  <c r="N4329" i="4" s="1"/>
  <c r="Y4329" i="4"/>
  <c r="M4337" i="4"/>
  <c r="N4337" i="4" s="1"/>
  <c r="Y4337" i="4"/>
  <c r="H4337" i="4"/>
  <c r="M4513" i="4"/>
  <c r="N4513" i="4" s="1"/>
  <c r="Y4513" i="4"/>
  <c r="H4513" i="4"/>
  <c r="H4126" i="4"/>
  <c r="Y4126" i="4"/>
  <c r="M4126" i="4"/>
  <c r="N4126" i="4" s="1"/>
  <c r="M4158" i="4"/>
  <c r="N4158" i="4" s="1"/>
  <c r="Y4158" i="4"/>
  <c r="H4158" i="4"/>
  <c r="M4190" i="4"/>
  <c r="N4190" i="4" s="1"/>
  <c r="Y4190" i="4"/>
  <c r="H4190" i="4"/>
  <c r="M4222" i="4"/>
  <c r="N4222" i="4" s="1"/>
  <c r="Y4222" i="4"/>
  <c r="H4222" i="4"/>
  <c r="M4254" i="4"/>
  <c r="N4254" i="4" s="1"/>
  <c r="H4254" i="4"/>
  <c r="Y4254" i="4"/>
  <c r="Y4286" i="4"/>
  <c r="M4286" i="4"/>
  <c r="N4286" i="4" s="1"/>
  <c r="H4286" i="4"/>
  <c r="M4318" i="4"/>
  <c r="N4318" i="4" s="1"/>
  <c r="H4318" i="4"/>
  <c r="Y4318" i="4"/>
  <c r="M4621" i="4"/>
  <c r="N4621" i="4" s="1"/>
  <c r="H4621" i="4"/>
  <c r="Y4621" i="4"/>
  <c r="H4385" i="4"/>
  <c r="Y4385" i="4"/>
  <c r="M4385" i="4"/>
  <c r="N4385" i="4" s="1"/>
  <c r="M4424" i="4"/>
  <c r="N4424" i="4" s="1"/>
  <c r="H4424" i="4"/>
  <c r="Y4424" i="4"/>
  <c r="Y4133" i="4"/>
  <c r="H4133" i="4"/>
  <c r="M4133" i="4"/>
  <c r="N4133" i="4" s="1"/>
  <c r="Y4147" i="4"/>
  <c r="H4147" i="4"/>
  <c r="M4147" i="4"/>
  <c r="N4147" i="4" s="1"/>
  <c r="H3899" i="4"/>
  <c r="M3899" i="4"/>
  <c r="N3899" i="4" s="1"/>
  <c r="Y3899" i="4"/>
  <c r="M3907" i="4"/>
  <c r="N3907" i="4" s="1"/>
  <c r="H3907" i="4"/>
  <c r="Y3907" i="4"/>
  <c r="M3915" i="4"/>
  <c r="N3915" i="4" s="1"/>
  <c r="H3915" i="4"/>
  <c r="Y3915" i="4"/>
  <c r="H3923" i="4"/>
  <c r="M3923" i="4"/>
  <c r="N3923" i="4" s="1"/>
  <c r="Y3923" i="4"/>
  <c r="H3931" i="4"/>
  <c r="M3931" i="4"/>
  <c r="N3931" i="4" s="1"/>
  <c r="Y3931" i="4"/>
  <c r="H3939" i="4"/>
  <c r="M3939" i="4"/>
  <c r="N3939" i="4" s="1"/>
  <c r="Y3939" i="4"/>
  <c r="M3947" i="4"/>
  <c r="N3947" i="4" s="1"/>
  <c r="H3947" i="4"/>
  <c r="Y3947" i="4"/>
  <c r="M3955" i="4"/>
  <c r="N3955" i="4" s="1"/>
  <c r="Y3955" i="4"/>
  <c r="H3955" i="4"/>
  <c r="Y3963" i="4"/>
  <c r="H3963" i="4"/>
  <c r="M3963" i="4"/>
  <c r="N3963" i="4" s="1"/>
  <c r="M3971" i="4"/>
  <c r="N3971" i="4" s="1"/>
  <c r="H3971" i="4"/>
  <c r="Y3971" i="4"/>
  <c r="Y3979" i="4"/>
  <c r="M3979" i="4"/>
  <c r="N3979" i="4" s="1"/>
  <c r="H3979" i="4"/>
  <c r="M3987" i="4"/>
  <c r="N3987" i="4" s="1"/>
  <c r="Y3987" i="4"/>
  <c r="H3987" i="4"/>
  <c r="M3995" i="4"/>
  <c r="N3995" i="4" s="1"/>
  <c r="H3995" i="4"/>
  <c r="Y3995" i="4"/>
  <c r="H4003" i="4"/>
  <c r="Y4003" i="4"/>
  <c r="M4003" i="4"/>
  <c r="N4003" i="4" s="1"/>
  <c r="H4023" i="4"/>
  <c r="Y4023" i="4"/>
  <c r="M4023" i="4"/>
  <c r="N4023" i="4" s="1"/>
  <c r="Y4055" i="4"/>
  <c r="M4055" i="4"/>
  <c r="N4055" i="4" s="1"/>
  <c r="H4055" i="4"/>
  <c r="M4087" i="4"/>
  <c r="N4087" i="4" s="1"/>
  <c r="H4087" i="4"/>
  <c r="Y4087" i="4"/>
  <c r="Y4123" i="4"/>
  <c r="H4123" i="4"/>
  <c r="M4123" i="4"/>
  <c r="N4123" i="4" s="1"/>
  <c r="M4137" i="4"/>
  <c r="N4137" i="4" s="1"/>
  <c r="H4137" i="4"/>
  <c r="Y4137" i="4"/>
  <c r="M4020" i="4"/>
  <c r="N4020" i="4" s="1"/>
  <c r="H4020" i="4"/>
  <c r="Y4020" i="4"/>
  <c r="M4052" i="4"/>
  <c r="N4052" i="4" s="1"/>
  <c r="H4052" i="4"/>
  <c r="Y4052" i="4"/>
  <c r="M4084" i="4"/>
  <c r="N4084" i="4" s="1"/>
  <c r="H4084" i="4"/>
  <c r="Y4084" i="4"/>
  <c r="H4113" i="4"/>
  <c r="M4113" i="4"/>
  <c r="N4113" i="4" s="1"/>
  <c r="Y4113" i="4"/>
  <c r="Y3898" i="4"/>
  <c r="M3898" i="4"/>
  <c r="N3898" i="4" s="1"/>
  <c r="H3898" i="4"/>
  <c r="Y3906" i="4"/>
  <c r="M3906" i="4"/>
  <c r="N3906" i="4" s="1"/>
  <c r="H3906" i="4"/>
  <c r="Y3914" i="4"/>
  <c r="M3914" i="4"/>
  <c r="N3914" i="4" s="1"/>
  <c r="H3914" i="4"/>
  <c r="Y3922" i="4"/>
  <c r="M3922" i="4"/>
  <c r="N3922" i="4" s="1"/>
  <c r="H3922" i="4"/>
  <c r="Y3930" i="4"/>
  <c r="M3930" i="4"/>
  <c r="N3930" i="4" s="1"/>
  <c r="H3930" i="4"/>
  <c r="Y3938" i="4"/>
  <c r="M3938" i="4"/>
  <c r="N3938" i="4" s="1"/>
  <c r="H3938" i="4"/>
  <c r="M3946" i="4"/>
  <c r="N3946" i="4" s="1"/>
  <c r="Y3946" i="4"/>
  <c r="H3946" i="4"/>
  <c r="M3954" i="4"/>
  <c r="N3954" i="4" s="1"/>
  <c r="Y3954" i="4"/>
  <c r="H3954" i="4"/>
  <c r="M3962" i="4"/>
  <c r="N3962" i="4" s="1"/>
  <c r="Y3962" i="4"/>
  <c r="H3962" i="4"/>
  <c r="M3970" i="4"/>
  <c r="N3970" i="4" s="1"/>
  <c r="Y3970" i="4"/>
  <c r="H3970" i="4"/>
  <c r="M3978" i="4"/>
  <c r="N3978" i="4" s="1"/>
  <c r="Y3978" i="4"/>
  <c r="H3978" i="4"/>
  <c r="M3986" i="4"/>
  <c r="N3986" i="4" s="1"/>
  <c r="Y3986" i="4"/>
  <c r="H3986" i="4"/>
  <c r="M3994" i="4"/>
  <c r="N3994" i="4" s="1"/>
  <c r="Y3994" i="4"/>
  <c r="H3994" i="4"/>
  <c r="M4002" i="4"/>
  <c r="N4002" i="4" s="1"/>
  <c r="Y4002" i="4"/>
  <c r="H4002" i="4"/>
  <c r="M4011" i="4"/>
  <c r="N4011" i="4" s="1"/>
  <c r="H4011" i="4"/>
  <c r="Y4011" i="4"/>
  <c r="Y4043" i="4"/>
  <c r="M4043" i="4"/>
  <c r="N4043" i="4" s="1"/>
  <c r="H4043" i="4"/>
  <c r="M4075" i="4"/>
  <c r="N4075" i="4" s="1"/>
  <c r="Y4075" i="4"/>
  <c r="H4075" i="4"/>
  <c r="M4121" i="4"/>
  <c r="N4121" i="4" s="1"/>
  <c r="Y4121" i="4"/>
  <c r="H4121" i="4"/>
  <c r="M4175" i="4"/>
  <c r="N4175" i="4" s="1"/>
  <c r="Y4175" i="4"/>
  <c r="H4175" i="4"/>
  <c r="H4191" i="4"/>
  <c r="Y4191" i="4"/>
  <c r="M4191" i="4"/>
  <c r="N4191" i="4" s="1"/>
  <c r="M4207" i="4"/>
  <c r="N4207" i="4" s="1"/>
  <c r="Y4207" i="4"/>
  <c r="H4207" i="4"/>
  <c r="H4223" i="4"/>
  <c r="M4223" i="4"/>
  <c r="N4223" i="4" s="1"/>
  <c r="Y4223" i="4"/>
  <c r="Y4239" i="4"/>
  <c r="M4239" i="4"/>
  <c r="N4239" i="4" s="1"/>
  <c r="H4239" i="4"/>
  <c r="H4255" i="4"/>
  <c r="Y4255" i="4"/>
  <c r="M4255" i="4"/>
  <c r="N4255" i="4" s="1"/>
  <c r="Y4271" i="4"/>
  <c r="M4271" i="4"/>
  <c r="N4271" i="4" s="1"/>
  <c r="H4271" i="4"/>
  <c r="H4161" i="4"/>
  <c r="M4161" i="4"/>
  <c r="N4161" i="4" s="1"/>
  <c r="Y4161" i="4"/>
  <c r="Y4177" i="4"/>
  <c r="M4177" i="4"/>
  <c r="N4177" i="4" s="1"/>
  <c r="H4177" i="4"/>
  <c r="M4193" i="4"/>
  <c r="N4193" i="4" s="1"/>
  <c r="H4193" i="4"/>
  <c r="Y4193" i="4"/>
  <c r="M4209" i="4"/>
  <c r="N4209" i="4" s="1"/>
  <c r="Y4209" i="4"/>
  <c r="H4209" i="4"/>
  <c r="Y4225" i="4"/>
  <c r="M4225" i="4"/>
  <c r="N4225" i="4" s="1"/>
  <c r="H4225" i="4"/>
  <c r="Y4241" i="4"/>
  <c r="H4241" i="4"/>
  <c r="M4241" i="4"/>
  <c r="N4241" i="4" s="1"/>
  <c r="H4257" i="4"/>
  <c r="Y4257" i="4"/>
  <c r="M4257" i="4"/>
  <c r="N4257" i="4" s="1"/>
  <c r="H4273" i="4"/>
  <c r="Y4273" i="4"/>
  <c r="M4273" i="4"/>
  <c r="N4273" i="4" s="1"/>
  <c r="Y4127" i="4"/>
  <c r="M4127" i="4"/>
  <c r="N4127" i="4" s="1"/>
  <c r="H4127" i="4"/>
  <c r="M4159" i="4"/>
  <c r="N4159" i="4" s="1"/>
  <c r="H4159" i="4"/>
  <c r="Y4159" i="4"/>
  <c r="M4291" i="4"/>
  <c r="N4291" i="4" s="1"/>
  <c r="Y4291" i="4"/>
  <c r="H4291" i="4"/>
  <c r="H4299" i="4"/>
  <c r="Y4299" i="4"/>
  <c r="M4299" i="4"/>
  <c r="N4299" i="4" s="1"/>
  <c r="M4307" i="4"/>
  <c r="N4307" i="4" s="1"/>
  <c r="H4307" i="4"/>
  <c r="Y4307" i="4"/>
  <c r="H4315" i="4"/>
  <c r="M4315" i="4"/>
  <c r="N4315" i="4" s="1"/>
  <c r="Y4315" i="4"/>
  <c r="M4323" i="4"/>
  <c r="N4323" i="4" s="1"/>
  <c r="Y4323" i="4"/>
  <c r="H4323" i="4"/>
  <c r="H4331" i="4"/>
  <c r="Y4331" i="4"/>
  <c r="M4331" i="4"/>
  <c r="N4331" i="4" s="1"/>
  <c r="M4534" i="4"/>
  <c r="N4534" i="4" s="1"/>
  <c r="Y4534" i="4"/>
  <c r="H4534" i="4"/>
  <c r="Y4647" i="4"/>
  <c r="M4647" i="4"/>
  <c r="N4647" i="4" s="1"/>
  <c r="H4647" i="4"/>
  <c r="H4134" i="4"/>
  <c r="Y4134" i="4"/>
  <c r="M4134" i="4"/>
  <c r="N4134" i="4" s="1"/>
  <c r="M4166" i="4"/>
  <c r="N4166" i="4" s="1"/>
  <c r="Y4166" i="4"/>
  <c r="H4166" i="4"/>
  <c r="M4198" i="4"/>
  <c r="N4198" i="4" s="1"/>
  <c r="Y4198" i="4"/>
  <c r="H4198" i="4"/>
  <c r="H4230" i="4"/>
  <c r="Y4230" i="4"/>
  <c r="M4230" i="4"/>
  <c r="N4230" i="4" s="1"/>
  <c r="M4262" i="4"/>
  <c r="N4262" i="4" s="1"/>
  <c r="Y4262" i="4"/>
  <c r="H4262" i="4"/>
  <c r="M4294" i="4"/>
  <c r="N4294" i="4" s="1"/>
  <c r="Y4294" i="4"/>
  <c r="H4294" i="4"/>
  <c r="H4326" i="4"/>
  <c r="Y4326" i="4"/>
  <c r="M4326" i="4"/>
  <c r="N4326" i="4" s="1"/>
  <c r="M4401" i="4"/>
  <c r="N4401" i="4" s="1"/>
  <c r="Y4401" i="4"/>
  <c r="H4401" i="4"/>
  <c r="Y4503" i="4"/>
  <c r="M4503" i="4"/>
  <c r="N4503" i="4" s="1"/>
  <c r="H4503" i="4"/>
  <c r="Y4634" i="4"/>
  <c r="H4634" i="4"/>
  <c r="M4634" i="4"/>
  <c r="N4634" i="4" s="1"/>
  <c r="H4504" i="4"/>
  <c r="Y4504" i="4"/>
  <c r="M4504" i="4"/>
  <c r="N4504" i="4" s="1"/>
  <c r="M4587" i="4"/>
  <c r="N4587" i="4" s="1"/>
  <c r="Y4587" i="4"/>
  <c r="H4587" i="4"/>
  <c r="M4103" i="4"/>
  <c r="N4103" i="4" s="1"/>
  <c r="H4103" i="4"/>
  <c r="Y4103" i="4"/>
  <c r="H4112" i="4"/>
  <c r="M4112" i="4"/>
  <c r="N4112" i="4" s="1"/>
  <c r="Y4112" i="4"/>
  <c r="M4120" i="4"/>
  <c r="N4120" i="4" s="1"/>
  <c r="Y4120" i="4"/>
  <c r="H4120" i="4"/>
  <c r="M4128" i="4"/>
  <c r="N4128" i="4" s="1"/>
  <c r="H4128" i="4"/>
  <c r="Y4128" i="4"/>
  <c r="Y4136" i="4"/>
  <c r="H4136" i="4"/>
  <c r="M4136" i="4"/>
  <c r="N4136" i="4" s="1"/>
  <c r="M4144" i="4"/>
  <c r="N4144" i="4" s="1"/>
  <c r="Y4144" i="4"/>
  <c r="H4144" i="4"/>
  <c r="M4152" i="4"/>
  <c r="N4152" i="4" s="1"/>
  <c r="H4152" i="4"/>
  <c r="Y4152" i="4"/>
  <c r="H4160" i="4"/>
  <c r="M4160" i="4"/>
  <c r="N4160" i="4" s="1"/>
  <c r="Y4160" i="4"/>
  <c r="H4168" i="4"/>
  <c r="Y4168" i="4"/>
  <c r="M4168" i="4"/>
  <c r="N4168" i="4" s="1"/>
  <c r="Y4176" i="4"/>
  <c r="M4176" i="4"/>
  <c r="N4176" i="4" s="1"/>
  <c r="H4176" i="4"/>
  <c r="M4184" i="4"/>
  <c r="N4184" i="4" s="1"/>
  <c r="Y4184" i="4"/>
  <c r="H4184" i="4"/>
  <c r="H4192" i="4"/>
  <c r="Y4192" i="4"/>
  <c r="M4192" i="4"/>
  <c r="N4192" i="4" s="1"/>
  <c r="H4200" i="4"/>
  <c r="M4200" i="4"/>
  <c r="N4200" i="4" s="1"/>
  <c r="Y4200" i="4"/>
  <c r="M4208" i="4"/>
  <c r="N4208" i="4" s="1"/>
  <c r="H4208" i="4"/>
  <c r="Y4208" i="4"/>
  <c r="H4216" i="4"/>
  <c r="Y4216" i="4"/>
  <c r="M4216" i="4"/>
  <c r="N4216" i="4" s="1"/>
  <c r="M4224" i="4"/>
  <c r="N4224" i="4" s="1"/>
  <c r="Y4224" i="4"/>
  <c r="H4224" i="4"/>
  <c r="Y4232" i="4"/>
  <c r="M4232" i="4"/>
  <c r="N4232" i="4" s="1"/>
  <c r="H4232" i="4"/>
  <c r="Y4240" i="4"/>
  <c r="M4240" i="4"/>
  <c r="N4240" i="4" s="1"/>
  <c r="H4240" i="4"/>
  <c r="M4248" i="4"/>
  <c r="N4248" i="4" s="1"/>
  <c r="H4248" i="4"/>
  <c r="Y4248" i="4"/>
  <c r="Y4256" i="4"/>
  <c r="M4256" i="4"/>
  <c r="N4256" i="4" s="1"/>
  <c r="H4256" i="4"/>
  <c r="M4264" i="4"/>
  <c r="N4264" i="4" s="1"/>
  <c r="H4264" i="4"/>
  <c r="Y4264" i="4"/>
  <c r="Y4272" i="4"/>
  <c r="H4272" i="4"/>
  <c r="M4272" i="4"/>
  <c r="N4272" i="4" s="1"/>
  <c r="Y4280" i="4"/>
  <c r="M4280" i="4"/>
  <c r="N4280" i="4" s="1"/>
  <c r="H4280" i="4"/>
  <c r="Y4288" i="4"/>
  <c r="H4288" i="4"/>
  <c r="M4288" i="4"/>
  <c r="N4288" i="4" s="1"/>
  <c r="Y4296" i="4"/>
  <c r="H4296" i="4"/>
  <c r="M4296" i="4"/>
  <c r="N4296" i="4" s="1"/>
  <c r="Y4304" i="4"/>
  <c r="H4304" i="4"/>
  <c r="M4304" i="4"/>
  <c r="N4304" i="4" s="1"/>
  <c r="Y4312" i="4"/>
  <c r="M4312" i="4"/>
  <c r="N4312" i="4" s="1"/>
  <c r="H4312" i="4"/>
  <c r="Y4320" i="4"/>
  <c r="H4320" i="4"/>
  <c r="M4320" i="4"/>
  <c r="N4320" i="4" s="1"/>
  <c r="Y4328" i="4"/>
  <c r="H4328" i="4"/>
  <c r="M4328" i="4"/>
  <c r="N4328" i="4" s="1"/>
  <c r="Y4336" i="4"/>
  <c r="H4336" i="4"/>
  <c r="M4336" i="4"/>
  <c r="N4336" i="4" s="1"/>
  <c r="H4598" i="4"/>
  <c r="Y4598" i="4"/>
  <c r="M4598" i="4"/>
  <c r="N4598" i="4" s="1"/>
  <c r="H4533" i="4"/>
  <c r="Y4533" i="4"/>
  <c r="M4533" i="4"/>
  <c r="N4533" i="4" s="1"/>
  <c r="M4341" i="4"/>
  <c r="N4341" i="4" s="1"/>
  <c r="Y4341" i="4"/>
  <c r="H4341" i="4"/>
  <c r="M4357" i="4"/>
  <c r="N4357" i="4" s="1"/>
  <c r="Y4357" i="4"/>
  <c r="H4357" i="4"/>
  <c r="M4373" i="4"/>
  <c r="N4373" i="4" s="1"/>
  <c r="H4373" i="4"/>
  <c r="Y4373" i="4"/>
  <c r="H4389" i="4"/>
  <c r="Y4389" i="4"/>
  <c r="M4389" i="4"/>
  <c r="N4389" i="4" s="1"/>
  <c r="H4405" i="4"/>
  <c r="M4405" i="4"/>
  <c r="N4405" i="4" s="1"/>
  <c r="Y4405" i="4"/>
  <c r="Y4421" i="4"/>
  <c r="M4421" i="4"/>
  <c r="N4421" i="4" s="1"/>
  <c r="H4421" i="4"/>
  <c r="M4437" i="4"/>
  <c r="N4437" i="4" s="1"/>
  <c r="H4437" i="4"/>
  <c r="Y4437" i="4"/>
  <c r="Y4505" i="4"/>
  <c r="M4505" i="4"/>
  <c r="N4505" i="4" s="1"/>
  <c r="H4505" i="4"/>
  <c r="Y4465" i="4"/>
  <c r="M4465" i="4"/>
  <c r="N4465" i="4" s="1"/>
  <c r="H4465" i="4"/>
  <c r="M4368" i="4"/>
  <c r="N4368" i="4" s="1"/>
  <c r="H4368" i="4"/>
  <c r="Y4368" i="4"/>
  <c r="M4400" i="4"/>
  <c r="N4400" i="4" s="1"/>
  <c r="H4400" i="4"/>
  <c r="Y4400" i="4"/>
  <c r="M4432" i="4"/>
  <c r="N4432" i="4" s="1"/>
  <c r="H4432" i="4"/>
  <c r="Y4432" i="4"/>
  <c r="Y4588" i="4"/>
  <c r="M4588" i="4"/>
  <c r="N4588" i="4" s="1"/>
  <c r="H4588" i="4"/>
  <c r="M4440" i="4"/>
  <c r="N4440" i="4" s="1"/>
  <c r="H4440" i="4"/>
  <c r="Y4440" i="4"/>
  <c r="Y4525" i="4"/>
  <c r="M4525" i="4"/>
  <c r="N4525" i="4" s="1"/>
  <c r="H4525" i="4"/>
  <c r="M4481" i="4"/>
  <c r="N4481" i="4" s="1"/>
  <c r="H4481" i="4"/>
  <c r="Y4481" i="4"/>
  <c r="M4636" i="4"/>
  <c r="N4636" i="4" s="1"/>
  <c r="H4636" i="4"/>
  <c r="Y4636" i="4"/>
  <c r="M4114" i="4"/>
  <c r="N4114" i="4" s="1"/>
  <c r="H4114" i="4"/>
  <c r="Y4114" i="4"/>
  <c r="M4122" i="4"/>
  <c r="N4122" i="4" s="1"/>
  <c r="Y4122" i="4"/>
  <c r="H4122" i="4"/>
  <c r="H4130" i="4"/>
  <c r="Y4130" i="4"/>
  <c r="M4130" i="4"/>
  <c r="N4130" i="4" s="1"/>
  <c r="Y4138" i="4"/>
  <c r="M4138" i="4"/>
  <c r="N4138" i="4" s="1"/>
  <c r="H4138" i="4"/>
  <c r="H4146" i="4"/>
  <c r="M4146" i="4"/>
  <c r="N4146" i="4" s="1"/>
  <c r="Y4146" i="4"/>
  <c r="Y4154" i="4"/>
  <c r="H4154" i="4"/>
  <c r="M4154" i="4"/>
  <c r="N4154" i="4" s="1"/>
  <c r="Y4162" i="4"/>
  <c r="M4162" i="4"/>
  <c r="N4162" i="4" s="1"/>
  <c r="H4162" i="4"/>
  <c r="Y4170" i="4"/>
  <c r="H4170" i="4"/>
  <c r="M4170" i="4"/>
  <c r="N4170" i="4" s="1"/>
  <c r="Y4178" i="4"/>
  <c r="M4178" i="4"/>
  <c r="N4178" i="4" s="1"/>
  <c r="H4178" i="4"/>
  <c r="Y4186" i="4"/>
  <c r="M4186" i="4"/>
  <c r="N4186" i="4" s="1"/>
  <c r="H4186" i="4"/>
  <c r="Y4194" i="4"/>
  <c r="H4194" i="4"/>
  <c r="M4194" i="4"/>
  <c r="N4194" i="4" s="1"/>
  <c r="M4202" i="4"/>
  <c r="N4202" i="4" s="1"/>
  <c r="Y4202" i="4"/>
  <c r="H4202" i="4"/>
  <c r="Y4210" i="4"/>
  <c r="M4210" i="4"/>
  <c r="N4210" i="4" s="1"/>
  <c r="H4210" i="4"/>
  <c r="Y4218" i="4"/>
  <c r="H4218" i="4"/>
  <c r="M4218" i="4"/>
  <c r="N4218" i="4" s="1"/>
  <c r="H4226" i="4"/>
  <c r="Y4226" i="4"/>
  <c r="M4226" i="4"/>
  <c r="N4226" i="4" s="1"/>
  <c r="Y4234" i="4"/>
  <c r="H4234" i="4"/>
  <c r="M4234" i="4"/>
  <c r="N4234" i="4" s="1"/>
  <c r="Y4242" i="4"/>
  <c r="H4242" i="4"/>
  <c r="M4242" i="4"/>
  <c r="N4242" i="4" s="1"/>
  <c r="Y4250" i="4"/>
  <c r="H4250" i="4"/>
  <c r="M4250" i="4"/>
  <c r="N4250" i="4" s="1"/>
  <c r="Y4258" i="4"/>
  <c r="H4258" i="4"/>
  <c r="M4258" i="4"/>
  <c r="N4258" i="4" s="1"/>
  <c r="Y4266" i="4"/>
  <c r="M4266" i="4"/>
  <c r="N4266" i="4" s="1"/>
  <c r="H4266" i="4"/>
  <c r="Y4274" i="4"/>
  <c r="H4274" i="4"/>
  <c r="M4274" i="4"/>
  <c r="N4274" i="4" s="1"/>
  <c r="H4282" i="4"/>
  <c r="Y4282" i="4"/>
  <c r="M4282" i="4"/>
  <c r="N4282" i="4" s="1"/>
  <c r="M4290" i="4"/>
  <c r="N4290" i="4" s="1"/>
  <c r="Y4290" i="4"/>
  <c r="H4290" i="4"/>
  <c r="M4298" i="4"/>
  <c r="N4298" i="4" s="1"/>
  <c r="Y4298" i="4"/>
  <c r="H4298" i="4"/>
  <c r="Y4306" i="4"/>
  <c r="M4306" i="4"/>
  <c r="N4306" i="4" s="1"/>
  <c r="H4306" i="4"/>
  <c r="M4314" i="4"/>
  <c r="N4314" i="4" s="1"/>
  <c r="Y4314" i="4"/>
  <c r="H4314" i="4"/>
  <c r="Y4322" i="4"/>
  <c r="M4322" i="4"/>
  <c r="N4322" i="4" s="1"/>
  <c r="H4322" i="4"/>
  <c r="Y4330" i="4"/>
  <c r="M4330" i="4"/>
  <c r="N4330" i="4" s="1"/>
  <c r="H4330" i="4"/>
  <c r="Y4339" i="4"/>
  <c r="M4339" i="4"/>
  <c r="N4339" i="4" s="1"/>
  <c r="H4339" i="4"/>
  <c r="M4345" i="4"/>
  <c r="N4345" i="4" s="1"/>
  <c r="Y4345" i="4"/>
  <c r="H4345" i="4"/>
  <c r="H4361" i="4"/>
  <c r="Y4361" i="4"/>
  <c r="M4361" i="4"/>
  <c r="N4361" i="4" s="1"/>
  <c r="M4377" i="4"/>
  <c r="N4377" i="4" s="1"/>
  <c r="H4377" i="4"/>
  <c r="Y4377" i="4"/>
  <c r="H4393" i="4"/>
  <c r="M4393" i="4"/>
  <c r="N4393" i="4" s="1"/>
  <c r="Y4393" i="4"/>
  <c r="M4409" i="4"/>
  <c r="N4409" i="4" s="1"/>
  <c r="Y4409" i="4"/>
  <c r="H4409" i="4"/>
  <c r="Y4425" i="4"/>
  <c r="M4425" i="4"/>
  <c r="N4425" i="4" s="1"/>
  <c r="H4425" i="4"/>
  <c r="M4441" i="4"/>
  <c r="N4441" i="4" s="1"/>
  <c r="H4441" i="4"/>
  <c r="Y4441" i="4"/>
  <c r="Y4590" i="4"/>
  <c r="M4590" i="4"/>
  <c r="N4590" i="4" s="1"/>
  <c r="H4590" i="4"/>
  <c r="Y4508" i="4"/>
  <c r="H4508" i="4"/>
  <c r="M4508" i="4"/>
  <c r="N4508" i="4" s="1"/>
  <c r="M4344" i="4"/>
  <c r="N4344" i="4" s="1"/>
  <c r="H4344" i="4"/>
  <c r="Y4344" i="4"/>
  <c r="M4376" i="4"/>
  <c r="N4376" i="4" s="1"/>
  <c r="H4376" i="4"/>
  <c r="Y4376" i="4"/>
  <c r="Y4408" i="4"/>
  <c r="M4408" i="4"/>
  <c r="N4408" i="4" s="1"/>
  <c r="H4408" i="4"/>
  <c r="H4542" i="4"/>
  <c r="Y4542" i="4"/>
  <c r="M4542" i="4"/>
  <c r="N4542" i="4" s="1"/>
  <c r="Y4749" i="4"/>
  <c r="M4749" i="4"/>
  <c r="N4749" i="4" s="1"/>
  <c r="H4749" i="4"/>
  <c r="Y4609" i="4"/>
  <c r="M4609" i="4"/>
  <c r="N4609" i="4" s="1"/>
  <c r="H4609" i="4"/>
  <c r="M4461" i="4"/>
  <c r="N4461" i="4" s="1"/>
  <c r="H4461" i="4"/>
  <c r="Y4461" i="4"/>
  <c r="H4610" i="4"/>
  <c r="Y4610" i="4"/>
  <c r="M4610" i="4"/>
  <c r="N4610" i="4" s="1"/>
  <c r="Y4486" i="4"/>
  <c r="H4486" i="4"/>
  <c r="M4486" i="4"/>
  <c r="N4486" i="4" s="1"/>
  <c r="Y4524" i="4"/>
  <c r="M4524" i="4"/>
  <c r="N4524" i="4" s="1"/>
  <c r="H4524" i="4"/>
  <c r="M4116" i="4"/>
  <c r="N4116" i="4" s="1"/>
  <c r="H4116" i="4"/>
  <c r="Y4116" i="4"/>
  <c r="M4124" i="4"/>
  <c r="N4124" i="4" s="1"/>
  <c r="H4124" i="4"/>
  <c r="Y4124" i="4"/>
  <c r="H4132" i="4"/>
  <c r="M4132" i="4"/>
  <c r="N4132" i="4" s="1"/>
  <c r="Y4132" i="4"/>
  <c r="H4140" i="4"/>
  <c r="M4140" i="4"/>
  <c r="N4140" i="4" s="1"/>
  <c r="Y4140" i="4"/>
  <c r="H4148" i="4"/>
  <c r="M4148" i="4"/>
  <c r="N4148" i="4" s="1"/>
  <c r="Y4148" i="4"/>
  <c r="M4156" i="4"/>
  <c r="N4156" i="4" s="1"/>
  <c r="H4156" i="4"/>
  <c r="Y4156" i="4"/>
  <c r="M4164" i="4"/>
  <c r="N4164" i="4" s="1"/>
  <c r="H4164" i="4"/>
  <c r="Y4164" i="4"/>
  <c r="M4172" i="4"/>
  <c r="N4172" i="4" s="1"/>
  <c r="H4172" i="4"/>
  <c r="Y4172" i="4"/>
  <c r="H4180" i="4"/>
  <c r="M4180" i="4"/>
  <c r="N4180" i="4" s="1"/>
  <c r="Y4180" i="4"/>
  <c r="M4188" i="4"/>
  <c r="N4188" i="4" s="1"/>
  <c r="H4188" i="4"/>
  <c r="Y4188" i="4"/>
  <c r="M4196" i="4"/>
  <c r="N4196" i="4" s="1"/>
  <c r="H4196" i="4"/>
  <c r="Y4196" i="4"/>
  <c r="Y4204" i="4"/>
  <c r="M4204" i="4"/>
  <c r="N4204" i="4" s="1"/>
  <c r="H4204" i="4"/>
  <c r="M4212" i="4"/>
  <c r="N4212" i="4" s="1"/>
  <c r="H4212" i="4"/>
  <c r="Y4212" i="4"/>
  <c r="M4220" i="4"/>
  <c r="N4220" i="4" s="1"/>
  <c r="H4220" i="4"/>
  <c r="Y4220" i="4"/>
  <c r="H4228" i="4"/>
  <c r="Y4228" i="4"/>
  <c r="M4228" i="4"/>
  <c r="N4228" i="4" s="1"/>
  <c r="H4236" i="4"/>
  <c r="Y4236" i="4"/>
  <c r="M4236" i="4"/>
  <c r="N4236" i="4" s="1"/>
  <c r="Y4244" i="4"/>
  <c r="H4244" i="4"/>
  <c r="M4244" i="4"/>
  <c r="N4244" i="4" s="1"/>
  <c r="H4252" i="4"/>
  <c r="Y4252" i="4"/>
  <c r="M4252" i="4"/>
  <c r="N4252" i="4" s="1"/>
  <c r="M4260" i="4"/>
  <c r="N4260" i="4" s="1"/>
  <c r="H4260" i="4"/>
  <c r="Y4260" i="4"/>
  <c r="H4268" i="4"/>
  <c r="M4268" i="4"/>
  <c r="N4268" i="4" s="1"/>
  <c r="Y4268" i="4"/>
  <c r="M4276" i="4"/>
  <c r="N4276" i="4" s="1"/>
  <c r="H4276" i="4"/>
  <c r="Y4276" i="4"/>
  <c r="M4284" i="4"/>
  <c r="N4284" i="4" s="1"/>
  <c r="H4284" i="4"/>
  <c r="Y4284" i="4"/>
  <c r="M4292" i="4"/>
  <c r="N4292" i="4" s="1"/>
  <c r="H4292" i="4"/>
  <c r="Y4292" i="4"/>
  <c r="H4300" i="4"/>
  <c r="Y4300" i="4"/>
  <c r="M4300" i="4"/>
  <c r="N4300" i="4" s="1"/>
  <c r="Y4308" i="4"/>
  <c r="M4308" i="4"/>
  <c r="N4308" i="4" s="1"/>
  <c r="H4308" i="4"/>
  <c r="H4316" i="4"/>
  <c r="M4316" i="4"/>
  <c r="N4316" i="4" s="1"/>
  <c r="Y4316" i="4"/>
  <c r="M4324" i="4"/>
  <c r="N4324" i="4" s="1"/>
  <c r="H4324" i="4"/>
  <c r="Y4324" i="4"/>
  <c r="Y4332" i="4"/>
  <c r="M4332" i="4"/>
  <c r="N4332" i="4" s="1"/>
  <c r="H4332" i="4"/>
  <c r="H4338" i="4"/>
  <c r="M4338" i="4"/>
  <c r="N4338" i="4" s="1"/>
  <c r="Y4338" i="4"/>
  <c r="M4449" i="4"/>
  <c r="N4449" i="4" s="1"/>
  <c r="H4449" i="4"/>
  <c r="Y4449" i="4"/>
  <c r="M4349" i="4"/>
  <c r="N4349" i="4" s="1"/>
  <c r="Y4349" i="4"/>
  <c r="H4349" i="4"/>
  <c r="Y4365" i="4"/>
  <c r="M4365" i="4"/>
  <c r="N4365" i="4" s="1"/>
  <c r="H4365" i="4"/>
  <c r="Y4381" i="4"/>
  <c r="M4381" i="4"/>
  <c r="N4381" i="4" s="1"/>
  <c r="H4381" i="4"/>
  <c r="Y4397" i="4"/>
  <c r="M4397" i="4"/>
  <c r="N4397" i="4" s="1"/>
  <c r="H4397" i="4"/>
  <c r="Y4413" i="4"/>
  <c r="H4413" i="4"/>
  <c r="M4413" i="4"/>
  <c r="N4413" i="4" s="1"/>
  <c r="M4429" i="4"/>
  <c r="N4429" i="4" s="1"/>
  <c r="H4429" i="4"/>
  <c r="Y4429" i="4"/>
  <c r="Y4611" i="4"/>
  <c r="M4611" i="4"/>
  <c r="N4611" i="4" s="1"/>
  <c r="H4611" i="4"/>
  <c r="M4645" i="4"/>
  <c r="N4645" i="4" s="1"/>
  <c r="H4645" i="4"/>
  <c r="Y4645" i="4"/>
  <c r="H4352" i="4"/>
  <c r="M4352" i="4"/>
  <c r="N4352" i="4" s="1"/>
  <c r="Y4352" i="4"/>
  <c r="Y4384" i="4"/>
  <c r="M4384" i="4"/>
  <c r="N4384" i="4" s="1"/>
  <c r="H4384" i="4"/>
  <c r="M4416" i="4"/>
  <c r="N4416" i="4" s="1"/>
  <c r="Y4416" i="4"/>
  <c r="H4416" i="4"/>
  <c r="Y4632" i="4"/>
  <c r="M4632" i="4"/>
  <c r="N4632" i="4" s="1"/>
  <c r="H4632" i="4"/>
  <c r="H4482" i="4"/>
  <c r="Y4482" i="4"/>
  <c r="M4482" i="4"/>
  <c r="N4482" i="4" s="1"/>
  <c r="Y4545" i="4"/>
  <c r="H4545" i="4"/>
  <c r="M4545" i="4"/>
  <c r="N4545" i="4" s="1"/>
  <c r="H4546" i="4"/>
  <c r="Y4546" i="4"/>
  <c r="M4546" i="4"/>
  <c r="N4546" i="4" s="1"/>
  <c r="M4642" i="4"/>
  <c r="N4642" i="4" s="1"/>
  <c r="Y4642" i="4"/>
  <c r="H4642" i="4"/>
  <c r="M4549" i="4"/>
  <c r="N4549" i="4" s="1"/>
  <c r="H4549" i="4"/>
  <c r="Y4549" i="4"/>
  <c r="Y4674" i="4"/>
  <c r="M4674" i="4"/>
  <c r="N4674" i="4" s="1"/>
  <c r="H4674" i="4"/>
  <c r="Y4492" i="4"/>
  <c r="M4492" i="4"/>
  <c r="N4492" i="4" s="1"/>
  <c r="H4492" i="4"/>
  <c r="H4343" i="4"/>
  <c r="M4343" i="4"/>
  <c r="N4343" i="4" s="1"/>
  <c r="Y4343" i="4"/>
  <c r="H4351" i="4"/>
  <c r="Y4351" i="4"/>
  <c r="M4351" i="4"/>
  <c r="N4351" i="4" s="1"/>
  <c r="M4359" i="4"/>
  <c r="N4359" i="4" s="1"/>
  <c r="H4359" i="4"/>
  <c r="Y4359" i="4"/>
  <c r="M4367" i="4"/>
  <c r="N4367" i="4" s="1"/>
  <c r="Y4367" i="4"/>
  <c r="H4367" i="4"/>
  <c r="Y4375" i="4"/>
  <c r="H4375" i="4"/>
  <c r="M4375" i="4"/>
  <c r="N4375" i="4" s="1"/>
  <c r="M4383" i="4"/>
  <c r="N4383" i="4" s="1"/>
  <c r="H4383" i="4"/>
  <c r="Y4383" i="4"/>
  <c r="H4391" i="4"/>
  <c r="M4391" i="4"/>
  <c r="N4391" i="4" s="1"/>
  <c r="Y4391" i="4"/>
  <c r="M4399" i="4"/>
  <c r="N4399" i="4" s="1"/>
  <c r="Y4399" i="4"/>
  <c r="H4399" i="4"/>
  <c r="H4407" i="4"/>
  <c r="M4407" i="4"/>
  <c r="N4407" i="4" s="1"/>
  <c r="Y4407" i="4"/>
  <c r="H4415" i="4"/>
  <c r="M4415" i="4"/>
  <c r="N4415" i="4" s="1"/>
  <c r="Y4415" i="4"/>
  <c r="M4423" i="4"/>
  <c r="N4423" i="4" s="1"/>
  <c r="H4423" i="4"/>
  <c r="Y4423" i="4"/>
  <c r="Y4431" i="4"/>
  <c r="M4431" i="4"/>
  <c r="N4431" i="4" s="1"/>
  <c r="H4431" i="4"/>
  <c r="Y4439" i="4"/>
  <c r="M4439" i="4"/>
  <c r="N4439" i="4" s="1"/>
  <c r="H4439" i="4"/>
  <c r="Y4473" i="4"/>
  <c r="M4473" i="4"/>
  <c r="N4473" i="4" s="1"/>
  <c r="H4473" i="4"/>
  <c r="Y4516" i="4"/>
  <c r="M4516" i="4"/>
  <c r="N4516" i="4" s="1"/>
  <c r="H4516" i="4"/>
  <c r="Y4579" i="4"/>
  <c r="H4579" i="4"/>
  <c r="M4579" i="4"/>
  <c r="N4579" i="4" s="1"/>
  <c r="M4550" i="4"/>
  <c r="N4550" i="4" s="1"/>
  <c r="H4550" i="4"/>
  <c r="Y4550" i="4"/>
  <c r="H4340" i="4"/>
  <c r="Y4340" i="4"/>
  <c r="M4340" i="4"/>
  <c r="N4340" i="4" s="1"/>
  <c r="M4356" i="4"/>
  <c r="N4356" i="4" s="1"/>
  <c r="Y4356" i="4"/>
  <c r="H4356" i="4"/>
  <c r="M4372" i="4"/>
  <c r="N4372" i="4" s="1"/>
  <c r="Y4372" i="4"/>
  <c r="H4372" i="4"/>
  <c r="Y4388" i="4"/>
  <c r="M4388" i="4"/>
  <c r="N4388" i="4" s="1"/>
  <c r="H4388" i="4"/>
  <c r="M4404" i="4"/>
  <c r="N4404" i="4" s="1"/>
  <c r="H4404" i="4"/>
  <c r="Y4404" i="4"/>
  <c r="M4420" i="4"/>
  <c r="N4420" i="4" s="1"/>
  <c r="H4420" i="4"/>
  <c r="Y4420" i="4"/>
  <c r="M4436" i="4"/>
  <c r="N4436" i="4" s="1"/>
  <c r="H4436" i="4"/>
  <c r="Y4436" i="4"/>
  <c r="H4671" i="4"/>
  <c r="Y4671" i="4"/>
  <c r="M4671" i="4"/>
  <c r="N4671" i="4" s="1"/>
  <c r="Y4500" i="4"/>
  <c r="M4500" i="4"/>
  <c r="N4500" i="4" s="1"/>
  <c r="H4500" i="4"/>
  <c r="Y4563" i="4"/>
  <c r="M4563" i="4"/>
  <c r="N4563" i="4" s="1"/>
  <c r="H4563" i="4"/>
  <c r="H4466" i="4"/>
  <c r="Y4466" i="4"/>
  <c r="M4466" i="4"/>
  <c r="N4466" i="4" s="1"/>
  <c r="M4487" i="4"/>
  <c r="N4487" i="4" s="1"/>
  <c r="Y4487" i="4"/>
  <c r="H4487" i="4"/>
  <c r="M4530" i="4"/>
  <c r="N4530" i="4" s="1"/>
  <c r="H4530" i="4"/>
  <c r="Y4530" i="4"/>
  <c r="M4572" i="4"/>
  <c r="N4572" i="4" s="1"/>
  <c r="Y4572" i="4"/>
  <c r="H4572" i="4"/>
  <c r="M4593" i="4"/>
  <c r="N4593" i="4" s="1"/>
  <c r="H4593" i="4"/>
  <c r="Y4593" i="4"/>
  <c r="H4644" i="4"/>
  <c r="Y4644" i="4"/>
  <c r="M4644" i="4"/>
  <c r="N4644" i="4" s="1"/>
  <c r="Y4445" i="4"/>
  <c r="M4445" i="4"/>
  <c r="N4445" i="4" s="1"/>
  <c r="H4445" i="4"/>
  <c r="M4488" i="4"/>
  <c r="N4488" i="4" s="1"/>
  <c r="H4488" i="4"/>
  <c r="Y4488" i="4"/>
  <c r="Y4509" i="4"/>
  <c r="H4509" i="4"/>
  <c r="M4509" i="4"/>
  <c r="N4509" i="4" s="1"/>
  <c r="H4551" i="4"/>
  <c r="Y4551" i="4"/>
  <c r="M4551" i="4"/>
  <c r="N4551" i="4" s="1"/>
  <c r="H4594" i="4"/>
  <c r="Y4594" i="4"/>
  <c r="M4594" i="4"/>
  <c r="N4594" i="4" s="1"/>
  <c r="H4616" i="4"/>
  <c r="Y4616" i="4"/>
  <c r="M4616" i="4"/>
  <c r="N4616" i="4" s="1"/>
  <c r="H4507" i="4"/>
  <c r="M4507" i="4"/>
  <c r="N4507" i="4" s="1"/>
  <c r="Y4507" i="4"/>
  <c r="M4521" i="4"/>
  <c r="N4521" i="4" s="1"/>
  <c r="H4521" i="4"/>
  <c r="Y4521" i="4"/>
  <c r="M4450" i="4"/>
  <c r="N4450" i="4" s="1"/>
  <c r="H4450" i="4"/>
  <c r="Y4450" i="4"/>
  <c r="M4471" i="4"/>
  <c r="N4471" i="4" s="1"/>
  <c r="Y4471" i="4"/>
  <c r="H4471" i="4"/>
  <c r="H4514" i="4"/>
  <c r="Y4514" i="4"/>
  <c r="M4514" i="4"/>
  <c r="N4514" i="4" s="1"/>
  <c r="Y4556" i="4"/>
  <c r="M4556" i="4"/>
  <c r="N4556" i="4" s="1"/>
  <c r="H4556" i="4"/>
  <c r="H4577" i="4"/>
  <c r="Y4577" i="4"/>
  <c r="M4577" i="4"/>
  <c r="N4577" i="4" s="1"/>
  <c r="M4652" i="4"/>
  <c r="N4652" i="4" s="1"/>
  <c r="H4652" i="4"/>
  <c r="Y4652" i="4"/>
  <c r="H4651" i="4"/>
  <c r="Y4651" i="4"/>
  <c r="M4651" i="4"/>
  <c r="N4651" i="4" s="1"/>
  <c r="H4472" i="4"/>
  <c r="Y4472" i="4"/>
  <c r="M4472" i="4"/>
  <c r="N4472" i="4" s="1"/>
  <c r="M4493" i="4"/>
  <c r="N4493" i="4" s="1"/>
  <c r="Y4493" i="4"/>
  <c r="H4493" i="4"/>
  <c r="H4535" i="4"/>
  <c r="Y4535" i="4"/>
  <c r="M4535" i="4"/>
  <c r="N4535" i="4" s="1"/>
  <c r="M4578" i="4"/>
  <c r="N4578" i="4" s="1"/>
  <c r="Y4578" i="4"/>
  <c r="H4578" i="4"/>
  <c r="M4599" i="4"/>
  <c r="N4599" i="4" s="1"/>
  <c r="Y4599" i="4"/>
  <c r="H4599" i="4"/>
  <c r="Y4443" i="4"/>
  <c r="M4443" i="4"/>
  <c r="N4443" i="4" s="1"/>
  <c r="H4443" i="4"/>
  <c r="M4592" i="4"/>
  <c r="N4592" i="4" s="1"/>
  <c r="H4592" i="4"/>
  <c r="Y4592" i="4"/>
  <c r="M4641" i="4"/>
  <c r="N4641" i="4" s="1"/>
  <c r="H4641" i="4"/>
  <c r="Y4641" i="4"/>
  <c r="M4555" i="4"/>
  <c r="N4555" i="4" s="1"/>
  <c r="Y4555" i="4"/>
  <c r="H4555" i="4"/>
  <c r="M4347" i="4"/>
  <c r="N4347" i="4" s="1"/>
  <c r="Y4347" i="4"/>
  <c r="H4347" i="4"/>
  <c r="Y4355" i="4"/>
  <c r="H4355" i="4"/>
  <c r="M4355" i="4"/>
  <c r="N4355" i="4" s="1"/>
  <c r="H4363" i="4"/>
  <c r="Y4363" i="4"/>
  <c r="M4363" i="4"/>
  <c r="N4363" i="4" s="1"/>
  <c r="Y4371" i="4"/>
  <c r="M4371" i="4"/>
  <c r="N4371" i="4" s="1"/>
  <c r="H4371" i="4"/>
  <c r="M4379" i="4"/>
  <c r="N4379" i="4" s="1"/>
  <c r="Y4379" i="4"/>
  <c r="H4379" i="4"/>
  <c r="M4387" i="4"/>
  <c r="N4387" i="4" s="1"/>
  <c r="Y4387" i="4"/>
  <c r="H4387" i="4"/>
  <c r="M4395" i="4"/>
  <c r="N4395" i="4" s="1"/>
  <c r="Y4395" i="4"/>
  <c r="H4395" i="4"/>
  <c r="M4403" i="4"/>
  <c r="N4403" i="4" s="1"/>
  <c r="Y4403" i="4"/>
  <c r="H4403" i="4"/>
  <c r="H4411" i="4"/>
  <c r="Y4411" i="4"/>
  <c r="M4411" i="4"/>
  <c r="N4411" i="4" s="1"/>
  <c r="Y4419" i="4"/>
  <c r="M4419" i="4"/>
  <c r="N4419" i="4" s="1"/>
  <c r="H4419" i="4"/>
  <c r="H4427" i="4"/>
  <c r="Y4427" i="4"/>
  <c r="M4427" i="4"/>
  <c r="N4427" i="4" s="1"/>
  <c r="M4435" i="4"/>
  <c r="N4435" i="4" s="1"/>
  <c r="H4435" i="4"/>
  <c r="Y4435" i="4"/>
  <c r="M4655" i="4"/>
  <c r="N4655" i="4" s="1"/>
  <c r="Y4655" i="4"/>
  <c r="H4655" i="4"/>
  <c r="Y4452" i="4"/>
  <c r="M4452" i="4"/>
  <c r="N4452" i="4" s="1"/>
  <c r="H4452" i="4"/>
  <c r="M4558" i="4"/>
  <c r="N4558" i="4" s="1"/>
  <c r="H4558" i="4"/>
  <c r="Y4558" i="4"/>
  <c r="Y4656" i="4"/>
  <c r="H4656" i="4"/>
  <c r="M4656" i="4"/>
  <c r="N4656" i="4" s="1"/>
  <c r="M4613" i="4"/>
  <c r="N4613" i="4" s="1"/>
  <c r="Y4613" i="4"/>
  <c r="H4613" i="4"/>
  <c r="Y4444" i="4"/>
  <c r="H4444" i="4"/>
  <c r="M4444" i="4"/>
  <c r="N4444" i="4" s="1"/>
  <c r="Y4529" i="4"/>
  <c r="M4529" i="4"/>
  <c r="N4529" i="4" s="1"/>
  <c r="H4529" i="4"/>
  <c r="Y4348" i="4"/>
  <c r="H4348" i="4"/>
  <c r="M4348" i="4"/>
  <c r="N4348" i="4" s="1"/>
  <c r="H4364" i="4"/>
  <c r="Y4364" i="4"/>
  <c r="M4364" i="4"/>
  <c r="N4364" i="4" s="1"/>
  <c r="Y4380" i="4"/>
  <c r="H4380" i="4"/>
  <c r="M4380" i="4"/>
  <c r="N4380" i="4" s="1"/>
  <c r="Y4396" i="4"/>
  <c r="M4396" i="4"/>
  <c r="N4396" i="4" s="1"/>
  <c r="H4396" i="4"/>
  <c r="H4412" i="4"/>
  <c r="Y4412" i="4"/>
  <c r="M4412" i="4"/>
  <c r="N4412" i="4" s="1"/>
  <c r="M4428" i="4"/>
  <c r="N4428" i="4" s="1"/>
  <c r="H4428" i="4"/>
  <c r="Y4428" i="4"/>
  <c r="H4457" i="4"/>
  <c r="Y4457" i="4"/>
  <c r="M4457" i="4"/>
  <c r="N4457" i="4" s="1"/>
  <c r="M4606" i="4"/>
  <c r="N4606" i="4" s="1"/>
  <c r="H4606" i="4"/>
  <c r="Y4606" i="4"/>
  <c r="M4455" i="4"/>
  <c r="N4455" i="4" s="1"/>
  <c r="Y4455" i="4"/>
  <c r="H4455" i="4"/>
  <c r="Y4498" i="4"/>
  <c r="M4498" i="4"/>
  <c r="N4498" i="4" s="1"/>
  <c r="H4498" i="4"/>
  <c r="Y4519" i="4"/>
  <c r="H4519" i="4"/>
  <c r="M4519" i="4"/>
  <c r="N4519" i="4" s="1"/>
  <c r="Y4540" i="4"/>
  <c r="H4540" i="4"/>
  <c r="M4540" i="4"/>
  <c r="N4540" i="4" s="1"/>
  <c r="Y4561" i="4"/>
  <c r="M4561" i="4"/>
  <c r="N4561" i="4" s="1"/>
  <c r="H4561" i="4"/>
  <c r="H4604" i="4"/>
  <c r="Y4604" i="4"/>
  <c r="M4604" i="4"/>
  <c r="N4604" i="4" s="1"/>
  <c r="Y4667" i="4"/>
  <c r="M4667" i="4"/>
  <c r="N4667" i="4" s="1"/>
  <c r="H4667" i="4"/>
  <c r="Y4456" i="4"/>
  <c r="M4456" i="4"/>
  <c r="N4456" i="4" s="1"/>
  <c r="H4456" i="4"/>
  <c r="H4477" i="4"/>
  <c r="M4477" i="4"/>
  <c r="N4477" i="4" s="1"/>
  <c r="Y4477" i="4"/>
  <c r="M4520" i="4"/>
  <c r="N4520" i="4" s="1"/>
  <c r="H4520" i="4"/>
  <c r="Y4520" i="4"/>
  <c r="M4562" i="4"/>
  <c r="N4562" i="4" s="1"/>
  <c r="H4562" i="4"/>
  <c r="Y4562" i="4"/>
  <c r="Y4583" i="4"/>
  <c r="H4583" i="4"/>
  <c r="M4583" i="4"/>
  <c r="N4583" i="4" s="1"/>
  <c r="H4664" i="4"/>
  <c r="Y4664" i="4"/>
  <c r="M4664" i="4"/>
  <c r="N4664" i="4" s="1"/>
  <c r="M4639" i="4"/>
  <c r="N4639" i="4" s="1"/>
  <c r="Y4639" i="4"/>
  <c r="H4639" i="4"/>
  <c r="Y4476" i="4"/>
  <c r="M4476" i="4"/>
  <c r="N4476" i="4" s="1"/>
  <c r="H4476" i="4"/>
  <c r="H4539" i="4"/>
  <c r="M4539" i="4"/>
  <c r="N4539" i="4" s="1"/>
  <c r="Y4539" i="4"/>
  <c r="M4582" i="4"/>
  <c r="N4582" i="4" s="1"/>
  <c r="H4582" i="4"/>
  <c r="Y4582" i="4"/>
  <c r="Y4346" i="4"/>
  <c r="M4346" i="4"/>
  <c r="N4346" i="4" s="1"/>
  <c r="H4346" i="4"/>
  <c r="H4354" i="4"/>
  <c r="Y4354" i="4"/>
  <c r="M4354" i="4"/>
  <c r="N4354" i="4" s="1"/>
  <c r="M4362" i="4"/>
  <c r="N4362" i="4" s="1"/>
  <c r="Y4362" i="4"/>
  <c r="H4362" i="4"/>
  <c r="Y4370" i="4"/>
  <c r="M4370" i="4"/>
  <c r="N4370" i="4" s="1"/>
  <c r="H4370" i="4"/>
  <c r="Y4378" i="4"/>
  <c r="H4378" i="4"/>
  <c r="M4378" i="4"/>
  <c r="N4378" i="4" s="1"/>
  <c r="H4386" i="4"/>
  <c r="Y4386" i="4"/>
  <c r="M4386" i="4"/>
  <c r="N4386" i="4" s="1"/>
  <c r="M4394" i="4"/>
  <c r="N4394" i="4" s="1"/>
  <c r="Y4394" i="4"/>
  <c r="H4394" i="4"/>
  <c r="H4402" i="4"/>
  <c r="M4402" i="4"/>
  <c r="N4402" i="4" s="1"/>
  <c r="Y4402" i="4"/>
  <c r="H4410" i="4"/>
  <c r="Y4410" i="4"/>
  <c r="M4410" i="4"/>
  <c r="N4410" i="4" s="1"/>
  <c r="H4418" i="4"/>
  <c r="Y4418" i="4"/>
  <c r="M4418" i="4"/>
  <c r="N4418" i="4" s="1"/>
  <c r="M4426" i="4"/>
  <c r="N4426" i="4" s="1"/>
  <c r="Y4426" i="4"/>
  <c r="H4426" i="4"/>
  <c r="Y4434" i="4"/>
  <c r="M4434" i="4"/>
  <c r="N4434" i="4" s="1"/>
  <c r="H4434" i="4"/>
  <c r="Y4489" i="4"/>
  <c r="M4489" i="4"/>
  <c r="N4489" i="4" s="1"/>
  <c r="H4489" i="4"/>
  <c r="M4595" i="4"/>
  <c r="N4595" i="4" s="1"/>
  <c r="Y4595" i="4"/>
  <c r="H4595" i="4"/>
  <c r="M4615" i="4"/>
  <c r="N4615" i="4" s="1"/>
  <c r="Y4615" i="4"/>
  <c r="H4615" i="4"/>
  <c r="Y4442" i="4"/>
  <c r="M4442" i="4"/>
  <c r="N4442" i="4" s="1"/>
  <c r="H4442" i="4"/>
  <c r="Y4463" i="4"/>
  <c r="M4463" i="4"/>
  <c r="N4463" i="4" s="1"/>
  <c r="H4463" i="4"/>
  <c r="Y4474" i="4"/>
  <c r="M4474" i="4"/>
  <c r="N4474" i="4" s="1"/>
  <c r="H4474" i="4"/>
  <c r="Y4495" i="4"/>
  <c r="M4495" i="4"/>
  <c r="N4495" i="4" s="1"/>
  <c r="H4495" i="4"/>
  <c r="M4506" i="4"/>
  <c r="N4506" i="4" s="1"/>
  <c r="Y4506" i="4"/>
  <c r="H4506" i="4"/>
  <c r="H4527" i="4"/>
  <c r="M4527" i="4"/>
  <c r="N4527" i="4" s="1"/>
  <c r="Y4527" i="4"/>
  <c r="Y4537" i="4"/>
  <c r="M4537" i="4"/>
  <c r="N4537" i="4" s="1"/>
  <c r="H4537" i="4"/>
  <c r="M4548" i="4"/>
  <c r="N4548" i="4" s="1"/>
  <c r="H4548" i="4"/>
  <c r="Y4548" i="4"/>
  <c r="M4569" i="4"/>
  <c r="N4569" i="4" s="1"/>
  <c r="H4569" i="4"/>
  <c r="Y4569" i="4"/>
  <c r="Y4580" i="4"/>
  <c r="M4580" i="4"/>
  <c r="N4580" i="4" s="1"/>
  <c r="H4580" i="4"/>
  <c r="H4601" i="4"/>
  <c r="Y4601" i="4"/>
  <c r="M4601" i="4"/>
  <c r="N4601" i="4" s="1"/>
  <c r="Y4612" i="4"/>
  <c r="M4612" i="4"/>
  <c r="N4612" i="4" s="1"/>
  <c r="H4612" i="4"/>
  <c r="H4640" i="4"/>
  <c r="M4640" i="4"/>
  <c r="N4640" i="4" s="1"/>
  <c r="Y4640" i="4"/>
  <c r="M4623" i="4"/>
  <c r="N4623" i="4" s="1"/>
  <c r="Y4623" i="4"/>
  <c r="H4623" i="4"/>
  <c r="H4659" i="4"/>
  <c r="M4659" i="4"/>
  <c r="N4659" i="4" s="1"/>
  <c r="Y4659" i="4"/>
  <c r="M4453" i="4"/>
  <c r="N4453" i="4" s="1"/>
  <c r="Y4453" i="4"/>
  <c r="H4453" i="4"/>
  <c r="H4464" i="4"/>
  <c r="Y4464" i="4"/>
  <c r="M4464" i="4"/>
  <c r="N4464" i="4" s="1"/>
  <c r="Y4485" i="4"/>
  <c r="H4485" i="4"/>
  <c r="M4485" i="4"/>
  <c r="N4485" i="4" s="1"/>
  <c r="M4496" i="4"/>
  <c r="N4496" i="4" s="1"/>
  <c r="H4496" i="4"/>
  <c r="Y4496" i="4"/>
  <c r="Y4517" i="4"/>
  <c r="M4517" i="4"/>
  <c r="N4517" i="4" s="1"/>
  <c r="H4517" i="4"/>
  <c r="Y4528" i="4"/>
  <c r="M4528" i="4"/>
  <c r="N4528" i="4" s="1"/>
  <c r="H4528" i="4"/>
  <c r="Y4538" i="4"/>
  <c r="M4538" i="4"/>
  <c r="N4538" i="4" s="1"/>
  <c r="H4538" i="4"/>
  <c r="M4559" i="4"/>
  <c r="N4559" i="4" s="1"/>
  <c r="Y4559" i="4"/>
  <c r="H4559" i="4"/>
  <c r="Y4570" i="4"/>
  <c r="M4570" i="4"/>
  <c r="N4570" i="4" s="1"/>
  <c r="H4570" i="4"/>
  <c r="H4591" i="4"/>
  <c r="Y4591" i="4"/>
  <c r="M4591" i="4"/>
  <c r="N4591" i="4" s="1"/>
  <c r="Y4602" i="4"/>
  <c r="M4602" i="4"/>
  <c r="N4602" i="4" s="1"/>
  <c r="H4602" i="4"/>
  <c r="H4454" i="4"/>
  <c r="Y4454" i="4"/>
  <c r="M4454" i="4"/>
  <c r="N4454" i="4" s="1"/>
  <c r="H4560" i="4"/>
  <c r="Y4560" i="4"/>
  <c r="M4560" i="4"/>
  <c r="N4560" i="4" s="1"/>
  <c r="H4660" i="4"/>
  <c r="M4660" i="4"/>
  <c r="N4660" i="4" s="1"/>
  <c r="Y4660" i="4"/>
  <c r="Y4635" i="4"/>
  <c r="H4635" i="4"/>
  <c r="M4635" i="4"/>
  <c r="N4635" i="4" s="1"/>
  <c r="M4743" i="4"/>
  <c r="N4743" i="4" s="1"/>
  <c r="Y4743" i="4"/>
  <c r="H4743" i="4"/>
  <c r="H4772" i="4"/>
  <c r="Y4772" i="4"/>
  <c r="M4772" i="4"/>
  <c r="N4772" i="4" s="1"/>
  <c r="M4720" i="4"/>
  <c r="N4720" i="4" s="1"/>
  <c r="H4720" i="4"/>
  <c r="Y4720" i="4"/>
  <c r="M4629" i="4"/>
  <c r="N4629" i="4" s="1"/>
  <c r="H4629" i="4"/>
  <c r="Y4629" i="4"/>
  <c r="M4663" i="4"/>
  <c r="N4663" i="4" s="1"/>
  <c r="H4663" i="4"/>
  <c r="Y4663" i="4"/>
  <c r="H4497" i="4"/>
  <c r="Y4497" i="4"/>
  <c r="M4497" i="4"/>
  <c r="N4497" i="4" s="1"/>
  <c r="Y4603" i="4"/>
  <c r="H4603" i="4"/>
  <c r="M4603" i="4"/>
  <c r="N4603" i="4" s="1"/>
  <c r="M4626" i="4"/>
  <c r="N4626" i="4" s="1"/>
  <c r="H4626" i="4"/>
  <c r="Y4626" i="4"/>
  <c r="Y4342" i="4"/>
  <c r="M4342" i="4"/>
  <c r="N4342" i="4" s="1"/>
  <c r="H4342" i="4"/>
  <c r="Y4350" i="4"/>
  <c r="M4350" i="4"/>
  <c r="N4350" i="4" s="1"/>
  <c r="H4350" i="4"/>
  <c r="Y4358" i="4"/>
  <c r="M4358" i="4"/>
  <c r="N4358" i="4" s="1"/>
  <c r="H4358" i="4"/>
  <c r="Y4366" i="4"/>
  <c r="H4366" i="4"/>
  <c r="M4366" i="4"/>
  <c r="N4366" i="4" s="1"/>
  <c r="H4374" i="4"/>
  <c r="Y4374" i="4"/>
  <c r="M4374" i="4"/>
  <c r="N4374" i="4" s="1"/>
  <c r="H4382" i="4"/>
  <c r="M4382" i="4"/>
  <c r="N4382" i="4" s="1"/>
  <c r="Y4382" i="4"/>
  <c r="H4390" i="4"/>
  <c r="Y4390" i="4"/>
  <c r="M4390" i="4"/>
  <c r="N4390" i="4" s="1"/>
  <c r="H4398" i="4"/>
  <c r="M4398" i="4"/>
  <c r="N4398" i="4" s="1"/>
  <c r="Y4398" i="4"/>
  <c r="H4406" i="4"/>
  <c r="Y4406" i="4"/>
  <c r="M4406" i="4"/>
  <c r="N4406" i="4" s="1"/>
  <c r="Y4414" i="4"/>
  <c r="M4414" i="4"/>
  <c r="N4414" i="4" s="1"/>
  <c r="H4414" i="4"/>
  <c r="Y4422" i="4"/>
  <c r="H4422" i="4"/>
  <c r="M4422" i="4"/>
  <c r="N4422" i="4" s="1"/>
  <c r="H4430" i="4"/>
  <c r="M4430" i="4"/>
  <c r="N4430" i="4" s="1"/>
  <c r="Y4430" i="4"/>
  <c r="Y4438" i="4"/>
  <c r="H4438" i="4"/>
  <c r="M4438" i="4"/>
  <c r="N4438" i="4" s="1"/>
  <c r="M4468" i="4"/>
  <c r="N4468" i="4" s="1"/>
  <c r="H4468" i="4"/>
  <c r="Y4468" i="4"/>
  <c r="Y4574" i="4"/>
  <c r="H4574" i="4"/>
  <c r="M4574" i="4"/>
  <c r="N4574" i="4" s="1"/>
  <c r="M4447" i="4"/>
  <c r="N4447" i="4" s="1"/>
  <c r="Y4447" i="4"/>
  <c r="H4447" i="4"/>
  <c r="M4458" i="4"/>
  <c r="N4458" i="4" s="1"/>
  <c r="H4458" i="4"/>
  <c r="Y4458" i="4"/>
  <c r="M4479" i="4"/>
  <c r="N4479" i="4" s="1"/>
  <c r="Y4479" i="4"/>
  <c r="H4479" i="4"/>
  <c r="H4490" i="4"/>
  <c r="Y4490" i="4"/>
  <c r="M4490" i="4"/>
  <c r="N4490" i="4" s="1"/>
  <c r="H4511" i="4"/>
  <c r="Y4511" i="4"/>
  <c r="M4511" i="4"/>
  <c r="N4511" i="4" s="1"/>
  <c r="Y4522" i="4"/>
  <c r="H4522" i="4"/>
  <c r="M4522" i="4"/>
  <c r="N4522" i="4" s="1"/>
  <c r="H4553" i="4"/>
  <c r="Y4553" i="4"/>
  <c r="M4553" i="4"/>
  <c r="N4553" i="4" s="1"/>
  <c r="H4564" i="4"/>
  <c r="M4564" i="4"/>
  <c r="N4564" i="4" s="1"/>
  <c r="Y4564" i="4"/>
  <c r="M4585" i="4"/>
  <c r="N4585" i="4" s="1"/>
  <c r="H4585" i="4"/>
  <c r="Y4585" i="4"/>
  <c r="M4596" i="4"/>
  <c r="N4596" i="4" s="1"/>
  <c r="H4596" i="4"/>
  <c r="Y4596" i="4"/>
  <c r="M4668" i="4"/>
  <c r="N4668" i="4" s="1"/>
  <c r="H4668" i="4"/>
  <c r="Y4668" i="4"/>
  <c r="H4765" i="4"/>
  <c r="Y4765" i="4"/>
  <c r="M4765" i="4"/>
  <c r="N4765" i="4" s="1"/>
  <c r="Y4448" i="4"/>
  <c r="M4448" i="4"/>
  <c r="N4448" i="4" s="1"/>
  <c r="H4448" i="4"/>
  <c r="H4469" i="4"/>
  <c r="Y4469" i="4"/>
  <c r="M4469" i="4"/>
  <c r="N4469" i="4" s="1"/>
  <c r="M4480" i="4"/>
  <c r="N4480" i="4" s="1"/>
  <c r="H4480" i="4"/>
  <c r="Y4480" i="4"/>
  <c r="H4501" i="4"/>
  <c r="Y4501" i="4"/>
  <c r="M4501" i="4"/>
  <c r="N4501" i="4" s="1"/>
  <c r="Y4512" i="4"/>
  <c r="M4512" i="4"/>
  <c r="N4512" i="4" s="1"/>
  <c r="H4512" i="4"/>
  <c r="Y4543" i="4"/>
  <c r="H4543" i="4"/>
  <c r="M4543" i="4"/>
  <c r="N4543" i="4" s="1"/>
  <c r="M4554" i="4"/>
  <c r="N4554" i="4" s="1"/>
  <c r="H4554" i="4"/>
  <c r="Y4554" i="4"/>
  <c r="M4575" i="4"/>
  <c r="N4575" i="4" s="1"/>
  <c r="Y4575" i="4"/>
  <c r="H4575" i="4"/>
  <c r="M4586" i="4"/>
  <c r="N4586" i="4" s="1"/>
  <c r="H4586" i="4"/>
  <c r="Y4586" i="4"/>
  <c r="Y4607" i="4"/>
  <c r="H4607" i="4"/>
  <c r="M4607" i="4"/>
  <c r="N4607" i="4" s="1"/>
  <c r="Y4620" i="4"/>
  <c r="M4620" i="4"/>
  <c r="N4620" i="4" s="1"/>
  <c r="H4620" i="4"/>
  <c r="Y4648" i="4"/>
  <c r="M4648" i="4"/>
  <c r="N4648" i="4" s="1"/>
  <c r="H4648" i="4"/>
  <c r="Y4631" i="4"/>
  <c r="H4631" i="4"/>
  <c r="M4631" i="4"/>
  <c r="N4631" i="4" s="1"/>
  <c r="M4733" i="4"/>
  <c r="N4733" i="4" s="1"/>
  <c r="H4733" i="4"/>
  <c r="Y4733" i="4"/>
  <c r="M4475" i="4"/>
  <c r="N4475" i="4" s="1"/>
  <c r="Y4475" i="4"/>
  <c r="H4475" i="4"/>
  <c r="Y4518" i="4"/>
  <c r="M4518" i="4"/>
  <c r="N4518" i="4" s="1"/>
  <c r="H4518" i="4"/>
  <c r="H4581" i="4"/>
  <c r="M4581" i="4"/>
  <c r="N4581" i="4" s="1"/>
  <c r="Y4581" i="4"/>
  <c r="M4628" i="4"/>
  <c r="N4628" i="4" s="1"/>
  <c r="H4628" i="4"/>
  <c r="Y4628" i="4"/>
  <c r="Y4446" i="4"/>
  <c r="M4446" i="4"/>
  <c r="N4446" i="4" s="1"/>
  <c r="H4446" i="4"/>
  <c r="H4467" i="4"/>
  <c r="Y4467" i="4"/>
  <c r="M4467" i="4"/>
  <c r="N4467" i="4" s="1"/>
  <c r="Y4478" i="4"/>
  <c r="H4478" i="4"/>
  <c r="M4478" i="4"/>
  <c r="N4478" i="4" s="1"/>
  <c r="H4499" i="4"/>
  <c r="Y4499" i="4"/>
  <c r="M4499" i="4"/>
  <c r="N4499" i="4" s="1"/>
  <c r="H4510" i="4"/>
  <c r="Y4510" i="4"/>
  <c r="M4510" i="4"/>
  <c r="N4510" i="4" s="1"/>
  <c r="Y4531" i="4"/>
  <c r="M4531" i="4"/>
  <c r="N4531" i="4" s="1"/>
  <c r="H4531" i="4"/>
  <c r="M4541" i="4"/>
  <c r="N4541" i="4" s="1"/>
  <c r="H4541" i="4"/>
  <c r="Y4541" i="4"/>
  <c r="H4552" i="4"/>
  <c r="Y4552" i="4"/>
  <c r="M4552" i="4"/>
  <c r="N4552" i="4" s="1"/>
  <c r="M4573" i="4"/>
  <c r="N4573" i="4" s="1"/>
  <c r="Y4573" i="4"/>
  <c r="H4573" i="4"/>
  <c r="H4584" i="4"/>
  <c r="Y4584" i="4"/>
  <c r="M4584" i="4"/>
  <c r="N4584" i="4" s="1"/>
  <c r="M4605" i="4"/>
  <c r="N4605" i="4" s="1"/>
  <c r="H4605" i="4"/>
  <c r="Y4605" i="4"/>
  <c r="M4741" i="4"/>
  <c r="N4741" i="4" s="1"/>
  <c r="H4741" i="4"/>
  <c r="Y4741" i="4"/>
  <c r="H4617" i="4"/>
  <c r="Y4617" i="4"/>
  <c r="M4617" i="4"/>
  <c r="N4617" i="4" s="1"/>
  <c r="M4646" i="4"/>
  <c r="N4646" i="4" s="1"/>
  <c r="H4646" i="4"/>
  <c r="Y4646" i="4"/>
  <c r="M4682" i="4"/>
  <c r="N4682" i="4" s="1"/>
  <c r="H4682" i="4"/>
  <c r="Y4682" i="4"/>
  <c r="H4737" i="4"/>
  <c r="Y4737" i="4"/>
  <c r="M4737" i="4"/>
  <c r="N4737" i="4" s="1"/>
  <c r="M4724" i="4"/>
  <c r="N4724" i="4" s="1"/>
  <c r="H4724" i="4"/>
  <c r="Y4724" i="4"/>
  <c r="M4782" i="4"/>
  <c r="N4782" i="4" s="1"/>
  <c r="Y4782" i="4"/>
  <c r="H4782" i="4"/>
  <c r="M4459" i="4"/>
  <c r="N4459" i="4" s="1"/>
  <c r="H4459" i="4"/>
  <c r="Y4459" i="4"/>
  <c r="H4470" i="4"/>
  <c r="Y4470" i="4"/>
  <c r="M4470" i="4"/>
  <c r="N4470" i="4" s="1"/>
  <c r="M4491" i="4"/>
  <c r="N4491" i="4" s="1"/>
  <c r="Y4491" i="4"/>
  <c r="H4491" i="4"/>
  <c r="M4502" i="4"/>
  <c r="N4502" i="4" s="1"/>
  <c r="Y4502" i="4"/>
  <c r="H4502" i="4"/>
  <c r="M4523" i="4"/>
  <c r="N4523" i="4" s="1"/>
  <c r="Y4523" i="4"/>
  <c r="H4523" i="4"/>
  <c r="Y4544" i="4"/>
  <c r="M4544" i="4"/>
  <c r="N4544" i="4" s="1"/>
  <c r="H4544" i="4"/>
  <c r="Y4565" i="4"/>
  <c r="M4565" i="4"/>
  <c r="N4565" i="4" s="1"/>
  <c r="H4565" i="4"/>
  <c r="H4576" i="4"/>
  <c r="Y4576" i="4"/>
  <c r="M4576" i="4"/>
  <c r="N4576" i="4" s="1"/>
  <c r="H4597" i="4"/>
  <c r="M4597" i="4"/>
  <c r="N4597" i="4" s="1"/>
  <c r="Y4597" i="4"/>
  <c r="M4608" i="4"/>
  <c r="N4608" i="4" s="1"/>
  <c r="H4608" i="4"/>
  <c r="Y4608" i="4"/>
  <c r="M4618" i="4"/>
  <c r="N4618" i="4" s="1"/>
  <c r="Y4618" i="4"/>
  <c r="H4618" i="4"/>
  <c r="H4625" i="4"/>
  <c r="Y4625" i="4"/>
  <c r="M4625" i="4"/>
  <c r="N4625" i="4" s="1"/>
  <c r="H4661" i="4"/>
  <c r="Y4661" i="4"/>
  <c r="M4661" i="4"/>
  <c r="N4661" i="4" s="1"/>
  <c r="Y4614" i="4"/>
  <c r="M4614" i="4"/>
  <c r="N4614" i="4" s="1"/>
  <c r="H4614" i="4"/>
  <c r="H4690" i="4"/>
  <c r="Y4690" i="4"/>
  <c r="M4690" i="4"/>
  <c r="N4690" i="4" s="1"/>
  <c r="Y4666" i="4"/>
  <c r="H4666" i="4"/>
  <c r="M4666" i="4"/>
  <c r="N4666" i="4" s="1"/>
  <c r="M4451" i="4"/>
  <c r="N4451" i="4" s="1"/>
  <c r="Y4451" i="4"/>
  <c r="H4451" i="4"/>
  <c r="M4462" i="4"/>
  <c r="N4462" i="4" s="1"/>
  <c r="Y4462" i="4"/>
  <c r="H4462" i="4"/>
  <c r="Y4483" i="4"/>
  <c r="M4483" i="4"/>
  <c r="N4483" i="4" s="1"/>
  <c r="H4483" i="4"/>
  <c r="Y4494" i="4"/>
  <c r="M4494" i="4"/>
  <c r="N4494" i="4" s="1"/>
  <c r="H4494" i="4"/>
  <c r="M4515" i="4"/>
  <c r="N4515" i="4" s="1"/>
  <c r="H4515" i="4"/>
  <c r="Y4515" i="4"/>
  <c r="H4526" i="4"/>
  <c r="Y4526" i="4"/>
  <c r="M4526" i="4"/>
  <c r="N4526" i="4" s="1"/>
  <c r="Y4536" i="4"/>
  <c r="M4536" i="4"/>
  <c r="N4536" i="4" s="1"/>
  <c r="H4536" i="4"/>
  <c r="H4557" i="4"/>
  <c r="M4557" i="4"/>
  <c r="N4557" i="4" s="1"/>
  <c r="Y4557" i="4"/>
  <c r="Y4568" i="4"/>
  <c r="M4568" i="4"/>
  <c r="N4568" i="4" s="1"/>
  <c r="H4568" i="4"/>
  <c r="H4589" i="4"/>
  <c r="M4589" i="4"/>
  <c r="N4589" i="4" s="1"/>
  <c r="Y4589" i="4"/>
  <c r="H4600" i="4"/>
  <c r="Y4600" i="4"/>
  <c r="M4600" i="4"/>
  <c r="N4600" i="4" s="1"/>
  <c r="Y4624" i="4"/>
  <c r="M4624" i="4"/>
  <c r="N4624" i="4" s="1"/>
  <c r="H4624" i="4"/>
  <c r="M4633" i="4"/>
  <c r="N4633" i="4" s="1"/>
  <c r="Y4633" i="4"/>
  <c r="H4633" i="4"/>
  <c r="Y4715" i="4"/>
  <c r="H4715" i="4"/>
  <c r="M4715" i="4"/>
  <c r="N4715" i="4" s="1"/>
  <c r="H4627" i="4"/>
  <c r="M4627" i="4"/>
  <c r="N4627" i="4" s="1"/>
  <c r="Y4627" i="4"/>
  <c r="M4649" i="4"/>
  <c r="N4649" i="4" s="1"/>
  <c r="Y4649" i="4"/>
  <c r="H4649" i="4"/>
  <c r="H4665" i="4"/>
  <c r="M4665" i="4"/>
  <c r="N4665" i="4" s="1"/>
  <c r="Y4665" i="4"/>
  <c r="Y4638" i="4"/>
  <c r="M4638" i="4"/>
  <c r="N4638" i="4" s="1"/>
  <c r="H4638" i="4"/>
  <c r="H4650" i="4"/>
  <c r="M4650" i="4"/>
  <c r="N4650" i="4" s="1"/>
  <c r="Y4650" i="4"/>
  <c r="H4676" i="4"/>
  <c r="Y4676" i="4"/>
  <c r="M4676" i="4"/>
  <c r="N4676" i="4" s="1"/>
  <c r="H4684" i="4"/>
  <c r="Y4684" i="4"/>
  <c r="M4684" i="4"/>
  <c r="N4684" i="4" s="1"/>
  <c r="M4654" i="4"/>
  <c r="N4654" i="4" s="1"/>
  <c r="H4654" i="4"/>
  <c r="Y4654" i="4"/>
  <c r="M4670" i="4"/>
  <c r="N4670" i="4" s="1"/>
  <c r="H4670" i="4"/>
  <c r="Y4670" i="4"/>
  <c r="H4745" i="4"/>
  <c r="M4745" i="4"/>
  <c r="N4745" i="4" s="1"/>
  <c r="Y4745" i="4"/>
  <c r="Y4675" i="4"/>
  <c r="H4675" i="4"/>
  <c r="M4675" i="4"/>
  <c r="N4675" i="4" s="1"/>
  <c r="M4759" i="4"/>
  <c r="N4759" i="4" s="1"/>
  <c r="Y4759" i="4"/>
  <c r="H4759" i="4"/>
  <c r="M4696" i="4"/>
  <c r="N4696" i="4" s="1"/>
  <c r="Y4696" i="4"/>
  <c r="H4696" i="4"/>
  <c r="H4734" i="4"/>
  <c r="Y4734" i="4"/>
  <c r="M4734" i="4"/>
  <c r="N4734" i="4" s="1"/>
  <c r="H4619" i="4"/>
  <c r="M4619" i="4"/>
  <c r="N4619" i="4" s="1"/>
  <c r="Y4619" i="4"/>
  <c r="M4653" i="4"/>
  <c r="N4653" i="4" s="1"/>
  <c r="Y4653" i="4"/>
  <c r="H4653" i="4"/>
  <c r="Y4669" i="4"/>
  <c r="H4669" i="4"/>
  <c r="M4669" i="4"/>
  <c r="N4669" i="4" s="1"/>
  <c r="Y4630" i="4"/>
  <c r="H4630" i="4"/>
  <c r="M4630" i="4"/>
  <c r="N4630" i="4" s="1"/>
  <c r="M4757" i="4"/>
  <c r="N4757" i="4" s="1"/>
  <c r="H4757" i="4"/>
  <c r="Y4757" i="4"/>
  <c r="Y4678" i="4"/>
  <c r="M4678" i="4"/>
  <c r="N4678" i="4" s="1"/>
  <c r="H4678" i="4"/>
  <c r="Y4686" i="4"/>
  <c r="M4686" i="4"/>
  <c r="N4686" i="4" s="1"/>
  <c r="H4686" i="4"/>
  <c r="M4658" i="4"/>
  <c r="N4658" i="4" s="1"/>
  <c r="Y4658" i="4"/>
  <c r="H4658" i="4"/>
  <c r="M4723" i="4"/>
  <c r="N4723" i="4" s="1"/>
  <c r="Y4723" i="4"/>
  <c r="H4723" i="4"/>
  <c r="Y4753" i="4"/>
  <c r="H4753" i="4"/>
  <c r="M4753" i="4"/>
  <c r="N4753" i="4" s="1"/>
  <c r="Y4683" i="4"/>
  <c r="H4683" i="4"/>
  <c r="M4683" i="4"/>
  <c r="N4683" i="4" s="1"/>
  <c r="Y4699" i="4"/>
  <c r="H4699" i="4"/>
  <c r="M4699" i="4"/>
  <c r="N4699" i="4" s="1"/>
  <c r="H4740" i="4"/>
  <c r="M4740" i="4"/>
  <c r="N4740" i="4" s="1"/>
  <c r="Y4740" i="4"/>
  <c r="M4775" i="4"/>
  <c r="N4775" i="4" s="1"/>
  <c r="Y4775" i="4"/>
  <c r="H4775" i="4"/>
  <c r="Y4704" i="4"/>
  <c r="M4704" i="4"/>
  <c r="N4704" i="4" s="1"/>
  <c r="H4704" i="4"/>
  <c r="M4750" i="4"/>
  <c r="N4750" i="4" s="1"/>
  <c r="Y4750" i="4"/>
  <c r="H4750" i="4"/>
  <c r="Y4643" i="4"/>
  <c r="H4643" i="4"/>
  <c r="M4643" i="4"/>
  <c r="N4643" i="4" s="1"/>
  <c r="H4657" i="4"/>
  <c r="Y4657" i="4"/>
  <c r="M4657" i="4"/>
  <c r="N4657" i="4" s="1"/>
  <c r="Y4673" i="4"/>
  <c r="M4673" i="4"/>
  <c r="N4673" i="4" s="1"/>
  <c r="H4673" i="4"/>
  <c r="H4622" i="4"/>
  <c r="M4622" i="4"/>
  <c r="N4622" i="4" s="1"/>
  <c r="Y4622" i="4"/>
  <c r="M4680" i="4"/>
  <c r="N4680" i="4" s="1"/>
  <c r="Y4680" i="4"/>
  <c r="H4680" i="4"/>
  <c r="Y4688" i="4"/>
  <c r="M4688" i="4"/>
  <c r="N4688" i="4" s="1"/>
  <c r="H4688" i="4"/>
  <c r="Y4662" i="4"/>
  <c r="H4662" i="4"/>
  <c r="M4662" i="4"/>
  <c r="N4662" i="4" s="1"/>
  <c r="Y4729" i="4"/>
  <c r="M4729" i="4"/>
  <c r="N4729" i="4" s="1"/>
  <c r="H4729" i="4"/>
  <c r="M4761" i="4"/>
  <c r="N4761" i="4" s="1"/>
  <c r="Y4761" i="4"/>
  <c r="H4761" i="4"/>
  <c r="Y4691" i="4"/>
  <c r="H4691" i="4"/>
  <c r="M4691" i="4"/>
  <c r="N4691" i="4" s="1"/>
  <c r="M4781" i="4"/>
  <c r="N4781" i="4" s="1"/>
  <c r="H4781" i="4"/>
  <c r="Y4781" i="4"/>
  <c r="Y4722" i="4"/>
  <c r="H4722" i="4"/>
  <c r="M4722" i="4"/>
  <c r="N4722" i="4" s="1"/>
  <c r="Y4707" i="4"/>
  <c r="H4707" i="4"/>
  <c r="M4707" i="4"/>
  <c r="N4707" i="4" s="1"/>
  <c r="M4756" i="4"/>
  <c r="N4756" i="4" s="1"/>
  <c r="H4756" i="4"/>
  <c r="Y4756" i="4"/>
  <c r="M4727" i="4"/>
  <c r="N4727" i="4" s="1"/>
  <c r="Y4727" i="4"/>
  <c r="H4727" i="4"/>
  <c r="Y4712" i="4"/>
  <c r="M4712" i="4"/>
  <c r="N4712" i="4" s="1"/>
  <c r="H4712" i="4"/>
  <c r="M4766" i="4"/>
  <c r="N4766" i="4" s="1"/>
  <c r="Y4766" i="4"/>
  <c r="H4766" i="4"/>
  <c r="M4677" i="4"/>
  <c r="N4677" i="4" s="1"/>
  <c r="H4677" i="4"/>
  <c r="Y4677" i="4"/>
  <c r="M4685" i="4"/>
  <c r="N4685" i="4" s="1"/>
  <c r="H4685" i="4"/>
  <c r="Y4685" i="4"/>
  <c r="H4769" i="4"/>
  <c r="Y4769" i="4"/>
  <c r="M4769" i="4"/>
  <c r="N4769" i="4" s="1"/>
  <c r="M4785" i="4"/>
  <c r="N4785" i="4" s="1"/>
  <c r="Y4785" i="4"/>
  <c r="H4785" i="4"/>
  <c r="Y4693" i="4"/>
  <c r="M4693" i="4"/>
  <c r="N4693" i="4" s="1"/>
  <c r="H4693" i="4"/>
  <c r="H4701" i="4"/>
  <c r="Y4701" i="4"/>
  <c r="M4701" i="4"/>
  <c r="N4701" i="4" s="1"/>
  <c r="Y4709" i="4"/>
  <c r="M4709" i="4"/>
  <c r="N4709" i="4" s="1"/>
  <c r="H4709" i="4"/>
  <c r="M4717" i="4"/>
  <c r="N4717" i="4" s="1"/>
  <c r="Y4717" i="4"/>
  <c r="H4717" i="4"/>
  <c r="H4728" i="4"/>
  <c r="Y4728" i="4"/>
  <c r="M4728" i="4"/>
  <c r="N4728" i="4" s="1"/>
  <c r="Y4744" i="4"/>
  <c r="M4744" i="4"/>
  <c r="N4744" i="4" s="1"/>
  <c r="H4744" i="4"/>
  <c r="Y4760" i="4"/>
  <c r="M4760" i="4"/>
  <c r="N4760" i="4" s="1"/>
  <c r="H4760" i="4"/>
  <c r="M4776" i="4"/>
  <c r="N4776" i="4" s="1"/>
  <c r="H4776" i="4"/>
  <c r="Y4776" i="4"/>
  <c r="Y4731" i="4"/>
  <c r="H4731" i="4"/>
  <c r="M4731" i="4"/>
  <c r="N4731" i="4" s="1"/>
  <c r="Y4747" i="4"/>
  <c r="H4747" i="4"/>
  <c r="M4747" i="4"/>
  <c r="N4747" i="4" s="1"/>
  <c r="Y4763" i="4"/>
  <c r="H4763" i="4"/>
  <c r="M4763" i="4"/>
  <c r="N4763" i="4" s="1"/>
  <c r="Y4779" i="4"/>
  <c r="H4779" i="4"/>
  <c r="M4779" i="4"/>
  <c r="N4779" i="4" s="1"/>
  <c r="Y4698" i="4"/>
  <c r="M4698" i="4"/>
  <c r="N4698" i="4" s="1"/>
  <c r="H4698" i="4"/>
  <c r="Y4706" i="4"/>
  <c r="H4706" i="4"/>
  <c r="M4706" i="4"/>
  <c r="N4706" i="4" s="1"/>
  <c r="H4714" i="4"/>
  <c r="Y4714" i="4"/>
  <c r="M4714" i="4"/>
  <c r="N4714" i="4" s="1"/>
  <c r="Y4738" i="4"/>
  <c r="H4738" i="4"/>
  <c r="M4738" i="4"/>
  <c r="N4738" i="4" s="1"/>
  <c r="Y4754" i="4"/>
  <c r="H4754" i="4"/>
  <c r="M4754" i="4"/>
  <c r="N4754" i="4" s="1"/>
  <c r="Y4770" i="4"/>
  <c r="H4770" i="4"/>
  <c r="M4770" i="4"/>
  <c r="N4770" i="4" s="1"/>
  <c r="Y4786" i="4"/>
  <c r="H4786" i="4"/>
  <c r="M4786" i="4"/>
  <c r="N4786" i="4" s="1"/>
  <c r="H4679" i="4"/>
  <c r="Y4679" i="4"/>
  <c r="M4679" i="4"/>
  <c r="N4679" i="4" s="1"/>
  <c r="H4687" i="4"/>
  <c r="Y4687" i="4"/>
  <c r="M4687" i="4"/>
  <c r="N4687" i="4" s="1"/>
  <c r="H4773" i="4"/>
  <c r="Y4773" i="4"/>
  <c r="M4773" i="4"/>
  <c r="N4773" i="4" s="1"/>
  <c r="M4695" i="4"/>
  <c r="N4695" i="4" s="1"/>
  <c r="H4695" i="4"/>
  <c r="Y4695" i="4"/>
  <c r="H4703" i="4"/>
  <c r="M4703" i="4"/>
  <c r="N4703" i="4" s="1"/>
  <c r="Y4703" i="4"/>
  <c r="H4711" i="4"/>
  <c r="M4711" i="4"/>
  <c r="N4711" i="4" s="1"/>
  <c r="Y4711" i="4"/>
  <c r="M4719" i="4"/>
  <c r="N4719" i="4" s="1"/>
  <c r="H4719" i="4"/>
  <c r="Y4719" i="4"/>
  <c r="H4732" i="4"/>
  <c r="Y4732" i="4"/>
  <c r="M4732" i="4"/>
  <c r="N4732" i="4" s="1"/>
  <c r="M4748" i="4"/>
  <c r="N4748" i="4" s="1"/>
  <c r="Y4748" i="4"/>
  <c r="H4748" i="4"/>
  <c r="M4764" i="4"/>
  <c r="N4764" i="4" s="1"/>
  <c r="H4764" i="4"/>
  <c r="Y4764" i="4"/>
  <c r="M4780" i="4"/>
  <c r="N4780" i="4" s="1"/>
  <c r="Y4780" i="4"/>
  <c r="H4780" i="4"/>
  <c r="Y4735" i="4"/>
  <c r="M4735" i="4"/>
  <c r="N4735" i="4" s="1"/>
  <c r="H4735" i="4"/>
  <c r="Y4751" i="4"/>
  <c r="M4751" i="4"/>
  <c r="N4751" i="4" s="1"/>
  <c r="H4751" i="4"/>
  <c r="Y4767" i="4"/>
  <c r="H4767" i="4"/>
  <c r="M4767" i="4"/>
  <c r="N4767" i="4" s="1"/>
  <c r="Y4783" i="4"/>
  <c r="H4783" i="4"/>
  <c r="M4783" i="4"/>
  <c r="N4783" i="4" s="1"/>
  <c r="H4692" i="4"/>
  <c r="Y4692" i="4"/>
  <c r="M4692" i="4"/>
  <c r="N4692" i="4" s="1"/>
  <c r="H4700" i="4"/>
  <c r="Y4700" i="4"/>
  <c r="M4700" i="4"/>
  <c r="N4700" i="4" s="1"/>
  <c r="M4708" i="4"/>
  <c r="N4708" i="4" s="1"/>
  <c r="H4708" i="4"/>
  <c r="Y4708" i="4"/>
  <c r="Y4716" i="4"/>
  <c r="H4716" i="4"/>
  <c r="M4716" i="4"/>
  <c r="N4716" i="4" s="1"/>
  <c r="H4725" i="4"/>
  <c r="Y4725" i="4"/>
  <c r="M4725" i="4"/>
  <c r="N4725" i="4" s="1"/>
  <c r="Y4742" i="4"/>
  <c r="H4742" i="4"/>
  <c r="M4742" i="4"/>
  <c r="N4742" i="4" s="1"/>
  <c r="Y4758" i="4"/>
  <c r="H4758" i="4"/>
  <c r="M4758" i="4"/>
  <c r="N4758" i="4" s="1"/>
  <c r="Y4774" i="4"/>
  <c r="H4774" i="4"/>
  <c r="M4774" i="4"/>
  <c r="N4774" i="4" s="1"/>
  <c r="Y4681" i="4"/>
  <c r="H4681" i="4"/>
  <c r="M4681" i="4"/>
  <c r="N4681" i="4" s="1"/>
  <c r="Y4689" i="4"/>
  <c r="M4689" i="4"/>
  <c r="N4689" i="4" s="1"/>
  <c r="H4689" i="4"/>
  <c r="Y4777" i="4"/>
  <c r="M4777" i="4"/>
  <c r="N4777" i="4" s="1"/>
  <c r="H4777" i="4"/>
  <c r="M4697" i="4"/>
  <c r="N4697" i="4" s="1"/>
  <c r="Y4697" i="4"/>
  <c r="H4697" i="4"/>
  <c r="H4705" i="4"/>
  <c r="Y4705" i="4"/>
  <c r="M4705" i="4"/>
  <c r="N4705" i="4" s="1"/>
  <c r="H4713" i="4"/>
  <c r="Y4713" i="4"/>
  <c r="M4713" i="4"/>
  <c r="N4713" i="4" s="1"/>
  <c r="H4721" i="4"/>
  <c r="Y4721" i="4"/>
  <c r="M4721" i="4"/>
  <c r="N4721" i="4" s="1"/>
  <c r="Y4736" i="4"/>
  <c r="M4736" i="4"/>
  <c r="N4736" i="4" s="1"/>
  <c r="H4736" i="4"/>
  <c r="Y4752" i="4"/>
  <c r="M4752" i="4"/>
  <c r="N4752" i="4" s="1"/>
  <c r="H4752" i="4"/>
  <c r="H4768" i="4"/>
  <c r="M4768" i="4"/>
  <c r="N4768" i="4" s="1"/>
  <c r="Y4768" i="4"/>
  <c r="Y4784" i="4"/>
  <c r="H4784" i="4"/>
  <c r="M4784" i="4"/>
  <c r="N4784" i="4" s="1"/>
  <c r="H4739" i="4"/>
  <c r="M4739" i="4"/>
  <c r="N4739" i="4" s="1"/>
  <c r="Y4739" i="4"/>
  <c r="H4755" i="4"/>
  <c r="M4755" i="4"/>
  <c r="N4755" i="4" s="1"/>
  <c r="Y4755" i="4"/>
  <c r="H4771" i="4"/>
  <c r="M4771" i="4"/>
  <c r="N4771" i="4" s="1"/>
  <c r="Y4771" i="4"/>
  <c r="M4694" i="4"/>
  <c r="N4694" i="4" s="1"/>
  <c r="H4694" i="4"/>
  <c r="Y4694" i="4"/>
  <c r="H4702" i="4"/>
  <c r="Y4702" i="4"/>
  <c r="M4702" i="4"/>
  <c r="N4702" i="4" s="1"/>
  <c r="H4710" i="4"/>
  <c r="Y4710" i="4"/>
  <c r="M4710" i="4"/>
  <c r="N4710" i="4" s="1"/>
  <c r="M4718" i="4"/>
  <c r="N4718" i="4" s="1"/>
  <c r="H4718" i="4"/>
  <c r="Y4718" i="4"/>
  <c r="M4730" i="4"/>
  <c r="N4730" i="4" s="1"/>
  <c r="H4730" i="4"/>
  <c r="Y4730" i="4"/>
  <c r="H4746" i="4"/>
  <c r="M4746" i="4"/>
  <c r="N4746" i="4" s="1"/>
  <c r="Y4746" i="4"/>
  <c r="M4762" i="4"/>
  <c r="N4762" i="4" s="1"/>
  <c r="H4762" i="4"/>
  <c r="Y4762" i="4"/>
  <c r="M4778" i="4"/>
  <c r="N4778" i="4" s="1"/>
  <c r="H4778" i="4"/>
  <c r="Y4778" i="4"/>
  <c r="M4726" i="4"/>
  <c r="N4726" i="4" s="1"/>
  <c r="H4726" i="4"/>
  <c r="Y4726" i="4"/>
</calcChain>
</file>

<file path=xl/sharedStrings.xml><?xml version="1.0" encoding="utf-8"?>
<sst xmlns="http://schemas.openxmlformats.org/spreadsheetml/2006/main" count="7804" uniqueCount="7377">
  <si>
    <t>S NO</t>
  </si>
  <si>
    <t>INDUSTRY</t>
  </si>
  <si>
    <t>COMPANY</t>
  </si>
  <si>
    <t>NSE SYMBOL</t>
  </si>
  <si>
    <t>SCREENER URL</t>
  </si>
  <si>
    <t>SALES</t>
  </si>
  <si>
    <t>TOTAL SHARES MAR24</t>
  </si>
  <si>
    <t>ENTERPRISE VALUE (Cr)</t>
  </si>
  <si>
    <t>BOOK VALUE</t>
  </si>
  <si>
    <t>MARKET CAP</t>
  </si>
  <si>
    <t>MAR25 VALUE</t>
  </si>
  <si>
    <t>CMP</t>
  </si>
  <si>
    <t>Diff</t>
  </si>
  <si>
    <t>Diff %</t>
  </si>
  <si>
    <t>PE</t>
  </si>
  <si>
    <t>EPS</t>
  </si>
  <si>
    <t>PB</t>
  </si>
  <si>
    <t>ROCE</t>
  </si>
  <si>
    <t>ROE</t>
  </si>
  <si>
    <t>AVG PE</t>
  </si>
  <si>
    <t>AV EBITDA</t>
  </si>
  <si>
    <t>AV EV SALES</t>
  </si>
  <si>
    <t>AV PB</t>
  </si>
  <si>
    <t>DCF VALUATION</t>
  </si>
  <si>
    <t>VALUATION DIFFERENCE</t>
  </si>
  <si>
    <t>TARGET BUY PRIZE</t>
  </si>
  <si>
    <t>TARGET SELL PRIZE</t>
  </si>
  <si>
    <t>Automobile Manufactures</t>
  </si>
  <si>
    <t>Tata Motors Ltd</t>
  </si>
  <si>
    <t>TATAMOTORS</t>
  </si>
  <si>
    <t>TATA CONSULTANCY SERVICES</t>
  </si>
  <si>
    <t>TCS</t>
  </si>
  <si>
    <t>Tata Steels</t>
  </si>
  <si>
    <t>TATASTEEL</t>
  </si>
  <si>
    <t>INFOSYS</t>
  </si>
  <si>
    <t>INFY</t>
  </si>
  <si>
    <t>Mahindra &amp; Mahindra Ltd</t>
  </si>
  <si>
    <t>M&amp;M</t>
  </si>
  <si>
    <t>INDIAN TOBACOO COMPANY LTD</t>
  </si>
  <si>
    <t>ITC</t>
  </si>
  <si>
    <t>Power Grid Corporation of India Ltd</t>
  </si>
  <si>
    <t>POWERGRID</t>
  </si>
  <si>
    <t>Manappuram Finance Ltd</t>
  </si>
  <si>
    <t>MANAPPURAM</t>
  </si>
  <si>
    <t>Southindian Bank</t>
  </si>
  <si>
    <t>SOUTHBANK</t>
  </si>
  <si>
    <t>Karnataka Bank Ltd</t>
  </si>
  <si>
    <t>KTKBANK</t>
  </si>
  <si>
    <t>NATCO Pharma Ltd</t>
  </si>
  <si>
    <t>NATCOPHARM</t>
  </si>
  <si>
    <t>-</t>
  </si>
  <si>
    <t>Powergrid Infrastructure Investment Trust</t>
  </si>
  <si>
    <t>PGINVIT</t>
  </si>
  <si>
    <t>Hero MotoCorp Limited</t>
  </si>
  <si>
    <t>HEROMOTOCO</t>
  </si>
  <si>
    <t>Sunflag Iron &amp; Steel Company Ltd</t>
  </si>
  <si>
    <t>SUNFLAG</t>
  </si>
  <si>
    <t>https://www.screener.in/company/SUNFLAG/consolidated/</t>
  </si>
  <si>
    <t>Maithan alloy</t>
  </si>
  <si>
    <t>MAITHANALL</t>
  </si>
  <si>
    <t>https://www.screener.in/company/MAITHANALL/consolidated/</t>
  </si>
  <si>
    <t>MAR24 VALUE</t>
  </si>
  <si>
    <t>Tata Motors Ltd.</t>
  </si>
  <si>
    <t>Power Finance Corporation Ltd</t>
  </si>
  <si>
    <t>PFC</t>
  </si>
  <si>
    <t>Coal India Limited</t>
  </si>
  <si>
    <t>COALINDIA</t>
  </si>
  <si>
    <t>Punjab National Bank</t>
  </si>
  <si>
    <t>PNB</t>
  </si>
  <si>
    <t>REC LIMITED</t>
  </si>
  <si>
    <t>RECLTD</t>
  </si>
  <si>
    <t>Oil And Natural Gas Corporation Ltd</t>
  </si>
  <si>
    <t>ONGC</t>
  </si>
  <si>
    <t>Bharat Petroleum Corpn. Ltd.</t>
  </si>
  <si>
    <t>BPCL</t>
  </si>
  <si>
    <t>State Bank Of India</t>
  </si>
  <si>
    <t>SBIN</t>
  </si>
  <si>
    <t>Gail (India) Ltd.</t>
  </si>
  <si>
    <t>GAIL</t>
  </si>
  <si>
    <t>Bank Of Baroda</t>
  </si>
  <si>
    <t>BANKBARODA</t>
  </si>
  <si>
    <t>Hindalco Industries Ltd.</t>
  </si>
  <si>
    <t>HINDALCO</t>
  </si>
  <si>
    <t>LIFE INSURANCE CORPORATION OF INDIA</t>
  </si>
  <si>
    <t>LICI</t>
  </si>
  <si>
    <t>AXIS Bank Ltd.</t>
  </si>
  <si>
    <t>AXISBANK</t>
  </si>
  <si>
    <t>Shriram Finance Limited</t>
  </si>
  <si>
    <t>SHRIRAMFIN</t>
  </si>
  <si>
    <t>Vedanta Limited</t>
  </si>
  <si>
    <t>VEDL</t>
  </si>
  <si>
    <t>NTPC Limited</t>
  </si>
  <si>
    <t>NTPC</t>
  </si>
  <si>
    <t>Adani Power Limited</t>
  </si>
  <si>
    <t>ADANIPOWER</t>
  </si>
  <si>
    <t>INDUS TOWERS LIMITED</t>
  </si>
  <si>
    <t>INDUSTOWER</t>
  </si>
  <si>
    <t>POWER GRID CORPORATION OF INDIA LIMITED</t>
  </si>
  <si>
    <t>Indian Oil Corporation Ltd.</t>
  </si>
  <si>
    <t>IOC</t>
  </si>
  <si>
    <t>Kotak Mahindra Bank Ltd.</t>
  </si>
  <si>
    <t>KOTAKBANK</t>
  </si>
  <si>
    <t>Bajaj Holdings &amp; Investment Limited</t>
  </si>
  <si>
    <t>BAJAJHLDNG</t>
  </si>
  <si>
    <t>Dr. Reddy's Laboratories Ltd.</t>
  </si>
  <si>
    <t>DRREDDY</t>
  </si>
  <si>
    <t>ICICI Bank Ltd.</t>
  </si>
  <si>
    <t>ICICIBANK</t>
  </si>
  <si>
    <t>HDFC Bank Ltd.</t>
  </si>
  <si>
    <t>HDFCBANK</t>
  </si>
  <si>
    <t>Hindustan Zinc Ltd.</t>
  </si>
  <si>
    <t>HINDZINC</t>
  </si>
  <si>
    <t>Zydus Lifesciences Limited</t>
  </si>
  <si>
    <t>ZYDUSLIFE</t>
  </si>
  <si>
    <t>Samvardhana Motherson International Limited</t>
  </si>
  <si>
    <t>MOTHERSON</t>
  </si>
  <si>
    <t>Cipla Ltd.</t>
  </si>
  <si>
    <t>CIPLA</t>
  </si>
  <si>
    <t>Wipro Ltd.</t>
  </si>
  <si>
    <t>WIPRO</t>
  </si>
  <si>
    <t>Reliance Industries Ltd</t>
  </si>
  <si>
    <t>RELIANCE</t>
  </si>
  <si>
    <t>Adani Ports and Special Economic Zone Ltd</t>
  </si>
  <si>
    <t>ADANIPORTS</t>
  </si>
  <si>
    <t>HYUNDAI MOTOR INDIA LIMITED</t>
  </si>
  <si>
    <t>HYUNDAI</t>
  </si>
  <si>
    <t>Mahindra &amp; Mahindra Ltd.</t>
  </si>
  <si>
    <t>Indian Railway Finance Corporation</t>
  </si>
  <si>
    <t>IRFC</t>
  </si>
  <si>
    <t>HCL Technologies Ltd</t>
  </si>
  <si>
    <t>HCLTECH</t>
  </si>
  <si>
    <t>ITC Ltd</t>
  </si>
  <si>
    <t>Maruti Suzuki India Ltd.</t>
  </si>
  <si>
    <t>MARUTI</t>
  </si>
  <si>
    <t>Infosys Ltd</t>
  </si>
  <si>
    <t>Hindustan Aeronautics Limited</t>
  </si>
  <si>
    <t>HAL</t>
  </si>
  <si>
    <t>Tata Consultancy Services Ltd.</t>
  </si>
  <si>
    <t>Indian Overseas Bank</t>
  </si>
  <si>
    <t>IOB</t>
  </si>
  <si>
    <t>Ambuja Cements Ltd.</t>
  </si>
  <si>
    <t>AMBUJACEM</t>
  </si>
  <si>
    <t>Bajaj Auto Limited</t>
  </si>
  <si>
    <t>BAJAJ-AUTO</t>
  </si>
  <si>
    <t>Tata Power Co. Ltd</t>
  </si>
  <si>
    <t>TATAPOWER</t>
  </si>
  <si>
    <t>InterGlobe Aviation Limited</t>
  </si>
  <si>
    <t>INDIGO</t>
  </si>
  <si>
    <t>Cholamandalam Investment and Finance Company Ltd</t>
  </si>
  <si>
    <t>CHOLAFIN</t>
  </si>
  <si>
    <t>Eicher Motors Ltd.</t>
  </si>
  <si>
    <t>EICHERMOT</t>
  </si>
  <si>
    <t>Larsen &amp; Toubro Limited</t>
  </si>
  <si>
    <t>LT</t>
  </si>
  <si>
    <t>Bajaj Finance Limited</t>
  </si>
  <si>
    <t>BAJFINANCE</t>
  </si>
  <si>
    <t>Sun Pharmaceutical Industries Ltd.</t>
  </si>
  <si>
    <t>SUNPHARMA</t>
  </si>
  <si>
    <t>Bajaj Finserv Limited</t>
  </si>
  <si>
    <t>BAJAJFINSV</t>
  </si>
  <si>
    <t>LTIMindtree Limited</t>
  </si>
  <si>
    <t>LTIM</t>
  </si>
  <si>
    <t>Tech Mahindra Limited</t>
  </si>
  <si>
    <t>TECHM</t>
  </si>
  <si>
    <t>Bosch Ltd</t>
  </si>
  <si>
    <t>BOSCHLTD</t>
  </si>
  <si>
    <t>Bharti Airtel Ltd.</t>
  </si>
  <si>
    <t>BHARTIARTL</t>
  </si>
  <si>
    <t>Cummins India Ltd.</t>
  </si>
  <si>
    <t>CUMMINSIND</t>
  </si>
  <si>
    <t>Bharat Electronics Ltd.</t>
  </si>
  <si>
    <t>BEL</t>
  </si>
  <si>
    <t>DLF LIMITED</t>
  </si>
  <si>
    <t>DLF</t>
  </si>
  <si>
    <t>Grasim Industries Ltd</t>
  </si>
  <si>
    <t>GRASIM</t>
  </si>
  <si>
    <t>Polycab India Limited</t>
  </si>
  <si>
    <t>POLYCAB</t>
  </si>
  <si>
    <t>Macrotech Developers Limited</t>
  </si>
  <si>
    <t>LODHA</t>
  </si>
  <si>
    <t>Bajaj Housing Finance Limited</t>
  </si>
  <si>
    <t>BAJAJHFL</t>
  </si>
  <si>
    <t>JSW Energy Limited</t>
  </si>
  <si>
    <t>JSWENERGY</t>
  </si>
  <si>
    <t>Hindustan Unilever Ltd.</t>
  </si>
  <si>
    <t>HINDUNILVR</t>
  </si>
  <si>
    <t>UltraTech Cement Ltd</t>
  </si>
  <si>
    <t>ULTRACEMCO</t>
  </si>
  <si>
    <t>Dabur India Ltd.</t>
  </si>
  <si>
    <t>DABUR</t>
  </si>
  <si>
    <t>Asian Paints Ltd.</t>
  </si>
  <si>
    <t>ASIANPAINT</t>
  </si>
  <si>
    <t>Britannia Industries Ltd.</t>
  </si>
  <si>
    <t>BRITANNIA</t>
  </si>
  <si>
    <t>Rail Vikas Nigam Limited</t>
  </si>
  <si>
    <t>RVNL</t>
  </si>
  <si>
    <t>Torrent Pharmaceuticals Ltd.</t>
  </si>
  <si>
    <t>TORNTPHARM</t>
  </si>
  <si>
    <t>TVS Motor Company Ltd.</t>
  </si>
  <si>
    <t>TVSMOTOR</t>
  </si>
  <si>
    <t>SBI Life Insurance Company Limited</t>
  </si>
  <si>
    <t>SBILIFE</t>
  </si>
  <si>
    <t>ABB India Limited</t>
  </si>
  <si>
    <t>ABB</t>
  </si>
  <si>
    <t>Varun Beverages Limited</t>
  </si>
  <si>
    <t>VBL</t>
  </si>
  <si>
    <t>Siemens Ltd.</t>
  </si>
  <si>
    <t>SIEMENS</t>
  </si>
  <si>
    <t>Nestle India Ltd.</t>
  </si>
  <si>
    <t>NESTLEIND</t>
  </si>
  <si>
    <t>Havells India Limited</t>
  </si>
  <si>
    <t>HAVELLS</t>
  </si>
  <si>
    <t>TATA STEEL LIMITED</t>
  </si>
  <si>
    <t>Adani Enterprises Ltd.</t>
  </si>
  <si>
    <t>ADANIENT</t>
  </si>
  <si>
    <t>Pidilite Industries Ltd.</t>
  </si>
  <si>
    <t>PIDILITIND</t>
  </si>
  <si>
    <t>Divi's Laboratories Ltd.</t>
  </si>
  <si>
    <t>DIVISLAB</t>
  </si>
  <si>
    <t>JSW Steel Limited</t>
  </si>
  <si>
    <t>JSWSTEEL</t>
  </si>
  <si>
    <t>HDFC LIFE INSURANCE COMPANY LIMITED</t>
  </si>
  <si>
    <t>HDFCLIFE</t>
  </si>
  <si>
    <t>ICICI Prudential Life Insurance Company Limited</t>
  </si>
  <si>
    <t>ICICIPRULI</t>
  </si>
  <si>
    <t>TATA CONSUMER PRODUCTS LIMITED</t>
  </si>
  <si>
    <t>TATACONSUM</t>
  </si>
  <si>
    <t>Titan Company Limited</t>
  </si>
  <si>
    <t>TITAN</t>
  </si>
  <si>
    <t>Avenue Supermarts Limited</t>
  </si>
  <si>
    <t>DMART</t>
  </si>
  <si>
    <t>Jio Financial Services Limited</t>
  </si>
  <si>
    <t>JIOFIN</t>
  </si>
  <si>
    <t>Trent Ltd [Lakme Ltd]</t>
  </si>
  <si>
    <t>TRENT</t>
  </si>
  <si>
    <t>CG Power and Industrial Solutions Limited</t>
  </si>
  <si>
    <t>CGPOWER</t>
  </si>
  <si>
    <t>Adani Energy Solutions Limited</t>
  </si>
  <si>
    <t>ADANIENSOL</t>
  </si>
  <si>
    <t>Adani Green Energy Limited</t>
  </si>
  <si>
    <t>ADANIGREEN</t>
  </si>
  <si>
    <t>Info Edge(India) Ltd.</t>
  </si>
  <si>
    <t>NAUKRI</t>
  </si>
  <si>
    <t>Zomato Limited</t>
  </si>
  <si>
    <t>ZOMATO</t>
  </si>
  <si>
    <t>Godrej Consumer Products Ltd.</t>
  </si>
  <si>
    <t>GODREJCP</t>
  </si>
  <si>
    <t>SWIGGY LIMITED</t>
  </si>
  <si>
    <t>SWIGGY</t>
  </si>
  <si>
    <t>NTPC GREEN ENERGY LIMITED</t>
  </si>
  <si>
    <t>NTPCGREEN</t>
  </si>
  <si>
    <t>United Spirits Limited</t>
  </si>
  <si>
    <t>UNITDSPR</t>
  </si>
  <si>
    <t>IRB Infrastructure Developers Limited</t>
  </si>
  <si>
    <t>IRB</t>
  </si>
  <si>
    <t>Canara Bank</t>
  </si>
  <si>
    <t>CANBK</t>
  </si>
  <si>
    <t>Bank of India</t>
  </si>
  <si>
    <t>BANKINDIA</t>
  </si>
  <si>
    <t>Union Bank of India</t>
  </si>
  <si>
    <t>UNIONBANK</t>
  </si>
  <si>
    <t>Lic Housing Finance Ltd.</t>
  </si>
  <si>
    <t>LICHSGFIN</t>
  </si>
  <si>
    <t>Bank of maharashtra</t>
  </si>
  <si>
    <t>MAHABANK</t>
  </si>
  <si>
    <t>Indian Bank</t>
  </si>
  <si>
    <t>INDIANB</t>
  </si>
  <si>
    <t>General Insurance Corporation of India</t>
  </si>
  <si>
    <t>GICRE</t>
  </si>
  <si>
    <t>Oil India Limited</t>
  </si>
  <si>
    <t>OIL</t>
  </si>
  <si>
    <t>National Aluminium Co. Ltd.</t>
  </si>
  <si>
    <t>NATIONALUM</t>
  </si>
  <si>
    <t>NMDC Ltd</t>
  </si>
  <si>
    <t>NMDC</t>
  </si>
  <si>
    <t>IndusInd Bank Ltd.</t>
  </si>
  <si>
    <t>INDUSINDBK</t>
  </si>
  <si>
    <t>Central Bank of India</t>
  </si>
  <si>
    <t>CENTRALBK</t>
  </si>
  <si>
    <t>IDBI Bank Ltd</t>
  </si>
  <si>
    <t>IDBI</t>
  </si>
  <si>
    <t>Federal Bank Ltd.</t>
  </si>
  <si>
    <t>FEDERALBNK</t>
  </si>
  <si>
    <t>Motilal Oswal Financial Services Limited</t>
  </si>
  <si>
    <t>MOTILALOFS</t>
  </si>
  <si>
    <t>Aditya Birla Capital Ltd</t>
  </si>
  <si>
    <t>ABCAPITAL</t>
  </si>
  <si>
    <t>PETRONET LNG LTD.</t>
  </si>
  <si>
    <t>PETRONET</t>
  </si>
  <si>
    <t>Hindustan Petroleum Corporation Ltd</t>
  </si>
  <si>
    <t>HINDPETRO</t>
  </si>
  <si>
    <t>NLC India Limited</t>
  </si>
  <si>
    <t>NLCINDIA</t>
  </si>
  <si>
    <t>Housing &amp;Urban Development Corporation Ltd.</t>
  </si>
  <si>
    <t>HUDCO</t>
  </si>
  <si>
    <t>ACC Ltd</t>
  </si>
  <si>
    <t>ACC</t>
  </si>
  <si>
    <t>Mahindra &amp; Mahindra Financial Services Limited</t>
  </si>
  <si>
    <t>M&amp;MFIN</t>
  </si>
  <si>
    <t>Indraprashtha Gas Ltd.</t>
  </si>
  <si>
    <t>IGL</t>
  </si>
  <si>
    <t>MUTHOOT FINANCE LIMITED</t>
  </si>
  <si>
    <t>MUTHOOTFIN</t>
  </si>
  <si>
    <t>Aurobindo Pharma Ltd.</t>
  </si>
  <si>
    <t>AUROPHARMA</t>
  </si>
  <si>
    <t>UCO Bank</t>
  </si>
  <si>
    <t>UCOBANK</t>
  </si>
  <si>
    <t>AU Small Finance Bank Limited</t>
  </si>
  <si>
    <t>AUBANK</t>
  </si>
  <si>
    <t>Steel Authority of India Ltd.</t>
  </si>
  <si>
    <t>SAIL</t>
  </si>
  <si>
    <t>Gujarat Gas Limited</t>
  </si>
  <si>
    <t>GUJGASLTD</t>
  </si>
  <si>
    <t>IDFC FIRST BANK LIMITED</t>
  </si>
  <si>
    <t>IDFCFIRSTB</t>
  </si>
  <si>
    <t>OBEROI REALTY LIMITED</t>
  </si>
  <si>
    <t>OBEROIRLTY</t>
  </si>
  <si>
    <t>Ashok Leyland Ltd.</t>
  </si>
  <si>
    <t>ASHOKLEY</t>
  </si>
  <si>
    <t>Jindal Stainless Limited</t>
  </si>
  <si>
    <t>JSL</t>
  </si>
  <si>
    <t>Jindal Steel &amp; Power Ltd</t>
  </si>
  <si>
    <t>JINDALSTEL</t>
  </si>
  <si>
    <t>Yes Bank Ltd.</t>
  </si>
  <si>
    <t>YESBANK</t>
  </si>
  <si>
    <t>The New India Assurance Company Limited</t>
  </si>
  <si>
    <t>NIACL</t>
  </si>
  <si>
    <t>M.R.F. Ltd.</t>
  </si>
  <si>
    <t>MRF</t>
  </si>
  <si>
    <t>Alkem Laboratories Limited</t>
  </si>
  <si>
    <t>ALKEM</t>
  </si>
  <si>
    <t>Indian Renewable Energy Development Agency Limited</t>
  </si>
  <si>
    <t>IREDA</t>
  </si>
  <si>
    <t>Mphasis Limited</t>
  </si>
  <si>
    <t>MPHASIS</t>
  </si>
  <si>
    <t>TORRENT POWER LIMITED</t>
  </si>
  <si>
    <t>TORNTPOWER</t>
  </si>
  <si>
    <t>Escorts Kubota Limited</t>
  </si>
  <si>
    <t>ESCORTS</t>
  </si>
  <si>
    <t>Balkrishna Industries Ltd.</t>
  </si>
  <si>
    <t>BALKRISIND</t>
  </si>
  <si>
    <t>AIA Engineering Ltd.</t>
  </si>
  <si>
    <t>AIAENG</t>
  </si>
  <si>
    <t>NHPC Limited</t>
  </si>
  <si>
    <t>NHPC</t>
  </si>
  <si>
    <t>Oracle Financial Services Software Limited</t>
  </si>
  <si>
    <t>OFSS</t>
  </si>
  <si>
    <t>PI Industries Limited</t>
  </si>
  <si>
    <t>PIIND</t>
  </si>
  <si>
    <t>Adani Wilmar Limited</t>
  </si>
  <si>
    <t>AWL</t>
  </si>
  <si>
    <t>Apar Industries Ltd</t>
  </si>
  <si>
    <t>APARINDS</t>
  </si>
  <si>
    <t>Container Corporation Of India Ltd.</t>
  </si>
  <si>
    <t>CONCOR</t>
  </si>
  <si>
    <t>SUNDARAM FINANCE LTD</t>
  </si>
  <si>
    <t>SUNDARMFIN</t>
  </si>
  <si>
    <t>Coromandel International Limited</t>
  </si>
  <si>
    <t>COROMANDEL</t>
  </si>
  <si>
    <t>Lupin Ltd</t>
  </si>
  <si>
    <t>LUPIN</t>
  </si>
  <si>
    <t>Endurance Technologies Limited</t>
  </si>
  <si>
    <t>ENDURANCE</t>
  </si>
  <si>
    <t>PUNJAB &amp; SIND BANK</t>
  </si>
  <si>
    <t>PSB</t>
  </si>
  <si>
    <t>ICICI Lombard General Insurance Company Limited</t>
  </si>
  <si>
    <t>ICICIGI</t>
  </si>
  <si>
    <t>SJVN LIMITED</t>
  </si>
  <si>
    <t>SJVN</t>
  </si>
  <si>
    <t>Mazagon Dock Shipbuilders Limited</t>
  </si>
  <si>
    <t>MAZDOCK</t>
  </si>
  <si>
    <t>HDFC Asset Management Company Limited</t>
  </si>
  <si>
    <t>HDFCAMC</t>
  </si>
  <si>
    <t>Tata Communications Limited</t>
  </si>
  <si>
    <t>TATACOMM</t>
  </si>
  <si>
    <t>Ajanta Pharma Ltd.</t>
  </si>
  <si>
    <t>AJANTPHARM</t>
  </si>
  <si>
    <t>Deepak Nitrite Limited</t>
  </si>
  <si>
    <t>DEEPAKNTR</t>
  </si>
  <si>
    <t>360 ONE WAM LIMITED</t>
  </si>
  <si>
    <t>360ONE</t>
  </si>
  <si>
    <t>Godrej Properties Limited</t>
  </si>
  <si>
    <t>GODREJPROP</t>
  </si>
  <si>
    <t>Exide Industries Ltd.</t>
  </si>
  <si>
    <t>EXIDEIND</t>
  </si>
  <si>
    <t>SBI CARDS AND PAYMENT SERVICES LIMITED</t>
  </si>
  <si>
    <t>SBICARD</t>
  </si>
  <si>
    <t>L&amp;T Technology Services Limited</t>
  </si>
  <si>
    <t>LTTS</t>
  </si>
  <si>
    <t>Lloyds Metals and Energy Limited</t>
  </si>
  <si>
    <t>LLOYDSME</t>
  </si>
  <si>
    <t>NIPPON LIFE INDIA ASSET MANAGEMENT LIMITED</t>
  </si>
  <si>
    <t>NAM-INDIA</t>
  </si>
  <si>
    <t>Supreme Industries Ltd.</t>
  </si>
  <si>
    <t>SUPREMEIND</t>
  </si>
  <si>
    <t>Tata Technologies Limited</t>
  </si>
  <si>
    <t>TATATECH</t>
  </si>
  <si>
    <t>JSW Infrastructure Limited</t>
  </si>
  <si>
    <t>JSWINFRA</t>
  </si>
  <si>
    <t>Tata Elxsi Ltd</t>
  </si>
  <si>
    <t>TATAELXSI</t>
  </si>
  <si>
    <t>Cochin Shipyard Limited</t>
  </si>
  <si>
    <t>COCHINSHIP</t>
  </si>
  <si>
    <t>Indian Railway Catering &amp; Tourism Corporation Ltd</t>
  </si>
  <si>
    <t>IRCTC</t>
  </si>
  <si>
    <t>Mankind Pharma Limited</t>
  </si>
  <si>
    <t>MANKIND</t>
  </si>
  <si>
    <t>KEI Industries Ltd.</t>
  </si>
  <si>
    <t>KEI</t>
  </si>
  <si>
    <t>Colgate-Palmolive (India) Ltd.</t>
  </si>
  <si>
    <t>COLPAL</t>
  </si>
  <si>
    <t>Ipca Laboratories Ltd.</t>
  </si>
  <si>
    <t>IPCALAB</t>
  </si>
  <si>
    <t>KPIT Technologies Ltd</t>
  </si>
  <si>
    <t>KPITTECH</t>
  </si>
  <si>
    <t>J.K. CEMENT LTD</t>
  </si>
  <si>
    <t>JKCEMENT</t>
  </si>
  <si>
    <t>CRISIL Ltd.</t>
  </si>
  <si>
    <t>CRISIL</t>
  </si>
  <si>
    <t>Marico Limited</t>
  </si>
  <si>
    <t>MARICO</t>
  </si>
  <si>
    <t>Biocon Ltd.</t>
  </si>
  <si>
    <t>BIOCON</t>
  </si>
  <si>
    <t>The Phoenix Mills Ltd.</t>
  </si>
  <si>
    <t>PHOENIXLTD</t>
  </si>
  <si>
    <t>Premier Energies Limited</t>
  </si>
  <si>
    <t>PREMIERENE</t>
  </si>
  <si>
    <t>Berger Paints India Ltd</t>
  </si>
  <si>
    <t>BERGEPAINT</t>
  </si>
  <si>
    <t>Sona BLW Precision Forgings Limited</t>
  </si>
  <si>
    <t>SONACOMS</t>
  </si>
  <si>
    <t>Bharti Hexacom Limited</t>
  </si>
  <si>
    <t>BHARTIHEXA</t>
  </si>
  <si>
    <t>3M India Ltd.</t>
  </si>
  <si>
    <t>3MINDIA</t>
  </si>
  <si>
    <t>GlaxoSmithkline Pharmaceuticals Ltd.</t>
  </si>
  <si>
    <t>GLAXO</t>
  </si>
  <si>
    <t>Schaeffler India Limited</t>
  </si>
  <si>
    <t>SCHAEFFLER</t>
  </si>
  <si>
    <t>Syngene International Limited</t>
  </si>
  <si>
    <t>SYNGENE</t>
  </si>
  <si>
    <t>Patanjali Foods Limited</t>
  </si>
  <si>
    <t>PATANJALI</t>
  </si>
  <si>
    <t>DALMIA BHARAT LIMITED</t>
  </si>
  <si>
    <t>DALBHARAT</t>
  </si>
  <si>
    <t>Bharat Forge Ltd</t>
  </si>
  <si>
    <t>BHARATFORG</t>
  </si>
  <si>
    <t>Indian Hotels Co. Ltd</t>
  </si>
  <si>
    <t>INDHOTEL</t>
  </si>
  <si>
    <t>Honeywell Automation India Ltd.</t>
  </si>
  <si>
    <t>HONAUT</t>
  </si>
  <si>
    <t>Procter &amp; Gamble Hygiene &amp; Health Care Ltd.</t>
  </si>
  <si>
    <t>PGHH</t>
  </si>
  <si>
    <t>BSE Ltd.</t>
  </si>
  <si>
    <t>BSE</t>
  </si>
  <si>
    <t>Thermax Ltd.</t>
  </si>
  <si>
    <t>THERMAX</t>
  </si>
  <si>
    <t>Persistent Systems Limited</t>
  </si>
  <si>
    <t>PERSISTENT</t>
  </si>
  <si>
    <t>Fortis Healthcare Ltd</t>
  </si>
  <si>
    <t>FORTIS</t>
  </si>
  <si>
    <t>APL Apollo Tubes Limited</t>
  </si>
  <si>
    <t>APLAPOLLO</t>
  </si>
  <si>
    <t>Tube Investments of India Ltd</t>
  </si>
  <si>
    <t>TIINDIA</t>
  </si>
  <si>
    <t>COFORGE LIMITED</t>
  </si>
  <si>
    <t>COFORGE</t>
  </si>
  <si>
    <t>Voltas Ltd.</t>
  </si>
  <si>
    <t>VOLTAS</t>
  </si>
  <si>
    <t>SUZLON ENERGY LTD.</t>
  </si>
  <si>
    <t>SUZLON</t>
  </si>
  <si>
    <t>Page Industries Ltd.</t>
  </si>
  <si>
    <t>PAGEIND</t>
  </si>
  <si>
    <t>Kalyan Jewellers India Limited</t>
  </si>
  <si>
    <t>KALYANKJIL</t>
  </si>
  <si>
    <t>ASTRAL LIMITED</t>
  </si>
  <si>
    <t>ASTRAL</t>
  </si>
  <si>
    <t>Apollo Hospitals Enterprises Ltd.</t>
  </si>
  <si>
    <t>APOLLOHOSP</t>
  </si>
  <si>
    <t>UNO Minda Limited</t>
  </si>
  <si>
    <t>UNOMINDA</t>
  </si>
  <si>
    <t>Bharat Dynamics Limited</t>
  </si>
  <si>
    <t>BDL</t>
  </si>
  <si>
    <t>Metro Brands Limited</t>
  </si>
  <si>
    <t>METROBRAND</t>
  </si>
  <si>
    <t>SRF Ltd.</t>
  </si>
  <si>
    <t>SRF</t>
  </si>
  <si>
    <t>Solar Industries India Limited</t>
  </si>
  <si>
    <t>SOLARINDS</t>
  </si>
  <si>
    <t>Godrej Industries Ltd.</t>
  </si>
  <si>
    <t>GODREJIND</t>
  </si>
  <si>
    <t>Blue Star Ltd</t>
  </si>
  <si>
    <t>BLUESTARCO</t>
  </si>
  <si>
    <t>Prestige Estates Projects Limited</t>
  </si>
  <si>
    <t>PRESTIGE</t>
  </si>
  <si>
    <t>INVENTURUS KNOWLEDGE SOLUTIONS LIMITED</t>
  </si>
  <si>
    <t>IKS</t>
  </si>
  <si>
    <t>Shree Cements Ltd.</t>
  </si>
  <si>
    <t>SHREECEM</t>
  </si>
  <si>
    <t>Vishal Mega Mart Limited</t>
  </si>
  <si>
    <t>VMM</t>
  </si>
  <si>
    <t>Gujarat Fluorochemicals Limited</t>
  </si>
  <si>
    <t>FLUOROCHEM</t>
  </si>
  <si>
    <t>Max Healthcare Institute Limited</t>
  </si>
  <si>
    <t>MAXHEALTH</t>
  </si>
  <si>
    <t>Tata Investment Corporation Ltd.</t>
  </si>
  <si>
    <t>TATAINVEST</t>
  </si>
  <si>
    <t>Dixon Technologies (India) Limited</t>
  </si>
  <si>
    <t>DIXON</t>
  </si>
  <si>
    <t>ADANI TOTAL GAS LIMITED</t>
  </si>
  <si>
    <t>ATGL</t>
  </si>
  <si>
    <t>Jubilant Foodworks Limited</t>
  </si>
  <si>
    <t>JUBLFOOD</t>
  </si>
  <si>
    <t>KAYNES TECHNOLOGY INDIA LIMITED</t>
  </si>
  <si>
    <t>KAYNES</t>
  </si>
  <si>
    <t>United Breweries Ltd.</t>
  </si>
  <si>
    <t>UBL</t>
  </si>
  <si>
    <t>Linde India Limited</t>
  </si>
  <si>
    <t>LINDEINDIA</t>
  </si>
  <si>
    <t>Bharat Heavy Electricals Ltd.</t>
  </si>
  <si>
    <t>BHEL</t>
  </si>
  <si>
    <t>Max Financial Services Limited</t>
  </si>
  <si>
    <t>MFSL</t>
  </si>
  <si>
    <t>GE Vernova T&amp;D India Limited</t>
  </si>
  <si>
    <t>GVT&amp;D</t>
  </si>
  <si>
    <t>HITACHI ENERGY INDIA LIMITED</t>
  </si>
  <si>
    <t>POWERINDIA</t>
  </si>
  <si>
    <t>PB Fintech Limited</t>
  </si>
  <si>
    <t>POLICYBZR</t>
  </si>
  <si>
    <t>FSN E-Commerce Ventures Limited</t>
  </si>
  <si>
    <t>NYKAA</t>
  </si>
  <si>
    <t>GMR Airports Limited</t>
  </si>
  <si>
    <t>GMRAIRPORT</t>
  </si>
  <si>
    <t>Waaree Energies Limited</t>
  </si>
  <si>
    <t>WAAREEENER</t>
  </si>
  <si>
    <t>VODAFONE IDEA LIMITED</t>
  </si>
  <si>
    <t>IDEA</t>
  </si>
  <si>
    <t>Fertilizers and Chemicals Travancore Limited</t>
  </si>
  <si>
    <t>FACT</t>
  </si>
  <si>
    <t>Abbott India Ltd.</t>
  </si>
  <si>
    <t>Glenmark Pharmaceuticals ltd</t>
  </si>
  <si>
    <t>GLENMARK</t>
  </si>
  <si>
    <t>One 97 Communications Limited</t>
  </si>
  <si>
    <t>PAYTM</t>
  </si>
  <si>
    <t>UPL Limited</t>
  </si>
  <si>
    <t>UPL</t>
  </si>
  <si>
    <t>Ola Electric Mobility Limited</t>
  </si>
  <si>
    <t>OLAELEC</t>
  </si>
  <si>
    <t>L&amp;T Finance Limited</t>
  </si>
  <si>
    <t>LTF</t>
  </si>
  <si>
    <t>Aditya Birla Fashion and Retail Limited</t>
  </si>
  <si>
    <t>ABFRL</t>
  </si>
  <si>
    <t>NAGARJUNA FERTILIZERS AND CHEMICALS LTD.</t>
  </si>
  <si>
    <t>NAGAFERT</t>
  </si>
  <si>
    <t>Maha Rashtra Apex Corporation Ltd</t>
  </si>
  <si>
    <t>MAHAPEXLTD</t>
  </si>
  <si>
    <t>Consolidated Construction Consortium Ltd</t>
  </si>
  <si>
    <t>CCCL</t>
  </si>
  <si>
    <t>Diligent Media Corporation Limited</t>
  </si>
  <si>
    <t>DNAMEDIA</t>
  </si>
  <si>
    <t>FLEXITUFF VENTURES INTERNATIONAL LIMITED</t>
  </si>
  <si>
    <t>FLEXITUFF</t>
  </si>
  <si>
    <t>RattanIndia Power Limited</t>
  </si>
  <si>
    <t>RTNPOWER</t>
  </si>
  <si>
    <t>Shekhawati Industries Ltd.</t>
  </si>
  <si>
    <t>SHEKHAWATI</t>
  </si>
  <si>
    <t>Vipul Limited</t>
  </si>
  <si>
    <t>VIPULLTD</t>
  </si>
  <si>
    <t>HMT Limited</t>
  </si>
  <si>
    <t>HMT</t>
  </si>
  <si>
    <t>Blue Coast Hotels Ltd</t>
  </si>
  <si>
    <t>BLUECOAST</t>
  </si>
  <si>
    <t>Essar Shipping Ltd</t>
  </si>
  <si>
    <t>ESSARSHPNG</t>
  </si>
  <si>
    <t>GVK Power &amp; Infrastructure Ltd</t>
  </si>
  <si>
    <t>GVKPIL</t>
  </si>
  <si>
    <t>Raymond Limited</t>
  </si>
  <si>
    <t>RAYMOND</t>
  </si>
  <si>
    <t>Future Market Networks Limited</t>
  </si>
  <si>
    <t>FMNL</t>
  </si>
  <si>
    <t>GTL Ltd</t>
  </si>
  <si>
    <t>GTL</t>
  </si>
  <si>
    <t>Ind-Swift Ltd.</t>
  </si>
  <si>
    <t>INDSWFTLTD</t>
  </si>
  <si>
    <t>ZEE LEARN LIMITED</t>
  </si>
  <si>
    <t>ZEELEARN</t>
  </si>
  <si>
    <t>Soma Textile &amp; Industries Ltd</t>
  </si>
  <si>
    <t>SOMATEX</t>
  </si>
  <si>
    <t>Kaushalya Infrastructure Development Corporation Ltd</t>
  </si>
  <si>
    <t>KAUSHALYA</t>
  </si>
  <si>
    <t>Ind-Swift Laboratories Ltd.</t>
  </si>
  <si>
    <t>INDSWFTLAB</t>
  </si>
  <si>
    <t>Twentyfirst Century Management Serv</t>
  </si>
  <si>
    <t>21STCENMGM</t>
  </si>
  <si>
    <t>Indian Card Clothing Ltd</t>
  </si>
  <si>
    <t>INDIANCARD</t>
  </si>
  <si>
    <t>MBL Infrastructure Ltd</t>
  </si>
  <si>
    <t>MBLINFRA</t>
  </si>
  <si>
    <t>JINDAL POLY INVESTMENT AND FINANCE COMPANY LIMITED</t>
  </si>
  <si>
    <t>JPOLYINVST</t>
  </si>
  <si>
    <t>Jindal Photo Limited</t>
  </si>
  <si>
    <t>JINDALPHOT</t>
  </si>
  <si>
    <t>Sakthi Sugars Ltd.</t>
  </si>
  <si>
    <t>SAKHTISUG</t>
  </si>
  <si>
    <t>Nagreeka Capital &amp; Infrastructure Limited</t>
  </si>
  <si>
    <t>NAGREEKCAP</t>
  </si>
  <si>
    <t>Electrotherm (India) Ltd</t>
  </si>
  <si>
    <t>ELECTHERM</t>
  </si>
  <si>
    <t>Indo National Limited</t>
  </si>
  <si>
    <t>NIPPOBATRY</t>
  </si>
  <si>
    <t>Bharat Road Network Limited</t>
  </si>
  <si>
    <t>BRNL</t>
  </si>
  <si>
    <t>UNIVERSUS PHOTO IMAGINGS LIMITED</t>
  </si>
  <si>
    <t>UNIVPHOTO</t>
  </si>
  <si>
    <t>Prakash Steelage Limited</t>
  </si>
  <si>
    <t>PRAKASHSTL</t>
  </si>
  <si>
    <t>Maithan Alloys Limited</t>
  </si>
  <si>
    <t>Jay Shree Tea &amp; Industries Ltd.</t>
  </si>
  <si>
    <t>JAYSREETEA</t>
  </si>
  <si>
    <t>Ashoka Buildcon Limited</t>
  </si>
  <si>
    <t>ASHOKA</t>
  </si>
  <si>
    <t>Mawana Sugars Ltd</t>
  </si>
  <si>
    <t>MAWANASUG</t>
  </si>
  <si>
    <t>TARAPUR TRANSFORMERS LIMITED</t>
  </si>
  <si>
    <t>TARAPUR</t>
  </si>
  <si>
    <t>ZUARI AGRO CHEMICALS LIMITED</t>
  </si>
  <si>
    <t>ZUARI</t>
  </si>
  <si>
    <t>BF Investment Limited</t>
  </si>
  <si>
    <t>BFINVEST</t>
  </si>
  <si>
    <t>Navneet Education Limited</t>
  </si>
  <si>
    <t>NAVNETEDUL</t>
  </si>
  <si>
    <t>Davangere Sugar Company Limited</t>
  </si>
  <si>
    <t>DAVANGERE</t>
  </si>
  <si>
    <t>Transindia Real Estate Limited</t>
  </si>
  <si>
    <t>TREL</t>
  </si>
  <si>
    <t>KEYNOTE FINANCIAL SERVICES LIMITED</t>
  </si>
  <si>
    <t>KEYFINSERV</t>
  </si>
  <si>
    <t>Aster DM Healthcare Limited</t>
  </si>
  <si>
    <t>ASTERDM</t>
  </si>
  <si>
    <t>Oricon Enterprises Ltd.</t>
  </si>
  <si>
    <t>ORICONENT</t>
  </si>
  <si>
    <t>Atlas Cycles (Haryana) Ltd.</t>
  </si>
  <si>
    <t>ATLASCYCLE</t>
  </si>
  <si>
    <t>Steel Strips &amp; Wheels Ltd</t>
  </si>
  <si>
    <t>SSWL</t>
  </si>
  <si>
    <t>Great Eastern Shipping Co. Ltd.</t>
  </si>
  <si>
    <t>GESHIP</t>
  </si>
  <si>
    <t>Ashoka Metcast Limited</t>
  </si>
  <si>
    <t>ASHOKAMET</t>
  </si>
  <si>
    <t>Repco Home Finance Limited</t>
  </si>
  <si>
    <t>REPCOHOME</t>
  </si>
  <si>
    <t>Vardhman Holdings Limited</t>
  </si>
  <si>
    <t>VHL</t>
  </si>
  <si>
    <t>GMR Power and Urban Infra Limited</t>
  </si>
  <si>
    <t>GMRP&amp;UI</t>
  </si>
  <si>
    <t>RADAAN MEDIAWORKS (I) LIMITED</t>
  </si>
  <si>
    <t>RADAAN</t>
  </si>
  <si>
    <t>Ashima Ltd</t>
  </si>
  <si>
    <t>ASHIMASYN</t>
  </si>
  <si>
    <t>VLS Finance Limited</t>
  </si>
  <si>
    <t>VLSFINANCE</t>
  </si>
  <si>
    <t>Jammu and Kashmir Bank Ltd.</t>
  </si>
  <si>
    <t>J&amp;KBANK</t>
  </si>
  <si>
    <t>GIC Housing Finance Ltd.</t>
  </si>
  <si>
    <t>GICHSGFIN</t>
  </si>
  <si>
    <t>South Indian Bank Ltd.</t>
  </si>
  <si>
    <t>Gateway Distriparks Limited</t>
  </si>
  <si>
    <t>GATEWAY</t>
  </si>
  <si>
    <t>Karnataka Bank Ltd.</t>
  </si>
  <si>
    <t>Star Paper Mills Ltd.</t>
  </si>
  <si>
    <t>STARPAPER</t>
  </si>
  <si>
    <t>KNR Constructions Limited</t>
  </si>
  <si>
    <t>KNRCON</t>
  </si>
  <si>
    <t>Omax Autos Ltd.</t>
  </si>
  <si>
    <t>OMAXAUTO</t>
  </si>
  <si>
    <t>Bombay Dyeing &amp; Mfg. Co. Ltd.</t>
  </si>
  <si>
    <t>BOMDYEING</t>
  </si>
  <si>
    <t>International Conveyors Ltd.</t>
  </si>
  <si>
    <t>INTLCONV</t>
  </si>
  <si>
    <t>Shreyans Industries Limited.</t>
  </si>
  <si>
    <t>SHREYANIND</t>
  </si>
  <si>
    <t>Consolidated Finvest &amp; Holdings Ltd.</t>
  </si>
  <si>
    <t>CONSOFINVT</t>
  </si>
  <si>
    <t>SATIN CREDITCARE NETWORK LIMITED</t>
  </si>
  <si>
    <t>SATIN</t>
  </si>
  <si>
    <t>DOLAT ALGOTECH LIMITED</t>
  </si>
  <si>
    <t>DOLATALGO</t>
  </si>
  <si>
    <t>Tamilnad Mercantile Bank Limited</t>
  </si>
  <si>
    <t>TMB</t>
  </si>
  <si>
    <t>DCB Bank Limited</t>
  </si>
  <si>
    <t>DCBBANK</t>
  </si>
  <si>
    <t>SMC Global Securities Limited</t>
  </si>
  <si>
    <t>SMCGLOBAL</t>
  </si>
  <si>
    <t>Capital Small Finance Bank Ltd</t>
  </si>
  <si>
    <t>CAPITALSFB</t>
  </si>
  <si>
    <t>Suryoday Small Finance Bank Limited</t>
  </si>
  <si>
    <t>SURYODAY</t>
  </si>
  <si>
    <t>Madras Fertilizers Ltd</t>
  </si>
  <si>
    <t>MADRASFERT</t>
  </si>
  <si>
    <t>SATIA INDUSTRIES LIMITED</t>
  </si>
  <si>
    <t>SATIA</t>
  </si>
  <si>
    <t>Reliance Power Limited</t>
  </si>
  <si>
    <t>RPOWER</t>
  </si>
  <si>
    <t>Ruchira Papers Ltd</t>
  </si>
  <si>
    <t>RUCHIRA</t>
  </si>
  <si>
    <t>PNC Infratech Limited</t>
  </si>
  <si>
    <t>PNCINFRA</t>
  </si>
  <si>
    <t>Vaishali Pharma Ltd.</t>
  </si>
  <si>
    <t>VAISHALI</t>
  </si>
  <si>
    <t>Simbhaoli Sugars Ltd</t>
  </si>
  <si>
    <t>SIMBHALS</t>
  </si>
  <si>
    <t>Kalyani Commercials Ltd.</t>
  </si>
  <si>
    <t>KALYANI</t>
  </si>
  <si>
    <t>Debock Industries Ltd.</t>
  </si>
  <si>
    <t>DIL</t>
  </si>
  <si>
    <t>Sandesh Ltd.</t>
  </si>
  <si>
    <t>SANDESH</t>
  </si>
  <si>
    <t>Khaitan (India) Ltd.</t>
  </si>
  <si>
    <t>KHAITANLTD</t>
  </si>
  <si>
    <t>PNB Gilts Ltd</t>
  </si>
  <si>
    <t>PNBGILTS</t>
  </si>
  <si>
    <t>Authum Investment &amp; Infrastructure Limited</t>
  </si>
  <si>
    <t>AIIL</t>
  </si>
  <si>
    <t>Binani Industries Limited</t>
  </si>
  <si>
    <t>BINANIIND</t>
  </si>
  <si>
    <t>SKIL Infrastructure Limited</t>
  </si>
  <si>
    <t>SKIL</t>
  </si>
  <si>
    <t>Lakshmi Finance &amp; Industrial Corporation Ltd.</t>
  </si>
  <si>
    <t>LFIC</t>
  </si>
  <si>
    <t>TIL Ltd.</t>
  </si>
  <si>
    <t>TIL</t>
  </si>
  <si>
    <t>The Grob Tea Company Ltd.</t>
  </si>
  <si>
    <t>GROBTEA</t>
  </si>
  <si>
    <t>Cosmo First Limited</t>
  </si>
  <si>
    <t>COSMOFIRST</t>
  </si>
  <si>
    <t>Libas Consumer Products Ltd.</t>
  </si>
  <si>
    <t>LIBAS</t>
  </si>
  <si>
    <t>Ujjivan Small Finance Bank Limited</t>
  </si>
  <si>
    <t>UJJIVANSFB</t>
  </si>
  <si>
    <t>DCM Ltd.</t>
  </si>
  <si>
    <t>DCM</t>
  </si>
  <si>
    <t>Sammaan Capital Limited</t>
  </si>
  <si>
    <t>SAMMAANCAP</t>
  </si>
  <si>
    <t>JANA SMALL FINANCE BANK LIMITED</t>
  </si>
  <si>
    <t>JSFB</t>
  </si>
  <si>
    <t>Vascon Engineers Limited</t>
  </si>
  <si>
    <t>VASCONEQ</t>
  </si>
  <si>
    <t>PTC India Ltd</t>
  </si>
  <si>
    <t>PTC</t>
  </si>
  <si>
    <t>BIRLASOFT LIMITED</t>
  </si>
  <si>
    <t>BSOFT</t>
  </si>
  <si>
    <t>DEN Networks Limited</t>
  </si>
  <si>
    <t>DEN</t>
  </si>
  <si>
    <t>Coral India Finance And Housing Ltd</t>
  </si>
  <si>
    <t>CORALFINAC</t>
  </si>
  <si>
    <t>West Coast Paper Mills Limited</t>
  </si>
  <si>
    <t>WSTCSTPAPR</t>
  </si>
  <si>
    <t>Globe Textiles (India) Ltd.</t>
  </si>
  <si>
    <t>GLOBE</t>
  </si>
  <si>
    <t>GFL LIMITED</t>
  </si>
  <si>
    <t>GFLLIMITED</t>
  </si>
  <si>
    <t>MANAKSIA LIMITED</t>
  </si>
  <si>
    <t>MANAKSIA</t>
  </si>
  <si>
    <t>Oriental Carbon &amp; Chemicals Ltd.</t>
  </si>
  <si>
    <t>OCCL</t>
  </si>
  <si>
    <t>Dhunseri Investments Ltd</t>
  </si>
  <si>
    <t>DHUNINV</t>
  </si>
  <si>
    <t>Jullundur Motor Agency (Delhi) Ltd.</t>
  </si>
  <si>
    <t>JMA</t>
  </si>
  <si>
    <t>Muthoot Microfin Limited</t>
  </si>
  <si>
    <t>MUTHOOTMF</t>
  </si>
  <si>
    <t>Shipping Corporation Of India Ltd</t>
  </si>
  <si>
    <t>SCI</t>
  </si>
  <si>
    <t>Kuantum Papers Limited</t>
  </si>
  <si>
    <t>KUANTUM</t>
  </si>
  <si>
    <t>AVG Logistics Limited</t>
  </si>
  <si>
    <t>AVG</t>
  </si>
  <si>
    <t>MAGNUM VENTURES LIMITED</t>
  </si>
  <si>
    <t>MAGNUM</t>
  </si>
  <si>
    <t>Steel City Securities Ltd.</t>
  </si>
  <si>
    <t>STEELCITY</t>
  </si>
  <si>
    <t>RKEC Projects Ltd.</t>
  </si>
  <si>
    <t>RKEC</t>
  </si>
  <si>
    <t>Natco Pharma Ltd.</t>
  </si>
  <si>
    <t>Prakash Industries Ltd.</t>
  </si>
  <si>
    <t>PRAKASH</t>
  </si>
  <si>
    <t>MSTC Limited</t>
  </si>
  <si>
    <t>MSTCLTD</t>
  </si>
  <si>
    <t>IZMO Limited</t>
  </si>
  <si>
    <t>IZMO</t>
  </si>
  <si>
    <t>Nath Biogene India Ltd.</t>
  </si>
  <si>
    <t>NATHBIOGEN</t>
  </si>
  <si>
    <t>Alembic Ltd</t>
  </si>
  <si>
    <t>ALEMBICLTD</t>
  </si>
  <si>
    <t>Par Drugs and Chemicals Ltd.</t>
  </si>
  <si>
    <t>PAR</t>
  </si>
  <si>
    <t>Electrosteel Castings Ltd.</t>
  </si>
  <si>
    <t>ELECTCAST</t>
  </si>
  <si>
    <t>Vindhya Telelinks Ltd.</t>
  </si>
  <si>
    <t>VINDHYATEL</t>
  </si>
  <si>
    <t>Rane Holdings Ltd.</t>
  </si>
  <si>
    <t>RANEHOLDIN</t>
  </si>
  <si>
    <t>Reliance Home Finance Limited</t>
  </si>
  <si>
    <t>RHFL</t>
  </si>
  <si>
    <t>K. M. Sugar Mills Ltd.</t>
  </si>
  <si>
    <t>KMSUGAR</t>
  </si>
  <si>
    <t>Indian Metals &amp; Ferro Alloys Limited</t>
  </si>
  <si>
    <t>IMFA</t>
  </si>
  <si>
    <t>Emkay Global Financial Services Ltd</t>
  </si>
  <si>
    <t>EMKAY</t>
  </si>
  <si>
    <t>Trigyn Technologies Ltd.</t>
  </si>
  <si>
    <t>TRIGYN</t>
  </si>
  <si>
    <t>K C P SUGAR AND INDUSTRIES CORPORATION LTD.</t>
  </si>
  <si>
    <t>KCPSUGIND</t>
  </si>
  <si>
    <t>Jaiprakash Power Ventures Limited</t>
  </si>
  <si>
    <t>JPPOWER</t>
  </si>
  <si>
    <t>Asian Hotels (East) Limited</t>
  </si>
  <si>
    <t>AHLEAST</t>
  </si>
  <si>
    <t>G R Infraprojects Limited</t>
  </si>
  <si>
    <t>GRINFRA</t>
  </si>
  <si>
    <t>Muthoot Capital Services Ltd.</t>
  </si>
  <si>
    <t>MUTHOOTCAP</t>
  </si>
  <si>
    <t>GP Petroleums Limited</t>
  </si>
  <si>
    <t>GULFPETRO</t>
  </si>
  <si>
    <t>Karur Vysya Bank Ltd.</t>
  </si>
  <si>
    <t>KARURVYSYA</t>
  </si>
  <si>
    <t>Jindal Saw Ltd.</t>
  </si>
  <si>
    <t>JINDALSAW</t>
  </si>
  <si>
    <t>Pudumjee Paper Products Limited</t>
  </si>
  <si>
    <t>PDMJEPAPER</t>
  </si>
  <si>
    <t>Rossell India Limited</t>
  </si>
  <si>
    <t>ROSSELLIND</t>
  </si>
  <si>
    <t>CSL Finance Limited</t>
  </si>
  <si>
    <t>CSLFINANCE</t>
  </si>
  <si>
    <t>JITF INFRALOGISTICS LIMITED</t>
  </si>
  <si>
    <t>JITFINFRA</t>
  </si>
  <si>
    <t>Global Education Ltd.</t>
  </si>
  <si>
    <t>GLOBAL</t>
  </si>
  <si>
    <t>Jet Freight Logistics Limited</t>
  </si>
  <si>
    <t>JETFREIGHT</t>
  </si>
  <si>
    <t>Magadh Sugar &amp; Energy Limited</t>
  </si>
  <si>
    <t>MAGADSUGAR</t>
  </si>
  <si>
    <t>JK Paper Ltd.</t>
  </si>
  <si>
    <t>JKPAPER</t>
  </si>
  <si>
    <t>IIFL CAPITAL SERVICES LIMITED</t>
  </si>
  <si>
    <t>IIFLCAPS</t>
  </si>
  <si>
    <t>CSB Bank Limited</t>
  </si>
  <si>
    <t>CSBBANK</t>
  </si>
  <si>
    <t>Naga Dhunseri Group Ltd.</t>
  </si>
  <si>
    <t>NDGL</t>
  </si>
  <si>
    <t>Alpa Laboratories Limited</t>
  </si>
  <si>
    <t>ALPA</t>
  </si>
  <si>
    <t>RPP INFRA PROJECTS LIMITED</t>
  </si>
  <si>
    <t>RPPINFRA</t>
  </si>
  <si>
    <t>FIBERWEB (INDIA) LTD.</t>
  </si>
  <si>
    <t>FIBERWEB</t>
  </si>
  <si>
    <t>Jagran Prakashan Limited</t>
  </si>
  <si>
    <t>JAGRAN</t>
  </si>
  <si>
    <t>Moksh Ornaments Ltd.</t>
  </si>
  <si>
    <t>MOKSH</t>
  </si>
  <si>
    <t>Rashi Peripherals Limited</t>
  </si>
  <si>
    <t>RPTECH</t>
  </si>
  <si>
    <t>D.B.Corp Limited</t>
  </si>
  <si>
    <t>DBCORP</t>
  </si>
  <si>
    <t>Ponni Sugars (Erode) Ltd.</t>
  </si>
  <si>
    <t>PONNIERODE</t>
  </si>
  <si>
    <t>Bandhan Bank Limited</t>
  </si>
  <si>
    <t>BANDHANBNK</t>
  </si>
  <si>
    <t>Arihant Capital Markets Ltd.</t>
  </si>
  <si>
    <t>ARIHANTCAP</t>
  </si>
  <si>
    <t>HYBRID FINANCIAL SERVICES LIMITED</t>
  </si>
  <si>
    <t>HYBRIDFIN</t>
  </si>
  <si>
    <t>Dalmia Bharat Sugar and Industries Ltd</t>
  </si>
  <si>
    <t>DALMIASUG</t>
  </si>
  <si>
    <t>Ahlada Engineers Ltd.</t>
  </si>
  <si>
    <t>AHLADA</t>
  </si>
  <si>
    <t>G.M. Breweries Ltd.</t>
  </si>
  <si>
    <t>GMBREW</t>
  </si>
  <si>
    <t>Nandani Creation Ltd.</t>
  </si>
  <si>
    <t>JAIPURKURT</t>
  </si>
  <si>
    <t>MANOJ VAIBHAV GEMS 'N' JEWELLERS LIMITED</t>
  </si>
  <si>
    <t>MVGJL</t>
  </si>
  <si>
    <t>N.R.Agarwal Industries Ltd.</t>
  </si>
  <si>
    <t>NRAIL</t>
  </si>
  <si>
    <t>R S Software India Ltd.</t>
  </si>
  <si>
    <t>RSSOFTWARE</t>
  </si>
  <si>
    <t>Cheviot Co.Ltd.</t>
  </si>
  <si>
    <t>CHEVIOT</t>
  </si>
  <si>
    <t>Can Fin Homes Ltd.</t>
  </si>
  <si>
    <t>CANFINHOME</t>
  </si>
  <si>
    <t>RBL Bank Limited</t>
  </si>
  <si>
    <t>RBLBANK</t>
  </si>
  <si>
    <t>Share India Securities Limited</t>
  </si>
  <si>
    <t>SHAREINDIA</t>
  </si>
  <si>
    <t>AuSom Enterprise Limited</t>
  </si>
  <si>
    <t>AUSOMENT</t>
  </si>
  <si>
    <t>Hindusthan National Glass &amp; Industr</t>
  </si>
  <si>
    <t>HINDNATGLS</t>
  </si>
  <si>
    <t>Abans Holdings Limited</t>
  </si>
  <si>
    <t>AHL</t>
  </si>
  <si>
    <t>The United Nilgiri Tea Estates Company Ltd.</t>
  </si>
  <si>
    <t>UNITEDTEA</t>
  </si>
  <si>
    <t>GHCL Ltd.</t>
  </si>
  <si>
    <t>GHCL</t>
  </si>
  <si>
    <t>Aries Agro Limited</t>
  </si>
  <si>
    <t>ARIES</t>
  </si>
  <si>
    <t>Rana Sugars Ltd.</t>
  </si>
  <si>
    <t>RANASUG</t>
  </si>
  <si>
    <t>Narmada Agrobase Limited</t>
  </si>
  <si>
    <t>NARMADA</t>
  </si>
  <si>
    <t>Accuracy Shipping Ltd.</t>
  </si>
  <si>
    <t>ACCURACY</t>
  </si>
  <si>
    <t>Revathi Equipment India Limited</t>
  </si>
  <si>
    <t>RVTH</t>
  </si>
  <si>
    <t>Sundaram Finance Holdings Ltd.</t>
  </si>
  <si>
    <t>SUNDARMHLD</t>
  </si>
  <si>
    <t>SPL INDUSTRIES LIMITED</t>
  </si>
  <si>
    <t>SPLIL</t>
  </si>
  <si>
    <t>Simplex Infrastructures Limited</t>
  </si>
  <si>
    <t>SIMPLEXINF</t>
  </si>
  <si>
    <t>City Union Bank Ltd</t>
  </si>
  <si>
    <t>CUB</t>
  </si>
  <si>
    <t>GOCL Corporation Limited</t>
  </si>
  <si>
    <t>GOCLCORP</t>
  </si>
  <si>
    <t>VINNY OVERSEAS LIMITED</t>
  </si>
  <si>
    <t>VINNY</t>
  </si>
  <si>
    <t>Sree Rayalaseema Hi-Strength Hypo Limited</t>
  </si>
  <si>
    <t>SRHHYPOLTD</t>
  </si>
  <si>
    <t>Nandan Denim Limited</t>
  </si>
  <si>
    <t>NDL</t>
  </si>
  <si>
    <t>Sakuma Exports Ltd.</t>
  </si>
  <si>
    <t>SAKUMA</t>
  </si>
  <si>
    <t>KIRI INDUSTRIES LIMITED</t>
  </si>
  <si>
    <t>KIRIINDUS</t>
  </si>
  <si>
    <t>Prakash Pipes Limited</t>
  </si>
  <si>
    <t>PPL</t>
  </si>
  <si>
    <t>Crown Lifters Ltd.</t>
  </si>
  <si>
    <t>CROWN</t>
  </si>
  <si>
    <t>Ramco Industries Ltd</t>
  </si>
  <si>
    <t>RAMCOIND</t>
  </si>
  <si>
    <t>Aditya Birla Money Ltd</t>
  </si>
  <si>
    <t>BIRLAMONEY</t>
  </si>
  <si>
    <t>Geekay Wires Ltd.</t>
  </si>
  <si>
    <t>GEEKAYWIRE</t>
  </si>
  <si>
    <t>KRYSTAL INTEGRATED SERVICES LIMITED</t>
  </si>
  <si>
    <t>KRYSTAL</t>
  </si>
  <si>
    <t>Career Point Limited</t>
  </si>
  <si>
    <t>CAREERP</t>
  </si>
  <si>
    <t>Ashapura Minechem Ltd</t>
  </si>
  <si>
    <t>ASHAPURMIN</t>
  </si>
  <si>
    <t>Panama Petrochem Ltd.</t>
  </si>
  <si>
    <t>PANAMAPET</t>
  </si>
  <si>
    <t>Modi Rubber Ltd.</t>
  </si>
  <si>
    <t>MODIRUBBER</t>
  </si>
  <si>
    <t>Orbit Exports Ltd.</t>
  </si>
  <si>
    <t>ORBTEXP</t>
  </si>
  <si>
    <t>BAID FINSERV LIMITED</t>
  </si>
  <si>
    <t>BAIDFIN</t>
  </si>
  <si>
    <t>Anmol India Limited</t>
  </si>
  <si>
    <t>ANMOL</t>
  </si>
  <si>
    <t>Sportking India Ltd.</t>
  </si>
  <si>
    <t>SPORTKING</t>
  </si>
  <si>
    <t>Geojit Financial Services Limited</t>
  </si>
  <si>
    <t>GEOJITFSL</t>
  </si>
  <si>
    <t>AVADH SUGAR &amp; ENERGY LIMITED</t>
  </si>
  <si>
    <t>AVADHSUGAR</t>
  </si>
  <si>
    <t>Nahar Capital &amp; Financial Services Ltd.</t>
  </si>
  <si>
    <t>NAHARCAP</t>
  </si>
  <si>
    <t>Aspinwall and Company Ltd.</t>
  </si>
  <si>
    <t>ASPINWALL</t>
  </si>
  <si>
    <t>Viceroy Hotels Ltd.</t>
  </si>
  <si>
    <t>VHLTD</t>
  </si>
  <si>
    <t>Pasupati Acrylon Ltd.</t>
  </si>
  <si>
    <t>PASUPTAC</t>
  </si>
  <si>
    <t>Marathon Nextgen Realty Ltd</t>
  </si>
  <si>
    <t>MARATHON</t>
  </si>
  <si>
    <t>VETO SWITCHGEARS AND CABLES LIMITED</t>
  </si>
  <si>
    <t>VETO</t>
  </si>
  <si>
    <t>Balmer Lawrie &amp; Co. Ltd.</t>
  </si>
  <si>
    <t>BALMLAWRIE</t>
  </si>
  <si>
    <t>Digicontent Limited</t>
  </si>
  <si>
    <t>DGCONTENT</t>
  </si>
  <si>
    <t>Jindal Poly Films Ltd.</t>
  </si>
  <si>
    <t>JINDALPOLY</t>
  </si>
  <si>
    <t>Uttam Sugar Mills Ltd</t>
  </si>
  <si>
    <t>UTTAMSUGAR</t>
  </si>
  <si>
    <t>Master Trust Ltd.</t>
  </si>
  <si>
    <t>MASTERTR</t>
  </si>
  <si>
    <t>Maharashtra Seamless Ltd.</t>
  </si>
  <si>
    <t>MAHSEAMLES</t>
  </si>
  <si>
    <t>Bombay Burmah Trading Corpn. Ltd.</t>
  </si>
  <si>
    <t>BBTC</t>
  </si>
  <si>
    <t>Sarla Performance Fibers Ltd</t>
  </si>
  <si>
    <t>SARLAPOLY</t>
  </si>
  <si>
    <t>S Chand And Company Limited</t>
  </si>
  <si>
    <t>SCHAND</t>
  </si>
  <si>
    <t>PNB Housing Finance Limited</t>
  </si>
  <si>
    <t>PNBHOUSING</t>
  </si>
  <si>
    <t>Nitin Spinners Ltd.</t>
  </si>
  <si>
    <t>NITINSPIN</t>
  </si>
  <si>
    <t>UGRO CAPITAL LIMITED</t>
  </si>
  <si>
    <t>UGROCAP</t>
  </si>
  <si>
    <t>Venus Remedies Ltd.</t>
  </si>
  <si>
    <t>VENUSREM</t>
  </si>
  <si>
    <t>20 Microns Limited</t>
  </si>
  <si>
    <t>20MICRONS</t>
  </si>
  <si>
    <t>PTC India Financial Services Limited</t>
  </si>
  <si>
    <t>PFS</t>
  </si>
  <si>
    <t>Gujarat State Petronet Ltd.</t>
  </si>
  <si>
    <t>GSPL</t>
  </si>
  <si>
    <t>DCM Shriram Industries Ltd.</t>
  </si>
  <si>
    <t>DCMSRIND</t>
  </si>
  <si>
    <t>Poddar Pigments Ltd.</t>
  </si>
  <si>
    <t>PODDARMENT</t>
  </si>
  <si>
    <t>Ambika Cotton Mills Ltd.</t>
  </si>
  <si>
    <t>AMBIKCO</t>
  </si>
  <si>
    <t>Rane Brake Lining Limited</t>
  </si>
  <si>
    <t>RBL</t>
  </si>
  <si>
    <t>Smartlink Holdings Limited</t>
  </si>
  <si>
    <t>SMARTLINK</t>
  </si>
  <si>
    <t>NAVA LIMITED</t>
  </si>
  <si>
    <t>NAVA</t>
  </si>
  <si>
    <t>Donear Industries Ltd</t>
  </si>
  <si>
    <t>DONEAR</t>
  </si>
  <si>
    <t>Hinduja Global Solutions Limited</t>
  </si>
  <si>
    <t>HGS</t>
  </si>
  <si>
    <t>Indo Borax &amp; Chemicals Ltd.</t>
  </si>
  <si>
    <t>INDOBORAX</t>
  </si>
  <si>
    <t>GSS Infotech Ltd</t>
  </si>
  <si>
    <t>GSS</t>
  </si>
  <si>
    <t>Rajshree Sugars &amp; Chemicals Ltd.</t>
  </si>
  <si>
    <t>RAJSREESUG</t>
  </si>
  <si>
    <t>Mahanagar Gas Limited</t>
  </si>
  <si>
    <t>MGL</t>
  </si>
  <si>
    <t>Gensol Engineering Limited</t>
  </si>
  <si>
    <t>GENSOL</t>
  </si>
  <si>
    <t>TANLA PLATFORMS LIMITED</t>
  </si>
  <si>
    <t>TANLA</t>
  </si>
  <si>
    <t>Talbros Automotive Components Ltd.</t>
  </si>
  <si>
    <t>TALBROAUTO</t>
  </si>
  <si>
    <t>Selan Exploration Technology Ltd.</t>
  </si>
  <si>
    <t>SELAN</t>
  </si>
  <si>
    <t>T.V.Today Network Limited</t>
  </si>
  <si>
    <t>TVTODAY</t>
  </si>
  <si>
    <t>Sukhjit Starch &amp; Chemicals Ltd.</t>
  </si>
  <si>
    <t>SUKHJITS</t>
  </si>
  <si>
    <t>VRAJ IRON AND STEEL LIMITED</t>
  </si>
  <si>
    <t>VRAJ</t>
  </si>
  <si>
    <t>Seshasayee Paper &amp; Boards Ltd.</t>
  </si>
  <si>
    <t>SESHAPAPER</t>
  </si>
  <si>
    <t>Patel Engineering Ltd</t>
  </si>
  <si>
    <t>PATELENG</t>
  </si>
  <si>
    <t>Vaswani Industries Limited</t>
  </si>
  <si>
    <t>VASWANI</t>
  </si>
  <si>
    <t>SKM Egg Products Exports (India) Lt</t>
  </si>
  <si>
    <t>SKMEGGPROD</t>
  </si>
  <si>
    <t>LT Foods Limited</t>
  </si>
  <si>
    <t>LTFOODS</t>
  </si>
  <si>
    <t>DAM Capital Advisors Limited</t>
  </si>
  <si>
    <t>DAMCAPITAL</t>
  </si>
  <si>
    <t>ICICI Securities Limited</t>
  </si>
  <si>
    <t>ISEC</t>
  </si>
  <si>
    <t>Kriti Nutrients Ltd</t>
  </si>
  <si>
    <t>KRITINUT</t>
  </si>
  <si>
    <t>Gujarat Mineral Development Corpora</t>
  </si>
  <si>
    <t>GMDCLTD</t>
  </si>
  <si>
    <t>Gujarat Industries Power Co. Ltd</t>
  </si>
  <si>
    <t>GIPCL</t>
  </si>
  <si>
    <t>Mangalore Chemicals &amp; Fertilisers L</t>
  </si>
  <si>
    <t>MANGCHEFER</t>
  </si>
  <si>
    <t>Agarwal Industrial Corporation Limited</t>
  </si>
  <si>
    <t>AGARIND</t>
  </si>
  <si>
    <t>Manappuram Finance Limited</t>
  </si>
  <si>
    <t>Maheshwari Logistics Ltd.</t>
  </si>
  <si>
    <t>MAHESHWARI</t>
  </si>
  <si>
    <t>BCL INDUSTRIES LIMITED</t>
  </si>
  <si>
    <t>BCLIND</t>
  </si>
  <si>
    <t>Lincoln Pharmaceuticals ltd.</t>
  </si>
  <si>
    <t>LINCOLN</t>
  </si>
  <si>
    <t>Albert David Ltd.</t>
  </si>
  <si>
    <t>ALBERTDAVD</t>
  </si>
  <si>
    <t>ANDHRA PAPER LIMITED</t>
  </si>
  <si>
    <t>ANDHRAPAP</t>
  </si>
  <si>
    <t>Dilip Buildcon Limited</t>
  </si>
  <si>
    <t>DBL</t>
  </si>
  <si>
    <t>Gandhi Special Tubes Ltd.</t>
  </si>
  <si>
    <t>GANDHITUBE</t>
  </si>
  <si>
    <t>Hindustan Construction Co. Ltd.</t>
  </si>
  <si>
    <t>HCC</t>
  </si>
  <si>
    <t>SUN TV NETWORK LIMITED</t>
  </si>
  <si>
    <t>SUNTV</t>
  </si>
  <si>
    <t>CREST VENTURES LIMITED</t>
  </si>
  <si>
    <t>CREST</t>
  </si>
  <si>
    <t>Jayant Agro-Organics Limited.</t>
  </si>
  <si>
    <t>JAYAGROGN</t>
  </si>
  <si>
    <t>H.G. Infra Engineering Limited</t>
  </si>
  <si>
    <t>HGINFRA</t>
  </si>
  <si>
    <t>Federal-Mogul Goetze (India) Ltd</t>
  </si>
  <si>
    <t>FMGOETZE</t>
  </si>
  <si>
    <t>WHEELS INDIA LTD</t>
  </si>
  <si>
    <t>WHEELS</t>
  </si>
  <si>
    <t>Gujarat State Fertilizers &amp; Chem.Ltd</t>
  </si>
  <si>
    <t>GSFC</t>
  </si>
  <si>
    <t>Munjal Auto Industries Ltd.</t>
  </si>
  <si>
    <t>MUNJALAU</t>
  </si>
  <si>
    <t>Tolins Tyres Limited</t>
  </si>
  <si>
    <t>TOLINS</t>
  </si>
  <si>
    <t>Insecticides India Ltd.</t>
  </si>
  <si>
    <t>INSECTICID</t>
  </si>
  <si>
    <t>G N A Axles Limited</t>
  </si>
  <si>
    <t>GNA</t>
  </si>
  <si>
    <t>TRF Ltd</t>
  </si>
  <si>
    <t>TRF</t>
  </si>
  <si>
    <t>Intrasoft Technologies Limited</t>
  </si>
  <si>
    <t>ISFT</t>
  </si>
  <si>
    <t>Adroit Infotech Limited</t>
  </si>
  <si>
    <t>ADROITINFO</t>
  </si>
  <si>
    <t>SHREE TIRUPATI BALAJEE AGRO TRADING COMPANY LIMITED</t>
  </si>
  <si>
    <t>BALAJEE</t>
  </si>
  <si>
    <t>GeeCee Ventures Limited</t>
  </si>
  <si>
    <t>GEECEE</t>
  </si>
  <si>
    <t>THOMAS SCOTT (INDIA) LIMITED</t>
  </si>
  <si>
    <t>THOMASCOTT</t>
  </si>
  <si>
    <t>Ramky Infrastructure Limited</t>
  </si>
  <si>
    <t>RAMKY</t>
  </si>
  <si>
    <t>CESC Limited</t>
  </si>
  <si>
    <t>CESC</t>
  </si>
  <si>
    <t>Precot Ltd.</t>
  </si>
  <si>
    <t>PRECOT</t>
  </si>
  <si>
    <t>Mangalam Drugs and Organics Ltd.</t>
  </si>
  <si>
    <t>MANGALAM</t>
  </si>
  <si>
    <t>INVENTURE GROWTH &amp; SECURITIES LIMITED</t>
  </si>
  <si>
    <t>INVENTURE</t>
  </si>
  <si>
    <t>Silgo Retail Ltd.</t>
  </si>
  <si>
    <t>SILGO</t>
  </si>
  <si>
    <t>GACM Technologies Limited</t>
  </si>
  <si>
    <t>GATECH</t>
  </si>
  <si>
    <t>Ratnaveer Precision Engineering Limited</t>
  </si>
  <si>
    <t>RATNAVEER</t>
  </si>
  <si>
    <t>D.P. WIRES LIMITED</t>
  </si>
  <si>
    <t>DPWIRES</t>
  </si>
  <si>
    <t>Superhouse limited</t>
  </si>
  <si>
    <t>SUPERHOUSE</t>
  </si>
  <si>
    <t>Vardhman Textiles Limted</t>
  </si>
  <si>
    <t>VTL</t>
  </si>
  <si>
    <t>Shradha Infraprojects Ltd.</t>
  </si>
  <si>
    <t>SHRADHA</t>
  </si>
  <si>
    <t>Kellton Tech Solutions Ltd.</t>
  </si>
  <si>
    <t>KELLTONTEC</t>
  </si>
  <si>
    <t>Signet Industries Limited</t>
  </si>
  <si>
    <t>SIGIND</t>
  </si>
  <si>
    <t>J. Kumar Infraprojects Limited</t>
  </si>
  <si>
    <t>JKIL</t>
  </si>
  <si>
    <t>Radiant Cash Management Services Limited</t>
  </si>
  <si>
    <t>RADIANTCMS</t>
  </si>
  <si>
    <t>Godha Cabcon &amp; Insulation Ltd.</t>
  </si>
  <si>
    <t>GODHA</t>
  </si>
  <si>
    <t>Beardsell Ltd.</t>
  </si>
  <si>
    <t>BEARDSELL</t>
  </si>
  <si>
    <t>JK Tyre &amp; Industries Ltd.</t>
  </si>
  <si>
    <t>JKTYRE</t>
  </si>
  <si>
    <t>Credo Brands Marketing Limited</t>
  </si>
  <si>
    <t>MUFTI</t>
  </si>
  <si>
    <t>Creative Newtech Ltd.</t>
  </si>
  <si>
    <t>CREATIVE</t>
  </si>
  <si>
    <t>Ceigall India Limited</t>
  </si>
  <si>
    <t>CEIGALL</t>
  </si>
  <si>
    <t>L.g.Balkrishnan &amp; Bros. Ltd.</t>
  </si>
  <si>
    <t>LGBBROSLTD</t>
  </si>
  <si>
    <t>Capacit'e Infraprojects Limited</t>
  </si>
  <si>
    <t>CAPACITE</t>
  </si>
  <si>
    <t>VST Industries Ltd.</t>
  </si>
  <si>
    <t>VSTIND</t>
  </si>
  <si>
    <t>Just Dial Limited</t>
  </si>
  <si>
    <t>JUSTDIAL</t>
  </si>
  <si>
    <t>GODAWARI POWER AND ISPAT LTD.</t>
  </si>
  <si>
    <t>GPIL</t>
  </si>
  <si>
    <t>Arrow Greentech Limited</t>
  </si>
  <si>
    <t>ARROWGREEN</t>
  </si>
  <si>
    <t>Ganesh Benzoplast Ltd.</t>
  </si>
  <si>
    <t>GANESHBE</t>
  </si>
  <si>
    <t>Sanghvi Movers Ltd.</t>
  </si>
  <si>
    <t>SANGHVIMOV</t>
  </si>
  <si>
    <t>Patel Integrated Logistics Ltd</t>
  </si>
  <si>
    <t>PATINTLOG</t>
  </si>
  <si>
    <t>IVP Ltd.</t>
  </si>
  <si>
    <t>IVP</t>
  </si>
  <si>
    <t>AIRAN LIMITED</t>
  </si>
  <si>
    <t>AIRAN</t>
  </si>
  <si>
    <t>IG Petrochemicals Ltd</t>
  </si>
  <si>
    <t>IGPL</t>
  </si>
  <si>
    <t>Finolex Industries Ltd.</t>
  </si>
  <si>
    <t>FINPIPE</t>
  </si>
  <si>
    <t>SAHYADRI INDUSTRIES LTD.</t>
  </si>
  <si>
    <t>SAHYADRI</t>
  </si>
  <si>
    <t>Rubfila International Ltd.</t>
  </si>
  <si>
    <t>RUBFILA</t>
  </si>
  <si>
    <t>Filatex India Ltd.</t>
  </si>
  <si>
    <t>FILATEX</t>
  </si>
  <si>
    <t>ANGEL ONE LIMITED</t>
  </si>
  <si>
    <t>ANGELONE</t>
  </si>
  <si>
    <t>Welspun Corp Limited</t>
  </si>
  <si>
    <t>WELCORP</t>
  </si>
  <si>
    <t>Chambal Fertilisers &amp; Chemicals Ltd</t>
  </si>
  <si>
    <t>CHAMBLFERT</t>
  </si>
  <si>
    <t>Kothari Petrochem Ltd.</t>
  </si>
  <si>
    <t>KOTHARIPET</t>
  </si>
  <si>
    <t>Hindustan Oil Exploration Co. Ltd.</t>
  </si>
  <si>
    <t>HINDOILEXP</t>
  </si>
  <si>
    <t>D-Link (India) Ltd</t>
  </si>
  <si>
    <t>DLINKINDIA</t>
  </si>
  <si>
    <t>Intense Technologies</t>
  </si>
  <si>
    <t>INTENTECH</t>
  </si>
  <si>
    <t>Mahalaxmi Rubtech Ltd.</t>
  </si>
  <si>
    <t>MHLXMIRU</t>
  </si>
  <si>
    <t>KRBL Ltd.</t>
  </si>
  <si>
    <t>KRBL</t>
  </si>
  <si>
    <t>Arman Financial Services Limited</t>
  </si>
  <si>
    <t>ARMANFIN</t>
  </si>
  <si>
    <t>Gujarat Narmada Valley Fert.Co.Ltd</t>
  </si>
  <si>
    <t>GNFC</t>
  </si>
  <si>
    <t>Sharda Motor Industries Ltd</t>
  </si>
  <si>
    <t>SHARDAMOTR</t>
  </si>
  <si>
    <t>Ducon Infratechnologies Limited</t>
  </si>
  <si>
    <t>DUCON</t>
  </si>
  <si>
    <t>Kopran Ltd.</t>
  </si>
  <si>
    <t>KOPRAN</t>
  </si>
  <si>
    <t>Niraj Cement Structurals Limited</t>
  </si>
  <si>
    <t>NIRAJ</t>
  </si>
  <si>
    <t>M.M.Forgings Ltd.</t>
  </si>
  <si>
    <t>MMFL</t>
  </si>
  <si>
    <t>NCC Limited</t>
  </si>
  <si>
    <t>NCC</t>
  </si>
  <si>
    <t>Suraj Estate Developers Limited</t>
  </si>
  <si>
    <t>SURAJEST</t>
  </si>
  <si>
    <t>TruCap Finance Limited</t>
  </si>
  <si>
    <t>TRU</t>
  </si>
  <si>
    <t>UTKARSH SMALL FINANCE BANK LIMITED</t>
  </si>
  <si>
    <t>UTKARSHBNK</t>
  </si>
  <si>
    <t>Everest Kanto Cylinders Ltd.</t>
  </si>
  <si>
    <t>EKC</t>
  </si>
  <si>
    <t>Indbank Merchant Banking Services L</t>
  </si>
  <si>
    <t>INDBANK</t>
  </si>
  <si>
    <t>CHOLAMANDALAM FINANCIAL HOLDINGS LIMITED</t>
  </si>
  <si>
    <t>CHOLAHLDNG</t>
  </si>
  <si>
    <t>AMJ LAND HOLDINGS LIMITED</t>
  </si>
  <si>
    <t>AMJLAND</t>
  </si>
  <si>
    <t>Tamilnadu Petroproducts Ltd</t>
  </si>
  <si>
    <t>TNPETRO</t>
  </si>
  <si>
    <t>Kalyani Steels Ltd</t>
  </si>
  <si>
    <t>KSL</t>
  </si>
  <si>
    <t>Century Enka Ltd.</t>
  </si>
  <si>
    <t>CENTENKA</t>
  </si>
  <si>
    <t>Tourism Finance Corpn. Of India Ltd</t>
  </si>
  <si>
    <t>TFCILTD</t>
  </si>
  <si>
    <t>Goodluck India Limited</t>
  </si>
  <si>
    <t>GOODLUCK</t>
  </si>
  <si>
    <t>Plastiblends India Ltd.</t>
  </si>
  <si>
    <t>PLASTIBLEN</t>
  </si>
  <si>
    <t>Chaman Lal Setia Exports Ltd.</t>
  </si>
  <si>
    <t>CLSEL</t>
  </si>
  <si>
    <t>Gokul Agro Resources Ltd</t>
  </si>
  <si>
    <t>GOKULAGRO</t>
  </si>
  <si>
    <t>SIL Investments Ltd</t>
  </si>
  <si>
    <t>SILINV</t>
  </si>
  <si>
    <t>MAS Financial Services Limited</t>
  </si>
  <si>
    <t>MASFIN</t>
  </si>
  <si>
    <t>UTI Asset Management Company Limited</t>
  </si>
  <si>
    <t>UTIAMC</t>
  </si>
  <si>
    <t>Hindustan Media Ventures Limited</t>
  </si>
  <si>
    <t>HMVL</t>
  </si>
  <si>
    <t>Worth Peripherals Ltd.</t>
  </si>
  <si>
    <t>WORTH</t>
  </si>
  <si>
    <t>Bhansali Engineering Polymers Ltd.</t>
  </si>
  <si>
    <t>BEPL</t>
  </si>
  <si>
    <t>INDIA MOTOR PARTS &amp; ACCESSORIES LTD</t>
  </si>
  <si>
    <t>IMPAL</t>
  </si>
  <si>
    <t>Inspirisys Solutions Limited</t>
  </si>
  <si>
    <t>INSPIRISYS</t>
  </si>
  <si>
    <t>SARASWATI SAREE DEPOT LIMITED</t>
  </si>
  <si>
    <t>SSDL</t>
  </si>
  <si>
    <t>Ahluwalia Contracts (India) Ltd</t>
  </si>
  <si>
    <t>AHLUCONT</t>
  </si>
  <si>
    <t>PAISALO DIGITAL LIMITED</t>
  </si>
  <si>
    <t>PAISALO</t>
  </si>
  <si>
    <t>Nova Agritech Limited</t>
  </si>
  <si>
    <t>NOVAAGRI</t>
  </si>
  <si>
    <t>Nahar Polyfilms Ltd.</t>
  </si>
  <si>
    <t>NAHARPOLY</t>
  </si>
  <si>
    <t>SML ISUZU LIMITED</t>
  </si>
  <si>
    <t>SMLISUZU</t>
  </si>
  <si>
    <t>Mayur Uniquoters ltd.</t>
  </si>
  <si>
    <t>MAYURUNIQ</t>
  </si>
  <si>
    <t>Emami Paper Mills Ltd.</t>
  </si>
  <si>
    <t>EMAMIPAP</t>
  </si>
  <si>
    <t>Aarvi Encon Ltd.</t>
  </si>
  <si>
    <t>AARVI</t>
  </si>
  <si>
    <t>Monarch Networth Capital Limited</t>
  </si>
  <si>
    <t>MONARCH</t>
  </si>
  <si>
    <t>Excell Industries Ltd.</t>
  </si>
  <si>
    <t>EXCELINDUS</t>
  </si>
  <si>
    <t>E.I.D. Parry (India) Ltd.</t>
  </si>
  <si>
    <t>EIDPARRY</t>
  </si>
  <si>
    <t>K.C.P. LTD</t>
  </si>
  <si>
    <t>KCP</t>
  </si>
  <si>
    <t>GHCL Textiles Limited</t>
  </si>
  <si>
    <t>GHCLTEXTIL</t>
  </si>
  <si>
    <t>Updater Services Limited</t>
  </si>
  <si>
    <t>UDS</t>
  </si>
  <si>
    <t>Hercules Hoists Ltd.</t>
  </si>
  <si>
    <t>HERCULES</t>
  </si>
  <si>
    <t>Oswal Greentech Limited</t>
  </si>
  <si>
    <t>OSWALGREEN</t>
  </si>
  <si>
    <t>Dhampur Sugar Mills Ltd.</t>
  </si>
  <si>
    <t>DHAMPURSUG</t>
  </si>
  <si>
    <t>Fedbank Financial Services Limited</t>
  </si>
  <si>
    <t>FEDFINA</t>
  </si>
  <si>
    <t>Nagreeka Exports Ltd.</t>
  </si>
  <si>
    <t>NAGREEKEXP</t>
  </si>
  <si>
    <t>SMS Lifesciences India Ltd</t>
  </si>
  <si>
    <t>SMSLIFE</t>
  </si>
  <si>
    <t>MMP Industries Ltd.</t>
  </si>
  <si>
    <t>MMP</t>
  </si>
  <si>
    <t>Redington Limited</t>
  </si>
  <si>
    <t>REDINGTON</t>
  </si>
  <si>
    <t>Lagnam Spintex Ltd.</t>
  </si>
  <si>
    <t>LAGNAM</t>
  </si>
  <si>
    <t>Lambodhara Textiles Ltd.</t>
  </si>
  <si>
    <t>LAMBODHARA</t>
  </si>
  <si>
    <t>DEV INFORMATION TECHNOLOGY LIMITED</t>
  </si>
  <si>
    <t>DEVIT</t>
  </si>
  <si>
    <t>Wanbury Limited</t>
  </si>
  <si>
    <t>WANBURY</t>
  </si>
  <si>
    <t>SIGMA SOLVE LIMITED</t>
  </si>
  <si>
    <t>SIGMA</t>
  </si>
  <si>
    <t>Delta Corp Limited</t>
  </si>
  <si>
    <t>DELTACORP</t>
  </si>
  <si>
    <t>Edelweiss Financial Services Ltd.</t>
  </si>
  <si>
    <t>EDELWEISS</t>
  </si>
  <si>
    <t>Vardhman Special Steels Ltd</t>
  </si>
  <si>
    <t>VSSL</t>
  </si>
  <si>
    <t>Bhandari Hosiery Exports Ltd.</t>
  </si>
  <si>
    <t>BHANDARI</t>
  </si>
  <si>
    <t>Sandur Manganese &amp; Iron Ores Ltd.</t>
  </si>
  <si>
    <t>SANDUMA</t>
  </si>
  <si>
    <t>National Fertilizers Ltd.</t>
  </si>
  <si>
    <t>NFL</t>
  </si>
  <si>
    <t>Mukand Ltd.</t>
  </si>
  <si>
    <t>MUKANDLTD</t>
  </si>
  <si>
    <t>Manomay Tex India Limited</t>
  </si>
  <si>
    <t>MANOMAY</t>
  </si>
  <si>
    <t>Osia Hyper Retail Ltd.</t>
  </si>
  <si>
    <t>OSIAHYPER</t>
  </si>
  <si>
    <t>AGI GREENPAC LIMITED</t>
  </si>
  <si>
    <t>AGI</t>
  </si>
  <si>
    <t>EXPLEO SOLUTIONS LIMITED</t>
  </si>
  <si>
    <t>EXPLEOSOL</t>
  </si>
  <si>
    <t>GPT Infraprojects limited</t>
  </si>
  <si>
    <t>GPTINFRA</t>
  </si>
  <si>
    <t>Nucleus Software Exports Ltd</t>
  </si>
  <si>
    <t>NUCLEUS</t>
  </si>
  <si>
    <t>Kamdhenu Limited</t>
  </si>
  <si>
    <t>KAMDHENU</t>
  </si>
  <si>
    <t>Damodar Industries Limited</t>
  </si>
  <si>
    <t>DAMODARIND</t>
  </si>
  <si>
    <t>Likhitha Infrastructure Limited</t>
  </si>
  <si>
    <t>LIKHITHA</t>
  </si>
  <si>
    <t>PTL Enterprises Ltd</t>
  </si>
  <si>
    <t>PTL</t>
  </si>
  <si>
    <t>Bharat Wire Ropes Limited</t>
  </si>
  <si>
    <t>BHARATWIRE</t>
  </si>
  <si>
    <t>ARKADE DEVELOPERS LIMITED</t>
  </si>
  <si>
    <t>ARKADE</t>
  </si>
  <si>
    <t>Uniparts India Limited</t>
  </si>
  <si>
    <t>UNIPARTS</t>
  </si>
  <si>
    <t>Ganesh Housing Corporation Ltd.</t>
  </si>
  <si>
    <t>GANESHHOUC</t>
  </si>
  <si>
    <t>Man Industries (India) Ltd</t>
  </si>
  <si>
    <t>MANINDS</t>
  </si>
  <si>
    <t>Deepak Fertilizers &amp;Petrochemicals</t>
  </si>
  <si>
    <t>DEEPAKFERT</t>
  </si>
  <si>
    <t>Cybertech Systems and Software Ltd.</t>
  </si>
  <si>
    <t>CYBERTECH</t>
  </si>
  <si>
    <t>Jamna Auto Industries Ltd.</t>
  </si>
  <si>
    <t>JAMNAAUTO</t>
  </si>
  <si>
    <t>Gujarat Ambuja Exports Ltd.</t>
  </si>
  <si>
    <t>GAEL</t>
  </si>
  <si>
    <t>LORENZINI APPARELS LIMITED</t>
  </si>
  <si>
    <t>LAL</t>
  </si>
  <si>
    <t>Indo Amines Ltd.</t>
  </si>
  <si>
    <t>INDOAMIN</t>
  </si>
  <si>
    <t>Automotive Axles Ltd.</t>
  </si>
  <si>
    <t>AUTOAXLES</t>
  </si>
  <si>
    <t>HOV Services Limited</t>
  </si>
  <si>
    <t>HOVS</t>
  </si>
  <si>
    <t>Oswal Agro Mills Ltd.</t>
  </si>
  <si>
    <t>OSWALAGRO</t>
  </si>
  <si>
    <t>Siyaram Silk Mills Ltd.</t>
  </si>
  <si>
    <t>SIYSIL</t>
  </si>
  <si>
    <t>Tribhovandas Bhimji Zaveri Limited</t>
  </si>
  <si>
    <t>TBZ</t>
  </si>
  <si>
    <t>Nesco Ltd</t>
  </si>
  <si>
    <t>NESCO</t>
  </si>
  <si>
    <t>Atam Valves Limited</t>
  </si>
  <si>
    <t>ATAM</t>
  </si>
  <si>
    <t>LINC LIMITED</t>
  </si>
  <si>
    <t>LINC</t>
  </si>
  <si>
    <t>Ruby Mills Ltd.</t>
  </si>
  <si>
    <t>RUBYMILLS</t>
  </si>
  <si>
    <t>Kansai Nerolac Paints</t>
  </si>
  <si>
    <t>KANSAINER</t>
  </si>
  <si>
    <t>Anuh Pharma Ltd.</t>
  </si>
  <si>
    <t>ANUHPHR</t>
  </si>
  <si>
    <t>Innovana Thinklabs Limited</t>
  </si>
  <si>
    <t>INNOVANA</t>
  </si>
  <si>
    <t>Munjal Showa Ltd.</t>
  </si>
  <si>
    <t>MUNJALSHOW</t>
  </si>
  <si>
    <t>Allcargo Terminals Limited</t>
  </si>
  <si>
    <t>ATL</t>
  </si>
  <si>
    <t>Himatsingka Seide Ltd.</t>
  </si>
  <si>
    <t>HIMATSEIDE</t>
  </si>
  <si>
    <t>Hindustan Motors Ltd.</t>
  </si>
  <si>
    <t>HINDMOTORS</t>
  </si>
  <si>
    <t>India Glycols Ltd</t>
  </si>
  <si>
    <t>INDIAGLYCO</t>
  </si>
  <si>
    <t>Suyog Telematics Limited</t>
  </si>
  <si>
    <t>SUYOG</t>
  </si>
  <si>
    <t>Swan Energy Ltd.</t>
  </si>
  <si>
    <t>SWANENERGY</t>
  </si>
  <si>
    <t>Banco Products (India) Ltd.</t>
  </si>
  <si>
    <t>BANCOINDIA</t>
  </si>
  <si>
    <t>MANGALAM GLOBAL ENTERPRISE LIMITED</t>
  </si>
  <si>
    <t>MGEL</t>
  </si>
  <si>
    <t>RATTANINDIA ENTERPRISES LIMITED</t>
  </si>
  <si>
    <t>RTNINDIA</t>
  </si>
  <si>
    <t>Monte Carlo Fashions Limited</t>
  </si>
  <si>
    <t>MONTECARLO</t>
  </si>
  <si>
    <t>Avonmore Capital &amp; Management Services Limited</t>
  </si>
  <si>
    <t>AVONMORE</t>
  </si>
  <si>
    <t>SRG Housing Finance Limited</t>
  </si>
  <si>
    <t>SRGHFL</t>
  </si>
  <si>
    <t>Pioneer Embroideries Ltd.</t>
  </si>
  <si>
    <t>PIONEEREMB</t>
  </si>
  <si>
    <t>Lumax Industries Ltd.</t>
  </si>
  <si>
    <t>LUMAXIND</t>
  </si>
  <si>
    <t>BF Utilities Ltd.</t>
  </si>
  <si>
    <t>BFUTILITIE</t>
  </si>
  <si>
    <t>Indo Count Industries Ltd</t>
  </si>
  <si>
    <t>ICIL</t>
  </si>
  <si>
    <t>Indian Hume Pipe Co. Ltd.</t>
  </si>
  <si>
    <t>INDIANHUME</t>
  </si>
  <si>
    <t>SHEETAL COOL PRODUCTS LIMITED</t>
  </si>
  <si>
    <t>SCPL</t>
  </si>
  <si>
    <t>Madhav Copper Ltd.</t>
  </si>
  <si>
    <t>MCL</t>
  </si>
  <si>
    <t>Cords Cable Industries Limited</t>
  </si>
  <si>
    <t>CORDSCABLE</t>
  </si>
  <si>
    <t>Sat Industries Ltd</t>
  </si>
  <si>
    <t>SATINDLTD</t>
  </si>
  <si>
    <t>AUTOLINE INDUSTRIES LTD.</t>
  </si>
  <si>
    <t>AUTOIND</t>
  </si>
  <si>
    <t>Rushil Decor Limited</t>
  </si>
  <si>
    <t>RUSHIL</t>
  </si>
  <si>
    <t>Datamatics Global Services Limited</t>
  </si>
  <si>
    <t>DATAMATICS</t>
  </si>
  <si>
    <t>Shriram Pistons &amp; Rings Ltd.</t>
  </si>
  <si>
    <t>SHRIPISTON</t>
  </si>
  <si>
    <t>Sandhar Technologies Limited</t>
  </si>
  <si>
    <t>SANDHAR</t>
  </si>
  <si>
    <t>Gulf Oil Lubricants India Limited</t>
  </si>
  <si>
    <t>GULFOILLUB</t>
  </si>
  <si>
    <t>VEEDOL CORPORATION LIMITED</t>
  </si>
  <si>
    <t>VEEDOL</t>
  </si>
  <si>
    <t>T T Ltd</t>
  </si>
  <si>
    <t>TTL</t>
  </si>
  <si>
    <t>DIGIDRIVE DISTRIBUTORS LIMITED</t>
  </si>
  <si>
    <t>DIGIDRIVE</t>
  </si>
  <si>
    <t>Generic Engineering Construction and Projects Limited</t>
  </si>
  <si>
    <t>GENCON</t>
  </si>
  <si>
    <t>Industrial Investment Trust Ltd.</t>
  </si>
  <si>
    <t>IITL</t>
  </si>
  <si>
    <t>Mukka Proteins Limited</t>
  </si>
  <si>
    <t>MUKKA</t>
  </si>
  <si>
    <t>BALAXI PHARMACEUTICALS LTD.</t>
  </si>
  <si>
    <t>BALAXI</t>
  </si>
  <si>
    <t>BSL Ltd.</t>
  </si>
  <si>
    <t>BSL</t>
  </si>
  <si>
    <t>Touchwood Entertainment Ltd.</t>
  </si>
  <si>
    <t>TOUCHWOOD</t>
  </si>
  <si>
    <t>India Nippon Electricals Ltd</t>
  </si>
  <si>
    <t>INDNIPPON</t>
  </si>
  <si>
    <t>CreditAccess Grameen Ltd.</t>
  </si>
  <si>
    <t>CREDITACC</t>
  </si>
  <si>
    <t>Dharmaj Crop Guard Limited</t>
  </si>
  <si>
    <t>DHARMAJ</t>
  </si>
  <si>
    <t>HUHTAMAKI INDIA LIMITED</t>
  </si>
  <si>
    <t>HUHTAMAKI</t>
  </si>
  <si>
    <t>Uma Exports Limited</t>
  </si>
  <si>
    <t>UMAEXPORTS</t>
  </si>
  <si>
    <t>Manba Finance Limited</t>
  </si>
  <si>
    <t>MANBA</t>
  </si>
  <si>
    <t>Aakash Exploration Services Ltd.</t>
  </si>
  <si>
    <t>AAKASH</t>
  </si>
  <si>
    <t>UFO Moviez India Limited</t>
  </si>
  <si>
    <t>UFO</t>
  </si>
  <si>
    <t>Kaveri Seed Company Ltd</t>
  </si>
  <si>
    <t>KSCL</t>
  </si>
  <si>
    <t>Mold-Tek Technologies Ltd</t>
  </si>
  <si>
    <t>MOLDTECH</t>
  </si>
  <si>
    <t>Udayshivakumar infra Limited</t>
  </si>
  <si>
    <t>USK</t>
  </si>
  <si>
    <t>BLB Limited</t>
  </si>
  <si>
    <t>BLBLIMITED</t>
  </si>
  <si>
    <t>BAJAJ CONSUMER CARE LIMITED</t>
  </si>
  <si>
    <t>BAJAJCON</t>
  </si>
  <si>
    <t>RENAISSANCE GLOBAL LIMITED</t>
  </si>
  <si>
    <t>RGL</t>
  </si>
  <si>
    <t>5paisa Capital Limited</t>
  </si>
  <si>
    <t>5PAISA</t>
  </si>
  <si>
    <t>RBZ Jewellers Limited</t>
  </si>
  <si>
    <t>RBZJEWEL</t>
  </si>
  <si>
    <t>Nila Infrastructures Ltd</t>
  </si>
  <si>
    <t>NILAINFRA</t>
  </si>
  <si>
    <t>Polyplex Corporation Ltd.</t>
  </si>
  <si>
    <t>POLYPLEX</t>
  </si>
  <si>
    <t>Kothari Sugars &amp; Chemicals Ltd.</t>
  </si>
  <si>
    <t>KOTARISUG</t>
  </si>
  <si>
    <t>Salona Cotspin Ltd.</t>
  </si>
  <si>
    <t>SALONA</t>
  </si>
  <si>
    <t>Hindustan Composites Ltd</t>
  </si>
  <si>
    <t>HINDCOMPOS</t>
  </si>
  <si>
    <t>Route Mobile Limited</t>
  </si>
  <si>
    <t>ROUTE</t>
  </si>
  <si>
    <t>Gandhar Oil Refinery (India) Limited</t>
  </si>
  <si>
    <t>GANDHAR</t>
  </si>
  <si>
    <t>EIMCO Elecon India Ltd.</t>
  </si>
  <si>
    <t>EIMCOELECO</t>
  </si>
  <si>
    <t>Finolex Cables Ltd.</t>
  </si>
  <si>
    <t>FINCABLES</t>
  </si>
  <si>
    <t>Shree Pushkar Chemicals &amp; Fertilisers Limited</t>
  </si>
  <si>
    <t>SHREEPUSHK</t>
  </si>
  <si>
    <t>Pix Transmissions Ltd.</t>
  </si>
  <si>
    <t>PIXTRANS</t>
  </si>
  <si>
    <t>CIE Automotive India Limited</t>
  </si>
  <si>
    <t>CIEINDIA</t>
  </si>
  <si>
    <t>NRB Bearings Ltd.</t>
  </si>
  <si>
    <t>NRBBEARING</t>
  </si>
  <si>
    <t>Bal Pharma Ltd.</t>
  </si>
  <si>
    <t>BALPHARMA</t>
  </si>
  <si>
    <t>Tembo Global Industries Ltd.</t>
  </si>
  <si>
    <t>TEMBO</t>
  </si>
  <si>
    <t>ACME Solar Holdings Limited</t>
  </si>
  <si>
    <t>ACMESOLAR</t>
  </si>
  <si>
    <t>Banswara Syntex Ltd.</t>
  </si>
  <si>
    <t>BANSWRAS</t>
  </si>
  <si>
    <t>Ritco Logistics Limited</t>
  </si>
  <si>
    <t>RITCO</t>
  </si>
  <si>
    <t>IRCON International Ltd</t>
  </si>
  <si>
    <t>IRCON</t>
  </si>
  <si>
    <t>Bedmutha Industries Limited</t>
  </si>
  <si>
    <t>BEDMUTHA</t>
  </si>
  <si>
    <t>MOIL Limited</t>
  </si>
  <si>
    <t>MOIL</t>
  </si>
  <si>
    <t>Paradeep Phosphates Limited</t>
  </si>
  <si>
    <t>PARADEEP</t>
  </si>
  <si>
    <t>Radhika Jeweltech Limited</t>
  </si>
  <si>
    <t>RADHIKAJWE</t>
  </si>
  <si>
    <t>Kirloskar Oil Engines Limited</t>
  </si>
  <si>
    <t>KIRLOSENG</t>
  </si>
  <si>
    <t>Flair Writing Industries Limited</t>
  </si>
  <si>
    <t>FLAIR</t>
  </si>
  <si>
    <t>Hariom Pipe Industries Limited</t>
  </si>
  <si>
    <t>HARIOMPIPE</t>
  </si>
  <si>
    <t>Dhanuka Agritech Ltd.</t>
  </si>
  <si>
    <t>DHANUKA</t>
  </si>
  <si>
    <t>DB(INTERNATIONAL)Stock Brokers Ltd</t>
  </si>
  <si>
    <t>DBSTOCKBRO</t>
  </si>
  <si>
    <t>Shankara Building Products Limited</t>
  </si>
  <si>
    <t>SHANKARA</t>
  </si>
  <si>
    <t>Gujarat Pipavav Port Limited</t>
  </si>
  <si>
    <t>GPPL</t>
  </si>
  <si>
    <t>Venky's (India) ltd.</t>
  </si>
  <si>
    <t>VENKEYS</t>
  </si>
  <si>
    <t>THE INVESTMENT TRUST OF INDIA LIMITED</t>
  </si>
  <si>
    <t>THEINVEST</t>
  </si>
  <si>
    <t>Paramount Communications Ltd.</t>
  </si>
  <si>
    <t>PARACABLES</t>
  </si>
  <si>
    <t>Graphite India Ltd.</t>
  </si>
  <si>
    <t>GRAPHITE</t>
  </si>
  <si>
    <t>Alankit Limited</t>
  </si>
  <si>
    <t>ALANKIT</t>
  </si>
  <si>
    <t>S.P. Apparels Limited</t>
  </si>
  <si>
    <t>SPAL</t>
  </si>
  <si>
    <t>Aarey Drugs &amp; Pharmaceuticals Ltd</t>
  </si>
  <si>
    <t>AAREYDRUGS</t>
  </si>
  <si>
    <t>Rajdarshan Industries Ltd.</t>
  </si>
  <si>
    <t>ARENTERP</t>
  </si>
  <si>
    <t>GVP Infotech Ltd.</t>
  </si>
  <si>
    <t>GVPTECH</t>
  </si>
  <si>
    <t>Ambica Agarbathies &amp; Aroma Ind. Ltd.</t>
  </si>
  <si>
    <t>AMBICAAGAR</t>
  </si>
  <si>
    <t>EMS LIMITED</t>
  </si>
  <si>
    <t>EMSLIMITED</t>
  </si>
  <si>
    <t>Heritage Foods Limited</t>
  </si>
  <si>
    <t>HERITGFOOD</t>
  </si>
  <si>
    <t>Mastek Limited</t>
  </si>
  <si>
    <t>MASTEK</t>
  </si>
  <si>
    <t>Power &amp; Instrumentation (Gujarat) Limited</t>
  </si>
  <si>
    <t>PIGL</t>
  </si>
  <si>
    <t>Teamo Productions HQ Limited</t>
  </si>
  <si>
    <t>TPHQ</t>
  </si>
  <si>
    <t>SRM CONTRACTORS LIMITED</t>
  </si>
  <si>
    <t>SRM</t>
  </si>
  <si>
    <t>Surya Roshni Ltd.</t>
  </si>
  <si>
    <t>SURYAROSNI</t>
  </si>
  <si>
    <t>State Trading Corporation of India</t>
  </si>
  <si>
    <t>STCINDIA</t>
  </si>
  <si>
    <t>FIEM INDUSTRIES LIMITED</t>
  </si>
  <si>
    <t>FIEMIND</t>
  </si>
  <si>
    <t>Parag Milk Foods Limited</t>
  </si>
  <si>
    <t>PARAGMILK</t>
  </si>
  <si>
    <t>J.G.Chemicals Limited</t>
  </si>
  <si>
    <t>JGCHEM</t>
  </si>
  <si>
    <t>VISHNU PRAKASH R PUNGLIA LIMITED</t>
  </si>
  <si>
    <t>VPRPL</t>
  </si>
  <si>
    <t>Kewal Kiran Clothing Ltd.</t>
  </si>
  <si>
    <t>KKCL</t>
  </si>
  <si>
    <t>Deep Industries Limited</t>
  </si>
  <si>
    <t>DEEPINDS</t>
  </si>
  <si>
    <t>Sterling Tools Ltd.</t>
  </si>
  <si>
    <t>STERTOOLS</t>
  </si>
  <si>
    <t>Aditya Birla Sun Life AMC Limited</t>
  </si>
  <si>
    <t>ABSLAMC</t>
  </si>
  <si>
    <t>Five-Star Business Finance Ltd.</t>
  </si>
  <si>
    <t>FIVESTAR</t>
  </si>
  <si>
    <t>Tejas Networks Limited</t>
  </si>
  <si>
    <t>TEJASNET</t>
  </si>
  <si>
    <t>ECOS (India) Mobility &amp; Hospitality Limited</t>
  </si>
  <si>
    <t>ECOSMOBLTY</t>
  </si>
  <si>
    <t>Fino Payments Bank Limited</t>
  </si>
  <si>
    <t>FINOPB</t>
  </si>
  <si>
    <t>MALLCOM (INDIA) LTD.</t>
  </si>
  <si>
    <t>MALLCOM</t>
  </si>
  <si>
    <t>Jai Balaji Industries Limited</t>
  </si>
  <si>
    <t>JAIBALAJI</t>
  </si>
  <si>
    <t>Transport Corporation of India Ltd</t>
  </si>
  <si>
    <t>TCI</t>
  </si>
  <si>
    <t>Universal Cables Ltd.</t>
  </si>
  <si>
    <t>UNIVCABLES</t>
  </si>
  <si>
    <t>North Eastern Carrying Corporation Limited</t>
  </si>
  <si>
    <t>NECCLTD</t>
  </si>
  <si>
    <t>Zee Entertainment Enterprises Ltd.</t>
  </si>
  <si>
    <t>ZEEL</t>
  </si>
  <si>
    <t>Aarvee Denims &amp; Exports Ltd.</t>
  </si>
  <si>
    <t>AARVEEDEN</t>
  </si>
  <si>
    <t>Force Motors Limited</t>
  </si>
  <si>
    <t>FORCEMOT</t>
  </si>
  <si>
    <t>DREAMFOLKS SERVICES LIMITED</t>
  </si>
  <si>
    <t>DREAMFOLKS</t>
  </si>
  <si>
    <t>Jindal Drilling &amp; Industries Ltd.</t>
  </si>
  <si>
    <t>JINDRILL</t>
  </si>
  <si>
    <t>Prime Securities Ltd.</t>
  </si>
  <si>
    <t>PRIMESECU</t>
  </si>
  <si>
    <t>Welspun Enterprises Limited</t>
  </si>
  <si>
    <t>WELENT</t>
  </si>
  <si>
    <t>Chembond Chemicals Ltd.</t>
  </si>
  <si>
    <t>CHEMBOND</t>
  </si>
  <si>
    <t>Century Extrusions Ltd.</t>
  </si>
  <si>
    <t>CENTEXT</t>
  </si>
  <si>
    <t>Vinyl Chemicals (India) Ltd.</t>
  </si>
  <si>
    <t>VINYLINDIA</t>
  </si>
  <si>
    <t>Emmbi Industries Limited</t>
  </si>
  <si>
    <t>EMMBI</t>
  </si>
  <si>
    <t>Tara Chand InfraLogistic Solutions Ltd.</t>
  </si>
  <si>
    <t>TARACHAND</t>
  </si>
  <si>
    <t>TTK Healthcare Ltd.</t>
  </si>
  <si>
    <t>TTKHLTCARE</t>
  </si>
  <si>
    <t>Nahar Industrial Enterprises Ltd</t>
  </si>
  <si>
    <t>NAHARINDUS</t>
  </si>
  <si>
    <t>Dynacons Systems &amp; Solutions Ltd.</t>
  </si>
  <si>
    <t>DSSL</t>
  </si>
  <si>
    <t>AVT Natural Products Ltd.</t>
  </si>
  <si>
    <t>AVTNPL</t>
  </si>
  <si>
    <t>Wealth First Portfolio Managers Ltd.</t>
  </si>
  <si>
    <t>WEALTH</t>
  </si>
  <si>
    <t>Pritika Auto Industries Limited</t>
  </si>
  <si>
    <t>PRITIKAUTO</t>
  </si>
  <si>
    <t>Hitech Corporation Limited</t>
  </si>
  <si>
    <t>HITECHCORP</t>
  </si>
  <si>
    <t>RUPA &amp; COMPANY LIMITED</t>
  </si>
  <si>
    <t>RUPA</t>
  </si>
  <si>
    <t>ACCELYA SOLUTIONS INDIA LIMITED</t>
  </si>
  <si>
    <t>ACCELYA</t>
  </si>
  <si>
    <t>Dhanlaxmi Bank Limited</t>
  </si>
  <si>
    <t>DHANBANK</t>
  </si>
  <si>
    <t>Alldigi Tech Limited</t>
  </si>
  <si>
    <t>ALLDIGI</t>
  </si>
  <si>
    <t>CMS Info Systems Limited</t>
  </si>
  <si>
    <t>CMSINFO</t>
  </si>
  <si>
    <t>SIS LIMITED</t>
  </si>
  <si>
    <t>SIS</t>
  </si>
  <si>
    <t>Pyramid Technoplast Limited</t>
  </si>
  <si>
    <t>PYRAMID</t>
  </si>
  <si>
    <t>Indraprastha Medical Corporation Lt</t>
  </si>
  <si>
    <t>INDRAMEDCO</t>
  </si>
  <si>
    <t>Focus Lighting and Fixtures Ltd.</t>
  </si>
  <si>
    <t>FOCUS</t>
  </si>
  <si>
    <t>Vadilal Industries Ltd.</t>
  </si>
  <si>
    <t>VADILALIND</t>
  </si>
  <si>
    <t>Morepen Laboratories Ltd.</t>
  </si>
  <si>
    <t>MOREPENLAB</t>
  </si>
  <si>
    <t>PAKKA LIMITED</t>
  </si>
  <si>
    <t>PAKKA</t>
  </si>
  <si>
    <t>United Polyfab Gujarat Ltd.</t>
  </si>
  <si>
    <t>UNITEDPOLY</t>
  </si>
  <si>
    <t>NCL Industries Limited</t>
  </si>
  <si>
    <t>NCLIND</t>
  </si>
  <si>
    <t>IOL Chemicals &amp; Pharmaceuticals Ltd</t>
  </si>
  <si>
    <t>IOLCP</t>
  </si>
  <si>
    <t>Sharda Cropchem Limited</t>
  </si>
  <si>
    <t>SHARDACROP</t>
  </si>
  <si>
    <t>Pennar Industries Ltd.</t>
  </si>
  <si>
    <t>PENIND</t>
  </si>
  <si>
    <t>Chennai Petroleum Corporation Ltd.</t>
  </si>
  <si>
    <t>CHENNPETRO</t>
  </si>
  <si>
    <t>PC JEWELLER LIMITED</t>
  </si>
  <si>
    <t>PCJEWELLER</t>
  </si>
  <si>
    <t>Advani Hotels &amp; Resorts (India) Ltd.</t>
  </si>
  <si>
    <t>ADVANIHOTR</t>
  </si>
  <si>
    <t>DRC Systems India Limited</t>
  </si>
  <si>
    <t>DRCSYSTEMS</t>
  </si>
  <si>
    <t>Alicon Castalloy Limited</t>
  </si>
  <si>
    <t>ALICON</t>
  </si>
  <si>
    <t>Krishana Phoschem Ltd.</t>
  </si>
  <si>
    <t>KRISHANA</t>
  </si>
  <si>
    <t>Royal Orchid Hotels Ltd</t>
  </si>
  <si>
    <t>ROHLTD</t>
  </si>
  <si>
    <t>SUMMIT SECURITIES LTD.</t>
  </si>
  <si>
    <t>SUMMITSEC</t>
  </si>
  <si>
    <t>B L Kashyap and Sons Ltd</t>
  </si>
  <si>
    <t>BLKASHYAP</t>
  </si>
  <si>
    <t>Antony Waste Handling Cell Limited</t>
  </si>
  <si>
    <t>AWHCL</t>
  </si>
  <si>
    <t>Sai Silks (Kalamandir) Limited</t>
  </si>
  <si>
    <t>KALAMANDIR</t>
  </si>
  <si>
    <t>STRIDES PHARMA SCIENCE LIMITED</t>
  </si>
  <si>
    <t>STAR</t>
  </si>
  <si>
    <t>GALLANTT ISPAT LIMITED</t>
  </si>
  <si>
    <t>GALLANTT</t>
  </si>
  <si>
    <t>Saksoft Limited</t>
  </si>
  <si>
    <t>SAKSOFT</t>
  </si>
  <si>
    <t>MODISON LIMITED</t>
  </si>
  <si>
    <t>MODISONLTD</t>
  </si>
  <si>
    <t>Kirloskar Industries Ltd</t>
  </si>
  <si>
    <t>KIRLOSIND</t>
  </si>
  <si>
    <t>InfoBeans Technologies Limited</t>
  </si>
  <si>
    <t>INFOBEAN</t>
  </si>
  <si>
    <t>Aptus Value Housing Finance India Limited</t>
  </si>
  <si>
    <t>APTUS</t>
  </si>
  <si>
    <t>Bhagyanagar India Limited</t>
  </si>
  <si>
    <t>BHAGYANGR</t>
  </si>
  <si>
    <t>MAN INFRACONSTRUCTION LIMITED</t>
  </si>
  <si>
    <t>MANINFRA</t>
  </si>
  <si>
    <t>NGL Fine Chem Ltd.</t>
  </si>
  <si>
    <t>NGLFINE</t>
  </si>
  <si>
    <t>Heranba Industries Limited</t>
  </si>
  <si>
    <t>HERANBA</t>
  </si>
  <si>
    <t>Trejhara Solutions Limited</t>
  </si>
  <si>
    <t>TREJHARA</t>
  </si>
  <si>
    <t>IRM ENERGY LIMITED</t>
  </si>
  <si>
    <t>IRMENERGY</t>
  </si>
  <si>
    <t>VOLTAMP TRANSFORMERS LIMITED</t>
  </si>
  <si>
    <t>VOLTAMP</t>
  </si>
  <si>
    <t>Swelect Energy Systems Limited</t>
  </si>
  <si>
    <t>SWELECTES</t>
  </si>
  <si>
    <t>Priti International Ltd.</t>
  </si>
  <si>
    <t>PRITI</t>
  </si>
  <si>
    <t>Power Mech Projects Limited</t>
  </si>
  <si>
    <t>POWERMECH</t>
  </si>
  <si>
    <t>Engineers India Ltd.</t>
  </si>
  <si>
    <t>ENGINERSIN</t>
  </si>
  <si>
    <t>Ceat Ltd.</t>
  </si>
  <si>
    <t>CEATLTD</t>
  </si>
  <si>
    <t>Equitas Small Finance Bank Limited</t>
  </si>
  <si>
    <t>EQUITASBNK</t>
  </si>
  <si>
    <t>Nuvama Wealth Management Limited</t>
  </si>
  <si>
    <t>NUVAMA</t>
  </si>
  <si>
    <t>Atal Realtech Limited</t>
  </si>
  <si>
    <t>ATALREAL</t>
  </si>
  <si>
    <t>HMA Agro Industries Limited</t>
  </si>
  <si>
    <t>HMAAGRO</t>
  </si>
  <si>
    <t>Cyient Limited</t>
  </si>
  <si>
    <t>CYIENT</t>
  </si>
  <si>
    <t>The Andhra Sugars Ltd.</t>
  </si>
  <si>
    <t>ANDHRSUGAR</t>
  </si>
  <si>
    <t>Bliss GVS Pharma Limited</t>
  </si>
  <si>
    <t>BLISSGVS</t>
  </si>
  <si>
    <t>GPT Healthcare Limited</t>
  </si>
  <si>
    <t>GPTHEALTH</t>
  </si>
  <si>
    <t>Nilkamal Limited</t>
  </si>
  <si>
    <t>NILKAMAL</t>
  </si>
  <si>
    <t>Aarti Drugs Limited</t>
  </si>
  <si>
    <t>AARTIDRUGS</t>
  </si>
  <si>
    <t>Epigral Limited</t>
  </si>
  <si>
    <t>EPIGRAL</t>
  </si>
  <si>
    <t>Texmaco Rail &amp; Engineering Limited</t>
  </si>
  <si>
    <t>TEXRAIL</t>
  </si>
  <si>
    <t>Vardhaman Acrylics Ltd.</t>
  </si>
  <si>
    <t>VARDHACRLC</t>
  </si>
  <si>
    <t>Avanti Feeds ltd.</t>
  </si>
  <si>
    <t>AVANTIFEED</t>
  </si>
  <si>
    <t>Sigachi Industries Limited</t>
  </si>
  <si>
    <t>SIGACHI</t>
  </si>
  <si>
    <t>Stylam Industries Limited</t>
  </si>
  <si>
    <t>STYLAMIND</t>
  </si>
  <si>
    <t>Control Print (India) Ltd.</t>
  </si>
  <si>
    <t>CONTROLPR</t>
  </si>
  <si>
    <t>Fineotex Chemical Limited</t>
  </si>
  <si>
    <t>FCL</t>
  </si>
  <si>
    <t>Lumax Auto Technologies Ltd.</t>
  </si>
  <si>
    <t>LUMAXTECH</t>
  </si>
  <si>
    <t>Shiva Texyarn Ltd.</t>
  </si>
  <si>
    <t>SHIVATEX</t>
  </si>
  <si>
    <t>Balrampur Chini Mills Ltd.</t>
  </si>
  <si>
    <t>BALRAMCHIN</t>
  </si>
  <si>
    <t>Lancor Holdings Ltd.</t>
  </si>
  <si>
    <t>LANCORHOL</t>
  </si>
  <si>
    <t>Allied Digital Services Limited</t>
  </si>
  <si>
    <t>ADSL</t>
  </si>
  <si>
    <t>Technocraft Industries (India) Ltd.</t>
  </si>
  <si>
    <t>TIIL</t>
  </si>
  <si>
    <t>JUBILANT PHARMOVA LIMITED</t>
  </si>
  <si>
    <t>JUBLPHARMA</t>
  </si>
  <si>
    <t>KRONOX LAB SCIENCES LIMITED</t>
  </si>
  <si>
    <t>KRONOX</t>
  </si>
  <si>
    <t>Menon Bearings Ltd</t>
  </si>
  <si>
    <t>MENONBE</t>
  </si>
  <si>
    <t>Bhageria Industries Limited</t>
  </si>
  <si>
    <t>BHAGERIA</t>
  </si>
  <si>
    <t>Xchanging Solutions Limited</t>
  </si>
  <si>
    <t>XCHANGING</t>
  </si>
  <si>
    <t>VIBHOR STEEL TUBES LIMITED</t>
  </si>
  <si>
    <t>VSTL</t>
  </si>
  <si>
    <t>Sikko Industries Ltd.</t>
  </si>
  <si>
    <t>SIKKO</t>
  </si>
  <si>
    <t>Dynemic Products Ltd.</t>
  </si>
  <si>
    <t>DYNPRO</t>
  </si>
  <si>
    <t>BPL Ltd.</t>
  </si>
  <si>
    <t>BPL</t>
  </si>
  <si>
    <t>LUX Industries Limited</t>
  </si>
  <si>
    <t>LUXIND</t>
  </si>
  <si>
    <t>Ajmera Realty &amp; Infra India Limited</t>
  </si>
  <si>
    <t>AJMERA</t>
  </si>
  <si>
    <t>Balaji Amines Ltd.</t>
  </si>
  <si>
    <t>BALAMINES</t>
  </si>
  <si>
    <t>Swaraj Engines Ltd.</t>
  </si>
  <si>
    <t>SWARAJENG</t>
  </si>
  <si>
    <t>INFIBEAM AVENUES LIMITED</t>
  </si>
  <si>
    <t>INFIBEAM</t>
  </si>
  <si>
    <t>Steel Exchange India Ltd.</t>
  </si>
  <si>
    <t>STEELXIND</t>
  </si>
  <si>
    <t>Confidence Petroleum India Limited</t>
  </si>
  <si>
    <t>CONFIPET</t>
  </si>
  <si>
    <t>IFB Agro Industries Ltd</t>
  </si>
  <si>
    <t>IFBAGRO</t>
  </si>
  <si>
    <t>Almondz Global Securities Limited</t>
  </si>
  <si>
    <t>ALMONDZ</t>
  </si>
  <si>
    <t>Bharat Bijlee Ltd.</t>
  </si>
  <si>
    <t>BBL</t>
  </si>
  <si>
    <t>Mindteck (India) Ltd</t>
  </si>
  <si>
    <t>MINDTECK</t>
  </si>
  <si>
    <t>The Hi-Tech Gears Limited</t>
  </si>
  <si>
    <t>HITECHGEAR</t>
  </si>
  <si>
    <t>STARTECK FINANCE LIMITED</t>
  </si>
  <si>
    <t>STARTECK</t>
  </si>
  <si>
    <t>Matrimony.com Limited</t>
  </si>
  <si>
    <t>MATRIMONY</t>
  </si>
  <si>
    <t>AAVAS Financiers Limited</t>
  </si>
  <si>
    <t>AAVAS</t>
  </si>
  <si>
    <t>FDC Ltd.</t>
  </si>
  <si>
    <t>FDC</t>
  </si>
  <si>
    <t>HP Adhesives Limited</t>
  </si>
  <si>
    <t>HPAL</t>
  </si>
  <si>
    <t>Kalyani Investment Company Limited</t>
  </si>
  <si>
    <t>KICL</t>
  </si>
  <si>
    <t>Time Technoplast Limited</t>
  </si>
  <si>
    <t>TIMETECHNO</t>
  </si>
  <si>
    <t>Som Distilleries &amp; Breweries Ltd.</t>
  </si>
  <si>
    <t>SDBL</t>
  </si>
  <si>
    <t>Ador Welding Ltd.</t>
  </si>
  <si>
    <t>ADORWELD</t>
  </si>
  <si>
    <t>India Shelter Finance Corporation Limited</t>
  </si>
  <si>
    <t>INDIASHLTR</t>
  </si>
  <si>
    <t>U. Y. FINCORP LIMITED</t>
  </si>
  <si>
    <t>UYFINCORP</t>
  </si>
  <si>
    <t>Mangalore Refinery &amp; Petrochemicals</t>
  </si>
  <si>
    <t>MRPL</t>
  </si>
  <si>
    <t>Sarda Energy &amp; Minerals Ltd</t>
  </si>
  <si>
    <t>SARDAEN</t>
  </si>
  <si>
    <t>Rudrabhishek Enterprises Ltd.</t>
  </si>
  <si>
    <t>REPL</t>
  </si>
  <si>
    <t>JM Financial Limited</t>
  </si>
  <si>
    <t>JMFINANCIL</t>
  </si>
  <si>
    <t>Advanced Enzyme Technologies Limited</t>
  </si>
  <si>
    <t>ADVENZYMES</t>
  </si>
  <si>
    <t>Sreeleathers Limited</t>
  </si>
  <si>
    <t>SREEL</t>
  </si>
  <si>
    <t>Mangal Credit and Fincorp Limited</t>
  </si>
  <si>
    <t>MANCREDIT</t>
  </si>
  <si>
    <t>Usha Martin Ltd.</t>
  </si>
  <si>
    <t>USHAMART</t>
  </si>
  <si>
    <t>Orient Technologies Limited</t>
  </si>
  <si>
    <t>ORIENTTECH</t>
  </si>
  <si>
    <t>Kingfa Science &amp; Technology (India) Ltd</t>
  </si>
  <si>
    <t>KINGFA</t>
  </si>
  <si>
    <t>Salzer Electronics Ltd.</t>
  </si>
  <si>
    <t>SALZERELEC</t>
  </si>
  <si>
    <t>Texmo Pipes and Products Limited</t>
  </si>
  <si>
    <t>TEXMOPIPES</t>
  </si>
  <si>
    <t>EIH Associated Hotels Ltd.</t>
  </si>
  <si>
    <t>EIHAHOTELS</t>
  </si>
  <si>
    <t>Vishnu Chemicals Limited</t>
  </si>
  <si>
    <t>VISHNU</t>
  </si>
  <si>
    <t>CARYSIL LIMITED</t>
  </si>
  <si>
    <t>CARYSIL</t>
  </si>
  <si>
    <t>EPL LIMITED</t>
  </si>
  <si>
    <t>EPL</t>
  </si>
  <si>
    <t>GRM Overseas Ltd.</t>
  </si>
  <si>
    <t>GRMOVER</t>
  </si>
  <si>
    <t>Cubex Tubings Ltd</t>
  </si>
  <si>
    <t>CUBEXTUB</t>
  </si>
  <si>
    <t>Granules India Ltd.</t>
  </si>
  <si>
    <t>GRANULES</t>
  </si>
  <si>
    <t>Vardhman Polytex Ltd.</t>
  </si>
  <si>
    <t>VARDMNPOLY</t>
  </si>
  <si>
    <t>Eldeco Housing &amp; Ind. Ltd.</t>
  </si>
  <si>
    <t>ELDEHSG</t>
  </si>
  <si>
    <t>Concord Enviro Systems Limited</t>
  </si>
  <si>
    <t>CEWATER</t>
  </si>
  <si>
    <t>IIFL FINANCE LIMITED</t>
  </si>
  <si>
    <t>IIFL</t>
  </si>
  <si>
    <t>Shriram Properties Limited</t>
  </si>
  <si>
    <t>SHRIRAMPPS</t>
  </si>
  <si>
    <t>Cigniti Technologies Ltd</t>
  </si>
  <si>
    <t>CIGNITITEC</t>
  </si>
  <si>
    <t>Dollar Industries Limited</t>
  </si>
  <si>
    <t>DOLLAR</t>
  </si>
  <si>
    <t>Ksolves India Limited</t>
  </si>
  <si>
    <t>KSOLVES</t>
  </si>
  <si>
    <t>Savita Oil Technologies Limited</t>
  </si>
  <si>
    <t>SOTL</t>
  </si>
  <si>
    <t>Kamat Hotels (India) ltd.</t>
  </si>
  <si>
    <t>KAMATHOTEL</t>
  </si>
  <si>
    <t>Home First Finance Company India Limited</t>
  </si>
  <si>
    <t>HOMEFIRST</t>
  </si>
  <si>
    <t>Shyam Metalics and Energy Limited</t>
  </si>
  <si>
    <t>SHYAMMETL</t>
  </si>
  <si>
    <t>Premier Polyfilm Ltd.</t>
  </si>
  <si>
    <t>PREMIERPOL</t>
  </si>
  <si>
    <t>SMS Pharmaceuticals Ltd</t>
  </si>
  <si>
    <t>SMSPHARMA</t>
  </si>
  <si>
    <t>MIC Electronics Limited</t>
  </si>
  <si>
    <t>MICEL</t>
  </si>
  <si>
    <t>Kilitch Drugs (I) Ltd.</t>
  </si>
  <si>
    <t>KILITCH</t>
  </si>
  <si>
    <t>Bharat Rasayan Limited</t>
  </si>
  <si>
    <t>BHARATRAS</t>
  </si>
  <si>
    <t>Marksans Pharma Ltd.</t>
  </si>
  <si>
    <t>MARKSANS</t>
  </si>
  <si>
    <t>Weizmann Limited.</t>
  </si>
  <si>
    <t>WEIZMANIND</t>
  </si>
  <si>
    <t>ORIENTAL AROMATICS LIMITED</t>
  </si>
  <si>
    <t>OAL</t>
  </si>
  <si>
    <t>Sonata Software Ltd.</t>
  </si>
  <si>
    <t>SONATSOFTW</t>
  </si>
  <si>
    <t>Castrol India Ltd</t>
  </si>
  <si>
    <t>CASTROLIND</t>
  </si>
  <si>
    <t>The Peria Karamalai Tea &amp; Produce Company Ltd.</t>
  </si>
  <si>
    <t>PKTEA</t>
  </si>
  <si>
    <t>GTPL Hathway Limited</t>
  </si>
  <si>
    <t>GTPL</t>
  </si>
  <si>
    <t>Mold-Tek Packaging Limited</t>
  </si>
  <si>
    <t>MOLDTKPAC</t>
  </si>
  <si>
    <t>Foods &amp; Inns Ltd.</t>
  </si>
  <si>
    <t>FOODSIN</t>
  </si>
  <si>
    <t>ARSS Infrastructure Projects Limited</t>
  </si>
  <si>
    <t>ARSSINFRA</t>
  </si>
  <si>
    <t>IndiaMART InterMESH Limited</t>
  </si>
  <si>
    <t>INDIAMART</t>
  </si>
  <si>
    <t>Thomas Cook (India) Ltd.</t>
  </si>
  <si>
    <t>THOMASCOOK</t>
  </si>
  <si>
    <t>YATHARTH HOSPITAL &amp; TRAUMA CARE SERVICES LIMITED</t>
  </si>
  <si>
    <t>YATHARTH</t>
  </si>
  <si>
    <t>Signpost India Limited</t>
  </si>
  <si>
    <t>SIGNPOST</t>
  </si>
  <si>
    <t>La Opala RG Ltd.</t>
  </si>
  <si>
    <t>LAOPALA</t>
  </si>
  <si>
    <t>Banaras Beads Ltd.</t>
  </si>
  <si>
    <t>BANARBEADS</t>
  </si>
  <si>
    <t>NIIT Learning Systems Limited</t>
  </si>
  <si>
    <t>NIITMTS</t>
  </si>
  <si>
    <t>Vikas EcoTech Limited</t>
  </si>
  <si>
    <t>VIKASECO</t>
  </si>
  <si>
    <t>Southern Petrochemical Industries Corporation Limited</t>
  </si>
  <si>
    <t>SPIC</t>
  </si>
  <si>
    <t>NOCIL Ltd</t>
  </si>
  <si>
    <t>NOCIL</t>
  </si>
  <si>
    <t>Mittal Life Style Ltd.</t>
  </si>
  <si>
    <t>MITTAL</t>
  </si>
  <si>
    <t>Rashtriya Chemicals &amp; Fertilizers Limited</t>
  </si>
  <si>
    <t>RCF</t>
  </si>
  <si>
    <t>eClerx Services Limited</t>
  </si>
  <si>
    <t>ECLERX</t>
  </si>
  <si>
    <t>Onward Technologies Ltd.</t>
  </si>
  <si>
    <t>ONWARDTEC</t>
  </si>
  <si>
    <t>Quess Corp Limited</t>
  </si>
  <si>
    <t>QUESS</t>
  </si>
  <si>
    <t>Akash infra projects ltd.</t>
  </si>
  <si>
    <t>AKASH</t>
  </si>
  <si>
    <t>Zensar Technologies Ltd.</t>
  </si>
  <si>
    <t>ZENSARTECH</t>
  </si>
  <si>
    <t>Seamec Ltd</t>
  </si>
  <si>
    <t>SEAMECLTD</t>
  </si>
  <si>
    <t>Somany Ceramics Limited</t>
  </si>
  <si>
    <t>SOMANYCERA</t>
  </si>
  <si>
    <t>Kanpur Plastipack Limited</t>
  </si>
  <si>
    <t>KANPRPLA</t>
  </si>
  <si>
    <t>Elecon Engineering Co.Ltd.</t>
  </si>
  <si>
    <t>ELECON</t>
  </si>
  <si>
    <t>PITTI ENGINEERING LIMITED</t>
  </si>
  <si>
    <t>PITTIENG</t>
  </si>
  <si>
    <t>Ganges Securities Ltd.</t>
  </si>
  <si>
    <t>GANGESSECU</t>
  </si>
  <si>
    <t>Galaxy Surfactants Limited</t>
  </si>
  <si>
    <t>GALAXYSURF</t>
  </si>
  <si>
    <t>MAMATA MACHINERY LIMITED</t>
  </si>
  <si>
    <t>MAMATA</t>
  </si>
  <si>
    <t>ITD Cementation India Ltd</t>
  </si>
  <si>
    <t>ITDCEM</t>
  </si>
  <si>
    <t>Univastu India Ltd.</t>
  </si>
  <si>
    <t>UNIVASTU</t>
  </si>
  <si>
    <t>Taj GVK Hotels &amp; Resorts Ltd.</t>
  </si>
  <si>
    <t>TAJGVK</t>
  </si>
  <si>
    <t>We Win Limited</t>
  </si>
  <si>
    <t>WEWIN</t>
  </si>
  <si>
    <t>Pokarna Ltd.</t>
  </si>
  <si>
    <t>POKARNA</t>
  </si>
  <si>
    <t>S.J.S. Enterprises Limited</t>
  </si>
  <si>
    <t>SJS</t>
  </si>
  <si>
    <t>Sunflag Iron &amp; Steel Co. Ltd.</t>
  </si>
  <si>
    <t>IndoStar Capital Finance Limited</t>
  </si>
  <si>
    <t>INDOSTAR</t>
  </si>
  <si>
    <t>ROSSARI BIOTECH LIMITED</t>
  </si>
  <si>
    <t>ROSSARI</t>
  </si>
  <si>
    <t>Shree Rama Multi-tech Ltd.</t>
  </si>
  <si>
    <t>SHREERAMA</t>
  </si>
  <si>
    <t>Aarti Pharmalabs Limited</t>
  </si>
  <si>
    <t>AARTIPHARM</t>
  </si>
  <si>
    <t>Rajratan Global Wire Ltd</t>
  </si>
  <si>
    <t>RAJRATAN</t>
  </si>
  <si>
    <t>Hathway Cable &amp; Datacom Limited</t>
  </si>
  <si>
    <t>HATHWAY</t>
  </si>
  <si>
    <t>Dynamic Cables Limited</t>
  </si>
  <si>
    <t>DYCL</t>
  </si>
  <si>
    <t>Tilaknagar Industries Ltd</t>
  </si>
  <si>
    <t>TI</t>
  </si>
  <si>
    <t>Supreme Petrochem Ltd.</t>
  </si>
  <si>
    <t>SPLPETRO</t>
  </si>
  <si>
    <t>Murudeshwar Ceramics Ltd.</t>
  </si>
  <si>
    <t>MURUDCERA</t>
  </si>
  <si>
    <t>Pilani Investment And Industries Corporation Limited</t>
  </si>
  <si>
    <t>PILANIINVS</t>
  </si>
  <si>
    <t>BLS E-Services Limited</t>
  </si>
  <si>
    <t>BLSE</t>
  </si>
  <si>
    <t>India Pesticides Limited</t>
  </si>
  <si>
    <t>IPL</t>
  </si>
  <si>
    <t>AION-TECH SOLUTIONS LIMITED</t>
  </si>
  <si>
    <t>GOLDTECH</t>
  </si>
  <si>
    <t>GE Power India Limited</t>
  </si>
  <si>
    <t>GEPIL</t>
  </si>
  <si>
    <t>TCI Express Limited</t>
  </si>
  <si>
    <t>TCIEXP</t>
  </si>
  <si>
    <t>Kitex Garmenets Ltd.</t>
  </si>
  <si>
    <t>KITEX</t>
  </si>
  <si>
    <t>K.P. Energy Limited</t>
  </si>
  <si>
    <t>KPEL</t>
  </si>
  <si>
    <t>Fine Organic Industries Limited</t>
  </si>
  <si>
    <t>FINEORG</t>
  </si>
  <si>
    <t>Dc Infotech and Communication Limited</t>
  </si>
  <si>
    <t>DCI</t>
  </si>
  <si>
    <t>Godfrey Phillips India Ltd.</t>
  </si>
  <si>
    <t>GODFRYPHLP</t>
  </si>
  <si>
    <t>TPL Plastech Limited</t>
  </si>
  <si>
    <t>TPLPLASTEH</t>
  </si>
  <si>
    <t>Ion Exchange (India) Ltd</t>
  </si>
  <si>
    <t>IONEXCHANG</t>
  </si>
  <si>
    <t>Shree Digvijay Cement Co. Ltd.</t>
  </si>
  <si>
    <t>SHREDIGCEM</t>
  </si>
  <si>
    <t>Rolex Rings Limited</t>
  </si>
  <si>
    <t>ROLEXRINGS</t>
  </si>
  <si>
    <t>Anand Rathi Wealth Limited</t>
  </si>
  <si>
    <t>ANANDRATHI</t>
  </si>
  <si>
    <t>Happy Forgings Limited</t>
  </si>
  <si>
    <t>HAPPYFORGE</t>
  </si>
  <si>
    <t>V.S.T.Tillers Tractors Ltd.</t>
  </si>
  <si>
    <t>VSTTILLERS</t>
  </si>
  <si>
    <t>Nelcast Limited</t>
  </si>
  <si>
    <t>NELCAST</t>
  </si>
  <si>
    <t>ALEMBIC PHARMACEUTICALS LIMITED</t>
  </si>
  <si>
    <t>APLLTD</t>
  </si>
  <si>
    <t>Hisar Metal Industries Ltd.</t>
  </si>
  <si>
    <t>HISARMETAL</t>
  </si>
  <si>
    <t>Asahi Songwon Colors Ltd.</t>
  </si>
  <si>
    <t>ASAHISONG</t>
  </si>
  <si>
    <t>Prudential Sugar Corporation Ltd</t>
  </si>
  <si>
    <t>PRUDMOULI</t>
  </si>
  <si>
    <t>Star Health and Allied Insurance Company Limited</t>
  </si>
  <si>
    <t>STARHEALTH</t>
  </si>
  <si>
    <t>Faze Three Ltd.</t>
  </si>
  <si>
    <t>FAZE3Q</t>
  </si>
  <si>
    <t>Platinum Industries Limited</t>
  </si>
  <si>
    <t>PLATIND</t>
  </si>
  <si>
    <t>Eveready Industries India Ltd.</t>
  </si>
  <si>
    <t>EVEREADY</t>
  </si>
  <si>
    <t>Nitiraj Engineers Ltd.</t>
  </si>
  <si>
    <t>NITIRAJ</t>
  </si>
  <si>
    <t>Modern Thread (India) Ltd.</t>
  </si>
  <si>
    <t>MODTHREAD</t>
  </si>
  <si>
    <t>Shakti Pumps (India) Ltd.</t>
  </si>
  <si>
    <t>SHAKTIPUMP</t>
  </si>
  <si>
    <t>ramkrishna forgings Ltd.</t>
  </si>
  <si>
    <t>RKFORGE</t>
  </si>
  <si>
    <t>BODHI TREE MULTIMEDIA LIMITED</t>
  </si>
  <si>
    <t>BTML</t>
  </si>
  <si>
    <t>Umang Dairies Limited</t>
  </si>
  <si>
    <t>UMANGDAIRY</t>
  </si>
  <si>
    <t>Dodla Dairy Limited</t>
  </si>
  <si>
    <t>DODLA</t>
  </si>
  <si>
    <t>Hindcon Chemicals Ltd.</t>
  </si>
  <si>
    <t>HINDCON</t>
  </si>
  <si>
    <t>Manaksia Aluminium Company Ltd</t>
  </si>
  <si>
    <t>MANAKALUCO</t>
  </si>
  <si>
    <t>Vaibhav Global Ltd</t>
  </si>
  <si>
    <t>VAIBHAVGBL</t>
  </si>
  <si>
    <t>Commercial Syn Bags Limited</t>
  </si>
  <si>
    <t>COMSYN</t>
  </si>
  <si>
    <t>Heubach Colorants India Limited</t>
  </si>
  <si>
    <t>HEUBACHIND</t>
  </si>
  <si>
    <t>Indo US Bio-Tech Limited</t>
  </si>
  <si>
    <t>INDOUS</t>
  </si>
  <si>
    <t>ZIM Laboratories Limited</t>
  </si>
  <si>
    <t>ZIMLAB</t>
  </si>
  <si>
    <t>Subros Ltd.</t>
  </si>
  <si>
    <t>SUBROS</t>
  </si>
  <si>
    <t>Reliance Infrastructure Ltd</t>
  </si>
  <si>
    <t>RELINFRA</t>
  </si>
  <si>
    <t>MAAN ALUMINIUM LIMITED</t>
  </si>
  <si>
    <t>MAANALU</t>
  </si>
  <si>
    <t>Speciality Restaurants Limited</t>
  </si>
  <si>
    <t>SPECIALITY</t>
  </si>
  <si>
    <t>Integra Essentia Limited</t>
  </si>
  <si>
    <t>ESSENTIA</t>
  </si>
  <si>
    <t>Pondy Oxides &amp; Chemicals Limited</t>
  </si>
  <si>
    <t>POCL</t>
  </si>
  <si>
    <t>Jagsonpal Pharmaceuticals Limited</t>
  </si>
  <si>
    <t>JAGSNPHARM</t>
  </si>
  <si>
    <t>Caplin Point Laboratories Ltd.</t>
  </si>
  <si>
    <t>CAPLIPOINT</t>
  </si>
  <si>
    <t>INNOVA CAPTAB LIMITED</t>
  </si>
  <si>
    <t>INNOVACAP</t>
  </si>
  <si>
    <t>Sunteck Realty Ltd</t>
  </si>
  <si>
    <t>SUNTECK</t>
  </si>
  <si>
    <t>Salasar Techno Engineering Limited</t>
  </si>
  <si>
    <t>SALASAR</t>
  </si>
  <si>
    <t>SBFC Finance Limited</t>
  </si>
  <si>
    <t>SBFC</t>
  </si>
  <si>
    <t>Techno Electric &amp; Engineering Company Limited</t>
  </si>
  <si>
    <t>TECHNOE</t>
  </si>
  <si>
    <t>Amines &amp; Plasticizers Ltd</t>
  </si>
  <si>
    <t>AMNPLST</t>
  </si>
  <si>
    <t>Dhruv Consultancy Services Limited</t>
  </si>
  <si>
    <t>DHRUV</t>
  </si>
  <si>
    <t>Pearl Global Industries Limited</t>
  </si>
  <si>
    <t>PGIL</t>
  </si>
  <si>
    <t>Responsive Industries Ltd</t>
  </si>
  <si>
    <t>RESPONIND</t>
  </si>
  <si>
    <t>Harsha Engineers International Limited</t>
  </si>
  <si>
    <t>HARSHA</t>
  </si>
  <si>
    <t>WELSPUN LIVING LIMITED</t>
  </si>
  <si>
    <t>WELSPUNLIV</t>
  </si>
  <si>
    <t>Elgi Rubber Company Ltd.</t>
  </si>
  <si>
    <t>ELGIRUBCO</t>
  </si>
  <si>
    <t>HI-TECH PIPES LIMITED</t>
  </si>
  <si>
    <t>HITECH</t>
  </si>
  <si>
    <t>CCL Products (India) Ltd.</t>
  </si>
  <si>
    <t>CCL</t>
  </si>
  <si>
    <t>Steelcast Ltd.</t>
  </si>
  <si>
    <t>STEELCAS</t>
  </si>
  <si>
    <t>Sinclairs Hotels Ltd</t>
  </si>
  <si>
    <t>SINCLAIR</t>
  </si>
  <si>
    <t>Macpower CNC Machines Ltd.</t>
  </si>
  <si>
    <t>MACPOWER</t>
  </si>
  <si>
    <t>ISGEC Heavy Engineering Limited</t>
  </si>
  <si>
    <t>ISGEC</t>
  </si>
  <si>
    <t>RateGain Travel Technologies Limited</t>
  </si>
  <si>
    <t>RATEGAIN</t>
  </si>
  <si>
    <t>KPI Green Energy Limited</t>
  </si>
  <si>
    <t>KPIGREEN</t>
  </si>
  <si>
    <t>Supriya Lifescience Limited</t>
  </si>
  <si>
    <t>SUPRIYA</t>
  </si>
  <si>
    <t>Jai Corp Limited</t>
  </si>
  <si>
    <t>JAICORPLTD</t>
  </si>
  <si>
    <t>Sumit Woods Ltd.</t>
  </si>
  <si>
    <t>SUMIT</t>
  </si>
  <si>
    <t>DCM Shriram Limited</t>
  </si>
  <si>
    <t>DCMSHRIRAM</t>
  </si>
  <si>
    <t>Electronics Mart India Limited</t>
  </si>
  <si>
    <t>EMIL</t>
  </si>
  <si>
    <t>JTL INDUSTRIES LIMITED</t>
  </si>
  <si>
    <t>JTLIND</t>
  </si>
  <si>
    <t>EIH Ltd</t>
  </si>
  <si>
    <t>EIHOTEL</t>
  </si>
  <si>
    <t>Pricol Limited</t>
  </si>
  <si>
    <t>PRICOLLTD</t>
  </si>
  <si>
    <t>Arvind SmartSpaces Limited</t>
  </si>
  <si>
    <t>ARVSMART</t>
  </si>
  <si>
    <t>Chemcon Speciality Chemicals Limited</t>
  </si>
  <si>
    <t>CHEMCON</t>
  </si>
  <si>
    <t>Rama Phosphates Ltd.</t>
  </si>
  <si>
    <t>RAMAPHO</t>
  </si>
  <si>
    <t>CARE Ratings Limited</t>
  </si>
  <si>
    <t>CARERATING</t>
  </si>
  <si>
    <t>Tera Software Ltd.</t>
  </si>
  <si>
    <t>TERASOFT</t>
  </si>
  <si>
    <t>Arvind Ltd.</t>
  </si>
  <si>
    <t>ARVIND</t>
  </si>
  <si>
    <t>NDR Auto Components Limited</t>
  </si>
  <si>
    <t>NDRAUTO</t>
  </si>
  <si>
    <t>Indegene Limited</t>
  </si>
  <si>
    <t>INDGN</t>
  </si>
  <si>
    <t>Sonam Ltd.</t>
  </si>
  <si>
    <t>SONAMLTD</t>
  </si>
  <si>
    <t>R K Swamy Limited</t>
  </si>
  <si>
    <t>RKSWAMY</t>
  </si>
  <si>
    <t>D P ABHUSHAN LIMITED</t>
  </si>
  <si>
    <t>DPABHUSHAN</t>
  </si>
  <si>
    <t>RICO Auto Industries Ltd.</t>
  </si>
  <si>
    <t>RICOAUTO</t>
  </si>
  <si>
    <t>Popular Vehicles and Services Limited</t>
  </si>
  <si>
    <t>PVSL</t>
  </si>
  <si>
    <t>Sirca Paints India Limited</t>
  </si>
  <si>
    <t>SIRCA</t>
  </si>
  <si>
    <t>Emcure Pharmaceuticals Limited</t>
  </si>
  <si>
    <t>EMCURE</t>
  </si>
  <si>
    <t>Emami Ltd</t>
  </si>
  <si>
    <t>EMAMILTD</t>
  </si>
  <si>
    <t>Apeejay Surrendra Park Hotels Limited</t>
  </si>
  <si>
    <t>PARKHOTELS</t>
  </si>
  <si>
    <t>Cera Sanitaryware Ltd.</t>
  </si>
  <si>
    <t>CERA</t>
  </si>
  <si>
    <t>Kapston Services Ltd.</t>
  </si>
  <si>
    <t>KAPSTON</t>
  </si>
  <si>
    <t>Pfizer Ltd.</t>
  </si>
  <si>
    <t>PFIZER</t>
  </si>
  <si>
    <t>Kabra Extrusion Technik Ltd</t>
  </si>
  <si>
    <t>KABRAEXTRU</t>
  </si>
  <si>
    <t>RITES Limited</t>
  </si>
  <si>
    <t>RITES</t>
  </si>
  <si>
    <t>Kalyani Forge Ltd.</t>
  </si>
  <si>
    <t>KALYANIFRG</t>
  </si>
  <si>
    <t>Punjab Chemicals and Crop Protection Ltd.</t>
  </si>
  <si>
    <t>PUNJABCHEM</t>
  </si>
  <si>
    <t>Kirloskar Brothers Ltd.</t>
  </si>
  <si>
    <t>KIRLOSBROS</t>
  </si>
  <si>
    <t>Jay Bharat Maruti Ltd.</t>
  </si>
  <si>
    <t>JAYBARMARU</t>
  </si>
  <si>
    <t>Rajshree PolyPack Ltd.</t>
  </si>
  <si>
    <t>RPPL</t>
  </si>
  <si>
    <t>Afcons Infrastructure Limited</t>
  </si>
  <si>
    <t>AFCONS</t>
  </si>
  <si>
    <t>JK Lakshmi Cement Limited</t>
  </si>
  <si>
    <t>JKLAKSHMI</t>
  </si>
  <si>
    <t>TCPL Packaging Limited</t>
  </si>
  <si>
    <t>TCPLPACK</t>
  </si>
  <si>
    <t>Suraj Ltd.</t>
  </si>
  <si>
    <t>SURAJLTD</t>
  </si>
  <si>
    <t>Zydus Wellness Limited</t>
  </si>
  <si>
    <t>ZYDUSWELL</t>
  </si>
  <si>
    <t>BLS International Services Ltd</t>
  </si>
  <si>
    <t>BLS</t>
  </si>
  <si>
    <t>RACL Geartech Limited</t>
  </si>
  <si>
    <t>RACLGEAR</t>
  </si>
  <si>
    <t>Windlas Biotech Limited</t>
  </si>
  <si>
    <t>WINDLAS</t>
  </si>
  <si>
    <t>CANTABIL RETAIL INDIA LIMITED</t>
  </si>
  <si>
    <t>CANTABIL</t>
  </si>
  <si>
    <t>GARWARE HI-TECH FILMS LIMITED</t>
  </si>
  <si>
    <t>GRWRHITECH</t>
  </si>
  <si>
    <t>Apcotex Industries Limited</t>
  </si>
  <si>
    <t>APCOTEXIND</t>
  </si>
  <si>
    <t>Surana Telecom And Power Limited</t>
  </si>
  <si>
    <t>SURANAT&amp;P</t>
  </si>
  <si>
    <t>Rallis India Ltd</t>
  </si>
  <si>
    <t>RALLIS</t>
  </si>
  <si>
    <t>International Gemmological Institute India Limited</t>
  </si>
  <si>
    <t>IGIL</t>
  </si>
  <si>
    <t>Foseco India Ltd</t>
  </si>
  <si>
    <t>FOSECOIND</t>
  </si>
  <si>
    <t>Sansera Engineering Limited</t>
  </si>
  <si>
    <t>SANSERA</t>
  </si>
  <si>
    <t>DIC India Ltd</t>
  </si>
  <si>
    <t>DICIND</t>
  </si>
  <si>
    <t>Wonderla Holidays Limited</t>
  </si>
  <si>
    <t>WONDERLA</t>
  </si>
  <si>
    <t>Vesuvius India Ltd.</t>
  </si>
  <si>
    <t>VESUVIUS</t>
  </si>
  <si>
    <t>Krsnaa Diagnostics Limited</t>
  </si>
  <si>
    <t>KRSNAA</t>
  </si>
  <si>
    <t>Venus Pipes &amp; Tubes Limited</t>
  </si>
  <si>
    <t>VENUSPIPES</t>
  </si>
  <si>
    <t>BALU FORGE INDUSTRIES LIMITED</t>
  </si>
  <si>
    <t>BALUFORGE</t>
  </si>
  <si>
    <t>BARAK VALLEY CEMENTS LIMITED</t>
  </si>
  <si>
    <t>BVCL</t>
  </si>
  <si>
    <t>Sula Vineyards Limited</t>
  </si>
  <si>
    <t>SULA</t>
  </si>
  <si>
    <t>Gabriel India Ltd.</t>
  </si>
  <si>
    <t>GABRIEL</t>
  </si>
  <si>
    <t>Precision Wires India ltd.</t>
  </si>
  <si>
    <t>PRECWIRE</t>
  </si>
  <si>
    <t>JYOTHY LABS LIMITED</t>
  </si>
  <si>
    <t>JYOTHYLAB</t>
  </si>
  <si>
    <t>VRL Logistics Limited</t>
  </si>
  <si>
    <t>VRLLOG</t>
  </si>
  <si>
    <t>Nupur Recyclers Ltd.</t>
  </si>
  <si>
    <t>NRL</t>
  </si>
  <si>
    <t>United Drilling Tools Ltd.</t>
  </si>
  <si>
    <t>UNIDT</t>
  </si>
  <si>
    <t>Themis Medicare Ltd.</t>
  </si>
  <si>
    <t>THEMISMED</t>
  </si>
  <si>
    <t>HFCL LIMITED</t>
  </si>
  <si>
    <t>HFCL</t>
  </si>
  <si>
    <t>PCBL LIMITED</t>
  </si>
  <si>
    <t>PCBL</t>
  </si>
  <si>
    <t>Shivalik Bimetal Controls Ltd.</t>
  </si>
  <si>
    <t>SBCL</t>
  </si>
  <si>
    <t>ADF Foods Limited.</t>
  </si>
  <si>
    <t>ADFFOODS</t>
  </si>
  <si>
    <t>R Systems International Limited</t>
  </si>
  <si>
    <t>RSYSTEMS</t>
  </si>
  <si>
    <t>Indowind Energy Ltd.</t>
  </si>
  <si>
    <t>INDOWIND</t>
  </si>
  <si>
    <t>AGI Infra Limited</t>
  </si>
  <si>
    <t>AGIIL</t>
  </si>
  <si>
    <t>ICRA Limited</t>
  </si>
  <si>
    <t>ICRA</t>
  </si>
  <si>
    <t>VA Tech Wabag Limited</t>
  </si>
  <si>
    <t>WABAG</t>
  </si>
  <si>
    <t>TeamLease Services Limited</t>
  </si>
  <si>
    <t>TEAMLEASE</t>
  </si>
  <si>
    <t>Cupid Limited</t>
  </si>
  <si>
    <t>CUPID</t>
  </si>
  <si>
    <t>Birla Corporation Ltd.</t>
  </si>
  <si>
    <t>BIRLACORPN</t>
  </si>
  <si>
    <t>SOMI CONVEYOR BELTINGS LIMITED</t>
  </si>
  <si>
    <t>SOMICONVEY</t>
  </si>
  <si>
    <t>Ganesha Ecosphere Limited</t>
  </si>
  <si>
    <t>GANECOS</t>
  </si>
  <si>
    <t>Ajooni Biotech Ltd.</t>
  </si>
  <si>
    <t>AJOONI</t>
  </si>
  <si>
    <t>ASIAN ENERGY SERVICES LTD</t>
  </si>
  <si>
    <t>ASIANENE</t>
  </si>
  <si>
    <t>BLACK BOX LIMITED</t>
  </si>
  <si>
    <t>BBOX</t>
  </si>
  <si>
    <t>GARWARE TECHNICAL FIBRES LIMITED</t>
  </si>
  <si>
    <t>GARFIBRES</t>
  </si>
  <si>
    <t>BASF India Ltd</t>
  </si>
  <si>
    <t>BASF</t>
  </si>
  <si>
    <t>Associated Alcohols &amp; Breweries Ltd</t>
  </si>
  <si>
    <t>ASALCBR</t>
  </si>
  <si>
    <t>HEG Ltd.</t>
  </si>
  <si>
    <t>HEG</t>
  </si>
  <si>
    <t>Synergy Green Industries Limited</t>
  </si>
  <si>
    <t>SGIL</t>
  </si>
  <si>
    <t>Greenply Industries Ltd</t>
  </si>
  <si>
    <t>GREENPLY</t>
  </si>
  <si>
    <t>ASK Automotive Limited</t>
  </si>
  <si>
    <t>ASKAUTOLTD</t>
  </si>
  <si>
    <t>Ratnamani Metals &amp; Tubes Ltd</t>
  </si>
  <si>
    <t>RATNAMANI</t>
  </si>
  <si>
    <t>Remsons Industries Ltd.</t>
  </si>
  <si>
    <t>REMSONSIND</t>
  </si>
  <si>
    <t>Akzo Nobel India Limited</t>
  </si>
  <si>
    <t>AKZOINDIA</t>
  </si>
  <si>
    <t>Diffusion Engineers Limited</t>
  </si>
  <si>
    <t>DIFFNKG</t>
  </si>
  <si>
    <t>SKF India Ltd.</t>
  </si>
  <si>
    <t>SKFINDIA</t>
  </si>
  <si>
    <t>Brigade Enterprises Limited</t>
  </si>
  <si>
    <t>BRIGADE</t>
  </si>
  <si>
    <t>Medi Assist Healthcare Services Limited</t>
  </si>
  <si>
    <t>MEDIASSIST</t>
  </si>
  <si>
    <t>Action Construction Equipments Ltd.</t>
  </si>
  <si>
    <t>ACE</t>
  </si>
  <si>
    <t>Indo Tech Transformers Limited</t>
  </si>
  <si>
    <t>INDOTECH</t>
  </si>
  <si>
    <t>Vimta Labs Ltd.</t>
  </si>
  <si>
    <t>VIMTALABS</t>
  </si>
  <si>
    <t>Cello World Limited</t>
  </si>
  <si>
    <t>CELLO</t>
  </si>
  <si>
    <t>DMCC SPECIALITY CHEMICALS LIMITED</t>
  </si>
  <si>
    <t>DMCC</t>
  </si>
  <si>
    <t>Godrej Agrovet Limited</t>
  </si>
  <si>
    <t>GODREJAGRO</t>
  </si>
  <si>
    <t>Gujarat Apollo Industries Ltd.</t>
  </si>
  <si>
    <t>GUJAPOLLO</t>
  </si>
  <si>
    <t>INTELLECT DESIGN ARENA LIMITED</t>
  </si>
  <si>
    <t>INTELLECT</t>
  </si>
  <si>
    <t>Refex Industries Limited</t>
  </si>
  <si>
    <t>REFEX</t>
  </si>
  <si>
    <t>HONDA INDIA POWER PRODUCTS LIMITED</t>
  </si>
  <si>
    <t>HONDAPOWER</t>
  </si>
  <si>
    <t>Virinchi Limited</t>
  </si>
  <si>
    <t>VIRINCHI</t>
  </si>
  <si>
    <t>Praj Industries Ltd.</t>
  </si>
  <si>
    <t>PRAJIND</t>
  </si>
  <si>
    <t>Ram Ratna Wires Ltd.</t>
  </si>
  <si>
    <t>RAMRAT</t>
  </si>
  <si>
    <t>Genus Power Infrastructures Ltd</t>
  </si>
  <si>
    <t>GENUSPOWER</t>
  </si>
  <si>
    <t>Capri Global Capital Limited</t>
  </si>
  <si>
    <t>CGCL</t>
  </si>
  <si>
    <t>Indian Energy Exchange Limited</t>
  </si>
  <si>
    <t>IEX</t>
  </si>
  <si>
    <t>Iris Clothings Ltd.</t>
  </si>
  <si>
    <t>IRISDOREME</t>
  </si>
  <si>
    <t>Mangalam Organics Limited</t>
  </si>
  <si>
    <t>MANORG</t>
  </si>
  <si>
    <t>K.P.R. Mill Ltd.</t>
  </si>
  <si>
    <t>KPRMILL</t>
  </si>
  <si>
    <t>HLV LIMITED</t>
  </si>
  <si>
    <t>HLVLTD</t>
  </si>
  <si>
    <t>Manaksia Steels Limited</t>
  </si>
  <si>
    <t>MANAKSTEEL</t>
  </si>
  <si>
    <t>Amrutanjan Health Care Limited</t>
  </si>
  <si>
    <t>AMRUTANJAN</t>
  </si>
  <si>
    <t>Senco Gold Limited</t>
  </si>
  <si>
    <t>SENCO</t>
  </si>
  <si>
    <t>BEST AGROLIFE LIMITED</t>
  </si>
  <si>
    <t>BESTAGRO</t>
  </si>
  <si>
    <t>Shanthi Gears Ltd.</t>
  </si>
  <si>
    <t>SHANTIGEAR</t>
  </si>
  <si>
    <t>Computer Age Management Services Limited</t>
  </si>
  <si>
    <t>CAMS</t>
  </si>
  <si>
    <t>RailTel Corporation of India Limited</t>
  </si>
  <si>
    <t>RAILTEL</t>
  </si>
  <si>
    <t>Ace Integrated Solutions Ltd.</t>
  </si>
  <si>
    <t>ACEINTEG</t>
  </si>
  <si>
    <t>Sarthak Metals Limited</t>
  </si>
  <si>
    <t>SMLT</t>
  </si>
  <si>
    <t>Elin Electronics Limited</t>
  </si>
  <si>
    <t>ELIN</t>
  </si>
  <si>
    <t>Sundram Fasteners Ltd.</t>
  </si>
  <si>
    <t>SUNDRMFAST</t>
  </si>
  <si>
    <t>Skipper Limited</t>
  </si>
  <si>
    <t>SKIPPER</t>
  </si>
  <si>
    <t>TD Power Systems Ltd</t>
  </si>
  <si>
    <t>TDPOWERSYS</t>
  </si>
  <si>
    <t>Motherson Sumi Wiring India Limited</t>
  </si>
  <si>
    <t>MSUMI</t>
  </si>
  <si>
    <t>Affordable Robotic &amp; Automation Limited</t>
  </si>
  <si>
    <t>AFFORDABLE</t>
  </si>
  <si>
    <t>Indigo Paints Limited</t>
  </si>
  <si>
    <t>INDIGOPNTS</t>
  </si>
  <si>
    <t>Secmark Consultancy Limited</t>
  </si>
  <si>
    <t>SECMARK</t>
  </si>
  <si>
    <t>PSP Projects Limited</t>
  </si>
  <si>
    <t>PSPPROJECT</t>
  </si>
  <si>
    <t>PROCTER &amp; GAMBLE HEALTH LIMITED</t>
  </si>
  <si>
    <t>PGHL</t>
  </si>
  <si>
    <t>3P LAND HOLDINGS LTD.</t>
  </si>
  <si>
    <t>3PLAND</t>
  </si>
  <si>
    <t>HPL Electric &amp; Power Limited</t>
  </si>
  <si>
    <t>HPL</t>
  </si>
  <si>
    <t>SKY GOLD LIMITED</t>
  </si>
  <si>
    <t>SKYGOLD</t>
  </si>
  <si>
    <t>MPS Limited</t>
  </si>
  <si>
    <t>MPSLTD</t>
  </si>
  <si>
    <t>PDS LIMITED</t>
  </si>
  <si>
    <t>PDSL</t>
  </si>
  <si>
    <t>Fairchem Organics Limited</t>
  </si>
  <si>
    <t>FAIRCHEMOR</t>
  </si>
  <si>
    <t>Goldiam International Ltd.</t>
  </si>
  <si>
    <t>GOLDIAM</t>
  </si>
  <si>
    <t>KDDL Ltd</t>
  </si>
  <si>
    <t>KDDL</t>
  </si>
  <si>
    <t>Syncom Formulations (India) Ltd.</t>
  </si>
  <si>
    <t>SYNCOMF</t>
  </si>
  <si>
    <t>Shankar Lal Rampal Dye-Chem Limited</t>
  </si>
  <si>
    <t>SRD</t>
  </si>
  <si>
    <t>Gujarat Raffia Ind. Ltd.</t>
  </si>
  <si>
    <t>GUJRAFFIA</t>
  </si>
  <si>
    <t>Nalwa Sons Investment Ltd</t>
  </si>
  <si>
    <t>NSIL</t>
  </si>
  <si>
    <t>Triveni Engineering &amp; Industries Ltd</t>
  </si>
  <si>
    <t>TRIVENI</t>
  </si>
  <si>
    <t>IKIO Lighting Limited</t>
  </si>
  <si>
    <t>IKIO</t>
  </si>
  <si>
    <t>HLE GLASCOAT LIMITED</t>
  </si>
  <si>
    <t>HLEGLAS</t>
  </si>
  <si>
    <t>Gland Pharma Limited</t>
  </si>
  <si>
    <t>GLAND</t>
  </si>
  <si>
    <t>Laxmi Organic Industries Limited</t>
  </si>
  <si>
    <t>LXCHEM</t>
  </si>
  <si>
    <t>Gokaldas Exports Ltd</t>
  </si>
  <si>
    <t>GOKEX</t>
  </si>
  <si>
    <t>Vertoz Ltd.</t>
  </si>
  <si>
    <t>VERTOZ</t>
  </si>
  <si>
    <t>NIIT Ltd.</t>
  </si>
  <si>
    <t>NIITLTD</t>
  </si>
  <si>
    <t>Nectar Lifesciences Limited</t>
  </si>
  <si>
    <t>NECLIFE</t>
  </si>
  <si>
    <t>VINTAGE COFFEE AND BEVERAGES LIMITED</t>
  </si>
  <si>
    <t>VINCOFE</t>
  </si>
  <si>
    <t>Hester Biosciences Ltd</t>
  </si>
  <si>
    <t>HESTERBIO</t>
  </si>
  <si>
    <t>PRIVI SPECIALITY CHEMICALS LIMITED</t>
  </si>
  <si>
    <t>PRIVISCL</t>
  </si>
  <si>
    <t>One Point One Solutions Ltd.</t>
  </si>
  <si>
    <t>ONEPOINT</t>
  </si>
  <si>
    <t>Sakar Healthcare Ltd.</t>
  </si>
  <si>
    <t>SAKAR</t>
  </si>
  <si>
    <t>J.B. Chemicals &amp; Pharmaceuticals Lt</t>
  </si>
  <si>
    <t>JBCHEPHARM</t>
  </si>
  <si>
    <t>Archean Chemical Industries Limited</t>
  </si>
  <si>
    <t>ACI</t>
  </si>
  <si>
    <t>MRO-TEK Realty Limited</t>
  </si>
  <si>
    <t>MRO-TEK</t>
  </si>
  <si>
    <t>R R KABEL LIMITED</t>
  </si>
  <si>
    <t>RRKABEL</t>
  </si>
  <si>
    <t>Kajaria Ceramics Ltd</t>
  </si>
  <si>
    <t>KAJARIACER</t>
  </si>
  <si>
    <t>BOROSIL RENEWABLES LIMITED</t>
  </si>
  <si>
    <t>BORORENEW</t>
  </si>
  <si>
    <t>NINtec Systems Limited</t>
  </si>
  <si>
    <t>NINSYS</t>
  </si>
  <si>
    <t>A B INFRABUILD LIMITED</t>
  </si>
  <si>
    <t>ABINFRA</t>
  </si>
  <si>
    <t>Manaksia Coated Metals &amp; Industries Ltd</t>
  </si>
  <si>
    <t>MANAKCOAT</t>
  </si>
  <si>
    <t>Whirlpool of India Ltd</t>
  </si>
  <si>
    <t>WHIRLPOOL</t>
  </si>
  <si>
    <t>Piramal Enterprises Limited</t>
  </si>
  <si>
    <t>PEL</t>
  </si>
  <si>
    <t>JTEKT India Limited</t>
  </si>
  <si>
    <t>JTEKTINDIA</t>
  </si>
  <si>
    <t>Aarti Industries Ltd</t>
  </si>
  <si>
    <t>AARTIIND</t>
  </si>
  <si>
    <t>Arihant Superstructures Limited</t>
  </si>
  <si>
    <t>ARIHANTSUP</t>
  </si>
  <si>
    <t>Sanofi India Ltd</t>
  </si>
  <si>
    <t>SANOFI</t>
  </si>
  <si>
    <t>Jyoti Structures Ltd.</t>
  </si>
  <si>
    <t>JYOTISTRUC</t>
  </si>
  <si>
    <t>Zodiac Energy Limited</t>
  </si>
  <si>
    <t>ZODIAC</t>
  </si>
  <si>
    <t>Garden Reach Shipbuilders &amp; Engineers Limited</t>
  </si>
  <si>
    <t>GRSE</t>
  </si>
  <si>
    <t>Atul Limited.</t>
  </si>
  <si>
    <t>ATUL</t>
  </si>
  <si>
    <t>AAA TECHNOLOGIES LIMITED</t>
  </si>
  <si>
    <t>AAATECH</t>
  </si>
  <si>
    <t>Jash Engineering Ltd.</t>
  </si>
  <si>
    <t>JASH</t>
  </si>
  <si>
    <t>GRAVITA INDIA LIMITED</t>
  </si>
  <si>
    <t>GRAVITA</t>
  </si>
  <si>
    <t>Bansal Wire Industries Limited</t>
  </si>
  <si>
    <t>BANSALWIRE</t>
  </si>
  <si>
    <t>Narayana Hrudayalaya Limited</t>
  </si>
  <si>
    <t>NH</t>
  </si>
  <si>
    <t>AKI India Limited</t>
  </si>
  <si>
    <t>AKI</t>
  </si>
  <si>
    <t>TTK Prestige Ltd.</t>
  </si>
  <si>
    <t>TTKPRESTIG</t>
  </si>
  <si>
    <t>Nila Spaces Ltd</t>
  </si>
  <si>
    <t>NILASPACES</t>
  </si>
  <si>
    <t>IFB Industries Limited</t>
  </si>
  <si>
    <t>IFBIND</t>
  </si>
  <si>
    <t>KEC International Ltd.</t>
  </si>
  <si>
    <t>KEC</t>
  </si>
  <si>
    <t>YATRA ONLINE LIMITED</t>
  </si>
  <si>
    <t>YATRA</t>
  </si>
  <si>
    <t>Filatex Fashions Ltd</t>
  </si>
  <si>
    <t>FILATFASH</t>
  </si>
  <si>
    <t>Himadri Speciality Chemical Ltd.</t>
  </si>
  <si>
    <t>HSCL</t>
  </si>
  <si>
    <t>Automotive Stampings and Assemblies Ltd.</t>
  </si>
  <si>
    <t>ASAL</t>
  </si>
  <si>
    <t>Aarti Surfactants Limited</t>
  </si>
  <si>
    <t>AARTISURF</t>
  </si>
  <si>
    <t>Kamdhenu Ventures Limited</t>
  </si>
  <si>
    <t>KAMOPAINTS</t>
  </si>
  <si>
    <t>Esab India Ltd.</t>
  </si>
  <si>
    <t>ESABINDIA</t>
  </si>
  <si>
    <t>Ingersoll-Rand (India) Ltd.</t>
  </si>
  <si>
    <t>INGERRAND</t>
  </si>
  <si>
    <t>Prince Pipes and Fittings Limited</t>
  </si>
  <si>
    <t>PRINCEPIPE</t>
  </si>
  <si>
    <t>Thyrocare Technologies Limited</t>
  </si>
  <si>
    <t>THYROCARE</t>
  </si>
  <si>
    <t>Liberty Shoes Ltd.</t>
  </si>
  <si>
    <t>LIBERTSHOE</t>
  </si>
  <si>
    <t>KAVERI TELECOM PRODUCTS LTD.</t>
  </si>
  <si>
    <t>KAVVERITEL</t>
  </si>
  <si>
    <t>Silver Touch Technologies Limited</t>
  </si>
  <si>
    <t>SILVERTUC</t>
  </si>
  <si>
    <t>Crompton Greaves Consumer Electricals Limited</t>
  </si>
  <si>
    <t>CROMPTON</t>
  </si>
  <si>
    <t>Gopal Snacks Limited</t>
  </si>
  <si>
    <t>GOPAL</t>
  </si>
  <si>
    <t>Khandwala Securities Ltd.</t>
  </si>
  <si>
    <t>KHANDSE</t>
  </si>
  <si>
    <t>Gulshan Polyols Ltd.</t>
  </si>
  <si>
    <t>GULPOLY</t>
  </si>
  <si>
    <t>BEML Ltd</t>
  </si>
  <si>
    <t>BEML</t>
  </si>
  <si>
    <t>Motisons Jewellers Limited</t>
  </si>
  <si>
    <t>MOTISONS</t>
  </si>
  <si>
    <t>Thangamayil Jewellery Limited</t>
  </si>
  <si>
    <t>THANGAMAYL</t>
  </si>
  <si>
    <t>Yuken India Ltd.</t>
  </si>
  <si>
    <t>YUKEN</t>
  </si>
  <si>
    <t>Borosil Scientific Limited</t>
  </si>
  <si>
    <t>BOROSCI</t>
  </si>
  <si>
    <t>Vinati Organics Ltd.</t>
  </si>
  <si>
    <t>VINATIORGA</t>
  </si>
  <si>
    <t>Roto Pumps Ltd.</t>
  </si>
  <si>
    <t>ROTO</t>
  </si>
  <si>
    <t>Asahi India Glass Ltd.</t>
  </si>
  <si>
    <t>ASAHIINDIA</t>
  </si>
  <si>
    <t>ROBUST HOTELS LIMITED</t>
  </si>
  <si>
    <t>RHL</t>
  </si>
  <si>
    <t>Entero Healthcare Solutions Limited</t>
  </si>
  <si>
    <t>ENTERO</t>
  </si>
  <si>
    <t>Prudent Corporate Advisory Services Limited</t>
  </si>
  <si>
    <t>PRUDENT</t>
  </si>
  <si>
    <t>Central Depository Services (India) Ltd.</t>
  </si>
  <si>
    <t>CDSL</t>
  </si>
  <si>
    <t>Symphony Limited</t>
  </si>
  <si>
    <t>SYMPHONY</t>
  </si>
  <si>
    <t>HeidelbergCement India Limited</t>
  </si>
  <si>
    <t>HEIDELBERG</t>
  </si>
  <si>
    <t>Sasken Technologies Limited</t>
  </si>
  <si>
    <t>SASKEN</t>
  </si>
  <si>
    <t>Suprajit Engineering Ltd.</t>
  </si>
  <si>
    <t>SUPRAJIT</t>
  </si>
  <si>
    <t>NBCC (India) Limited</t>
  </si>
  <si>
    <t>NBCC</t>
  </si>
  <si>
    <t>Trident Ltd</t>
  </si>
  <si>
    <t>TRIDENT</t>
  </si>
  <si>
    <t>Firstsource Solutions Ltd.</t>
  </si>
  <si>
    <t>FSL</t>
  </si>
  <si>
    <t>Aeroflex Industries Limited</t>
  </si>
  <si>
    <t>AEROFLEX</t>
  </si>
  <si>
    <t>Ice Make Refrigeration Ltd.</t>
  </si>
  <si>
    <t>ICEMAKE</t>
  </si>
  <si>
    <t>Anant Raj Limited</t>
  </si>
  <si>
    <t>ANANTRAJ</t>
  </si>
  <si>
    <t>Excel Realty N Infra Limited</t>
  </si>
  <si>
    <t>EXCEL</t>
  </si>
  <si>
    <t>Carborundum Universal Ltd.</t>
  </si>
  <si>
    <t>CARBORUNIV</t>
  </si>
  <si>
    <t>Orchid Pharma Limited</t>
  </si>
  <si>
    <t>ORCHPHARMA</t>
  </si>
  <si>
    <t>Aurionpro Solutions Ltd.</t>
  </si>
  <si>
    <t>AURIONPRO</t>
  </si>
  <si>
    <t>Gufic BioSciences Ltd.</t>
  </si>
  <si>
    <t>GUFICBIO</t>
  </si>
  <si>
    <t>Kanani Industries Ltd</t>
  </si>
  <si>
    <t>KANANIIND</t>
  </si>
  <si>
    <t>Elgi Equipments Ltd.</t>
  </si>
  <si>
    <t>ELGIEQUIP</t>
  </si>
  <si>
    <t>Go Fashion (India) Limited</t>
  </si>
  <si>
    <t>GOCOLORS</t>
  </si>
  <si>
    <t>Bafna Pharmaceuticals Limited</t>
  </si>
  <si>
    <t>BAFNAPH</t>
  </si>
  <si>
    <t>Greenpanel Industries Limited</t>
  </si>
  <si>
    <t>GREENPANEL</t>
  </si>
  <si>
    <t>INOX India Limited</t>
  </si>
  <si>
    <t>INOXINDIA</t>
  </si>
  <si>
    <t>Aptech Ltd.</t>
  </si>
  <si>
    <t>APTECHT</t>
  </si>
  <si>
    <t>RPG Life Sciences Limited</t>
  </si>
  <si>
    <t>RPGLIFE</t>
  </si>
  <si>
    <t>Ravi Kumar Distilleries Limited</t>
  </si>
  <si>
    <t>RKDL</t>
  </si>
  <si>
    <t>Minda Corporation Limited</t>
  </si>
  <si>
    <t>MINDACORP</t>
  </si>
  <si>
    <t>Mangalam Cement Ltd.</t>
  </si>
  <si>
    <t>MANGLMCEM</t>
  </si>
  <si>
    <t>Sagardeep Alloys Ltd.</t>
  </si>
  <si>
    <t>SAGARDEEP</t>
  </si>
  <si>
    <t>Bata India Limited</t>
  </si>
  <si>
    <t>BATAINDIA</t>
  </si>
  <si>
    <t>Bannari Amman Sugars Ltd.</t>
  </si>
  <si>
    <t>BANARISUG</t>
  </si>
  <si>
    <t>Jyoti CNC Automation Limited</t>
  </si>
  <si>
    <t>JYOTICNC</t>
  </si>
  <si>
    <t>Tirupati Forge Ltd.</t>
  </si>
  <si>
    <t>TIRUPATIFL</t>
  </si>
  <si>
    <t>Newgen Software Technologies Limited</t>
  </si>
  <si>
    <t>NEWGEN</t>
  </si>
  <si>
    <t>Astra Microwave Products Ltd.</t>
  </si>
  <si>
    <t>ASTRAMICRO</t>
  </si>
  <si>
    <t>Mahindra Holidays &amp; Resorts India Limited</t>
  </si>
  <si>
    <t>MHRIL</t>
  </si>
  <si>
    <t>STEL Holdings Limited</t>
  </si>
  <si>
    <t>STEL</t>
  </si>
  <si>
    <t>LLOYDS ENTERPRISES LIMITED</t>
  </si>
  <si>
    <t>LLOYDSENT</t>
  </si>
  <si>
    <t>Reliance Chemotex Industries Ltd.</t>
  </si>
  <si>
    <t>RELCHEMQ</t>
  </si>
  <si>
    <t>Sambhaav Media Ltd.</t>
  </si>
  <si>
    <t>SAMBHAAV</t>
  </si>
  <si>
    <t>Happiest Minds Technologies Limited</t>
  </si>
  <si>
    <t>HAPPSTMNDS</t>
  </si>
  <si>
    <t>Concord Biotech Limited</t>
  </si>
  <si>
    <t>CONCORDBIO</t>
  </si>
  <si>
    <t>Aaron Industries Ltd.</t>
  </si>
  <si>
    <t>AARON</t>
  </si>
  <si>
    <t>Sagility India Limited</t>
  </si>
  <si>
    <t>SAGILITY</t>
  </si>
  <si>
    <t>REDTAPE Limited</t>
  </si>
  <si>
    <t>REDTAPE</t>
  </si>
  <si>
    <t>Avantel Limited</t>
  </si>
  <si>
    <t>AVANTEL</t>
  </si>
  <si>
    <t>RAJ OIL MILLS LIMITED</t>
  </si>
  <si>
    <t>ROML</t>
  </si>
  <si>
    <t>The Anup Engineering Ltd</t>
  </si>
  <si>
    <t>ANUP</t>
  </si>
  <si>
    <t>Sangam (India) Ltd</t>
  </si>
  <si>
    <t>SANGAMIND</t>
  </si>
  <si>
    <t>GMM Pfaudler Ltd.</t>
  </si>
  <si>
    <t>GMMPFAUDLR</t>
  </si>
  <si>
    <t>Saregama India Ltd.</t>
  </si>
  <si>
    <t>SAREGAMA</t>
  </si>
  <si>
    <t>SBC EXPORTS LIMITED</t>
  </si>
  <si>
    <t>SBC</t>
  </si>
  <si>
    <t>SUMITOMO CHEMICAL INDIA LIMITED</t>
  </si>
  <si>
    <t>SUMICHEM</t>
  </si>
  <si>
    <t>APOLLO PIPES LIMITED</t>
  </si>
  <si>
    <t>APOLLOPIPE</t>
  </si>
  <si>
    <t>SPML Infra Limited</t>
  </si>
  <si>
    <t>SPMLINFRA</t>
  </si>
  <si>
    <t>Spacenet Enterprises India Ltd.</t>
  </si>
  <si>
    <t>SPCENET</t>
  </si>
  <si>
    <t>Keystone Realtors Limited</t>
  </si>
  <si>
    <t>RUSTOMJEE</t>
  </si>
  <si>
    <t>Latent View Analytics Limited</t>
  </si>
  <si>
    <t>LATENTVIEW</t>
  </si>
  <si>
    <t>Apollo Sindoori Hotels Ltd.</t>
  </si>
  <si>
    <t>APOLSINHOT</t>
  </si>
  <si>
    <t>Tega Industries Limited</t>
  </si>
  <si>
    <t>TEGA</t>
  </si>
  <si>
    <t>Total Transport Systems Ltd.</t>
  </si>
  <si>
    <t>TOTAL</t>
  </si>
  <si>
    <t>Timken India Ltd</t>
  </si>
  <si>
    <t>TIMKEN</t>
  </si>
  <si>
    <t>Axita Cotton Limited</t>
  </si>
  <si>
    <t>AXITA</t>
  </si>
  <si>
    <t>Dhampur Bio Organics Limited</t>
  </si>
  <si>
    <t>DBOL</t>
  </si>
  <si>
    <t>Hind Rectifiers Ltd.</t>
  </si>
  <si>
    <t>HIRECT</t>
  </si>
  <si>
    <t>V-Guard Industries Ltd.</t>
  </si>
  <si>
    <t>VGUARD</t>
  </si>
  <si>
    <t>KSB LIMITED</t>
  </si>
  <si>
    <t>KSB</t>
  </si>
  <si>
    <t>Gokul Refoils and Solvent Limited</t>
  </si>
  <si>
    <t>GOKUL</t>
  </si>
  <si>
    <t>Grindwell Norton Ltd.</t>
  </si>
  <si>
    <t>GRINDWELL</t>
  </si>
  <si>
    <t>ZF Commercial Vehicle Control Systems India Limited</t>
  </si>
  <si>
    <t>ZFCVINDIA</t>
  </si>
  <si>
    <t>SEJAL GLASS LIMITED</t>
  </si>
  <si>
    <t>SEJALLTD</t>
  </si>
  <si>
    <t>Artemis Medicare Services Limited</t>
  </si>
  <si>
    <t>ARTEMISMED</t>
  </si>
  <si>
    <t>Alkyl Amines Chemicals Ltd.</t>
  </si>
  <si>
    <t>ALKYLAMINE</t>
  </si>
  <si>
    <t>Wendt (India) Ltd.</t>
  </si>
  <si>
    <t>WENDT</t>
  </si>
  <si>
    <t>Rishabh Instruments Limited</t>
  </si>
  <si>
    <t>RISHABH</t>
  </si>
  <si>
    <t>SHAH METACORP LIMITED</t>
  </si>
  <si>
    <t>SHAH</t>
  </si>
  <si>
    <t>Music Broadcast Limited</t>
  </si>
  <si>
    <t>RADIOCITY</t>
  </si>
  <si>
    <t>Peninsula Land Limited</t>
  </si>
  <si>
    <t>PENINLAND</t>
  </si>
  <si>
    <t>KFin Technologies Limited</t>
  </si>
  <si>
    <t>KFINTECH</t>
  </si>
  <si>
    <t>Aartech Solonics Limited</t>
  </si>
  <si>
    <t>AARTECH</t>
  </si>
  <si>
    <t>ZAGGLE PREPAID OCEAN SERVICES LIMITED</t>
  </si>
  <si>
    <t>ZAGGLE</t>
  </si>
  <si>
    <t>Dr. Lal Pathlabs Limited</t>
  </si>
  <si>
    <t>LALPATHLAB</t>
  </si>
  <si>
    <t>TIPS MUSIC LIMITED</t>
  </si>
  <si>
    <t>TIPSMUSIC</t>
  </si>
  <si>
    <t>Vedant Fashions Limited</t>
  </si>
  <si>
    <t>MANYAVAR</t>
  </si>
  <si>
    <t>JNK India Limited</t>
  </si>
  <si>
    <t>JNKINDIA</t>
  </si>
  <si>
    <t>Zen Technologies Ltd.</t>
  </si>
  <si>
    <t>ZENTEC</t>
  </si>
  <si>
    <t>OM INFRA LIMITED</t>
  </si>
  <si>
    <t>OMINFRAL</t>
  </si>
  <si>
    <t>DIVGI TORQTRANSFER SYSTEMS LIMITED</t>
  </si>
  <si>
    <t>DIVGIITTS</t>
  </si>
  <si>
    <t>IRIS Business Services Limited</t>
  </si>
  <si>
    <t>IRIS</t>
  </si>
  <si>
    <t>Mishra Dhatu Nigam Limited</t>
  </si>
  <si>
    <t>MIDHANI</t>
  </si>
  <si>
    <t>Shipping Corporation of India Land and Assets Limited</t>
  </si>
  <si>
    <t>SCILAL</t>
  </si>
  <si>
    <t>The Byke Hospitality Ltd</t>
  </si>
  <si>
    <t>BYKE</t>
  </si>
  <si>
    <t>Blue Dart Express Ltd.</t>
  </si>
  <si>
    <t>BLUEDART</t>
  </si>
  <si>
    <t>Jupiter Life Line Hospitals Limited</t>
  </si>
  <si>
    <t>JLHL</t>
  </si>
  <si>
    <t>Avro India Limited</t>
  </si>
  <si>
    <t>AVROIND</t>
  </si>
  <si>
    <t>Neuland Laboratories Limited.</t>
  </si>
  <si>
    <t>NEULANDLAB</t>
  </si>
  <si>
    <t>HARDWYN INDIA LIMITED</t>
  </si>
  <si>
    <t>HARDWYN</t>
  </si>
  <si>
    <t>Religare Enterprises Ltd</t>
  </si>
  <si>
    <t>RELIGARE</t>
  </si>
  <si>
    <t>Data Patterns (India) Limited</t>
  </si>
  <si>
    <t>DATAPATTNS</t>
  </si>
  <si>
    <t>Clean Science and Technology Limited</t>
  </si>
  <si>
    <t>CLEAN</t>
  </si>
  <si>
    <t>GRP Limited</t>
  </si>
  <si>
    <t>GRPLTD</t>
  </si>
  <si>
    <t>XTGLOBAL INFOTECH LIMITED</t>
  </si>
  <si>
    <t>XTGLOBAL</t>
  </si>
  <si>
    <t>Motor &amp; General Finance (M.G.F.) Lt</t>
  </si>
  <si>
    <t>MOTOGENFIN</t>
  </si>
  <si>
    <t>Madhav Marbles &amp; Granites Ltd.</t>
  </si>
  <si>
    <t>MADHAV</t>
  </si>
  <si>
    <t>Eris Lifesciences Limited</t>
  </si>
  <si>
    <t>ERIS</t>
  </si>
  <si>
    <t>SURATWWALA BUSINESS GROUP LIMITED</t>
  </si>
  <si>
    <t>SBGLP</t>
  </si>
  <si>
    <t>GOYAL ALUMINIUMS LIMITED</t>
  </si>
  <si>
    <t>GOYALALUM</t>
  </si>
  <si>
    <t>Dynamatic Technologies Ltd.</t>
  </si>
  <si>
    <t>DYNAMATECH</t>
  </si>
  <si>
    <t>Jubilant Ingrevia Limited</t>
  </si>
  <si>
    <t>JUBLINGREA</t>
  </si>
  <si>
    <t>DCX Systems Limited</t>
  </si>
  <si>
    <t>DCXINDIA</t>
  </si>
  <si>
    <t>DJ Mediaprint &amp; Logistics Limited</t>
  </si>
  <si>
    <t>DJML</t>
  </si>
  <si>
    <t>Pavna Industries Limited</t>
  </si>
  <si>
    <t>PAVNAIND</t>
  </si>
  <si>
    <t>DEE DEVELOPMENT ENGINEERS LIMITED</t>
  </si>
  <si>
    <t>DEEDEV</t>
  </si>
  <si>
    <t>Hindustan Copper Ltd.</t>
  </si>
  <si>
    <t>HINDCOPPER</t>
  </si>
  <si>
    <t>Manali Petrochemicals Ltd.</t>
  </si>
  <si>
    <t>MANALIPETC</t>
  </si>
  <si>
    <t>Gillette India Ltd.</t>
  </si>
  <si>
    <t>GILLETTE</t>
  </si>
  <si>
    <t>Websol Energy System Limited</t>
  </si>
  <si>
    <t>WEBELSOLAR</t>
  </si>
  <si>
    <t>Rane Engine Valve Limited</t>
  </si>
  <si>
    <t>RANEENGINE</t>
  </si>
  <si>
    <t>DIGISPICE TECHNOLOGIES LIMITED</t>
  </si>
  <si>
    <t>DIGISPICE</t>
  </si>
  <si>
    <t>MMTC Ltd.</t>
  </si>
  <si>
    <t>MMTC</t>
  </si>
  <si>
    <t>Rainbow Children's Medicare Limited</t>
  </si>
  <si>
    <t>RAINBOW</t>
  </si>
  <si>
    <t>The Ramco Cements Limited</t>
  </si>
  <si>
    <t>RAMCOCEM</t>
  </si>
  <si>
    <t>Orient Green Power Company Limited</t>
  </si>
  <si>
    <t>GREENPOWER</t>
  </si>
  <si>
    <t>DCW Ltd.</t>
  </si>
  <si>
    <t>DCW</t>
  </si>
  <si>
    <t>Tainwala Chemicals &amp; Plastics Ltd</t>
  </si>
  <si>
    <t>TAINWALCHM</t>
  </si>
  <si>
    <t>HBL ENGINEERING LIMITED</t>
  </si>
  <si>
    <t>HBLENGINE</t>
  </si>
  <si>
    <t>B.A.G. Films &amp; Media Ltd</t>
  </si>
  <si>
    <t>BAGFILMS</t>
  </si>
  <si>
    <t>DCM NOUVELLE LIMITED</t>
  </si>
  <si>
    <t>DCMNVL</t>
  </si>
  <si>
    <t>Vidhi Specialty Food Ingredients Limited</t>
  </si>
  <si>
    <t>VIDHIING</t>
  </si>
  <si>
    <t>Lokesh Machines Limited</t>
  </si>
  <si>
    <t>LOKESHMACH</t>
  </si>
  <si>
    <t>Metropolis Healthcare Limited</t>
  </si>
  <si>
    <t>METROPOLIS</t>
  </si>
  <si>
    <t>Greenlam Industries Ltd</t>
  </si>
  <si>
    <t>GREENLAM</t>
  </si>
  <si>
    <t>Craftsman Automation Limited</t>
  </si>
  <si>
    <t>CRAFTSMAN</t>
  </si>
  <si>
    <t>California Software Co. Ltd.</t>
  </si>
  <si>
    <t>CALSOFT</t>
  </si>
  <si>
    <t>Sheela Foam Limited</t>
  </si>
  <si>
    <t>SFL</t>
  </si>
  <si>
    <t>Affle (India) Limited</t>
  </si>
  <si>
    <t>AFFLE</t>
  </si>
  <si>
    <t>Lemon Tree Hotels Limited</t>
  </si>
  <si>
    <t>LEMONTREE</t>
  </si>
  <si>
    <t>Bombay Super Hybrid Seeds Ltd.</t>
  </si>
  <si>
    <t>BSHSL</t>
  </si>
  <si>
    <t>Tarsons Products Limited</t>
  </si>
  <si>
    <t>TARSONS</t>
  </si>
  <si>
    <t>Triveni Turbine Limited</t>
  </si>
  <si>
    <t>TRITURBINE</t>
  </si>
  <si>
    <t>MEDICO REMEDIES LIMITED</t>
  </si>
  <si>
    <t>MEDICO</t>
  </si>
  <si>
    <t>Cyient DLM Limited</t>
  </si>
  <si>
    <t>CYIENTDLM</t>
  </si>
  <si>
    <t>Genesys International Corporation Ltd.</t>
  </si>
  <si>
    <t>GENESYS</t>
  </si>
  <si>
    <t>Syrma SGS Technology Limited</t>
  </si>
  <si>
    <t>SYRMA</t>
  </si>
  <si>
    <t>MSP STEEL &amp; POWER LTD.</t>
  </si>
  <si>
    <t>MSPL</t>
  </si>
  <si>
    <t>Easy Trip Planners Limited</t>
  </si>
  <si>
    <t>EASEMYTRIP</t>
  </si>
  <si>
    <t>Xpro India Ltd.</t>
  </si>
  <si>
    <t>XPROINDIA</t>
  </si>
  <si>
    <t>Bigbloc Construction Limited</t>
  </si>
  <si>
    <t>BIGBLOC</t>
  </si>
  <si>
    <t>Krishna Institute of Medical Sciences Limited</t>
  </si>
  <si>
    <t>KIMS</t>
  </si>
  <si>
    <t>ORIENT CEMENT LIMITED</t>
  </si>
  <si>
    <t>ORIENTCEM</t>
  </si>
  <si>
    <t>AKG Exim Ltd.</t>
  </si>
  <si>
    <t>AKG</t>
  </si>
  <si>
    <t>Madhya Bharat Agro Products Ltd.</t>
  </si>
  <si>
    <t>MBAPL</t>
  </si>
  <si>
    <t>Mrs. Bectors Food Specialities Limited</t>
  </si>
  <si>
    <t>BECTORFOOD</t>
  </si>
  <si>
    <t>Silly Monks Entertainment Ltd.</t>
  </si>
  <si>
    <t>SILLYMONKS</t>
  </si>
  <si>
    <t>Sudarshan Chemical Indus. Ltd.</t>
  </si>
  <si>
    <t>SUDARSCHEM</t>
  </si>
  <si>
    <t>TVS Srichakra Ltd.</t>
  </si>
  <si>
    <t>TVSSRICHAK</t>
  </si>
  <si>
    <t>IL &amp; FS Investment Managers Ltd.</t>
  </si>
  <si>
    <t>IVC</t>
  </si>
  <si>
    <t>SENORES PHARMACEUTICALS LIMITED</t>
  </si>
  <si>
    <t>SENORES</t>
  </si>
  <si>
    <t>Aditya Vision Limited</t>
  </si>
  <si>
    <t>AVL</t>
  </si>
  <si>
    <t>Marine Electricals (India) Ltd.</t>
  </si>
  <si>
    <t>MARINE</t>
  </si>
  <si>
    <t>Hindustan Foods Ltd.</t>
  </si>
  <si>
    <t>HNDFDS</t>
  </si>
  <si>
    <t>Premier Explosives Ltd.</t>
  </si>
  <si>
    <t>PREMEXPLN</t>
  </si>
  <si>
    <t>Optiemus Infracom Limited</t>
  </si>
  <si>
    <t>OPTIEMUS</t>
  </si>
  <si>
    <t>Bikaji Foods International Limited</t>
  </si>
  <si>
    <t>BIKAJI</t>
  </si>
  <si>
    <t>Sanofi Consumer Healthcare India Limited</t>
  </si>
  <si>
    <t>SANOFICONR</t>
  </si>
  <si>
    <t>STANLEY LIFESTYLES LIMITED</t>
  </si>
  <si>
    <t>STANLEY</t>
  </si>
  <si>
    <t>Medicamen Biotech Ltd.</t>
  </si>
  <si>
    <t>MEDICAMEQ</t>
  </si>
  <si>
    <t>Blue Jet Healthcare Limited</t>
  </si>
  <si>
    <t>BLUEJET</t>
  </si>
  <si>
    <t>Hikal Ltd.</t>
  </si>
  <si>
    <t>HIKAL</t>
  </si>
  <si>
    <t>Relaxo Footwears Ltd.</t>
  </si>
  <si>
    <t>RELAXO</t>
  </si>
  <si>
    <t>Jocil Ltd.</t>
  </si>
  <si>
    <t>JOCIL</t>
  </si>
  <si>
    <t>Borosil Limited</t>
  </si>
  <si>
    <t>BOROLTD</t>
  </si>
  <si>
    <t>Tamil Nadu Newsprint And Papers Ltd</t>
  </si>
  <si>
    <t>TNPL</t>
  </si>
  <si>
    <t>Arvind Fashions Limited</t>
  </si>
  <si>
    <t>ARVINDFASN</t>
  </si>
  <si>
    <t>Medplus Health Services Limited</t>
  </si>
  <si>
    <t>MEDPLUS</t>
  </si>
  <si>
    <t>STOVE KRAFT LIMITED</t>
  </si>
  <si>
    <t>STOVEKRAFT</t>
  </si>
  <si>
    <t>Apollo Micro Systems Limited</t>
  </si>
  <si>
    <t>APOLLO</t>
  </si>
  <si>
    <t>Global Health Limited</t>
  </si>
  <si>
    <t>MEDANTA</t>
  </si>
  <si>
    <t>Shivalik Rasayan Ltd.</t>
  </si>
  <si>
    <t>SHIVALIK</t>
  </si>
  <si>
    <t>AYM Syntex Limited</t>
  </si>
  <si>
    <t>AYMSYNTEX</t>
  </si>
  <si>
    <t>Star Cement Limited</t>
  </si>
  <si>
    <t>STARCEMENT</t>
  </si>
  <si>
    <t>Rama Steel Tubes Limited</t>
  </si>
  <si>
    <t>RAMASTEEL</t>
  </si>
  <si>
    <t>C.E. Info Systems Limited</t>
  </si>
  <si>
    <t>MAPMYINDIA</t>
  </si>
  <si>
    <t>Igarashi Motors India Ltd.</t>
  </si>
  <si>
    <t>IGARASHI</t>
  </si>
  <si>
    <t>Maharashtra Scooters Ltd.</t>
  </si>
  <si>
    <t>MAHSCOOTER</t>
  </si>
  <si>
    <t>Choice International Ltd</t>
  </si>
  <si>
    <t>CHOICEIN</t>
  </si>
  <si>
    <t>Samhi Hotels Limited</t>
  </si>
  <si>
    <t>SAMHI</t>
  </si>
  <si>
    <t>Bajaj Electricals Ltd.</t>
  </si>
  <si>
    <t>BAJAJELEC</t>
  </si>
  <si>
    <t>AXISCADES TECHNOLOGIES LIMITED</t>
  </si>
  <si>
    <t>AXISCADES</t>
  </si>
  <si>
    <t>JBM Auto Limited</t>
  </si>
  <si>
    <t>JBMA</t>
  </si>
  <si>
    <t>Unimech Aerospace and Manufacturing Limited</t>
  </si>
  <si>
    <t>UNIMECH</t>
  </si>
  <si>
    <t>Campus Activewear Limited</t>
  </si>
  <si>
    <t>CAMPUS</t>
  </si>
  <si>
    <t>ETHOS LIMITED</t>
  </si>
  <si>
    <t>ETHOSLTD</t>
  </si>
  <si>
    <t>Hatsun Agro Products Ltd.</t>
  </si>
  <si>
    <t>HATSUN</t>
  </si>
  <si>
    <t>India Tourism Development Corporati</t>
  </si>
  <si>
    <t>ITDC</t>
  </si>
  <si>
    <t>Safari Industries (India) Ltd.</t>
  </si>
  <si>
    <t>SAFARI</t>
  </si>
  <si>
    <t>RAGHAV PRODUCTIVITY ENHANCERS LIMITED</t>
  </si>
  <si>
    <t>RPEL</t>
  </si>
  <si>
    <t>Oriental Hotels Ltd.</t>
  </si>
  <si>
    <t>ORIENTHOT</t>
  </si>
  <si>
    <t>Welspun Investments and Commercials Ltd.</t>
  </si>
  <si>
    <t>WELINV</t>
  </si>
  <si>
    <t>MUFIN GREEN FINANCE LIMITED</t>
  </si>
  <si>
    <t>MUFIN</t>
  </si>
  <si>
    <t>SCHNEIDER ELECTRIC INFRASTRUCTURE LIMITED</t>
  </si>
  <si>
    <t>SCHNEIDER</t>
  </si>
  <si>
    <t>Eureka Forbes Limited</t>
  </si>
  <si>
    <t>EUREKAFORB</t>
  </si>
  <si>
    <t>ICDS Ltd.</t>
  </si>
  <si>
    <t>ICDSLTD</t>
  </si>
  <si>
    <t>Varroc Engineering Limited</t>
  </si>
  <si>
    <t>VARROC</t>
  </si>
  <si>
    <t>Pil Italica Lifestyle Limited</t>
  </si>
  <si>
    <t>PILITA</t>
  </si>
  <si>
    <t>Poly Medicure Ltd</t>
  </si>
  <si>
    <t>POLYMED</t>
  </si>
  <si>
    <t>Paras Defence and Space Technologies Limited</t>
  </si>
  <si>
    <t>PARAS</t>
  </si>
  <si>
    <t>Suryalakshmi Cotton Mills Ltd.</t>
  </si>
  <si>
    <t>SURYALAXMI</t>
  </si>
  <si>
    <t>Manorama Industries Limited</t>
  </si>
  <si>
    <t>MANORAMA</t>
  </si>
  <si>
    <t>S.A.L. Steel Ltd.</t>
  </si>
  <si>
    <t>SALSTEEL</t>
  </si>
  <si>
    <t>Shilpa Medicare Ltd.</t>
  </si>
  <si>
    <t>SHILPAMED</t>
  </si>
  <si>
    <t>OLECTRA GREENTECH LIMITED</t>
  </si>
  <si>
    <t>OLECTRA</t>
  </si>
  <si>
    <t>Shalby Limited</t>
  </si>
  <si>
    <t>SHALBY</t>
  </si>
  <si>
    <t>Orient Electric Limited</t>
  </si>
  <si>
    <t>ORIENTELEC</t>
  </si>
  <si>
    <t>CarTrade Tech Limited</t>
  </si>
  <si>
    <t>CARTRADE</t>
  </si>
  <si>
    <t>KIRLOSKAR ELECTRIC COMPANY LTD.</t>
  </si>
  <si>
    <t>KECL</t>
  </si>
  <si>
    <t>SUNDARAM BRAKE LININGS LTD</t>
  </si>
  <si>
    <t>SUNDRMBRAK</t>
  </si>
  <si>
    <t>Atul Auto Limited</t>
  </si>
  <si>
    <t>ATULAUTO</t>
  </si>
  <si>
    <t>UNICOMMERCE ESOLUTIONS LIMITED</t>
  </si>
  <si>
    <t>UNIECOM</t>
  </si>
  <si>
    <t>Megastar Foods Limited</t>
  </si>
  <si>
    <t>MEGASTAR</t>
  </si>
  <si>
    <t>Brand Concepts Limited</t>
  </si>
  <si>
    <t>BCONCEPTS</t>
  </si>
  <si>
    <t>Latteys Industries Ltd.</t>
  </si>
  <si>
    <t>LATTEYS</t>
  </si>
  <si>
    <t>Pritish Nandy Communications Ltd</t>
  </si>
  <si>
    <t>PNC</t>
  </si>
  <si>
    <t>Inox Wind Limited</t>
  </si>
  <si>
    <t>INOXWIND</t>
  </si>
  <si>
    <t>Arvee Laboratories (India) Ltd.</t>
  </si>
  <si>
    <t>ARVEE</t>
  </si>
  <si>
    <t>DPSC Ltd.</t>
  </si>
  <si>
    <t>DPSCLTD</t>
  </si>
  <si>
    <t>LANDMARK CARS LIMITED</t>
  </si>
  <si>
    <t>LANDMARK</t>
  </si>
  <si>
    <t>HILTON METAL FORGING LIMITED</t>
  </si>
  <si>
    <t>HILTON</t>
  </si>
  <si>
    <t>Jindal Worldwide Ltd.</t>
  </si>
  <si>
    <t>JINDWORLD</t>
  </si>
  <si>
    <t>Navin Fluorine International Limited</t>
  </si>
  <si>
    <t>NAVINFLUOR</t>
  </si>
  <si>
    <t>Vijaya Diagnostic Centre Limited</t>
  </si>
  <si>
    <t>VIJAYA</t>
  </si>
  <si>
    <t>Awfis Space Solutions Limited</t>
  </si>
  <si>
    <t>AWFIS</t>
  </si>
  <si>
    <t>Century Plyboards (India) Ltd.</t>
  </si>
  <si>
    <t>CENTURYPLY</t>
  </si>
  <si>
    <t>Allcargo Logistics Ltd</t>
  </si>
  <si>
    <t>ALLCARGO</t>
  </si>
  <si>
    <t>Quick Heal Technologies Limited</t>
  </si>
  <si>
    <t>QUICKHEAL</t>
  </si>
  <si>
    <t>CL Educate Limited</t>
  </si>
  <si>
    <t>CLEDUCATE</t>
  </si>
  <si>
    <t>The Western India Plywoods Ltd.</t>
  </si>
  <si>
    <t>WIPL</t>
  </si>
  <si>
    <t>Country Condo's Ltd</t>
  </si>
  <si>
    <t>COUNCODOS</t>
  </si>
  <si>
    <t>Times Guaranty Ltd.</t>
  </si>
  <si>
    <t>TIMESGTY</t>
  </si>
  <si>
    <t>Go Digit General Insurance Limited</t>
  </si>
  <si>
    <t>GODIGIT</t>
  </si>
  <si>
    <t>E2E Networks Ltd.</t>
  </si>
  <si>
    <t>E2E</t>
  </si>
  <si>
    <t>NIVA BUPA HEALTH INSURANCE COMPANY LIMITED</t>
  </si>
  <si>
    <t>NIVABUPA</t>
  </si>
  <si>
    <t>AMD Industries Ltd</t>
  </si>
  <si>
    <t>AMDIND</t>
  </si>
  <si>
    <t>Art Nirman Ltd.</t>
  </si>
  <si>
    <t>ARTNIRMAN</t>
  </si>
  <si>
    <t>N. B. I. Industrial Finance Company Ltd.</t>
  </si>
  <si>
    <t>NBIFIN</t>
  </si>
  <si>
    <t>Entertainment Network (India) Ltd</t>
  </si>
  <si>
    <t>ENIL</t>
  </si>
  <si>
    <t>DOMS Industries Limited</t>
  </si>
  <si>
    <t>DOMS</t>
  </si>
  <si>
    <t>Orient Bell Limited</t>
  </si>
  <si>
    <t>ORIENTBELL</t>
  </si>
  <si>
    <t>A2Z Infra Engineering Limited</t>
  </si>
  <si>
    <t>A2ZINFRA</t>
  </si>
  <si>
    <t>RACE ECO CHAIN LIMITED</t>
  </si>
  <si>
    <t>RACE</t>
  </si>
  <si>
    <t>eMudhra Limited</t>
  </si>
  <si>
    <t>EMUDHRA</t>
  </si>
  <si>
    <t>Mazda Ltd.</t>
  </si>
  <si>
    <t>MAZDA</t>
  </si>
  <si>
    <t>V2 Retail Limited</t>
  </si>
  <si>
    <t>V2RETAIL</t>
  </si>
  <si>
    <t>Kokuyo Camlin Ltd</t>
  </si>
  <si>
    <t>KOKUYOCMLN</t>
  </si>
  <si>
    <t>Ami Organics Limited</t>
  </si>
  <si>
    <t>AMIORG</t>
  </si>
  <si>
    <t>Pansari Developers Ltd.</t>
  </si>
  <si>
    <t>PANSARI</t>
  </si>
  <si>
    <t>NETWEB TECHNOLOGIES INDIA LIMITED</t>
  </si>
  <si>
    <t>NETWEB</t>
  </si>
  <si>
    <t>Birla Cable Limited</t>
  </si>
  <si>
    <t>BIRLACABLE</t>
  </si>
  <si>
    <t>Sanginita Chemicals Ltd.</t>
  </si>
  <si>
    <t>SANGINITA</t>
  </si>
  <si>
    <t>Juniper Hotels Limited</t>
  </si>
  <si>
    <t>JUNIPER</t>
  </si>
  <si>
    <t>Honasa Consumer Limited</t>
  </si>
  <si>
    <t>HONASA</t>
  </si>
  <si>
    <t>Johnson Controls-Hitachi Air Conditioning India Ltd.</t>
  </si>
  <si>
    <t>JCHAC</t>
  </si>
  <si>
    <t>SEPC LIMITED</t>
  </si>
  <si>
    <t>SEPC</t>
  </si>
  <si>
    <t>Panache Digilife Ltd.</t>
  </si>
  <si>
    <t>PANACHE</t>
  </si>
  <si>
    <t>Airo Lam Ltd.</t>
  </si>
  <si>
    <t>AIROLAM</t>
  </si>
  <si>
    <t>DSJ KEEP LEARNING LIMITED</t>
  </si>
  <si>
    <t>KEEPLEARN</t>
  </si>
  <si>
    <t>Radico Khaitan Ltd.</t>
  </si>
  <si>
    <t>RADICO</t>
  </si>
  <si>
    <t>JSW Holdings Limited</t>
  </si>
  <si>
    <t>JSWHL</t>
  </si>
  <si>
    <t>Usha Martin Education &amp; Solutions Limited</t>
  </si>
  <si>
    <t>UMESLTD</t>
  </si>
  <si>
    <t>Amber Enterprises India Limited</t>
  </si>
  <si>
    <t>AMBER</t>
  </si>
  <si>
    <t>MTAR Technologies Limited</t>
  </si>
  <si>
    <t>MTARTECH</t>
  </si>
  <si>
    <t>Precision Camshafts Limited</t>
  </si>
  <si>
    <t>PRECAM</t>
  </si>
  <si>
    <t>Neogen Chemicals Limited</t>
  </si>
  <si>
    <t>NEOGEN</t>
  </si>
  <si>
    <t>Lyka Labs Ltd.</t>
  </si>
  <si>
    <t>LYKALABS</t>
  </si>
  <si>
    <t>Nelco Ltd</t>
  </si>
  <si>
    <t>NELCO</t>
  </si>
  <si>
    <t>Uniinfo Telecom Services Ltd.</t>
  </si>
  <si>
    <t>UNIINFO</t>
  </si>
  <si>
    <t>ASIAN GRANITO INDIA LIMITED</t>
  </si>
  <si>
    <t>ASIANTILES</t>
  </si>
  <si>
    <t>Lords Chloro Alkali Ltd</t>
  </si>
  <si>
    <t>LORDSCHLO</t>
  </si>
  <si>
    <t>Shaily Engineering Plastics Ltd.</t>
  </si>
  <si>
    <t>SHAILY</t>
  </si>
  <si>
    <t>Tasty Bite Eatables Ltd.</t>
  </si>
  <si>
    <t>TASTYBITE</t>
  </si>
  <si>
    <t>Diamines &amp; Chemicals Ltd.</t>
  </si>
  <si>
    <t>DIAMINESQ</t>
  </si>
  <si>
    <t>EPACK Durable Limited</t>
  </si>
  <si>
    <t>EPACK</t>
  </si>
  <si>
    <t>Le Travenues Technology Limited</t>
  </si>
  <si>
    <t>IXIGO</t>
  </si>
  <si>
    <t>Capital Trust Ltd.</t>
  </si>
  <si>
    <t>CAPTRUST</t>
  </si>
  <si>
    <t>Reliance Industrial Infrastructure</t>
  </si>
  <si>
    <t>RIIL</t>
  </si>
  <si>
    <t>Azad Engineering Limited</t>
  </si>
  <si>
    <t>AZAD</t>
  </si>
  <si>
    <t>Plaza Wires Limited</t>
  </si>
  <si>
    <t>PLAZACABLE</t>
  </si>
  <si>
    <t>HINDPRAKASH INDUSTRIES LIMITED</t>
  </si>
  <si>
    <t>HPIL</t>
  </si>
  <si>
    <t>Avalon Technologies Limited</t>
  </si>
  <si>
    <t>AVALON</t>
  </si>
  <si>
    <t>Khadim India Limited</t>
  </si>
  <si>
    <t>KHADIM</t>
  </si>
  <si>
    <t>De Nora India Limited</t>
  </si>
  <si>
    <t>DENORA</t>
  </si>
  <si>
    <t>Sai Life Sciences Limited</t>
  </si>
  <si>
    <t>SAILIFE</t>
  </si>
  <si>
    <t>Alphageo (India)Ltd.</t>
  </si>
  <si>
    <t>ALPHAGEO</t>
  </si>
  <si>
    <t>Servotech Power Systems Ltd.</t>
  </si>
  <si>
    <t>SERVOTECH</t>
  </si>
  <si>
    <t>SUVEN PHARMACEUTICALS LIMITED</t>
  </si>
  <si>
    <t>SUVENPHAR</t>
  </si>
  <si>
    <t>Nazara Technologies Limited</t>
  </si>
  <si>
    <t>NAZARA</t>
  </si>
  <si>
    <t>Anupam Rasayan India Limited</t>
  </si>
  <si>
    <t>ANURAS</t>
  </si>
  <si>
    <t>PG Electroplast Limited</t>
  </si>
  <si>
    <t>PGEL</t>
  </si>
  <si>
    <t>YASHO INDUSTRIES LIMITED</t>
  </si>
  <si>
    <t>YASHO</t>
  </si>
  <si>
    <t>Mahamaya Steel Industries Limited</t>
  </si>
  <si>
    <t>MAHASTEEL</t>
  </si>
  <si>
    <t>Aether Industries Limited</t>
  </si>
  <si>
    <t>AETHER</t>
  </si>
  <si>
    <t>Inox Wind Energy Limited</t>
  </si>
  <si>
    <t>IWEL</t>
  </si>
  <si>
    <t>Mahindra Lifespace Developers Ltd.</t>
  </si>
  <si>
    <t>MAHLIFE</t>
  </si>
  <si>
    <t>MAHINDRA EPC IRRIGATION LIMITED</t>
  </si>
  <si>
    <t>MAHEPC</t>
  </si>
  <si>
    <t>Bajel Projects Limited</t>
  </si>
  <si>
    <t>BAJEL</t>
  </si>
  <si>
    <t>Bodal Chemicals Ltd</t>
  </si>
  <si>
    <t>BODALCHEM</t>
  </si>
  <si>
    <t>Tatva Chintan Pharma Chem Limited</t>
  </si>
  <si>
    <t>TATVA</t>
  </si>
  <si>
    <t>DELPHI WORLD MONEY LIMITED</t>
  </si>
  <si>
    <t>DELPHIFX</t>
  </si>
  <si>
    <t>Ganga Forging Ltd.</t>
  </si>
  <si>
    <t>GANGAFORGE</t>
  </si>
  <si>
    <t>Baazar Style Retail Limited</t>
  </si>
  <si>
    <t>STYLEBAAZA</t>
  </si>
  <si>
    <t>Diamond Power Infrastructure Limited</t>
  </si>
  <si>
    <t>DIACABS</t>
  </si>
  <si>
    <t>HealthCare Global Enterprises Limited</t>
  </si>
  <si>
    <t>HCG</t>
  </si>
  <si>
    <t>Rajesh Exports Ltd.</t>
  </si>
  <si>
    <t>RAJESHEXPO</t>
  </si>
  <si>
    <t>Biofil Chemicals &amp; Pharmaceuticals</t>
  </si>
  <si>
    <t>BIOFILCHEM</t>
  </si>
  <si>
    <t>Standard Industries Ltd.</t>
  </si>
  <si>
    <t>SIL</t>
  </si>
  <si>
    <t>POONAWALLA FINCORP LIMITED</t>
  </si>
  <si>
    <t>POONAWALLA</t>
  </si>
  <si>
    <t>Transformers and Rectifiers (India) Limited</t>
  </si>
  <si>
    <t>TARIL</t>
  </si>
  <si>
    <t>Tokyo Plast International Ltd.</t>
  </si>
  <si>
    <t>TOKYOPLAST</t>
  </si>
  <si>
    <t>Euro India Fresh Foods Ltd.</t>
  </si>
  <si>
    <t>EIFFL</t>
  </si>
  <si>
    <t>Gujarat Lease Financing Limited</t>
  </si>
  <si>
    <t>GLFL</t>
  </si>
  <si>
    <t>IFCI Ltd.</t>
  </si>
  <si>
    <t>IFCI</t>
  </si>
  <si>
    <t>Indo Thai Securities Limited</t>
  </si>
  <si>
    <t>INDOTHAI</t>
  </si>
  <si>
    <t>Chemfab Alkalis Ltd</t>
  </si>
  <si>
    <t>CHEMFAB</t>
  </si>
  <si>
    <t>Kolte-Patil Developers Ltd</t>
  </si>
  <si>
    <t>KOLTEPATIL</t>
  </si>
  <si>
    <t>Greaves Cotton Ltd.</t>
  </si>
  <si>
    <t>GREAVESCOT</t>
  </si>
  <si>
    <t>INOX GREEN ENERGY SERVICES LIMITED</t>
  </si>
  <si>
    <t>INOXGREEN</t>
  </si>
  <si>
    <t>Laurus Labs Limited</t>
  </si>
  <si>
    <t>LAURUSLABS</t>
  </si>
  <si>
    <t>GENUS PAPER &amp; BOARDS LIMITED</t>
  </si>
  <si>
    <t>GENUSPAPER</t>
  </si>
  <si>
    <t>Chalet Hotels Limited</t>
  </si>
  <si>
    <t>CHALET</t>
  </si>
  <si>
    <t>Globus Spirits Limited</t>
  </si>
  <si>
    <t>GLOBUSSPR</t>
  </si>
  <si>
    <t>SoftTech Engineers Limited</t>
  </si>
  <si>
    <t>SOFTTECH</t>
  </si>
  <si>
    <t>Kriti Industries (India) Ltd.</t>
  </si>
  <si>
    <t>KRITI</t>
  </si>
  <si>
    <t>Saurashtra Cement Limited</t>
  </si>
  <si>
    <t>SAURASHCEM</t>
  </si>
  <si>
    <t>Bartronics India Ltd.</t>
  </si>
  <si>
    <t>ASMS</t>
  </si>
  <si>
    <t>Agri-Tech India Ltd.</t>
  </si>
  <si>
    <t>AGRITECH</t>
  </si>
  <si>
    <t>Dolphin Offshore Enterprises (India) ltd.</t>
  </si>
  <si>
    <t>DOLPHIN</t>
  </si>
  <si>
    <t>Bhagiradha Chemicals and Industries</t>
  </si>
  <si>
    <t>BHAGCHEM</t>
  </si>
  <si>
    <t>Shoppers Stop Ltd</t>
  </si>
  <si>
    <t>SHOPERSTOP</t>
  </si>
  <si>
    <t>WONDER ELECTRICALS LIMITED</t>
  </si>
  <si>
    <t>WEL</t>
  </si>
  <si>
    <t>SIGNATUREGLOBAL (INDIA) LIMITED</t>
  </si>
  <si>
    <t>SIGNATURE</t>
  </si>
  <si>
    <t>W.S. Industries (India) Ltd.</t>
  </si>
  <si>
    <t>WSI</t>
  </si>
  <si>
    <t>AstraZeneca Pharma India Ltd.</t>
  </si>
  <si>
    <t>ASTRAZEN</t>
  </si>
  <si>
    <t>Archidply Decor Limited</t>
  </si>
  <si>
    <t>ADL</t>
  </si>
  <si>
    <t>Sadhana Nitrochem Ltd.</t>
  </si>
  <si>
    <t>SADHNANIQ</t>
  </si>
  <si>
    <t>Laxmi cotspin ltd.</t>
  </si>
  <si>
    <t>LAXMICOT</t>
  </si>
  <si>
    <t>Mirza International Limited</t>
  </si>
  <si>
    <t>MIRZAINT</t>
  </si>
  <si>
    <t>Sobha Limited</t>
  </si>
  <si>
    <t>SOBHA</t>
  </si>
  <si>
    <t>INCREDIBLE INDUSTRIES LIMITED</t>
  </si>
  <si>
    <t>INCREDIBLE</t>
  </si>
  <si>
    <t>Ashiana Housing Limited</t>
  </si>
  <si>
    <t>ASHIANA</t>
  </si>
  <si>
    <t>STERLING AND WILSON RENEWABLE ENERGY LIMITED</t>
  </si>
  <si>
    <t>SWSOLAR</t>
  </si>
  <si>
    <t>SNOWMAN LOGISTICS LIMITED</t>
  </si>
  <si>
    <t>SNOWMAN</t>
  </si>
  <si>
    <t>Country Club Hospitality &amp; Holidays Ltd</t>
  </si>
  <si>
    <t>CCHHL</t>
  </si>
  <si>
    <t>Vakrangee Limited</t>
  </si>
  <si>
    <t>VAKRANGEE</t>
  </si>
  <si>
    <t>Compucom Software Lt.</t>
  </si>
  <si>
    <t>COMPUSOFT</t>
  </si>
  <si>
    <t>Lotus Eye Hospital And Institute Limited</t>
  </si>
  <si>
    <t>LOTUSEYE</t>
  </si>
  <si>
    <t>Jayaswal Neco Industries Ltd</t>
  </si>
  <si>
    <t>JAYNECOIND</t>
  </si>
  <si>
    <t>ABM International Ltd.</t>
  </si>
  <si>
    <t>ABMINTLLTD</t>
  </si>
  <si>
    <t>Kernex Microsystems (India) Ltd.</t>
  </si>
  <si>
    <t>KERNEX</t>
  </si>
  <si>
    <t>Transwarranty Finance Limited</t>
  </si>
  <si>
    <t>TFL</t>
  </si>
  <si>
    <t>Butterfly Gandhimathi Appliances Limited</t>
  </si>
  <si>
    <t>BUTTERFLY</t>
  </si>
  <si>
    <t>Surana Solar Limited</t>
  </si>
  <si>
    <t>SURANASOL</t>
  </si>
  <si>
    <t>PVP Ventures Ltd</t>
  </si>
  <si>
    <t>PVP</t>
  </si>
  <si>
    <t>Sintercom India Ltd.</t>
  </si>
  <si>
    <t>SINTERCOM</t>
  </si>
  <si>
    <t>Bhartiya International Ltd.</t>
  </si>
  <si>
    <t>BIL</t>
  </si>
  <si>
    <t>Sequent Scientific Limited</t>
  </si>
  <si>
    <t>SEQUENT</t>
  </si>
  <si>
    <t>Sah Polymers Limited</t>
  </si>
  <si>
    <t>SAH</t>
  </si>
  <si>
    <t>Agro Tech Foods Ltd</t>
  </si>
  <si>
    <t>ATFL</t>
  </si>
  <si>
    <t>PTC Industries Ltd.</t>
  </si>
  <si>
    <t>PTCIL</t>
  </si>
  <si>
    <t>Orissa Bengal Carrier Limited</t>
  </si>
  <si>
    <t>OBCL</t>
  </si>
  <si>
    <t>Max Estates Limited</t>
  </si>
  <si>
    <t>MAXESTATES</t>
  </si>
  <si>
    <t>Shree Vasu Logistics Ltd.</t>
  </si>
  <si>
    <t>SVLL</t>
  </si>
  <si>
    <t>FCS Software Solutions Ltd.</t>
  </si>
  <si>
    <t>FCSSOFT</t>
  </si>
  <si>
    <t>Apex Frozen Foods Limited</t>
  </si>
  <si>
    <t>APEX</t>
  </si>
  <si>
    <t>Deccan Cements Ltd.</t>
  </si>
  <si>
    <t>DECCANCE</t>
  </si>
  <si>
    <t>Sapphire Foods India Limited</t>
  </si>
  <si>
    <t>SAPPHIRE</t>
  </si>
  <si>
    <t>S H Kelkar and Company Limited</t>
  </si>
  <si>
    <t>SHK</t>
  </si>
  <si>
    <t>PIRAMAL PHARMA LIMITED</t>
  </si>
  <si>
    <t>PPLPHARMA</t>
  </si>
  <si>
    <t>Orissa Minerals Development Company Limited</t>
  </si>
  <si>
    <t>ORISSAMINE</t>
  </si>
  <si>
    <t>Uniphos Enterprises Limited.</t>
  </si>
  <si>
    <t>UNIENTER</t>
  </si>
  <si>
    <t>Urja Global Limited</t>
  </si>
  <si>
    <t>URJA</t>
  </si>
  <si>
    <t>Devyani International Limited</t>
  </si>
  <si>
    <t>DEVYANI</t>
  </si>
  <si>
    <t>WESTLIFE FOODWORLD LIMITED</t>
  </si>
  <si>
    <t>WESTLIFE</t>
  </si>
  <si>
    <t>Delhivery Limited</t>
  </si>
  <si>
    <t>DELHIVERY</t>
  </si>
  <si>
    <t>Ujaas Energy Limited</t>
  </si>
  <si>
    <t>UEL</t>
  </si>
  <si>
    <t>Harrisons Malayalam Ltd.</t>
  </si>
  <si>
    <t>HARRMALAYA</t>
  </si>
  <si>
    <t>Gillanders Arbuthnot &amp; Co. Ltd.</t>
  </si>
  <si>
    <t>GILLANDERS</t>
  </si>
  <si>
    <t>Brainbees Solutions Limited</t>
  </si>
  <si>
    <t>FIRSTCRY</t>
  </si>
  <si>
    <t>Bayer CropScience Limited.</t>
  </si>
  <si>
    <t>ADITYA BIRLA REAL ESTATE LIMITED</t>
  </si>
  <si>
    <t>ABREL</t>
  </si>
  <si>
    <t>Multi Commodity Exchange of India Ltd</t>
  </si>
  <si>
    <t>Aegis Logistics Ltd.</t>
  </si>
  <si>
    <t>AEGISLOG</t>
  </si>
  <si>
    <t>ITI Limited (Indian Teleph.Ind.Ltd)</t>
  </si>
  <si>
    <t>ITI</t>
  </si>
  <si>
    <t>Tata Chemicals Ltd</t>
  </si>
  <si>
    <t>TATACHEM</t>
  </si>
  <si>
    <t>TVS Holdings Limited</t>
  </si>
  <si>
    <t>TVSHLTD</t>
  </si>
  <si>
    <t>Amara Raja Energy &amp; Mobility Limited</t>
  </si>
  <si>
    <t>ARE&amp;M</t>
  </si>
  <si>
    <t>KIOCL Limited</t>
  </si>
  <si>
    <t>KIOCL</t>
  </si>
  <si>
    <t>JUPITER WAGONS LIMITED</t>
  </si>
  <si>
    <t>JWL</t>
  </si>
  <si>
    <t>KALPATARU PROJECTS INTERNATIONAL LIMITED</t>
  </si>
  <si>
    <t>KPIL</t>
  </si>
  <si>
    <t>Aadhar Housing Finance Limited</t>
  </si>
  <si>
    <t>AADHARHFC</t>
  </si>
  <si>
    <t>TBO TEK LIMITED</t>
  </si>
  <si>
    <t>TBOTEK</t>
  </si>
  <si>
    <t>TITAGARH RAIL SYSTEMS LIMITED</t>
  </si>
  <si>
    <t>TITAGARH</t>
  </si>
  <si>
    <t>IDFC LIMITED</t>
  </si>
  <si>
    <t>LMW Limited</t>
  </si>
  <si>
    <t>LMW</t>
  </si>
  <si>
    <t>Wockhardt Ltd</t>
  </si>
  <si>
    <t>WOCKPHARMA</t>
  </si>
  <si>
    <t>WAAREE RENEWABLE TECHNOLOGIES LIMITED</t>
  </si>
  <si>
    <t>Ventive Hospitality Limited</t>
  </si>
  <si>
    <t>VENTIVE</t>
  </si>
  <si>
    <t>Tata Teleservices (Maharashtra) Ltd.</t>
  </si>
  <si>
    <t>TTML</t>
  </si>
  <si>
    <t>NMDC Steel Limited</t>
  </si>
  <si>
    <t>NSLNISP</t>
  </si>
  <si>
    <t>PVR INOX LIMITED</t>
  </si>
  <si>
    <t>PVRINOX</t>
  </si>
  <si>
    <t>Raymond Lifestyle Limited</t>
  </si>
  <si>
    <t>RAYMONDLSL</t>
  </si>
  <si>
    <t>Glenmark Life Sciences Limited</t>
  </si>
  <si>
    <t>GLS</t>
  </si>
  <si>
    <t>Nuvoco Vistas Corporation Limited</t>
  </si>
  <si>
    <t>NUVOCO</t>
  </si>
  <si>
    <t>Akums Drugs and Pharmaceuticals Limited</t>
  </si>
  <si>
    <t>AKUMS</t>
  </si>
  <si>
    <t>Alok Industries Ltd.</t>
  </si>
  <si>
    <t>ALOKINDS</t>
  </si>
  <si>
    <t>RHI MAGNESITA INDIA LIMITED</t>
  </si>
  <si>
    <t>RHIM</t>
  </si>
  <si>
    <t>India Cements Ltd.</t>
  </si>
  <si>
    <t>INDIACEM</t>
  </si>
  <si>
    <t>Bengal &amp; Assam Company Limited</t>
  </si>
  <si>
    <t>Puravankara Limited</t>
  </si>
  <si>
    <t>PURVA</t>
  </si>
  <si>
    <t>Kirloskar Ferrous Industries Ltd.</t>
  </si>
  <si>
    <t>VALOR ESTATE LIMITED</t>
  </si>
  <si>
    <t>DBREALTY</t>
  </si>
  <si>
    <t>Network 18 Media &amp; Investments Limited</t>
  </si>
  <si>
    <t>NETWORK18</t>
  </si>
  <si>
    <t>Elantas Beck India Ltd</t>
  </si>
  <si>
    <t>P N GADGIL JEWELLERS LIMITED</t>
  </si>
  <si>
    <t>PNGJL</t>
  </si>
  <si>
    <t>Shree Renuka Sugars Ltd.</t>
  </si>
  <si>
    <t>RENUKA</t>
  </si>
  <si>
    <t>Allied Blenders and Distillers Limited</t>
  </si>
  <si>
    <t>ABDL</t>
  </si>
  <si>
    <t>Kirloskar Pneumatic Co.Ltd.</t>
  </si>
  <si>
    <t>KIRLPNU</t>
  </si>
  <si>
    <t>PRISM JOHNSON LIMITED.</t>
  </si>
  <si>
    <t>PRSMJOHNSN</t>
  </si>
  <si>
    <t>National Standard (India) Limited</t>
  </si>
  <si>
    <t>LLOYDS ENGINEERING WORKS LIMITED</t>
  </si>
  <si>
    <t>LLOYDSENGG</t>
  </si>
  <si>
    <t>Kama Holdings Limited</t>
  </si>
  <si>
    <t>TVS Supply Chain Solutions Limited</t>
  </si>
  <si>
    <t>TVSSCS</t>
  </si>
  <si>
    <t>EQUINOX INDIA DEVELOPMENTS LIMITED</t>
  </si>
  <si>
    <t>EMBDL</t>
  </si>
  <si>
    <t>Chemplast Sanmar Limited</t>
  </si>
  <si>
    <t>CHEMPLASTS</t>
  </si>
  <si>
    <t>LS Industries Limited</t>
  </si>
  <si>
    <t>TV18 Broadcast Ltd.</t>
  </si>
  <si>
    <t>Protean eGov Technologies Limited</t>
  </si>
  <si>
    <t>INSOLATION ENERGY LIMITED</t>
  </si>
  <si>
    <t>V-Mart Retail Limited</t>
  </si>
  <si>
    <t>VMART</t>
  </si>
  <si>
    <t>Transrail Lighting Limited</t>
  </si>
  <si>
    <t>TRANSRAILL</t>
  </si>
  <si>
    <t>Piccadily Agro Industries ltd.</t>
  </si>
  <si>
    <t>Sun Pharma Advanced Research Company Ltd.</t>
  </si>
  <si>
    <t>SPARC</t>
  </si>
  <si>
    <t>Kennametal India Limtied</t>
  </si>
  <si>
    <t>V.I.P. Industries Ltd.</t>
  </si>
  <si>
    <t>VIPIND</t>
  </si>
  <si>
    <t>ZINKA LOGISTICS SOLUTIONS LIMITED</t>
  </si>
  <si>
    <t>BLACKBUCK</t>
  </si>
  <si>
    <t>Kesoram Industries Ltd</t>
  </si>
  <si>
    <t>KESORAMIND</t>
  </si>
  <si>
    <t>BHARAT GLOBAL DEVELOPERS LIMITED</t>
  </si>
  <si>
    <t>TARC LIMITED</t>
  </si>
  <si>
    <t>TARC</t>
  </si>
  <si>
    <t>Bondada Engineering Limited</t>
  </si>
  <si>
    <t>SpiceJet Limited</t>
  </si>
  <si>
    <t>Sterlite Technologies Limited.</t>
  </si>
  <si>
    <t>STLTECH</t>
  </si>
  <si>
    <t>MAGELLANIC CLOUD LIMITED</t>
  </si>
  <si>
    <t>Gujarat Alkalis &amp; Chemicals Ltd.</t>
  </si>
  <si>
    <t>GUJALKALI</t>
  </si>
  <si>
    <t>Kovai Medical Center &amp; Hospital Ltd</t>
  </si>
  <si>
    <t>Rain Industries Limited</t>
  </si>
  <si>
    <t>RAIN</t>
  </si>
  <si>
    <t>Hemisphere Properties India Limited</t>
  </si>
  <si>
    <t>HEMIPROP</t>
  </si>
  <si>
    <t>Shilchar Technologies Ltd.</t>
  </si>
  <si>
    <t>ENVIRO INFRA ENGINEERS LIMITED</t>
  </si>
  <si>
    <t>EIEL</t>
  </si>
  <si>
    <t>WPIL Ltd</t>
  </si>
  <si>
    <t>Restaurant Brands Asia Limited</t>
  </si>
  <si>
    <t>RBA</t>
  </si>
  <si>
    <t>Bajaj Hindusthan Sugar Limited</t>
  </si>
  <si>
    <t>BAJAJHIND</t>
  </si>
  <si>
    <t>Unichem Laboratories Ltd.</t>
  </si>
  <si>
    <t>UNICHEMLAB</t>
  </si>
  <si>
    <t>Jain Irrigation Systems Ltd.</t>
  </si>
  <si>
    <t>JISLJALEQS</t>
  </si>
  <si>
    <t>MOSCHIP TECHNOLOGIES LIMITED</t>
  </si>
  <si>
    <t>Sital Leasing And Finance Limited</t>
  </si>
  <si>
    <t>Grauer &amp; Weil (India) Ltd.</t>
  </si>
  <si>
    <t>Hawkins Cooker Ltd.</t>
  </si>
  <si>
    <t>Styrenix Performance Materials Limited</t>
  </si>
  <si>
    <t>STYRENIX</t>
  </si>
  <si>
    <t>Uflex Limited</t>
  </si>
  <si>
    <t>UFLEX</t>
  </si>
  <si>
    <t>SG MART LIMITED</t>
  </si>
  <si>
    <t>SUNDARAM-CLAYTON LIMITED</t>
  </si>
  <si>
    <t>SUNCLAY</t>
  </si>
  <si>
    <t>One Mobikwik Systems Limited</t>
  </si>
  <si>
    <t>MOBIKWIK</t>
  </si>
  <si>
    <t>IMAGICAAWORLD ENTERTAINMENT LIMITED</t>
  </si>
  <si>
    <t>IMAGICAA</t>
  </si>
  <si>
    <t>EXICOM TELE-SYSTEMS LIMITED</t>
  </si>
  <si>
    <t>EXICOM</t>
  </si>
  <si>
    <t>Prime Focus Limited</t>
  </si>
  <si>
    <t>PFOCUS</t>
  </si>
  <si>
    <t>Northern Arc Capital Ltd.</t>
  </si>
  <si>
    <t>NORTHARC</t>
  </si>
  <si>
    <t>KRN HEAT EXCHANGER AND REFRIGERATION LIMITED</t>
  </si>
  <si>
    <t>KRN</t>
  </si>
  <si>
    <t>Rajoo Engineers Ltd.</t>
  </si>
  <si>
    <t>Nirlon Limited</t>
  </si>
  <si>
    <t>Blue Cloud Softech Solutions Limited</t>
  </si>
  <si>
    <t>Dhani Services Limited</t>
  </si>
  <si>
    <t>DHANI</t>
  </si>
  <si>
    <t>Spandana Sphoorty Financial Limited</t>
  </si>
  <si>
    <t>SPANDANA</t>
  </si>
  <si>
    <t>CARRARO INDIA LIMITED</t>
  </si>
  <si>
    <t>CARRARO</t>
  </si>
  <si>
    <t>Gujarat Themis Biosyn Ltd.</t>
  </si>
  <si>
    <t>Mahanagar Telephone Nigam Ltd.</t>
  </si>
  <si>
    <t>MTNL</t>
  </si>
  <si>
    <t>FISCHER MEDICAL VENTURES LIMITED</t>
  </si>
  <si>
    <t>DDEV PLASTIKS INDUSTRIES LIMITED</t>
  </si>
  <si>
    <t>Sindhu Trade Links Limited</t>
  </si>
  <si>
    <t>SINDHUTRAD</t>
  </si>
  <si>
    <t>Thirumalai Chemicals Ltd.</t>
  </si>
  <si>
    <t>TIRUMALCHM</t>
  </si>
  <si>
    <t>Mahindra Logistics Limited</t>
  </si>
  <si>
    <t>MAHLOG</t>
  </si>
  <si>
    <t>RPSG VENTURES LIMITED</t>
  </si>
  <si>
    <t>RPSGVENT</t>
  </si>
  <si>
    <t>SOLARA ACTIVE PHARMA SCIENCES LIMITED</t>
  </si>
  <si>
    <t>SOLARA</t>
  </si>
  <si>
    <t>MARSONS LIMITED</t>
  </si>
  <si>
    <t>GTL Infrastructure Limited</t>
  </si>
  <si>
    <t>GTLINFRA</t>
  </si>
  <si>
    <t>Dishman Carbogen Amcis Limited</t>
  </si>
  <si>
    <t>DCAL</t>
  </si>
  <si>
    <t>Sanathan Textiles Limited</t>
  </si>
  <si>
    <t>SANATHAN</t>
  </si>
  <si>
    <t>Indoco Remedies Ltd.</t>
  </si>
  <si>
    <t>INDOCO</t>
  </si>
  <si>
    <t>Sagar Cements Ltd</t>
  </si>
  <si>
    <t>SAGCEM</t>
  </si>
  <si>
    <t>Suven Life Sciences Ltd.</t>
  </si>
  <si>
    <t>SUVEN</t>
  </si>
  <si>
    <t>IDEAFORGE TECHNOLOGY LIMITED</t>
  </si>
  <si>
    <t>IDEAFORGE</t>
  </si>
  <si>
    <t>ERAAYA LIFESPACES LIMITED</t>
  </si>
  <si>
    <t>Dredging Corporation of India Ltd.</t>
  </si>
  <si>
    <t>DREDGECORP</t>
  </si>
  <si>
    <t>FUSION FINANCE LIMITED</t>
  </si>
  <si>
    <t>FUSION</t>
  </si>
  <si>
    <t>Thejo Engineering Ltd.</t>
  </si>
  <si>
    <t>THEJO</t>
  </si>
  <si>
    <t>KP GREEN ENGINEERING LIMITED</t>
  </si>
  <si>
    <t>Tinna Rubber and Infrastructure Limited</t>
  </si>
  <si>
    <t>Veritas (India) Limited</t>
  </si>
  <si>
    <t>Unitech Ltd.</t>
  </si>
  <si>
    <t>UNITECH</t>
  </si>
  <si>
    <t>EFC (I) LIMITED</t>
  </si>
  <si>
    <t>Novartis India Limited.</t>
  </si>
  <si>
    <t>Hindware Home Innovation Limited</t>
  </si>
  <si>
    <t>HINDWAREAP</t>
  </si>
  <si>
    <t>Disa India Ltd.</t>
  </si>
  <si>
    <t>JOHN COCKERILL INDIA LIMITED</t>
  </si>
  <si>
    <t>Goodyear India Ltd.</t>
  </si>
  <si>
    <t>Sri Adhikari Brothers Television Ne</t>
  </si>
  <si>
    <t>SABTNL</t>
  </si>
  <si>
    <t>WELSPUN SPECIALTY SOLUTIONS LIMITED</t>
  </si>
  <si>
    <t>Dish TV India Limited</t>
  </si>
  <si>
    <t>DISHTV</t>
  </si>
  <si>
    <t>Interarch Building Products Limited</t>
  </si>
  <si>
    <t>INTERARCH</t>
  </si>
  <si>
    <t>Jubilant Industries Limited</t>
  </si>
  <si>
    <t>SG FINSERVE LIMITED</t>
  </si>
  <si>
    <t>NIBE LIMITED</t>
  </si>
  <si>
    <t>Meghmani Organics Limited</t>
  </si>
  <si>
    <t>MOL</t>
  </si>
  <si>
    <t>ESAF Small Finance Bank Ltd</t>
  </si>
  <si>
    <t>ESAFSFB</t>
  </si>
  <si>
    <t>Shanti Educational Initiatives Limited</t>
  </si>
  <si>
    <t>63 Moons Technologies Limited</t>
  </si>
  <si>
    <t>63MOONS</t>
  </si>
  <si>
    <t>Prataap Snacks Limited</t>
  </si>
  <si>
    <t>DIAMONDYD</t>
  </si>
  <si>
    <t>Systematix Corporate Services Ltd.</t>
  </si>
  <si>
    <t>SANSTAR LIMITED</t>
  </si>
  <si>
    <t>SANSTAR</t>
  </si>
  <si>
    <t>ASTEC LIFESCIENCES LIMITED</t>
  </si>
  <si>
    <t>ASTEC</t>
  </si>
  <si>
    <t>Andrew Yule &amp; Company Ltd</t>
  </si>
  <si>
    <t>Centum Electronics Ltd</t>
  </si>
  <si>
    <t>CENTUM</t>
  </si>
  <si>
    <t>BARBEQUE-NATION HOSPITALITY LIMITED</t>
  </si>
  <si>
    <t>BARBEQUE</t>
  </si>
  <si>
    <t>TechNVision Ventures Limited</t>
  </si>
  <si>
    <t>Sanghi Industries Ltd.</t>
  </si>
  <si>
    <t>SANGHIIND</t>
  </si>
  <si>
    <t>OMAXE LIMITED</t>
  </si>
  <si>
    <t>OMAXE</t>
  </si>
  <si>
    <t>TANFAC Industries Ltd.</t>
  </si>
  <si>
    <t>Hubtown Limited</t>
  </si>
  <si>
    <t>HUBTOWN</t>
  </si>
  <si>
    <t>Dr.Agarwals Eye Hospital Ltd.</t>
  </si>
  <si>
    <t>Polo Queen Industrial and Fintech Limited</t>
  </si>
  <si>
    <t>Media Matrix Worldwide Ltd.</t>
  </si>
  <si>
    <t>KESAR INDIA LIMITED</t>
  </si>
  <si>
    <t>Knowledge Marine &amp; Engineering Works Limited</t>
  </si>
  <si>
    <t>KMEW</t>
  </si>
  <si>
    <t>SURAKSHA DIAGNOSTIC LIMITED</t>
  </si>
  <si>
    <t>SURAKSHA</t>
  </si>
  <si>
    <t>RIR POWER ELECTRONICS LIMITED</t>
  </si>
  <si>
    <t>Navkar Corporation Limited</t>
  </si>
  <si>
    <t>NAVKARCORP</t>
  </si>
  <si>
    <t>HIL Limited</t>
  </si>
  <si>
    <t>HIL</t>
  </si>
  <si>
    <t>Citurgia Biochemicals Ltd.</t>
  </si>
  <si>
    <t>SPRIGHT AGRO LIMITED</t>
  </si>
  <si>
    <t>IFGL Refractories Limited</t>
  </si>
  <si>
    <t>IFGLEXPOR</t>
  </si>
  <si>
    <t>Veranda Learning Solutions Limited</t>
  </si>
  <si>
    <t>VERANDA</t>
  </si>
  <si>
    <t>Deccan Gold Mines Ltd.</t>
  </si>
  <si>
    <t>PRAVEG LIMITED</t>
  </si>
  <si>
    <t>Emrald Commercial Limited</t>
  </si>
  <si>
    <t>Balmer Lawrie Investments Ltd.</t>
  </si>
  <si>
    <t>Elpro International Ltd.</t>
  </si>
  <si>
    <t>Udaipur Cement Works Limited</t>
  </si>
  <si>
    <t>UDAICEMENT</t>
  </si>
  <si>
    <t>Advait Infratech Limited</t>
  </si>
  <si>
    <t>Kilburn Engineering Ltd</t>
  </si>
  <si>
    <t>Rossell Techsys Limited</t>
  </si>
  <si>
    <t>ROSSTECH</t>
  </si>
  <si>
    <t>Jaiprakash Associates Limited</t>
  </si>
  <si>
    <t>JPASSOCIAT</t>
  </si>
  <si>
    <t>GKW Ltd.</t>
  </si>
  <si>
    <t>GKWLIMITED</t>
  </si>
  <si>
    <t>ORIENTAL RAIL INFRASTRUCTURE LIMITED</t>
  </si>
  <si>
    <t>Camlin Fine Sciences Ltd</t>
  </si>
  <si>
    <t>CAMLINFINE</t>
  </si>
  <si>
    <t>Lotus Chocolate Co. Ltd.</t>
  </si>
  <si>
    <t>RAVINDRA ENERGY LIMITED</t>
  </si>
  <si>
    <t>RELTD</t>
  </si>
  <si>
    <t>Saraswati Commercial (India) Ltd.</t>
  </si>
  <si>
    <t>Panacea Biotec Ltd.</t>
  </si>
  <si>
    <t>PANACEABIO</t>
  </si>
  <si>
    <t>Eco Recycling Limited</t>
  </si>
  <si>
    <t>Godavari Biorefineries Limited</t>
  </si>
  <si>
    <t>GODAVARIB</t>
  </si>
  <si>
    <t>Jyoti Resins &amp; Adhesives Ltd</t>
  </si>
  <si>
    <t>ASM Technologies Ltd.</t>
  </si>
  <si>
    <t>BRIGHTCOM GROUP LIMITED</t>
  </si>
  <si>
    <t>BCG</t>
  </si>
  <si>
    <t>Walchandnagar Industries Ltd</t>
  </si>
  <si>
    <t>WALCHANNAG</t>
  </si>
  <si>
    <t>PAUSHAK LIMITED (formerly known as Darshak Limited)</t>
  </si>
  <si>
    <t>TCC CONCEPT LIMITED</t>
  </si>
  <si>
    <t>Zota Health Care Ltd.</t>
  </si>
  <si>
    <t>ZOTA</t>
  </si>
  <si>
    <t>Timex Group India Ltd</t>
  </si>
  <si>
    <t>RAJESH POWER SERVICES LIMITED</t>
  </si>
  <si>
    <t>CEINSYS TECH LIMITED</t>
  </si>
  <si>
    <t>Texmaco Infrastructure &amp; Holdings Ltd</t>
  </si>
  <si>
    <t>TEXINFRA</t>
  </si>
  <si>
    <t>Forbes Precision Tools and Machine Parts Limited</t>
  </si>
  <si>
    <t>Rane (Madras) Ltd.</t>
  </si>
  <si>
    <t>RML</t>
  </si>
  <si>
    <t>Everest Industries Ltd.</t>
  </si>
  <si>
    <t>EVERESTIND</t>
  </si>
  <si>
    <t>MERCURY EV-TECH LIMITED</t>
  </si>
  <si>
    <t>Elcid Investments Ltd.</t>
  </si>
  <si>
    <t>The Yamuna Syndicate Ltd</t>
  </si>
  <si>
    <t>Mishtann Foods Limited</t>
  </si>
  <si>
    <t>Subex Ltd</t>
  </si>
  <si>
    <t>SUBEXLTD</t>
  </si>
  <si>
    <t>Automobile Corpn. of Goa Ltd.</t>
  </si>
  <si>
    <t>Ultramarine &amp; Pigments Ltd.</t>
  </si>
  <si>
    <t>Windsor Machines Limited</t>
  </si>
  <si>
    <t>WINDMACHIN</t>
  </si>
  <si>
    <t>Centrum Capital Limited</t>
  </si>
  <si>
    <t>CENTRUM</t>
  </si>
  <si>
    <t>Fratelli Vineyards Limited</t>
  </si>
  <si>
    <t>Dhunseri Ventures Limited</t>
  </si>
  <si>
    <t>DVL</t>
  </si>
  <si>
    <t>Amic Forging Limited</t>
  </si>
  <si>
    <t>Hexa Tradex Limited</t>
  </si>
  <si>
    <t>HEXATRADEX</t>
  </si>
  <si>
    <t>Ramco Systems Ltd</t>
  </si>
  <si>
    <t>RAMCOSYS</t>
  </si>
  <si>
    <t>PANORAMA STUDIOS INTERNATIONAL LIMITED</t>
  </si>
  <si>
    <t>ALLCARGO GATI LIMITED</t>
  </si>
  <si>
    <t>ACLGATI</t>
  </si>
  <si>
    <t>BMW INDUSTRIES LIMITED</t>
  </si>
  <si>
    <t>VL E-Governance &amp; IT Solutions Limited</t>
  </si>
  <si>
    <t>VLEGOV</t>
  </si>
  <si>
    <t>Bajaj Steel Industries Ltd.</t>
  </si>
  <si>
    <t>CROPSTER AGRO LIMITED</t>
  </si>
  <si>
    <t>Cosmic CRF Limited</t>
  </si>
  <si>
    <t>Afcom Holdings Limited</t>
  </si>
  <si>
    <t>Ester Industries Ltd.</t>
  </si>
  <si>
    <t>ESTER</t>
  </si>
  <si>
    <t>Shiva Cement Ltd.</t>
  </si>
  <si>
    <t>FEDDERS HOLDING LIMITED</t>
  </si>
  <si>
    <t>CFF FLUID CONTROL LIMITED</t>
  </si>
  <si>
    <t>Western Carriers (India) Limited</t>
  </si>
  <si>
    <t>WCIL</t>
  </si>
  <si>
    <t>KMC Speciality Hospitals India Limited</t>
  </si>
  <si>
    <t>Kross Limited</t>
  </si>
  <si>
    <t>KROSS</t>
  </si>
  <si>
    <t>VEEFIN SOLUTIONS LIMITED</t>
  </si>
  <si>
    <t>Z.F. Steering Gear (India) Limited</t>
  </si>
  <si>
    <t>Rhetan TMT Limited</t>
  </si>
  <si>
    <t>Khazanchi Jewellers Limited</t>
  </si>
  <si>
    <t>Asian Star Co. Ltd.</t>
  </si>
  <si>
    <t>Frick India Limited</t>
  </si>
  <si>
    <t>Taneja Aerospace &amp; Aviation Ltd.</t>
  </si>
  <si>
    <t>Beekay Steel Industries Ltd.</t>
  </si>
  <si>
    <t>LAST MILE ENTERPRISES LIMITED</t>
  </si>
  <si>
    <t>Raj Rayon Industries Limited</t>
  </si>
  <si>
    <t>RAJRILTD</t>
  </si>
  <si>
    <t>WARDWIZARD INNOVATIONS AND MOBILITY LIMITED</t>
  </si>
  <si>
    <t>Dwarikesh Sugar Industries Ltd.</t>
  </si>
  <si>
    <t>DWARKESH</t>
  </si>
  <si>
    <t>Alphalogic Techsys Limited</t>
  </si>
  <si>
    <t>Mafatlal Industries Ltd.</t>
  </si>
  <si>
    <t>Jaykay Enterprises Limited</t>
  </si>
  <si>
    <t>Aurum PropTech Limited</t>
  </si>
  <si>
    <t>AURUM</t>
  </si>
  <si>
    <t>3B BlackBio Dx Limited</t>
  </si>
  <si>
    <t>Gala Precision Engineering Limited</t>
  </si>
  <si>
    <t>GALAPREC</t>
  </si>
  <si>
    <t>Saint-Gobain Sekurit India Ltd.</t>
  </si>
  <si>
    <t>New Delhi Television Limited</t>
  </si>
  <si>
    <t>NDTV</t>
  </si>
  <si>
    <t>Enkei wheels (India) Limited</t>
  </si>
  <si>
    <t>CAPITAL INDIA FINANCE LIMITED</t>
  </si>
  <si>
    <t>Finkurve Financial Services Limited</t>
  </si>
  <si>
    <t>Max India Limited</t>
  </si>
  <si>
    <t>MAXIND</t>
  </si>
  <si>
    <t>Indo Rama Synthetics (India) Ltd.</t>
  </si>
  <si>
    <t>INDORAMA</t>
  </si>
  <si>
    <t>Vantage Knowledge Academy Limited</t>
  </si>
  <si>
    <t>NACL Industries Limited</t>
  </si>
  <si>
    <t>NACLIND</t>
  </si>
  <si>
    <t>Sika Interplant Systems Ltd.</t>
  </si>
  <si>
    <t>IST Limited</t>
  </si>
  <si>
    <t>Industrial &amp; Prudential Inv. Co. Lt</t>
  </si>
  <si>
    <t>Bajaj Healthcare Limited</t>
  </si>
  <si>
    <t>BAJAJHCARE</t>
  </si>
  <si>
    <t>TUTICORIN ALKALI CHEMICALS AND FERTILIZERS LIMITED</t>
  </si>
  <si>
    <t>BEML Land Assets Limited</t>
  </si>
  <si>
    <t>BLAL</t>
  </si>
  <si>
    <t>Shalimar Paints Ltd.</t>
  </si>
  <si>
    <t>SHALPAINTS</t>
  </si>
  <si>
    <t>TGV SRAAC LIMITED</t>
  </si>
  <si>
    <t>AGS TRANSACT TECHNOLOGIES LIMITED</t>
  </si>
  <si>
    <t>AGSTRA</t>
  </si>
  <si>
    <t>SUTLEJ TEXTILES &amp; INDUSTRIES LIMITED</t>
  </si>
  <si>
    <t>SUTLEJTEX</t>
  </si>
  <si>
    <t>Jaybharat Textiles And Real Estate Limited</t>
  </si>
  <si>
    <t>Nahar Spinning Mills Ltd.</t>
  </si>
  <si>
    <t>NAHARSPING</t>
  </si>
  <si>
    <t>Valiant Organics Limited</t>
  </si>
  <si>
    <t>VALIANTORG</t>
  </si>
  <si>
    <t>Benares Hotels Ltd</t>
  </si>
  <si>
    <t>Zee Media Corporation Limited</t>
  </si>
  <si>
    <t>ZEEMEDIA</t>
  </si>
  <si>
    <t>Zuari Industries Limited</t>
  </si>
  <si>
    <t>ZUARIIND</t>
  </si>
  <si>
    <t>Jagatjit Industries Ltd.</t>
  </si>
  <si>
    <t>ALGOQUANT FINTECH LIMITED</t>
  </si>
  <si>
    <t>Voith Paper Fabrics India Ltd</t>
  </si>
  <si>
    <t>Bharat Parenterals Limited</t>
  </si>
  <si>
    <t>WAAREE TECHNOLOGIES LIMITED</t>
  </si>
  <si>
    <t>Sastasundar Ventures Limited</t>
  </si>
  <si>
    <t>SASTASUNDR</t>
  </si>
  <si>
    <t>Shree Ganesh Remedies Limited</t>
  </si>
  <si>
    <t>VASHU BHAGNANI INDUSTRIES LIMITED</t>
  </si>
  <si>
    <t>Sical Logistics Limited</t>
  </si>
  <si>
    <t>SICALLOG</t>
  </si>
  <si>
    <t>RSWM Limited</t>
  </si>
  <si>
    <t>RSWM</t>
  </si>
  <si>
    <t>Orient Paper &amp; Industries Ltd.</t>
  </si>
  <si>
    <t>ORIENTPPR</t>
  </si>
  <si>
    <t>Lancer Container Lines Limited</t>
  </si>
  <si>
    <t>Primo Chemicals Limited</t>
  </si>
  <si>
    <t>INDIA SOLOMON HOLDINGS LIMITED</t>
  </si>
  <si>
    <t>Concord Control Systems Limited</t>
  </si>
  <si>
    <t>K&amp;R RAIL ENGINEERING LIMITED</t>
  </si>
  <si>
    <t>PNGS GARGI FASHION JEWELLERY LIMITED</t>
  </si>
  <si>
    <t>Morganite Crucible (India) Limited</t>
  </si>
  <si>
    <t>Sar Auto Products Limited</t>
  </si>
  <si>
    <t>Transpek Industry Ltd.</t>
  </si>
  <si>
    <t>Rajapalayam Mills Limited</t>
  </si>
  <si>
    <t>Sarveshwar Foods Limited</t>
  </si>
  <si>
    <t>SARVESHWAR</t>
  </si>
  <si>
    <t>Hazoor Multi Projects Limited</t>
  </si>
  <si>
    <t>Tracxn Technologies Limited</t>
  </si>
  <si>
    <t>TRACXN</t>
  </si>
  <si>
    <t>Garuda Construction and Engineering Limited</t>
  </si>
  <si>
    <t>GARUDA</t>
  </si>
  <si>
    <t>Visaka Industries Ltd.</t>
  </si>
  <si>
    <t>VISAKAIND</t>
  </si>
  <si>
    <t>SPEL Semiconductor Ltd.</t>
  </si>
  <si>
    <t>TAAL Enterprises Limited</t>
  </si>
  <si>
    <t>Ugar Sugar Works Ltd.</t>
  </si>
  <si>
    <t>UGARSUGAR</t>
  </si>
  <si>
    <t>FERMENTA BIOTECH LIMITED</t>
  </si>
  <si>
    <t>Virtuoso Optoelectronics Limited</t>
  </si>
  <si>
    <t>Danlaw Technologies India Ltd.</t>
  </si>
  <si>
    <t>Integra Engineering India Ltd.</t>
  </si>
  <si>
    <t>Ashika Credit Capital Ltd.</t>
  </si>
  <si>
    <t>ADC India Communications Limited</t>
  </si>
  <si>
    <t>Macfos Limited</t>
  </si>
  <si>
    <t>RMC SWITCHGEARS LIMITED</t>
  </si>
  <si>
    <t>Kaycee Industries Ltd.</t>
  </si>
  <si>
    <t>Meson Valves India Limited</t>
  </si>
  <si>
    <t>EKI Energy Services Limited</t>
  </si>
  <si>
    <t>OnMobile Global Ltd.</t>
  </si>
  <si>
    <t>ONMOBILE</t>
  </si>
  <si>
    <t>Repro India Ltd.</t>
  </si>
  <si>
    <t>REPRO</t>
  </si>
  <si>
    <t>MONEYBOXX FINANCE LIMITED</t>
  </si>
  <si>
    <t>Axtel Industries Ltd.</t>
  </si>
  <si>
    <t>DEEP ENERGY RESOURCES LIMITED</t>
  </si>
  <si>
    <t>Global Surfaces Limited</t>
  </si>
  <si>
    <t>GSLSU</t>
  </si>
  <si>
    <t>Permanent Magnets Ltd.</t>
  </si>
  <si>
    <t>Gloster Ltd</t>
  </si>
  <si>
    <t>GLOSTERLTD</t>
  </si>
  <si>
    <t>RDB Realty &amp; Infrastructure Limited</t>
  </si>
  <si>
    <t>Spencer's Retail Limited</t>
  </si>
  <si>
    <t>SPENCERS</t>
  </si>
  <si>
    <t>Andhra Cement Ltd.</t>
  </si>
  <si>
    <t>ACL</t>
  </si>
  <si>
    <t>Haldyn Glass Limited</t>
  </si>
  <si>
    <t>TRANSWORLD SHIPPING LINES LIMITED</t>
  </si>
  <si>
    <t>TRANSWORLD</t>
  </si>
  <si>
    <t>Yash Highvoltage Limited</t>
  </si>
  <si>
    <t>KSE Ltd.</t>
  </si>
  <si>
    <t>Frontier Springs Ltd.</t>
  </si>
  <si>
    <t>Deepak Builders and Engineers India Limited</t>
  </si>
  <si>
    <t>DBEIL</t>
  </si>
  <si>
    <t>HAMPTON SKY REALTY LIMITED</t>
  </si>
  <si>
    <t>U.P. Hotels Ltd.</t>
  </si>
  <si>
    <t>Coffee Day Enterprises Limited</t>
  </si>
  <si>
    <t>COFFEEDAY</t>
  </si>
  <si>
    <t>Naperol Investments Limited</t>
  </si>
  <si>
    <t>VIKAS LIFECARE LIMITED</t>
  </si>
  <si>
    <t>VIKASLIFE</t>
  </si>
  <si>
    <t>Andhra Petrochemicals Ltd.</t>
  </si>
  <si>
    <t>Wim Plast Ltd.</t>
  </si>
  <si>
    <t>Forbes &amp; Company Ltd</t>
  </si>
  <si>
    <t>Kisan Mouldings Ltd.</t>
  </si>
  <si>
    <t>Kwality Pharmaceuticals Limited</t>
  </si>
  <si>
    <t>Parsvnath Developers Ltd.</t>
  </si>
  <si>
    <t>PARSVNATH</t>
  </si>
  <si>
    <t>NISUS FINANCE SERVICES CO LIMITED</t>
  </si>
  <si>
    <t>SWISS MILITARY CONSUMER GOODS LIMITED</t>
  </si>
  <si>
    <t>IIRM HOLDINGS INDIA LIMITED</t>
  </si>
  <si>
    <t>Khaitan Chemicals &amp; Fertilizers Ltd</t>
  </si>
  <si>
    <t>KHAICHEM</t>
  </si>
  <si>
    <t>MKVENTURES CAPITAL LIMITED</t>
  </si>
  <si>
    <t>Alliance Integrated Metaliks Limited</t>
  </si>
  <si>
    <t>A.K.Capital Services Ltd.</t>
  </si>
  <si>
    <t>Mac Charles (India) Ltd.</t>
  </si>
  <si>
    <t>Artemis Electricals and Projects Limited</t>
  </si>
  <si>
    <t>Nitta Gelatin India Ltd</t>
  </si>
  <si>
    <t>Dalmia Bharat Refractories Limited</t>
  </si>
  <si>
    <t>Sunshine Capital Ltd.</t>
  </si>
  <si>
    <t>SUDARSHAN PHARMA INDUSTRIES LIMITED</t>
  </si>
  <si>
    <t>SHIV TEXCHEM LIMITED</t>
  </si>
  <si>
    <t>Veljan Denison Limited</t>
  </si>
  <si>
    <t>TVS Electronics Ltd.</t>
  </si>
  <si>
    <t>TVSELECT</t>
  </si>
  <si>
    <t>INTEGRATED INDUSTRIES LIMITED</t>
  </si>
  <si>
    <t>City Pulse Multiplex Limited</t>
  </si>
  <si>
    <t>Pine Animation Limited</t>
  </si>
  <si>
    <t>Nitco Ltd.</t>
  </si>
  <si>
    <t>NITCO</t>
  </si>
  <si>
    <t>Prevest Denpro Limited</t>
  </si>
  <si>
    <t>Sunshield Chemicals Ltd.</t>
  </si>
  <si>
    <t>R&amp;B Denims Limited</t>
  </si>
  <si>
    <t>Modern Insulators Ltd.</t>
  </si>
  <si>
    <t>Balaji Telefilms Ltd.</t>
  </si>
  <si>
    <t>BALAJITELE</t>
  </si>
  <si>
    <t>Black Rose Industries Ltd</t>
  </si>
  <si>
    <t>Bright Outdoor Media Limited</t>
  </si>
  <si>
    <t>Laxmi Goldorna House Ltd.</t>
  </si>
  <si>
    <t>LGHL</t>
  </si>
  <si>
    <t>Goa Carbon Ltd.</t>
  </si>
  <si>
    <t>GOACARBON</t>
  </si>
  <si>
    <t>Stovec Industries Ltd.</t>
  </si>
  <si>
    <t>Shri Jagdamba Polymers Ltd</t>
  </si>
  <si>
    <t>Shardul Securities Ltd.</t>
  </si>
  <si>
    <t>Tantia Constructions Limited</t>
  </si>
  <si>
    <t>TCLCONS</t>
  </si>
  <si>
    <t>RUDRA ECOVATION LIMITED</t>
  </si>
  <si>
    <t>Artson Engineering Ltd</t>
  </si>
  <si>
    <t>Shriram Asset Management Co.Ltd.</t>
  </si>
  <si>
    <t>Nicco Parks And Resorts Ltd.</t>
  </si>
  <si>
    <t>Empire Industries Ltd.</t>
  </si>
  <si>
    <t>Orissa Sponge Iron And Steel Limited</t>
  </si>
  <si>
    <t>Worth Investment &amp; Trading Co Limited</t>
  </si>
  <si>
    <t>Suraj Products Ltd.</t>
  </si>
  <si>
    <t>Nile Ltd.</t>
  </si>
  <si>
    <t>Sayaji Hotel Ltd</t>
  </si>
  <si>
    <t>Arfin India Limited</t>
  </si>
  <si>
    <t>Aerpace Industries Limited</t>
  </si>
  <si>
    <t>Bella Casa Fashion &amp; Retail Limited</t>
  </si>
  <si>
    <t>Vishal Fabrics Limited</t>
  </si>
  <si>
    <t>Kiran Vyapar Limited</t>
  </si>
  <si>
    <t>Meghna Infracon Infrastructure Limited</t>
  </si>
  <si>
    <t>High Energy Batteries (India) Ltd.</t>
  </si>
  <si>
    <t>Delton Cables Ltd.</t>
  </si>
  <si>
    <t>Tiger Logistics (India) Limited</t>
  </si>
  <si>
    <t>Riddhi Siddhi Gluco Biols Ltd</t>
  </si>
  <si>
    <t>Newtime Infrastructure Limited</t>
  </si>
  <si>
    <t>Bharat Seats Ltd</t>
  </si>
  <si>
    <t>LUCENT INDUSTRIES LIMITED</t>
  </si>
  <si>
    <t>Uni-Abex Alloy Products Ltd.</t>
  </si>
  <si>
    <t>Kaya Limited</t>
  </si>
  <si>
    <t>KAYA</t>
  </si>
  <si>
    <t>Gretex Corporate Services Limited</t>
  </si>
  <si>
    <t>ORIENT CERATECH LIMITED</t>
  </si>
  <si>
    <t>ORIENTCER</t>
  </si>
  <si>
    <t>VVIP Infratech Limited</t>
  </si>
  <si>
    <t>AMRIT INDIA LIMITED</t>
  </si>
  <si>
    <t>Titan Bio-Tech Ltd.</t>
  </si>
  <si>
    <t>Nikhil Adhesives Ltd.</t>
  </si>
  <si>
    <t>HT Media Ltd</t>
  </si>
  <si>
    <t>HTMEDIA</t>
  </si>
  <si>
    <t>Niyogin Fintech Limited</t>
  </si>
  <si>
    <t>Reliance Communications Limited</t>
  </si>
  <si>
    <t>RCOM</t>
  </si>
  <si>
    <t>CIAN Agro Industries &amp; Infrastructure Limited</t>
  </si>
  <si>
    <t>HCL Infosystems Ltd</t>
  </si>
  <si>
    <t>HCL-INSYS</t>
  </si>
  <si>
    <t>Indag Rubber Ltd.</t>
  </si>
  <si>
    <t>Adventz Securities Enterprises Limited</t>
  </si>
  <si>
    <t>Raghuvir Synthetics Ltd.</t>
  </si>
  <si>
    <t>National Peroxide Limited</t>
  </si>
  <si>
    <t>Kanoria Chemicals &amp; Industries Ltd.</t>
  </si>
  <si>
    <t>KANORICHEM</t>
  </si>
  <si>
    <t>Vikram Thermo (India) Ltd.</t>
  </si>
  <si>
    <t>Maa Jagdambe Tradelinks Limited</t>
  </si>
  <si>
    <t>SHIVAM AUTOTECH LIMITED</t>
  </si>
  <si>
    <t>SHIVAMAUTO</t>
  </si>
  <si>
    <t>Sealmatic India Limited</t>
  </si>
  <si>
    <t>3i Infotech limited</t>
  </si>
  <si>
    <t>3IINFOLTD</t>
  </si>
  <si>
    <t>Goodricke Group Ltd.</t>
  </si>
  <si>
    <t>SoftSol India Limited.</t>
  </si>
  <si>
    <t>URAVI T AND WEDGE LAMPS LIMITED</t>
  </si>
  <si>
    <t>URAVI</t>
  </si>
  <si>
    <t>Josts Engineering Co. Ltd.</t>
  </si>
  <si>
    <t>Mirc Electronics Ltd</t>
  </si>
  <si>
    <t>MIRCELECTR</t>
  </si>
  <si>
    <t>Singer India Limited</t>
  </si>
  <si>
    <t>Triton Valves Ltd.</t>
  </si>
  <si>
    <t>Anjani Portland Cement Ltd.</t>
  </si>
  <si>
    <t>APCL</t>
  </si>
  <si>
    <t>Sadbhav Engineering Ltd.</t>
  </si>
  <si>
    <t>SADBHAV</t>
  </si>
  <si>
    <t>Valiant Laboratories Limited</t>
  </si>
  <si>
    <t>VALIANTLAB</t>
  </si>
  <si>
    <t>MODI’S NAVNIRMAN LIMITED</t>
  </si>
  <si>
    <t>Shalibhadra Finance Ltd.</t>
  </si>
  <si>
    <t>International Travel House Ltd</t>
  </si>
  <si>
    <t>Batliboi Ltd</t>
  </si>
  <si>
    <t>Kothari Products Ltd.</t>
  </si>
  <si>
    <t>KOTHARIPRO</t>
  </si>
  <si>
    <t>EVEXIA LIFECARE LIMITED</t>
  </si>
  <si>
    <t>Megasoft Ltd.</t>
  </si>
  <si>
    <t>MEGASOFT</t>
  </si>
  <si>
    <t>Rathi Steel &amp; Power Ltd</t>
  </si>
  <si>
    <t>IL&amp;FS Engineering and Construction Company Ltd</t>
  </si>
  <si>
    <t>IL&amp;FSENGG</t>
  </si>
  <si>
    <t>MACH CONFERENCES AND EVENTS LIMITED</t>
  </si>
  <si>
    <t>RUDRA GLOBAL INFRA PRODUCTS LIMITED</t>
  </si>
  <si>
    <t>Modi Naturals Limited</t>
  </si>
  <si>
    <t>Ador Fontech Ltd</t>
  </si>
  <si>
    <t>Taylormade Renewables Limited</t>
  </si>
  <si>
    <t>Valiant Communications Ltd.</t>
  </si>
  <si>
    <t>Pradeep Metals Ltd.</t>
  </si>
  <si>
    <t>Super Sales India Ltd.</t>
  </si>
  <si>
    <t>OCCL Limited</t>
  </si>
  <si>
    <t>OCCLLTD</t>
  </si>
  <si>
    <t>BOMBAY OXYGEN INVESTMENTS LIMITED</t>
  </si>
  <si>
    <t>Jenburkt Pharmaceuticals Ltd.</t>
  </si>
  <si>
    <t>Amal Ltd</t>
  </si>
  <si>
    <t>AZAD INDIA MOBILITY LIMITED</t>
  </si>
  <si>
    <t>B&amp;B Triplewall Containers Limited</t>
  </si>
  <si>
    <t>BBTCL</t>
  </si>
  <si>
    <t>Zenotech Laboratories Limited</t>
  </si>
  <si>
    <t>Cressanda Solutions Ltd.</t>
  </si>
  <si>
    <t>Supershakti Metaliks Limited</t>
  </si>
  <si>
    <t>Inertia Steel Limited</t>
  </si>
  <si>
    <t>QUEST CAPITAL MARKETS LIMITED</t>
  </si>
  <si>
    <t>Ambalal Sarabhai Enterprise Ltd.</t>
  </si>
  <si>
    <t>Haryana Financial Corporation ltd.</t>
  </si>
  <si>
    <t>Lakshmi Mills Company ltd</t>
  </si>
  <si>
    <t>SHEMAROO ENTERTAINMENT LIMITED</t>
  </si>
  <si>
    <t>SHEMAROO</t>
  </si>
  <si>
    <t>Aryaman Financial Services Ltd.</t>
  </si>
  <si>
    <t>Birla Precision Technologies Ltd</t>
  </si>
  <si>
    <t>Bharat Agri Fert and Realty Ltd</t>
  </si>
  <si>
    <t>POCL ENTERPRISES LTD</t>
  </si>
  <si>
    <t>Dhabriya Polywood Limited</t>
  </si>
  <si>
    <t>Arihant Foundations &amp; Housing Ltd.</t>
  </si>
  <si>
    <t>Swadeshi Polytex Ltd.</t>
  </si>
  <si>
    <t>Vadilal Enterprises Ltd.</t>
  </si>
  <si>
    <t>Akme Fintrade (India) Limited</t>
  </si>
  <si>
    <t>AFIL</t>
  </si>
  <si>
    <t>S &amp; S Power Switchgears Ltd.</t>
  </si>
  <si>
    <t>S&amp;SPOWER</t>
  </si>
  <si>
    <t>Thirdwave Financial Intermediaries</t>
  </si>
  <si>
    <t>Kritika Wires Ltd.</t>
  </si>
  <si>
    <t>KRITIKA</t>
  </si>
  <si>
    <t>Panchmahal Steel Ltd.</t>
  </si>
  <si>
    <t>Suyog Gurbaxani Funicular Ropeways Limited</t>
  </si>
  <si>
    <t>Jet Airways (India) Ltd</t>
  </si>
  <si>
    <t>GEM Enviro Management Limited</t>
  </si>
  <si>
    <t>Shish Industries Limited</t>
  </si>
  <si>
    <t>Sakthi Finance Ltd.</t>
  </si>
  <si>
    <t>Markolines Pavement Technologies Limited</t>
  </si>
  <si>
    <t>Madhav Infra Projects Limited</t>
  </si>
  <si>
    <t>Comfort Intech Ltd</t>
  </si>
  <si>
    <t>Gennex Laboratories Ltd</t>
  </si>
  <si>
    <t>Tierra Agrotech Limited</t>
  </si>
  <si>
    <t>Ceenik Exports (india) Ltd.</t>
  </si>
  <si>
    <t>Majestic Auto Ltd.</t>
  </si>
  <si>
    <t>MAAGH ADVERTISING AND MARKETING SERVICES LIMITED</t>
  </si>
  <si>
    <t>Galaxy Bearings Ltd.</t>
  </si>
  <si>
    <t>Menon Pistons Ltd.</t>
  </si>
  <si>
    <t>ATLANTAA LIMITED</t>
  </si>
  <si>
    <t>ATLANTAA</t>
  </si>
  <si>
    <t>Baroda Rayon Corpn. Ltd.</t>
  </si>
  <si>
    <t>AELEA COMMODITIES LIMITED</t>
  </si>
  <si>
    <t>PROZONE REALTY LIMITED</t>
  </si>
  <si>
    <t>PROZONER</t>
  </si>
  <si>
    <t>LOGICA INFOWAY LIMITED</t>
  </si>
  <si>
    <t>Mangalam Industrial Finance Limited</t>
  </si>
  <si>
    <t>EMAMI REALTY LIMITED</t>
  </si>
  <si>
    <t>EMAMIREAL</t>
  </si>
  <si>
    <t>Dai-Ichi Karkaria Ltd.</t>
  </si>
  <si>
    <t>HPC Biosciences Limited</t>
  </si>
  <si>
    <t>Cineline India Limited</t>
  </si>
  <si>
    <t>CINELINE</t>
  </si>
  <si>
    <t>OK Play India Ltd.</t>
  </si>
  <si>
    <t>Investment &amp; Precision Castings Ltd</t>
  </si>
  <si>
    <t>LEHAR FOOTWEARS LIMITED</t>
  </si>
  <si>
    <t>Aban Offshore Ltd.</t>
  </si>
  <si>
    <t>ABAN</t>
  </si>
  <si>
    <t>Exxaro Tiles Limited</t>
  </si>
  <si>
    <t>EXXARO</t>
  </si>
  <si>
    <t>A-1 LIMITED</t>
  </si>
  <si>
    <t>UCAL LIMITED</t>
  </si>
  <si>
    <t>UCAL</t>
  </si>
  <si>
    <t>Innovators Facade Systems Limited</t>
  </si>
  <si>
    <t>LIKHAMI CONSULTING LIMITED</t>
  </si>
  <si>
    <t>Kinetic Engineering Ltd.</t>
  </si>
  <si>
    <t>CAPTAIN POLYPLAST LIMITED</t>
  </si>
  <si>
    <t>GEE Ltd.</t>
  </si>
  <si>
    <t>STARLINEPS ENTERPRISES LIMITED</t>
  </si>
  <si>
    <t>HINDUSTHAN URBAN INFRASTRUCTURE LIMITED</t>
  </si>
  <si>
    <t>Quint Digital Limited</t>
  </si>
  <si>
    <t>Kings Infra Ventures Limited</t>
  </si>
  <si>
    <t>Multibase India Ltd</t>
  </si>
  <si>
    <t>Global Vectra Helicorp Ltd.</t>
  </si>
  <si>
    <t>GLOBALVECT</t>
  </si>
  <si>
    <t>Patels Airtemp (I) Ltd.</t>
  </si>
  <si>
    <t>Kerala Ayurveda Limited</t>
  </si>
  <si>
    <t>REMEDIUM LIFECARE LIMITED</t>
  </si>
  <si>
    <t>Royal India Corporation Limited</t>
  </si>
  <si>
    <t>Madhuveer Com 18 Network Limited</t>
  </si>
  <si>
    <t>Keltech Energies Ltd.</t>
  </si>
  <si>
    <t>ASI INDUSTRIES LIMITED</t>
  </si>
  <si>
    <t>Asian Hotels (North) Limited</t>
  </si>
  <si>
    <t>ASIANHOTNR</t>
  </si>
  <si>
    <t>GOURMET GATEWAY INDIA LIMITED</t>
  </si>
  <si>
    <t>Panasonic Energy India Co. Ltd.</t>
  </si>
  <si>
    <t>AAYUSH ART AND BULLION LIMITED</t>
  </si>
  <si>
    <t>Nitin Castings Limited</t>
  </si>
  <si>
    <t>Kaka Industries Limited</t>
  </si>
  <si>
    <t>Shri Keshav Cements and Infra Limited</t>
  </si>
  <si>
    <t>VIP Clothing Limited</t>
  </si>
  <si>
    <t>VIPCLOTHNG</t>
  </si>
  <si>
    <t>NDL Ventures Limited</t>
  </si>
  <si>
    <t>NDLVENTURE</t>
  </si>
  <si>
    <t>M.K.Proteins Limited</t>
  </si>
  <si>
    <t>MKPL</t>
  </si>
  <si>
    <t>Fredun Pharmaceuticals Limited</t>
  </si>
  <si>
    <t>KPT INDUSTRIES LIMITED</t>
  </si>
  <si>
    <t>CHEMTECH INDUSTRIAL VALVES LIMITED</t>
  </si>
  <si>
    <t>Bannari Amman Spinning Mills Ltd</t>
  </si>
  <si>
    <t>BASML</t>
  </si>
  <si>
    <t>Brady &amp; Morris Engineering Co. Ltd.</t>
  </si>
  <si>
    <t>Sunita Tools Limited</t>
  </si>
  <si>
    <t>Vintron Informatics Ltd.</t>
  </si>
  <si>
    <t>Shyam Century Ferrous Limited</t>
  </si>
  <si>
    <t>SHYAMCENT</t>
  </si>
  <si>
    <t>India Finsec Limited</t>
  </si>
  <si>
    <t>Milkfood Ltd.</t>
  </si>
  <si>
    <t>BGR ENERGY SYSTEMS LIMITED</t>
  </si>
  <si>
    <t>BGRENERGY</t>
  </si>
  <si>
    <t>STAR HOUSING FINANCE LIMITED</t>
  </si>
  <si>
    <t>Exhicon Events Media Solutions Limited</t>
  </si>
  <si>
    <t>VTM Ltd</t>
  </si>
  <si>
    <t>Refex Renewables &amp; Infrastructure Limited</t>
  </si>
  <si>
    <t>Alufluoride Ltd.</t>
  </si>
  <si>
    <t>Fluidomat Ltd.</t>
  </si>
  <si>
    <t>Competent Automobiles Co. Ltd.</t>
  </si>
  <si>
    <t>South West Pinnacle Exploration Limited</t>
  </si>
  <si>
    <t>SOUTHWEST</t>
  </si>
  <si>
    <t>Alacrity Securities Limited</t>
  </si>
  <si>
    <t>Coastal Corporation Limited</t>
  </si>
  <si>
    <t>COASTCORP</t>
  </si>
  <si>
    <t>Graviss Hospitality Ltd</t>
  </si>
  <si>
    <t>Vaarad Ventures Ltd</t>
  </si>
  <si>
    <t>Lakshmi Electrical Control Systems</t>
  </si>
  <si>
    <t>SHRADDHA PRIME PROJECTS LTD</t>
  </si>
  <si>
    <t>M. K. Exim (India) Ltd.</t>
  </si>
  <si>
    <t>Magna Electro Castings Ltd.</t>
  </si>
  <si>
    <t>Ravinder Heights Limited</t>
  </si>
  <si>
    <t>RVHL</t>
  </si>
  <si>
    <t>KBC GLOBAL LIMITED</t>
  </si>
  <si>
    <t>KBCGLOBAL</t>
  </si>
  <si>
    <t>BROOKS LABORATORIES LIMITED</t>
  </si>
  <si>
    <t>BROOKS</t>
  </si>
  <si>
    <t>Shri Venkatesh Refineries Limited</t>
  </si>
  <si>
    <t>Trident Lifeline Limited</t>
  </si>
  <si>
    <t>Bhatia Communications &amp; Retail (India) Limited</t>
  </si>
  <si>
    <t>Visa Steel Limited</t>
  </si>
  <si>
    <t>VISASTEEL</t>
  </si>
  <si>
    <t>Sanjivani Paranteral Ltd.</t>
  </si>
  <si>
    <t>Vishwaraj Sugar Industries Limited</t>
  </si>
  <si>
    <t>VISHWARAJ</t>
  </si>
  <si>
    <t>Kalyani Cast-Tech Limited</t>
  </si>
  <si>
    <t>Captain Technocast Limited</t>
  </si>
  <si>
    <t>McLeod Russel India Limited</t>
  </si>
  <si>
    <t>MCLEODRUSS</t>
  </si>
  <si>
    <t>Zodiac Clothing Co. Ltd.</t>
  </si>
  <si>
    <t>ZODIACLOTH</t>
  </si>
  <si>
    <t>Mapro Industries Ltd</t>
  </si>
  <si>
    <t>Northern Spirits Limited</t>
  </si>
  <si>
    <t>Sicagen India Limited</t>
  </si>
  <si>
    <t>Shukra Pharmaceuticals Limited</t>
  </si>
  <si>
    <t>Indian Toners &amp; Developers Ltd.</t>
  </si>
  <si>
    <t>Odigma Consultancy Solutions Limited</t>
  </si>
  <si>
    <t>Vijay Solvex Ltd.</t>
  </si>
  <si>
    <t>TALBROS ENGINEERING LIMITED</t>
  </si>
  <si>
    <t>Uday Jewellery Industries Limited.</t>
  </si>
  <si>
    <t>KANORIA ENERGY AND INFRASTRUCTURE LIMITED</t>
  </si>
  <si>
    <t>Rajasthan Gases Ltd.</t>
  </si>
  <si>
    <t>Ajanta Soya Limited</t>
  </si>
  <si>
    <t>Waterbase Limited</t>
  </si>
  <si>
    <t>Raj Television Network Ltd</t>
  </si>
  <si>
    <t>RAJTV</t>
  </si>
  <si>
    <t>SUBAM PAPERS LIMITED</t>
  </si>
  <si>
    <t>Maral Overseas Ltd.</t>
  </si>
  <si>
    <t>MARALOVER</t>
  </si>
  <si>
    <t>Apollo Finvest (India) Ltd.</t>
  </si>
  <si>
    <t>Scan Steels Limited</t>
  </si>
  <si>
    <t>Available Finance Ltd.</t>
  </si>
  <si>
    <t>Ruchi Infrastructure Ltd</t>
  </si>
  <si>
    <t>RUCHINFRA</t>
  </si>
  <si>
    <t>Droneacharya Aerial Innovations Limited</t>
  </si>
  <si>
    <t>Hindustan Organic Chemicals Ltd.</t>
  </si>
  <si>
    <t>Vipul Organics Limited</t>
  </si>
  <si>
    <t>Binny Ltd.</t>
  </si>
  <si>
    <t>VARIMAN GLOBAL ENTERPRISES LIMITED</t>
  </si>
  <si>
    <t>Panchsheel Organic Ltd.</t>
  </si>
  <si>
    <t>Bambino Agro Industries Ltd</t>
  </si>
  <si>
    <t>Bemco Hydraulics Ltd.</t>
  </si>
  <si>
    <t>Chemcrux Enterprises Limited</t>
  </si>
  <si>
    <t>Cosmo Ferrites Ltd.</t>
  </si>
  <si>
    <t>Rajnandini Metal Ltd.</t>
  </si>
  <si>
    <t>RAJMET</t>
  </si>
  <si>
    <t>SBEC Sugar Ltd.</t>
  </si>
  <si>
    <t>G G Engineering Limited</t>
  </si>
  <si>
    <t>Prithvi Exchange (India) Limited</t>
  </si>
  <si>
    <t>Inflame Appliances Limited</t>
  </si>
  <si>
    <t>Natural Capsules Ltd.</t>
  </si>
  <si>
    <t>Reliance Capital Limited</t>
  </si>
  <si>
    <t>Capital Trade Links Limited</t>
  </si>
  <si>
    <t>Sayaji Hotels (Indore) Limited</t>
  </si>
  <si>
    <t>Pune E - Stock Broking Limited</t>
  </si>
  <si>
    <t>Veer Global Infraconstruction Limited</t>
  </si>
  <si>
    <t>Supreme Holdings &amp; Hospitality (India) Ltd</t>
  </si>
  <si>
    <t>NAVKAR URBANSTRUCTURE LIMITED</t>
  </si>
  <si>
    <t>International Combustion (India) Lt</t>
  </si>
  <si>
    <t>RDB Rasayans Limited</t>
  </si>
  <si>
    <t>Nureca Limited</t>
  </si>
  <si>
    <t>NURECA</t>
  </si>
  <si>
    <t>PHOENIX TOWNSHIP LIMITED</t>
  </si>
  <si>
    <t>STRATMONT INDUSTRIES LIMITED</t>
  </si>
  <si>
    <t>B-RIGHT REALESTATE LIMITED</t>
  </si>
  <si>
    <t>Shree Rama Newsprint Limited</t>
  </si>
  <si>
    <t>RAMANEWS</t>
  </si>
  <si>
    <t>PPAP Automotive Limited</t>
  </si>
  <si>
    <t>PPAP</t>
  </si>
  <si>
    <t>Bhilwara Technical Textiles Limited</t>
  </si>
  <si>
    <t>PRIME FRESH LIMITED</t>
  </si>
  <si>
    <t>Coral Laboratories Ltd.</t>
  </si>
  <si>
    <t>LEADING LEASING FINANCE AND INVESTMENT CO. LIMITED</t>
  </si>
  <si>
    <t>JASCH GAUGING TECHNOLOGIES LIMITED</t>
  </si>
  <si>
    <t>CWD Limited</t>
  </si>
  <si>
    <t>Jhaveri Credits &amp; Capital Ltd.</t>
  </si>
  <si>
    <t>Panasonic Carbon India Co.Ltd</t>
  </si>
  <si>
    <t>ABM Knowledgeware Ltd.</t>
  </si>
  <si>
    <t>Jay Ushin Ltd.</t>
  </si>
  <si>
    <t>Indiabulls Enterprises Limited</t>
  </si>
  <si>
    <t>IEL</t>
  </si>
  <si>
    <t>Neelamalai Agro Industries Ltd.</t>
  </si>
  <si>
    <t>Paul Merchants Ltd.</t>
  </si>
  <si>
    <t>AAYUSH WELLNESS LIMITED</t>
  </si>
  <si>
    <t>SAB INDUSTRIES LIMITED</t>
  </si>
  <si>
    <t>Mercantile Ventures Limited</t>
  </si>
  <si>
    <t>CHATHA FOODS LIMITED</t>
  </si>
  <si>
    <t>DUROPLY INDUSTRIES LIMITED</t>
  </si>
  <si>
    <t>Ashapuri Gold Ornament Limited</t>
  </si>
  <si>
    <t>Noida Toll Bridge Company Ltd</t>
  </si>
  <si>
    <t>NOIDATOLL</t>
  </si>
  <si>
    <t>Take Solutions Ltd</t>
  </si>
  <si>
    <t>TAKE</t>
  </si>
  <si>
    <t>Supreme Infrastructure India Limited</t>
  </si>
  <si>
    <t>SUPREMEINF</t>
  </si>
  <si>
    <t>Loyal Equipments Limited</t>
  </si>
  <si>
    <t>EMMFORCE AUTOTECH LIMITED</t>
  </si>
  <si>
    <t>LGB Forge Limited</t>
  </si>
  <si>
    <t>Amba Enterprises Ltd.</t>
  </si>
  <si>
    <t>RRIL LIMITED</t>
  </si>
  <si>
    <t>Bimetal Bearings Ltd</t>
  </si>
  <si>
    <t>Dhunseri Tea &amp; Industries Ltd</t>
  </si>
  <si>
    <t>DTIL</t>
  </si>
  <si>
    <t>Swastika Investmart Ltd</t>
  </si>
  <si>
    <t>Midland Polymers Ltd.</t>
  </si>
  <si>
    <t>Prime Industries Ltd.</t>
  </si>
  <si>
    <t>Purple Finance Limited</t>
  </si>
  <si>
    <t>Mehai Technology Limited</t>
  </si>
  <si>
    <t>Kanchi Karpooram Ltd.</t>
  </si>
  <si>
    <t>India Gelatine &amp; Chemicals Ltd.</t>
  </si>
  <si>
    <t>Ace Software Exports ltd.</t>
  </si>
  <si>
    <t>STAR DELTA TRANSFORMERS LIMITED</t>
  </si>
  <si>
    <t>Aashka Hospitals Limited</t>
  </si>
  <si>
    <t>Mangalam Seeds Limited</t>
  </si>
  <si>
    <t>SEACOAST SHIPPING SERVICES LIMITED</t>
  </si>
  <si>
    <t>REGIS INDUSTRIES LIMITED</t>
  </si>
  <si>
    <t>ESPIRE HOSPITALITY LIMITED</t>
  </si>
  <si>
    <t>IP Rings Ltd.</t>
  </si>
  <si>
    <t>Empower India Limited</t>
  </si>
  <si>
    <t>Emerald Finance Limited</t>
  </si>
  <si>
    <t>Indian Terrain Fashions Limited</t>
  </si>
  <si>
    <t>INDTERRAIN</t>
  </si>
  <si>
    <t>Shri Dinesh Mills Ltd.</t>
  </si>
  <si>
    <t>RESGEN LIMITED</t>
  </si>
  <si>
    <t>PMC Fincorp Limited</t>
  </si>
  <si>
    <t>Cochin Minerals &amp; Rutile Ltd.</t>
  </si>
  <si>
    <t>Halder Venture Limited</t>
  </si>
  <si>
    <t>Upsurge Investment And Finance Ltd.</t>
  </si>
  <si>
    <t>AksharChem (India) Ltd.</t>
  </si>
  <si>
    <t>AKSHARCHEM</t>
  </si>
  <si>
    <t>NTC INDUSTRIES LIMITED</t>
  </si>
  <si>
    <t>LKP Finance Limited</t>
  </si>
  <si>
    <t>Garg Acrylics Limited</t>
  </si>
  <si>
    <t>Maruti Infrastructure Ltd.</t>
  </si>
  <si>
    <t>VUENOW INFRATECH LIMITED</t>
  </si>
  <si>
    <t>Praxis Home Retail Limited</t>
  </si>
  <si>
    <t>PRAXIS</t>
  </si>
  <si>
    <t>ABans Enterprises Limited</t>
  </si>
  <si>
    <t>RTS Power Corporation Ltd.</t>
  </si>
  <si>
    <t>JSL Industries Ltd.</t>
  </si>
  <si>
    <t>JAYSYNTH ORGOCHEM LIMITED</t>
  </si>
  <si>
    <t>The Indian Wood Products Co. Ltd.</t>
  </si>
  <si>
    <t>EQUIPPP SOCIAL IMPACT TECHNOLOGIES LIMITED</t>
  </si>
  <si>
    <t>EQUIPPP</t>
  </si>
  <si>
    <t>Diksat Transworld Limited</t>
  </si>
  <si>
    <t>ALPHALOGIC INDUSTRIES LIMITED</t>
  </si>
  <si>
    <t>Rajnish Wellness Limited</t>
  </si>
  <si>
    <t>Sayaji Hotels (Pune) Limited</t>
  </si>
  <si>
    <t>Prajay Engineers Syndicate Ltd.</t>
  </si>
  <si>
    <t>PRAENG</t>
  </si>
  <si>
    <t>Rajeshwari Cans Limited</t>
  </si>
  <si>
    <t>P.G.Foils Ltd.</t>
  </si>
  <si>
    <t>Global Offshore Services Ltd</t>
  </si>
  <si>
    <t>Loyal Textiles Mills Ltd</t>
  </si>
  <si>
    <t>LOYALTEX</t>
  </si>
  <si>
    <t>Captain Pipes Limited</t>
  </si>
  <si>
    <t>Videocon Industries Ltd.</t>
  </si>
  <si>
    <t>Channel Nine Entertainment Limited</t>
  </si>
  <si>
    <t>National Plastic Technologies Ltd</t>
  </si>
  <si>
    <t>Ginni Filaments Ltd.</t>
  </si>
  <si>
    <t>GINNIFILA</t>
  </si>
  <si>
    <t>Tips Films Limited</t>
  </si>
  <si>
    <t>TIPSFILMS</t>
  </si>
  <si>
    <t>Garnet International Limited</t>
  </si>
  <si>
    <t>ITCONS E-Solutions Limited</t>
  </si>
  <si>
    <t>Sadbhav Infrastructure Project Limited</t>
  </si>
  <si>
    <t>SADBHIN</t>
  </si>
  <si>
    <t>Archidply Industries Limited</t>
  </si>
  <si>
    <t>ARCHIDPLY</t>
  </si>
  <si>
    <t>Verum Properties Limited</t>
  </si>
  <si>
    <t>Sharat Industries Ltd.</t>
  </si>
  <si>
    <t>SILICON RENTAL SOLUTIONS LIMITED</t>
  </si>
  <si>
    <t>KIMIA BIOSCIENCES LIMITED</t>
  </si>
  <si>
    <t>Duncan Engineering Limited</t>
  </si>
  <si>
    <t>Radix Industries (India) Limited</t>
  </si>
  <si>
    <t>Anik Industries Limited</t>
  </si>
  <si>
    <t>ANIKINDS</t>
  </si>
  <si>
    <t>Siyaram Recycling Industries Limited</t>
  </si>
  <si>
    <t>Indokem Ltd</t>
  </si>
  <si>
    <t>S V Global Mill Limited</t>
  </si>
  <si>
    <t>TAHMAR ENTERPRISES LIMITED</t>
  </si>
  <si>
    <t>Denis Chem Lab Limited</t>
  </si>
  <si>
    <t>Maximus International Limited</t>
  </si>
  <si>
    <t>Qualitek Labs Limited</t>
  </si>
  <si>
    <t>ShreeOswal Seeds And Chemicals Ltd.</t>
  </si>
  <si>
    <t>OSWALSEEDS</t>
  </si>
  <si>
    <t>AARNAV FASHIONS LIMITED</t>
  </si>
  <si>
    <t>Oil Country Tubular Ltd.</t>
  </si>
  <si>
    <t>OILCOUNTUB</t>
  </si>
  <si>
    <t>Narmada Gelatines Ltd.</t>
  </si>
  <si>
    <t>Standard Capital Markets Ltd.</t>
  </si>
  <si>
    <t>G M Polyplast Limited</t>
  </si>
  <si>
    <t>Aryaman Capital Markets Limited</t>
  </si>
  <si>
    <t>OXYGENTA PHARMACEUTICAL LIMITED</t>
  </si>
  <si>
    <t>Sharda Ispat Ltd.</t>
  </si>
  <si>
    <t>Dolfin Rubbers Limited</t>
  </si>
  <si>
    <t>Lactose (India) Ltd.</t>
  </si>
  <si>
    <t>ORGANIC RECYCLING SYSTEMS LIMITED</t>
  </si>
  <si>
    <t>BRAHMAPUTRA INFRASTRUCTURE LIMITED</t>
  </si>
  <si>
    <t>Arunjyoti Bio Ventures Limited</t>
  </si>
  <si>
    <t>Globus Constructors &amp; Developers Limited</t>
  </si>
  <si>
    <t>Sanmit Infra Limited</t>
  </si>
  <si>
    <t>Eco Friendly Food Processing Park Limited</t>
  </si>
  <si>
    <t>JK Agri Genetics Limited</t>
  </si>
  <si>
    <t>Cenlub Industries Ltd.</t>
  </si>
  <si>
    <t>Kesar Petroproducts Ltd</t>
  </si>
  <si>
    <t>Shradha AI Technologies Limited</t>
  </si>
  <si>
    <t>Visco Trade Associates Ltd</t>
  </si>
  <si>
    <t>Sharp India Ltd</t>
  </si>
  <si>
    <t>Nettlinx Ltd.</t>
  </si>
  <si>
    <t>Storage Technologies and Automation Limited</t>
  </si>
  <si>
    <t>GALAXY CLOUD KITCHENS LIMITED</t>
  </si>
  <si>
    <t>SHRI BAJRANG ALLIANCE LIMITED</t>
  </si>
  <si>
    <t>Dhoot Industrial Finance Ltd.</t>
  </si>
  <si>
    <t>Sri Sarvaraya Sugars Limited</t>
  </si>
  <si>
    <t>W.H. Brady &amp; Co. Ltd.</t>
  </si>
  <si>
    <t>Cinerad Communications Ltd.</t>
  </si>
  <si>
    <t>Lovable Lingerie Limited</t>
  </si>
  <si>
    <t>LOVABLE</t>
  </si>
  <si>
    <t>ECO HOTELS AND RESORTS LIMITED</t>
  </si>
  <si>
    <t>Hindustan Adhesives Ltd.</t>
  </si>
  <si>
    <t>Pacific Industries ltd.</t>
  </si>
  <si>
    <t>Aveer Foods Limited</t>
  </si>
  <si>
    <t>CASPIAN CORPORATE SERVICES LIMITED</t>
  </si>
  <si>
    <t>RSD Finance Limited</t>
  </si>
  <si>
    <t>Metroglobal Limited</t>
  </si>
  <si>
    <t>Hindustan Tin Works Ltd.</t>
  </si>
  <si>
    <t>TECHKNOWGREEN SOLUTIONS LIMITED</t>
  </si>
  <si>
    <t>Precision Electronics Ltd.</t>
  </si>
  <si>
    <t>Gujarat State Financial corporation</t>
  </si>
  <si>
    <t>SERA INVESTMENTS &amp; FINANCE INDIA LIMITED</t>
  </si>
  <si>
    <t>Cambridge Technology Enterprises Ltd.</t>
  </si>
  <si>
    <t>CTE</t>
  </si>
  <si>
    <t>CHL Limited</t>
  </si>
  <si>
    <t>IL&amp;FS Transportation Networks Limited</t>
  </si>
  <si>
    <t>IL&amp;FSTRANS</t>
  </si>
  <si>
    <t>Indrayani Biotech Ltd.</t>
  </si>
  <si>
    <t>CIL Nova Petrochemicals Limited</t>
  </si>
  <si>
    <t>Alpine Housing Development Corporat</t>
  </si>
  <si>
    <t>La Tim Metal &amp; Industries Limited</t>
  </si>
  <si>
    <t>Indian Sucrose Ltd.</t>
  </si>
  <si>
    <t>DINDIGUL FARM PRODUCT LIMITED</t>
  </si>
  <si>
    <t>Waa Solar Limited</t>
  </si>
  <si>
    <t>Ratnabhumi Developers Limited</t>
  </si>
  <si>
    <t>Coromandel Engineering Company Limited</t>
  </si>
  <si>
    <t>CONFIDENCE FUTURISTIC ENERGETECH LIMITED</t>
  </si>
  <si>
    <t>Odyssey Technologies Ltd.</t>
  </si>
  <si>
    <t>Housing Development &amp; Infrastructure Ltd</t>
  </si>
  <si>
    <t>HDIL</t>
  </si>
  <si>
    <t>Mitcon Consultancy &amp; Engineering Services Ltd.</t>
  </si>
  <si>
    <t>MITCON</t>
  </si>
  <si>
    <t>South India Paper Mills Ltd.</t>
  </si>
  <si>
    <t>BDH Industries Ltd.</t>
  </si>
  <si>
    <t>Shahlon Silk Industries Limited</t>
  </si>
  <si>
    <t>Caprihans India Ltd.</t>
  </si>
  <si>
    <t>Simplex Castings Ltd.</t>
  </si>
  <si>
    <t>JHS Svendgaard Laboratories Ltd.</t>
  </si>
  <si>
    <t>JHS</t>
  </si>
  <si>
    <t>Hindustan Appliances Ltd</t>
  </si>
  <si>
    <t>Surat Trade and Mercantile Limited</t>
  </si>
  <si>
    <t>Khemani Distributors &amp; Marketing Limited</t>
  </si>
  <si>
    <t>Polson Ltd.</t>
  </si>
  <si>
    <t>Emerald Leisures Limited</t>
  </si>
  <si>
    <t>Shree Ajit Pulp And Paper Ltd</t>
  </si>
  <si>
    <t>Samkrg Pistons and Rings Ltd.</t>
  </si>
  <si>
    <t>Prima Plastics Ltd.</t>
  </si>
  <si>
    <t>Krebs Biochemicals &amp; Industries Ltd.</t>
  </si>
  <si>
    <t>KREBSBIO</t>
  </si>
  <si>
    <t>Tyche Industries Ltd.</t>
  </si>
  <si>
    <t>BITS Ltd</t>
  </si>
  <si>
    <t>India Steel Works Ltd</t>
  </si>
  <si>
    <t>Edvenswa Enterprises Limited</t>
  </si>
  <si>
    <t>Universal Autofoundry Limited</t>
  </si>
  <si>
    <t>Deep Polymers Limited</t>
  </si>
  <si>
    <t>Shri Balaji Valve Components Limited</t>
  </si>
  <si>
    <t>Winsome Textile Industries Ltd</t>
  </si>
  <si>
    <t>Rishiroop Limited</t>
  </si>
  <si>
    <t>SHEKHAWATI INDUSTRIES LIMITED</t>
  </si>
  <si>
    <t>Parshva Enterprises Limited</t>
  </si>
  <si>
    <t>Xelpmoc Design and Tech Limited</t>
  </si>
  <si>
    <t>XELPMOC</t>
  </si>
  <si>
    <t>Savera Industries Ltd.</t>
  </si>
  <si>
    <t>LKP Securities Limited</t>
  </si>
  <si>
    <t>ATV Projects India Ltd</t>
  </si>
  <si>
    <t>Sir Shadi Lal Enterprises Ltd</t>
  </si>
  <si>
    <t>Samor Reality Limited</t>
  </si>
  <si>
    <t>HB Estate Developers Ltd.</t>
  </si>
  <si>
    <t>DHP India Ltd.</t>
  </si>
  <si>
    <t>Mukta Arts Ltd.</t>
  </si>
  <si>
    <t>MUKTAARTS</t>
  </si>
  <si>
    <t>Atishay Limited</t>
  </si>
  <si>
    <t>Mitsu Chem Plast Limited</t>
  </si>
  <si>
    <t>HIM TEKNOFORGE LIMITED</t>
  </si>
  <si>
    <t>RAJNISH RETAIL LIMITED</t>
  </si>
  <si>
    <t>Wardwizard Foods and Beverages Limited</t>
  </si>
  <si>
    <t>Gujarat Toolroom Ltd.</t>
  </si>
  <si>
    <t>MAURIA UDYOG LIMITED</t>
  </si>
  <si>
    <t>Nagpur Power &amp; Industries Ltd</t>
  </si>
  <si>
    <t>Basant Agro-Tech (India) Ltd.</t>
  </si>
  <si>
    <t>HCP PLASTENE BULKPACK LIMITED</t>
  </si>
  <si>
    <t>SEL Manufacturing Company Limited</t>
  </si>
  <si>
    <t>SELMC</t>
  </si>
  <si>
    <t>Indian Infotech And Software Ltd.</t>
  </si>
  <si>
    <t>B.N.Rathi Securities Ltd.</t>
  </si>
  <si>
    <t>KIFS Financial Services Ltd</t>
  </si>
  <si>
    <t>Tarmat Limited</t>
  </si>
  <si>
    <t>TARMAT</t>
  </si>
  <si>
    <t>Avance Technologies Ltd.</t>
  </si>
  <si>
    <t>TOYAM SPORTS LIMITED</t>
  </si>
  <si>
    <t>Kaira Can Co. Ltd.</t>
  </si>
  <si>
    <t>Syschem (India) Ltd.</t>
  </si>
  <si>
    <t>Jaypee Infratech Limited</t>
  </si>
  <si>
    <t>B &amp; A Ltd.</t>
  </si>
  <si>
    <t>Pharmaids Pharmaceuticals Ltd.</t>
  </si>
  <si>
    <t>Thakker's Developers Ltd.</t>
  </si>
  <si>
    <t>Setco Automotive Limited</t>
  </si>
  <si>
    <t>SETCO</t>
  </si>
  <si>
    <t>Ansal Properties &amp; Infrastructure Ltd.</t>
  </si>
  <si>
    <t>ANSALAPI</t>
  </si>
  <si>
    <t>LAKSHMI ENGINEERING AND WAREHOUSING LIMITED</t>
  </si>
  <si>
    <t>Trishakti Industries Limited</t>
  </si>
  <si>
    <t>Vibrant Global Capital Limited</t>
  </si>
  <si>
    <t>Jyoti Ltd.</t>
  </si>
  <si>
    <t>EYANTRA VENTURES LIMITED</t>
  </si>
  <si>
    <t>Innovassynth Investments Limited</t>
  </si>
  <si>
    <t>Gujarat Natural Resources Limited</t>
  </si>
  <si>
    <t>SIZEMASTERS TECHNOLOGY LIMITED</t>
  </si>
  <si>
    <t>Cg-Vak Software &amp; Exports Ltd.</t>
  </si>
  <si>
    <t>Gujarat Intrux Limited</t>
  </si>
  <si>
    <t>Calcom Vision Ltd.</t>
  </si>
  <si>
    <t>Eros International Media Limited</t>
  </si>
  <si>
    <t>EROSMEDIA</t>
  </si>
  <si>
    <t>Regency Ceramics Ltd</t>
  </si>
  <si>
    <t>REGENCERAM</t>
  </si>
  <si>
    <t>Sonal Mercantile Limited</t>
  </si>
  <si>
    <t>A.K. Spintex Ltd.</t>
  </si>
  <si>
    <t>Ludlow Jute &amp; Specialities Ltd</t>
  </si>
  <si>
    <t>Bihar Sponge Iron Ltd</t>
  </si>
  <si>
    <t>VJTF Eduservices Limited</t>
  </si>
  <si>
    <t>Khoday India Ltd.</t>
  </si>
  <si>
    <t>Raghuvansh Agrofarms Limited</t>
  </si>
  <si>
    <t>Reliance Naval and Engineering Limited</t>
  </si>
  <si>
    <t>Pee Cee Cosma Sope Ltd.</t>
  </si>
  <si>
    <t>Radhe Developers (India) ltd.</t>
  </si>
  <si>
    <t>Tirupati Starch &amp; Chemicals Ltd.</t>
  </si>
  <si>
    <t>Samrat Forgings Limited</t>
  </si>
  <si>
    <t>Ecoplast Ltd.</t>
  </si>
  <si>
    <t>Kakatiya Cement Sugar &amp; Industries Ltd.</t>
  </si>
  <si>
    <t>KAKATCEM</t>
  </si>
  <si>
    <t>Rungta Irrigation Ltd.</t>
  </si>
  <si>
    <t>Indian Acrylics Ltd</t>
  </si>
  <si>
    <t>Active Clothing Co Limited</t>
  </si>
  <si>
    <t>COLAB CLOUD PLATFORMS LIMITED</t>
  </si>
  <si>
    <t>AI CHAMPDANY INDUSTRIES LIMITED</t>
  </si>
  <si>
    <t>Asian Hotels (West) Ltd</t>
  </si>
  <si>
    <t>JUNGLE CAMPS INDIA LIMITED</t>
  </si>
  <si>
    <t>BCPL Railway Infrastructure Limited</t>
  </si>
  <si>
    <t>Suryalata Spinning Mills Ltd.</t>
  </si>
  <si>
    <t>Zeal Aqua Limited</t>
  </si>
  <si>
    <t>Golden Legand Leasing &amp; Finance Ltd</t>
  </si>
  <si>
    <t>Shri Gang Industries &amp; Allied Products Limited</t>
  </si>
  <si>
    <t>Sprayking Limited</t>
  </si>
  <si>
    <t>Raja Bahadur International Ltd</t>
  </si>
  <si>
    <t>Ovobel Foods Ltd.</t>
  </si>
  <si>
    <t>Manas Properties Limited</t>
  </si>
  <si>
    <t>Piccadily Sugar &amp; Allied Ltd.</t>
  </si>
  <si>
    <t>Bharat Gears Ltd.</t>
  </si>
  <si>
    <t>BHARATGEAR</t>
  </si>
  <si>
    <t>Smruthi Organics Limited</t>
  </si>
  <si>
    <t>Shalimar Agencies Limited</t>
  </si>
  <si>
    <t>GENPHARMASEC LIMITED</t>
  </si>
  <si>
    <t>Gayatri Projects Limited</t>
  </si>
  <si>
    <t>GAYAPROJ</t>
  </si>
  <si>
    <t>Hemant Surgical Industries Limited</t>
  </si>
  <si>
    <t>Zenith Exports Ltd.</t>
  </si>
  <si>
    <t>ZENITHEXPO</t>
  </si>
  <si>
    <t>BN HOLDINGS LIMITED</t>
  </si>
  <si>
    <t>Mini Diamonds (India) Ltd.</t>
  </si>
  <si>
    <t>Saumya Consultants Ltd.</t>
  </si>
  <si>
    <t>Swati Projects Limited</t>
  </si>
  <si>
    <t>Bright Brothers Ltd.</t>
  </si>
  <si>
    <t>KOVILPATTI LAKSHMI ROLLER FLOUR MILLS LTD</t>
  </si>
  <si>
    <t>Aksh Optifibre Ltd.</t>
  </si>
  <si>
    <t>AKSHOPTFBR</t>
  </si>
  <si>
    <t>Shreeji Translogistics Limited</t>
  </si>
  <si>
    <t>Key Corp Ltd</t>
  </si>
  <si>
    <t>Machino Plastics Ltd</t>
  </si>
  <si>
    <t>Kkalpana Industries (India) Ltd</t>
  </si>
  <si>
    <t>KIC Metaliks Ltd.</t>
  </si>
  <si>
    <t>Kohinoor Foods Ltd</t>
  </si>
  <si>
    <t>KOHINOOR</t>
  </si>
  <si>
    <t>Parvati Sweetners and Power Ltd.</t>
  </si>
  <si>
    <t>Kesar Enterprises Ltd.</t>
  </si>
  <si>
    <t>Dhruva Capital Services Ltd.</t>
  </si>
  <si>
    <t>Indsil Hydro Power and Manganese Limited</t>
  </si>
  <si>
    <t>MARBLE CITY INDIA LIMITED</t>
  </si>
  <si>
    <t>Golkunda Diamonds &amp; Jewellery Ltd.</t>
  </si>
  <si>
    <t>Sayaji Industries Limited</t>
  </si>
  <si>
    <t>SGL RESOURCES LIMITED</t>
  </si>
  <si>
    <t>Ultracab (India) Limited</t>
  </si>
  <si>
    <t>STEELMAN TELECOM LIMITED</t>
  </si>
  <si>
    <t>TAMBOLI INDUSTRIES LIMITED</t>
  </si>
  <si>
    <t>Premco Global Ltd.</t>
  </si>
  <si>
    <t>VEDAVAAG Systems Limited</t>
  </si>
  <si>
    <t>Bengal Tea &amp; fabrics Ltd.</t>
  </si>
  <si>
    <t>Haryana Capfin Ltd.</t>
  </si>
  <si>
    <t>Palash Securities Limited</t>
  </si>
  <si>
    <t>PALASHSECU</t>
  </si>
  <si>
    <t>Shree Ram Urban Infrastructure Ltd</t>
  </si>
  <si>
    <t>Maruti Interior Products Limited</t>
  </si>
  <si>
    <t>Ekansh Concepts Limited</t>
  </si>
  <si>
    <t>7SEAS ENTERTAINMENT LIMITED</t>
  </si>
  <si>
    <t>Visesh Infotecnics Ltd.</t>
  </si>
  <si>
    <t>VISESHINFO</t>
  </si>
  <si>
    <t>Tilak Ventures Limited</t>
  </si>
  <si>
    <t>Parnax Lab Limited</t>
  </si>
  <si>
    <t>Dhatre Udyog Limited</t>
  </si>
  <si>
    <t>Tanvi Foods (India) Limited</t>
  </si>
  <si>
    <t>GTV Engineering Limited</t>
  </si>
  <si>
    <t>Elnet Technologies Ltd.</t>
  </si>
  <si>
    <t>Thacker &amp; Co. Ltd.</t>
  </si>
  <si>
    <t>Deepak Spinners Ltd.</t>
  </si>
  <si>
    <t>Sangam Finserv Limited</t>
  </si>
  <si>
    <t>Virat Industries Ltd.</t>
  </si>
  <si>
    <t>Athena Global Technologies Limited</t>
  </si>
  <si>
    <t>Varun Shipping Co. Ltd.</t>
  </si>
  <si>
    <t>Landmark Property Development Company Ltd.</t>
  </si>
  <si>
    <t>LPDC</t>
  </si>
  <si>
    <t>Wallfort Financial Services Ltd.</t>
  </si>
  <si>
    <t>SNL Bearings Ltd.</t>
  </si>
  <si>
    <t>ITL Industries Ltd.</t>
  </si>
  <si>
    <t>SAL AUTOMOTIVE LIMITED</t>
  </si>
  <si>
    <t>Shah Alloys Limited</t>
  </si>
  <si>
    <t>SHAHALLOYS</t>
  </si>
  <si>
    <t>Garg Furnace Ltd.</t>
  </si>
  <si>
    <t>Flex Foods Ltd.</t>
  </si>
  <si>
    <t>SEMAC CONSULTANTS LIMITED</t>
  </si>
  <si>
    <t>SEMAC</t>
  </si>
  <si>
    <t>Sumuka Agro Industries Limited</t>
  </si>
  <si>
    <t>Panyam Cements &amp; Mineral Inds. Ltd.</t>
  </si>
  <si>
    <t>Cosco (India) ltd.</t>
  </si>
  <si>
    <t>CNI Research Ltd</t>
  </si>
  <si>
    <t>Amarjothi Spinning Mills Ltd</t>
  </si>
  <si>
    <t>ASARFI HOSPITAL LIMITED</t>
  </si>
  <si>
    <t>Simmonds-Marshall Ltd</t>
  </si>
  <si>
    <t>New Swan Multitech Limited</t>
  </si>
  <si>
    <t>Bhatia Colour Chem Limited</t>
  </si>
  <si>
    <t>Srestha Finvest Limited</t>
  </si>
  <si>
    <t>Apis India Ltd</t>
  </si>
  <si>
    <t>CREDENT GLOBAL FINANCE LIMITED</t>
  </si>
  <si>
    <t>WEP Solutions Ltd</t>
  </si>
  <si>
    <t>Baroda Extrusion Ltd.</t>
  </si>
  <si>
    <t>United Van Der Horst Ltd.</t>
  </si>
  <si>
    <t>Rexnord Electronics &amp; Controls Ltd.</t>
  </si>
  <si>
    <t>ZENITH STEEL PIPES AND INDUSTRIES LIMITED</t>
  </si>
  <si>
    <t>ZENITHSTL</t>
  </si>
  <si>
    <t>Virat Crane Industries Ltd</t>
  </si>
  <si>
    <t>Pacheli Industrial Finance Limited</t>
  </si>
  <si>
    <t>Shervani Industrial syndicate Ltd</t>
  </si>
  <si>
    <t>Bilcare Ltd.</t>
  </si>
  <si>
    <t>Rishi Laser Ltd.</t>
  </si>
  <si>
    <t>JCT Ltd</t>
  </si>
  <si>
    <t>Narbada Gems and Jewellery Limited</t>
  </si>
  <si>
    <t>Winsome Breweries Ltd.</t>
  </si>
  <si>
    <t>Gujchem Distillers India Ltd.</t>
  </si>
  <si>
    <t>Tulive Developers Limited</t>
  </si>
  <si>
    <t>Advik Capital Limited</t>
  </si>
  <si>
    <t>Munoth Capital Market Ltd</t>
  </si>
  <si>
    <t>James Warren Tea Limited</t>
  </si>
  <si>
    <t>CONSTRONICS INFRA LIMITED</t>
  </si>
  <si>
    <t>Virat Leasing Limited</t>
  </si>
  <si>
    <t>Nidhi Granites Limited</t>
  </si>
  <si>
    <t>ANSAL HOUSING LIMITED</t>
  </si>
  <si>
    <t>Sundaram Multi Pap Ltd.</t>
  </si>
  <si>
    <t>SUNDARAM</t>
  </si>
  <si>
    <t>BCC Fuba India Ltd.</t>
  </si>
  <si>
    <t>WSFX Global Pay Limited</t>
  </si>
  <si>
    <t>Jaysynth Dyestuff (India) Ltd.</t>
  </si>
  <si>
    <t>Samrat Pharmachem Ltd.</t>
  </si>
  <si>
    <t>DIGJAM LIMITED</t>
  </si>
  <si>
    <t>DIGJAMLMTD</t>
  </si>
  <si>
    <t>ACCEL LIMITED</t>
  </si>
  <si>
    <t>JAYANT INFRATECH LIMITED</t>
  </si>
  <si>
    <t>Sampann Utpadan India Limited</t>
  </si>
  <si>
    <t>SAMPANN</t>
  </si>
  <si>
    <t>Sanco Trans Ltd.</t>
  </si>
  <si>
    <t>Alfred Herbert (India) Ltd.</t>
  </si>
  <si>
    <t>Mohite Industries Limited</t>
  </si>
  <si>
    <t>Future Retail Ltd.</t>
  </si>
  <si>
    <t>Binayak Tex Processors Ltd.</t>
  </si>
  <si>
    <t>Bhagwati Autocast Limited</t>
  </si>
  <si>
    <t>Money Masters Leasing &amp; Finance Limited</t>
  </si>
  <si>
    <t>Source Natural Foods &amp; Herbal Suppl Ltd</t>
  </si>
  <si>
    <t>NATH INDUSTRIES LIMITED</t>
  </si>
  <si>
    <t>Lasa Supergenerics Limited</t>
  </si>
  <si>
    <t>LASA</t>
  </si>
  <si>
    <t>Kemp &amp; Company Limited</t>
  </si>
  <si>
    <t>Bhilwara Spinners Ltd</t>
  </si>
  <si>
    <t>Nimbus Projects Limited</t>
  </si>
  <si>
    <t>Tulsyan NEC Ltd</t>
  </si>
  <si>
    <t>Modern Dairies Ltd.</t>
  </si>
  <si>
    <t>Schneider Electric President Systems Limited</t>
  </si>
  <si>
    <t>KRISHANVEER FORGE LIMITED</t>
  </si>
  <si>
    <t>ARC Finance Limited</t>
  </si>
  <si>
    <t>Dynavision Limited</t>
  </si>
  <si>
    <t>Swashthik Plascon Limited</t>
  </si>
  <si>
    <t>MIDEAST INTEGRATED STEELS LIMITED</t>
  </si>
  <si>
    <t>Sagarsoft (India) Limited</t>
  </si>
  <si>
    <t>Future Consumer Limited</t>
  </si>
  <si>
    <t>FCONSUMER</t>
  </si>
  <si>
    <t>HEALTHY LIFE AGRITEC LIMITED</t>
  </si>
  <si>
    <t>Auro Laboratories Ltd.</t>
  </si>
  <si>
    <t>Kothari Fermanatation &amp; Biochem Ltd</t>
  </si>
  <si>
    <t>Vishal Bearings Limited</t>
  </si>
  <si>
    <t>Rudra Gas Enterprise Limited</t>
  </si>
  <si>
    <t>Mysore Petro Chemicals Ltd.</t>
  </si>
  <si>
    <t>SKP Securities Ltd.</t>
  </si>
  <si>
    <t>Saptarishi Agro Industries Ltd</t>
  </si>
  <si>
    <t>Super Tannery Limited</t>
  </si>
  <si>
    <t>Manoj Ceramic Limited</t>
  </si>
  <si>
    <t>Lahoti Overseas Ltd.</t>
  </si>
  <si>
    <t>JAMSHRI REALTY LIMITED</t>
  </si>
  <si>
    <t>Yaari Digital Integrated Services Ltd</t>
  </si>
  <si>
    <t>YAARI</t>
  </si>
  <si>
    <t>Shetron Ltd.</t>
  </si>
  <si>
    <t>Ansal Buildwell Ltd.</t>
  </si>
  <si>
    <t>Gayatri Sugars Ltd.</t>
  </si>
  <si>
    <t>Partap Industries Limited</t>
  </si>
  <si>
    <t>Aztec Fluids &amp; Machinery Limited</t>
  </si>
  <si>
    <t>G.G.Automotive Gears Ltd.</t>
  </si>
  <si>
    <t>Banka Bioloo Ltd.</t>
  </si>
  <si>
    <t>BANKA</t>
  </si>
  <si>
    <t>TCI Industries Ltd.</t>
  </si>
  <si>
    <t>Rama Vision Ltd</t>
  </si>
  <si>
    <t>MILGREY FINANCE &amp; INVESTMENT LTD</t>
  </si>
  <si>
    <t>HIMALAYA FOOD INTERNATIONAL LIMITED</t>
  </si>
  <si>
    <t>AMPVOLTS LIMITED</t>
  </si>
  <si>
    <t>Prerna Infrabuild Limited</t>
  </si>
  <si>
    <t>Bansal Roofing Products Limited</t>
  </si>
  <si>
    <t>Energy Development Company Ltd.</t>
  </si>
  <si>
    <t>ENERGYDEV</t>
  </si>
  <si>
    <t>FACOR Alloys Limited</t>
  </si>
  <si>
    <t>Alkali Metals Limited</t>
  </si>
  <si>
    <t>ALKALI</t>
  </si>
  <si>
    <t>Relicab Cable Manufacturing Limited</t>
  </si>
  <si>
    <t>Maiden Forgings Limited</t>
  </si>
  <si>
    <t>Quadrant Televentures Limited</t>
  </si>
  <si>
    <t>MODULEX CONSTRUCTION TECHNOLOGIES LIMITED</t>
  </si>
  <si>
    <t>Asit C Mehta Financial Services Limited</t>
  </si>
  <si>
    <t>National Fittings Limited</t>
  </si>
  <si>
    <t>ADTECH SYSTEMS LIMITED</t>
  </si>
  <si>
    <t>Cravatex Ltd.</t>
  </si>
  <si>
    <t>Raaj Medisafe India Limited</t>
  </si>
  <si>
    <t>Cerebra Integrated Technologies Ltd.</t>
  </si>
  <si>
    <t>CEREBRAINT</t>
  </si>
  <si>
    <t>Palred Technologies Limited</t>
  </si>
  <si>
    <t>PALREDTEC</t>
  </si>
  <si>
    <t>ONE GLOBAL SERVICE PROVIDER LIMITED</t>
  </si>
  <si>
    <t>Everest Organics Ltd.</t>
  </si>
  <si>
    <t>MRP Agro Limited</t>
  </si>
  <si>
    <t>Travels &amp; rentals Limited</t>
  </si>
  <si>
    <t>GOKAK TEXTILES LTD.</t>
  </si>
  <si>
    <t>Rainbow Foundations Ltd</t>
  </si>
  <si>
    <t>Akar Auto Industries Limited</t>
  </si>
  <si>
    <t>Ishan Dyes and Chemicals Limited</t>
  </si>
  <si>
    <t>VMS INDUSTRIES LIMITED</t>
  </si>
  <si>
    <t>SECUREKLOUD TECHNOLOGIES LIMITED</t>
  </si>
  <si>
    <t>SECURKLOUD</t>
  </si>
  <si>
    <t>D &amp; H India Limited</t>
  </si>
  <si>
    <t>Jasch Industries Ltd.</t>
  </si>
  <si>
    <t>INDOSOLAR LIMITED</t>
  </si>
  <si>
    <t>Expo Gas Containers Ltd.</t>
  </si>
  <si>
    <t>Sunrise Efficient Marketing Limited</t>
  </si>
  <si>
    <t>Bharat Immunologicals &amp; Biologicals</t>
  </si>
  <si>
    <t>YOGI LIMITED</t>
  </si>
  <si>
    <t>Mercury Laboratories Limited</t>
  </si>
  <si>
    <t>HARSHDEEP HORTICO LIMITED</t>
  </si>
  <si>
    <t>APM Industries Ltd.</t>
  </si>
  <si>
    <t>HEC Infra Projects Ltd.</t>
  </si>
  <si>
    <t>HECPROJECT</t>
  </si>
  <si>
    <t>Resonance Specialties Limited</t>
  </si>
  <si>
    <t>SATTRIX INFORMATION SECURITY LIMITED</t>
  </si>
  <si>
    <t>Royal Cushion Vinyl Products Ltd.</t>
  </si>
  <si>
    <t>Shilp Gravures Ltd.</t>
  </si>
  <si>
    <t>SCOOBEE DAY GARMENTS (INDIA) LIMITED</t>
  </si>
  <si>
    <t>HINDUSTAN HARDY LIMITED</t>
  </si>
  <si>
    <t>Abhinav Capital Services Limited</t>
  </si>
  <si>
    <t>DEEPAK CHEMTEX LIMITED</t>
  </si>
  <si>
    <t>REGENCY FINCORP LIMITED</t>
  </si>
  <si>
    <t>SHANTI SPINTEX LIMITED</t>
  </si>
  <si>
    <t>Arnold Holdings Ltd</t>
  </si>
  <si>
    <t>Paras Petrofils Ltd.</t>
  </si>
  <si>
    <t>PARASPETRO</t>
  </si>
  <si>
    <t>Suvidhaa Infoserve Limited</t>
  </si>
  <si>
    <t>SUVIDHAA</t>
  </si>
  <si>
    <t>Yarn Syndicate Ltd.</t>
  </si>
  <si>
    <t>Acme Resources Limited</t>
  </si>
  <si>
    <t>PURETROP FRUITS LIMITED</t>
  </si>
  <si>
    <t>CANDOUR TECHTEX LIMITED</t>
  </si>
  <si>
    <t>Ballarpur Industries Ltd.</t>
  </si>
  <si>
    <t>Som Datt Finance Corporation Ltd.</t>
  </si>
  <si>
    <t>Polychem Ltd</t>
  </si>
  <si>
    <t>Promax Power Limited</t>
  </si>
  <si>
    <t>Dangee Dums Ltd.</t>
  </si>
  <si>
    <t>DANGEE</t>
  </si>
  <si>
    <t>Mayank Cattle Food Limited</t>
  </si>
  <si>
    <t>Suraj Industries Limited.</t>
  </si>
  <si>
    <t>KG Petrochem Ltd.</t>
  </si>
  <si>
    <t>Shri Krishna Devcon Limited</t>
  </si>
  <si>
    <t>Transcorp International Ltd.</t>
  </si>
  <si>
    <t>Golden Crest Education &amp; Services Limited</t>
  </si>
  <si>
    <t>BSEL ALGO LIMITED</t>
  </si>
  <si>
    <t>ARCL Organics Ltd</t>
  </si>
  <si>
    <t>Ganga Papers India Ltd</t>
  </si>
  <si>
    <t>Daikaffil Chemicals India Ltd.</t>
  </si>
  <si>
    <t>Arshiya Limited</t>
  </si>
  <si>
    <t>ARSHIYA</t>
  </si>
  <si>
    <t>Sky Industries Ltd</t>
  </si>
  <si>
    <t>Alstone Textiles (India) Limited</t>
  </si>
  <si>
    <t>HB Portfolio Ltd.</t>
  </si>
  <si>
    <t>Olatech Solutions Limited</t>
  </si>
  <si>
    <t>THREE M PAPER BOARDS LIMITED</t>
  </si>
  <si>
    <t>Landmarc Leisure Corporation Ltd.</t>
  </si>
  <si>
    <t>Fortis Malar Hospitals Limited</t>
  </si>
  <si>
    <t>Jhandewalas Foods Limited</t>
  </si>
  <si>
    <t>Auto Pins (India) Ltd.</t>
  </si>
  <si>
    <t>Kothari Industrial Corpn. Ltd.</t>
  </si>
  <si>
    <t>TITAN INTECH LIMITED</t>
  </si>
  <si>
    <t>The Ramaraju Surgical Cotton Mills Limited</t>
  </si>
  <si>
    <t>Cinevista Limited</t>
  </si>
  <si>
    <t>CINEVISTA</t>
  </si>
  <si>
    <t>SHRISTI INFRASTRUCTURE DEVELOPMENT CORPORATION LTD.</t>
  </si>
  <si>
    <t>TRESCON LIMITED</t>
  </si>
  <si>
    <t>POPEES CARES LIMITED</t>
  </si>
  <si>
    <t>Terai Tea Co. Ltd.</t>
  </si>
  <si>
    <t>ADITYA CONSUMER MARKETING LIMITED</t>
  </si>
  <si>
    <t>Balgopal Commercial limited</t>
  </si>
  <si>
    <t>Shalimar Wires Industries Ltd.</t>
  </si>
  <si>
    <t>Pulsar International Limited</t>
  </si>
  <si>
    <t>Orient Press ltd.</t>
  </si>
  <si>
    <t>ORIENTLTD</t>
  </si>
  <si>
    <t>Patdiam Jewellery Limited</t>
  </si>
  <si>
    <t>Silverline Technologies Ltd.</t>
  </si>
  <si>
    <t>Rasi Electrodes Ltd.</t>
  </si>
  <si>
    <t>Anjani Foods Limited</t>
  </si>
  <si>
    <t>PRABHAT TECHNOLOGIES (INDIA) LIMITED</t>
  </si>
  <si>
    <t>Chartered Logistics Ltd</t>
  </si>
  <si>
    <t>Retina Paints Limited</t>
  </si>
  <si>
    <t>T &amp; I Global Ltd.</t>
  </si>
  <si>
    <t>Gujarat Containers Ltd.</t>
  </si>
  <si>
    <t>Titan Securities Ltd.</t>
  </si>
  <si>
    <t>DELTA MANUFACTURING LIMITED</t>
  </si>
  <si>
    <t>DELTAMAGNT</t>
  </si>
  <si>
    <t>Vippy Spinpro Ltd.</t>
  </si>
  <si>
    <t>Creative Castings Limited</t>
  </si>
  <si>
    <t>Astron Paper &amp; Board Mill Limited</t>
  </si>
  <si>
    <t>ASTRON</t>
  </si>
  <si>
    <t>GANESHA ECOVERSE LIMITED</t>
  </si>
  <si>
    <t>VIRYA RESOURCES LIMITED</t>
  </si>
  <si>
    <t>G.V. Films Ltd.</t>
  </si>
  <si>
    <t>Ambar Protein Industries Limited</t>
  </si>
  <si>
    <t>Chowgule Steamships Ltd.</t>
  </si>
  <si>
    <t>Monotype India Ltd.</t>
  </si>
  <si>
    <t>BLS Infotech Limited</t>
  </si>
  <si>
    <t>Saboo Sodium Chloro Ltd.</t>
  </si>
  <si>
    <t>UNIFINZ CAPITAL INDIA LIMITED</t>
  </si>
  <si>
    <t>Dutron Polymers Ltd.</t>
  </si>
  <si>
    <t>Optimus Finance Limited</t>
  </si>
  <si>
    <t>Ahmedabad Steelcraft Ltd.</t>
  </si>
  <si>
    <t>MEP Infrastructure Developers Limited</t>
  </si>
  <si>
    <t>MEP</t>
  </si>
  <si>
    <t>Phoenix International Ltd.</t>
  </si>
  <si>
    <t>AHASOLAR TECHNOLOGIES LIMITED</t>
  </si>
  <si>
    <t>Nexxus Petro Industries Limited</t>
  </si>
  <si>
    <t>Remi Edelstahl Tubulars Limited</t>
  </si>
  <si>
    <t>Mukesh Babu Financial Services Ltd.</t>
  </si>
  <si>
    <t>KBS INDIA LIMITED</t>
  </si>
  <si>
    <t>Kesar Terminals &amp; Infrastructure Limited</t>
  </si>
  <si>
    <t>Krypton Industries Ltd</t>
  </si>
  <si>
    <t>Sobhagya Merchantile Ltd.</t>
  </si>
  <si>
    <t>Omnitex Industries (India) Ltd.</t>
  </si>
  <si>
    <t>Elixir Capital Limited</t>
  </si>
  <si>
    <t>Archit Organosys Limited</t>
  </si>
  <si>
    <t>KAIZEN AGRO INFRABUILD LIMITED</t>
  </si>
  <si>
    <t>Achyut Healthcare Limited</t>
  </si>
  <si>
    <t>Alfa Transformers ltd.</t>
  </si>
  <si>
    <t>NHC FOODS LIMITED</t>
  </si>
  <si>
    <t>LCC Infotech Ltd.</t>
  </si>
  <si>
    <t>LCCINFOTEC</t>
  </si>
  <si>
    <t>Nilachal Refractories Ltd.</t>
  </si>
  <si>
    <t>Capfin India Limited</t>
  </si>
  <si>
    <t>Elegant Marbles &amp; Grani Industries</t>
  </si>
  <si>
    <t>McDowell Holdings Limited</t>
  </si>
  <si>
    <t>PORWAL AUTO COMPONENTS LIMITED</t>
  </si>
  <si>
    <t>Southern Magnesium And Chemicals Lt</t>
  </si>
  <si>
    <t>Rathi Industries Limited</t>
  </si>
  <si>
    <t>Dhanashree Electronics Limited</t>
  </si>
  <si>
    <t>Artificial Electronics Intelligent Material Limited</t>
  </si>
  <si>
    <t>Aimco Pesticides Ltd.</t>
  </si>
  <si>
    <t>HB Stockholdings Ltd.</t>
  </si>
  <si>
    <t>HBSL</t>
  </si>
  <si>
    <t>Madhucon Projects Ltd.</t>
  </si>
  <si>
    <t>MADHUCON</t>
  </si>
  <si>
    <t>Royal Sense Limited</t>
  </si>
  <si>
    <t>Kanishk Steel Industries Ltd</t>
  </si>
  <si>
    <t>United Cotfab Limited</t>
  </si>
  <si>
    <t>Acknit Industries Ltd</t>
  </si>
  <si>
    <t>Vasundhara Rasayans Ltd.</t>
  </si>
  <si>
    <t>Shine Fashions (India) Limited</t>
  </si>
  <si>
    <t>Kiduja India Ltd</t>
  </si>
  <si>
    <t>Tayo Rolls Ltd.</t>
  </si>
  <si>
    <t>THINKINK PICTUREZ LIMITED</t>
  </si>
  <si>
    <t>Filtra Consultants and Engineers Limited</t>
  </si>
  <si>
    <t>SHARIKA ENTERPRISES LIMITED</t>
  </si>
  <si>
    <t>Celebrity Fashions Ltd.</t>
  </si>
  <si>
    <t>CELEBRITY</t>
  </si>
  <si>
    <t>Aplab Ltd.</t>
  </si>
  <si>
    <t>Atlas Jewellery India Limited</t>
  </si>
  <si>
    <t>VIKRAM KAMATS HOSPITALITY LIMITED</t>
  </si>
  <si>
    <t>EAST WEST FREIGHT CARRIERS LTD</t>
  </si>
  <si>
    <t>Lykis Limited</t>
  </si>
  <si>
    <t>Archies Ltd.</t>
  </si>
  <si>
    <t>ARCHIES</t>
  </si>
  <si>
    <t>ASTAL LABORATORIES LIMITED</t>
  </si>
  <si>
    <t>LE LAVOIR LIMITED</t>
  </si>
  <si>
    <t>NCL Research And Financial Services</t>
  </si>
  <si>
    <t>Makers Laboratories Ltd.</t>
  </si>
  <si>
    <t>EVERLON FINANCIALS LIMITED</t>
  </si>
  <si>
    <t>Banas Finance Limited</t>
  </si>
  <si>
    <t>Real Touch Finance Limited</t>
  </si>
  <si>
    <t>DHARNI CAPITAL SERVICES LIMITED</t>
  </si>
  <si>
    <t>Welcast Steels Ltd.</t>
  </si>
  <si>
    <t>Aashrit Capital Limited</t>
  </si>
  <si>
    <t>Superior Industrial Enterprises Limited</t>
  </si>
  <si>
    <t>MKP Mobility Limited</t>
  </si>
  <si>
    <t>Unique Organics Ltd.</t>
  </si>
  <si>
    <t>Minal Industries Limited</t>
  </si>
  <si>
    <t>Inter Globe Finance Ltd.</t>
  </si>
  <si>
    <t>Odyssey Corporation Ltd.</t>
  </si>
  <si>
    <t>Agro Phos India Ltd.</t>
  </si>
  <si>
    <t>AGROPHOS</t>
  </si>
  <si>
    <t>Riddhi Steel and Tube Limited</t>
  </si>
  <si>
    <t>Bio Green Papers Limited</t>
  </si>
  <si>
    <t>Godavari Drugs Ltd.</t>
  </si>
  <si>
    <t>ALKOSIGN LIMITED</t>
  </si>
  <si>
    <t>Anand Rayons Limited</t>
  </si>
  <si>
    <t>TPI India Ltd.</t>
  </si>
  <si>
    <t>Comrade Appliances Limited</t>
  </si>
  <si>
    <t>Hariyana Ship Breakers Ltd.</t>
  </si>
  <si>
    <t>Associated Ceramics Ltd.</t>
  </si>
  <si>
    <t>Karma Energy Limited</t>
  </si>
  <si>
    <t>KARMAENG</t>
  </si>
  <si>
    <t>Lexus Granito (India) Ltd.</t>
  </si>
  <si>
    <t>LEXUS</t>
  </si>
  <si>
    <t>Gujarat Poly Electronics Limited</t>
  </si>
  <si>
    <t>Mysore Paper Mills Limited</t>
  </si>
  <si>
    <t>Naapbooks Limited</t>
  </si>
  <si>
    <t>Pressure Sensitive Systems (India)</t>
  </si>
  <si>
    <t>SHRI VASUPRADA PLANTATIONS LIMITED</t>
  </si>
  <si>
    <t>SHIVAM CHEMICALS LIMITED</t>
  </si>
  <si>
    <t>Kemistar Corporation Limited</t>
  </si>
  <si>
    <t>Sunil Healthcare Limited</t>
  </si>
  <si>
    <t>RRP SEMICONDUCTOR LIMITED</t>
  </si>
  <si>
    <t>Amrapali Industries Ltd</t>
  </si>
  <si>
    <t>Krishna Ventures Limited</t>
  </si>
  <si>
    <t>EVANS ELECTRIC LIMITED</t>
  </si>
  <si>
    <t>IFL ENTERPRISES LIMITED</t>
  </si>
  <si>
    <t>AMBO AGRITEC LIMITED</t>
  </si>
  <si>
    <t>RAMINFO LIMITED</t>
  </si>
  <si>
    <t>VSF Projects Limited</t>
  </si>
  <si>
    <t>Gujarat Hotels Ltd.</t>
  </si>
  <si>
    <t>Supra Pacific Financial Services Limited</t>
  </si>
  <si>
    <t>Royale Manor Hotels &amp; Industries Lt</t>
  </si>
  <si>
    <t>Keerthi Industries Ltd</t>
  </si>
  <si>
    <t>Skyline Millars Ltd</t>
  </si>
  <si>
    <t>Riddhi Corporate Services Limited</t>
  </si>
  <si>
    <t>Akshar Spintex Limited</t>
  </si>
  <si>
    <t>AKSHAR</t>
  </si>
  <si>
    <t>Tree House Education &amp; Accessories Limited</t>
  </si>
  <si>
    <t>TREEHOUSE</t>
  </si>
  <si>
    <t>Shree Krishna Infrastructure Limited</t>
  </si>
  <si>
    <t>AIK Pipes and Polymers Limited</t>
  </si>
  <si>
    <t>Ceejay Finance Limited</t>
  </si>
  <si>
    <t>Futuristic Solutions Ltd.</t>
  </si>
  <si>
    <t>Mefcom Capital Markets Ltd.</t>
  </si>
  <si>
    <t>Sanrhea Technical Textiles Ltd.</t>
  </si>
  <si>
    <t>Universal Starch-Chem Allied Ltd.</t>
  </si>
  <si>
    <t>BIOGEN PHARMACHEM INDUSTRIES LIMITED</t>
  </si>
  <si>
    <t>Reliable Data Services Limited</t>
  </si>
  <si>
    <t>RELIABLE</t>
  </si>
  <si>
    <t>SVP GLOBAL TEXTILES LIMITED</t>
  </si>
  <si>
    <t>SVPGLOB</t>
  </si>
  <si>
    <t>Aro Granite Industries Ltd.</t>
  </si>
  <si>
    <t>AROGRANITE</t>
  </si>
  <si>
    <t>Perfectpac Limited</t>
  </si>
  <si>
    <t>Shreyas Intermediates Ltd.</t>
  </si>
  <si>
    <t>Ashnoor Textiles Mills Ltd.</t>
  </si>
  <si>
    <t>Jeevan Scientific Technology Limited</t>
  </si>
  <si>
    <t>REAL ECO-ENERGY LIMITED</t>
  </si>
  <si>
    <t>SWARNSARITA JEWELS INDIA LIMITED</t>
  </si>
  <si>
    <t>TOSS THE COIN LIMITED</t>
  </si>
  <si>
    <t>Cals Refineries Ltd</t>
  </si>
  <si>
    <t>Nam Securities Ltd.</t>
  </si>
  <si>
    <t>Riba Textiles Ltd.</t>
  </si>
  <si>
    <t>NRB INDUSTRIAL BEARINGS LIMITED</t>
  </si>
  <si>
    <t>NIBL</t>
  </si>
  <si>
    <t>Jolly Plastic Industries Ltd.</t>
  </si>
  <si>
    <t>TRANS INDIA HOUSE IMPEX LIMITED</t>
  </si>
  <si>
    <t>Dhanalaxmi Roto Spinners Ltd.</t>
  </si>
  <si>
    <t>MAESTROS ELECTRONICS &amp; TELECOMMUNICATIONS SYSTEMS LTD</t>
  </si>
  <si>
    <t>B&amp;A Packaging India Limited</t>
  </si>
  <si>
    <t>Shiva Mills Limited</t>
  </si>
  <si>
    <t>SHIVAMILLS</t>
  </si>
  <si>
    <t>LAXMIPATI ENGINEERING WORKS LIMITED</t>
  </si>
  <si>
    <t>Balkrishna Paper Mills Ltd</t>
  </si>
  <si>
    <t>BALKRISHNA</t>
  </si>
  <si>
    <t>Share Samadhan Limited</t>
  </si>
  <si>
    <t>Sam Industries Ltd.</t>
  </si>
  <si>
    <t>Polylink Polymers (india) Ltd.</t>
  </si>
  <si>
    <t>Innovative Tech Pack Ltd</t>
  </si>
  <si>
    <t>Mystic Electronics Limited</t>
  </si>
  <si>
    <t>NACDAC Infrastructure Limited</t>
  </si>
  <si>
    <t>Bheema Cements Limited</t>
  </si>
  <si>
    <t>Meera Industries Limited</t>
  </si>
  <si>
    <t>Kranti Industries Limited</t>
  </si>
  <si>
    <t>Luharuka Media &amp; Infra Limited</t>
  </si>
  <si>
    <t>McNally Bharat Engineering Company Limited</t>
  </si>
  <si>
    <t>MBECL</t>
  </si>
  <si>
    <t>Bang Overseas Ltd</t>
  </si>
  <si>
    <t>BANG</t>
  </si>
  <si>
    <t>Joindre Capital Services Ltd.</t>
  </si>
  <si>
    <t>F MEC INTERNATIONAL FINANCIAL SERVICES LIMITED</t>
  </si>
  <si>
    <t>Siel Financial Services Ltd.</t>
  </si>
  <si>
    <t>Yamini Investments Company Limited</t>
  </si>
  <si>
    <t>Mishka Exim Limited</t>
  </si>
  <si>
    <t>Malu Paper Mills Limited</t>
  </si>
  <si>
    <t>MALUPAPER</t>
  </si>
  <si>
    <t>Cranex Ltd.</t>
  </si>
  <si>
    <t>Dev Labtech Venture Limited</t>
  </si>
  <si>
    <t>Dhampure Speciality Sugars Ltd.</t>
  </si>
  <si>
    <t>TCFC Finance Ltd</t>
  </si>
  <si>
    <t>Goel Food Products Limited</t>
  </si>
  <si>
    <t>Nova Iron &amp; Steel Ltd.</t>
  </si>
  <si>
    <t>Siti Networks Limited</t>
  </si>
  <si>
    <t>SITINET</t>
  </si>
  <si>
    <t>MODERN ENGINEERING AND PROJECTS LIMITED</t>
  </si>
  <si>
    <t>Diligent Industries Limited</t>
  </si>
  <si>
    <t>Cranes Software International Ltd.</t>
  </si>
  <si>
    <t>DIVYASHAKTI LIMITED</t>
  </si>
  <si>
    <t>Trident Texofab Limited</t>
  </si>
  <si>
    <t>Pioneer Investcorp Ltd</t>
  </si>
  <si>
    <t>Kalyan Capitals Limited</t>
  </si>
  <si>
    <t>RATHI BARS LIMITED</t>
  </si>
  <si>
    <t>SVC INDUSTRIES LIMITED</t>
  </si>
  <si>
    <t>EIKO LIFESCIENCES LIMITED</t>
  </si>
  <si>
    <t>Marshall Machines Ltd.</t>
  </si>
  <si>
    <t>MARSHALL</t>
  </si>
  <si>
    <t>Sunayana Investment Company Limited</t>
  </si>
  <si>
    <t>HARSHIL AGROTECH LIMITED</t>
  </si>
  <si>
    <t>Chartered Capital &amp; Investment Ltd.</t>
  </si>
  <si>
    <t>Bombay Cycle &amp; Motor Agency Ltd.</t>
  </si>
  <si>
    <t>Aeonx Digital Technology Limited</t>
  </si>
  <si>
    <t>MENA MANI INDUSTRIES LIMITED</t>
  </si>
  <si>
    <t>Seya Industries Ltd</t>
  </si>
  <si>
    <t>SEYAIND</t>
  </si>
  <si>
    <t>Apoorva Leasing Finance &amp; Investment Company Limited</t>
  </si>
  <si>
    <t>Punj LLoyd Ltd</t>
  </si>
  <si>
    <t>Austin Engineering Co. Ltd.</t>
  </si>
  <si>
    <t>GROWINGTON VENTURES INDIA LIMITED</t>
  </si>
  <si>
    <t>Jindal Hotels Ltd.</t>
  </si>
  <si>
    <t>Sampre Nutritions Ltd.</t>
  </si>
  <si>
    <t>Tirupati Fincorp Limited</t>
  </si>
  <si>
    <t>Rapicut Carbides Ltd.</t>
  </si>
  <si>
    <t>Simran Farms Ltd.</t>
  </si>
  <si>
    <t>Rasandik Engg. Industries India Ltd</t>
  </si>
  <si>
    <t>Victoria Mills Ltd.</t>
  </si>
  <si>
    <t>Envair Electrodyne Ltd.</t>
  </si>
  <si>
    <t>Morarka Finance Ltd.</t>
  </si>
  <si>
    <t>Murae Organisor Limited</t>
  </si>
  <si>
    <t>Escorp Asset Management Limited</t>
  </si>
  <si>
    <t>VEERAM SECURITIES LIMITED</t>
  </si>
  <si>
    <t>Golden Tobacco Ltd.</t>
  </si>
  <si>
    <t>GOLDENTOBC</t>
  </si>
  <si>
    <t>Punjab Communications Limited</t>
  </si>
  <si>
    <t>Orient Beverages Ltd.</t>
  </si>
  <si>
    <t>Sri KPR Industries Ltd</t>
  </si>
  <si>
    <t>Smiths &amp; Founders (India) Limited</t>
  </si>
  <si>
    <t>POPULAR FOUNDATIONS LIMITED</t>
  </si>
  <si>
    <t>CLARA INDUSTRIES LIMITED</t>
  </si>
  <si>
    <t>Modipon Ltd.</t>
  </si>
  <si>
    <t>Baba Arts Ltd</t>
  </si>
  <si>
    <t>Lee &amp; Nee Softwares (Exports) Ltd.</t>
  </si>
  <si>
    <t>Getalong Enterprise Limited</t>
  </si>
  <si>
    <t>FUNDVISER CAPITAL (INDIA) LIMITED</t>
  </si>
  <si>
    <t>Valencia Nutrition Limited</t>
  </si>
  <si>
    <t>Manugraph India Ltd</t>
  </si>
  <si>
    <t>MANUGRAPH</t>
  </si>
  <si>
    <t>Hawa Engineers ltd.</t>
  </si>
  <si>
    <t>Kreon Finnancial Services Limited</t>
  </si>
  <si>
    <t>Manpasand Beverages Limited</t>
  </si>
  <si>
    <t>Gini Silk Mills Ltd.</t>
  </si>
  <si>
    <t>Super Crop Safe Ltd.</t>
  </si>
  <si>
    <t>Oriental Trimex Limited</t>
  </si>
  <si>
    <t>ORIENTALTL</t>
  </si>
  <si>
    <t>Morgan Ventures Ltd.</t>
  </si>
  <si>
    <t>Shree Marutinandan Tubes Limited</t>
  </si>
  <si>
    <t>Restile Ceramics Ltd.</t>
  </si>
  <si>
    <t>Sodhani Academy of Fintech Enablers Limited</t>
  </si>
  <si>
    <t>Warren Tea Ltd.</t>
  </si>
  <si>
    <t>Contil India Limited</t>
  </si>
  <si>
    <t>ISL Consulting Ltd</t>
  </si>
  <si>
    <t>Grovy India Limited</t>
  </si>
  <si>
    <t>NAKODA GROUP OF INDUSTRIES LIMITED</t>
  </si>
  <si>
    <t>NGIL</t>
  </si>
  <si>
    <t>Sai Capital Ltd.</t>
  </si>
  <si>
    <t>AD-Manum Finance Ltd</t>
  </si>
  <si>
    <t>Rolcon Engineering Co. Ltd.</t>
  </si>
  <si>
    <t>Rollatainters Ltd.</t>
  </si>
  <si>
    <t>ROLLT</t>
  </si>
  <si>
    <t>Mishka Finance and Trading Limited</t>
  </si>
  <si>
    <t>Jagan Lamps Ltd.</t>
  </si>
  <si>
    <t>Supreme Engineering Ltd.</t>
  </si>
  <si>
    <t>SUPREMEENG</t>
  </si>
  <si>
    <t>GITA RENEWABLE ENERGY LIMITED</t>
  </si>
  <si>
    <t>My Money Securities Ltd.</t>
  </si>
  <si>
    <t>Alka India Ltd.</t>
  </si>
  <si>
    <t>Sambandam Spinning Mills Ltd.</t>
  </si>
  <si>
    <t>National Oxygen Ltd.</t>
  </si>
  <si>
    <t>SM Auto Stamping Limited</t>
  </si>
  <si>
    <t>Tarini Enterprises Limited</t>
  </si>
  <si>
    <t>ACCELERATEBS INDIA LIMITED</t>
  </si>
  <si>
    <t>Kenvi Jewels Limited</t>
  </si>
  <si>
    <t>Sintex Plastics Technology Ltd.</t>
  </si>
  <si>
    <t>K.G.Denim Ltd</t>
  </si>
  <si>
    <t>Kay Power And Paper Ltd</t>
  </si>
  <si>
    <t>Assam Entrade Limited</t>
  </si>
  <si>
    <t>Bizotic Commercial Limited</t>
  </si>
  <si>
    <t>Binny Mills Limited</t>
  </si>
  <si>
    <t>Rolta India Ltd.</t>
  </si>
  <si>
    <t>ROLTA</t>
  </si>
  <si>
    <t>Padam Cotton Yarns Ltd.</t>
  </si>
  <si>
    <t>ABC India Ltd.</t>
  </si>
  <si>
    <t>Hardcastle &amp; Waud Mfg. Co. Ltd.</t>
  </si>
  <si>
    <t>Spectrum Foods Limited</t>
  </si>
  <si>
    <t>Lesha Industries Limited</t>
  </si>
  <si>
    <t>SELLWIN TRADERS LIMITED</t>
  </si>
  <si>
    <t>Maxheights Infrastructure Limited</t>
  </si>
  <si>
    <t>Uniply Industries Ltd.</t>
  </si>
  <si>
    <t>PCS Technology Ltd.</t>
  </si>
  <si>
    <t>S.V.J.ENTERPRISES LIMITED</t>
  </si>
  <si>
    <t>Swasti Vinayaka Synthetics Ltd.</t>
  </si>
  <si>
    <t>P.H. Capital Ltd.</t>
  </si>
  <si>
    <t>Anjani Synthetics Limited</t>
  </si>
  <si>
    <t>Cospower Engineering Limited</t>
  </si>
  <si>
    <t>PACE E-COMMERCE VENTURES LIMITED</t>
  </si>
  <si>
    <t>SATCHMO HOLDINGS LIMITED</t>
  </si>
  <si>
    <t>Burnpur Cement Limited</t>
  </si>
  <si>
    <t>BURNPUR</t>
  </si>
  <si>
    <t>GlobalSpace Technologies Limited</t>
  </si>
  <si>
    <t>Katare Spinning Mills Ltd.</t>
  </si>
  <si>
    <t>EMERGENT INDUSTRIAL SOLUTIONS LIMITED</t>
  </si>
  <si>
    <t>VIVID MERCANTILE LIMITED</t>
  </si>
  <si>
    <t>Arex Industries Ltd.</t>
  </si>
  <si>
    <t>Wires &amp; Fabriks (SA) Ltd.</t>
  </si>
  <si>
    <t>Crestchem Ltd.</t>
  </si>
  <si>
    <t>JOHNSON PHARMACARE LIMITED</t>
  </si>
  <si>
    <t>Savani Financials Ltd.</t>
  </si>
  <si>
    <t>AJR INFRA AND TOLLING LIMITED</t>
  </si>
  <si>
    <t>Deccan Health Care Limited</t>
  </si>
  <si>
    <t>AGRIBIO SPIRITS LIMITED</t>
  </si>
  <si>
    <t>ANG Lifesciences India Limited</t>
  </si>
  <si>
    <t>Vandana Knitwear Limited</t>
  </si>
  <si>
    <t>P.B.M. Polytex Ltd.</t>
  </si>
  <si>
    <t>Mohindra Fasteners Limited</t>
  </si>
  <si>
    <t>ORCHASP LIMITED</t>
  </si>
  <si>
    <t>Kabsons Industries Ltd.</t>
  </si>
  <si>
    <t>ADVANCE METERING TECHNOLOGY LIMITED</t>
  </si>
  <si>
    <t>GTN Industries Limited</t>
  </si>
  <si>
    <t>Medi-Caps Ltd.</t>
  </si>
  <si>
    <t>Ceeta Industries Ltd.</t>
  </si>
  <si>
    <t>Mahalaxmi Fabric Mills Limited</t>
  </si>
  <si>
    <t>MFML</t>
  </si>
  <si>
    <t>Metal Coatings (India) Ltd.</t>
  </si>
  <si>
    <t>The Ravalgaon Sugar Farm Limited</t>
  </si>
  <si>
    <t>Era Buildsys Limited</t>
  </si>
  <si>
    <t>Mehta Housing Finance Ltd.</t>
  </si>
  <si>
    <t>CONTAINE TECHNOLOGIES LIMITED</t>
  </si>
  <si>
    <t>DMR Hydroengineering &amp; Infrastructures Limited</t>
  </si>
  <si>
    <t>Ladderup Finance Ltd.</t>
  </si>
  <si>
    <t>Gujarat Craft Industries Ltd.</t>
  </si>
  <si>
    <t>Shalimar Productions Ltd.</t>
  </si>
  <si>
    <t>G.S. Auto International Ltd.</t>
  </si>
  <si>
    <t>TV VISION LIMITED</t>
  </si>
  <si>
    <t>TVVISION</t>
  </si>
  <si>
    <t>National Plastic Industries Ltd.</t>
  </si>
  <si>
    <t>PROSPECT CONSUMER PRODUCTS LIMITED</t>
  </si>
  <si>
    <t>CCL International Ltd</t>
  </si>
  <si>
    <t>Saven Technologies Ltd.</t>
  </si>
  <si>
    <t>Pearl Polymers Ltd.</t>
  </si>
  <si>
    <t>PEARLPOLY</t>
  </si>
  <si>
    <t>E-Land Apparel Limited</t>
  </si>
  <si>
    <t>Franklin Industries Limited</t>
  </si>
  <si>
    <t>M.M. Rubber Company Ltd.</t>
  </si>
  <si>
    <t>G. G. Dandekar Properties Limited</t>
  </si>
  <si>
    <t>Camex Ltd.</t>
  </si>
  <si>
    <t>SHELTER PHARMA LIMITED</t>
  </si>
  <si>
    <t>UR SUGAR INDUSTRIES LIMITED</t>
  </si>
  <si>
    <t>Shreeshay Engineers Limited</t>
  </si>
  <si>
    <t>Vistar Amar Limited</t>
  </si>
  <si>
    <t>SHRYDUS INDUSTRIES LIMITED</t>
  </si>
  <si>
    <t>Sanathnagar Enterprises Limited</t>
  </si>
  <si>
    <t>Salem Erode Investments Ltd.</t>
  </si>
  <si>
    <t>Integra Switchgear Ltd.</t>
  </si>
  <si>
    <t>Teesta Agro Industries Ltd</t>
  </si>
  <si>
    <t>El Forge Ltd.</t>
  </si>
  <si>
    <t>Rose Merc.Limited</t>
  </si>
  <si>
    <t>Roopa Industries Ltd.</t>
  </si>
  <si>
    <t>Palco Metals Limited</t>
  </si>
  <si>
    <t>Suditi Industries Ltd.</t>
  </si>
  <si>
    <t>Texel Industries Ltd.</t>
  </si>
  <si>
    <t>Super Spinning Mills Ltd.</t>
  </si>
  <si>
    <t>SUPERSPIN</t>
  </si>
  <si>
    <t>Amkay Products Limited</t>
  </si>
  <si>
    <t>Mediaone Global Entertainment Limited</t>
  </si>
  <si>
    <t>GARMENT MANTRA LIFESTYLE LIMITED</t>
  </si>
  <si>
    <t>NEW LIGHT APPARELS LIMTED</t>
  </si>
  <si>
    <t>Bombay Rayon Fashions Ltd.</t>
  </si>
  <si>
    <t>Mish Designs Limited</t>
  </si>
  <si>
    <t>Silver Oak (India) Ltd.</t>
  </si>
  <si>
    <t>Walchand Peoplefirst Limited</t>
  </si>
  <si>
    <t>Sacheta Metals Ltd.</t>
  </si>
  <si>
    <t>Angel Fibers Limited</t>
  </si>
  <si>
    <t>N.G.Industries Ltd.</t>
  </si>
  <si>
    <t>Future Enterprises Limited</t>
  </si>
  <si>
    <t>FEL</t>
  </si>
  <si>
    <t>Flora Textiles Ltd.</t>
  </si>
  <si>
    <t>COMFORT FINCAP LIMITED</t>
  </si>
  <si>
    <t>Sandu Pharmaceuticals Ltd.</t>
  </si>
  <si>
    <t>Simplex Realty Limited</t>
  </si>
  <si>
    <t>Dhanlaxmi Fabrics Ltd.</t>
  </si>
  <si>
    <t>Prime Property Development Corporation Ltd.</t>
  </si>
  <si>
    <t>G-TEC Jainx Education Ltd.</t>
  </si>
  <si>
    <t>GTECJAINX</t>
  </si>
  <si>
    <t>Conart Engineers Ltd.</t>
  </si>
  <si>
    <t>Vruddhi Engineering Works Limited</t>
  </si>
  <si>
    <t>Vivo Bio tech Ltd.</t>
  </si>
  <si>
    <t>Starcom Information Technology Ltd</t>
  </si>
  <si>
    <t>The Phosphate Company Limited</t>
  </si>
  <si>
    <t>Gorani Industries Ltd.</t>
  </si>
  <si>
    <t>Mohit Paper Mills Ltd.</t>
  </si>
  <si>
    <t>Inani Marbles &amp; Industries Ltd.</t>
  </si>
  <si>
    <t>Fervent Synergies Limited</t>
  </si>
  <si>
    <t>Humming Bird Education Limited</t>
  </si>
  <si>
    <t>Salora International Limited</t>
  </si>
  <si>
    <t>Artefact Projects Ltd</t>
  </si>
  <si>
    <t>Ankit Metal &amp; Power Limited</t>
  </si>
  <si>
    <t>ANKITMETAL</t>
  </si>
  <si>
    <t>Jigar Cables Limited</t>
  </si>
  <si>
    <t>Mangal Compusolution Limited</t>
  </si>
  <si>
    <t>Oceanic Foods Limited</t>
  </si>
  <si>
    <t>Zodiac Ventures Limited</t>
  </si>
  <si>
    <t>Tirupati Sarjan Ltd.</t>
  </si>
  <si>
    <t>Inland Printers Ltd.</t>
  </si>
  <si>
    <t>Kshitij Polyline Ltd.</t>
  </si>
  <si>
    <t>KSHITIJPOL</t>
  </si>
  <si>
    <t>Naturite Agro Products Limited</t>
  </si>
  <si>
    <t>Shree Pacetronix Ltd</t>
  </si>
  <si>
    <t>H.P. Cotton Textile Mills Ltd.</t>
  </si>
  <si>
    <t>TRANSVOY LOGISTICS INDIA LIMITED</t>
  </si>
  <si>
    <t>Yash Chemex Limited</t>
  </si>
  <si>
    <t>PRISMX GLOBAL VENTURES LIMITED</t>
  </si>
  <si>
    <t>Galactico Corporate Services Limited</t>
  </si>
  <si>
    <t>Ecoboard Industries Ltd</t>
  </si>
  <si>
    <t>Sri Ramakrishna Mills (Coimbatore) Ltd.</t>
  </si>
  <si>
    <t>TELOGICA LIMITED</t>
  </si>
  <si>
    <t>Garnet Construction Ltd.</t>
  </si>
  <si>
    <t>GKB Ophthalmics Ltd.</t>
  </si>
  <si>
    <t>Shree Rajasthan Syntex Ltd.</t>
  </si>
  <si>
    <t>Vineet Laboratories Limited</t>
  </si>
  <si>
    <t>VINEETLAB</t>
  </si>
  <si>
    <t>WEST LEISURE RESORTS LIMITED</t>
  </si>
  <si>
    <t>Balurghat Technologies Ltd.</t>
  </si>
  <si>
    <t>Diana Tea Co.Ltd.</t>
  </si>
  <si>
    <t>TIRUPATI FOAM LIMITED</t>
  </si>
  <si>
    <t>JULIEN AGRO INFRATECH LIMITED</t>
  </si>
  <si>
    <t>India Nivesh Limited</t>
  </si>
  <si>
    <t>Opto Circuits (India) Ltd.</t>
  </si>
  <si>
    <t>Shree Ram Proteins Ltd.</t>
  </si>
  <si>
    <t>SRPL</t>
  </si>
  <si>
    <t>Chandra Bhagat Pharma Limited</t>
  </si>
  <si>
    <t>Response Informatics Limited</t>
  </si>
  <si>
    <t>USG Tech Solutions Ltd</t>
  </si>
  <si>
    <t>NITIN FIRE PROTECTION INDUSTRIES LIMITED</t>
  </si>
  <si>
    <t>Sulabh Engineers &amp; Services Limited</t>
  </si>
  <si>
    <t>Starlog Enterprises Limited</t>
  </si>
  <si>
    <t>Ashnisha Industries Limited</t>
  </si>
  <si>
    <t>Transgene Biotek Ltd.</t>
  </si>
  <si>
    <t>Ind Bank Housing Ltd</t>
  </si>
  <si>
    <t>Insilco Ltd</t>
  </si>
  <si>
    <t>Greenhitech Ventures Limited</t>
  </si>
  <si>
    <t>Fortune International Ltd.</t>
  </si>
  <si>
    <t>Sumedha Fiscal Services Ltd.</t>
  </si>
  <si>
    <t>Next Mediaworks Ltd</t>
  </si>
  <si>
    <t>NEXTMEDIA</t>
  </si>
  <si>
    <t>Kamadgiri Fashion Limited</t>
  </si>
  <si>
    <t>TECHINDIA NIRMAN LIMITED</t>
  </si>
  <si>
    <t>TECHIN</t>
  </si>
  <si>
    <t>Iykot Hitech Toolroom Ltd</t>
  </si>
  <si>
    <t>Earthstahl &amp; Alloys Limited</t>
  </si>
  <si>
    <t>GOBLIN INDIA LIMITED</t>
  </si>
  <si>
    <t>Tatia Global Vennture Limited</t>
  </si>
  <si>
    <t>Axel Polymers Ltd.</t>
  </si>
  <si>
    <t>Continental Petroleums Ltd.</t>
  </si>
  <si>
    <t>A.F. Enterprises Limited</t>
  </si>
  <si>
    <t>Shrenik Ltd.</t>
  </si>
  <si>
    <t>SHRENIK</t>
  </si>
  <si>
    <t>RR METALMAKERS INDIA LIMITED</t>
  </si>
  <si>
    <t>BANDARAM PHARMA PACKTECH LIMITED</t>
  </si>
  <si>
    <t>Consecutive Investments &amp; Trading Company Limited</t>
  </si>
  <si>
    <t>Standard Surfactants Ltd.</t>
  </si>
  <si>
    <t>Punctual Trading Ltd.</t>
  </si>
  <si>
    <t>Maharashtra Corporation Ltd.</t>
  </si>
  <si>
    <t>Transchem Limited.</t>
  </si>
  <si>
    <t>MSR India Limited</t>
  </si>
  <si>
    <t>PRABHHANS INDUSTRIES LIMITED</t>
  </si>
  <si>
    <t>ERP Soft Systems Ltd.</t>
  </si>
  <si>
    <t>Gujarat Terce Laboratories Ltd</t>
  </si>
  <si>
    <t>DRA CONSULTANTS LIMITED</t>
  </si>
  <si>
    <t>Eighty Jewellers Limited</t>
  </si>
  <si>
    <t>STL Global Ltd</t>
  </si>
  <si>
    <t>SGL</t>
  </si>
  <si>
    <t>N. E. Electronics Limited</t>
  </si>
  <si>
    <t>Betex India Ltd.</t>
  </si>
  <si>
    <t>Shree Krishna Paper Mills &amp; Industr</t>
  </si>
  <si>
    <t>Misquita Engineering Limited</t>
  </si>
  <si>
    <t>Medico Intercontinental Limited</t>
  </si>
  <si>
    <t>Fine-line Circuits Ltd.</t>
  </si>
  <si>
    <t>ARIGATO UNIVERSE LIMITED</t>
  </si>
  <si>
    <t>Khyati Global Ventures Limited</t>
  </si>
  <si>
    <t>Tamilnadu Telecommunications Ltd.</t>
  </si>
  <si>
    <t>TNTELE</t>
  </si>
  <si>
    <t>FLOMIC GLOBAL LOGISTICS LIMITED</t>
  </si>
  <si>
    <t>Poddar Housing and Development Limited</t>
  </si>
  <si>
    <t>PODDARHOUS</t>
  </si>
  <si>
    <t>Gogia Capital Services Limited</t>
  </si>
  <si>
    <t>Tejnaksh Healthcare Limited</t>
  </si>
  <si>
    <t>KISAAN PARIVAR INDUSTRIES LIMITED</t>
  </si>
  <si>
    <t>SHANTIDOOT INFRA SERVICES LIMITED</t>
  </si>
  <si>
    <t>Alfavision Overseas (India) Ltd.</t>
  </si>
  <si>
    <t>Ashirwad Steels &amp; Industries Ltd.</t>
  </si>
  <si>
    <t>BONLON INDUSTRIES LIMITED</t>
  </si>
  <si>
    <t>CHENNAI FERROUS INDUSTRIES LIMITED</t>
  </si>
  <si>
    <t>India Home Loan Limited</t>
  </si>
  <si>
    <t>Haryana Leather Chemicals Ltd.</t>
  </si>
  <si>
    <t>Addi Industries Ltd.</t>
  </si>
  <si>
    <t>Parsoli Corporation Ltd.</t>
  </si>
  <si>
    <t>Oasis Securities Limited</t>
  </si>
  <si>
    <t>Acrow (India) Ltd.</t>
  </si>
  <si>
    <t>HILIKS TECHNOLOGIES LIMITED</t>
  </si>
  <si>
    <t>AA Plus Tradelink Limited</t>
  </si>
  <si>
    <t>Sainik Finance and Industries Ltd</t>
  </si>
  <si>
    <t>Pro Fin Capital Services Ltd</t>
  </si>
  <si>
    <t>Hemadri Cements Limited</t>
  </si>
  <si>
    <t>KJMC Financial Services Ltd.</t>
  </si>
  <si>
    <t>Vista Pharmaceuticals Ltd.</t>
  </si>
  <si>
    <t>S &amp; T Corporation Limited</t>
  </si>
  <si>
    <t>Vivanta Industries Limited</t>
  </si>
  <si>
    <t>Picturehouse Media Limited</t>
  </si>
  <si>
    <t>Chandra Prabhu International Ltd.</t>
  </si>
  <si>
    <t>Dhanlaxmi Cotex Ltd.</t>
  </si>
  <si>
    <t>Dynamic Protfolio Management &amp; Serv</t>
  </si>
  <si>
    <t>Visagar Financial Services Ltd</t>
  </si>
  <si>
    <t>Future Lifestyle Fashions Limited</t>
  </si>
  <si>
    <t>FLFL</t>
  </si>
  <si>
    <t>Choksi Laboratories Ltd.</t>
  </si>
  <si>
    <t>Aspira Pathlab &amp; Diagnostics Limited</t>
  </si>
  <si>
    <t>Vama Industries Limited</t>
  </si>
  <si>
    <t>Cybele Industries Limited</t>
  </si>
  <si>
    <t>Manjeera Constructions Limited</t>
  </si>
  <si>
    <t>Khoobsurat Ltd.</t>
  </si>
  <si>
    <t>Tecil Chemicals &amp; Hydro Power Limit</t>
  </si>
  <si>
    <t>TECILCHEM</t>
  </si>
  <si>
    <t>Lakhani India Ltd.</t>
  </si>
  <si>
    <t>EPIC Energy Ltd.</t>
  </si>
  <si>
    <t>Sylph Technologies Ltd</t>
  </si>
  <si>
    <t>Solitaire Machine Tools Ltd</t>
  </si>
  <si>
    <t>INNOKAIZ INDIA LIMITED</t>
  </si>
  <si>
    <t>Alan Scott Industries Ltd.</t>
  </si>
  <si>
    <t>Centenial Surgical Suture Ltd.</t>
  </si>
  <si>
    <t>Rex Sealing and Packing Industries Limited</t>
  </si>
  <si>
    <t>Suryaamba Spinning Mills Limited</t>
  </si>
  <si>
    <t>Mercury Trade Links Ltd.</t>
  </si>
  <si>
    <t>Manbro Industries Limited</t>
  </si>
  <si>
    <t>JMD Ventures Limited</t>
  </si>
  <si>
    <t>Megri Soft Limited</t>
  </si>
  <si>
    <t>Tirupati Tyres Ltd.</t>
  </si>
  <si>
    <t>Zodiac-JRD-MKJ Ltd.</t>
  </si>
  <si>
    <t>Kaiser Corporation Limited</t>
  </si>
  <si>
    <t>TGB Banquets and Hotels Limited</t>
  </si>
  <si>
    <t>TGBHOTELS</t>
  </si>
  <si>
    <t>KRETTO SYSCON LIMITED</t>
  </si>
  <si>
    <t>Aastamangalam Finance Limited</t>
  </si>
  <si>
    <t>Duropack Ltd</t>
  </si>
  <si>
    <t>Smart Finsec Limited</t>
  </si>
  <si>
    <t>Shree Hari Chemicals Export Ltd.</t>
  </si>
  <si>
    <t>Rishi Techtex Limited</t>
  </si>
  <si>
    <t>Shree Ganesh Biotech (India) Limited</t>
  </si>
  <si>
    <t>Poona Dal And Oil Industries Ltd.</t>
  </si>
  <si>
    <t>VARYAA CREATIONS LIMITED</t>
  </si>
  <si>
    <t>Add-Shop E-Retail Limited</t>
  </si>
  <si>
    <t>Faalcon Concepts Limited</t>
  </si>
  <si>
    <t>Shiva Global Agro Industries Limited</t>
  </si>
  <si>
    <t>Sonal Adhesives Ltd.</t>
  </si>
  <si>
    <t>POLYSPIN EXPORTS LIMITED</t>
  </si>
  <si>
    <t>Ashirwad Capital Ltd.</t>
  </si>
  <si>
    <t>Sumeet Industries Ltd</t>
  </si>
  <si>
    <t>Vertex Securities Ltd.</t>
  </si>
  <si>
    <t>Kridhan Infra Limited</t>
  </si>
  <si>
    <t>KRIDHANINF</t>
  </si>
  <si>
    <t>ACCEDERE LIMITED</t>
  </si>
  <si>
    <t>Hindoostan Mills Ltd.</t>
  </si>
  <si>
    <t>CITY CROPS AGRO LIMITED</t>
  </si>
  <si>
    <t>SMIFS Capital Markets Ltd.</t>
  </si>
  <si>
    <t>HIND ALUMINIUM INDUSTRIES LTD.</t>
  </si>
  <si>
    <t>Unick Fix-A- Form and Printers Limited</t>
  </si>
  <si>
    <t>Unison Metals Ltd</t>
  </si>
  <si>
    <t>Matra Kaushal Enterprise Limited</t>
  </si>
  <si>
    <t>Vasudhagama Enterprises Limited</t>
  </si>
  <si>
    <t>Morarjee Textiles Limited</t>
  </si>
  <si>
    <t>MORARJEE</t>
  </si>
  <si>
    <t>India Cements Capital Limited</t>
  </si>
  <si>
    <t>Hipolin Ltd.</t>
  </si>
  <si>
    <t>Sunil Agro Foods ltd.</t>
  </si>
  <si>
    <t>Aditya Spinners Ltd.</t>
  </si>
  <si>
    <t>Veerhealth Care Limited</t>
  </si>
  <si>
    <t>HCKK Ventures Limited</t>
  </si>
  <si>
    <t>Swasti Vinayaka Art And Heritage Corporation Ltd</t>
  </si>
  <si>
    <t>Ravileela Granites Limited</t>
  </si>
  <si>
    <t>Mask Investments Ltd.</t>
  </si>
  <si>
    <t>MASKINVEST</t>
  </si>
  <si>
    <t>INDONG TEA COMPANY LIMITED</t>
  </si>
  <si>
    <t>Roni Households Limited</t>
  </si>
  <si>
    <t>ANNVRRIDHHI VENTURES LIMITED</t>
  </si>
  <si>
    <t>Citadel Realty And Developers Limited</t>
  </si>
  <si>
    <t>Focus Business Solution Limited</t>
  </si>
  <si>
    <t>KANCO TEA &amp; INDUSTRIES LIMITED</t>
  </si>
  <si>
    <t>Valecha Engineering Ltd.</t>
  </si>
  <si>
    <t>Kapil Raj Finance Ltd.</t>
  </si>
  <si>
    <t>Central Provinces Railways Co. Ltd.</t>
  </si>
  <si>
    <t>Cyber Media (India) Ltd.</t>
  </si>
  <si>
    <t>CYBERMEDIA</t>
  </si>
  <si>
    <t>PVV Infra Limited</t>
  </si>
  <si>
    <t>Orient Tradelink Ltd.</t>
  </si>
  <si>
    <t>Mohit Industries Limited</t>
  </si>
  <si>
    <t>MOHITIND</t>
  </si>
  <si>
    <t>PECOS Hotels And Pubs Limited</t>
  </si>
  <si>
    <t>QGO FINANCE LIMITED</t>
  </si>
  <si>
    <t>Standard Batteries Ltd.</t>
  </si>
  <si>
    <t>SBEC Systems (Ind) Ltd.</t>
  </si>
  <si>
    <t>Thakral Services (India) Limited</t>
  </si>
  <si>
    <t>Patspin India Ltd.</t>
  </si>
  <si>
    <t>Yug Decor Limited</t>
  </si>
  <si>
    <t>Sudal Industries Limited</t>
  </si>
  <si>
    <t>Pearl Green Clubs and Resorts Limited</t>
  </si>
  <si>
    <t>Jupiter Infomedia Limited</t>
  </si>
  <si>
    <t>Jetking Infotrain Ltd.</t>
  </si>
  <si>
    <t>Tyroon Tea Co. Ltd.</t>
  </si>
  <si>
    <t>UTIQUE ENTERPRISES LIMITED</t>
  </si>
  <si>
    <t>Poojawestern Metaliks Limited</t>
  </si>
  <si>
    <t>HAMPS BIO LIMITED</t>
  </si>
  <si>
    <t>VIJI FINANCE LIMITED</t>
  </si>
  <si>
    <t>VIJIFIN</t>
  </si>
  <si>
    <t>KMS Medisurgi Limited</t>
  </si>
  <si>
    <t>Ascensive Educare Limited</t>
  </si>
  <si>
    <t>William Magor &amp; Company Limited</t>
  </si>
  <si>
    <t>WILLAMAGOR</t>
  </si>
  <si>
    <t>B2B Software Technologies Ltd.</t>
  </si>
  <si>
    <t>Netlink Solutions (India) Ltd.</t>
  </si>
  <si>
    <t>Quality RO Industries Limited</t>
  </si>
  <si>
    <t>INFRONICS SYSTEMS LIMITED</t>
  </si>
  <si>
    <t>Vivimed Labs Ltd.</t>
  </si>
  <si>
    <t>Gujarat Petrosynthese Ltd.</t>
  </si>
  <si>
    <t>FAMILY CARE HOSPITALS LIMITED</t>
  </si>
  <si>
    <t>Nalin Lease Finance Ltd.</t>
  </si>
  <si>
    <t>Gothi Plascon (India) Ltd.</t>
  </si>
  <si>
    <t>Jumbo Bag ltd.</t>
  </si>
  <si>
    <t>Hemang Resources Limited</t>
  </si>
  <si>
    <t>Informed Technologies India Ltd.</t>
  </si>
  <si>
    <t>Vinyoflex Ltd.</t>
  </si>
  <si>
    <t>Arman Holdings Limited</t>
  </si>
  <si>
    <t>Tarini International Limited</t>
  </si>
  <si>
    <t>Continental Securities Limited</t>
  </si>
  <si>
    <t>KSS Limited</t>
  </si>
  <si>
    <t>Veejay Lakshmi Engineering Works Lt</t>
  </si>
  <si>
    <t>Rithwik Facility Management Services Limited</t>
  </si>
  <si>
    <t>Incap Ltd</t>
  </si>
  <si>
    <t>SRU Steels Limited</t>
  </si>
  <si>
    <t>Raw Edge Industrial Solutions Limited</t>
  </si>
  <si>
    <t>J.A. Finance Limited</t>
  </si>
  <si>
    <t>NEOPOLITAN PIZZA AND FOODS LIMITED</t>
  </si>
  <si>
    <t>GENUS PRIME INFRA LIMITED</t>
  </si>
  <si>
    <t>Aruna Hotels Ltd.</t>
  </si>
  <si>
    <t>Gayatri BioOrganics Ltd</t>
  </si>
  <si>
    <t>Globale Tessile Limited</t>
  </si>
  <si>
    <t>GLOBALE</t>
  </si>
  <si>
    <t>Pratik Panels Ltd.</t>
  </si>
  <si>
    <t>National General Industries Ltd.</t>
  </si>
  <si>
    <t>Medinova Diagnostic Services Ltd.</t>
  </si>
  <si>
    <t>SRI HAVISHA HOSPITALITY AND INFRASTRUCTURE LIMITED</t>
  </si>
  <si>
    <t>HAVISHA</t>
  </si>
  <si>
    <t>NIVAKA FASHIONS LIMITED</t>
  </si>
  <si>
    <t>SWOJAS FOODS LIMITED</t>
  </si>
  <si>
    <t>Panjon Ltd.</t>
  </si>
  <si>
    <t>Prakash Woollen &amp; Synthetic Mills Ltd</t>
  </si>
  <si>
    <t>Laffans Petrochemicals Ltd.</t>
  </si>
  <si>
    <t>KALLAM TEXTILES LTD</t>
  </si>
  <si>
    <t>SJ Corporation Limited</t>
  </si>
  <si>
    <t>Venlon Enterprises Ltd.</t>
  </si>
  <si>
    <t>Gajanan Securities Services Ltd.</t>
  </si>
  <si>
    <t>North Eastern Publishing And Advertising Co Ltd</t>
  </si>
  <si>
    <t>Bhaskar Agrochemicals Ltd.</t>
  </si>
  <si>
    <t>Kailash Auto Finance Ltd</t>
  </si>
  <si>
    <t>Ashiana Ispat Limited</t>
  </si>
  <si>
    <t>Polymechplast Machines Ltd.</t>
  </si>
  <si>
    <t>Bombay Wire Ropes Ltd.</t>
  </si>
  <si>
    <t>Spenta International Ltd.</t>
  </si>
  <si>
    <t>VAPI ENTERPRISE LIMITED</t>
  </si>
  <si>
    <t>TIJARIA POLYPIPES LIMITED</t>
  </si>
  <si>
    <t>TIJARIA</t>
  </si>
  <si>
    <t>Concord Drugs Limited</t>
  </si>
  <si>
    <t>Mega Corporation Ltd</t>
  </si>
  <si>
    <t>Blue Chip India Ltd</t>
  </si>
  <si>
    <t>BLUECHIP</t>
  </si>
  <si>
    <t>Sawaca Business Machines Ltd.</t>
  </si>
  <si>
    <t>Goenka Diamond &amp; Jewels Ltd</t>
  </si>
  <si>
    <t>GOENKA</t>
  </si>
  <si>
    <t>MPDL LIMITED</t>
  </si>
  <si>
    <t>Infomedia Press Limited</t>
  </si>
  <si>
    <t>INFOMEDIA</t>
  </si>
  <si>
    <t>SPA Capital Services Limited</t>
  </si>
  <si>
    <t>SHANGAR DECOR LIMITED</t>
  </si>
  <si>
    <t>Deco-Mica Ltd.</t>
  </si>
  <si>
    <t>TCM Ltd.</t>
  </si>
  <si>
    <t>Hindustan Flurocarbons Ltd.</t>
  </si>
  <si>
    <t>Gem Spinners India Ltd</t>
  </si>
  <si>
    <t>JBF Industries Ltd.</t>
  </si>
  <si>
    <t>EPUJA SPIRITECH LIMITED</t>
  </si>
  <si>
    <t>Pan India Corporation Ltd</t>
  </si>
  <si>
    <t>Benchmark Computer Solutions Limited</t>
  </si>
  <si>
    <t>K-Lifestyle &amp; Industries Limited</t>
  </si>
  <si>
    <t>BOMBAY TALKIES LIMITED</t>
  </si>
  <si>
    <t>SANWARIA CONSUMER LIMITED</t>
  </si>
  <si>
    <t>SANWARIA</t>
  </si>
  <si>
    <t>Sugal &amp; Damani Share Brokers Ltd.</t>
  </si>
  <si>
    <t>Bervin Investments And Leasing Ltd.</t>
  </si>
  <si>
    <t>Anuroop Packaging Limited</t>
  </si>
  <si>
    <t>LAKHOTIA POLYESTERS (INDIA) LIMITED</t>
  </si>
  <si>
    <t>Martin Burn Ltd</t>
  </si>
  <si>
    <t>Libord Finance Limited</t>
  </si>
  <si>
    <t>Alfa Ica (India) Ltd</t>
  </si>
  <si>
    <t>CHALLANI CAPITAL LIMITED</t>
  </si>
  <si>
    <t>Phaarmasia Limited.</t>
  </si>
  <si>
    <t>PIOTEX INDUSTRIES LIMITED</t>
  </si>
  <si>
    <t>VIRTUAL GLOBAL EDUCATION LTD.</t>
  </si>
  <si>
    <t>Deep Diamond India Limited</t>
  </si>
  <si>
    <t>Global Capital Markets Ltd.</t>
  </si>
  <si>
    <t>Gabriel Pet Straps Limited</t>
  </si>
  <si>
    <t>Titaanium Ten Enterprise Limited</t>
  </si>
  <si>
    <t>Global Longlife Hospital and Research Limited</t>
  </si>
  <si>
    <t>D.S.Kulkarni Developers Ltd</t>
  </si>
  <si>
    <t>Adeshwar Meditex Limited</t>
  </si>
  <si>
    <t>RKD AGRI &amp; RETAIL LIMITED</t>
  </si>
  <si>
    <t>Chordia Food Products Ltd</t>
  </si>
  <si>
    <t>Birla Cotsyn (India) Limited</t>
  </si>
  <si>
    <t>Ushdev International Ltd</t>
  </si>
  <si>
    <t>Scarnose International Limited</t>
  </si>
  <si>
    <t>Sai Swami Metals and Alloys Limited</t>
  </si>
  <si>
    <t>Rodium Realty Limited</t>
  </si>
  <si>
    <t>Gautam Exim Limited</t>
  </si>
  <si>
    <t>GCCL Infrastructure &amp; Projects Ltd.</t>
  </si>
  <si>
    <t>PAOS INDUSTRIES LIMITED</t>
  </si>
  <si>
    <t>SADHNA BROADCAST LTD</t>
  </si>
  <si>
    <t>MPIL CORPORATION LIMITED</t>
  </si>
  <si>
    <t>Purbanchal Prestressed Limited</t>
  </si>
  <si>
    <t>Greencrest Financial Services Limited</t>
  </si>
  <si>
    <t>Frontier Capital Limited</t>
  </si>
  <si>
    <t>Sterling Powergensys Limited</t>
  </si>
  <si>
    <t>Vikas WSP Ltd.</t>
  </si>
  <si>
    <t>Jindal Capital Ltd.</t>
  </si>
  <si>
    <t>Veer Energy &amp; Infrastructure Limited</t>
  </si>
  <si>
    <t>S.P.Capital Financing Ltd.</t>
  </si>
  <si>
    <t>Shahi Shipping Limited</t>
  </si>
  <si>
    <t>Inditrade Capital Limited</t>
  </si>
  <si>
    <t>Comfort Commotrade Limited</t>
  </si>
  <si>
    <t>Asahi Industries Limited</t>
  </si>
  <si>
    <t>Technopack Polymers Limited</t>
  </si>
  <si>
    <t>JMJ Fintech Limited</t>
  </si>
  <si>
    <t>N.K.Industries Ltd.</t>
  </si>
  <si>
    <t>NKIND</t>
  </si>
  <si>
    <t>COSYN Limited</t>
  </si>
  <si>
    <t>Jay Kailash Namkeen Limited</t>
  </si>
  <si>
    <t>Sahara One Media And Entertainment Limited</t>
  </si>
  <si>
    <t>Sangal Papers Ltd.</t>
  </si>
  <si>
    <t>Safa Systems &amp; Technologies Limited</t>
  </si>
  <si>
    <t>Operational Energy Group India Limited</t>
  </si>
  <si>
    <t>COLORCHIPS NEW MEDIA LIMITED</t>
  </si>
  <si>
    <t>TTI Enterprise Limited</t>
  </si>
  <si>
    <t>Munoth Financial Services Ltd.</t>
  </si>
  <si>
    <t>Suumaya Industries Ltd.</t>
  </si>
  <si>
    <t>SUULD</t>
  </si>
  <si>
    <t>Stanrose Mafatlal Investments &amp; Fin</t>
  </si>
  <si>
    <t>GAYATRI HIGHWAYS LTD</t>
  </si>
  <si>
    <t>GAYAHWS</t>
  </si>
  <si>
    <t>Gold Line International Finvest Limited</t>
  </si>
  <si>
    <t>Cochin Malabar Estates &amp; Indus. Ltd</t>
  </si>
  <si>
    <t>KK Shah Hospitals Limited</t>
  </si>
  <si>
    <t>LERTHAI FINANCE LIMITED</t>
  </si>
  <si>
    <t>Zenith Fibres Limited</t>
  </si>
  <si>
    <t>Svarnim Trade Udyog Limited</t>
  </si>
  <si>
    <t>Roselabs Finance Ltd.</t>
  </si>
  <si>
    <t>Invigorated Business Consulting Limited</t>
  </si>
  <si>
    <t>Adarsh Plant Project Ltd.</t>
  </si>
  <si>
    <t>Maris Spinners Ltd.</t>
  </si>
  <si>
    <t>Amco India Ltd.</t>
  </si>
  <si>
    <t>Kratos Energy &amp; Infrastructure Limited</t>
  </si>
  <si>
    <t>KJMC Corporate Advisors (India) Ltd.</t>
  </si>
  <si>
    <t>Pincon Spirit Limited</t>
  </si>
  <si>
    <t>Welcure Drugs &amp; Pharmaceuticals ltd</t>
  </si>
  <si>
    <t>Madhusudan Industries Ltd.</t>
  </si>
  <si>
    <t>Nirav Commercials Ltd.</t>
  </si>
  <si>
    <t>CHOTHANI FOODS LIMITED</t>
  </si>
  <si>
    <t>Blue Chip Tex Industries Ltd.</t>
  </si>
  <si>
    <t>Ranjeet Mechatronics Limited</t>
  </si>
  <si>
    <t>Lex Nimble Solutions Limited</t>
  </si>
  <si>
    <t>Visagar Polytex Ltd</t>
  </si>
  <si>
    <t>VIVIDHA</t>
  </si>
  <si>
    <t>Kapil Cotex Ltd.</t>
  </si>
  <si>
    <t>Indo Cotspin Limited</t>
  </si>
  <si>
    <t>Jattashankar Industries Limited</t>
  </si>
  <si>
    <t>Asian Tea &amp; Exports Ltd.</t>
  </si>
  <si>
    <t>Harig Crankshafts Ltd.</t>
  </si>
  <si>
    <t>Pentokey Organy (India) Ltd.</t>
  </si>
  <si>
    <t>Abirami Financial Services (India)</t>
  </si>
  <si>
    <t>Rajkamal Synthetics Ltd.</t>
  </si>
  <si>
    <t>Jyothi Infraventures Ltd.</t>
  </si>
  <si>
    <t>Olympia Industries Ltd.</t>
  </si>
  <si>
    <t>Cargosol Logistics Limited</t>
  </si>
  <si>
    <t>Bampsl Securities Ltd.</t>
  </si>
  <si>
    <t>Popular Estate Management Ltd</t>
  </si>
  <si>
    <t>Pasupati Spg. &amp; Wvg. Mills Ltd.</t>
  </si>
  <si>
    <t>B.C. Power Controls Limited</t>
  </si>
  <si>
    <t>Inducto Steels ltd.</t>
  </si>
  <si>
    <t>Nirmitee Robotics India Limited</t>
  </si>
  <si>
    <t>SVS VENTURES LIMITED</t>
  </si>
  <si>
    <t>Advance Lifestyles Ltd.</t>
  </si>
  <si>
    <t>Cargotrans Maritime Limited</t>
  </si>
  <si>
    <t>Ventura Textiles Ltd.</t>
  </si>
  <si>
    <t>Arrowhead Seperation Engineering Limited</t>
  </si>
  <si>
    <t>Narendra Properties Ltd.</t>
  </si>
  <si>
    <t>Yuranus Infrastructure Ltd</t>
  </si>
  <si>
    <t>V R FILMS &amp; STUDIOS LIMITED</t>
  </si>
  <si>
    <t>Winro Commercial (India) Ltd.</t>
  </si>
  <si>
    <t>Vanta Bioscience Limited</t>
  </si>
  <si>
    <t>SAMSRITA LABS LIMITED</t>
  </si>
  <si>
    <t>Madhusudan Securities Ltd</t>
  </si>
  <si>
    <t>IVRCL LTD</t>
  </si>
  <si>
    <t>MARKOBENZ VENTURES LIMITED</t>
  </si>
  <si>
    <t>Shubham Polyspin Limited</t>
  </si>
  <si>
    <t>MRC AGROTECH LIMITED</t>
  </si>
  <si>
    <t>Nuway Organic Naturals (India) Ltd.</t>
  </si>
  <si>
    <t>Nagarjuna Agritech Ltd.</t>
  </si>
  <si>
    <t>TEJASSVI AAHARAM LIMITED</t>
  </si>
  <si>
    <t>Chennai Meenakshi Multispeciality Hospital Ltd.</t>
  </si>
  <si>
    <t>Machhar Industries Limited</t>
  </si>
  <si>
    <t>Samyak International Limited</t>
  </si>
  <si>
    <t>PS IT Infrastructure &amp; Services Limited</t>
  </si>
  <si>
    <t>Gautam Gems Limited</t>
  </si>
  <si>
    <t>Salguti Industries Ltd.</t>
  </si>
  <si>
    <t>Parshwanath Corporation Limited</t>
  </si>
  <si>
    <t>Pan Electronics India Ltd.</t>
  </si>
  <si>
    <t>Linkson International Limited</t>
  </si>
  <si>
    <t>Choksi Imaging Ltd.</t>
  </si>
  <si>
    <t>Impex Ferro tech Ltd.</t>
  </si>
  <si>
    <t>IMPEXFERRO</t>
  </si>
  <si>
    <t>Zenith Health Care Ltd.</t>
  </si>
  <si>
    <t>Sunil Industries Ltd.</t>
  </si>
  <si>
    <t>Intec Capital Limited</t>
  </si>
  <si>
    <t>Glance Finance Ltd.</t>
  </si>
  <si>
    <t>Brandbucket Media &amp; Technology Limited</t>
  </si>
  <si>
    <t>Jagadishwar Pharmaceuticals Works Limited</t>
  </si>
  <si>
    <t>Miven Machine Tools Ltd.</t>
  </si>
  <si>
    <t>Margo Finance Limited</t>
  </si>
  <si>
    <t>DANUBE INDUSTRIES LIMITED</t>
  </si>
  <si>
    <t>PlatinumOne Business Services Limited</t>
  </si>
  <si>
    <t>Best Eastern Hotels Limited</t>
  </si>
  <si>
    <t>Associated Coaters Limited</t>
  </si>
  <si>
    <t>S R G SECURITIES FINANCE LIMITED</t>
  </si>
  <si>
    <t>Indus Finance Limited</t>
  </si>
  <si>
    <t>ONESOURCE INDUSTRIES AND VENTURES LIMITED</t>
  </si>
  <si>
    <t>VEDANT ASSET LIMITED</t>
  </si>
  <si>
    <t>Sahara HousingFina Corporation Ltd.</t>
  </si>
  <si>
    <t>Steel Strips Infrastructures Limited</t>
  </si>
  <si>
    <t>BHUDEVI INFRA PROJECTS LIMITED</t>
  </si>
  <si>
    <t>Ajcon Global Services Ltd.</t>
  </si>
  <si>
    <t>JAINEX AAMCOL LTD.</t>
  </si>
  <si>
    <t>Jagsonpal Finance &amp; Leasing Ltd.</t>
  </si>
  <si>
    <t>Sinnar Bidi Udyog Ltd.</t>
  </si>
  <si>
    <t>Rishabh Special Yarns Ltd</t>
  </si>
  <si>
    <t>JHS SVENDGAARD RETAIL VENTURES LIMITED</t>
  </si>
  <si>
    <t>RETAIL</t>
  </si>
  <si>
    <t>Cil Securities Ltd.</t>
  </si>
  <si>
    <t>Innovatus Entertainment Networks Limited</t>
  </si>
  <si>
    <t>Suncare Traders Limited</t>
  </si>
  <si>
    <t>Brisk Technovision Limited</t>
  </si>
  <si>
    <t>EP BIOCOMPOSITES LIMITED</t>
  </si>
  <si>
    <t>Neil Industries Ltd.</t>
  </si>
  <si>
    <t>Purshottam Investofin Limited</t>
  </si>
  <si>
    <t>Dharani Sugars &amp; Chemicals Ltd</t>
  </si>
  <si>
    <t>Cityman Limited</t>
  </si>
  <si>
    <t>Mudunuru Limited</t>
  </si>
  <si>
    <t>Dynamic Industries Ltd.</t>
  </si>
  <si>
    <t>Paragon Finance Ltd.</t>
  </si>
  <si>
    <t>Sagar Diamonds Limited</t>
  </si>
  <si>
    <t>PRADHIN LIMITED</t>
  </si>
  <si>
    <t>Shree Securities Ltd.</t>
  </si>
  <si>
    <t>Heads UP Ventures Limited</t>
  </si>
  <si>
    <t>HEADSUP</t>
  </si>
  <si>
    <t>SMC Credits ltd.</t>
  </si>
  <si>
    <t>Benara Bearings and Pistons Limited</t>
  </si>
  <si>
    <t>Command Polymers Limited</t>
  </si>
  <si>
    <t>Modern Steels Limited</t>
  </si>
  <si>
    <t>Prime Urban Development India Ltd</t>
  </si>
  <si>
    <t>Educomp Solutions Ltd</t>
  </si>
  <si>
    <t>EDUCOMP</t>
  </si>
  <si>
    <t>Sree chem Resins Ltd</t>
  </si>
  <si>
    <t>H.S.India Ltd.</t>
  </si>
  <si>
    <t>Roopshri Resorts Limited</t>
  </si>
  <si>
    <t>Jai Mata Glass Ltd.</t>
  </si>
  <si>
    <t>Omkar Pharmachem Ltd.</t>
  </si>
  <si>
    <t>Adhbhut Infrastructure Ltd.</t>
  </si>
  <si>
    <t>Sharma East India Hospitals And Res</t>
  </si>
  <si>
    <t>Bangalore Fort Farms Limited</t>
  </si>
  <si>
    <t>Innovative Ideals and Services (India) Limited</t>
  </si>
  <si>
    <t>CELLA SPACE LIMITED</t>
  </si>
  <si>
    <t>IGC Industries Limited</t>
  </si>
  <si>
    <t>SSPDL Limited</t>
  </si>
  <si>
    <t>ACI Infocom Ltd.</t>
  </si>
  <si>
    <t>CROISSANCE LIMITED</t>
  </si>
  <si>
    <t>Jayshree Chemicals Ltd.</t>
  </si>
  <si>
    <t>Winsome Yarns Ltd.</t>
  </si>
  <si>
    <t>WINSOME</t>
  </si>
  <si>
    <t>KSL AND INDUSTRIES LTD</t>
  </si>
  <si>
    <t>Gconnect Logitech and Supply Chain Limited</t>
  </si>
  <si>
    <t>NEERAJ PAPER MARKETING LIMITED</t>
  </si>
  <si>
    <t>APEX CAPITAL AND FINANCE LIMITED</t>
  </si>
  <si>
    <t>Enbee Trade &amp; Finance Ltd.</t>
  </si>
  <si>
    <t>Sancode Technologies Limited</t>
  </si>
  <si>
    <t>Daulat Securities Ltd.</t>
  </si>
  <si>
    <t>MFL India Ltd</t>
  </si>
  <si>
    <t>Nyssa Corporation Limited</t>
  </si>
  <si>
    <t>ECS Biztech Limited</t>
  </si>
  <si>
    <t>Zenlabs Ethica Limited</t>
  </si>
  <si>
    <t>Antarctica Ltd.</t>
  </si>
  <si>
    <t>ANTGRAPHIC</t>
  </si>
  <si>
    <t>Logic Infotech Limited</t>
  </si>
  <si>
    <t>Compuage Infocom Ltd</t>
  </si>
  <si>
    <t>COMPINFO</t>
  </si>
  <si>
    <t>Gujarat Inject (Kerala) Ltd.</t>
  </si>
  <si>
    <t>Asian Petroproducts &amp; Exports Ltd.</t>
  </si>
  <si>
    <t>VIKAS PROPPANT &amp; GRANITE LTD.</t>
  </si>
  <si>
    <t>Natural Biocon (India) Limited</t>
  </si>
  <si>
    <t>Nanavati Ventures Limited</t>
  </si>
  <si>
    <t>AMIN TANNERY LIMITED</t>
  </si>
  <si>
    <t>Grand Foundry Ltd.</t>
  </si>
  <si>
    <t>GFSTEELS</t>
  </si>
  <si>
    <t>Sanblue Corporation Limited</t>
  </si>
  <si>
    <t>Valson Industries Ltd.</t>
  </si>
  <si>
    <t>KCL Infra Projects Limited</t>
  </si>
  <si>
    <t>Frontline Corporation Limited</t>
  </si>
  <si>
    <t>LWS Knitwear Ltd</t>
  </si>
  <si>
    <t>Prima Industries Ltd.</t>
  </si>
  <si>
    <t>Mihika Industries Ltd.</t>
  </si>
  <si>
    <t>OSIAJEE TEXFAB LIMITED</t>
  </si>
  <si>
    <t>RAPID MULTIMODAL LOGISTICS LIMITED</t>
  </si>
  <si>
    <t>Shree Vatsaa Finance &amp; Leasing Ltd.</t>
  </si>
  <si>
    <t>Franklin Leasing and Finance Limited</t>
  </si>
  <si>
    <t>Premier Energy and Infrastructure Limited</t>
  </si>
  <si>
    <t>TRILIANCE POLYMERS LIMITED</t>
  </si>
  <si>
    <t>Vrundavan Plantation Limited</t>
  </si>
  <si>
    <t>SHANTI GURU INDUSTRIES LIMITED</t>
  </si>
  <si>
    <t>N.D.Metal Industries Ltd</t>
  </si>
  <si>
    <t>Triveni Glass Ltd.</t>
  </si>
  <si>
    <t>Octaware Technologies Limited</t>
  </si>
  <si>
    <t>The Delhi Safe Deposit Company Limited</t>
  </si>
  <si>
    <t>Ganodaya Finlease Limited</t>
  </si>
  <si>
    <t>Gujarat Hy-Spin Limited</t>
  </si>
  <si>
    <t>TRADEWELL HOLDINGS LIMITED</t>
  </si>
  <si>
    <t>Mercator Limited</t>
  </si>
  <si>
    <t>Interworld Digital Ltd.</t>
  </si>
  <si>
    <t>Bhakti Gems And Jewellery Limited</t>
  </si>
  <si>
    <t>Jyotirgamya Enterprises Limited</t>
  </si>
  <si>
    <t>GROARC INDUSTRIES INDIA LIMITED</t>
  </si>
  <si>
    <t>Tai Industries Ltd.</t>
  </si>
  <si>
    <t>White Organic Agro Limited</t>
  </si>
  <si>
    <t>ANUPAM FINSERV LIMITED</t>
  </si>
  <si>
    <t>Harish Textile Engineers Limited</t>
  </si>
  <si>
    <t>DHYAANI TRADEVENTTURES LIMITED</t>
  </si>
  <si>
    <t>Apt Packaging Ltd</t>
  </si>
  <si>
    <t>Palm Jewels Limited</t>
  </si>
  <si>
    <t>Reliable Ventures India Ltd</t>
  </si>
  <si>
    <t>Tuni Textile Mills Ltd.</t>
  </si>
  <si>
    <t>Dr. Fresh Assets Limited</t>
  </si>
  <si>
    <t>Arcotech Limited (Formerly SKS Ltd)</t>
  </si>
  <si>
    <t>MT EDUCARE LIMITED</t>
  </si>
  <si>
    <t>MTEDUCARE</t>
  </si>
  <si>
    <t>Karnavati Finance Limited</t>
  </si>
  <si>
    <t>Shricon Industries Ltd.</t>
  </si>
  <si>
    <t>NDA Securities ltd.</t>
  </si>
  <si>
    <t>Karuturi Global Limited</t>
  </si>
  <si>
    <t>Tasty Dairy Specialities Limited</t>
  </si>
  <si>
    <t>TGIF AGRIBUSINESS LIMITED</t>
  </si>
  <si>
    <t>Suvidha Infraestate Corporation Limited</t>
  </si>
  <si>
    <t>Trans-Freight Containers Ltd.</t>
  </si>
  <si>
    <t>Rapid Investments Ltd.</t>
  </si>
  <si>
    <t>Ritesh International Ltd</t>
  </si>
  <si>
    <t>Caprolactam Chemicals ltd.</t>
  </si>
  <si>
    <t>MIL INDUSTRIES &amp; AEROSPACE LIMITED</t>
  </si>
  <si>
    <t>KSK Energy Ventures Limited</t>
  </si>
  <si>
    <t>Helpage Finlease Ltd.</t>
  </si>
  <si>
    <t>Easun Capital Markets Limited</t>
  </si>
  <si>
    <t>Paramount Cosmetics (India) Ltd</t>
  </si>
  <si>
    <t>Sovereign Diamonds Ltd</t>
  </si>
  <si>
    <t>Mukat Pipes Limited</t>
  </si>
  <si>
    <t>Muller &amp; Phipps (India) Ltd.</t>
  </si>
  <si>
    <t>Cian Healthcare Limited</t>
  </si>
  <si>
    <t>EASY FINCORP LIMITED</t>
  </si>
  <si>
    <t>Darshan Orna Limited</t>
  </si>
  <si>
    <t>Kamanwala Housing Construction Ltd</t>
  </si>
  <si>
    <t>Ishita Drugs &amp; Industries Ltd.</t>
  </si>
  <si>
    <t>Howard Hotels Limited</t>
  </si>
  <si>
    <t>Sarthak Industries Ltd.</t>
  </si>
  <si>
    <t>IB Infotech Enterprises Ltd</t>
  </si>
  <si>
    <t>IRONWOOD EDUCATION LIMITED</t>
  </si>
  <si>
    <t>BNR Udyog Ltd.</t>
  </si>
  <si>
    <t>ICL Organic Dairy Products Limited</t>
  </si>
  <si>
    <t>GENOMIC VALLEY BIOTECH LIMITED</t>
  </si>
  <si>
    <t>Advance Petrochemicals Ltd.</t>
  </si>
  <si>
    <t>dynamic Archistructures Limited</t>
  </si>
  <si>
    <t>Hindustan Agrigenetics Ltd.</t>
  </si>
  <si>
    <t>Yash Management &amp; Satellite Ltd.</t>
  </si>
  <si>
    <t>NMS RESOURCES GLOBAL LIMITED</t>
  </si>
  <si>
    <t>Intertec Technologies Limited</t>
  </si>
  <si>
    <t>IITL PROJECTS LIMITED</t>
  </si>
  <si>
    <t>Naturewings Holidays Limited</t>
  </si>
  <si>
    <t>Veerkrupa Jewellers Limited</t>
  </si>
  <si>
    <t>Novateor Research Laboratories Limited</t>
  </si>
  <si>
    <t>Spentex Industries Ltd.</t>
  </si>
  <si>
    <t>Vamshi Rubber Ltd.</t>
  </si>
  <si>
    <t>Raghunath Tobacco Co. Ltd.</t>
  </si>
  <si>
    <t>YAAN ENTERPRISES LIMITED</t>
  </si>
  <si>
    <t>Aagam Capital Limited</t>
  </si>
  <si>
    <t>STEPHANOTIS FINANCE LIMITED</t>
  </si>
  <si>
    <t>Onelife Capital Advisors Ltd</t>
  </si>
  <si>
    <t>ONELIFECAP</t>
  </si>
  <si>
    <t>Mansi Finance (Chennai) Ltd</t>
  </si>
  <si>
    <t>Kizi Apparels Limited</t>
  </si>
  <si>
    <t>Jaihind Synthetics Ltd.</t>
  </si>
  <si>
    <t>WinPro Industries Limited</t>
  </si>
  <si>
    <t>Shree Bhavya Fabrics Limited</t>
  </si>
  <si>
    <t>LABELKRAFT TECHNOLOGIES LIMITED</t>
  </si>
  <si>
    <t>NATURO INDIABULL LIMITED</t>
  </si>
  <si>
    <t>Octavius Plantations Limited</t>
  </si>
  <si>
    <t>Shashijit Infraprojects Limited</t>
  </si>
  <si>
    <t>Midwest Gold Ltd</t>
  </si>
  <si>
    <t>S. M. Gold Limited</t>
  </si>
  <si>
    <t>Vijay Textiles Ltd.</t>
  </si>
  <si>
    <t>SecUR Credentials Limited</t>
  </si>
  <si>
    <t>SECURCRED</t>
  </si>
  <si>
    <t>Prag Bosimi Synthetics Ltd.</t>
  </si>
  <si>
    <t>Richfield Financial Services Ltd.</t>
  </si>
  <si>
    <t>Shiva Granito Export Limited</t>
  </si>
  <si>
    <t>Bloom Industries Ltd</t>
  </si>
  <si>
    <t>KCD INDUSTRIES INDIA LIMITED</t>
  </si>
  <si>
    <t>Mahaan Foods Ltd.</t>
  </si>
  <si>
    <t>Kunststoffe Industries Ltd.</t>
  </si>
  <si>
    <t>Manraj Housing Finance Ltd.</t>
  </si>
  <si>
    <t>Niks Technology Limited</t>
  </si>
  <si>
    <t>Computer Point Ltd.</t>
  </si>
  <si>
    <t>Sujala Trading &amp; Holdings Ltd.</t>
  </si>
  <si>
    <t>O. P. Chains Limited</t>
  </si>
  <si>
    <t>Sungold Media and Entertainment Limited</t>
  </si>
  <si>
    <t>Eastern Treads Ltd.</t>
  </si>
  <si>
    <t>Jackson Investments Limited</t>
  </si>
  <si>
    <t>SOFCOM SYSTEMS LIMITED</t>
  </si>
  <si>
    <t>Balaji Agro Oils Limited</t>
  </si>
  <si>
    <t>YASH INNOVENTURES LIMITED</t>
  </si>
  <si>
    <t>ACS TECHNOLOGIES LIMITED</t>
  </si>
  <si>
    <t>Chitrakut Holdings Limited</t>
  </si>
  <si>
    <t>Lypsa Gems &amp; Jewellery Limited</t>
  </si>
  <si>
    <t>LYPSAGEMS</t>
  </si>
  <si>
    <t>Scan Projects Ltd</t>
  </si>
  <si>
    <t>Ace Stone Craft Limited</t>
  </si>
  <si>
    <t>Hisar Spinning Mills Ltd</t>
  </si>
  <si>
    <t>Jaipan Industries Ltd</t>
  </si>
  <si>
    <t>Duke Offshore Ltd.</t>
  </si>
  <si>
    <t>Gemstone Investments Ltd.</t>
  </si>
  <si>
    <t>R.R.Financial Consultants Ltd.</t>
  </si>
  <si>
    <t>MIL Industries Limited</t>
  </si>
  <si>
    <t>Samtex Fashions Ltd.</t>
  </si>
  <si>
    <t>Tavernier Resources Limited</t>
  </si>
  <si>
    <t>Gian Life Care Limited</t>
  </si>
  <si>
    <t>Emmessar Biotech &amp; Nutrition Ltd.</t>
  </si>
  <si>
    <t>Magenta Lifecare Limited</t>
  </si>
  <si>
    <t>ONIX SOLAR ENERGY LIMITED</t>
  </si>
  <si>
    <t>Shree Metalloys Limited</t>
  </si>
  <si>
    <t>Southern Latex Ltd.</t>
  </si>
  <si>
    <t>Ashish Polyplast Ltd.</t>
  </si>
  <si>
    <t>Regent Enterprises Limited</t>
  </si>
  <si>
    <t>Sita Enterprises LTD.</t>
  </si>
  <si>
    <t>Rishabh Digha Steel And Allied Prod</t>
  </si>
  <si>
    <t>Containerway International Limited</t>
  </si>
  <si>
    <t>ACE MEN ENGG WORKS LIMITED</t>
  </si>
  <si>
    <t>Bohra Industries Ltd.</t>
  </si>
  <si>
    <t>BOHRAIND</t>
  </si>
  <si>
    <t>Shyam Telecom Ltd.</t>
  </si>
  <si>
    <t>SHYAMTEL</t>
  </si>
  <si>
    <t>PBA INFRASTRUCTURE LTD.</t>
  </si>
  <si>
    <t>DALMIA INDUSTRIAL DEVELOPMENT LIMITED</t>
  </si>
  <si>
    <t>SPML India Limited</t>
  </si>
  <si>
    <t>Sibar Auto Parts Ltd.</t>
  </si>
  <si>
    <t>Fruition Venture Limited</t>
  </si>
  <si>
    <t>Chandni Machines Limited</t>
  </si>
  <si>
    <t>Citizen Infoline Ltd.</t>
  </si>
  <si>
    <t>Rap Media Ltd.</t>
  </si>
  <si>
    <t>Inter State Oil Carrier Ltd</t>
  </si>
  <si>
    <t>AJEL Limited</t>
  </si>
  <si>
    <t>Shree Karthik Papers Ltd.</t>
  </si>
  <si>
    <t>Futura Polyesters Ltd.</t>
  </si>
  <si>
    <t>Velan Hotels Ltd.</t>
  </si>
  <si>
    <t>Finelistings Technologies Limited</t>
  </si>
  <si>
    <t>Uniroyal Industries Ltd</t>
  </si>
  <si>
    <t>Credifin Limited</t>
  </si>
  <si>
    <t>BKV Industries Ltd.</t>
  </si>
  <si>
    <t>JAGJANANI TEXTILES LIMITED</t>
  </si>
  <si>
    <t>TRUSTWAVE SECURITIES LIMITED</t>
  </si>
  <si>
    <t>BFL Asset Finvest Limited</t>
  </si>
  <si>
    <t>Trimurthi Limited</t>
  </si>
  <si>
    <t>Oswal Yarns Ltd.</t>
  </si>
  <si>
    <t>PARLE INDUSTRIES LIMITED</t>
  </si>
  <si>
    <t>Square Four Projects India Limited</t>
  </si>
  <si>
    <t>Akash Agro Industries Limited</t>
  </si>
  <si>
    <t>Garware Marine Industries Ltd.</t>
  </si>
  <si>
    <t>Amalgamated Electricity Co. Ltd.</t>
  </si>
  <si>
    <t>Sarvottam Finvest Limited</t>
  </si>
  <si>
    <t>3C IT Solutions and Telecoms (India) Limited</t>
  </si>
  <si>
    <t>HB Leasing &amp; Finance Co. Ltd.</t>
  </si>
  <si>
    <t>Bothra Metals &amp; Alloys Limited</t>
  </si>
  <si>
    <t>Bhanderi Infracon Limited</t>
  </si>
  <si>
    <t>Mayukh Dealtrade Limited</t>
  </si>
  <si>
    <t>REETECH INTERNATIONAL CARGO AND COURIER LIMITED</t>
  </si>
  <si>
    <t>GENESIS IBRC INDIA LIMITED</t>
  </si>
  <si>
    <t>Kartik Investments Trust Ltd.</t>
  </si>
  <si>
    <t>Cindrella Hotels Ltd.</t>
  </si>
  <si>
    <t>MARG TECHNO PROJECTS LIMITED</t>
  </si>
  <si>
    <t>RITA FINANCE AND LEASING LIMITED</t>
  </si>
  <si>
    <t>Indergiri Finance ltd.</t>
  </si>
  <si>
    <t>Diggi Multitrade Limited</t>
  </si>
  <si>
    <t>Kkalpana Plastick Limited</t>
  </si>
  <si>
    <t>IEL LIMITED</t>
  </si>
  <si>
    <t>Adinath Textiles Ltd.</t>
  </si>
  <si>
    <t>Neueon Towers Limited</t>
  </si>
  <si>
    <t>KDJ Holidayscapes and Resorts Limited</t>
  </si>
  <si>
    <t>Kahan Packaging Limited</t>
  </si>
  <si>
    <t>Norben Tea &amp; Exports Ltd</t>
  </si>
  <si>
    <t>NORBTEAEXP</t>
  </si>
  <si>
    <t>SPICE ISLANDS INDUSTRIES LIMITED</t>
  </si>
  <si>
    <t>Mewar Hi-Tech Engineering Limited</t>
  </si>
  <si>
    <t>Hotahoti Wood Products Limited</t>
  </si>
  <si>
    <t>Billwin Industries Limited</t>
  </si>
  <si>
    <t>N.B. Footwear Ltd.</t>
  </si>
  <si>
    <t>Prism Finance Ltd.</t>
  </si>
  <si>
    <t>Evoq Remedies Limited</t>
  </si>
  <si>
    <t>G. K. P. Printing &amp; Packaging Limited</t>
  </si>
  <si>
    <t>Euphoria Infotech (India) Limited</t>
  </si>
  <si>
    <t>Ras Resorts &amp; Apart Hotels Ltd.</t>
  </si>
  <si>
    <t>Bacil Pharma Ltd.</t>
  </si>
  <si>
    <t>Classic Filaments Limited</t>
  </si>
  <si>
    <t>Tokyo Finance Ltd.</t>
  </si>
  <si>
    <t>SHARP INVESTMENTS LTD</t>
  </si>
  <si>
    <t>Patron Exim Limited</t>
  </si>
  <si>
    <t>Duncans Industries Ltd.</t>
  </si>
  <si>
    <t>Yunik Managing Advisors Limited</t>
  </si>
  <si>
    <t>Globe Commercials Limited</t>
  </si>
  <si>
    <t>Yogi Sung-won (India) Ltd.</t>
  </si>
  <si>
    <t>Hira Automobiles Ltd.</t>
  </si>
  <si>
    <t>YUVRAAJ HYGIENE PRODUCTS LTD</t>
  </si>
  <si>
    <t>Garbi Finvest Limited</t>
  </si>
  <si>
    <t>Mac Hotels Limited</t>
  </si>
  <si>
    <t>Sanghvi Brands Limited</t>
  </si>
  <si>
    <t>Quasar India Limited</t>
  </si>
  <si>
    <t>Kotia Enterprises Limited</t>
  </si>
  <si>
    <t>IND Renewable Energy Ltd</t>
  </si>
  <si>
    <t>IEC Education Limited</t>
  </si>
  <si>
    <t>Link Pharma Chem Ltd.</t>
  </si>
  <si>
    <t>Switching Technologies Gunther Ltd.</t>
  </si>
  <si>
    <t>Lakshmi Overseas Industries Ltd.</t>
  </si>
  <si>
    <t>Asian Warehousing Limited</t>
  </si>
  <si>
    <t>Vivid Global Industries Limited</t>
  </si>
  <si>
    <t>Polo Hotels Ltd.</t>
  </si>
  <si>
    <t>Asia Pack Ltd.</t>
  </si>
  <si>
    <t>DIPNA PHARMACHEM LIMITED</t>
  </si>
  <si>
    <t>ARYAVAN ENTERPRISE LIMITED</t>
  </si>
  <si>
    <t>Adcon Capital Services Limited</t>
  </si>
  <si>
    <t>Chrome Silicon Limited</t>
  </si>
  <si>
    <t>Solid Stone Company Ltd.</t>
  </si>
  <si>
    <t>ETT Limited</t>
  </si>
  <si>
    <t>Sree Jayalakshmi Autospin Ltd.</t>
  </si>
  <si>
    <t>Clinitech Laboratory Limited</t>
  </si>
  <si>
    <t>NEELKANTH LIMITED</t>
  </si>
  <si>
    <t>OMKAR SPECIALITY CHEMICALS LIMITED</t>
  </si>
  <si>
    <t>OMKARCHEM</t>
  </si>
  <si>
    <t>Sangrahalaya Timber &amp; Crafts Limited</t>
  </si>
  <si>
    <t>GCM Securities Limited</t>
  </si>
  <si>
    <t>JET SOLAR LIMITED</t>
  </si>
  <si>
    <t>Ajwa Fun World &amp; Resorts Ltd</t>
  </si>
  <si>
    <t>Milestone Global Limited</t>
  </si>
  <si>
    <t>Crane Infrastructure Limited</t>
  </si>
  <si>
    <t>Gala Global Products Limited</t>
  </si>
  <si>
    <t>RO Jewels Limited</t>
  </si>
  <si>
    <t>South Asian Enteprises Ltd.</t>
  </si>
  <si>
    <t>Moongipa Capital Finance Ltd.</t>
  </si>
  <si>
    <t>Continental Chemicals Ltd.</t>
  </si>
  <si>
    <t>Marg Ltd</t>
  </si>
  <si>
    <t>Abhishek Finlease limited</t>
  </si>
  <si>
    <t>Lime Chemicals Ltd.</t>
  </si>
  <si>
    <t>Maitri Enterprises Limited</t>
  </si>
  <si>
    <t>Meyer Apparel Limited</t>
  </si>
  <si>
    <t>Sterling Green Woods Limited</t>
  </si>
  <si>
    <t>Bridge Securities Ltd.</t>
  </si>
  <si>
    <t>Swarna Securities Ltd.</t>
  </si>
  <si>
    <t>Shree Ganesh Elastoplast Ltd</t>
  </si>
  <si>
    <t>Golechha Global Finance Ltd.</t>
  </si>
  <si>
    <t>Janus Corporation Limited</t>
  </si>
  <si>
    <t>TCI Finance Limited</t>
  </si>
  <si>
    <t>TCIFINANCE</t>
  </si>
  <si>
    <t>Deccan Bearings Ltd.</t>
  </si>
  <si>
    <t>Risa International Limited</t>
  </si>
  <si>
    <t>Shanti Overseas (India) Ltd.</t>
  </si>
  <si>
    <t>SHANTI</t>
  </si>
  <si>
    <t>S.I.Capital And Financial Services</t>
  </si>
  <si>
    <t>Natraj Proteins Ltd.</t>
  </si>
  <si>
    <t>Metalyst Forgings Limited</t>
  </si>
  <si>
    <t>Rajasthan Tube Mfg. Co</t>
  </si>
  <si>
    <t>Kumar Autocast Limited</t>
  </si>
  <si>
    <t>Amrapali Capital and Finance Services Limited</t>
  </si>
  <si>
    <t>U. H. ZAVERI LIMITED</t>
  </si>
  <si>
    <t>Resourceful Automobile Limited</t>
  </si>
  <si>
    <t>Beryl Drugs Ltd.</t>
  </si>
  <si>
    <t>Creative Merchants Limited</t>
  </si>
  <si>
    <t>Grandma Trading &amp; Agencies Ltd.</t>
  </si>
  <si>
    <t>Premier Capital Services Ltd.</t>
  </si>
  <si>
    <t>Kore Foods Limited</t>
  </si>
  <si>
    <t>Narmada Macplast Drip Irrigation Sy</t>
  </si>
  <si>
    <t>KMG Milk Food Limited</t>
  </si>
  <si>
    <t>Konark Synthetics Ltd</t>
  </si>
  <si>
    <t>CRP Risk Management Limited</t>
  </si>
  <si>
    <t>Econo Trade (India) Limited</t>
  </si>
  <si>
    <t>PANABYTE TECHNOLOGIES LIMITED</t>
  </si>
  <si>
    <t>Sarda Proteins Ltd</t>
  </si>
  <si>
    <t>Norris Medicines Ltd.</t>
  </si>
  <si>
    <t>ISF LIMITED</t>
  </si>
  <si>
    <t>Dalal Street Investments Ltd.</t>
  </si>
  <si>
    <t>Bharat Bhushan Share &amp; Commodity Brokers Ltd.</t>
  </si>
  <si>
    <t>BROACH LIFECARE HOSPITAL LIMITED</t>
  </si>
  <si>
    <t>VISHVPRABHA VENTURES LIMITED</t>
  </si>
  <si>
    <t>United Interactive Limited</t>
  </si>
  <si>
    <t>Surya Industrial Corporation Ltd.</t>
  </si>
  <si>
    <t>Pratibha Industries Ltd.</t>
  </si>
  <si>
    <t>First Custodian Fund (India) Ltd.</t>
  </si>
  <si>
    <t>Tirth Plastic Ltd.</t>
  </si>
  <si>
    <t>Mid India Industries Limited</t>
  </si>
  <si>
    <t>Vivaa Tradecom Limited</t>
  </si>
  <si>
    <t>Amrapali Fincap Limited</t>
  </si>
  <si>
    <t>Sahara Maritime Limited</t>
  </si>
  <si>
    <t>Tarai Foods Ltd.</t>
  </si>
  <si>
    <t>Garware Synthetics Ltd.</t>
  </si>
  <si>
    <t>Rotographics (India) Limited</t>
  </si>
  <si>
    <t>7NR Retail Limited</t>
  </si>
  <si>
    <t>United Credit ltd.</t>
  </si>
  <si>
    <t>Mehta Integrated Finance Ltd.</t>
  </si>
  <si>
    <t>Radha Madhav Corporation Ltd.</t>
  </si>
  <si>
    <t>Eastern Silk Industries Limited</t>
  </si>
  <si>
    <t>SARUP INDUSTRIES LIMITED</t>
  </si>
  <si>
    <t>SUPER FINE KNITTERS LIMITED</t>
  </si>
  <si>
    <t>Shri Rajivlochan Oil Extraction Ltd</t>
  </si>
  <si>
    <t>DECIPHER LABS LIMITED</t>
  </si>
  <si>
    <t>Gilada Finance &amp; Investments Ltd.</t>
  </si>
  <si>
    <t>Ramsons Projects Ltd.</t>
  </si>
  <si>
    <t>Chandrima Mercantiles limited</t>
  </si>
  <si>
    <t>Orosil Smiths India Limited</t>
  </si>
  <si>
    <t>Unistar Multimedia Ltd</t>
  </si>
  <si>
    <t>Indo-City Infotech Ltd.</t>
  </si>
  <si>
    <t>Gowra Leasing &amp; Finance Ltd.</t>
  </si>
  <si>
    <t>Octal Credit Capital Ltd.</t>
  </si>
  <si>
    <t>Ador Multiproducts Ltd</t>
  </si>
  <si>
    <t>Vivanza Biosciences Limited</t>
  </si>
  <si>
    <t>Amforge Industries Ltd.</t>
  </si>
  <si>
    <t>Avasara Finance Limited</t>
  </si>
  <si>
    <t>ORTIN GLOBAL LIMITED</t>
  </si>
  <si>
    <t>ORTINGLOBE</t>
  </si>
  <si>
    <t>Willard India Ltd.</t>
  </si>
  <si>
    <t>Vaxtex Cotfab Ltd.</t>
  </si>
  <si>
    <t>VCL</t>
  </si>
  <si>
    <t>Sri Nachammai Cotton Mills Ltd.</t>
  </si>
  <si>
    <t>Organic Coatings Ltd.</t>
  </si>
  <si>
    <t>York Exports Ltd.</t>
  </si>
  <si>
    <t>Prism Medico and Pharmacy Ltd.</t>
  </si>
  <si>
    <t>Integrated Proteins Ltd.</t>
  </si>
  <si>
    <t>Satra Properties(India) Ltd</t>
  </si>
  <si>
    <t>SHREE HANUMAN SUGAR &amp; INDUSTRIES LTD.</t>
  </si>
  <si>
    <t>India Lease Devl. Ltd.</t>
  </si>
  <si>
    <t>NPR Finance Ltd.</t>
  </si>
  <si>
    <t>Coastal Roadways Ltd.</t>
  </si>
  <si>
    <t>Sumeru Industries Ltd.</t>
  </si>
  <si>
    <t>Umiya Tubes Limited</t>
  </si>
  <si>
    <t>Mitshi India Limited</t>
  </si>
  <si>
    <t>KOURA FINE DIAMOND JEWELRY LIMITED</t>
  </si>
  <si>
    <t>Patback Business Limited</t>
  </si>
  <si>
    <t>Sonalis Consumer Products Limited</t>
  </si>
  <si>
    <t>SRM Energy Limited</t>
  </si>
  <si>
    <t>Bihariji Ispat Udyog Limited</t>
  </si>
  <si>
    <t>Harmony Capital Services Ltd.</t>
  </si>
  <si>
    <t>Svaraj Trading &amp; Agencies Ltd.</t>
  </si>
  <si>
    <t>VK Global Industries Limited</t>
  </si>
  <si>
    <t>Fedders Electric and Engineering Limited</t>
  </si>
  <si>
    <t>Hathway Bhawani Cabletel &amp; Datacom</t>
  </si>
  <si>
    <t>Cubical Financial Services Ltd.</t>
  </si>
  <si>
    <t>Anka India Ltd.</t>
  </si>
  <si>
    <t>Synthiko Foils Ltd.</t>
  </si>
  <si>
    <t>Colinz Laboratories ltd.</t>
  </si>
  <si>
    <t>Kachchh Minerals Ltd.</t>
  </si>
  <si>
    <t>MPL Plastics Limited</t>
  </si>
  <si>
    <t>Span Divergent Limited</t>
  </si>
  <si>
    <t>Integrated Capital Services Ltd</t>
  </si>
  <si>
    <t>Starlite Global Enterprises (India) Limited</t>
  </si>
  <si>
    <t>Parmax Pharma Limited</t>
  </si>
  <si>
    <t>SPARC ELECTREX LIMITED</t>
  </si>
  <si>
    <t>R.J. Shah &amp; Co. Ltd.</t>
  </si>
  <si>
    <t>Rama Paper Mills Limited</t>
  </si>
  <si>
    <t>Laffan Software Limited</t>
  </si>
  <si>
    <t>Modern Shares and Stockbrokers Ltd.</t>
  </si>
  <si>
    <t>DISHA RESOURCES LIMITED</t>
  </si>
  <si>
    <t>Virtualsoft Systems Ltd.</t>
  </si>
  <si>
    <t>RAUNAQ INTERNATIONAL LIMITED</t>
  </si>
  <si>
    <t>Hilltone Software and Gases Ltd</t>
  </si>
  <si>
    <t>Gujarat Cotex Ltd</t>
  </si>
  <si>
    <t>Sai Industries Ltd.</t>
  </si>
  <si>
    <t>Sabrimala Industries India Limited</t>
  </si>
  <si>
    <t>Yashraj Containeurs Ltd.</t>
  </si>
  <si>
    <t>Northlink Fiscal And Capital Services Ltd.</t>
  </si>
  <si>
    <t>Sri Lakshmi Saraswathi Textiles (Ar</t>
  </si>
  <si>
    <t>Beryl Securities Ltd</t>
  </si>
  <si>
    <t>Hari Govind International Ltd.</t>
  </si>
  <si>
    <t>National Plywood Industries Ltd.</t>
  </si>
  <si>
    <t>SIMPLEX MILLS COMPANY LIMITED</t>
  </si>
  <si>
    <t>GTN Textiles Ltd. (formerly known as GTN Industries Ltd.)</t>
  </si>
  <si>
    <t>Galaxy Agrico Exports Ltd.</t>
  </si>
  <si>
    <t>Alexander Stamps And Coin Limited</t>
  </si>
  <si>
    <t>DAPS ADVERTISING LIMITED</t>
  </si>
  <si>
    <t>Ladam Affortable Housing Limited</t>
  </si>
  <si>
    <t>Navigant Corporate Advisors Limited</t>
  </si>
  <si>
    <t>Kush Industries Limited</t>
  </si>
  <si>
    <t>Alps Industries Ltd.</t>
  </si>
  <si>
    <t>ALPSINDUS</t>
  </si>
  <si>
    <t>Shirpur Gold Refinery Ltd.</t>
  </si>
  <si>
    <t>Perfect-Octave Media Projects Ltd</t>
  </si>
  <si>
    <t>Kuwer Industries Ltd.</t>
  </si>
  <si>
    <t>Pasari Spinning Mills Ltd.</t>
  </si>
  <si>
    <t>Bazel International Limited</t>
  </si>
  <si>
    <t>Triveni Enterprises Limited</t>
  </si>
  <si>
    <t>White Organic Retail Limited</t>
  </si>
  <si>
    <t>Longview Tea Company ltd.</t>
  </si>
  <si>
    <t>Photoquip India Ltd.</t>
  </si>
  <si>
    <t>STELLAR CAPITAL SERVICES LIMITED</t>
  </si>
  <si>
    <t>Trade Wings Ltd.</t>
  </si>
  <si>
    <t>Arihants Securities ltd.</t>
  </si>
  <si>
    <t>JINDAL LEASEFIN LIMITED</t>
  </si>
  <si>
    <t>Vikalp Securities Ltd.</t>
  </si>
  <si>
    <t>Amraworld Agrico Ltd.</t>
  </si>
  <si>
    <t>Lords Ishwar Hotels Limited</t>
  </si>
  <si>
    <t>Suncity Synthetics Ltd.</t>
  </si>
  <si>
    <t>Creative Eye Ltd.</t>
  </si>
  <si>
    <t>CREATIVEYE</t>
  </si>
  <si>
    <t>DCM Financial Services Ltd.</t>
  </si>
  <si>
    <t>DCMFINSERV</t>
  </si>
  <si>
    <t>Sab Events &amp; Governance Now Media Limited</t>
  </si>
  <si>
    <t>SABEVENTS</t>
  </si>
  <si>
    <t>Seasons Textiles Ltd</t>
  </si>
  <si>
    <t>Eastern Gases Limited</t>
  </si>
  <si>
    <t>Anglo-French Drugs &amp; Industries Limited</t>
  </si>
  <si>
    <t>Libord Securities Ltd.</t>
  </si>
  <si>
    <t>Step Two Corporation Ltd.</t>
  </si>
  <si>
    <t>Catvision Limited</t>
  </si>
  <si>
    <t>Lippi Systems Ltd.</t>
  </si>
  <si>
    <t>Indo Euro Indchem Limited</t>
  </si>
  <si>
    <t>Vani Commercials Limited</t>
  </si>
  <si>
    <t>Aroma Enterprises (India) Ltd.</t>
  </si>
  <si>
    <t>Bil Energy Systems Limited</t>
  </si>
  <si>
    <t>Goenka Business &amp; Finance Limited</t>
  </si>
  <si>
    <t>Shah Foods Ltd</t>
  </si>
  <si>
    <t>Soni Medicare Limited</t>
  </si>
  <si>
    <t>Times Green Energy (India) Limited</t>
  </si>
  <si>
    <t>East Buildtech Limited</t>
  </si>
  <si>
    <t>Padmanabh Alloys &amp; Polymers Ltd.</t>
  </si>
  <si>
    <t>Prima Agro Ltd.</t>
  </si>
  <si>
    <t>Polycon International Ltd.</t>
  </si>
  <si>
    <t>ARUNIS ABODE LIMITED</t>
  </si>
  <si>
    <t>MUNOTH COMMUNICATION LIMITED</t>
  </si>
  <si>
    <t>Bodhtree Consulting Limited</t>
  </si>
  <si>
    <t>Kakatiya Textiles Ltd.</t>
  </si>
  <si>
    <t>Phyto Chem (India) Ltd.</t>
  </si>
  <si>
    <t>Anna Infrastructures Ltd</t>
  </si>
  <si>
    <t>SHARPLINE BROADCAST LIMITED</t>
  </si>
  <si>
    <t>Velox Shipping and Logistics Limited</t>
  </si>
  <si>
    <t>Agarwal Duplex Board Mills Limited</t>
  </si>
  <si>
    <t>Ekennis Software Service Limited</t>
  </si>
  <si>
    <t>Rander Corporation Ltd.</t>
  </si>
  <si>
    <t>Retro Green Revolution Limited</t>
  </si>
  <si>
    <t>Seven Hill Industries Limited</t>
  </si>
  <si>
    <t>Adinath Exim Resources Ltd.</t>
  </si>
  <si>
    <t>Raj Packaging Industries Ltd.</t>
  </si>
  <si>
    <t>Eurotex Industries &amp; Exports Ltd.</t>
  </si>
  <si>
    <t>EUROTEXIND</t>
  </si>
  <si>
    <t>GSB Finance Ltd.</t>
  </si>
  <si>
    <t>Shukra Jewellers Limited</t>
  </si>
  <si>
    <t>Mehta Securities Ltd.</t>
  </si>
  <si>
    <t>Quantum Build-Tech Limited</t>
  </si>
  <si>
    <t>Anjani Finance Ltd</t>
  </si>
  <si>
    <t>Premier Limited</t>
  </si>
  <si>
    <t>PREMIER</t>
  </si>
  <si>
    <t>Elegant Floriculture &amp; Agrotech (In</t>
  </si>
  <si>
    <t>Photon Capital Advisors Ltd</t>
  </si>
  <si>
    <t>Shyamkamal Investments Ltd.</t>
  </si>
  <si>
    <t>Omega Interactive Technologies Ltd.</t>
  </si>
  <si>
    <t>Shree Steel Wire Ropes Ltd.</t>
  </si>
  <si>
    <t>SK International Export Limited</t>
  </si>
  <si>
    <t>Suryavanshi Spinning Mills Ltd.</t>
  </si>
  <si>
    <t>Sun Retail Limited</t>
  </si>
  <si>
    <t>Sun Granite Export Limited</t>
  </si>
  <si>
    <t>Rajasthan Cylinders &amp; Containers Limited</t>
  </si>
  <si>
    <t>Rajputana Investment and Finance Ltd.</t>
  </si>
  <si>
    <t>SKYLINE VENTURES INDIA LIMITED</t>
  </si>
  <si>
    <t>Trinity Tradelink Limited</t>
  </si>
  <si>
    <t>NCC Bluewater Products Ltd.</t>
  </si>
  <si>
    <t>Polymac Thermoformers Limited</t>
  </si>
  <si>
    <t>Modern Malleables Limited</t>
  </si>
  <si>
    <t>PANTH INFINITY LIMITED</t>
  </si>
  <si>
    <t>Surya India Limited</t>
  </si>
  <si>
    <t>Minaxi Textiles Ltd.</t>
  </si>
  <si>
    <t>Senthil Infotek Limited</t>
  </si>
  <si>
    <t>AVISHKAR INFRA REALTY LIMITED</t>
  </si>
  <si>
    <t>Niraj Ispat Industries Ltd.</t>
  </si>
  <si>
    <t>NIRAJISPAT</t>
  </si>
  <si>
    <t>Shukra Bullions Limited</t>
  </si>
  <si>
    <t>Millennium Online Solutions (India) Ltd</t>
  </si>
  <si>
    <t>Unjha Formulations Ltd.</t>
  </si>
  <si>
    <t>Gujarat Investa Ltd.</t>
  </si>
  <si>
    <t>Lynx Machinery &amp; Commercials Ltd.</t>
  </si>
  <si>
    <t>Esha Media Research Limited</t>
  </si>
  <si>
    <t>Gitanjali Gems Ltd.</t>
  </si>
  <si>
    <t>S.V. Trading &amp; Agencies Ltd.</t>
  </si>
  <si>
    <t>Pratiksha Chemicals Ltd.</t>
  </si>
  <si>
    <t>Bisil Plast Limited</t>
  </si>
  <si>
    <t>Olympic Oil Industries Ltd.</t>
  </si>
  <si>
    <t>CDG PETCHEM LIMITED</t>
  </si>
  <si>
    <t>Supertex Industries Ltd</t>
  </si>
  <si>
    <t>International Securities Limited</t>
  </si>
  <si>
    <t>Bhagwati Oxygen Ltd.</t>
  </si>
  <si>
    <t>Southern Infosys Limited</t>
  </si>
  <si>
    <t>Subhash Silk Mills Ltd.</t>
  </si>
  <si>
    <t>Esaar (India) Ltd.</t>
  </si>
  <si>
    <t>Sirohia &amp; Sons Limited</t>
  </si>
  <si>
    <t>Fone4 Communications (India) Limited</t>
  </si>
  <si>
    <t>Trinity League India Limited</t>
  </si>
  <si>
    <t>SEA TV Network Limited</t>
  </si>
  <si>
    <t>Devrup Trading Limited</t>
  </si>
  <si>
    <t>Neo Infracon Ltd.</t>
  </si>
  <si>
    <t>PRO CLB GLOBAL LIMITED</t>
  </si>
  <si>
    <t>HARIYANA VENTURES LIMITED</t>
  </si>
  <si>
    <t>ObjectOne Information Systems Ltd</t>
  </si>
  <si>
    <t>Raasi Refractories Limited.</t>
  </si>
  <si>
    <t>Inani Securities Ltd.</t>
  </si>
  <si>
    <t>Saianand Commercial Limited</t>
  </si>
  <si>
    <t>East Coast Steel Ltd</t>
  </si>
  <si>
    <t>MVL Limited</t>
  </si>
  <si>
    <t>Delta Industrial Resources Limited</t>
  </si>
  <si>
    <t>Dhruv Wellness Limited</t>
  </si>
  <si>
    <t>Uniroyal Marine Exports Ltd.</t>
  </si>
  <si>
    <t>Shivagrico Implements Ltd.</t>
  </si>
  <si>
    <t>ADLINE CHEM LAB LIMITED</t>
  </si>
  <si>
    <t>Central Cables Limited</t>
  </si>
  <si>
    <t>Aanchal Ispat Limited</t>
  </si>
  <si>
    <t>INTERACTIVE FINANCIAL SERVICES LIMITED</t>
  </si>
  <si>
    <t>Eon Electric Ltd</t>
  </si>
  <si>
    <t>Boston Bio Systems Ltd.</t>
  </si>
  <si>
    <t>Jindal Cotex Limited</t>
  </si>
  <si>
    <t>BCL Enterprises Limited</t>
  </si>
  <si>
    <t>GCM Capital Advisors Limited</t>
  </si>
  <si>
    <t>UTL Industries Limited</t>
  </si>
  <si>
    <t>Sathavahana Ispat Ltd.</t>
  </si>
  <si>
    <t>FGP Ltd</t>
  </si>
  <si>
    <t>V B INDUSTRIES LIMITED</t>
  </si>
  <si>
    <t>Softrak Venture Investments Ltd.</t>
  </si>
  <si>
    <t>Chemo Pharma Laboratories Ltd.</t>
  </si>
  <si>
    <t>PANAFIC INDUSTRIALS LTD</t>
  </si>
  <si>
    <t>Gujarat Credit Corporation Ltd.</t>
  </si>
  <si>
    <t>B.J.Duplex Boards Ltd.</t>
  </si>
  <si>
    <t>Gallops Enterprise Limited</t>
  </si>
  <si>
    <t>Future Supply Chain Solutions Limited</t>
  </si>
  <si>
    <t>FSC</t>
  </si>
  <si>
    <t>Bindal Exports Limited</t>
  </si>
  <si>
    <t>Shakti Press Ltd.</t>
  </si>
  <si>
    <t>Sterling International Enterprises Limited</t>
  </si>
  <si>
    <t>Autopal Industries Ltd.</t>
  </si>
  <si>
    <t>Taparia Tools Ltd.</t>
  </si>
  <si>
    <t>Kiran Print-Pack Ltd.</t>
  </si>
  <si>
    <t>Encash Entertainment Limited</t>
  </si>
  <si>
    <t>Glittek Granites Ltd.</t>
  </si>
  <si>
    <t>Longspur International Ventures Limited</t>
  </si>
  <si>
    <t>UFM Industries Ltd</t>
  </si>
  <si>
    <t>Arihant Classic Finance Limited</t>
  </si>
  <si>
    <t>Amarnath Securities Ltd.</t>
  </si>
  <si>
    <t>Kashyap Tele-Medicines Limited</t>
  </si>
  <si>
    <t>Mipco Seamless Rings (Gujarat) Ltd.</t>
  </si>
  <si>
    <t>Pyxis Finvest Limited</t>
  </si>
  <si>
    <t>J.K.Pharmachem Ltd.</t>
  </si>
  <si>
    <t>JMG Corporation Ltd</t>
  </si>
  <si>
    <t>SAILANI TOURS N TRAVELS LIMITED</t>
  </si>
  <si>
    <t>Shoora Designs Limited</t>
  </si>
  <si>
    <t>ACE ENGITECH LIMITED</t>
  </si>
  <si>
    <t>Marmagoa Steels Ltd.</t>
  </si>
  <si>
    <t>ABATE AS INDUSTRIES LIMITED</t>
  </si>
  <si>
    <t>Leel Electricals Limited</t>
  </si>
  <si>
    <t>Santosh Fine-Fab Ltd.</t>
  </si>
  <si>
    <t>Welterman International Ltd.</t>
  </si>
  <si>
    <t>Universal Office Automation Limited</t>
  </si>
  <si>
    <t>Impala Industrial Enterprises Limited</t>
  </si>
  <si>
    <t>I Secure Credit &amp; Capital Services Limited</t>
  </si>
  <si>
    <t>Decillion Finance Ltd.</t>
  </si>
  <si>
    <t>Kirti Investments Limited</t>
  </si>
  <si>
    <t>Kairosoft AI Solutions Limited</t>
  </si>
  <si>
    <t>Robert Resources Limited</t>
  </si>
  <si>
    <t>Filmcity Media Ltd.</t>
  </si>
  <si>
    <t>Soma Papers &amp; Industries Ltd.</t>
  </si>
  <si>
    <t>Euro Leder Fashion Ltd.</t>
  </si>
  <si>
    <t>Siddha Ventures Limited</t>
  </si>
  <si>
    <t>SETUBANDHAN INFRASTRUCTURE LIMITED</t>
  </si>
  <si>
    <t>SETUINFRA</t>
  </si>
  <si>
    <t>RGF Capital Markets Limited</t>
  </si>
  <si>
    <t>Jiya Eco-Products Limited</t>
  </si>
  <si>
    <t>Univa Foods Limited</t>
  </si>
  <si>
    <t>UNIVAFOODS</t>
  </si>
  <si>
    <t>Ellora Paper Mills Ltd.</t>
  </si>
  <si>
    <t>V.B.Desai Financial Services Ltd</t>
  </si>
  <si>
    <t>Sankhya Infotech Ltd.</t>
  </si>
  <si>
    <t>C.J. Gelatine Products Ltd.</t>
  </si>
  <si>
    <t>Viaan Industries Limited</t>
  </si>
  <si>
    <t>Prime Capital Market Limited</t>
  </si>
  <si>
    <t>J.J. Finance Corporation Ltd.</t>
  </si>
  <si>
    <t>Steadfast Corporation Limited</t>
  </si>
  <si>
    <t>Tulasee Bio-Ethanol Ltd.</t>
  </si>
  <si>
    <t>Kandagiri Spinning Mills Ltd.</t>
  </si>
  <si>
    <t>Shree Manufacturing Co. Ltd.</t>
  </si>
  <si>
    <t>Jonjua Overseas Limited</t>
  </si>
  <si>
    <t>Net Pix Shorts Digital Media Limited</t>
  </si>
  <si>
    <t>Agio Paper &amp; Industries Limited</t>
  </si>
  <si>
    <t>Premier Synthetics Ltd.</t>
  </si>
  <si>
    <t>VCU Data Management Limited</t>
  </si>
  <si>
    <t>K.Z.Leasing &amp; Finance Ltd.</t>
  </si>
  <si>
    <t>Gagan Gases Ltd.</t>
  </si>
  <si>
    <t>Visisth Chay Vyapar Limited</t>
  </si>
  <si>
    <t>VINAYAK POLYCON INTERNATIONAL LIMITED</t>
  </si>
  <si>
    <t>Symbiox Investment &amp; Trading Co. Ltd.</t>
  </si>
  <si>
    <t>Naksh Precious Metals Limited</t>
  </si>
  <si>
    <t>Chemiesynth (Vapi) Limited</t>
  </si>
  <si>
    <t>SC Agrotech Limited</t>
  </si>
  <si>
    <t>NEXUS SURGICAL AND MEDICARE LIMITED</t>
  </si>
  <si>
    <t>Sigachi Laboratories Limited</t>
  </si>
  <si>
    <t>Deepjyoti Textiles Limited</t>
  </si>
  <si>
    <t>RLF Ltd.</t>
  </si>
  <si>
    <t>Triton Corp. Ltd.</t>
  </si>
  <si>
    <t>RACONTEUR GLOBAL RESOURCES LIMITED</t>
  </si>
  <si>
    <t>Abhinav Leasing &amp; Finance Limited</t>
  </si>
  <si>
    <t>Devine Impex Limited</t>
  </si>
  <si>
    <t>SSF Limited</t>
  </si>
  <si>
    <t>Basant India Limited</t>
  </si>
  <si>
    <t>BKM INDUSTRIES LIMITED</t>
  </si>
  <si>
    <t>Rajath Finance Limited</t>
  </si>
  <si>
    <t>KMF Builders &amp; Developers Ltd.</t>
  </si>
  <si>
    <t>VKJ Infradevelopers Limited</t>
  </si>
  <si>
    <t>Dhenu Buildcon Infra Limited</t>
  </si>
  <si>
    <t>Dhanada Corporatin Limited</t>
  </si>
  <si>
    <t>Mahan Industries Ltd.</t>
  </si>
  <si>
    <t>Sigrun Holdings Limited</t>
  </si>
  <si>
    <t>Parenteral Drug (India) Ltd.</t>
  </si>
  <si>
    <t>Indian Link Chain Mnfrs. Ltd.</t>
  </si>
  <si>
    <t>Minolta Finance Ltd.</t>
  </si>
  <si>
    <t>Vaghani Techno-Build Limited</t>
  </si>
  <si>
    <t>RCI Industries &amp; Technologies Limited</t>
  </si>
  <si>
    <t>Bharati Defence and Infrastructure Ltd</t>
  </si>
  <si>
    <t>Sanchay Finvest Ltd</t>
  </si>
  <si>
    <t>USS Global Limited</t>
  </si>
  <si>
    <t>Ramchandra Leasing &amp; Finance Limited</t>
  </si>
  <si>
    <t>Otco International Ltd</t>
  </si>
  <si>
    <t>Samyak Corporation Limited</t>
  </si>
  <si>
    <t>ANS Limited</t>
  </si>
  <si>
    <t>Camson Bio Technologies Ltd</t>
  </si>
  <si>
    <t>Nouveau Global Ventures Limited</t>
  </si>
  <si>
    <t>VSD Confin ltd.</t>
  </si>
  <si>
    <t>Jointeca Education Solutions Limited</t>
  </si>
  <si>
    <t>Trident Tools Limited</t>
  </si>
  <si>
    <t>Mega Fin (India) Ltd.</t>
  </si>
  <si>
    <t>TIAAN CONSUMER LIMITED</t>
  </si>
  <si>
    <t>Supra Trends Limited</t>
  </si>
  <si>
    <t>G.k.Consultants Ltd.</t>
  </si>
  <si>
    <t>Unity Infraprojects Limited</t>
  </si>
  <si>
    <t>Trend Electronics Limited</t>
  </si>
  <si>
    <t>Hindustan Bio Sciences Ltd.</t>
  </si>
  <si>
    <t>ZINEMA MEDIA AND ENTERTAINMENT LIMITED</t>
  </si>
  <si>
    <t>Rama Petrochemicals Ltd</t>
  </si>
  <si>
    <t>Tamilnadu Steel Tubes Ltd.</t>
  </si>
  <si>
    <t>Ushakiran Finance Ltd.</t>
  </si>
  <si>
    <t>Resurgere Mines &amp; Minerals India Limited</t>
  </si>
  <si>
    <t>Padmalaya Telefilms Ltd.</t>
  </si>
  <si>
    <t>Kumbhat Financial Services Ltd.</t>
  </si>
  <si>
    <t>Jagat Trading Enterprises Limited</t>
  </si>
  <si>
    <t>SHARANAM INFRAPROJECT AND TRADING LIMITED</t>
  </si>
  <si>
    <t>Rich Universe Network Ltd</t>
  </si>
  <si>
    <t>Virgo Global Limited</t>
  </si>
  <si>
    <t>Crescent Finstock Limited</t>
  </si>
  <si>
    <t>Ganga Pharmaceuticals Limited</t>
  </si>
  <si>
    <t>Aris International Limited</t>
  </si>
  <si>
    <t>FIRST FINTEC LIMITED</t>
  </si>
  <si>
    <t>Hardoli Paper Mills Limited</t>
  </si>
  <si>
    <t>MOUNT HOUSING AND INFRASTRUCTURE LIMITED</t>
  </si>
  <si>
    <t>James Hotels ltd.</t>
  </si>
  <si>
    <t>Nijjer Agro Food Ltd.</t>
  </si>
  <si>
    <t>Enterprise International Limited</t>
  </si>
  <si>
    <t>Mukta Agriculture Limited</t>
  </si>
  <si>
    <t>Flora Corporation Limited</t>
  </si>
  <si>
    <t>Krishna Capital And Securities Limited</t>
  </si>
  <si>
    <t>Svam Software Ltd</t>
  </si>
  <si>
    <t>Shashwat Furnishing Solutions Limited</t>
  </si>
  <si>
    <t>Swagtam Trading &amp; Services Limited</t>
  </si>
  <si>
    <t>U. P. Asbestos Limited</t>
  </si>
  <si>
    <t>Bloom Dekor Ltd.</t>
  </si>
  <si>
    <t>Shakumbhri Pulp &amp; Paper Mills Limited</t>
  </si>
  <si>
    <t>Unimers India Ltd.</t>
  </si>
  <si>
    <t>SUUMAYA CORPORATION LIMITED</t>
  </si>
  <si>
    <t>LEXORAA INDUSTRIES LIMITED</t>
  </si>
  <si>
    <t>Radico Khaitan Finance Limited</t>
  </si>
  <si>
    <t>Polytex India Ltd.</t>
  </si>
  <si>
    <t>Shri Bholanath Carpets Limited</t>
  </si>
  <si>
    <t>Avon Mercantile Ltd.</t>
  </si>
  <si>
    <t>Prabhu Steel Industries Ltd.</t>
  </si>
  <si>
    <t>Chadha Papers Ltd.</t>
  </si>
  <si>
    <t>Value Industries Limited</t>
  </si>
  <si>
    <t>DR LALCHANDANI LABS LIMITED</t>
  </si>
  <si>
    <t>Super Bakers (India) Ltd.</t>
  </si>
  <si>
    <t>AMBASSADOR INTRA HOLDINGS LIMITED</t>
  </si>
  <si>
    <t>Dhanvantri Jeevan Rekha Ltd.</t>
  </si>
  <si>
    <t>Suryachakra Power Corporation Ltd.</t>
  </si>
  <si>
    <t>Golden Carpets Limited.</t>
  </si>
  <si>
    <t>JAYATMA INDUSTRIES LIMITED</t>
  </si>
  <si>
    <t>MONIND LIMITED</t>
  </si>
  <si>
    <t>Hasti Finance Ltd.</t>
  </si>
  <si>
    <t>CHD Developers Ltd</t>
  </si>
  <si>
    <t>Peeti Securities Ltd.</t>
  </si>
  <si>
    <t>RSC International Limited</t>
  </si>
  <si>
    <t>PROMACT IMPEX LIMITED</t>
  </si>
  <si>
    <t>Transpact Enterprises Limited</t>
  </si>
  <si>
    <t>Tashi India Ltd.</t>
  </si>
  <si>
    <t>Cremica Agro Foods Limited</t>
  </si>
  <si>
    <t>Alka Securities Ltd.</t>
  </si>
  <si>
    <t>AMS POLYMERS LIMITED</t>
  </si>
  <si>
    <t>Haria Apparels Limited</t>
  </si>
  <si>
    <t>Hillridge Investments Limited</t>
  </si>
  <si>
    <t>INTEGRA CAPITAL LIMITED</t>
  </si>
  <si>
    <t>Ranjan Polysters Limited</t>
  </si>
  <si>
    <t>Hittco Tools Ltd.</t>
  </si>
  <si>
    <t>Stanpacks (India) Ltd.</t>
  </si>
  <si>
    <t>Ramgopal Polytex Ltd</t>
  </si>
  <si>
    <t>V R Woodart Ltd</t>
  </si>
  <si>
    <t>Alchemist Corporation Ltd</t>
  </si>
  <si>
    <t>Jumbo Finance Ltd.</t>
  </si>
  <si>
    <t>Sybly Industries Ltd.</t>
  </si>
  <si>
    <t>Rahul Merchandising ltd.</t>
  </si>
  <si>
    <t>Shri Niwas Leasing and Finance Limited</t>
  </si>
  <si>
    <t>Parker Agro Chem Export Ltd.</t>
  </si>
  <si>
    <t>Goyal Associates Ltd.</t>
  </si>
  <si>
    <t>Shree Salasar Investment Ltd.</t>
  </si>
  <si>
    <t>Vision Cinemas Limited</t>
  </si>
  <si>
    <t>DQ Entertainment (International) Limited</t>
  </si>
  <si>
    <t>Edynamics Solutions Limited</t>
  </si>
  <si>
    <t>Genesis Developers And Holdings Limited</t>
  </si>
  <si>
    <t>Wherrelz IT Solutions Limited</t>
  </si>
  <si>
    <t>Jain Marmo Industries Ltd.</t>
  </si>
  <si>
    <t>Siddheswari Garments Ltd.</t>
  </si>
  <si>
    <t>WORLDWIDE ALUMINIUM LIMITED</t>
  </si>
  <si>
    <t>Interlink Petroleum Ltd.</t>
  </si>
  <si>
    <t>Amit International Ltd.</t>
  </si>
  <si>
    <t>Rushabh Precision Bearings Ltd.</t>
  </si>
  <si>
    <t>KOBO BIOTECH LIMITED</t>
  </si>
  <si>
    <t>Kabra Drugs Ltd</t>
  </si>
  <si>
    <t>SGN Telecoms Ltd.</t>
  </si>
  <si>
    <t>VXL Instruments Ltd.</t>
  </si>
  <si>
    <t>Vaxfab Enterprises Limited</t>
  </si>
  <si>
    <t>Haria Exports Ltd.</t>
  </si>
  <si>
    <t>Aravali Securities &amp; Finance Ltd.</t>
  </si>
  <si>
    <t>Omega Ag-Seeds (Punjab) ltd.</t>
  </si>
  <si>
    <t>Shantai Industries Limited</t>
  </si>
  <si>
    <t>CMI Limited</t>
  </si>
  <si>
    <t>CMICABLES</t>
  </si>
  <si>
    <t>SRI AMARNATH FINANCE LIMITED</t>
  </si>
  <si>
    <t>Kuber Udyog Limited</t>
  </si>
  <si>
    <t>ITL Finlease &amp; Securities Limited</t>
  </si>
  <si>
    <t>Aadhaar Ventures India Limited</t>
  </si>
  <si>
    <t>EASUN REYROLLE LTD.</t>
  </si>
  <si>
    <t>Unishire Urban Infra Limited</t>
  </si>
  <si>
    <t>AVI PRODUCTS INDIA LIMITED</t>
  </si>
  <si>
    <t>Goalpost Industries Limited</t>
  </si>
  <si>
    <t>Ganon Products Limited</t>
  </si>
  <si>
    <t>MAFIA TRENDS LIMITED</t>
  </si>
  <si>
    <t>Vision Corporation Ltd.</t>
  </si>
  <si>
    <t>Dr. M Induscorp Limited</t>
  </si>
  <si>
    <t>Thirani Projects Limited</t>
  </si>
  <si>
    <t>East India Drums and Barrels Manufacturing Limited</t>
  </si>
  <si>
    <t>Riga Sugar Company Ltd.</t>
  </si>
  <si>
    <t>Kabra Commercial Limited</t>
  </si>
  <si>
    <t>iStreet Network Limited</t>
  </si>
  <si>
    <t>Khandelwal Extraction Ltd.</t>
  </si>
  <si>
    <t>Neelkanth Rockminerals ltd.</t>
  </si>
  <si>
    <t>M.P. Agro Industries Ltd.</t>
  </si>
  <si>
    <t>Mathew Easow Research Securities Lt</t>
  </si>
  <si>
    <t>Oswal Minerals Limited</t>
  </si>
  <si>
    <t>Pact Industries Ltd.</t>
  </si>
  <si>
    <t>Shree Precoated Steels Limited</t>
  </si>
  <si>
    <t>Coral Newsprints Ltd.</t>
  </si>
  <si>
    <t>Shashank Traders Limited</t>
  </si>
  <si>
    <t>Steelco Gujarat Ltd</t>
  </si>
  <si>
    <t>Advik Laboratories Ltd.</t>
  </si>
  <si>
    <t>Agrimony Commodities Limited</t>
  </si>
  <si>
    <t>Saffron Industries Limited</t>
  </si>
  <si>
    <t>Aryan Share &amp; Stock Brokers Ltd.</t>
  </si>
  <si>
    <t>Silver Pearl Hospitality &amp; Luxury Spaces Limited</t>
  </si>
  <si>
    <t>Vardhman Concrete Limited</t>
  </si>
  <si>
    <t>Mayur Floorings Ltd.</t>
  </si>
  <si>
    <t>Golkonda Aluminium Extrusions Ltd</t>
  </si>
  <si>
    <t>Indra Industries Ltd.</t>
  </si>
  <si>
    <t>Classic Leasing &amp; Finance Ltd.</t>
  </si>
  <si>
    <t>SIMPLEX PAPERS LTD.</t>
  </si>
  <si>
    <t>Market Creators Ltd.</t>
  </si>
  <si>
    <t>Trio Mercantile &amp; Trading Limited</t>
  </si>
  <si>
    <t>Foundry Fuel Products Ltd.</t>
  </si>
  <si>
    <t>DJS Stock &amp; Shares Ltd.</t>
  </si>
  <si>
    <t>Continental Controls Ltd.</t>
  </si>
  <si>
    <t>AGARWAL FORTUNE INDIA LIMITED</t>
  </si>
  <si>
    <t>Zicom Electronic Security Systems l</t>
  </si>
  <si>
    <t>Integrated Hi-tech ltd.</t>
  </si>
  <si>
    <t>Sri Nandaa Spinners Limited</t>
  </si>
  <si>
    <t>Pasupati Fincap Ltd.</t>
  </si>
  <si>
    <t>Standard Shoe Sole and Mould (India) Ltd</t>
  </si>
  <si>
    <t>Dion Global Solutions Limited</t>
  </si>
  <si>
    <t>Tranway Technologies Limited</t>
  </si>
  <si>
    <t>Satya Shyam Trading Limited</t>
  </si>
  <si>
    <t>Milestone Furniture Limited</t>
  </si>
  <si>
    <t>Space Incubatrics Technologies Limited</t>
  </si>
  <si>
    <t>TECHNOFAB ENGINEERING LIMITED</t>
  </si>
  <si>
    <t>Williamson Financial Services ltd.</t>
  </si>
  <si>
    <t>RCC Cements Ltd</t>
  </si>
  <si>
    <t>Citiport Financial Services Ltd.</t>
  </si>
  <si>
    <t>Brijlaxmi Leasing &amp; Finance ltd.</t>
  </si>
  <si>
    <t>ZR Infra Limited</t>
  </si>
  <si>
    <t>Sword-Edge Commercials Limited</t>
  </si>
  <si>
    <t>Ashram Online.com Ltd</t>
  </si>
  <si>
    <t>Beeyu Overseas Ltd.</t>
  </si>
  <si>
    <t>Ashiana Agro Industries Ltd</t>
  </si>
  <si>
    <t>Nandini Texcom (India) Limited</t>
  </si>
  <si>
    <t>HYPERSOFT TECHNOLOGIES LIMITED</t>
  </si>
  <si>
    <t>SHESHADRI INDUSTRIES LIMITED</t>
  </si>
  <si>
    <t>Clio Infotech Ltd.</t>
  </si>
  <si>
    <t>Advance Syntex Limited</t>
  </si>
  <si>
    <t>Shri Mahalaxmi Agricultural Development Limited</t>
  </si>
  <si>
    <t>Sanco Industries Ltd.</t>
  </si>
  <si>
    <t>SANCO</t>
  </si>
  <si>
    <t>G.R.Cables Ltd.</t>
  </si>
  <si>
    <t>Bharat Textiles &amp; Proofing Industri</t>
  </si>
  <si>
    <t>Bijoy Hans Ltd</t>
  </si>
  <si>
    <t>Accuvant Advisory Services Limited</t>
  </si>
  <si>
    <t>N2N Technologies Limited</t>
  </si>
  <si>
    <t>BGIL Films &amp; Technologies Ltd</t>
  </si>
  <si>
    <t>KONNDOR INDUSTRIES LIMITED</t>
  </si>
  <si>
    <t>Navoday Enterprises Limited</t>
  </si>
  <si>
    <t>Ramasigns Industries Limited</t>
  </si>
  <si>
    <t>Incon Engineers Ltd.</t>
  </si>
  <si>
    <t>Raghunath International Ltd.</t>
  </si>
  <si>
    <t>Nutech Global Ltd.</t>
  </si>
  <si>
    <t>Jain Studios Ltd.</t>
  </si>
  <si>
    <t>CHD Chemicals Limited</t>
  </si>
  <si>
    <t>Aggarsain Spinners Limited</t>
  </si>
  <si>
    <t>AMANAYA VENTURES LIMITED</t>
  </si>
  <si>
    <t>Vintage Securities Ltd.</t>
  </si>
  <si>
    <t>KRA Leasing Limited</t>
  </si>
  <si>
    <t>Satiate Agri Limited</t>
  </si>
  <si>
    <t>Mega Nirman &amp; Industries Limited</t>
  </si>
  <si>
    <t>Woodsvilla Limited</t>
  </si>
  <si>
    <t>SW Investments Limited</t>
  </si>
  <si>
    <t>SDC TECHMEDIA LIMITED</t>
  </si>
  <si>
    <t>Bharat Ekansh Limited</t>
  </si>
  <si>
    <t>Nutricircle Limited</t>
  </si>
  <si>
    <t>Suryo Foods &amp; Industries Ltd.</t>
  </si>
  <si>
    <t>India Green Reality Limited</t>
  </si>
  <si>
    <t>Quantum Digital Vision (India) Ltd.</t>
  </si>
  <si>
    <t>Oswal Overseas Ltd</t>
  </si>
  <si>
    <t>Mahip Industries Limited</t>
  </si>
  <si>
    <t>Sunraj Diamond Exports Ltd.</t>
  </si>
  <si>
    <t>Lead Financial Services Ltd</t>
  </si>
  <si>
    <t>Excel Glasses Ltd.</t>
  </si>
  <si>
    <t>Info-Drive Software Ltd.</t>
  </si>
  <si>
    <t>Gontermann Peipers (India) Ltd.</t>
  </si>
  <si>
    <t>Gratex Industries Ltd.</t>
  </si>
  <si>
    <t>Lakshmi Precision Screws Ltd.</t>
  </si>
  <si>
    <t>LAKPRE</t>
  </si>
  <si>
    <t>Ind-Agiv Commerce Ltd.</t>
  </si>
  <si>
    <t>R.R.Securities Ltd.</t>
  </si>
  <si>
    <t>Autoriders International Ltd</t>
  </si>
  <si>
    <t>Wagend Infra Venture Limited</t>
  </si>
  <si>
    <t>Shyama Computronics and Services Limited</t>
  </si>
  <si>
    <t>Vas Infrastructure Ltd.</t>
  </si>
  <si>
    <t>Sophia Traexpo Limited</t>
  </si>
  <si>
    <t>Nihar Info Global Ltd.</t>
  </si>
  <si>
    <t>Ambitious Plastomac Ltd.</t>
  </si>
  <si>
    <t>Gleam Fabmat Limited</t>
  </si>
  <si>
    <t>Brawn Biotech Limited</t>
  </si>
  <si>
    <t>PROGREX VENTURES LIMITED</t>
  </si>
  <si>
    <t>Ortel Communications Limited</t>
  </si>
  <si>
    <t>ORTEL</t>
  </si>
  <si>
    <t>Purohit Construction Limited</t>
  </si>
  <si>
    <t>Checkpoint Trends Limited</t>
  </si>
  <si>
    <t>Explicit Finance Limited</t>
  </si>
  <si>
    <t>B&amp;B Realty Limited</t>
  </si>
  <si>
    <t>Omnipotent Industries Limited</t>
  </si>
  <si>
    <t>Pankaj Polymers Ltd.</t>
  </si>
  <si>
    <t>Voltaire Leasing &amp; Finance Ltd.</t>
  </si>
  <si>
    <t>TeleCanor Global Limited</t>
  </si>
  <si>
    <t>Pet Plastics Ltd.</t>
  </si>
  <si>
    <t>Melstar Information Technologies Ltd.</t>
  </si>
  <si>
    <t>MELSTAR</t>
  </si>
  <si>
    <t>Multiplus Holdings Ltd.</t>
  </si>
  <si>
    <t>Kinetic Trust Ltd.</t>
  </si>
  <si>
    <t>Gyan Developers &amp; Builders Ltd.</t>
  </si>
  <si>
    <t>Jetmall Spices and Masala Limited</t>
  </si>
  <si>
    <t>Aananda Lakshmi Spinning Mills Limited</t>
  </si>
  <si>
    <t>Sturdy Industries Ltd.</t>
  </si>
  <si>
    <t>Ankur Marketing Limited</t>
  </si>
  <si>
    <t>GSL Securities Ltd.</t>
  </si>
  <si>
    <t>International Data Managements Ltd.</t>
  </si>
  <si>
    <t>Modella Woollens Ltd.</t>
  </si>
  <si>
    <t>Karnimata Cold Storage Limited</t>
  </si>
  <si>
    <t>Govind Rubber Ltd</t>
  </si>
  <si>
    <t>Mahalaxmi Seamless Ltd.</t>
  </si>
  <si>
    <t>United Leasing &amp; Industries Ltd</t>
  </si>
  <si>
    <t>Mafatlal Lubricants Ltd.</t>
  </si>
  <si>
    <t>i Power Solutions India Ltd.</t>
  </si>
  <si>
    <t>C &amp; C Constructions Ltd.</t>
  </si>
  <si>
    <t>Ganesh Holding Ltd.</t>
  </si>
  <si>
    <t>Fenoplast ltd.</t>
  </si>
  <si>
    <t>Priya Limited.</t>
  </si>
  <si>
    <t>Pioneer Agro Extracts ltd.</t>
  </si>
  <si>
    <t>Sungold Capital Ltd.</t>
  </si>
  <si>
    <t>Olympic Cards Limited</t>
  </si>
  <si>
    <t>Starlite Components Ltd.</t>
  </si>
  <si>
    <t>FABINO ENTERPRISES LIMITED</t>
  </si>
  <si>
    <t>Gujarat Metallic Coal &amp; Coke Ltd</t>
  </si>
  <si>
    <t>Rampur Fertilizers Limited</t>
  </si>
  <si>
    <t>Asianlakto Industries Limited</t>
  </si>
  <si>
    <t>Eskay K'n'IT (India) Ltd</t>
  </si>
  <si>
    <t>Aadi Industries Ltd</t>
  </si>
  <si>
    <t>DATIWARE MARITIME INFRA LIMITED</t>
  </si>
  <si>
    <t>Ontic Finserve Limited</t>
  </si>
  <si>
    <t>Hit Kit Global Solutions Ltd</t>
  </si>
  <si>
    <t>Relic Technologies Ltd.</t>
  </si>
  <si>
    <t>Capricorn Systems Global Solutions Ltd.</t>
  </si>
  <si>
    <t>Rajasthan Petro Synthetics Ltd.</t>
  </si>
  <si>
    <t>Shree Tulsi Online.Com Limited</t>
  </si>
  <si>
    <t>AMERISE BIOSCIENCES LIMITED</t>
  </si>
  <si>
    <t>MUZALI ARTS LIMITED</t>
  </si>
  <si>
    <t>Maryada Commercial Enterprises &amp; Investment Co Ltd</t>
  </si>
  <si>
    <t>Athena Constructions Limited</t>
  </si>
  <si>
    <t>Neo Corp International Ltd</t>
  </si>
  <si>
    <t>Ema India Ltd.</t>
  </si>
  <si>
    <t>JAYATMA ENTERPRISES LIMITED</t>
  </si>
  <si>
    <t>Ridings Consulting Engineers India Limited</t>
  </si>
  <si>
    <t>Jainco Projects (India) Ltd.</t>
  </si>
  <si>
    <t>Nakoda Limited</t>
  </si>
  <si>
    <t>Sashwat Technocrats Limited</t>
  </si>
  <si>
    <t>Karan Woo-sin ltd.</t>
  </si>
  <si>
    <t>Typhoon Financial Services Limited</t>
  </si>
  <si>
    <t>Infra Industries Ltd.</t>
  </si>
  <si>
    <t>Scintilla Commercial &amp; Credit Limited</t>
  </si>
  <si>
    <t>Ashutosh Paper Mills Ltd.</t>
  </si>
  <si>
    <t>Kids Medical Systems Limited</t>
  </si>
  <si>
    <t>Aditya Ispat Ltd.</t>
  </si>
  <si>
    <t>Epsom Properties Limited</t>
  </si>
  <si>
    <t>ISHAAN INFRASTRUCTURE AND SHELTERS LIMITED</t>
  </si>
  <si>
    <t>Shamrock Industrial Co. Ltd.</t>
  </si>
  <si>
    <t>MFS Intercorp Limited</t>
  </si>
  <si>
    <t>Eureka Industries Ltd.</t>
  </si>
  <si>
    <t>Innocorp Limited</t>
  </si>
  <si>
    <t>Chambal Breweries &amp; Distilleries Li</t>
  </si>
  <si>
    <t>Looks Health Services Limited</t>
  </si>
  <si>
    <t>Union Quality Plastics Ltd.</t>
  </si>
  <si>
    <t>FACOR Steels Limited</t>
  </si>
  <si>
    <t>Shantanu Sheorey Aquakult ltd.</t>
  </si>
  <si>
    <t>P.M. Telelinnks Limited</t>
  </si>
  <si>
    <t>Neycer India Ltd.</t>
  </si>
  <si>
    <t>Quality Synthetic Industries Limited</t>
  </si>
  <si>
    <t>Corporate Merchant Bankers Limited</t>
  </si>
  <si>
    <t>Southern Online Bio Technologies Ltd.</t>
  </si>
  <si>
    <t>Prashant India Ltd</t>
  </si>
  <si>
    <t>Sri Krishna Constructions (India) Limited</t>
  </si>
  <si>
    <t>Unitech International Ltd</t>
  </si>
  <si>
    <t>Mahasagar Travels Ltd.</t>
  </si>
  <si>
    <t>Cindrella Financial Services Ltd.</t>
  </si>
  <si>
    <t>Desh Rakshak Aushdhalaya Ltd.</t>
  </si>
  <si>
    <t>Adishakti Loha and Ispat Limited</t>
  </si>
  <si>
    <t>Sikozy Realtors Limited</t>
  </si>
  <si>
    <t>N.R.International Limited</t>
  </si>
  <si>
    <t>Bharatiya Global Infomedia Limited</t>
  </si>
  <si>
    <t>BGLOBAL</t>
  </si>
  <si>
    <t>Futuristic Securities Ltd</t>
  </si>
  <si>
    <t>Panther Industrial Products Ltd.</t>
  </si>
  <si>
    <t>Galada Finance Limited</t>
  </si>
  <si>
    <t>Multipurpose Trading &amp; Agencies Ltd</t>
  </si>
  <si>
    <t>Patidar Buildcon Limited</t>
  </si>
  <si>
    <t>KLG Capital Services Ltd.</t>
  </si>
  <si>
    <t>Lark Trading &amp; Finance Limited</t>
  </si>
  <si>
    <t>IMP Power Ltd.</t>
  </si>
  <si>
    <t>HANMAN FIT LIMITED</t>
  </si>
  <si>
    <t>Jayabharat Credit Ltd.</t>
  </si>
  <si>
    <t>JCK Infrastructure Development Limited</t>
  </si>
  <si>
    <t>ASIS LOGISTICS LIMITED</t>
  </si>
  <si>
    <t>Newever Trade Wings Limited</t>
  </si>
  <si>
    <t>Goldedge Estate And Investments Limited</t>
  </si>
  <si>
    <t>ASIA CAPITAL LIMITED</t>
  </si>
  <si>
    <t>KRISHNA FILAMENT INDUSTRIES LIMITED</t>
  </si>
  <si>
    <t>Shelter Infra Projects Limited</t>
  </si>
  <si>
    <t>Darjeeling Ropeway Company Limited</t>
  </si>
  <si>
    <t>PAE LTd.</t>
  </si>
  <si>
    <t>United Textiles Ltd.</t>
  </si>
  <si>
    <t>Rich 'N' Rich Finance And Holdings Limited</t>
  </si>
  <si>
    <t>Maruti Securities Ltd.</t>
  </si>
  <si>
    <t>Rainbow Papers Ltd.</t>
  </si>
  <si>
    <t>Mid East Portfolio Management Ltd.</t>
  </si>
  <si>
    <t>Integra Telecommunication &amp; Software Limited</t>
  </si>
  <si>
    <t>Sri Narayan Raj Kumar Merchants Limited</t>
  </si>
  <si>
    <t>Kaarya Facilities and Services Limited</t>
  </si>
  <si>
    <t>Vallabh Steels ltd</t>
  </si>
  <si>
    <t>Ekam Leasing &amp; Finance Co. Ltd.</t>
  </si>
  <si>
    <t>Manipal Finance Corporation Ltd.</t>
  </si>
  <si>
    <t>Shentracon Chemicals Ltd.</t>
  </si>
  <si>
    <t>SUNPOINT TRADING LIMITED</t>
  </si>
  <si>
    <t>Sarthak Global Ltd.</t>
  </si>
  <si>
    <t>Lyons Corporate Market Ltd.</t>
  </si>
  <si>
    <t>Avi Polymers Ltd.</t>
  </si>
  <si>
    <t>Quintegra Solutions Limited</t>
  </si>
  <si>
    <t>QUINTEGRA</t>
  </si>
  <si>
    <t>Atharv Enterprises Limited</t>
  </si>
  <si>
    <t>Atcom Technologies Ltd.</t>
  </si>
  <si>
    <t>Indu Engineering And Textiles Limited</t>
  </si>
  <si>
    <t>Ken Financial Services Ltd.</t>
  </si>
  <si>
    <t>Swadha Nature Limited</t>
  </si>
  <si>
    <t>Maximaa Systems ltd.</t>
  </si>
  <si>
    <t>SAMRUDDHI REALTY LIMITED</t>
  </si>
  <si>
    <t>Superior Finlease Limited</t>
  </si>
  <si>
    <t>Fraser And Company Limited</t>
  </si>
  <si>
    <t>Oscar Global Ltd</t>
  </si>
  <si>
    <t>Gravity (India) Ltd.</t>
  </si>
  <si>
    <t>Jalpac India Ltd.</t>
  </si>
  <si>
    <t>Mahaveer Infoway Limited</t>
  </si>
  <si>
    <t>AARCON FACILITIES LIMITED</t>
  </si>
  <si>
    <t>Elango Industries Ltd</t>
  </si>
  <si>
    <t>Asahi Infrastructure &amp; Projects Ltd</t>
  </si>
  <si>
    <t>GCM Commodity &amp; Derivatives Limited</t>
  </si>
  <si>
    <t>Rajkot Investment Trust Limited</t>
  </si>
  <si>
    <t>Monica Electronics Ltd.</t>
  </si>
  <si>
    <t>Relstruct Buildcon Limited</t>
  </si>
  <si>
    <t>ADHATA GLOBAL LIMITED</t>
  </si>
  <si>
    <t>Metkore Alloys &amp; Industries Ltd</t>
  </si>
  <si>
    <t>Dharani Finance Ltd.</t>
  </si>
  <si>
    <t>ENCODE PACKAGING INDIA LIMITED</t>
  </si>
  <si>
    <t>Lords Chemicals Ltd.</t>
  </si>
  <si>
    <t>Rainbow Denim Ltd.</t>
  </si>
  <si>
    <t>Global Infratech &amp; Finance limited</t>
  </si>
  <si>
    <t>TALWALKARS BETTER VALUE FITNESS LIMITED</t>
  </si>
  <si>
    <t>Sarnimal Investment Limited</t>
  </si>
  <si>
    <t>Diksha Greens Limited</t>
  </si>
  <si>
    <t>Garodia Chemicals Ltd.</t>
  </si>
  <si>
    <t>Diamant Infrastructure Limited</t>
  </si>
  <si>
    <t>Nu Tek India Limited</t>
  </si>
  <si>
    <t>Richa Industries Limited</t>
  </si>
  <si>
    <t>High Street Filatex Limited</t>
  </si>
  <si>
    <t>Crimson Metal Engineering Company Ltd</t>
  </si>
  <si>
    <t>ELITECON INTERNATIONAL LIMITED</t>
  </si>
  <si>
    <t>Heera Ispat Ltd.</t>
  </si>
  <si>
    <t>Chhabra Spinners ltd.</t>
  </si>
  <si>
    <t>Decorous Investment and Trading Co. Ltd.</t>
  </si>
  <si>
    <t>Mahesh Developers Limited</t>
  </si>
  <si>
    <t>Systematix Securities Ltd.</t>
  </si>
  <si>
    <t>Majestic Research Services and Solutions Limited</t>
  </si>
  <si>
    <t>Ambition Mica Limited</t>
  </si>
  <si>
    <t>Peoples Investments Ltd.</t>
  </si>
  <si>
    <t>Asya Infosoft Limited</t>
  </si>
  <si>
    <t>Sand Plast (India) Ltd.</t>
  </si>
  <si>
    <t>Universal Arts Ltd</t>
  </si>
  <si>
    <t>S.M. Energy Teknik &amp; Electronics Lt</t>
  </si>
  <si>
    <t>IMEC SERVICES LIMITED</t>
  </si>
  <si>
    <t>Nicco Corporation Ltd.</t>
  </si>
  <si>
    <t>Ventura Guaranty Ltd.</t>
  </si>
  <si>
    <t>Ashoka Refineries Ltd.</t>
  </si>
  <si>
    <t>Gangotri Textiles Ltd.</t>
  </si>
  <si>
    <t>GANGOTRI</t>
  </si>
  <si>
    <t>Pithampur Poly Products Ltd.</t>
  </si>
  <si>
    <t>Purple Entertainment Limited</t>
  </si>
  <si>
    <t>Sidh Management Corporate Services Limited</t>
  </si>
  <si>
    <t>MAX ALERT SYSTEMS LIMITED</t>
  </si>
  <si>
    <t>Futuristic Offshore Services and Chemical Ltd.</t>
  </si>
  <si>
    <t>Bansisons Tea Industries Ltd.</t>
  </si>
  <si>
    <t>Alchemist Limited</t>
  </si>
  <si>
    <t>Kuberan Global Edu Solutions Limited</t>
  </si>
  <si>
    <t>Shiva Suitings Ltd.</t>
  </si>
  <si>
    <t>MODEX INTERNATIONAL SECURITIES LTD.</t>
  </si>
  <si>
    <t>Adjia Technologies Limited</t>
  </si>
  <si>
    <t>Jauss Polymers Ltd</t>
  </si>
  <si>
    <t>Hemo Organic Limited</t>
  </si>
  <si>
    <t>Radhagobind Commercial Limited</t>
  </si>
  <si>
    <t>T. Spiritual World Ltd.</t>
  </si>
  <si>
    <t>Kamini Finance &amp; Investment Company Limited</t>
  </si>
  <si>
    <t>Commex Technology Limited</t>
  </si>
  <si>
    <t>Classic Global Finance &amp; Capital ltd.</t>
  </si>
  <si>
    <t>Starlit Power Systems Limited</t>
  </si>
  <si>
    <t>Hi-Klass Trading and Investment Limited</t>
  </si>
  <si>
    <t>Maxplus Logistics Limited</t>
  </si>
  <si>
    <t>Mardia Samyoung Capillary Tubes Co.</t>
  </si>
  <si>
    <t>Aviva Industries Limited</t>
  </si>
  <si>
    <t>Devhari Exports (India) Limited</t>
  </si>
  <si>
    <t>Gopal Iron &amp; Steels Co.(Gujarat) Lt</t>
  </si>
  <si>
    <t>Ace Exports Limited</t>
  </si>
  <si>
    <t>Netripples Software Limited</t>
  </si>
  <si>
    <t>Euro Ceremics Ltd</t>
  </si>
  <si>
    <t>Sophia Exports Limited</t>
  </si>
  <si>
    <t>Winsome Diamonds and Jewellery Limited</t>
  </si>
  <si>
    <t>Abhishek Infraventures Limited</t>
  </si>
  <si>
    <t>SIDH AUTOMOBILES LIMITED</t>
  </si>
  <si>
    <t>BEFOUND MOVEMENT LIMITED</t>
  </si>
  <si>
    <t>Women Networks Ltd.</t>
  </si>
  <si>
    <t>Cistro Telelink Ltd.</t>
  </si>
  <si>
    <t>STELLANT SECURITIES (INDIA) LIMITED</t>
  </si>
  <si>
    <t>Nikki Global Finance Ltd.</t>
  </si>
  <si>
    <t>Khyati Multimedia-Entertainment Ltd</t>
  </si>
  <si>
    <t>GCCL Construction And Realities Ltd</t>
  </si>
  <si>
    <t>Omni Axs Software Ltd.</t>
  </si>
  <si>
    <t>Padmanabh Industries Limited</t>
  </si>
  <si>
    <t>Source Industries (India) Ltd</t>
  </si>
  <si>
    <t>Skyline India Limited</t>
  </si>
  <si>
    <t>Zel Jewellers Limited</t>
  </si>
  <si>
    <t>Devika Proteins Ltd.</t>
  </si>
  <si>
    <t>Roadways India Limited</t>
  </si>
  <si>
    <t>Kiran Syntex Ltd.</t>
  </si>
  <si>
    <t>Hindustan Auto Finance Limited</t>
  </si>
  <si>
    <t>Ghushine Fintrrade Ocean Limited</t>
  </si>
  <si>
    <t>KANUNGO FINANCIERS LIMITED</t>
  </si>
  <si>
    <t>JPT Securities Ltd.</t>
  </si>
  <si>
    <t>Dolphin Medical Services Ltd.</t>
  </si>
  <si>
    <t>Spectra Industries Ltd.</t>
  </si>
  <si>
    <t>Wisec Global Ltd.</t>
  </si>
  <si>
    <t>Ruby Cables Limited</t>
  </si>
  <si>
    <t>J.R. Foods Limited</t>
  </si>
  <si>
    <t>Biopac India Corporation Ltd</t>
  </si>
  <si>
    <t>Stewarts &amp; Lloyds of India Ltd.</t>
  </si>
  <si>
    <t>Adarsh Mercantile Limited</t>
  </si>
  <si>
    <t>Euro Multivision Limited</t>
  </si>
  <si>
    <t>City Online Services Limited</t>
  </si>
  <si>
    <t>ASHAPURA INTIMATES FASHION LIMITED</t>
  </si>
  <si>
    <t>Khator Fibre &amp; Fabrics Ltd.</t>
  </si>
  <si>
    <t>Saptak Chem And Business Limited</t>
  </si>
  <si>
    <t>Vax Housing Finance Corporation Ltd</t>
  </si>
  <si>
    <t>Dynamic Microsteppers Ltd.</t>
  </si>
  <si>
    <t>Natura Hue Chem Ltd.</t>
  </si>
  <si>
    <t>B.P.Capital Ltd.</t>
  </si>
  <si>
    <t>Jain Farms Palm Oil Limited</t>
  </si>
  <si>
    <t>J.J.Exporters Ltd.</t>
  </si>
  <si>
    <t>Integrated Thermoplastics Ltd.</t>
  </si>
  <si>
    <t>Blueblood Ventures Limited</t>
  </si>
  <si>
    <t>Kshitij Investments Ltd</t>
  </si>
  <si>
    <t>ACE EDUTREND LIMITED</t>
  </si>
  <si>
    <t>Parijat Paper Mills Limited</t>
  </si>
  <si>
    <t>Kanel Industries Limited</t>
  </si>
  <si>
    <t>Carnation Industries Ltd.</t>
  </si>
  <si>
    <t>Vitesse Agro Limited</t>
  </si>
  <si>
    <t>GB GLOBAL LIMITED</t>
  </si>
  <si>
    <t>R J BIO-TECH LIMITED</t>
  </si>
  <si>
    <t>Mayur Leather Products Ltd.</t>
  </si>
  <si>
    <t>Uniworth Ltd.</t>
  </si>
  <si>
    <t>Parag Fans &amp; Cooling Systems Limited</t>
  </si>
  <si>
    <t>Arcee Indusrtries ltd.</t>
  </si>
  <si>
    <t>City Gold Credit Capital Limited</t>
  </si>
  <si>
    <t>SSPN Finance Limited</t>
  </si>
  <si>
    <t>CENTERAC TECHNOLOGIES LIMITED</t>
  </si>
  <si>
    <t>Taaza International Limited</t>
  </si>
  <si>
    <t>Technical Associates Infrapower Limited</t>
  </si>
  <si>
    <t>S.R.Industries Ltd.</t>
  </si>
  <si>
    <t>Ennore Coke Limited</t>
  </si>
  <si>
    <t>Prabhat Securities Limited</t>
  </si>
  <si>
    <t>Credence Sound &amp; Vision Ltd.</t>
  </si>
  <si>
    <t>Shri Kalyan Holdings Ltd.</t>
  </si>
  <si>
    <t>Rajvir Industries Limited</t>
  </si>
  <si>
    <t>RAJVIR</t>
  </si>
  <si>
    <t>Aurum Capital Projects Limited</t>
  </si>
  <si>
    <t>P. K. Leasing &amp; Finance Limited</t>
  </si>
  <si>
    <t>Tarangini Investments Limited</t>
  </si>
  <si>
    <t>Rane Computers Consultancy Ltd</t>
  </si>
  <si>
    <t>River Front Hotels Limited</t>
  </si>
  <si>
    <t>Encore Business System Limited</t>
  </si>
  <si>
    <t>Jain Farms And Resorts Limited</t>
  </si>
  <si>
    <t>SBL Infratech Limited</t>
  </si>
  <si>
    <t>Dhampur Sugar (Kashipur) Ltd.</t>
  </si>
  <si>
    <t>Superstar Distilleries And Foods Lt</t>
  </si>
  <si>
    <t>Pace Automation Limited</t>
  </si>
  <si>
    <t>Twinstar Industries Limited</t>
  </si>
  <si>
    <t>Premium Capital Market &amp; Investment</t>
  </si>
  <si>
    <t>Microse India Limited</t>
  </si>
  <si>
    <t>Ellora Traders Limited</t>
  </si>
  <si>
    <t>Deltron Ltd</t>
  </si>
  <si>
    <t>Kovalam Inv. &amp; Trading Co.Ltd.</t>
  </si>
  <si>
    <t>SHIVAMSHREE BUSINESSES LIMITED</t>
  </si>
  <si>
    <t>Madhur Industries Limited</t>
  </si>
  <si>
    <t>Vadilal Dairy International Ltd.</t>
  </si>
  <si>
    <t>PFL Infotech Ltd.</t>
  </si>
  <si>
    <t>TALWALKARS HEALTHCLUBS LIMITED</t>
  </si>
  <si>
    <t>Shivom Investment &amp; Consultancy Limited</t>
  </si>
  <si>
    <t>THAKKERS GROUP LIMITED</t>
  </si>
  <si>
    <t>JLA Infraville Shoppers Limited</t>
  </si>
  <si>
    <t>Supraneet Finance &amp; Consultants Limited</t>
  </si>
  <si>
    <t>ASEEM GLOBAL LIMITED</t>
  </si>
  <si>
    <t>Bronze Infra-Tech Limited</t>
  </si>
  <si>
    <t>New Era Alkaloids &amp; Export Limited</t>
  </si>
  <si>
    <t>Amit Securities Ltd.</t>
  </si>
  <si>
    <t>Swadeshi Industries Leasing Co. Ltd</t>
  </si>
  <si>
    <t>Amit Spinning Industries Ltd.</t>
  </si>
  <si>
    <t>Niwas Spinning Mills Ltd.</t>
  </si>
  <si>
    <t>Aar Shyam India Investment Company Limited</t>
  </si>
  <si>
    <t>SIP Industries Ltd</t>
  </si>
  <si>
    <t>Shivansh Finserv Limited</t>
  </si>
  <si>
    <t>Rajeswari Infrastructure Limited</t>
  </si>
  <si>
    <t>Venmax Drugs And Pharmaceuticals Ltd</t>
  </si>
  <si>
    <t>GoldCoin Health Foods Limited</t>
  </si>
  <si>
    <t>I.C.S.A. (India) Ltd.</t>
  </si>
  <si>
    <t>Euro Asia Exports Ltd.</t>
  </si>
  <si>
    <t>JRD Finance Limited</t>
  </si>
  <si>
    <t>Tulsi Extrusions Limited</t>
  </si>
  <si>
    <t>Rekvina Laboratories Ltd</t>
  </si>
  <si>
    <t>SPV GLOBAL TRADING LIMITED</t>
  </si>
  <si>
    <t>SVA India Ltd</t>
  </si>
  <si>
    <t>Charms Industries Ltd</t>
  </si>
  <si>
    <t>Omkar Overseas ltd.</t>
  </si>
  <si>
    <t>Enchante Jewellery Ltd.</t>
  </si>
  <si>
    <t>Emmsons International Limited</t>
  </si>
  <si>
    <t>Indus Fila Limited</t>
  </si>
  <si>
    <t>CONCRETE CREDIT LIMITED</t>
  </si>
  <si>
    <t>Classic Electricals Ltd.</t>
  </si>
  <si>
    <t>Gajra Bevel Gears Ltd.</t>
  </si>
  <si>
    <t>Frontline Business Solutions Ltd.</t>
  </si>
  <si>
    <t>S Kumars.com Ltd.</t>
  </si>
  <si>
    <t>Tricom Fruit Products Limited</t>
  </si>
  <si>
    <t>Gaekwar Mills Ltd.</t>
  </si>
  <si>
    <t>TechTrek India Limited</t>
  </si>
  <si>
    <t>CHPL Industries Ltd.</t>
  </si>
  <si>
    <t>GDL Leasing &amp; Finance ltd.</t>
  </si>
  <si>
    <t>Transglobe Foods Ltd.</t>
  </si>
  <si>
    <t>Cox &amp; Kings Financial Service Limited</t>
  </si>
  <si>
    <t>Kome-on Communication Limited</t>
  </si>
  <si>
    <t>Empee Sugars &amp; Chemicals Ltd.</t>
  </si>
  <si>
    <t>Nicco-Uco Alliance Credit Ltd.</t>
  </si>
  <si>
    <t>Neogem India Limited</t>
  </si>
  <si>
    <t>MAGNUS RETAIL LIMITED</t>
  </si>
  <si>
    <t>Linaks Microelectronics Ltd.</t>
  </si>
  <si>
    <t>Anand Projects Ltd</t>
  </si>
  <si>
    <t>M LAKHAMSI INDUSTRIES LIMITED</t>
  </si>
  <si>
    <t>Vaishno Cement Co. Ltd.</t>
  </si>
  <si>
    <t>Prabhav Industries Limited</t>
  </si>
  <si>
    <t>Modern Denim Limited</t>
  </si>
  <si>
    <t>GHV INFRA PROJECTS LIMITED</t>
  </si>
  <si>
    <t>Wellness Noni Limited</t>
  </si>
  <si>
    <t>Spangle Marketing Limited</t>
  </si>
  <si>
    <t>Asian Bearings Ltd.</t>
  </si>
  <si>
    <t>Nidhi Services Limited</t>
  </si>
  <si>
    <t>Automobile Products of India Ltd.</t>
  </si>
  <si>
    <t>Sanguine Media Ltd.</t>
  </si>
  <si>
    <t>Brilliant Portfolios Ltd.</t>
  </si>
  <si>
    <t>Corporate Courier and Cargo Ltd</t>
  </si>
  <si>
    <t>COVIDH TECHNOLOGIES LIMITED</t>
  </si>
  <si>
    <t>Deccan Polypacks Ltd</t>
  </si>
  <si>
    <t>Shree Rajeshwaranand Paper Mills Lt</t>
  </si>
  <si>
    <t>Fourth Generation Information Systems Ltd</t>
  </si>
  <si>
    <t>Galada Power &amp; Communication Ltd.</t>
  </si>
  <si>
    <t>Blue Blends (India) Ltd</t>
  </si>
  <si>
    <t>TMT (India) ltd.</t>
  </si>
  <si>
    <t>ID INFO BUSINESS SERVICES LTD.</t>
  </si>
  <si>
    <t>HRB Flouriculture Ltd.</t>
  </si>
  <si>
    <t>Hindusthan Udyog Ltd</t>
  </si>
  <si>
    <t>Mudra Financial Services Ltd.</t>
  </si>
  <si>
    <t>Tirupati Industries (India) Ltd</t>
  </si>
  <si>
    <t>ANERI FINCAP LIMITED</t>
  </si>
  <si>
    <t>Shri Krishna Prasadam Limited</t>
  </si>
  <si>
    <t>Oswal Leasing Ltd.</t>
  </si>
  <si>
    <t>Saanvi Advisors Limited</t>
  </si>
  <si>
    <t>Blue Pearl Agriventures Limited</t>
  </si>
  <si>
    <t>Capital Finvest Limited</t>
  </si>
  <si>
    <t>Amar Vanijya Limited</t>
  </si>
  <si>
    <t>Trilogic Digital Media Limited</t>
  </si>
  <si>
    <t>Pillar Investment Company Limited</t>
  </si>
  <si>
    <t>Sagar Systech Ltd.</t>
  </si>
  <si>
    <t>Surbhi Industries Limited</t>
  </si>
  <si>
    <t>CUPID BREWERIES AND DISTILLERIES LIMITED</t>
  </si>
  <si>
    <t>Geetanjali Credit And Capital Limited</t>
  </si>
  <si>
    <t>Premier Pipes Limited</t>
  </si>
  <si>
    <t>P R Holdings Limited</t>
  </si>
  <si>
    <t>RKB Agro Industries Limited</t>
  </si>
  <si>
    <t>Filtron Engineers Ltd.</t>
  </si>
  <si>
    <t>KUNDAN MINERALS AND METALS LIMITED</t>
  </si>
  <si>
    <t>Gupta Synthetics Ltd.</t>
  </si>
  <si>
    <t>Mahavir Industries Limited</t>
  </si>
  <si>
    <t>Vegepro Foods &amp; Feeds Ltd.</t>
  </si>
  <si>
    <t>Regal Entertainment &amp; Consultants Ltd.</t>
  </si>
  <si>
    <t>SER Industries Ltd</t>
  </si>
  <si>
    <t>HI-TECH WINDING SYSTEMS LIMITED</t>
  </si>
  <si>
    <t>Achal Investments Limited</t>
  </si>
  <si>
    <t>Kalpa Commercial Limited</t>
  </si>
  <si>
    <t>Triumph International Finance India</t>
  </si>
  <si>
    <t>Cura Technologies Limited</t>
  </si>
  <si>
    <t>Sri Chakra Cement Limited</t>
  </si>
  <si>
    <t>Telephone Cables Ltd</t>
  </si>
  <si>
    <t>Seshachal Technologies Ltd</t>
  </si>
  <si>
    <t>Super Syncotex (India) Ltd.</t>
  </si>
  <si>
    <t>Advance Multitech Ltd.</t>
  </si>
  <si>
    <t>VISU INTERNATIONAL lTD.</t>
  </si>
  <si>
    <t>Indo Credit Capital Ltd.</t>
  </si>
  <si>
    <t>Ritz Mercantile Limited</t>
  </si>
  <si>
    <t>CES Limited</t>
  </si>
  <si>
    <t>Sharp Commercial Enterprises Limited</t>
  </si>
  <si>
    <t>Emgee Cables &amp; Communications Ltd.</t>
  </si>
  <si>
    <t>Gujarat Perstorp Electronics Ltd.</t>
  </si>
  <si>
    <t>Rathi Graphics Technologies ltd.</t>
  </si>
  <si>
    <t>BMB Music &amp; Magnetics Ltd.</t>
  </si>
  <si>
    <t>Advance PowerInfra Tech Limited</t>
  </si>
  <si>
    <t>Garlon Polyfab Industries Ltd.</t>
  </si>
  <si>
    <t>Mather &amp; Platt Fire Systems Ltd.</t>
  </si>
  <si>
    <t>Be Swasth Healthcare Limited</t>
  </si>
  <si>
    <t>Nivi Trading Ltd.</t>
  </si>
  <si>
    <t>Jeco Exports And Finance Limited</t>
  </si>
  <si>
    <t>Buy Right Impex Limited</t>
  </si>
  <si>
    <t>Fortune Industrial Resources Limited</t>
  </si>
  <si>
    <t>Kedia Construction Co. Ltd.</t>
  </si>
  <si>
    <t>Arihant Institute Limited</t>
  </si>
  <si>
    <t>GSL Nova Petrochemicals Limited</t>
  </si>
  <si>
    <t>Uddhav Properties Limited</t>
  </si>
  <si>
    <t>Zenith Computers Ltd.</t>
  </si>
  <si>
    <t>Yash Trading &amp; Finance Ltd.</t>
  </si>
  <si>
    <t>Shreenath Investments Co. Ltd.</t>
  </si>
  <si>
    <t>Sheraton Properties &amp; Finance Ltd.</t>
  </si>
  <si>
    <t>Valley Magnesite Company Limited</t>
  </si>
  <si>
    <t>Sriven Multi-Tech Ltd</t>
  </si>
  <si>
    <t>Aditya Forge Ltd</t>
  </si>
  <si>
    <t>Softbpo Global Services Ltd.</t>
  </si>
  <si>
    <t>Jotindra Infrastructure Limited</t>
  </si>
  <si>
    <t>Silver oak Commercial Ltd.</t>
  </si>
  <si>
    <t>DEVOTED CONSTRUCTION LIMITED</t>
  </si>
  <si>
    <t>Abhinandan Enterprises Limited</t>
  </si>
  <si>
    <t>Sarvamangal Mercantile Co. Ltd.</t>
  </si>
  <si>
    <t>Omansh Enterprises Limited</t>
  </si>
  <si>
    <t>Uniworth Securities Limited</t>
  </si>
  <si>
    <t>Mangalam Engineering Projects Limited</t>
  </si>
  <si>
    <t>Esquire Money Guarantees Ltd</t>
  </si>
  <si>
    <t>Indo Gulf Industries Ltd.</t>
  </si>
  <si>
    <t>Victoria Enterprises Limited</t>
  </si>
  <si>
    <t>Denim Developers Limited</t>
  </si>
  <si>
    <t>HIND COMMERCE LIMITED</t>
  </si>
  <si>
    <t>Sanmitra Commercial Ltd.</t>
  </si>
  <si>
    <t>RAJVI LOGITRADE LIMITED</t>
  </si>
  <si>
    <t>New Markets Advisory Ltd</t>
  </si>
  <si>
    <t>Raymed Labs. Ltd.</t>
  </si>
  <si>
    <t>Ranjit Securities Ltd.</t>
  </si>
  <si>
    <t>Nawratan Arts Limited</t>
  </si>
  <si>
    <t>Revati Organics Ltd.</t>
  </si>
  <si>
    <t>Olympic Management &amp; Financial Serv</t>
  </si>
  <si>
    <t>Gujarat Cypromet Ltd.</t>
  </si>
  <si>
    <t>Shri Gurudev En-Trade Limited</t>
  </si>
  <si>
    <t>Technojet Consultants Ltd.</t>
  </si>
  <si>
    <t>Inditalia Refcon Ltd.</t>
  </si>
  <si>
    <t>Oasis Tradelink Limited</t>
  </si>
  <si>
    <t>Bhairav Enterprises Limited</t>
  </si>
  <si>
    <t>Rishabh Enterprises Limited</t>
  </si>
  <si>
    <t>Shreyans Financial And Capital Services Limited</t>
  </si>
  <si>
    <t>Skyweb Infotech Limited</t>
  </si>
  <si>
    <t>Dhaval Exports Limited</t>
  </si>
  <si>
    <t>Cosboard Industries Ltd.</t>
  </si>
  <si>
    <t>Sapan Chemicals Limited</t>
  </si>
  <si>
    <t>P. B. Films Limited</t>
  </si>
  <si>
    <t>SNS Properties And Leasing Limited</t>
  </si>
  <si>
    <t>Baron Infotech Ltd.</t>
  </si>
  <si>
    <t>D. D. Ventures Limited</t>
  </si>
  <si>
    <t>Shah Construction Co. Ltd.</t>
  </si>
  <si>
    <t>Speedage Commercials Ltd.</t>
  </si>
  <si>
    <t>Abhishek Corporation Ltd</t>
  </si>
  <si>
    <t>Asian Fertilisers Ltd.</t>
  </si>
  <si>
    <t>Associated Finman Limited</t>
  </si>
  <si>
    <t>Winmore Leasing And Holdings Limited</t>
  </si>
  <si>
    <t>Frontline Financial Services Ltd.</t>
  </si>
  <si>
    <t>Gold Rock Investments Ltd.</t>
  </si>
  <si>
    <t>Betala Global Securities Ltd.</t>
  </si>
  <si>
    <t>Uniworth International ltd.</t>
  </si>
  <si>
    <t>N. K. Textile Industries Limited</t>
  </si>
  <si>
    <t>Newage Marketing Limited</t>
  </si>
  <si>
    <t>Twin Roses Trades &amp; Agencies Ltd.</t>
  </si>
  <si>
    <t>Molind Engineering Limited</t>
  </si>
  <si>
    <t>India Radiators Ltd.</t>
  </si>
  <si>
    <t>ATN International Ltd.</t>
  </si>
  <si>
    <t>Kilburn Office Automation Ltd.</t>
  </si>
  <si>
    <t>Atlantic Commercial Company Limited</t>
  </si>
  <si>
    <t>Master Chemicals Ltd.</t>
  </si>
  <si>
    <t>Union Bearings (India) Ltd.</t>
  </si>
  <si>
    <t>Bobshell Electrodes Ltd.</t>
  </si>
  <si>
    <t>Nachmo Knitex Ltd.</t>
  </si>
  <si>
    <t>Satyam Silk Mills Ltd</t>
  </si>
  <si>
    <t>Baffin Engineering Projects Ltd.</t>
  </si>
  <si>
    <t>NCC Finance Ltd.</t>
  </si>
  <si>
    <t>Castle Traders Limited</t>
  </si>
  <si>
    <t>G-Tech Info-Training Ltd.</t>
  </si>
  <si>
    <t>Tivoli Construction Ltd.</t>
  </si>
  <si>
    <t>Alna Trading &amp; Exports Ltd.</t>
  </si>
  <si>
    <t>Mahashree Trading Ltd.</t>
  </si>
  <si>
    <t>Asutosh Enterprise Ltd.</t>
  </si>
  <si>
    <t>Mansoon Trading Co. Ltd.</t>
  </si>
  <si>
    <t>Priya International Limited</t>
  </si>
  <si>
    <t>Shikhar Consultants Ltd.</t>
  </si>
  <si>
    <t>Supreme Commercial Enterprises Limited</t>
  </si>
  <si>
    <t>JATALIA GLOBAL VENTURES LIMITED</t>
  </si>
  <si>
    <t>Magnanimous Trade &amp; Finance Ltd.</t>
  </si>
  <si>
    <t>Morn Media Limited</t>
  </si>
  <si>
    <t>Ridhi Synthetics Ltd.</t>
  </si>
  <si>
    <t>John Oakey &amp; Mohan Limited</t>
  </si>
  <si>
    <t>Kengold (India) Ltd.</t>
  </si>
  <si>
    <t>The Patna Electric Supply Co. Limited</t>
  </si>
  <si>
    <t>Ishwarshakti Holdings &amp; Traders Ltd</t>
  </si>
  <si>
    <t>Safal Securities Limited</t>
  </si>
  <si>
    <t>Oxford Industries ltd.</t>
  </si>
  <si>
    <t>Kajal Synthetics and Silk Mills Ltd</t>
  </si>
  <si>
    <t>WARDWIZARD HEALTHCARE LIMITED</t>
  </si>
  <si>
    <t>Matra Realty Ltd</t>
  </si>
  <si>
    <t>Devinsu Trading Ltd.</t>
  </si>
  <si>
    <t>Triochem Products Ltd.</t>
  </si>
  <si>
    <t>Dugar Housing Developments Limited</t>
  </si>
  <si>
    <t>Bentley Commercial Enterprises Ltd.</t>
  </si>
  <si>
    <t>Kabirdas Investments Limited</t>
  </si>
  <si>
    <t>Silicon Valley Infotech Ltd.</t>
  </si>
  <si>
    <t>Indsoya Limited</t>
  </si>
  <si>
    <t>Andhra Pradesh Tanneries Ltd.</t>
  </si>
  <si>
    <t>Virgo Polymers (India) Ltd.</t>
  </si>
  <si>
    <t>Nidhan Commercial Company Ltd</t>
  </si>
  <si>
    <t>Shikhar Leasing and Trading Ltd.</t>
  </si>
  <si>
    <t>Sunrise Industrial Traders Ltd.</t>
  </si>
  <si>
    <t>Oseaspre Consultants Ltd.</t>
  </si>
  <si>
    <t>Trident India Limited</t>
  </si>
  <si>
    <t>Jupiter Industries &amp; Leasing Ltd.</t>
  </si>
  <si>
    <t>Nirbhay Colours India Limited</t>
  </si>
  <si>
    <t>Jyoti Overseas Ltd</t>
  </si>
  <si>
    <t>Terraform Realstate Limited</t>
  </si>
  <si>
    <t>Rakan Steels Limited</t>
  </si>
  <si>
    <t>Nilkanth Engineering Ltd.</t>
  </si>
  <si>
    <t>Welga Foods Limited</t>
  </si>
  <si>
    <t>PH Trading Ltd.</t>
  </si>
  <si>
    <t>Swastik Safe Deposit &amp; Invest. Ltd.</t>
  </si>
  <si>
    <t>Ayushman Infratech Limited</t>
  </si>
  <si>
    <t>Supra Industrial Resources Limited</t>
  </si>
  <si>
    <t>Morning Glory Leasing And Finance Limited</t>
  </si>
  <si>
    <t>Efficient Industrial Finance Limited</t>
  </si>
  <si>
    <t>Laser Diamonds Ltd.</t>
  </si>
  <si>
    <t>Alirox Abrasives Limited</t>
  </si>
  <si>
    <t>Procal Electronics India Ltd</t>
  </si>
  <si>
    <t>Bajaj Global Ltd</t>
  </si>
  <si>
    <t>Vinayak Vanijya Ltd.</t>
  </si>
  <si>
    <t>Varun Mercantile Ltd.</t>
  </si>
  <si>
    <t>Coromandel Agro Products &amp; Oils Ltd</t>
  </si>
  <si>
    <t>Champion Commercial Co. Ltd.</t>
  </si>
  <si>
    <t>Mayurbhanj Trades And Agencies Limited</t>
  </si>
  <si>
    <t>Terraform Magnum Limited</t>
  </si>
  <si>
    <t>Nibe Ordnance and Maritime Limited</t>
  </si>
  <si>
    <t>Purity Flex Pack Ltd</t>
  </si>
  <si>
    <t>PB Global Limited</t>
  </si>
  <si>
    <t>Shree Vijay Industries Limited</t>
  </si>
  <si>
    <t>Jeet Machine Tools Ltd.</t>
  </si>
  <si>
    <t>Regency World Consulting Limited</t>
  </si>
  <si>
    <t>Kusam Electrical Industies Ltd.</t>
  </si>
  <si>
    <t>Ardi Investment &amp; Trading Ltd.</t>
  </si>
  <si>
    <t>Pervasive Commodities Limited</t>
  </si>
  <si>
    <t>Mrugesh Trading Ltd.</t>
  </si>
  <si>
    <t>Viksit Engineering Ltd</t>
  </si>
  <si>
    <t>Hindustan Housing Co. Ltd.</t>
  </si>
  <si>
    <t>Unijolly Investments Co. Ltd.</t>
  </si>
  <si>
    <t>Western Ministil Ltd.</t>
  </si>
  <si>
    <t>Transoceanic Properties Ltd.</t>
  </si>
  <si>
    <t>Healthy Investments Ltd.</t>
  </si>
  <si>
    <t>Sagar Soya Products Ltd.</t>
  </si>
  <si>
    <t>HEM Holdings and Trading Ltd.</t>
  </si>
  <si>
    <t>Arco Leasing Ltd.</t>
  </si>
  <si>
    <t>Sree Maruthi Marine Industries Limited</t>
  </si>
  <si>
    <t>SPRINGFORM TECHNOLOGY LIMITED</t>
  </si>
  <si>
    <t>Southern Gas Ltd.</t>
  </si>
  <si>
    <t>Mangalya Soft-Tech Ltd.</t>
  </si>
  <si>
    <t>ANTARIKSH INDUSTRIES LIMITED</t>
  </si>
  <si>
    <t>Bengal Steel Industries Ltd.</t>
  </si>
  <si>
    <t>Computers - Software &amp; Consulting</t>
  </si>
  <si>
    <t>Diversified FMCG</t>
  </si>
  <si>
    <t>Private Sector Bank</t>
  </si>
  <si>
    <t>Passenger Cars &amp; Utility Vehicles</t>
  </si>
  <si>
    <t>Non Banking Financial Company (NBFC)</t>
  </si>
  <si>
    <t>Pharmaceuticals</t>
  </si>
  <si>
    <t>Power - Transmission</t>
  </si>
  <si>
    <t>STEEL</t>
  </si>
  <si>
    <t>2/3 Wheelers</t>
  </si>
  <si>
    <t>Iron &amp; Steel Products</t>
  </si>
  <si>
    <t>Ferro &amp; Silica Manganese</t>
  </si>
  <si>
    <t>L&amp;T MIND TREE</t>
  </si>
  <si>
    <t>ORACLE Financial Services</t>
  </si>
  <si>
    <t>Tata Elxi Ltd</t>
  </si>
  <si>
    <t>Life Insurance Corporation of India</t>
  </si>
  <si>
    <t>ABB India Ltd.</t>
  </si>
  <si>
    <t>Adani Energy Solutions Ltd.</t>
  </si>
  <si>
    <t>Adani Green Energy Ltd.</t>
  </si>
  <si>
    <t>Adani Power Ltd.</t>
  </si>
  <si>
    <t>Avenue Supermarts Ltd.</t>
  </si>
  <si>
    <t>Bajaj Holdings &amp; Investment Ltd.</t>
  </si>
  <si>
    <t>Bajaj Housing Finance Ltd.</t>
  </si>
  <si>
    <t>Bank of Baroda</t>
  </si>
  <si>
    <t>Bharat Petroleum Corporation Ltd.</t>
  </si>
  <si>
    <t>Bosch Ltd.</t>
  </si>
  <si>
    <t>CG Power and Industrial Solutions Ltd.</t>
  </si>
  <si>
    <t>Cholamandalam Investment and Finance Company Ltd.</t>
  </si>
  <si>
    <t>DLF Ltd.</t>
  </si>
  <si>
    <t>GAIL (India) Ltd.</t>
  </si>
  <si>
    <t>Havells India Ltd.</t>
  </si>
  <si>
    <t>Hindustan Aeronautics Ltd.</t>
  </si>
  <si>
    <t>Hyundai Motor India Ltd.</t>
  </si>
  <si>
    <t>ICICI Lombard General Insurance Company Ltd.</t>
  </si>
  <si>
    <t>ICICI Prudential Life Insurance Company Ltd.</t>
  </si>
  <si>
    <t>Indian Hotels Co. Ltd.</t>
  </si>
  <si>
    <t>Indian Railway Finance Corporation Ltd.</t>
  </si>
  <si>
    <t>Info Edge (India) Ltd.</t>
  </si>
  <si>
    <t>InterGlobe Aviation Ltd.</t>
  </si>
  <si>
    <t>JSW Energy Ltd.</t>
  </si>
  <si>
    <t>Jindal Steel Ltd.</t>
  </si>
  <si>
    <t>LTIMindtree Ltd.</t>
  </si>
  <si>
    <t>Lodha Developers Ltd.</t>
  </si>
  <si>
    <t>Power Finance Corporation Ltd.</t>
  </si>
  <si>
    <t>REC Ltd.</t>
  </si>
  <si>
    <t>Samvardhana Motherson International Ltd.</t>
  </si>
  <si>
    <t>Shree Cement Ltd.</t>
  </si>
  <si>
    <t>Swiggy Ltd.</t>
  </si>
  <si>
    <t>Tata Power Co. Ltd.</t>
  </si>
  <si>
    <t>United Spirits Ltd.</t>
  </si>
  <si>
    <t>Varun Beverages Ltd.</t>
  </si>
  <si>
    <t>Vedanta Ltd.</t>
  </si>
  <si>
    <t>Zydus Lifesciences Ltd.</t>
  </si>
  <si>
    <t>Capital Goods</t>
  </si>
  <si>
    <t>Power</t>
  </si>
  <si>
    <t>Construction Materials</t>
  </si>
  <si>
    <t>Consumer Services</t>
  </si>
  <si>
    <t>Financial Services</t>
  </si>
  <si>
    <t>Oil Gas &amp; Consumable Fuels</t>
  </si>
  <si>
    <t>Automobile and Auto Components</t>
  </si>
  <si>
    <t>Fast Moving Consumer Goods</t>
  </si>
  <si>
    <t>Realty</t>
  </si>
  <si>
    <t>Healthcare</t>
  </si>
  <si>
    <t>Consumer Durables</t>
  </si>
  <si>
    <t>Services</t>
  </si>
  <si>
    <t>Metals &amp; Mining</t>
  </si>
  <si>
    <t>Information Technology</t>
  </si>
  <si>
    <t>Chemicals</t>
  </si>
  <si>
    <t>Telecommunication</t>
  </si>
  <si>
    <t>Textiles</t>
  </si>
  <si>
    <t>AU Small Finance Bank Ltd.</t>
  </si>
  <si>
    <t>Alkem Laboratories Ltd.</t>
  </si>
  <si>
    <t>Astral Ltd.</t>
  </si>
  <si>
    <t>Bharat Forge Ltd.</t>
  </si>
  <si>
    <t>Coforge Ltd.</t>
  </si>
  <si>
    <t>Colgate Palmolive (India) Ltd.</t>
  </si>
  <si>
    <t>Container Corporation of India Ltd.</t>
  </si>
  <si>
    <t>Dixon Technologies (India) Ltd.</t>
  </si>
  <si>
    <t>GMR Airports Ltd.</t>
  </si>
  <si>
    <t>Godrej Properties Ltd.</t>
  </si>
  <si>
    <t>HDFC Asset Management Company Ltd.</t>
  </si>
  <si>
    <t>Hindustan Petroleum Corporation Ltd.</t>
  </si>
  <si>
    <t>IDFC First Bank Ltd.</t>
  </si>
  <si>
    <t>Indian Railway Catering And Tourism Corporation Ltd.</t>
  </si>
  <si>
    <t>Indus Towers Ltd.</t>
  </si>
  <si>
    <t>Lupin Ltd.</t>
  </si>
  <si>
    <t>MRF Ltd.</t>
  </si>
  <si>
    <t>Marico Ltd.</t>
  </si>
  <si>
    <t>Max Healthcare Institute Ltd.</t>
  </si>
  <si>
    <t>MphasiS Ltd.</t>
  </si>
  <si>
    <t>Muthoot Finance Ltd.</t>
  </si>
  <si>
    <t>NHPC Ltd.</t>
  </si>
  <si>
    <t>NMDC Ltd.</t>
  </si>
  <si>
    <t>Oberoi Realty Ltd.</t>
  </si>
  <si>
    <t>Oil India Ltd.</t>
  </si>
  <si>
    <t>One 97 Communications Ltd.</t>
  </si>
  <si>
    <t>Oracle Financial Services Software Ltd.</t>
  </si>
  <si>
    <t>PB Fintech Ltd.</t>
  </si>
  <si>
    <t>PI Industries Ltd.</t>
  </si>
  <si>
    <t>Persistent Systems Ltd.</t>
  </si>
  <si>
    <t>Petronet LNG Ltd.</t>
  </si>
  <si>
    <t>Phoenix Mills Ltd.</t>
  </si>
  <si>
    <t>Polycab India Ltd.</t>
  </si>
  <si>
    <t>Prestige Estates Projects Ltd.</t>
  </si>
  <si>
    <t>SBI Cards and Payment Services Ltd.</t>
  </si>
  <si>
    <t>Torrent Power Ltd.</t>
  </si>
  <si>
    <t>Tube Investments of India Ltd.</t>
  </si>
  <si>
    <t>Vodafone Idea Ltd.</t>
  </si>
  <si>
    <t>MCX</t>
  </si>
  <si>
    <t>Forest Materials</t>
  </si>
  <si>
    <t>Construction</t>
  </si>
  <si>
    <t>Aarti Industries Ltd.</t>
  </si>
  <si>
    <t>Aditya Birla Real Estate Ltd.</t>
  </si>
  <si>
    <t>Affle 3i Ltd.</t>
  </si>
  <si>
    <t>Amara Raja Energy &amp; Mobility Ltd.</t>
  </si>
  <si>
    <t>Amber Enterprises India Ltd.</t>
  </si>
  <si>
    <t>Angel One Ltd.</t>
  </si>
  <si>
    <t>Aster DM Healthcare Ltd.</t>
  </si>
  <si>
    <t>Birlasoft Ltd.</t>
  </si>
  <si>
    <t>Brigade Enterprises Ltd.</t>
  </si>
  <si>
    <t>CESC Ltd.</t>
  </si>
  <si>
    <t>Castrol India Ltd.</t>
  </si>
  <si>
    <t>Computer Age Management Services Ltd.</t>
  </si>
  <si>
    <t>Crompton Greaves Consumer Electricals Ltd.</t>
  </si>
  <si>
    <t>Cyient Ltd.</t>
  </si>
  <si>
    <t>Delhivery Ltd.</t>
  </si>
  <si>
    <t>Dr. Lal Path Labs Ltd.</t>
  </si>
  <si>
    <t>HFCL Ltd.</t>
  </si>
  <si>
    <t>IIFL Finance Ltd.</t>
  </si>
  <si>
    <t>Indian Energy Exchange Ltd.</t>
  </si>
  <si>
    <t>Inox Wind Ltd.</t>
  </si>
  <si>
    <t>Kaynes Technology India Ltd.</t>
  </si>
  <si>
    <t>Kec International Ltd.</t>
  </si>
  <si>
    <t>Kfin Technologies Ltd.</t>
  </si>
  <si>
    <t>Laurus Labs Ltd.</t>
  </si>
  <si>
    <t>Multi Commodity Exchange of India Ltd.</t>
  </si>
  <si>
    <t>NATCO Pharma Ltd.</t>
  </si>
  <si>
    <t>NBCC (India) Ltd.</t>
  </si>
  <si>
    <t>NCC Ltd.</t>
  </si>
  <si>
    <t>Navin Fluorine International Ltd.</t>
  </si>
  <si>
    <t>Neuland Laboratories Ltd.</t>
  </si>
  <si>
    <t>PNB Housing Finance Ltd.</t>
  </si>
  <si>
    <t>Piramal Pharma Ltd.</t>
  </si>
  <si>
    <t>Poonawalla Fincorp Ltd.</t>
  </si>
  <si>
    <t>Radico Khaitan Ltd</t>
  </si>
  <si>
    <t>Ramkrishna Forgings Ltd.</t>
  </si>
  <si>
    <t>Reliance Power Ltd.</t>
  </si>
  <si>
    <t>Tata Chemicals Ltd.</t>
  </si>
  <si>
    <t>Tejas Networks Ltd.</t>
  </si>
  <si>
    <t>The Ramco Cements Ltd.</t>
  </si>
  <si>
    <t>Welspun Corp Ltd.</t>
  </si>
  <si>
    <t>Zensar Technolgies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</si>
</sst>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0"/>
      <color rgb="FF000000"/>
      <name val="Arial"/>
      <scheme val="minor"/>
    </font>
    <font>
      <b/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b/>
      <sz val="10"/>
      <color theme="1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FFF2CC"/>
        <bgColor rgb="FFFFF2CC"/>
      </patternFill>
    </fill>
    <fill>
      <patternFill patternType="solid">
        <fgColor rgb="FF9FC5E8"/>
        <bgColor rgb="FF9FC5E8"/>
      </patternFill>
    </fill>
    <fill>
      <patternFill patternType="solid">
        <fgColor rgb="FFA4C2F4"/>
        <bgColor rgb="FFA4C2F4"/>
      </patternFill>
    </fill>
    <fill>
      <patternFill patternType="solid">
        <fgColor rgb="FFFCE5CD"/>
        <bgColor rgb="FFFCE5CD"/>
      </patternFill>
    </fill>
    <fill>
      <patternFill patternType="solid">
        <fgColor rgb="FFEAD1DC"/>
        <bgColor rgb="FFEAD1D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/>
    <xf numFmtId="2" fontId="1" fillId="0" borderId="0" xfId="0" applyNumberFormat="1" applyFont="1"/>
    <xf numFmtId="0" fontId="1" fillId="2" borderId="0" xfId="0" applyFont="1" applyFill="1"/>
    <xf numFmtId="0" fontId="2" fillId="0" borderId="0" xfId="0" applyFont="1"/>
    <xf numFmtId="0" fontId="3" fillId="0" borderId="0" xfId="0" applyFont="1"/>
    <xf numFmtId="2" fontId="4" fillId="0" borderId="0" xfId="0" applyNumberFormat="1" applyFont="1"/>
    <xf numFmtId="0" fontId="4" fillId="0" borderId="0" xfId="0" applyFont="1"/>
    <xf numFmtId="0" fontId="4" fillId="3" borderId="0" xfId="0" applyFont="1" applyFill="1"/>
    <xf numFmtId="2" fontId="4" fillId="4" borderId="0" xfId="0" applyNumberFormat="1" applyFont="1" applyFill="1"/>
    <xf numFmtId="2" fontId="4" fillId="5" borderId="0" xfId="0" applyNumberFormat="1" applyFont="1" applyFill="1"/>
    <xf numFmtId="0" fontId="2" fillId="3" borderId="0" xfId="0" applyFont="1" applyFill="1"/>
    <xf numFmtId="0" fontId="5" fillId="0" borderId="0" xfId="0" applyFont="1"/>
    <xf numFmtId="0" fontId="6" fillId="0" borderId="0" xfId="0" applyFont="1"/>
    <xf numFmtId="2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4" fillId="3" borderId="0" xfId="0" applyFont="1" applyFill="1" applyAlignment="1">
      <alignment horizontal="right"/>
    </xf>
    <xf numFmtId="2" fontId="4" fillId="4" borderId="0" xfId="0" applyNumberFormat="1" applyFont="1" applyFill="1" applyAlignment="1">
      <alignment horizontal="right"/>
    </xf>
    <xf numFmtId="2" fontId="4" fillId="5" borderId="0" xfId="0" applyNumberFormat="1" applyFont="1" applyFill="1" applyAlignment="1">
      <alignment horizontal="right"/>
    </xf>
    <xf numFmtId="0" fontId="7" fillId="0" borderId="0" xfId="0" applyFont="1"/>
    <xf numFmtId="2" fontId="2" fillId="0" borderId="0" xfId="0" applyNumberFormat="1" applyFont="1"/>
    <xf numFmtId="0" fontId="8" fillId="0" borderId="0" xfId="0" applyFont="1"/>
    <xf numFmtId="0" fontId="9" fillId="0" borderId="0" xfId="0" applyFont="1"/>
    <xf numFmtId="2" fontId="9" fillId="0" borderId="0" xfId="0" applyNumberFormat="1" applyFont="1"/>
    <xf numFmtId="0" fontId="9" fillId="2" borderId="0" xfId="0" applyFont="1" applyFill="1"/>
    <xf numFmtId="0" fontId="2" fillId="6" borderId="0" xfId="0" applyFont="1" applyFill="1"/>
    <xf numFmtId="0" fontId="5" fillId="6" borderId="0" xfId="0" applyFont="1" applyFill="1"/>
    <xf numFmtId="0" fontId="10" fillId="6" borderId="0" xfId="0" applyFont="1" applyFill="1"/>
    <xf numFmtId="2" fontId="4" fillId="6" borderId="0" xfId="0" applyNumberFormat="1" applyFont="1" applyFill="1" applyAlignment="1">
      <alignment horizontal="right"/>
    </xf>
    <xf numFmtId="0" fontId="4" fillId="6" borderId="0" xfId="0" applyFont="1" applyFill="1" applyAlignment="1">
      <alignment horizontal="right"/>
    </xf>
    <xf numFmtId="0" fontId="4" fillId="6" borderId="0" xfId="0" applyFont="1" applyFill="1"/>
    <xf numFmtId="3" fontId="4" fillId="0" borderId="0" xfId="0" applyNumberFormat="1" applyFont="1" applyAlignment="1">
      <alignment horizontal="right"/>
    </xf>
    <xf numFmtId="0" fontId="2" fillId="7" borderId="0" xfId="0" applyFont="1" applyFill="1"/>
    <xf numFmtId="0" fontId="5" fillId="7" borderId="0" xfId="0" applyFont="1" applyFill="1"/>
    <xf numFmtId="0" fontId="11" fillId="7" borderId="0" xfId="0" applyFont="1" applyFill="1"/>
    <xf numFmtId="2" fontId="4" fillId="7" borderId="0" xfId="0" applyNumberFormat="1" applyFont="1" applyFill="1"/>
    <xf numFmtId="0" fontId="4" fillId="7" borderId="0" xfId="0" applyFont="1" applyFill="1"/>
    <xf numFmtId="0" fontId="12" fillId="0" borderId="0" xfId="0" applyFont="1"/>
    <xf numFmtId="0" fontId="0" fillId="0" borderId="0" xfId="0"/>
    <xf numFmtId="0" fontId="13" fillId="0" borderId="0" xfId="0" applyFont="1"/>
    <xf numFmtId="0" fontId="13" fillId="0" borderId="0" xfId="0" applyFont="1" applyAlignment="1">
      <alignment wrapText="1"/>
    </xf>
    <xf numFmtId="0" fontId="5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screener.in/company/MAITHANALL/consolidated/" TargetMode="External"/><Relationship Id="rId1" Type="http://schemas.openxmlformats.org/officeDocument/2006/relationships/hyperlink" Target="https://www.screener.in/company/SUNFLAG/consolidate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K1000"/>
  <sheetViews>
    <sheetView tabSelected="1" workbookViewId="0">
      <pane ySplit="1" topLeftCell="A2" activePane="bottomLeft" state="frozen"/>
      <selection pane="bottomLeft" activeCell="B124" sqref="B124"/>
    </sheetView>
  </sheetViews>
  <sheetFormatPr defaultColWidth="12.7109375" defaultRowHeight="15.75" customHeight="1" x14ac:dyDescent="0.2"/>
  <cols>
    <col min="1" max="1" width="4.140625" customWidth="1"/>
    <col min="2" max="2" width="30.5703125" bestFit="1" customWidth="1"/>
    <col min="3" max="3" width="16.28515625" customWidth="1"/>
    <col min="4" max="4" width="15.42578125" customWidth="1"/>
    <col min="5" max="5" width="15.7109375" customWidth="1"/>
    <col min="6" max="6" width="7" bestFit="1" customWidth="1"/>
    <col min="7" max="7" width="15.85546875" customWidth="1"/>
    <col min="8" max="8" width="13.5703125" customWidth="1"/>
    <col min="9" max="9" width="13.28515625" bestFit="1" customWidth="1"/>
    <col min="10" max="10" width="17.140625" customWidth="1"/>
    <col min="11" max="11" width="19.140625" customWidth="1"/>
    <col min="12" max="12" width="6.85546875" customWidth="1"/>
    <col min="13" max="13" width="7.5703125" bestFit="1" customWidth="1"/>
    <col min="14" max="14" width="6.5703125" bestFit="1" customWidth="1"/>
    <col min="15" max="15" width="5" customWidth="1"/>
    <col min="16" max="16" width="6.140625" customWidth="1"/>
    <col min="17" max="17" width="5.28515625" customWidth="1"/>
    <col min="18" max="18" width="9.85546875" customWidth="1"/>
    <col min="19" max="19" width="10.42578125" customWidth="1"/>
    <col min="20" max="20" width="7.7109375" customWidth="1"/>
    <col min="21" max="21" width="6" customWidth="1"/>
    <col min="22" max="22" width="5.7109375" customWidth="1"/>
    <col min="23" max="23" width="6.42578125" customWidth="1"/>
    <col min="24" max="24" width="14.140625" customWidth="1"/>
  </cols>
  <sheetData>
    <row r="1" spans="1:37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12.75" x14ac:dyDescent="0.2">
      <c r="A2" s="4">
        <v>1</v>
      </c>
      <c r="B2" s="4" t="s">
        <v>7226</v>
      </c>
      <c r="C2" s="4" t="s">
        <v>34</v>
      </c>
      <c r="D2" s="4" t="s">
        <v>35</v>
      </c>
      <c r="E2" s="5" t="str">
        <f t="shared" ref="E2:E14" si="0">"https://www.screener.in/company/"&amp; D2&amp;"/consolidated/"</f>
        <v>https://www.screener.in/company/INFY/consolidated/</v>
      </c>
      <c r="F2" s="4">
        <v>153670</v>
      </c>
      <c r="G2" s="7">
        <v>4150867464</v>
      </c>
      <c r="H2" s="6">
        <f t="shared" ref="H2:H14" ca="1" si="1">(G2*L2)/10^7</f>
        <v>600215.43529439997</v>
      </c>
      <c r="I2" s="7" t="str">
        <f ca="1">IFERROR(__xludf.DUMMYFUNCTION("IMPORTXML(E5,""/html/body/main/div[3]/div[3]/div[2]/ul/li[5]/span[2]/span"")"),"Loading...")</f>
        <v>Loading...</v>
      </c>
      <c r="J2" s="6">
        <f ca="1">IFERROR(__xludf.DUMMYFUNCTION("GOOGLEFINANCE(""NSE:""&amp;D5,""marketcap"")/10000000"),6800.9920315)</f>
        <v>6800.9920314999999</v>
      </c>
      <c r="K2" s="7">
        <v>1526.5</v>
      </c>
      <c r="L2" s="8">
        <f ca="1">IFERROR(__xludf.DUMMYFUNCTION("GOOGLEFINANCE(""NSE:""&amp;D5,""price"")"),1446)</f>
        <v>1446</v>
      </c>
      <c r="M2" s="9">
        <f t="shared" ref="M2:M16" ca="1" si="2">L2-K2</f>
        <v>-80.5</v>
      </c>
      <c r="N2" s="10">
        <f t="shared" ref="N2:N16" ca="1" si="3">(M2/K2)*100</f>
        <v>-5.2735014739600388</v>
      </c>
      <c r="O2" s="7">
        <f ca="1">IFERROR(__xludf.DUMMYFUNCTION("GOOGLEFINANCE(""NSE:""&amp;D5,""pe"")"),22.02)</f>
        <v>22.02</v>
      </c>
      <c r="P2" s="7">
        <f ca="1">IFERROR(__xludf.DUMMYFUNCTION("GOOGLEFINANCE(""NSE:""&amp;D5,""EPS"")"),65.68)</f>
        <v>65.680000000000007</v>
      </c>
      <c r="Q2" s="7"/>
      <c r="R2" s="7" t="str">
        <f ca="1">IFERROR(__xludf.DUMMYFUNCTION("IMPORTXML(E5,""/html/body/main/div[3]/div[3]/div[2]/ul/li[7]/span[2]/span"")"),"Loading...")</f>
        <v>Loading...</v>
      </c>
      <c r="S2" s="7">
        <f ca="1">IFERROR(__xludf.DUMMYFUNCTION("IMPORTXML(E5,""/html/body/main/div[3]/div[3]/div[2]/ul/li[8]/span[2]/span"")"),28.8)</f>
        <v>28.8</v>
      </c>
      <c r="T2" s="7">
        <v>42.6</v>
      </c>
      <c r="U2" s="7">
        <v>30.4</v>
      </c>
      <c r="V2" s="7">
        <v>5.8</v>
      </c>
      <c r="W2" s="7">
        <v>6.3</v>
      </c>
      <c r="X2" s="8">
        <v>963.86</v>
      </c>
      <c r="Y2" s="7">
        <f t="shared" ref="Y2:Y13" ca="1" si="4">L2-X2</f>
        <v>482.14</v>
      </c>
      <c r="Z2" s="7"/>
      <c r="AA2" s="7"/>
    </row>
    <row r="3" spans="1:37" ht="12.75" x14ac:dyDescent="0.2">
      <c r="A3" s="4">
        <v>2</v>
      </c>
      <c r="B3" s="4" t="s">
        <v>7226</v>
      </c>
      <c r="C3" s="4" t="s">
        <v>30</v>
      </c>
      <c r="D3" s="4" t="s">
        <v>31</v>
      </c>
      <c r="E3" s="5" t="str">
        <f t="shared" si="0"/>
        <v>https://www.screener.in/company/TCS/consolidated/</v>
      </c>
      <c r="F3" s="4">
        <v>252082</v>
      </c>
      <c r="G3" s="4">
        <v>3618087518</v>
      </c>
      <c r="H3" s="6">
        <f t="shared" ca="1" si="1"/>
        <v>1102793.0754863999</v>
      </c>
      <c r="I3" s="7" t="str">
        <f ca="1">IFERROR(__xludf.DUMMYFUNCTION("IMPORTXML(E3,""/html/body/main/div[3]/div[3]/div[2]/ul/li[5]/span[2]/span"")"),"Loading...")</f>
        <v>Loading...</v>
      </c>
      <c r="J3" s="6">
        <f ca="1">IFERROR(__xludf.DUMMYFUNCTION("GOOGLEFINANCE(""NSE:""&amp;D3,""marketcap"")/10000000"),1103118.8059209)</f>
        <v>1103118.8059209001</v>
      </c>
      <c r="K3" s="7">
        <v>3550.8</v>
      </c>
      <c r="L3" s="8">
        <f ca="1">IFERROR(__xludf.DUMMYFUNCTION("GOOGLEFINANCE(""NSE:""&amp;D3,""price"")"),3048)</f>
        <v>3048</v>
      </c>
      <c r="M3" s="9">
        <f t="shared" ca="1" si="2"/>
        <v>-502.80000000000018</v>
      </c>
      <c r="N3" s="10">
        <f t="shared" ca="1" si="3"/>
        <v>-14.16018925312606</v>
      </c>
      <c r="O3" s="7">
        <f ca="1">IFERROR(__xludf.DUMMYFUNCTION("GOOGLEFINANCE(""NSE:""&amp;D3,""pe"")"),22.38)</f>
        <v>22.38</v>
      </c>
      <c r="P3" s="7">
        <f ca="1">IFERROR(__xludf.DUMMYFUNCTION("GOOGLEFINANCE(""NSE:""&amp;D3,""EPS"")"),136.19)</f>
        <v>136.19</v>
      </c>
      <c r="Q3" s="7">
        <v>13.5</v>
      </c>
      <c r="R3" s="7" t="str">
        <f ca="1">IFERROR(__xludf.DUMMYFUNCTION("IMPORTXML(E3,""/html/body/main/div[3]/div[3]/div[2]/ul/li[7]/span[2]/span"")"),"Loading...")</f>
        <v>Loading...</v>
      </c>
      <c r="S3" s="7" t="str">
        <f ca="1">IFERROR(__xludf.DUMMYFUNCTION("IMPORTXML(E3,""/html/body/main/div[3]/div[3]/div[2]/ul/li[8]/span[2]/span"")"),"Loading...")</f>
        <v>Loading...</v>
      </c>
      <c r="T3" s="7">
        <v>42.6</v>
      </c>
      <c r="U3" s="7">
        <v>30.4</v>
      </c>
      <c r="V3" s="7">
        <v>5.8</v>
      </c>
      <c r="W3" s="7">
        <v>6.3</v>
      </c>
      <c r="X3" s="11">
        <v>1853.97</v>
      </c>
      <c r="Y3" s="7">
        <f t="shared" ca="1" si="4"/>
        <v>1194.03</v>
      </c>
    </row>
    <row r="4" spans="1:37" ht="12.75" x14ac:dyDescent="0.2">
      <c r="A4" s="4">
        <v>3</v>
      </c>
      <c r="B4" s="4" t="s">
        <v>7227</v>
      </c>
      <c r="C4" s="4" t="s">
        <v>38</v>
      </c>
      <c r="D4" s="4" t="s">
        <v>39</v>
      </c>
      <c r="E4" s="5" t="str">
        <f t="shared" si="0"/>
        <v>https://www.screener.in/company/ITC/consolidated/</v>
      </c>
      <c r="F4" s="4">
        <v>75161</v>
      </c>
      <c r="G4" s="4">
        <v>12484721471</v>
      </c>
      <c r="H4" s="6">
        <f t="shared" ca="1" si="1"/>
        <v>509251.78880208993</v>
      </c>
      <c r="I4" s="7" t="str">
        <f ca="1">IFERROR(__xludf.DUMMYFUNCTION("IMPORTXML(E7,""/html/body/main/div[3]/div[3]/div[2]/ul/li[5]/span[2]/span"")"),"Loading...")</f>
        <v>Loading...</v>
      </c>
      <c r="J4" s="6">
        <f ca="1">IFERROR(__xludf.DUMMYFUNCTION("GOOGLEFINANCE(""NSE:""&amp;D7,""marketcap"")/10000000"),509966.69)</f>
        <v>509966.69</v>
      </c>
      <c r="K4" s="7">
        <v>406.65</v>
      </c>
      <c r="L4" s="8">
        <f ca="1">IFERROR(__xludf.DUMMYFUNCTION("GOOGLEFINANCE(""NSE:""&amp;D7,""price"")"),407.9)</f>
        <v>407.9</v>
      </c>
      <c r="M4" s="9">
        <f t="shared" ca="1" si="2"/>
        <v>1.25</v>
      </c>
      <c r="N4" s="10">
        <f t="shared" ca="1" si="3"/>
        <v>0.30738964711668509</v>
      </c>
      <c r="O4" s="7">
        <f ca="1">IFERROR(__xludf.DUMMYFUNCTION("GOOGLEFINANCE(""NSE:""&amp;D7,""pe"")"),14.65)</f>
        <v>14.65</v>
      </c>
      <c r="P4" s="7">
        <f ca="1">IFERROR(__xludf.DUMMYFUNCTION("GOOGLEFINANCE(""NSE:""&amp;D7,""EPS"")"),27.85)</f>
        <v>27.85</v>
      </c>
      <c r="Q4" s="7">
        <v>13.5</v>
      </c>
      <c r="R4" s="7" t="str">
        <f ca="1">IFERROR(__xludf.DUMMYFUNCTION("IMPORTXML(E7,""/html/body/main/div[3]/div[3]/div[2]/ul/li[7]/span[2]/span"")"),"Loading...")</f>
        <v>Loading...</v>
      </c>
      <c r="S4" s="7" t="str">
        <f ca="1">IFERROR(__xludf.DUMMYFUNCTION("IMPORTXML(E7,""/html/body/main/div[3]/div[3]/div[2]/ul/li[8]/span[2]/span"")"),"Loading...")</f>
        <v>Loading...</v>
      </c>
      <c r="T4" s="4">
        <v>31.1</v>
      </c>
      <c r="U4" s="4">
        <v>18.899999999999999</v>
      </c>
      <c r="V4" s="4">
        <v>1.5</v>
      </c>
      <c r="W4" s="4">
        <v>4.3</v>
      </c>
      <c r="X4" s="4">
        <v>207.29</v>
      </c>
      <c r="Y4" s="7">
        <f t="shared" ca="1" si="4"/>
        <v>200.60999999999999</v>
      </c>
    </row>
    <row r="5" spans="1:37" ht="12.75" x14ac:dyDescent="0.2">
      <c r="A5" s="4">
        <v>4</v>
      </c>
      <c r="B5" s="39" t="s">
        <v>7228</v>
      </c>
      <c r="C5" s="4" t="s">
        <v>46</v>
      </c>
      <c r="D5" s="4" t="s">
        <v>47</v>
      </c>
      <c r="E5" s="5" t="str">
        <f t="shared" si="0"/>
        <v>https://www.screener.in/company/KTKBANK/consolidated/</v>
      </c>
      <c r="F5" s="4">
        <v>8956</v>
      </c>
      <c r="G5" s="4">
        <v>377249958</v>
      </c>
      <c r="H5" s="6">
        <f t="shared" ca="1" si="1"/>
        <v>6567.9217687799992</v>
      </c>
      <c r="I5" s="7" t="str">
        <f ca="1">IFERROR(__xludf.DUMMYFUNCTION("IMPORTXML(E11,""/html/body/main/div[3]/div[3]/div[2]/ul/li[5]/span[2]/span"")"),"Loading...")</f>
        <v>Loading...</v>
      </c>
      <c r="J5" s="6">
        <f ca="1">IFERROR(__xludf.DUMMYFUNCTION("GOOGLEFINANCE(""NSE:""&amp;D11,""marketcap"")/10000000"),6576.7600465)</f>
        <v>6576.7600464999996</v>
      </c>
      <c r="K5" s="7">
        <v>179.2</v>
      </c>
      <c r="L5" s="8">
        <f ca="1">IFERROR(__xludf.DUMMYFUNCTION("GOOGLEFINANCE(""NSE:""&amp;D11,""price"")"),174.1)</f>
        <v>174.1</v>
      </c>
      <c r="M5" s="9">
        <f t="shared" ca="1" si="2"/>
        <v>-5.0999999999999943</v>
      </c>
      <c r="N5" s="10">
        <f t="shared" ca="1" si="3"/>
        <v>-2.8459821428571401</v>
      </c>
      <c r="O5" s="7">
        <f ca="1">IFERROR(__xludf.DUMMYFUNCTION("GOOGLEFINANCE(""NSE:""&amp;D11,""pe"")"),5.66)</f>
        <v>5.66</v>
      </c>
      <c r="P5" s="7">
        <f ca="1">IFERROR(__xludf.DUMMYFUNCTION("GOOGLEFINANCE(""NSE:""&amp;D11,""EPS"")"),30.76)</f>
        <v>30.76</v>
      </c>
      <c r="Q5" s="7">
        <v>13.5</v>
      </c>
      <c r="R5" s="7" t="str">
        <f ca="1">IFERROR(__xludf.DUMMYFUNCTION("IMPORTXML(E11,""/html/body/main/div[3]/div[3]/div[2]/ul/li[7]/span[2]/span"")"),"Loading...")</f>
        <v>Loading...</v>
      </c>
      <c r="S5" s="7" t="str">
        <f ca="1">IFERROR(__xludf.DUMMYFUNCTION("IMPORTXML(E11,""/html/body/main/div[3]/div[3]/div[2]/ul/li[8]/span[2]/span"")"),"Loading...")</f>
        <v>Loading...</v>
      </c>
      <c r="T5" s="4">
        <v>10.6</v>
      </c>
      <c r="U5" s="4">
        <v>2.9</v>
      </c>
      <c r="V5" s="4">
        <v>1.5</v>
      </c>
      <c r="W5" s="4">
        <v>1.5</v>
      </c>
      <c r="X5" s="4">
        <v>533.53</v>
      </c>
      <c r="Y5" s="7">
        <f t="shared" ca="1" si="4"/>
        <v>-359.42999999999995</v>
      </c>
      <c r="AB5" s="7"/>
      <c r="AC5" s="7"/>
      <c r="AD5" s="7"/>
      <c r="AE5" s="7"/>
      <c r="AF5" s="7"/>
      <c r="AG5" s="7"/>
    </row>
    <row r="6" spans="1:37" ht="12.75" x14ac:dyDescent="0.2">
      <c r="A6" s="4">
        <v>5</v>
      </c>
      <c r="B6" s="39" t="s">
        <v>7229</v>
      </c>
      <c r="C6" s="4" t="s">
        <v>36</v>
      </c>
      <c r="D6" s="4" t="s">
        <v>37</v>
      </c>
      <c r="E6" s="5" t="str">
        <f t="shared" si="0"/>
        <v>https://www.screener.in/company/M&amp;M/consolidated/</v>
      </c>
      <c r="F6" s="4">
        <v>152063</v>
      </c>
      <c r="G6" s="4">
        <v>1243528831</v>
      </c>
      <c r="H6" s="6">
        <f t="shared" ca="1" si="1"/>
        <v>443056.88719699002</v>
      </c>
      <c r="I6" s="7" t="str">
        <f ca="1">IFERROR(__xludf.DUMMYFUNCTION("IMPORTXML(E6,""/html/body/main/div[3]/div[3]/div[2]/ul/li[5]/span[2]/span"")"),"Loading...")</f>
        <v>Loading...</v>
      </c>
      <c r="J6" s="6">
        <f ca="1">IFERROR(__xludf.DUMMYFUNCTION("GOOGLEFINANCE(""NSE:""&amp;D6,""marketcap"")/10000000"),426973.2222087)</f>
        <v>426973.22220870003</v>
      </c>
      <c r="K6" s="7">
        <v>2637.9</v>
      </c>
      <c r="L6" s="8">
        <f ca="1">IFERROR(__xludf.DUMMYFUNCTION("GOOGLEFINANCE(""NSE:""&amp;D6,""price"")"),3562.9)</f>
        <v>3562.9</v>
      </c>
      <c r="M6" s="9">
        <f t="shared" ca="1" si="2"/>
        <v>925</v>
      </c>
      <c r="N6" s="10">
        <f t="shared" ca="1" si="3"/>
        <v>35.065772015618485</v>
      </c>
      <c r="O6" s="7">
        <f ca="1">IFERROR(__xludf.DUMMYFUNCTION("GOOGLEFINANCE(""NSE:""&amp;D6,""pe"")"),29.06)</f>
        <v>29.06</v>
      </c>
      <c r="P6" s="7">
        <f ca="1">IFERROR(__xludf.DUMMYFUNCTION("GOOGLEFINANCE(""NSE:""&amp;D6,""EPS"")"),122.59)</f>
        <v>122.59</v>
      </c>
      <c r="Q6" s="7">
        <v>13.5</v>
      </c>
      <c r="R6" s="7" t="str">
        <f ca="1">IFERROR(__xludf.DUMMYFUNCTION("IMPORTXML(E6,""/html/body/main/div[3]/div[3]/div[2]/ul/li[7]/span[2]/span"")"),"Loading...")</f>
        <v>Loading...</v>
      </c>
      <c r="S6" s="7" t="str">
        <f ca="1">IFERROR(__xludf.DUMMYFUNCTION("IMPORTXML(E6,""/html/body/main/div[3]/div[3]/div[2]/ul/li[8]/span[2]/span"")"),"Loading...")</f>
        <v>Loading...</v>
      </c>
      <c r="T6" s="4">
        <v>34.6</v>
      </c>
      <c r="U6" s="4">
        <v>22.7</v>
      </c>
      <c r="V6" s="4">
        <v>2.6</v>
      </c>
      <c r="W6" s="4">
        <v>5.7</v>
      </c>
      <c r="X6" s="4">
        <v>1552.42</v>
      </c>
      <c r="Y6" s="7">
        <f t="shared" ca="1" si="4"/>
        <v>2010.48</v>
      </c>
    </row>
    <row r="7" spans="1:37" ht="12.75" x14ac:dyDescent="0.2">
      <c r="A7" s="4">
        <v>6</v>
      </c>
      <c r="B7" s="39" t="s">
        <v>7230</v>
      </c>
      <c r="C7" s="4" t="s">
        <v>42</v>
      </c>
      <c r="D7" s="4" t="s">
        <v>43</v>
      </c>
      <c r="E7" s="5" t="str">
        <f t="shared" si="0"/>
        <v>https://www.screener.in/company/MANAPPURAM/consolidated/</v>
      </c>
      <c r="F7" s="4">
        <v>10041</v>
      </c>
      <c r="G7" s="4">
        <v>846434729</v>
      </c>
      <c r="H7" s="6">
        <f t="shared" ca="1" si="1"/>
        <v>24199.568902109997</v>
      </c>
      <c r="I7" s="7" t="str">
        <f ca="1">IFERROR(__xludf.DUMMYFUNCTION("IMPORTXML(E9,""/html/body/main/div[3]/div[3]/div[2]/ul/li[5]/span[2]/span"")"),"Loading...")</f>
        <v>Loading...</v>
      </c>
      <c r="J7" s="6">
        <f ca="1">IFERROR(__xludf.DUMMYFUNCTION("GOOGLEFINANCE(""NSE:""&amp;D9,""marketcap"")/10000000"),24199.5675563)</f>
        <v>24199.5675563</v>
      </c>
      <c r="K7" s="7">
        <v>232.13</v>
      </c>
      <c r="L7" s="8">
        <f ca="1">IFERROR(__xludf.DUMMYFUNCTION("GOOGLEFINANCE(""NSE:""&amp;D9,""price"")"),285.9)</f>
        <v>285.89999999999998</v>
      </c>
      <c r="M7" s="9">
        <f t="shared" ca="1" si="2"/>
        <v>53.769999999999982</v>
      </c>
      <c r="N7" s="10">
        <f t="shared" ca="1" si="3"/>
        <v>23.16374445353896</v>
      </c>
      <c r="O7" s="7">
        <f ca="1">IFERROR(__xludf.DUMMYFUNCTION("GOOGLEFINANCE(""NSE:""&amp;D9,""pe"")"),30.58)</f>
        <v>30.58</v>
      </c>
      <c r="P7" s="7">
        <f ca="1">IFERROR(__xludf.DUMMYFUNCTION("GOOGLEFINANCE(""NSE:""&amp;D9,""EPS"")"),9.35)</f>
        <v>9.35</v>
      </c>
      <c r="Q7" s="7">
        <v>13.5</v>
      </c>
      <c r="R7" s="7" t="str">
        <f ca="1">IFERROR(__xludf.DUMMYFUNCTION("IMPORTXML(E9,""/html/body/main/div[3]/div[3]/div[2]/ul/li[7]/span[2]/span"")"),"Loading...")</f>
        <v>Loading...</v>
      </c>
      <c r="S7" s="7" t="str">
        <f ca="1">IFERROR(__xludf.DUMMYFUNCTION("IMPORTXML(E9,""/html/body/main/div[3]/div[3]/div[2]/ul/li[8]/span[2]/span"")"),"Loading...")</f>
        <v>Loading...</v>
      </c>
      <c r="T7" s="4">
        <v>10.6</v>
      </c>
      <c r="U7" s="4">
        <v>2.9</v>
      </c>
      <c r="V7" s="4">
        <v>1.5</v>
      </c>
      <c r="W7" s="4">
        <v>1.5</v>
      </c>
      <c r="X7" s="4">
        <v>316.11</v>
      </c>
      <c r="Y7" s="7">
        <f t="shared" ca="1" si="4"/>
        <v>-30.210000000000036</v>
      </c>
    </row>
    <row r="8" spans="1:37" ht="12.75" x14ac:dyDescent="0.2">
      <c r="A8" s="4">
        <v>7</v>
      </c>
      <c r="B8" s="39" t="s">
        <v>7231</v>
      </c>
      <c r="C8" s="4" t="s">
        <v>48</v>
      </c>
      <c r="D8" s="4" t="s">
        <v>49</v>
      </c>
      <c r="E8" s="5" t="str">
        <f t="shared" si="0"/>
        <v>https://www.screener.in/company/NATCOPHARM/consolidated/</v>
      </c>
      <c r="F8" s="4">
        <v>4277</v>
      </c>
      <c r="G8" s="4">
        <v>358219740</v>
      </c>
      <c r="H8" s="6">
        <f t="shared" ca="1" si="1"/>
        <v>30545.397229800001</v>
      </c>
      <c r="I8" s="7" t="str">
        <f ca="1">IFERROR(__xludf.DUMMYFUNCTION("IMPORTXML(E12,""/html/body/main/div[3]/div[3]/div[2]/ul/li[5]/span[2]/span"")"),"Loading...")</f>
        <v>Loading...</v>
      </c>
      <c r="J8" s="6">
        <f ca="1">IFERROR(__xludf.DUMMYFUNCTION("GOOGLEFINANCE(""NSE:""&amp;D12,""marketcap"")/10000000"),15287.2540274)</f>
        <v>15287.2540274</v>
      </c>
      <c r="K8" s="7">
        <v>806.55</v>
      </c>
      <c r="L8" s="8">
        <f ca="1">IFERROR(__xludf.DUMMYFUNCTION("GOOGLEFINANCE(""NSE:""&amp;D12,""price"")"),852.7)</f>
        <v>852.7</v>
      </c>
      <c r="M8" s="9">
        <f t="shared" ca="1" si="2"/>
        <v>46.150000000000091</v>
      </c>
      <c r="N8" s="10">
        <f t="shared" ca="1" si="3"/>
        <v>5.7219019279648</v>
      </c>
      <c r="O8" s="7">
        <f ca="1">IFERROR(__xludf.DUMMYFUNCTION("GOOGLEFINANCE(""NSE:""&amp;D12,""pe"")"),9)</f>
        <v>9</v>
      </c>
      <c r="P8" s="7">
        <f ca="1">IFERROR(__xludf.DUMMYFUNCTION("GOOGLEFINANCE(""NSE:""&amp;D12,""EPS"")"),94.78)</f>
        <v>94.78</v>
      </c>
      <c r="Q8" s="7">
        <v>13.5</v>
      </c>
      <c r="R8" s="7" t="str">
        <f ca="1">IFERROR(__xludf.DUMMYFUNCTION("IMPORTXML(E12,""/html/body/main/div[3]/div[3]/div[2]/ul/li[7]/span[2]/span"")"),"Loading...")</f>
        <v>Loading...</v>
      </c>
      <c r="S8" s="7" t="str">
        <f ca="1">IFERROR(__xludf.DUMMYFUNCTION("IMPORTXML(E12,""/html/body/main/div[3]/div[3]/div[2]/ul/li[8]/span[2]/span"")"),"Loading...")</f>
        <v>Loading...</v>
      </c>
      <c r="T8" s="4">
        <v>34</v>
      </c>
      <c r="U8" s="4">
        <v>21.4</v>
      </c>
      <c r="V8" s="4">
        <v>4.0999999999999996</v>
      </c>
      <c r="W8" s="4">
        <v>4</v>
      </c>
      <c r="X8" s="4">
        <v>686.16</v>
      </c>
      <c r="Y8" s="7">
        <f t="shared" ca="1" si="4"/>
        <v>166.54000000000008</v>
      </c>
    </row>
    <row r="9" spans="1:37" ht="12.75" x14ac:dyDescent="0.2">
      <c r="A9" s="4">
        <v>8</v>
      </c>
      <c r="B9" s="39" t="s">
        <v>7232</v>
      </c>
      <c r="C9" s="4" t="s">
        <v>51</v>
      </c>
      <c r="D9" s="4" t="s">
        <v>52</v>
      </c>
      <c r="E9" s="5" t="str">
        <f t="shared" si="0"/>
        <v>https://www.screener.in/company/PGINVIT/consolidated/</v>
      </c>
      <c r="F9" s="4">
        <v>897</v>
      </c>
      <c r="H9" s="6">
        <f t="shared" si="1"/>
        <v>0</v>
      </c>
      <c r="I9" s="7" t="str">
        <f ca="1">IFERROR(__xludf.DUMMYFUNCTION("IMPORTXML(E13,""/html/body/main/div[3]/div[3]/div[2]/ul/li[5]/span[2]/span"")"),"Loading...")</f>
        <v>Loading...</v>
      </c>
      <c r="J9" s="6" t="str">
        <f ca="1">IFERROR(__xludf.DUMMYFUNCTION("GOOGLEFINANCE(""NSE:""&amp;D13,""marketcap"")"),"#N/A")</f>
        <v>#N/A</v>
      </c>
      <c r="K9" s="7">
        <v>78</v>
      </c>
      <c r="L9" s="8">
        <v>80.099999999999994</v>
      </c>
      <c r="M9" s="9">
        <f t="shared" si="2"/>
        <v>2.0999999999999943</v>
      </c>
      <c r="N9" s="10">
        <f t="shared" si="3"/>
        <v>2.692307692307685</v>
      </c>
      <c r="O9" s="7" t="str">
        <f ca="1">IFERROR(__xludf.DUMMYFUNCTION("GOOGLEFINANCE(""NSE:""&amp;D13,""pe"")"),"#N/A")</f>
        <v>#N/A</v>
      </c>
      <c r="P9" s="7" t="str">
        <f ca="1">IFERROR(__xludf.DUMMYFUNCTION("GOOGLEFINANCE(""NSE:""&amp;D13,""EPS"")"),"#N/A")</f>
        <v>#N/A</v>
      </c>
      <c r="Q9" s="7">
        <v>13.5</v>
      </c>
      <c r="R9" s="7" t="str">
        <f ca="1">IFERROR(__xludf.DUMMYFUNCTION("IMPORTXML(E13,""/html/body/main/div[3]/div[3]/div[2]/ul/li[7]/span[2]/span"")"),"Loading...")</f>
        <v>Loading...</v>
      </c>
      <c r="S9" s="7" t="str">
        <f ca="1">IFERROR(__xludf.DUMMYFUNCTION("IMPORTXML(E13,""/html/body/main/div[3]/div[3]/div[2]/ul/li[8]/span[2]/span"")"),"Loading...")</f>
        <v>Loading...</v>
      </c>
      <c r="T9" s="4" t="s">
        <v>50</v>
      </c>
      <c r="U9" s="4" t="s">
        <v>50</v>
      </c>
      <c r="V9" s="4" t="s">
        <v>50</v>
      </c>
      <c r="W9" s="4" t="s">
        <v>50</v>
      </c>
      <c r="X9" s="4">
        <v>191.86</v>
      </c>
      <c r="Y9" s="7">
        <f t="shared" si="4"/>
        <v>-111.76000000000002</v>
      </c>
    </row>
    <row r="10" spans="1:37" ht="12.75" x14ac:dyDescent="0.2">
      <c r="A10" s="4">
        <v>9</v>
      </c>
      <c r="B10" s="39" t="s">
        <v>7228</v>
      </c>
      <c r="C10" s="4" t="s">
        <v>44</v>
      </c>
      <c r="D10" s="4" t="s">
        <v>45</v>
      </c>
      <c r="E10" s="5" t="str">
        <f t="shared" si="0"/>
        <v>https://www.screener.in/company/SOUTHBANK/consolidated/</v>
      </c>
      <c r="F10" s="4">
        <v>9315</v>
      </c>
      <c r="H10" s="6">
        <f t="shared" ca="1" si="1"/>
        <v>0</v>
      </c>
      <c r="I10" s="7" t="str">
        <f ca="1">IFERROR(__xludf.DUMMYFUNCTION("IMPORTXML(E10,""/html/body/main/div[3]/div[3]/div[2]/ul/li[5]/span[2]/span"")"),"Loading...")</f>
        <v>Loading...</v>
      </c>
      <c r="J10" s="6">
        <f ca="1">IFERROR(__xludf.DUMMYFUNCTION("GOOGLEFINANCE(""NSE:""&amp;D10,""marketcap"")/10000000"),7480.974424)</f>
        <v>7480.974424</v>
      </c>
      <c r="K10" s="7">
        <v>23.63</v>
      </c>
      <c r="L10" s="8">
        <f ca="1">IFERROR(__xludf.DUMMYFUNCTION("GOOGLEFINANCE(""NSE:""&amp;D10,""price"")"),28.63)</f>
        <v>28.63</v>
      </c>
      <c r="M10" s="9">
        <f t="shared" ca="1" si="2"/>
        <v>5</v>
      </c>
      <c r="N10" s="10">
        <f t="shared" ca="1" si="3"/>
        <v>21.159542953872197</v>
      </c>
      <c r="O10" s="7">
        <f ca="1">IFERROR(__xludf.DUMMYFUNCTION("GOOGLEFINANCE(""NSE:""&amp;D10,""pe"")"),5.63)</f>
        <v>5.63</v>
      </c>
      <c r="P10" s="7">
        <f ca="1">IFERROR(__xludf.DUMMYFUNCTION("GOOGLEFINANCE(""NSE:""&amp;D10,""EPS"")"),5.09)</f>
        <v>5.09</v>
      </c>
      <c r="Q10" s="7">
        <v>13.5</v>
      </c>
      <c r="R10" s="7" t="str">
        <f ca="1">IFERROR(__xludf.DUMMYFUNCTION("IMPORTXML(E10,""/html/body/main/div[3]/div[3]/div[2]/ul/li[7]/span[2]/span"")"),"Loading...")</f>
        <v>Loading...</v>
      </c>
      <c r="S10" s="7" t="str">
        <f ca="1">IFERROR(__xludf.DUMMYFUNCTION("IMPORTXML(E10,""/html/body/main/div[3]/div[3]/div[2]/ul/li[8]/span[2]/span"")"),"Loading...")</f>
        <v>Loading...</v>
      </c>
      <c r="T10" s="4">
        <v>10.6</v>
      </c>
      <c r="U10" s="4">
        <v>2.9</v>
      </c>
      <c r="V10" s="4">
        <v>1.5</v>
      </c>
      <c r="W10" s="4">
        <v>1.5</v>
      </c>
      <c r="X10" s="4">
        <v>52.16</v>
      </c>
      <c r="Y10" s="7">
        <f t="shared" ca="1" si="4"/>
        <v>-23.529999999999998</v>
      </c>
    </row>
    <row r="11" spans="1:37" ht="12.75" x14ac:dyDescent="0.2">
      <c r="A11" s="4">
        <v>10</v>
      </c>
      <c r="B11" s="39" t="s">
        <v>7232</v>
      </c>
      <c r="C11" s="4" t="s">
        <v>40</v>
      </c>
      <c r="D11" s="4" t="s">
        <v>41</v>
      </c>
      <c r="E11" s="5" t="str">
        <f t="shared" si="0"/>
        <v>https://www.screener.in/company/POWERGRID/consolidated/</v>
      </c>
      <c r="F11" s="4">
        <v>45495</v>
      </c>
      <c r="H11" s="6">
        <f t="shared" ca="1" si="1"/>
        <v>0</v>
      </c>
      <c r="I11" s="7" t="str">
        <f ca="1">IFERROR(__xludf.DUMMYFUNCTION("IMPORTXML(E8,""/html/body/main/div[3]/div[3]/div[2]/ul/li[5]/span[2]/span"")"),"Loading...")</f>
        <v>Loading...</v>
      </c>
      <c r="J11" s="6">
        <f ca="1">IFERROR(__xludf.DUMMYFUNCTION("GOOGLEFINANCE(""NSE:""&amp;D8,""marketcap"")/10000000"),265348.6750652)</f>
        <v>265348.67506520002</v>
      </c>
      <c r="K11" s="7">
        <v>286.75</v>
      </c>
      <c r="L11" s="8">
        <f ca="1">IFERROR(__xludf.DUMMYFUNCTION("GOOGLEFINANCE(""NSE:""&amp;D8,""price"")"),285.5)</f>
        <v>285.5</v>
      </c>
      <c r="M11" s="9">
        <f t="shared" ca="1" si="2"/>
        <v>-1.25</v>
      </c>
      <c r="N11" s="10">
        <f t="shared" ca="1" si="3"/>
        <v>-0.4359197907585004</v>
      </c>
      <c r="O11" s="7">
        <f ca="1">IFERROR(__xludf.DUMMYFUNCTION("GOOGLEFINANCE(""NSE:""&amp;D8,""pe"")"),17.21)</f>
        <v>17.21</v>
      </c>
      <c r="P11" s="7">
        <f ca="1">IFERROR(__xludf.DUMMYFUNCTION("GOOGLEFINANCE(""NSE:""&amp;D8,""EPS"")"),16.59)</f>
        <v>16.59</v>
      </c>
      <c r="Q11" s="7">
        <v>13.5</v>
      </c>
      <c r="R11" s="7" t="str">
        <f ca="1">IFERROR(__xludf.DUMMYFUNCTION("IMPORTXML(E8,""/html/body/main/div[3]/div[3]/div[2]/ul/li[7]/span[2]/span"")"),"Loading...")</f>
        <v>Loading...</v>
      </c>
      <c r="S11" s="7" t="str">
        <f ca="1">IFERROR(__xludf.DUMMYFUNCTION("IMPORTXML(E8,""/html/body/main/div[3]/div[3]/div[2]/ul/li[8]/span[2]/span"")"),"Loading...")</f>
        <v>Loading...</v>
      </c>
      <c r="T11" s="4">
        <v>8.8000000000000007</v>
      </c>
      <c r="U11" s="4">
        <v>5.5</v>
      </c>
      <c r="V11" s="4">
        <v>1.6</v>
      </c>
      <c r="W11" s="4">
        <v>1.9</v>
      </c>
      <c r="X11" s="4">
        <v>131.11000000000001</v>
      </c>
      <c r="Y11" s="7">
        <f t="shared" ca="1" si="4"/>
        <v>154.38999999999999</v>
      </c>
    </row>
    <row r="12" spans="1:37" ht="12.75" x14ac:dyDescent="0.2">
      <c r="A12" s="4">
        <v>11</v>
      </c>
      <c r="B12" s="39" t="s">
        <v>7229</v>
      </c>
      <c r="C12" s="4" t="s">
        <v>28</v>
      </c>
      <c r="D12" s="4" t="s">
        <v>29</v>
      </c>
      <c r="E12" s="5" t="str">
        <f t="shared" si="0"/>
        <v>https://www.screener.in/company/TATAMOTORS/consolidated/</v>
      </c>
      <c r="F12" s="4">
        <v>443059</v>
      </c>
      <c r="G12" s="4">
        <v>3832241897</v>
      </c>
      <c r="H12" s="6">
        <f t="shared" ca="1" si="1"/>
        <v>265765.97555695003</v>
      </c>
      <c r="I12" s="7" t="str">
        <f ca="1">IFERROR(__xludf.DUMMYFUNCTION("IMPORTXML(E2,""/html/body/main/div[3]/div[3]/div[2]/ul/li[5]/span[2]/span"")"),"Loading...")</f>
        <v>Loading...</v>
      </c>
      <c r="J12" s="6">
        <f ca="1">IFERROR(__xludf.DUMMYFUNCTION("GOOGLEFINANCE(""NSE:""&amp;D2,""marketcap"")/10000000"),254719.5816564)</f>
        <v>254719.5816564</v>
      </c>
      <c r="K12" s="8">
        <v>671.5</v>
      </c>
      <c r="L12" s="8">
        <f ca="1">IFERROR(__xludf.DUMMYFUNCTION("GOOGLEFINANCE(""NSE:""&amp;D2,""price"")"),693.5)</f>
        <v>693.5</v>
      </c>
      <c r="M12" s="9">
        <f t="shared" ca="1" si="2"/>
        <v>22</v>
      </c>
      <c r="N12" s="10">
        <f t="shared" ca="1" si="3"/>
        <v>3.2762472077438569</v>
      </c>
      <c r="O12" s="7">
        <f ca="1">IFERROR(__xludf.DUMMYFUNCTION("GOOGLEFINANCE(""NSE:""&amp;D2,""pe"")"),9.75)</f>
        <v>9.75</v>
      </c>
      <c r="P12" s="7">
        <f ca="1">IFERROR(__xludf.DUMMYFUNCTION("GOOGLEFINANCE(""NSE:""&amp;D2,""EPS"")"),71.14)</f>
        <v>71.14</v>
      </c>
      <c r="Q12" s="7">
        <v>13.5</v>
      </c>
      <c r="R12" s="7" t="str">
        <f ca="1">IFERROR(__xludf.DUMMYFUNCTION("IMPORTXML(E2,""/html/body/main/div[3]/div[3]/div[2]/ul/li[7]/span[2]/span"")"),"Loading...")</f>
        <v>Loading...</v>
      </c>
      <c r="S12" s="7" t="str">
        <f ca="1">IFERROR(__xludf.DUMMYFUNCTION("IMPORTXML(E2,""/html/body/main/div[3]/div[3]/div[2]/ul/li[8]/span[2]/span"")"),"Loading...")</f>
        <v>Loading...</v>
      </c>
      <c r="T12" s="4">
        <v>34.6</v>
      </c>
      <c r="U12" s="4">
        <v>22.7</v>
      </c>
      <c r="V12" s="4">
        <v>2.6</v>
      </c>
      <c r="W12" s="4">
        <v>5.7</v>
      </c>
      <c r="X12" s="4">
        <v>519.92999999999995</v>
      </c>
      <c r="Y12" s="7">
        <f t="shared" ca="1" si="4"/>
        <v>173.57000000000005</v>
      </c>
    </row>
    <row r="13" spans="1:37" ht="12.75" x14ac:dyDescent="0.2">
      <c r="A13" s="4">
        <v>12</v>
      </c>
      <c r="B13" s="39" t="s">
        <v>7233</v>
      </c>
      <c r="C13" s="4" t="s">
        <v>32</v>
      </c>
      <c r="D13" s="4" t="s">
        <v>33</v>
      </c>
      <c r="E13" s="5" t="str">
        <f t="shared" si="0"/>
        <v>https://www.screener.in/company/TATASTEEL/consolidated/</v>
      </c>
      <c r="F13" s="4">
        <v>221012</v>
      </c>
      <c r="H13" s="6">
        <f t="shared" ca="1" si="1"/>
        <v>0</v>
      </c>
      <c r="I13" s="7" t="str">
        <f ca="1">IFERROR(__xludf.DUMMYFUNCTION("IMPORTXML(E4,""/html/body/main/div[3]/div[3]/div[2]/ul/li[5]/span[2]/span"")"),"Loading...")</f>
        <v>Loading...</v>
      </c>
      <c r="J13" s="6">
        <f ca="1">IFERROR(__xludf.DUMMYFUNCTION("GOOGLEFINANCE(""NSE:""&amp;D4,""marketcap"")/10000000"),209286.3728306)</f>
        <v>209286.37283060001</v>
      </c>
      <c r="K13" s="7">
        <v>153.12</v>
      </c>
      <c r="L13" s="8">
        <f ca="1">IFERROR(__xludf.DUMMYFUNCTION("GOOGLEFINANCE(""NSE:""&amp;D4,""price"")"),167.8)</f>
        <v>167.8</v>
      </c>
      <c r="M13" s="9">
        <f t="shared" ca="1" si="2"/>
        <v>14.680000000000007</v>
      </c>
      <c r="N13" s="10">
        <f t="shared" ca="1" si="3"/>
        <v>9.5872518286311443</v>
      </c>
      <c r="O13" s="7">
        <f ca="1">IFERROR(__xludf.DUMMYFUNCTION("GOOGLEFINANCE(""NSE:""&amp;D4,""pe"")"),46.07)</f>
        <v>46.07</v>
      </c>
      <c r="P13" s="7">
        <f ca="1">IFERROR(__xludf.DUMMYFUNCTION("GOOGLEFINANCE(""NSE:""&amp;D4,""EPS"")"),3.64)</f>
        <v>3.64</v>
      </c>
      <c r="Q13" s="7">
        <v>13.5</v>
      </c>
      <c r="R13" s="7" t="str">
        <f ca="1">IFERROR(__xludf.DUMMYFUNCTION("IMPORTXML(E4,""/html/body/main/div[3]/div[3]/div[2]/ul/li[7]/span[2]/span"")"),"Loading...")</f>
        <v>Loading...</v>
      </c>
      <c r="S13" s="7" t="str">
        <f ca="1">IFERROR(__xludf.DUMMYFUNCTION("IMPORTXML(E4,""/html/body/main/div[3]/div[3]/div[2]/ul/li[8]/span[2]/span"")"),"Loading...")</f>
        <v>Loading...</v>
      </c>
      <c r="T13" s="4">
        <v>21.3</v>
      </c>
      <c r="U13" s="4">
        <v>11.9</v>
      </c>
      <c r="V13" s="4">
        <v>1.7</v>
      </c>
      <c r="W13" s="4">
        <v>2.9</v>
      </c>
      <c r="X13" s="4">
        <v>97.37</v>
      </c>
      <c r="Y13" s="7">
        <f t="shared" ca="1" si="4"/>
        <v>70.430000000000007</v>
      </c>
    </row>
    <row r="14" spans="1:37" ht="15.75" customHeight="1" x14ac:dyDescent="0.25">
      <c r="A14" s="4">
        <v>13</v>
      </c>
      <c r="B14" s="39" t="s">
        <v>7234</v>
      </c>
      <c r="C14" s="12" t="s">
        <v>53</v>
      </c>
      <c r="D14" s="12" t="s">
        <v>54</v>
      </c>
      <c r="E14" s="13" t="str">
        <f t="shared" si="0"/>
        <v>https://www.screener.in/company/HEROMOTOCO/consolidated/</v>
      </c>
      <c r="H14" s="14">
        <f t="shared" ca="1" si="1"/>
        <v>0</v>
      </c>
      <c r="I14" s="15" t="str">
        <f ca="1">IFERROR(__xludf.DUMMYFUNCTION("IMPORTXML(E14,""/html/body/main/div[3]/div[3]/div[2]/ul/li[5]/span[2]/span"")"),"Loading...")</f>
        <v>Loading...</v>
      </c>
      <c r="J14" s="14">
        <f ca="1">IFERROR(__xludf.DUMMYFUNCTION("GOOGLEFINANCE(""NSE:""&amp;D14,""marketcap"")/10000000"),107302.1457876)</f>
        <v>107302.14578760001</v>
      </c>
      <c r="K14" s="7">
        <v>3762</v>
      </c>
      <c r="L14" s="16">
        <f ca="1">IFERROR(__xludf.DUMMYFUNCTION("GOOGLEFINANCE(""NSE:""&amp;D14,""price"")"),5370)</f>
        <v>5370</v>
      </c>
      <c r="M14" s="17">
        <f t="shared" ca="1" si="2"/>
        <v>1608</v>
      </c>
      <c r="N14" s="18">
        <f t="shared" ca="1" si="3"/>
        <v>42.743221690590111</v>
      </c>
      <c r="O14" s="15">
        <f ca="1">IFERROR(__xludf.DUMMYFUNCTION("GOOGLEFINANCE(""NSE:""&amp;D14,""pe"")"),21.35)</f>
        <v>21.35</v>
      </c>
      <c r="P14" s="15">
        <f ca="1">IFERROR(__xludf.DUMMYFUNCTION("GOOGLEFINANCE(""NSE:""&amp;D14,""EPS"")"),251.57)</f>
        <v>251.57</v>
      </c>
      <c r="Q14" s="15">
        <v>13.5</v>
      </c>
      <c r="R14" s="15" t="str">
        <f ca="1">IFERROR(__xludf.DUMMYFUNCTION("IMPORTXML(E14,""/html/body/main/div[3]/div[3]/div[2]/ul/li[7]/span[2]/span"")"),"Loading...")</f>
        <v>Loading...</v>
      </c>
      <c r="S14" s="15" t="str">
        <f ca="1">IFERROR(__xludf.DUMMYFUNCTION("IMPORTXML(E14,""/html/body/main/div[3]/div[3]/div[2]/ul/li[8]/span[2]/span"")"),"Loading...")</f>
        <v>Loading...</v>
      </c>
      <c r="T14" s="15"/>
      <c r="U14" s="15"/>
      <c r="V14" s="15"/>
      <c r="W14" s="15"/>
      <c r="X14" s="15"/>
      <c r="Y14" s="15"/>
      <c r="Z14" s="7"/>
      <c r="AA14" s="7"/>
      <c r="AB14" s="7"/>
    </row>
    <row r="15" spans="1:37" ht="12.75" x14ac:dyDescent="0.2">
      <c r="A15" s="4">
        <v>14</v>
      </c>
      <c r="B15" s="39" t="s">
        <v>7235</v>
      </c>
      <c r="C15" s="4" t="s">
        <v>55</v>
      </c>
      <c r="D15" s="4" t="s">
        <v>56</v>
      </c>
      <c r="E15" s="19" t="s">
        <v>57</v>
      </c>
      <c r="F15" s="4"/>
      <c r="H15" s="20"/>
      <c r="I15" s="15" t="str">
        <f ca="1">IFERROR(__xludf.DUMMYFUNCTION("IMPORTXML(E15,""/html/body/main/div[3]/div[3]/div[2]/ul/li[5]/span[2]/span"")"),"Loading...")</f>
        <v>Loading...</v>
      </c>
      <c r="J15" s="14"/>
      <c r="K15" s="7">
        <v>234.76</v>
      </c>
      <c r="L15" s="16">
        <f ca="1">IFERROR(__xludf.DUMMYFUNCTION("GOOGLEFINANCE(""NSE:""&amp;D15,""price"")"),269.5)</f>
        <v>269.5</v>
      </c>
      <c r="M15" s="17">
        <f t="shared" ca="1" si="2"/>
        <v>34.740000000000009</v>
      </c>
      <c r="N15" s="18">
        <f t="shared" ca="1" si="3"/>
        <v>14.79809166808656</v>
      </c>
      <c r="O15" s="15">
        <f ca="1">IFERROR(__xludf.DUMMYFUNCTION("GOOGLEFINANCE(""NSE:""&amp;D15,""pe"")"),24.7)</f>
        <v>24.7</v>
      </c>
      <c r="P15" s="15">
        <f ca="1">IFERROR(__xludf.DUMMYFUNCTION("GOOGLEFINANCE(""NSE:""&amp;D15,""EPS"")"),10.91)</f>
        <v>10.91</v>
      </c>
      <c r="Q15" s="15">
        <v>13.5</v>
      </c>
      <c r="R15" s="15" t="str">
        <f ca="1">IFERROR(__xludf.DUMMYFUNCTION("IMPORTXML(E15,""/html/body/main/div[3]/div[3]/div[2]/ul/li[7]/span[2]/span"")"),"Loading...")</f>
        <v>Loading...</v>
      </c>
      <c r="S15" s="15">
        <f ca="1">IFERROR(__xludf.DUMMYFUNCTION("IMPORTXML(E15,""/html/body/main/div[3]/div[3]/div[2]/ul/li[8]/span[2]/span"")"),2.33)</f>
        <v>2.33</v>
      </c>
      <c r="T15" s="15"/>
      <c r="U15" s="15"/>
      <c r="V15" s="15"/>
      <c r="W15" s="15"/>
      <c r="X15" s="15"/>
      <c r="Y15" s="15"/>
      <c r="Z15" s="7"/>
      <c r="AA15" s="7"/>
      <c r="AB15" s="7"/>
    </row>
    <row r="16" spans="1:37" ht="12.75" x14ac:dyDescent="0.2">
      <c r="A16" s="4">
        <v>15</v>
      </c>
      <c r="B16" s="40" t="s">
        <v>7236</v>
      </c>
      <c r="C16" s="4" t="s">
        <v>58</v>
      </c>
      <c r="D16" s="4" t="s">
        <v>59</v>
      </c>
      <c r="E16" s="21" t="s">
        <v>60</v>
      </c>
      <c r="H16" s="20"/>
      <c r="I16" s="15" t="str">
        <f ca="1">IFERROR(__xludf.DUMMYFUNCTION("IMPORTXML(E16,""/html/body/main/div[3]/div[3]/div[2]/ul/li[5]/span[2]/span"")"),"Loading...")</f>
        <v>Loading...</v>
      </c>
      <c r="J16" s="14"/>
      <c r="K16" s="7">
        <v>234.76</v>
      </c>
      <c r="L16" s="16">
        <f ca="1">IFERROR(__xludf.DUMMYFUNCTION("GOOGLEFINANCE(""NSE:""&amp;D16,""price"")"),1088.1)</f>
        <v>1088.0999999999999</v>
      </c>
      <c r="M16" s="17">
        <f t="shared" ca="1" si="2"/>
        <v>853.33999999999992</v>
      </c>
      <c r="N16" s="18">
        <f t="shared" ca="1" si="3"/>
        <v>363.49463281649344</v>
      </c>
      <c r="O16" s="15">
        <f ca="1">IFERROR(__xludf.DUMMYFUNCTION("GOOGLEFINANCE(""NSE:""&amp;D16,""pe"")"),4.46)</f>
        <v>4.46</v>
      </c>
      <c r="P16" s="15">
        <f ca="1">IFERROR(__xludf.DUMMYFUNCTION("GOOGLEFINANCE(""NSE:""&amp;D16,""EPS"")"),243.82)</f>
        <v>243.82</v>
      </c>
      <c r="Q16" s="15">
        <v>13.5</v>
      </c>
      <c r="R16" s="15" t="str">
        <f ca="1">IFERROR(__xludf.DUMMYFUNCTION("IMPORTXML(E16,""/html/body/main/div[3]/div[3]/div[2]/ul/li[7]/span[2]/span"")"),"Loading...")</f>
        <v>Loading...</v>
      </c>
      <c r="S16" s="15" t="str">
        <f ca="1">IFERROR(__xludf.DUMMYFUNCTION("IMPORTXML(E16,""/html/body/main/div[3]/div[3]/div[2]/ul/li[8]/span[2]/span"")"),"Loading...")</f>
        <v>Loading...</v>
      </c>
      <c r="T16" s="15"/>
      <c r="U16" s="15"/>
      <c r="V16" s="15"/>
      <c r="W16" s="15"/>
      <c r="X16" s="15"/>
      <c r="Y16" s="15"/>
      <c r="Z16" s="7"/>
      <c r="AA16" s="7"/>
      <c r="AB16" s="7"/>
    </row>
    <row r="17" spans="1:14" ht="12.75" x14ac:dyDescent="0.2">
      <c r="A17" s="39">
        <v>16</v>
      </c>
      <c r="B17" s="4" t="s">
        <v>7226</v>
      </c>
      <c r="C17" s="39" t="s">
        <v>7237</v>
      </c>
      <c r="D17" s="39" t="s">
        <v>161</v>
      </c>
      <c r="H17" s="20"/>
      <c r="J17" s="20"/>
      <c r="M17" s="20"/>
      <c r="N17" s="20"/>
    </row>
    <row r="18" spans="1:14" ht="12.75" x14ac:dyDescent="0.2">
      <c r="A18" s="39">
        <v>17</v>
      </c>
      <c r="B18" s="4" t="s">
        <v>7226</v>
      </c>
      <c r="C18" s="39" t="s">
        <v>129</v>
      </c>
      <c r="D18" s="39" t="s">
        <v>130</v>
      </c>
      <c r="H18" s="20"/>
      <c r="J18" s="20"/>
      <c r="M18" s="20"/>
      <c r="N18" s="20"/>
    </row>
    <row r="19" spans="1:14" ht="12.75" x14ac:dyDescent="0.2">
      <c r="A19" s="39">
        <v>18</v>
      </c>
      <c r="B19" s="4" t="s">
        <v>7226</v>
      </c>
      <c r="C19" s="39" t="s">
        <v>7238</v>
      </c>
      <c r="D19" s="39" t="s">
        <v>346</v>
      </c>
      <c r="H19" s="20"/>
      <c r="J19" s="20"/>
      <c r="M19" s="20"/>
      <c r="N19" s="20"/>
    </row>
    <row r="20" spans="1:14" ht="12.75" x14ac:dyDescent="0.2">
      <c r="A20" s="39">
        <v>19</v>
      </c>
      <c r="B20" s="4" t="s">
        <v>7226</v>
      </c>
      <c r="C20" s="39" t="s">
        <v>7239</v>
      </c>
      <c r="D20" s="39" t="s">
        <v>400</v>
      </c>
      <c r="H20" s="20"/>
      <c r="J20" s="20"/>
      <c r="M20" s="20"/>
      <c r="N20" s="20"/>
    </row>
    <row r="21" spans="1:14" ht="12.75" x14ac:dyDescent="0.2">
      <c r="A21" s="39">
        <v>20</v>
      </c>
      <c r="B21" s="4" t="s">
        <v>7226</v>
      </c>
      <c r="C21" s="39" t="s">
        <v>3748</v>
      </c>
      <c r="D21" s="39" t="s">
        <v>3749</v>
      </c>
      <c r="H21" s="20"/>
      <c r="J21" s="20"/>
      <c r="M21" s="20"/>
      <c r="N21" s="20"/>
    </row>
    <row r="22" spans="1:14" ht="12.75" x14ac:dyDescent="0.2">
      <c r="A22" s="39">
        <v>21</v>
      </c>
      <c r="B22" s="38" t="s">
        <v>7278</v>
      </c>
      <c r="C22" s="38" t="s">
        <v>7241</v>
      </c>
      <c r="D22" s="38" t="s">
        <v>203</v>
      </c>
      <c r="H22" s="20"/>
      <c r="J22" s="20"/>
      <c r="M22" s="20"/>
      <c r="N22" s="20"/>
    </row>
    <row r="23" spans="1:14" ht="12.75" x14ac:dyDescent="0.2">
      <c r="A23" s="39">
        <v>22</v>
      </c>
      <c r="B23" s="38" t="s">
        <v>7279</v>
      </c>
      <c r="C23" s="38" t="s">
        <v>7242</v>
      </c>
      <c r="D23" s="38" t="s">
        <v>238</v>
      </c>
      <c r="H23" s="20"/>
      <c r="J23" s="20"/>
      <c r="M23" s="20"/>
      <c r="N23" s="20"/>
    </row>
    <row r="24" spans="1:14" ht="12.75" x14ac:dyDescent="0.2">
      <c r="A24" s="39">
        <v>23</v>
      </c>
      <c r="B24" s="38" t="s">
        <v>7279</v>
      </c>
      <c r="C24" s="38" t="s">
        <v>7243</v>
      </c>
      <c r="D24" s="38" t="s">
        <v>240</v>
      </c>
      <c r="H24" s="20"/>
      <c r="J24" s="20"/>
      <c r="M24" s="20"/>
      <c r="N24" s="20"/>
    </row>
    <row r="25" spans="1:14" ht="12.75" x14ac:dyDescent="0.2">
      <c r="A25" s="39">
        <v>24</v>
      </c>
      <c r="B25" s="38" t="s">
        <v>7279</v>
      </c>
      <c r="C25" s="38" t="s">
        <v>7244</v>
      </c>
      <c r="D25" s="38" t="s">
        <v>94</v>
      </c>
      <c r="H25" s="20"/>
      <c r="J25" s="20"/>
      <c r="M25" s="20"/>
      <c r="N25" s="20"/>
    </row>
    <row r="26" spans="1:14" ht="12.75" x14ac:dyDescent="0.2">
      <c r="A26" s="39">
        <v>25</v>
      </c>
      <c r="B26" s="38" t="s">
        <v>7280</v>
      </c>
      <c r="C26" s="38" t="s">
        <v>140</v>
      </c>
      <c r="D26" s="38" t="s">
        <v>141</v>
      </c>
      <c r="H26" s="20"/>
      <c r="J26" s="20"/>
      <c r="M26" s="20"/>
      <c r="N26" s="20"/>
    </row>
    <row r="27" spans="1:14" ht="12.75" x14ac:dyDescent="0.2">
      <c r="A27" s="39">
        <v>26</v>
      </c>
      <c r="B27" s="38" t="s">
        <v>7281</v>
      </c>
      <c r="C27" s="38" t="s">
        <v>7245</v>
      </c>
      <c r="D27" s="38" t="s">
        <v>230</v>
      </c>
      <c r="H27" s="20"/>
      <c r="J27" s="20"/>
      <c r="M27" s="20"/>
      <c r="N27" s="20"/>
    </row>
    <row r="28" spans="1:14" ht="12.75" x14ac:dyDescent="0.2">
      <c r="A28" s="39">
        <v>27</v>
      </c>
      <c r="B28" s="38" t="s">
        <v>7282</v>
      </c>
      <c r="C28" s="38" t="s">
        <v>7246</v>
      </c>
      <c r="D28" s="38" t="s">
        <v>103</v>
      </c>
      <c r="H28" s="20"/>
      <c r="J28" s="20"/>
      <c r="M28" s="20"/>
      <c r="N28" s="20"/>
    </row>
    <row r="29" spans="1:14" ht="12.75" x14ac:dyDescent="0.2">
      <c r="A29" s="39">
        <v>28</v>
      </c>
      <c r="B29" s="38" t="s">
        <v>7282</v>
      </c>
      <c r="C29" s="38" t="s">
        <v>7247</v>
      </c>
      <c r="D29" s="38" t="s">
        <v>181</v>
      </c>
      <c r="H29" s="20"/>
      <c r="J29" s="20"/>
      <c r="M29" s="20"/>
      <c r="N29" s="20"/>
    </row>
    <row r="30" spans="1:14" ht="12.75" x14ac:dyDescent="0.2">
      <c r="A30" s="39">
        <v>29</v>
      </c>
      <c r="B30" s="38" t="s">
        <v>7282</v>
      </c>
      <c r="C30" s="38" t="s">
        <v>7248</v>
      </c>
      <c r="D30" s="38" t="s">
        <v>80</v>
      </c>
      <c r="H30" s="20"/>
      <c r="J30" s="20"/>
      <c r="M30" s="20"/>
      <c r="N30" s="20"/>
    </row>
    <row r="31" spans="1:14" ht="12.75" x14ac:dyDescent="0.2">
      <c r="A31" s="39">
        <v>30</v>
      </c>
      <c r="B31" s="38" t="s">
        <v>7283</v>
      </c>
      <c r="C31" s="38" t="s">
        <v>7249</v>
      </c>
      <c r="D31" s="38" t="s">
        <v>74</v>
      </c>
      <c r="H31" s="20"/>
      <c r="J31" s="20"/>
      <c r="M31" s="20"/>
      <c r="N31" s="20"/>
    </row>
    <row r="32" spans="1:14" ht="12.75" x14ac:dyDescent="0.2">
      <c r="A32" s="39">
        <v>31</v>
      </c>
      <c r="B32" s="38" t="s">
        <v>7284</v>
      </c>
      <c r="C32" s="38" t="s">
        <v>7250</v>
      </c>
      <c r="D32" s="38" t="s">
        <v>165</v>
      </c>
      <c r="H32" s="20"/>
      <c r="J32" s="20"/>
      <c r="M32" s="20"/>
      <c r="N32" s="20"/>
    </row>
    <row r="33" spans="1:14" ht="12.75" x14ac:dyDescent="0.2">
      <c r="A33" s="39">
        <v>32</v>
      </c>
      <c r="B33" s="38" t="s">
        <v>7285</v>
      </c>
      <c r="C33" s="38" t="s">
        <v>192</v>
      </c>
      <c r="D33" s="38" t="s">
        <v>193</v>
      </c>
      <c r="H33" s="20"/>
      <c r="J33" s="20"/>
      <c r="M33" s="20"/>
      <c r="N33" s="20"/>
    </row>
    <row r="34" spans="1:14" ht="12.75" x14ac:dyDescent="0.2">
      <c r="A34" s="39">
        <v>33</v>
      </c>
      <c r="B34" s="38" t="s">
        <v>7278</v>
      </c>
      <c r="C34" s="38" t="s">
        <v>7251</v>
      </c>
      <c r="D34" s="38" t="s">
        <v>236</v>
      </c>
      <c r="H34" s="20"/>
      <c r="J34" s="20"/>
      <c r="M34" s="20"/>
      <c r="N34" s="20"/>
    </row>
    <row r="35" spans="1:14" ht="12.75" x14ac:dyDescent="0.2">
      <c r="A35" s="39">
        <v>34</v>
      </c>
      <c r="B35" s="38" t="s">
        <v>7282</v>
      </c>
      <c r="C35" s="38" t="s">
        <v>255</v>
      </c>
      <c r="D35" s="38" t="s">
        <v>256</v>
      </c>
      <c r="H35" s="20"/>
      <c r="J35" s="20"/>
      <c r="M35" s="20"/>
      <c r="N35" s="20"/>
    </row>
    <row r="36" spans="1:14" ht="12.75" x14ac:dyDescent="0.2">
      <c r="A36" s="39">
        <v>35</v>
      </c>
      <c r="B36" s="38" t="s">
        <v>7282</v>
      </c>
      <c r="C36" s="38" t="s">
        <v>7252</v>
      </c>
      <c r="D36" s="38" t="s">
        <v>149</v>
      </c>
      <c r="H36" s="20"/>
      <c r="J36" s="20"/>
      <c r="M36" s="20"/>
      <c r="N36" s="20"/>
    </row>
    <row r="37" spans="1:14" ht="12.75" x14ac:dyDescent="0.2">
      <c r="A37" s="39">
        <v>36</v>
      </c>
      <c r="B37" s="38" t="s">
        <v>7286</v>
      </c>
      <c r="C37" s="38" t="s">
        <v>7253</v>
      </c>
      <c r="D37" s="38" t="s">
        <v>173</v>
      </c>
      <c r="H37" s="20"/>
      <c r="J37" s="20"/>
      <c r="M37" s="20"/>
      <c r="N37" s="20"/>
    </row>
    <row r="38" spans="1:14" ht="12.75" x14ac:dyDescent="0.2">
      <c r="A38" s="39">
        <v>37</v>
      </c>
      <c r="B38" s="38" t="s">
        <v>7285</v>
      </c>
      <c r="C38" s="38" t="s">
        <v>188</v>
      </c>
      <c r="D38" s="38" t="s">
        <v>189</v>
      </c>
      <c r="H38" s="20"/>
      <c r="J38" s="20"/>
      <c r="M38" s="20"/>
      <c r="N38" s="20"/>
    </row>
    <row r="39" spans="1:14" ht="12.75" x14ac:dyDescent="0.2">
      <c r="A39" s="39">
        <v>38</v>
      </c>
      <c r="B39" s="38" t="s">
        <v>7287</v>
      </c>
      <c r="C39" s="38" t="s">
        <v>217</v>
      </c>
      <c r="D39" s="38" t="s">
        <v>218</v>
      </c>
      <c r="H39" s="20"/>
      <c r="J39" s="20"/>
      <c r="M39" s="20"/>
      <c r="N39" s="20"/>
    </row>
    <row r="40" spans="1:14" ht="12.75" x14ac:dyDescent="0.2">
      <c r="A40" s="39">
        <v>39</v>
      </c>
      <c r="B40" s="38" t="s">
        <v>7283</v>
      </c>
      <c r="C40" s="38" t="s">
        <v>7254</v>
      </c>
      <c r="D40" s="38" t="s">
        <v>78</v>
      </c>
      <c r="H40" s="20"/>
      <c r="J40" s="20"/>
      <c r="M40" s="20"/>
      <c r="N40" s="20"/>
    </row>
    <row r="41" spans="1:14" ht="12.75" x14ac:dyDescent="0.2">
      <c r="A41" s="39">
        <v>40</v>
      </c>
      <c r="B41" s="38" t="s">
        <v>7285</v>
      </c>
      <c r="C41" s="38" t="s">
        <v>245</v>
      </c>
      <c r="D41" s="38" t="s">
        <v>246</v>
      </c>
      <c r="H41" s="20"/>
      <c r="J41" s="20"/>
      <c r="M41" s="20"/>
      <c r="N41" s="20"/>
    </row>
    <row r="42" spans="1:14" ht="12.75" x14ac:dyDescent="0.2">
      <c r="A42" s="39">
        <v>41</v>
      </c>
      <c r="B42" s="38" t="s">
        <v>7288</v>
      </c>
      <c r="C42" s="38" t="s">
        <v>7255</v>
      </c>
      <c r="D42" s="38" t="s">
        <v>211</v>
      </c>
      <c r="H42" s="20"/>
      <c r="J42" s="20"/>
      <c r="M42" s="20"/>
      <c r="N42" s="20"/>
    </row>
    <row r="43" spans="1:14" ht="12.75" x14ac:dyDescent="0.2">
      <c r="A43" s="39">
        <v>42</v>
      </c>
      <c r="B43" s="38" t="s">
        <v>7278</v>
      </c>
      <c r="C43" s="38" t="s">
        <v>7256</v>
      </c>
      <c r="D43" s="38" t="s">
        <v>136</v>
      </c>
      <c r="H43" s="20"/>
      <c r="J43" s="20"/>
      <c r="M43" s="20"/>
      <c r="N43" s="20"/>
    </row>
    <row r="44" spans="1:14" ht="12.75" x14ac:dyDescent="0.2">
      <c r="A44" s="39">
        <v>43</v>
      </c>
      <c r="B44" s="38" t="s">
        <v>7284</v>
      </c>
      <c r="C44" s="38" t="s">
        <v>7257</v>
      </c>
      <c r="D44" s="38" t="s">
        <v>125</v>
      </c>
      <c r="H44" s="20"/>
      <c r="J44" s="20"/>
      <c r="M44" s="20"/>
      <c r="N44" s="20"/>
    </row>
    <row r="45" spans="1:14" ht="12.75" x14ac:dyDescent="0.2">
      <c r="A45" s="39">
        <v>44</v>
      </c>
      <c r="B45" s="38" t="s">
        <v>7282</v>
      </c>
      <c r="C45" s="38" t="s">
        <v>7258</v>
      </c>
      <c r="D45" s="38" t="s">
        <v>366</v>
      </c>
      <c r="H45" s="20"/>
      <c r="J45" s="20"/>
      <c r="M45" s="20"/>
      <c r="N45" s="20"/>
    </row>
    <row r="46" spans="1:14" ht="12.75" x14ac:dyDescent="0.2">
      <c r="A46" s="39">
        <v>45</v>
      </c>
      <c r="B46" s="38" t="s">
        <v>7282</v>
      </c>
      <c r="C46" s="38" t="s">
        <v>7259</v>
      </c>
      <c r="D46" s="38" t="s">
        <v>224</v>
      </c>
      <c r="H46" s="20"/>
      <c r="J46" s="20"/>
      <c r="M46" s="20"/>
      <c r="N46" s="20"/>
    </row>
    <row r="47" spans="1:14" ht="12.75" x14ac:dyDescent="0.2">
      <c r="A47" s="39">
        <v>46</v>
      </c>
      <c r="B47" s="38" t="s">
        <v>7281</v>
      </c>
      <c r="C47" s="38" t="s">
        <v>7260</v>
      </c>
      <c r="D47" s="38" t="s">
        <v>448</v>
      </c>
      <c r="H47" s="20"/>
      <c r="J47" s="20"/>
      <c r="M47" s="20"/>
      <c r="N47" s="20"/>
    </row>
    <row r="48" spans="1:14" ht="12.75" x14ac:dyDescent="0.2">
      <c r="A48" s="39">
        <v>47</v>
      </c>
      <c r="B48" s="38" t="s">
        <v>7283</v>
      </c>
      <c r="C48" s="38" t="s">
        <v>98</v>
      </c>
      <c r="D48" s="38" t="s">
        <v>99</v>
      </c>
      <c r="H48" s="20"/>
      <c r="J48" s="20"/>
      <c r="M48" s="20"/>
      <c r="N48" s="20"/>
    </row>
    <row r="49" spans="1:14" ht="12.75" x14ac:dyDescent="0.2">
      <c r="A49" s="39">
        <v>48</v>
      </c>
      <c r="B49" s="38" t="s">
        <v>7282</v>
      </c>
      <c r="C49" s="38" t="s">
        <v>7261</v>
      </c>
      <c r="D49" s="38" t="s">
        <v>128</v>
      </c>
      <c r="H49" s="20"/>
      <c r="J49" s="20"/>
      <c r="M49" s="20"/>
      <c r="N49" s="20"/>
    </row>
    <row r="50" spans="1:14" ht="12.75" x14ac:dyDescent="0.2">
      <c r="A50" s="39">
        <v>49</v>
      </c>
      <c r="B50" s="38" t="s">
        <v>7281</v>
      </c>
      <c r="C50" s="38" t="s">
        <v>7262</v>
      </c>
      <c r="D50" s="38" t="s">
        <v>242</v>
      </c>
      <c r="H50" s="20"/>
      <c r="J50" s="20"/>
      <c r="M50" s="20"/>
      <c r="N50" s="20"/>
    </row>
    <row r="51" spans="1:14" ht="12.75" x14ac:dyDescent="0.2">
      <c r="A51" s="39">
        <v>50</v>
      </c>
      <c r="B51" s="38" t="s">
        <v>7289</v>
      </c>
      <c r="C51" s="38" t="s">
        <v>7263</v>
      </c>
      <c r="D51" s="38" t="s">
        <v>147</v>
      </c>
      <c r="H51" s="20"/>
      <c r="J51" s="20"/>
      <c r="M51" s="20"/>
      <c r="N51" s="20"/>
    </row>
    <row r="52" spans="1:14" ht="12.75" x14ac:dyDescent="0.2">
      <c r="A52" s="39">
        <v>51</v>
      </c>
      <c r="B52" s="38" t="s">
        <v>7279</v>
      </c>
      <c r="C52" s="38" t="s">
        <v>7264</v>
      </c>
      <c r="D52" s="38" t="s">
        <v>183</v>
      </c>
      <c r="H52" s="20"/>
      <c r="J52" s="20"/>
      <c r="M52" s="20"/>
      <c r="N52" s="20"/>
    </row>
    <row r="53" spans="1:14" ht="12.75" x14ac:dyDescent="0.2">
      <c r="A53" s="39">
        <v>52</v>
      </c>
      <c r="B53" s="38" t="s">
        <v>7290</v>
      </c>
      <c r="C53" s="38" t="s">
        <v>7265</v>
      </c>
      <c r="D53" s="38" t="s">
        <v>322</v>
      </c>
      <c r="H53" s="20"/>
      <c r="J53" s="20"/>
      <c r="M53" s="20"/>
      <c r="N53" s="20"/>
    </row>
    <row r="54" spans="1:14" ht="12.75" x14ac:dyDescent="0.2">
      <c r="A54" s="39">
        <v>53</v>
      </c>
      <c r="B54" s="38" t="s">
        <v>7291</v>
      </c>
      <c r="C54" s="38" t="s">
        <v>7266</v>
      </c>
      <c r="D54" s="38" t="s">
        <v>161</v>
      </c>
      <c r="H54" s="20"/>
      <c r="J54" s="20"/>
      <c r="M54" s="20"/>
      <c r="N54" s="20"/>
    </row>
    <row r="55" spans="1:14" ht="12.75" x14ac:dyDescent="0.2">
      <c r="A55" s="39">
        <v>54</v>
      </c>
      <c r="B55" s="38" t="s">
        <v>7282</v>
      </c>
      <c r="C55" s="38" t="s">
        <v>7240</v>
      </c>
      <c r="D55" s="38" t="s">
        <v>84</v>
      </c>
      <c r="H55" s="20"/>
      <c r="J55" s="20"/>
      <c r="M55" s="20"/>
      <c r="N55" s="20"/>
    </row>
    <row r="56" spans="1:14" ht="12.75" x14ac:dyDescent="0.2">
      <c r="A56" s="39">
        <v>55</v>
      </c>
      <c r="B56" s="38" t="s">
        <v>7286</v>
      </c>
      <c r="C56" s="38" t="s">
        <v>7267</v>
      </c>
      <c r="D56" s="38" t="s">
        <v>179</v>
      </c>
      <c r="H56" s="20"/>
      <c r="J56" s="20"/>
      <c r="M56" s="20"/>
      <c r="N56" s="20"/>
    </row>
    <row r="57" spans="1:14" ht="12.75" x14ac:dyDescent="0.2">
      <c r="A57" s="39">
        <v>56</v>
      </c>
      <c r="B57" s="38" t="s">
        <v>7292</v>
      </c>
      <c r="C57" s="38" t="s">
        <v>215</v>
      </c>
      <c r="D57" s="38" t="s">
        <v>216</v>
      </c>
      <c r="H57" s="20"/>
      <c r="J57" s="20"/>
      <c r="M57" s="20"/>
      <c r="N57" s="20"/>
    </row>
    <row r="58" spans="1:14" ht="12.75" x14ac:dyDescent="0.2">
      <c r="A58" s="39">
        <v>57</v>
      </c>
      <c r="B58" s="38" t="s">
        <v>7282</v>
      </c>
      <c r="C58" s="38" t="s">
        <v>7268</v>
      </c>
      <c r="D58" s="38" t="s">
        <v>64</v>
      </c>
      <c r="H58" s="20"/>
      <c r="J58" s="20"/>
      <c r="M58" s="20"/>
      <c r="N58" s="20"/>
    </row>
    <row r="59" spans="1:14" ht="12.75" x14ac:dyDescent="0.2">
      <c r="A59" s="39">
        <v>58</v>
      </c>
      <c r="B59" s="38" t="s">
        <v>7282</v>
      </c>
      <c r="C59" s="38" t="s">
        <v>67</v>
      </c>
      <c r="D59" s="38" t="s">
        <v>68</v>
      </c>
      <c r="H59" s="20"/>
      <c r="J59" s="20"/>
      <c r="M59" s="20"/>
      <c r="N59" s="20"/>
    </row>
    <row r="60" spans="1:14" ht="12.75" x14ac:dyDescent="0.2">
      <c r="A60" s="39">
        <v>59</v>
      </c>
      <c r="B60" s="38" t="s">
        <v>7282</v>
      </c>
      <c r="C60" s="38" t="s">
        <v>7269</v>
      </c>
      <c r="D60" s="38" t="s">
        <v>70</v>
      </c>
      <c r="H60" s="20"/>
      <c r="J60" s="20"/>
      <c r="M60" s="20"/>
      <c r="N60" s="20"/>
    </row>
    <row r="61" spans="1:14" ht="12.75" x14ac:dyDescent="0.2">
      <c r="A61" s="39">
        <v>60</v>
      </c>
      <c r="B61" s="38" t="s">
        <v>7284</v>
      </c>
      <c r="C61" s="38" t="s">
        <v>7270</v>
      </c>
      <c r="D61" s="38" t="s">
        <v>115</v>
      </c>
      <c r="H61" s="20"/>
      <c r="J61" s="20"/>
      <c r="M61" s="20"/>
      <c r="N61" s="20"/>
    </row>
    <row r="62" spans="1:14" ht="12.75" x14ac:dyDescent="0.2">
      <c r="A62" s="39">
        <v>61</v>
      </c>
      <c r="B62" s="38" t="s">
        <v>7280</v>
      </c>
      <c r="C62" s="38" t="s">
        <v>7271</v>
      </c>
      <c r="D62" s="38" t="s">
        <v>498</v>
      </c>
      <c r="H62" s="20"/>
      <c r="J62" s="20"/>
      <c r="M62" s="20"/>
      <c r="N62" s="20"/>
    </row>
    <row r="63" spans="1:14" ht="12.75" x14ac:dyDescent="0.2">
      <c r="A63" s="39">
        <v>62</v>
      </c>
      <c r="B63" s="38" t="s">
        <v>7278</v>
      </c>
      <c r="C63" s="38" t="s">
        <v>206</v>
      </c>
      <c r="D63" s="38" t="s">
        <v>207</v>
      </c>
      <c r="H63" s="20"/>
      <c r="J63" s="20"/>
      <c r="M63" s="20"/>
      <c r="N63" s="20"/>
    </row>
    <row r="64" spans="1:14" ht="12.75" x14ac:dyDescent="0.2">
      <c r="A64" s="39">
        <v>63</v>
      </c>
      <c r="B64" s="38" t="s">
        <v>7281</v>
      </c>
      <c r="C64" s="38" t="s">
        <v>7272</v>
      </c>
      <c r="D64" s="38" t="s">
        <v>248</v>
      </c>
      <c r="H64" s="20"/>
      <c r="J64" s="20"/>
      <c r="M64" s="20"/>
      <c r="N64" s="20"/>
    </row>
    <row r="65" spans="1:14" ht="12.75" x14ac:dyDescent="0.2">
      <c r="A65" s="39">
        <v>64</v>
      </c>
      <c r="B65" s="38" t="s">
        <v>7284</v>
      </c>
      <c r="C65" s="38" t="s">
        <v>198</v>
      </c>
      <c r="D65" s="38" t="s">
        <v>199</v>
      </c>
      <c r="H65" s="20"/>
      <c r="J65" s="20"/>
      <c r="M65" s="20"/>
      <c r="N65" s="20"/>
    </row>
    <row r="66" spans="1:14" ht="12.75" x14ac:dyDescent="0.2">
      <c r="A66" s="39">
        <v>65</v>
      </c>
      <c r="B66" s="38" t="s">
        <v>7279</v>
      </c>
      <c r="C66" s="38" t="s">
        <v>7273</v>
      </c>
      <c r="D66" s="38" t="s">
        <v>145</v>
      </c>
      <c r="H66" s="20"/>
      <c r="J66" s="20"/>
      <c r="M66" s="20"/>
      <c r="N66" s="20"/>
    </row>
    <row r="67" spans="1:14" ht="12.75" x14ac:dyDescent="0.2">
      <c r="A67" s="39">
        <v>66</v>
      </c>
      <c r="B67" s="38" t="s">
        <v>7287</v>
      </c>
      <c r="C67" s="38" t="s">
        <v>196</v>
      </c>
      <c r="D67" s="38" t="s">
        <v>197</v>
      </c>
      <c r="H67" s="20"/>
      <c r="J67" s="20"/>
      <c r="M67" s="20"/>
      <c r="N67" s="20"/>
    </row>
    <row r="68" spans="1:14" ht="12.75" x14ac:dyDescent="0.2">
      <c r="A68" s="39">
        <v>67</v>
      </c>
      <c r="B68" s="38" t="s">
        <v>7285</v>
      </c>
      <c r="C68" s="38" t="s">
        <v>7274</v>
      </c>
      <c r="D68" s="38" t="s">
        <v>252</v>
      </c>
      <c r="H68" s="20"/>
      <c r="J68" s="20"/>
      <c r="M68" s="20"/>
      <c r="N68" s="20"/>
    </row>
    <row r="69" spans="1:14" ht="12.75" x14ac:dyDescent="0.2">
      <c r="A69" s="39">
        <v>68</v>
      </c>
      <c r="B69" s="38" t="s">
        <v>7285</v>
      </c>
      <c r="C69" s="38" t="s">
        <v>7275</v>
      </c>
      <c r="D69" s="38" t="s">
        <v>205</v>
      </c>
      <c r="H69" s="20"/>
      <c r="J69" s="20"/>
      <c r="M69" s="20"/>
      <c r="N69" s="20"/>
    </row>
    <row r="70" spans="1:14" ht="12.75" x14ac:dyDescent="0.2">
      <c r="A70" s="39">
        <v>69</v>
      </c>
      <c r="B70" s="38" t="s">
        <v>7290</v>
      </c>
      <c r="C70" s="38" t="s">
        <v>7276</v>
      </c>
      <c r="D70" s="38" t="s">
        <v>90</v>
      </c>
      <c r="H70" s="20"/>
      <c r="J70" s="20"/>
      <c r="M70" s="20"/>
      <c r="N70" s="20"/>
    </row>
    <row r="71" spans="1:14" ht="12.75" x14ac:dyDescent="0.2">
      <c r="A71" s="39">
        <v>70</v>
      </c>
      <c r="B71" s="38" t="s">
        <v>7287</v>
      </c>
      <c r="C71" s="38" t="s">
        <v>7277</v>
      </c>
      <c r="D71" s="38" t="s">
        <v>113</v>
      </c>
      <c r="H71" s="20"/>
      <c r="J71" s="20"/>
      <c r="M71" s="20"/>
      <c r="N71" s="20"/>
    </row>
    <row r="72" spans="1:14" ht="12.75" x14ac:dyDescent="0.2">
      <c r="A72" s="39">
        <v>71</v>
      </c>
      <c r="B72" s="38" t="s">
        <v>7295</v>
      </c>
      <c r="C72" s="38" t="s">
        <v>7282</v>
      </c>
      <c r="D72" s="38" t="s">
        <v>308</v>
      </c>
      <c r="H72" s="20"/>
      <c r="J72" s="20"/>
      <c r="M72" s="20"/>
      <c r="N72" s="20"/>
    </row>
    <row r="73" spans="1:14" ht="12.75" x14ac:dyDescent="0.2">
      <c r="A73" s="39">
        <v>72</v>
      </c>
      <c r="B73" s="38" t="s">
        <v>7296</v>
      </c>
      <c r="C73" s="38" t="s">
        <v>7287</v>
      </c>
      <c r="D73" s="38" t="s">
        <v>330</v>
      </c>
      <c r="H73" s="20"/>
      <c r="J73" s="20"/>
      <c r="M73" s="20"/>
      <c r="N73" s="20"/>
    </row>
    <row r="74" spans="1:14" ht="12.75" x14ac:dyDescent="0.2">
      <c r="A74" s="39">
        <v>73</v>
      </c>
      <c r="B74" s="38" t="s">
        <v>317</v>
      </c>
      <c r="C74" s="38" t="s">
        <v>7278</v>
      </c>
      <c r="D74" s="38" t="s">
        <v>318</v>
      </c>
      <c r="H74" s="20"/>
      <c r="J74" s="20"/>
      <c r="M74" s="20"/>
      <c r="N74" s="20"/>
    </row>
    <row r="75" spans="1:14" ht="12.75" x14ac:dyDescent="0.2">
      <c r="A75" s="39">
        <v>74</v>
      </c>
      <c r="B75" s="38" t="s">
        <v>7297</v>
      </c>
      <c r="C75" s="38" t="s">
        <v>7278</v>
      </c>
      <c r="D75" s="38" t="s">
        <v>476</v>
      </c>
      <c r="H75" s="20"/>
      <c r="J75" s="20"/>
      <c r="M75" s="20"/>
      <c r="N75" s="20"/>
    </row>
    <row r="76" spans="1:14" ht="12.75" x14ac:dyDescent="0.2">
      <c r="A76" s="39">
        <v>75</v>
      </c>
      <c r="B76" s="38" t="s">
        <v>303</v>
      </c>
      <c r="C76" s="38" t="s">
        <v>7287</v>
      </c>
      <c r="D76" s="38" t="s">
        <v>304</v>
      </c>
      <c r="H76" s="20"/>
      <c r="J76" s="20"/>
      <c r="M76" s="20"/>
      <c r="N76" s="20"/>
    </row>
    <row r="77" spans="1:14" ht="12.75" x14ac:dyDescent="0.2">
      <c r="A77" s="39">
        <v>76</v>
      </c>
      <c r="B77" s="38" t="s">
        <v>453</v>
      </c>
      <c r="C77" s="38" t="s">
        <v>7282</v>
      </c>
      <c r="D77" s="38" t="s">
        <v>454</v>
      </c>
      <c r="H77" s="20"/>
      <c r="J77" s="20"/>
      <c r="M77" s="20"/>
      <c r="N77" s="20"/>
    </row>
    <row r="78" spans="1:14" ht="12.75" x14ac:dyDescent="0.2">
      <c r="A78" s="39">
        <v>77</v>
      </c>
      <c r="B78" s="38" t="s">
        <v>7298</v>
      </c>
      <c r="C78" s="38" t="s">
        <v>7284</v>
      </c>
      <c r="D78" s="38" t="s">
        <v>446</v>
      </c>
      <c r="H78" s="20"/>
      <c r="J78" s="20"/>
      <c r="M78" s="20"/>
      <c r="N78" s="20"/>
    </row>
    <row r="79" spans="1:14" ht="12.75" x14ac:dyDescent="0.2">
      <c r="A79" s="39">
        <v>78</v>
      </c>
      <c r="B79" s="38" t="s">
        <v>519</v>
      </c>
      <c r="C79" s="38" t="s">
        <v>7278</v>
      </c>
      <c r="D79" s="38" t="s">
        <v>520</v>
      </c>
      <c r="H79" s="20"/>
      <c r="J79" s="20"/>
      <c r="M79" s="20"/>
      <c r="N79" s="20"/>
    </row>
    <row r="80" spans="1:14" ht="12.75" x14ac:dyDescent="0.2">
      <c r="A80" s="39">
        <v>79</v>
      </c>
      <c r="B80" s="38" t="s">
        <v>7299</v>
      </c>
      <c r="C80" s="38" t="s">
        <v>7291</v>
      </c>
      <c r="D80" s="38" t="s">
        <v>466</v>
      </c>
      <c r="H80" s="20"/>
      <c r="J80" s="20"/>
      <c r="M80" s="20"/>
      <c r="N80" s="20"/>
    </row>
    <row r="81" spans="1:14" ht="12.75" x14ac:dyDescent="0.2">
      <c r="A81" s="39">
        <v>80</v>
      </c>
      <c r="B81" s="38" t="s">
        <v>7300</v>
      </c>
      <c r="C81" s="38" t="s">
        <v>7285</v>
      </c>
      <c r="D81" s="38" t="s">
        <v>410</v>
      </c>
      <c r="H81" s="20"/>
      <c r="J81" s="20"/>
      <c r="M81" s="20"/>
      <c r="N81" s="20"/>
    </row>
    <row r="82" spans="1:14" ht="12.75" x14ac:dyDescent="0.2">
      <c r="A82" s="39">
        <v>81</v>
      </c>
      <c r="B82" s="38" t="s">
        <v>7301</v>
      </c>
      <c r="C82" s="38" t="s">
        <v>7289</v>
      </c>
      <c r="D82" s="38" t="s">
        <v>354</v>
      </c>
      <c r="H82" s="20"/>
      <c r="J82" s="20"/>
      <c r="M82" s="20"/>
      <c r="N82" s="20"/>
    </row>
    <row r="83" spans="1:14" ht="12.75" x14ac:dyDescent="0.2">
      <c r="A83" s="39">
        <v>82</v>
      </c>
      <c r="B83" s="38" t="s">
        <v>168</v>
      </c>
      <c r="C83" s="38" t="s">
        <v>7278</v>
      </c>
      <c r="D83" s="38" t="s">
        <v>169</v>
      </c>
      <c r="H83" s="20"/>
      <c r="J83" s="20"/>
      <c r="M83" s="20"/>
      <c r="N83" s="20"/>
    </row>
    <row r="84" spans="1:14" ht="12.75" x14ac:dyDescent="0.2">
      <c r="A84" s="39">
        <v>83</v>
      </c>
      <c r="B84" s="38" t="s">
        <v>7302</v>
      </c>
      <c r="C84" s="38" t="s">
        <v>7288</v>
      </c>
      <c r="D84" s="38" t="s">
        <v>508</v>
      </c>
      <c r="H84" s="20"/>
      <c r="J84" s="20"/>
      <c r="M84" s="20"/>
      <c r="N84" s="20"/>
    </row>
    <row r="85" spans="1:14" ht="12.75" x14ac:dyDescent="0.2">
      <c r="A85" s="39">
        <v>84</v>
      </c>
      <c r="B85" s="38" t="s">
        <v>281</v>
      </c>
      <c r="C85" s="38" t="s">
        <v>7282</v>
      </c>
      <c r="D85" s="38" t="s">
        <v>282</v>
      </c>
      <c r="H85" s="20"/>
      <c r="J85" s="20"/>
      <c r="M85" s="20"/>
      <c r="N85" s="20"/>
    </row>
    <row r="86" spans="1:14" ht="12.75" x14ac:dyDescent="0.2">
      <c r="A86" s="39">
        <v>85</v>
      </c>
      <c r="B86" s="38" t="s">
        <v>7303</v>
      </c>
      <c r="C86" s="38" t="s">
        <v>7289</v>
      </c>
      <c r="D86" s="38" t="s">
        <v>532</v>
      </c>
      <c r="H86" s="20"/>
      <c r="J86" s="20"/>
      <c r="M86" s="20"/>
      <c r="N86" s="20"/>
    </row>
    <row r="87" spans="1:14" ht="12.75" x14ac:dyDescent="0.2">
      <c r="A87" s="39">
        <v>86</v>
      </c>
      <c r="B87" s="38" t="s">
        <v>7304</v>
      </c>
      <c r="C87" s="38" t="s">
        <v>7286</v>
      </c>
      <c r="D87" s="38" t="s">
        <v>382</v>
      </c>
      <c r="H87" s="20"/>
      <c r="J87" s="20"/>
      <c r="M87" s="20"/>
      <c r="N87" s="20"/>
    </row>
    <row r="88" spans="1:14" ht="12.75" x14ac:dyDescent="0.2">
      <c r="A88" s="39">
        <v>87</v>
      </c>
      <c r="B88" s="38" t="s">
        <v>7305</v>
      </c>
      <c r="C88" s="38" t="s">
        <v>7282</v>
      </c>
      <c r="D88" s="38" t="s">
        <v>372</v>
      </c>
      <c r="H88" s="20"/>
      <c r="J88" s="20"/>
      <c r="M88" s="20"/>
      <c r="N88" s="20"/>
    </row>
    <row r="89" spans="1:14" ht="12.75" x14ac:dyDescent="0.2">
      <c r="A89" s="39">
        <v>88</v>
      </c>
      <c r="B89" s="38" t="s">
        <v>7306</v>
      </c>
      <c r="C89" s="38" t="s">
        <v>7283</v>
      </c>
      <c r="D89" s="38" t="s">
        <v>290</v>
      </c>
      <c r="H89" s="20"/>
      <c r="J89" s="20"/>
      <c r="M89" s="20"/>
      <c r="N89" s="20"/>
    </row>
    <row r="90" spans="1:14" ht="12.75" x14ac:dyDescent="0.2">
      <c r="A90" s="39">
        <v>89</v>
      </c>
      <c r="B90" s="38" t="s">
        <v>7307</v>
      </c>
      <c r="C90" s="38" t="s">
        <v>7282</v>
      </c>
      <c r="D90" s="38" t="s">
        <v>314</v>
      </c>
      <c r="H90" s="20"/>
      <c r="J90" s="20"/>
      <c r="M90" s="20"/>
      <c r="N90" s="20"/>
    </row>
    <row r="91" spans="1:14" ht="12.75" x14ac:dyDescent="0.2">
      <c r="A91" s="39">
        <v>90</v>
      </c>
      <c r="B91" s="38" t="s">
        <v>7308</v>
      </c>
      <c r="C91" s="38" t="s">
        <v>7281</v>
      </c>
      <c r="D91" s="38" t="s">
        <v>404</v>
      </c>
      <c r="H91" s="20"/>
      <c r="J91" s="20"/>
      <c r="M91" s="20"/>
      <c r="N91" s="20"/>
    </row>
    <row r="92" spans="1:14" ht="12.75" x14ac:dyDescent="0.2">
      <c r="A92" s="39">
        <v>91</v>
      </c>
      <c r="B92" s="38" t="s">
        <v>7309</v>
      </c>
      <c r="C92" s="38" t="s">
        <v>7293</v>
      </c>
      <c r="D92" s="38" t="s">
        <v>96</v>
      </c>
      <c r="H92" s="20"/>
      <c r="J92" s="20"/>
      <c r="M92" s="20"/>
      <c r="N92" s="20"/>
    </row>
    <row r="93" spans="1:14" ht="12.75" x14ac:dyDescent="0.2">
      <c r="A93" s="39">
        <v>92</v>
      </c>
      <c r="B93" s="38" t="s">
        <v>7310</v>
      </c>
      <c r="C93" s="38" t="s">
        <v>7287</v>
      </c>
      <c r="D93" s="38" t="s">
        <v>360</v>
      </c>
      <c r="H93" s="20"/>
      <c r="J93" s="20"/>
      <c r="M93" s="20"/>
      <c r="N93" s="20"/>
    </row>
    <row r="94" spans="1:14" ht="12.75" x14ac:dyDescent="0.2">
      <c r="A94" s="39">
        <v>93</v>
      </c>
      <c r="B94" s="38" t="s">
        <v>7311</v>
      </c>
      <c r="C94" s="38" t="s">
        <v>7284</v>
      </c>
      <c r="D94" s="38" t="s">
        <v>328</v>
      </c>
      <c r="H94" s="20"/>
      <c r="J94" s="20"/>
      <c r="M94" s="20"/>
      <c r="N94" s="20"/>
    </row>
    <row r="95" spans="1:14" ht="12.75" x14ac:dyDescent="0.2">
      <c r="A95" s="39">
        <v>94</v>
      </c>
      <c r="B95" s="38" t="s">
        <v>7312</v>
      </c>
      <c r="C95" s="38" t="s">
        <v>7285</v>
      </c>
      <c r="D95" s="38" t="s">
        <v>420</v>
      </c>
      <c r="H95" s="20"/>
      <c r="J95" s="20"/>
      <c r="M95" s="20"/>
      <c r="N95" s="20"/>
    </row>
    <row r="96" spans="1:14" ht="12.75" x14ac:dyDescent="0.2">
      <c r="A96" s="39">
        <v>95</v>
      </c>
      <c r="B96" s="38" t="s">
        <v>7313</v>
      </c>
      <c r="C96" s="38" t="s">
        <v>7287</v>
      </c>
      <c r="D96" s="38" t="s">
        <v>504</v>
      </c>
      <c r="H96" s="20"/>
      <c r="J96" s="20"/>
      <c r="M96" s="20"/>
      <c r="N96" s="20"/>
    </row>
    <row r="97" spans="1:14" ht="12.75" x14ac:dyDescent="0.2">
      <c r="A97" s="39">
        <v>96</v>
      </c>
      <c r="B97" s="38" t="s">
        <v>7314</v>
      </c>
      <c r="C97" s="38" t="s">
        <v>7291</v>
      </c>
      <c r="D97" s="38" t="s">
        <v>334</v>
      </c>
      <c r="H97" s="20"/>
      <c r="J97" s="20"/>
      <c r="M97" s="20"/>
      <c r="N97" s="20"/>
    </row>
    <row r="98" spans="1:14" ht="12.75" x14ac:dyDescent="0.2">
      <c r="A98" s="39">
        <v>97</v>
      </c>
      <c r="B98" s="38" t="s">
        <v>7315</v>
      </c>
      <c r="C98" s="38" t="s">
        <v>7282</v>
      </c>
      <c r="D98" s="38" t="s">
        <v>302</v>
      </c>
      <c r="H98" s="20"/>
      <c r="J98" s="20"/>
      <c r="M98" s="20"/>
      <c r="N98" s="20"/>
    </row>
    <row r="99" spans="1:14" ht="12.75" x14ac:dyDescent="0.2">
      <c r="A99" s="39">
        <v>98</v>
      </c>
      <c r="B99" s="38" t="s">
        <v>7316</v>
      </c>
      <c r="C99" s="38" t="s">
        <v>7279</v>
      </c>
      <c r="D99" s="38" t="s">
        <v>344</v>
      </c>
      <c r="H99" s="20"/>
      <c r="J99" s="20"/>
      <c r="M99" s="20"/>
      <c r="N99" s="20"/>
    </row>
    <row r="100" spans="1:14" ht="12.75" x14ac:dyDescent="0.2">
      <c r="A100" s="39">
        <v>99</v>
      </c>
      <c r="B100" s="38" t="s">
        <v>7317</v>
      </c>
      <c r="C100" s="38" t="s">
        <v>7290</v>
      </c>
      <c r="D100" s="38" t="s">
        <v>274</v>
      </c>
      <c r="H100" s="20"/>
      <c r="J100" s="20"/>
      <c r="M100" s="20"/>
      <c r="N100" s="20"/>
    </row>
    <row r="101" spans="1:14" ht="12.75" x14ac:dyDescent="0.2">
      <c r="A101" s="39">
        <v>100</v>
      </c>
      <c r="B101" s="38" t="s">
        <v>7318</v>
      </c>
      <c r="C101" s="38" t="s">
        <v>7286</v>
      </c>
      <c r="D101" s="38" t="s">
        <v>316</v>
      </c>
      <c r="H101" s="20"/>
      <c r="J101" s="20"/>
      <c r="M101" s="20"/>
      <c r="N101" s="20"/>
    </row>
    <row r="102" spans="1:14" ht="12.75" x14ac:dyDescent="0.2">
      <c r="A102" s="39">
        <v>101</v>
      </c>
      <c r="B102" s="38" t="s">
        <v>7319</v>
      </c>
      <c r="C102" s="38" t="s">
        <v>7283</v>
      </c>
      <c r="D102" s="38" t="s">
        <v>270</v>
      </c>
      <c r="H102" s="20"/>
      <c r="J102" s="20"/>
      <c r="M102" s="20"/>
      <c r="N102" s="20"/>
    </row>
    <row r="103" spans="1:14" ht="12.75" x14ac:dyDescent="0.2">
      <c r="A103" s="39">
        <v>102</v>
      </c>
      <c r="B103" s="38" t="s">
        <v>7320</v>
      </c>
      <c r="C103" s="38" t="s">
        <v>7282</v>
      </c>
      <c r="D103" s="38" t="s">
        <v>543</v>
      </c>
      <c r="H103" s="20"/>
      <c r="J103" s="20"/>
      <c r="M103" s="20"/>
      <c r="N103" s="20"/>
    </row>
    <row r="104" spans="1:14" ht="12.75" x14ac:dyDescent="0.2">
      <c r="A104" s="39">
        <v>103</v>
      </c>
      <c r="B104" s="38" t="s">
        <v>7321</v>
      </c>
      <c r="C104" s="38" t="s">
        <v>7291</v>
      </c>
      <c r="D104" s="38" t="s">
        <v>346</v>
      </c>
      <c r="H104" s="20"/>
      <c r="J104" s="20"/>
      <c r="M104" s="20"/>
      <c r="N104" s="20"/>
    </row>
    <row r="105" spans="1:14" ht="12.75" x14ac:dyDescent="0.2">
      <c r="A105" s="39">
        <v>104</v>
      </c>
      <c r="B105" s="38" t="s">
        <v>7322</v>
      </c>
      <c r="C105" s="38" t="s">
        <v>7282</v>
      </c>
      <c r="D105" s="38" t="s">
        <v>528</v>
      </c>
      <c r="H105" s="20"/>
      <c r="J105" s="20"/>
      <c r="M105" s="20"/>
      <c r="N105" s="20"/>
    </row>
    <row r="106" spans="1:14" ht="12.75" x14ac:dyDescent="0.2">
      <c r="A106" s="39">
        <v>105</v>
      </c>
      <c r="B106" s="38" t="s">
        <v>7323</v>
      </c>
      <c r="C106" s="38" t="s">
        <v>7292</v>
      </c>
      <c r="D106" s="38" t="s">
        <v>348</v>
      </c>
      <c r="H106" s="20"/>
      <c r="J106" s="20"/>
      <c r="M106" s="20"/>
      <c r="N106" s="20"/>
    </row>
    <row r="107" spans="1:14" ht="12.75" x14ac:dyDescent="0.2">
      <c r="A107" s="39">
        <v>106</v>
      </c>
      <c r="B107" s="38" t="s">
        <v>471</v>
      </c>
      <c r="C107" s="38" t="s">
        <v>7294</v>
      </c>
      <c r="D107" s="38" t="s">
        <v>472</v>
      </c>
      <c r="H107" s="20"/>
      <c r="J107" s="20"/>
      <c r="M107" s="20"/>
      <c r="N107" s="20"/>
    </row>
    <row r="108" spans="1:14" ht="12.75" x14ac:dyDescent="0.2">
      <c r="A108" s="39">
        <v>107</v>
      </c>
      <c r="B108" s="38" t="s">
        <v>7324</v>
      </c>
      <c r="C108" s="38" t="s">
        <v>7291</v>
      </c>
      <c r="D108" s="38" t="s">
        <v>458</v>
      </c>
      <c r="H108" s="20"/>
      <c r="J108" s="20"/>
      <c r="M108" s="20"/>
      <c r="N108" s="20"/>
    </row>
    <row r="109" spans="1:14" ht="12.75" x14ac:dyDescent="0.2">
      <c r="A109" s="39">
        <v>108</v>
      </c>
      <c r="B109" s="38" t="s">
        <v>7325</v>
      </c>
      <c r="C109" s="38" t="s">
        <v>7283</v>
      </c>
      <c r="D109" s="38" t="s">
        <v>288</v>
      </c>
      <c r="H109" s="20"/>
      <c r="J109" s="20"/>
      <c r="M109" s="20"/>
      <c r="N109" s="20"/>
    </row>
    <row r="110" spans="1:14" ht="12.75" x14ac:dyDescent="0.2">
      <c r="A110" s="39">
        <v>109</v>
      </c>
      <c r="B110" s="38" t="s">
        <v>7326</v>
      </c>
      <c r="C110" s="38" t="s">
        <v>7286</v>
      </c>
      <c r="D110" s="38" t="s">
        <v>424</v>
      </c>
      <c r="H110" s="20"/>
      <c r="J110" s="20"/>
      <c r="M110" s="20"/>
      <c r="N110" s="20"/>
    </row>
    <row r="111" spans="1:14" ht="12.75" x14ac:dyDescent="0.2">
      <c r="A111" s="39">
        <v>110</v>
      </c>
      <c r="B111" s="38" t="s">
        <v>7327</v>
      </c>
      <c r="C111" s="38" t="s">
        <v>7278</v>
      </c>
      <c r="D111" s="38" t="s">
        <v>177</v>
      </c>
      <c r="H111" s="20"/>
      <c r="J111" s="20"/>
      <c r="M111" s="20"/>
      <c r="N111" s="20"/>
    </row>
    <row r="112" spans="1:14" ht="12.75" x14ac:dyDescent="0.2">
      <c r="A112" s="39">
        <v>111</v>
      </c>
      <c r="B112" s="38" t="s">
        <v>7328</v>
      </c>
      <c r="C112" s="38" t="s">
        <v>7286</v>
      </c>
      <c r="D112" s="38" t="s">
        <v>494</v>
      </c>
      <c r="H112" s="20"/>
      <c r="J112" s="20"/>
      <c r="M112" s="20"/>
      <c r="N112" s="20"/>
    </row>
    <row r="113" spans="1:14" ht="12.75" x14ac:dyDescent="0.2">
      <c r="A113" s="39">
        <v>112</v>
      </c>
      <c r="B113" s="38" t="s">
        <v>7329</v>
      </c>
      <c r="C113" s="38" t="s">
        <v>7282</v>
      </c>
      <c r="D113" s="38" t="s">
        <v>386</v>
      </c>
      <c r="H113" s="20"/>
      <c r="J113" s="20"/>
      <c r="M113" s="20"/>
      <c r="N113" s="20"/>
    </row>
    <row r="114" spans="1:14" ht="12.75" x14ac:dyDescent="0.2">
      <c r="A114" s="39">
        <v>113</v>
      </c>
      <c r="B114" s="38" t="s">
        <v>485</v>
      </c>
      <c r="C114" s="38" t="s">
        <v>7292</v>
      </c>
      <c r="D114" s="38" t="s">
        <v>486</v>
      </c>
      <c r="H114" s="20"/>
      <c r="J114" s="20"/>
      <c r="M114" s="20"/>
      <c r="N114" s="20"/>
    </row>
    <row r="115" spans="1:14" ht="12.75" x14ac:dyDescent="0.2">
      <c r="A115" s="39">
        <v>114</v>
      </c>
      <c r="B115" s="38" t="s">
        <v>309</v>
      </c>
      <c r="C115" s="38" t="s">
        <v>7290</v>
      </c>
      <c r="D115" s="38" t="s">
        <v>310</v>
      </c>
      <c r="H115" s="20"/>
      <c r="J115" s="20"/>
      <c r="M115" s="20"/>
      <c r="N115" s="20"/>
    </row>
    <row r="116" spans="1:14" ht="12.75" x14ac:dyDescent="0.2">
      <c r="A116" s="39">
        <v>115</v>
      </c>
      <c r="B116" s="38" t="s">
        <v>393</v>
      </c>
      <c r="C116" s="38" t="s">
        <v>7278</v>
      </c>
      <c r="D116" s="38" t="s">
        <v>394</v>
      </c>
      <c r="H116" s="20"/>
      <c r="J116" s="20"/>
      <c r="M116" s="20"/>
      <c r="N116" s="20"/>
    </row>
    <row r="117" spans="1:14" ht="12.75" x14ac:dyDescent="0.2">
      <c r="A117" s="39">
        <v>116</v>
      </c>
      <c r="B117" s="38" t="s">
        <v>7330</v>
      </c>
      <c r="C117" s="38" t="s">
        <v>7279</v>
      </c>
      <c r="D117" s="38" t="s">
        <v>336</v>
      </c>
      <c r="H117" s="20"/>
      <c r="J117" s="20"/>
      <c r="M117" s="20"/>
      <c r="N117" s="20"/>
    </row>
    <row r="118" spans="1:14" ht="12.75" x14ac:dyDescent="0.2">
      <c r="A118" s="39">
        <v>117</v>
      </c>
      <c r="B118" s="38" t="s">
        <v>7331</v>
      </c>
      <c r="C118" s="38" t="s">
        <v>7284</v>
      </c>
      <c r="D118" s="38" t="s">
        <v>464</v>
      </c>
      <c r="H118" s="20"/>
      <c r="J118" s="20"/>
      <c r="M118" s="20"/>
      <c r="N118" s="20"/>
    </row>
    <row r="119" spans="1:14" ht="12.75" x14ac:dyDescent="0.2">
      <c r="A119" s="39">
        <v>118</v>
      </c>
      <c r="B119" s="38" t="s">
        <v>7332</v>
      </c>
      <c r="C119" s="38" t="s">
        <v>7293</v>
      </c>
      <c r="D119" s="38" t="s">
        <v>536</v>
      </c>
      <c r="H119" s="20"/>
      <c r="J119" s="20"/>
      <c r="M119" s="20"/>
      <c r="N119" s="20"/>
    </row>
    <row r="120" spans="1:14" ht="12.75" x14ac:dyDescent="0.2">
      <c r="A120" s="39">
        <v>119</v>
      </c>
      <c r="B120" s="38" t="s">
        <v>467</v>
      </c>
      <c r="C120" s="38" t="s">
        <v>7288</v>
      </c>
      <c r="D120" s="38" t="s">
        <v>468</v>
      </c>
      <c r="H120" s="20"/>
      <c r="J120" s="20"/>
      <c r="M120" s="20"/>
      <c r="N120" s="20"/>
    </row>
    <row r="121" spans="1:14" ht="12.75" x14ac:dyDescent="0.2">
      <c r="A121" s="39">
        <v>120</v>
      </c>
      <c r="B121" s="38" t="s">
        <v>323</v>
      </c>
      <c r="C121" s="38" t="s">
        <v>7282</v>
      </c>
      <c r="D121" s="38" t="s">
        <v>324</v>
      </c>
      <c r="H121" s="20"/>
      <c r="J121" s="20"/>
      <c r="M121" s="20"/>
      <c r="N121" s="20"/>
    </row>
    <row r="122" spans="1:14" ht="12.75" x14ac:dyDescent="0.2">
      <c r="A122" s="39">
        <v>121</v>
      </c>
      <c r="B122" s="38" t="s">
        <v>7336</v>
      </c>
      <c r="C122" s="38" t="s">
        <v>7292</v>
      </c>
      <c r="D122" s="38" t="s">
        <v>2557</v>
      </c>
      <c r="H122" s="20"/>
      <c r="J122" s="20"/>
      <c r="M122" s="20"/>
      <c r="N122" s="20"/>
    </row>
    <row r="123" spans="1:14" ht="12.75" x14ac:dyDescent="0.2">
      <c r="A123" s="39">
        <v>122</v>
      </c>
      <c r="B123" s="38" t="s">
        <v>7337</v>
      </c>
      <c r="C123" s="38" t="s">
        <v>7334</v>
      </c>
      <c r="D123" s="38" t="s">
        <v>3420</v>
      </c>
      <c r="H123" s="20"/>
      <c r="J123" s="20"/>
      <c r="M123" s="20"/>
      <c r="N123" s="20"/>
    </row>
    <row r="124" spans="1:14" ht="12.75" x14ac:dyDescent="0.2">
      <c r="A124" s="39">
        <v>123</v>
      </c>
      <c r="B124" s="38" t="s">
        <v>3422</v>
      </c>
      <c r="C124" s="38" t="s">
        <v>7283</v>
      </c>
      <c r="D124" s="38" t="s">
        <v>3423</v>
      </c>
      <c r="H124" s="20"/>
      <c r="J124" s="20"/>
      <c r="M124" s="20"/>
      <c r="N124" s="20"/>
    </row>
    <row r="125" spans="1:14" ht="12.75" x14ac:dyDescent="0.2">
      <c r="A125" s="39">
        <v>124</v>
      </c>
      <c r="B125" s="38" t="s">
        <v>7338</v>
      </c>
      <c r="C125" s="38" t="s">
        <v>7291</v>
      </c>
      <c r="D125" s="38" t="s">
        <v>2915</v>
      </c>
      <c r="H125" s="20"/>
      <c r="J125" s="20"/>
      <c r="M125" s="20"/>
      <c r="N125" s="20"/>
    </row>
    <row r="126" spans="1:14" ht="12.75" x14ac:dyDescent="0.2">
      <c r="A126" s="39">
        <v>125</v>
      </c>
      <c r="B126" s="38" t="s">
        <v>7339</v>
      </c>
      <c r="C126" s="38" t="s">
        <v>7284</v>
      </c>
      <c r="D126" s="38" t="s">
        <v>3431</v>
      </c>
      <c r="H126" s="20"/>
      <c r="J126" s="20"/>
      <c r="M126" s="20"/>
      <c r="N126" s="20"/>
    </row>
    <row r="127" spans="1:14" ht="12.75" x14ac:dyDescent="0.2">
      <c r="A127" s="39">
        <v>126</v>
      </c>
      <c r="B127" s="38" t="s">
        <v>7340</v>
      </c>
      <c r="C127" s="38" t="s">
        <v>7288</v>
      </c>
      <c r="D127" s="38" t="s">
        <v>3183</v>
      </c>
      <c r="H127" s="20"/>
      <c r="J127" s="20"/>
      <c r="M127" s="20"/>
      <c r="N127" s="20"/>
    </row>
    <row r="128" spans="1:14" ht="12.75" x14ac:dyDescent="0.2">
      <c r="A128" s="39">
        <v>127</v>
      </c>
      <c r="B128" s="38" t="s">
        <v>7341</v>
      </c>
      <c r="C128" s="38" t="s">
        <v>7282</v>
      </c>
      <c r="D128" s="38" t="s">
        <v>1200</v>
      </c>
      <c r="H128" s="20"/>
      <c r="J128" s="20"/>
      <c r="M128" s="20"/>
      <c r="N128" s="20"/>
    </row>
    <row r="129" spans="1:14" ht="12.75" x14ac:dyDescent="0.2">
      <c r="A129" s="39">
        <v>128</v>
      </c>
      <c r="B129" s="38" t="s">
        <v>7342</v>
      </c>
      <c r="C129" s="38" t="s">
        <v>7287</v>
      </c>
      <c r="D129" s="38" t="s">
        <v>638</v>
      </c>
      <c r="H129" s="20"/>
      <c r="J129" s="20"/>
      <c r="M129" s="20"/>
      <c r="N129" s="20"/>
    </row>
    <row r="130" spans="1:14" ht="12.75" x14ac:dyDescent="0.2">
      <c r="A130" s="39">
        <v>129</v>
      </c>
      <c r="B130" s="38" t="s">
        <v>7343</v>
      </c>
      <c r="C130" s="38" t="s">
        <v>7291</v>
      </c>
      <c r="D130" s="38" t="s">
        <v>750</v>
      </c>
      <c r="H130" s="20"/>
      <c r="J130" s="20"/>
      <c r="M130" s="20"/>
      <c r="N130" s="20"/>
    </row>
    <row r="131" spans="1:14" ht="12.75" x14ac:dyDescent="0.2">
      <c r="A131" s="39">
        <v>130</v>
      </c>
      <c r="B131" s="38" t="s">
        <v>7344</v>
      </c>
      <c r="C131" s="38" t="s">
        <v>7286</v>
      </c>
      <c r="D131" s="38" t="s">
        <v>2399</v>
      </c>
      <c r="H131" s="20"/>
      <c r="J131" s="20"/>
      <c r="M131" s="20"/>
      <c r="N131" s="20"/>
    </row>
    <row r="132" spans="1:14" ht="12.75" x14ac:dyDescent="0.2">
      <c r="A132" s="39">
        <v>131</v>
      </c>
      <c r="B132" s="38" t="s">
        <v>7345</v>
      </c>
      <c r="C132" s="38" t="s">
        <v>7279</v>
      </c>
      <c r="D132" s="38" t="s">
        <v>1126</v>
      </c>
      <c r="H132" s="20"/>
      <c r="J132" s="20"/>
      <c r="M132" s="20"/>
      <c r="N132" s="20"/>
    </row>
    <row r="133" spans="1:14" ht="12.75" x14ac:dyDescent="0.2">
      <c r="A133" s="39">
        <v>132</v>
      </c>
      <c r="B133" s="38" t="s">
        <v>7346</v>
      </c>
      <c r="C133" s="38" t="s">
        <v>7283</v>
      </c>
      <c r="D133" s="38" t="s">
        <v>1976</v>
      </c>
      <c r="H133" s="20"/>
      <c r="J133" s="20"/>
      <c r="M133" s="20"/>
      <c r="N133" s="20"/>
    </row>
    <row r="134" spans="1:14" ht="12.75" x14ac:dyDescent="0.2">
      <c r="A134" s="39">
        <v>133</v>
      </c>
      <c r="B134" s="38" t="s">
        <v>2646</v>
      </c>
      <c r="C134" s="38" t="s">
        <v>7282</v>
      </c>
      <c r="D134" s="38" t="s">
        <v>2647</v>
      </c>
      <c r="H134" s="20"/>
      <c r="J134" s="20"/>
      <c r="M134" s="20"/>
      <c r="N134" s="20"/>
    </row>
    <row r="135" spans="1:14" ht="12.75" x14ac:dyDescent="0.2">
      <c r="A135" s="39">
        <v>134</v>
      </c>
      <c r="B135" s="38" t="s">
        <v>7347</v>
      </c>
      <c r="C135" s="38" t="s">
        <v>7282</v>
      </c>
      <c r="D135" s="38" t="s">
        <v>2453</v>
      </c>
      <c r="H135" s="20"/>
      <c r="J135" s="20"/>
      <c r="M135" s="20"/>
      <c r="N135" s="20"/>
    </row>
    <row r="136" spans="1:14" ht="12.75" x14ac:dyDescent="0.2">
      <c r="A136" s="39">
        <v>135</v>
      </c>
      <c r="B136" s="38" t="s">
        <v>7348</v>
      </c>
      <c r="C136" s="38" t="s">
        <v>7288</v>
      </c>
      <c r="D136" s="38" t="s">
        <v>2617</v>
      </c>
      <c r="H136" s="20"/>
      <c r="J136" s="20"/>
      <c r="M136" s="20"/>
      <c r="N136" s="20"/>
    </row>
    <row r="137" spans="1:14" ht="12.75" x14ac:dyDescent="0.2">
      <c r="A137" s="39">
        <v>136</v>
      </c>
      <c r="B137" s="38" t="s">
        <v>7349</v>
      </c>
      <c r="C137" s="38" t="s">
        <v>7291</v>
      </c>
      <c r="D137" s="38" t="s">
        <v>1792</v>
      </c>
      <c r="H137" s="20"/>
      <c r="J137" s="20"/>
      <c r="M137" s="20"/>
      <c r="N137" s="20"/>
    </row>
    <row r="138" spans="1:14" ht="12.75" x14ac:dyDescent="0.2">
      <c r="A138" s="39">
        <v>137</v>
      </c>
      <c r="B138" s="38" t="s">
        <v>7350</v>
      </c>
      <c r="C138" s="38" t="s">
        <v>7289</v>
      </c>
      <c r="D138" s="38" t="s">
        <v>3409</v>
      </c>
      <c r="H138" s="20"/>
      <c r="J138" s="20"/>
      <c r="M138" s="20"/>
      <c r="N138" s="20"/>
    </row>
    <row r="139" spans="1:14" ht="12.75" x14ac:dyDescent="0.2">
      <c r="A139" s="39">
        <v>138</v>
      </c>
      <c r="B139" s="38" t="s">
        <v>7351</v>
      </c>
      <c r="C139" s="38" t="s">
        <v>7287</v>
      </c>
      <c r="D139" s="38" t="s">
        <v>2807</v>
      </c>
      <c r="H139" s="20"/>
      <c r="J139" s="20"/>
      <c r="M139" s="20"/>
      <c r="N139" s="20"/>
    </row>
    <row r="140" spans="1:14" ht="12.75" x14ac:dyDescent="0.2">
      <c r="A140" s="39">
        <v>139</v>
      </c>
      <c r="B140" s="38" t="s">
        <v>2660</v>
      </c>
      <c r="C140" s="38" t="s">
        <v>7289</v>
      </c>
      <c r="D140" s="38" t="s">
        <v>2661</v>
      </c>
      <c r="H140" s="20"/>
      <c r="J140" s="20"/>
      <c r="M140" s="20"/>
      <c r="N140" s="20"/>
    </row>
    <row r="141" spans="1:14" ht="12.75" x14ac:dyDescent="0.2">
      <c r="A141" s="39">
        <v>140</v>
      </c>
      <c r="B141" s="38" t="s">
        <v>1633</v>
      </c>
      <c r="C141" s="38" t="s">
        <v>7282</v>
      </c>
      <c r="D141" s="38" t="s">
        <v>1634</v>
      </c>
      <c r="H141" s="20"/>
      <c r="J141" s="20"/>
      <c r="M141" s="20"/>
      <c r="N141" s="20"/>
    </row>
    <row r="142" spans="1:14" ht="12.75" x14ac:dyDescent="0.2">
      <c r="A142" s="39">
        <v>141</v>
      </c>
      <c r="B142" s="38" t="s">
        <v>645</v>
      </c>
      <c r="C142" s="38" t="s">
        <v>7289</v>
      </c>
      <c r="D142" s="38" t="s">
        <v>646</v>
      </c>
      <c r="H142" s="20"/>
      <c r="J142" s="20"/>
      <c r="M142" s="20"/>
      <c r="N142" s="20"/>
    </row>
    <row r="143" spans="1:14" ht="12.75" x14ac:dyDescent="0.2">
      <c r="A143" s="39">
        <v>142</v>
      </c>
      <c r="B143" s="38" t="s">
        <v>1008</v>
      </c>
      <c r="C143" s="38" t="s">
        <v>7283</v>
      </c>
      <c r="D143" s="38" t="s">
        <v>1009</v>
      </c>
      <c r="H143" s="20"/>
      <c r="J143" s="20"/>
      <c r="M143" s="20"/>
      <c r="N143" s="20"/>
    </row>
    <row r="144" spans="1:14" ht="12.75" x14ac:dyDescent="0.2">
      <c r="A144" s="39">
        <v>143</v>
      </c>
      <c r="B144" s="38" t="s">
        <v>7352</v>
      </c>
      <c r="C144" s="38" t="s">
        <v>7293</v>
      </c>
      <c r="D144" s="38" t="s">
        <v>2341</v>
      </c>
      <c r="H144" s="20"/>
      <c r="J144" s="20"/>
      <c r="M144" s="20"/>
      <c r="N144" s="20"/>
    </row>
    <row r="145" spans="1:14" ht="12.75" x14ac:dyDescent="0.2">
      <c r="A145" s="39">
        <v>144</v>
      </c>
      <c r="B145" s="38" t="s">
        <v>2594</v>
      </c>
      <c r="C145" s="38" t="s">
        <v>7292</v>
      </c>
      <c r="D145" s="38" t="s">
        <v>2595</v>
      </c>
      <c r="H145" s="20"/>
      <c r="J145" s="20"/>
      <c r="M145" s="20"/>
      <c r="N145" s="20"/>
    </row>
    <row r="146" spans="1:14" ht="12.75" x14ac:dyDescent="0.2">
      <c r="A146" s="39">
        <v>145</v>
      </c>
      <c r="B146" s="38" t="s">
        <v>2870</v>
      </c>
      <c r="C146" s="38" t="s">
        <v>7290</v>
      </c>
      <c r="D146" s="38" t="s">
        <v>2871</v>
      </c>
      <c r="H146" s="20"/>
      <c r="J146" s="20"/>
      <c r="M146" s="20"/>
      <c r="N146" s="20"/>
    </row>
    <row r="147" spans="1:14" ht="12.75" x14ac:dyDescent="0.2">
      <c r="A147" s="39">
        <v>146</v>
      </c>
      <c r="B147" s="38" t="s">
        <v>7353</v>
      </c>
      <c r="C147" s="38" t="s">
        <v>7282</v>
      </c>
      <c r="D147" s="38" t="s">
        <v>1940</v>
      </c>
      <c r="H147" s="20"/>
      <c r="J147" s="20"/>
      <c r="M147" s="20"/>
      <c r="N147" s="20"/>
    </row>
    <row r="148" spans="1:14" ht="12.75" x14ac:dyDescent="0.2">
      <c r="A148" s="39">
        <v>147</v>
      </c>
      <c r="B148" s="38" t="s">
        <v>7354</v>
      </c>
      <c r="C148" s="38" t="s">
        <v>7282</v>
      </c>
      <c r="D148" s="38" t="s">
        <v>2433</v>
      </c>
      <c r="H148" s="20"/>
      <c r="J148" s="20"/>
      <c r="M148" s="20"/>
      <c r="N148" s="20"/>
    </row>
    <row r="149" spans="1:14" ht="12.75" x14ac:dyDescent="0.2">
      <c r="A149" s="39">
        <v>148</v>
      </c>
      <c r="B149" s="38" t="s">
        <v>7355</v>
      </c>
      <c r="C149" s="38" t="s">
        <v>7278</v>
      </c>
      <c r="D149" s="38" t="s">
        <v>3091</v>
      </c>
      <c r="H149" s="20"/>
      <c r="J149" s="20"/>
      <c r="M149" s="20"/>
      <c r="N149" s="20"/>
    </row>
    <row r="150" spans="1:14" ht="12.75" x14ac:dyDescent="0.2">
      <c r="A150" s="39">
        <v>149</v>
      </c>
      <c r="B150" s="38" t="s">
        <v>7356</v>
      </c>
      <c r="C150" s="38" t="s">
        <v>7278</v>
      </c>
      <c r="D150" s="38" t="s">
        <v>514</v>
      </c>
      <c r="H150" s="20"/>
      <c r="J150" s="20"/>
      <c r="M150" s="20"/>
      <c r="N150" s="20"/>
    </row>
    <row r="151" spans="1:14" ht="12.75" x14ac:dyDescent="0.2">
      <c r="A151" s="39">
        <v>150</v>
      </c>
      <c r="B151" s="38" t="s">
        <v>7357</v>
      </c>
      <c r="C151" s="38" t="s">
        <v>7335</v>
      </c>
      <c r="D151" s="38" t="s">
        <v>2589</v>
      </c>
      <c r="H151" s="20"/>
      <c r="J151" s="20"/>
      <c r="M151" s="20"/>
      <c r="N151" s="20"/>
    </row>
    <row r="152" spans="1:14" ht="12.75" x14ac:dyDescent="0.2">
      <c r="A152" s="39">
        <v>151</v>
      </c>
      <c r="B152" s="38" t="s">
        <v>7358</v>
      </c>
      <c r="C152" s="38" t="s">
        <v>7282</v>
      </c>
      <c r="D152" s="38" t="s">
        <v>2801</v>
      </c>
      <c r="H152" s="20"/>
      <c r="J152" s="20"/>
      <c r="M152" s="20"/>
      <c r="N152" s="20"/>
    </row>
    <row r="153" spans="1:14" ht="12.75" x14ac:dyDescent="0.2">
      <c r="A153" s="39">
        <v>152</v>
      </c>
      <c r="B153" s="38" t="s">
        <v>7359</v>
      </c>
      <c r="C153" s="38" t="s">
        <v>7287</v>
      </c>
      <c r="D153" s="38" t="s">
        <v>3297</v>
      </c>
      <c r="H153" s="20"/>
      <c r="J153" s="20"/>
      <c r="M153" s="20"/>
      <c r="N153" s="20"/>
    </row>
    <row r="154" spans="1:14" ht="12.75" x14ac:dyDescent="0.2">
      <c r="A154" s="39">
        <v>153</v>
      </c>
      <c r="B154" s="38" t="s">
        <v>7360</v>
      </c>
      <c r="C154" s="38" t="s">
        <v>7282</v>
      </c>
      <c r="D154" s="38" t="s">
        <v>7333</v>
      </c>
      <c r="H154" s="20"/>
      <c r="J154" s="20"/>
      <c r="M154" s="20"/>
      <c r="N154" s="20"/>
    </row>
    <row r="155" spans="1:14" ht="12.75" x14ac:dyDescent="0.2">
      <c r="A155" s="39">
        <v>154</v>
      </c>
      <c r="B155" s="38" t="s">
        <v>7361</v>
      </c>
      <c r="C155" s="38" t="s">
        <v>7287</v>
      </c>
      <c r="D155" s="38" t="s">
        <v>49</v>
      </c>
      <c r="H155" s="20"/>
      <c r="J155" s="20"/>
      <c r="M155" s="20"/>
      <c r="N155" s="20"/>
    </row>
    <row r="156" spans="1:14" ht="12.75" x14ac:dyDescent="0.2">
      <c r="A156" s="39">
        <v>155</v>
      </c>
      <c r="B156" s="38" t="s">
        <v>7362</v>
      </c>
      <c r="C156" s="38" t="s">
        <v>7335</v>
      </c>
      <c r="D156" s="38" t="s">
        <v>2657</v>
      </c>
      <c r="H156" s="20"/>
      <c r="J156" s="20"/>
      <c r="M156" s="20"/>
      <c r="N156" s="20"/>
    </row>
    <row r="157" spans="1:14" ht="12.75" x14ac:dyDescent="0.2">
      <c r="A157" s="39">
        <v>156</v>
      </c>
      <c r="B157" s="38" t="s">
        <v>7363</v>
      </c>
      <c r="C157" s="38" t="s">
        <v>7335</v>
      </c>
      <c r="D157" s="38" t="s">
        <v>1232</v>
      </c>
      <c r="H157" s="20"/>
      <c r="J157" s="20"/>
      <c r="M157" s="20"/>
      <c r="N157" s="20"/>
    </row>
    <row r="158" spans="1:14" ht="12.75" x14ac:dyDescent="0.2">
      <c r="A158" s="39">
        <v>157</v>
      </c>
      <c r="B158" s="38" t="s">
        <v>7364</v>
      </c>
      <c r="C158" s="38" t="s">
        <v>7292</v>
      </c>
      <c r="D158" s="38" t="s">
        <v>3103</v>
      </c>
      <c r="H158" s="20"/>
      <c r="J158" s="20"/>
      <c r="M158" s="20"/>
      <c r="N158" s="20"/>
    </row>
    <row r="159" spans="1:14" ht="12.75" x14ac:dyDescent="0.2">
      <c r="A159" s="39">
        <v>158</v>
      </c>
      <c r="B159" s="38" t="s">
        <v>7365</v>
      </c>
      <c r="C159" s="38" t="s">
        <v>7287</v>
      </c>
      <c r="D159" s="38" t="s">
        <v>2835</v>
      </c>
      <c r="H159" s="20"/>
      <c r="J159" s="20"/>
      <c r="M159" s="20"/>
      <c r="N159" s="20"/>
    </row>
    <row r="160" spans="1:14" ht="12.75" x14ac:dyDescent="0.2">
      <c r="A160" s="39">
        <v>159</v>
      </c>
      <c r="B160" s="38" t="s">
        <v>7366</v>
      </c>
      <c r="C160" s="38" t="s">
        <v>7282</v>
      </c>
      <c r="D160" s="38" t="s">
        <v>997</v>
      </c>
      <c r="H160" s="20"/>
      <c r="J160" s="20"/>
      <c r="M160" s="20"/>
      <c r="N160" s="20"/>
    </row>
    <row r="161" spans="1:14" ht="12.75" x14ac:dyDescent="0.2">
      <c r="A161" s="39">
        <v>160</v>
      </c>
      <c r="B161" s="38" t="s">
        <v>7367</v>
      </c>
      <c r="C161" s="38" t="s">
        <v>7287</v>
      </c>
      <c r="D161" s="38" t="s">
        <v>3397</v>
      </c>
      <c r="H161" s="20"/>
      <c r="J161" s="20"/>
      <c r="M161" s="20"/>
      <c r="N161" s="20"/>
    </row>
    <row r="162" spans="1:14" ht="12.75" x14ac:dyDescent="0.2">
      <c r="A162" s="39">
        <v>161</v>
      </c>
      <c r="B162" s="38" t="s">
        <v>7368</v>
      </c>
      <c r="C162" s="38" t="s">
        <v>7282</v>
      </c>
      <c r="D162" s="38" t="s">
        <v>3275</v>
      </c>
      <c r="H162" s="20"/>
      <c r="J162" s="20"/>
      <c r="M162" s="20"/>
      <c r="N162" s="20"/>
    </row>
    <row r="163" spans="1:14" ht="12.75" x14ac:dyDescent="0.2">
      <c r="A163" s="39">
        <v>162</v>
      </c>
      <c r="B163" s="38" t="s">
        <v>7369</v>
      </c>
      <c r="C163" s="38" t="s">
        <v>7285</v>
      </c>
      <c r="D163" s="38" t="s">
        <v>3177</v>
      </c>
      <c r="H163" s="20"/>
      <c r="J163" s="20"/>
      <c r="M163" s="20"/>
      <c r="N163" s="20"/>
    </row>
    <row r="164" spans="1:14" ht="12.75" x14ac:dyDescent="0.2">
      <c r="A164" s="39">
        <v>163</v>
      </c>
      <c r="B164" s="38" t="s">
        <v>7370</v>
      </c>
      <c r="C164" s="38" t="s">
        <v>7284</v>
      </c>
      <c r="D164" s="38" t="s">
        <v>2131</v>
      </c>
      <c r="H164" s="20"/>
      <c r="J164" s="20"/>
      <c r="M164" s="20"/>
      <c r="N164" s="20"/>
    </row>
    <row r="165" spans="1:14" ht="12.75" x14ac:dyDescent="0.2">
      <c r="A165" s="39">
        <v>164</v>
      </c>
      <c r="B165" s="38" t="s">
        <v>7371</v>
      </c>
      <c r="C165" s="38" t="s">
        <v>7279</v>
      </c>
      <c r="D165" s="38" t="s">
        <v>702</v>
      </c>
      <c r="H165" s="20"/>
      <c r="J165" s="20"/>
      <c r="M165" s="20"/>
      <c r="N165" s="20"/>
    </row>
    <row r="166" spans="1:14" ht="12.75" x14ac:dyDescent="0.2">
      <c r="A166" s="39">
        <v>165</v>
      </c>
      <c r="B166" s="38" t="s">
        <v>1973</v>
      </c>
      <c r="C166" s="38" t="s">
        <v>7291</v>
      </c>
      <c r="D166" s="38" t="s">
        <v>1974</v>
      </c>
      <c r="H166" s="20"/>
      <c r="J166" s="20"/>
      <c r="M166" s="20"/>
      <c r="N166" s="20"/>
    </row>
    <row r="167" spans="1:14" ht="12.75" x14ac:dyDescent="0.2">
      <c r="A167" s="39">
        <v>166</v>
      </c>
      <c r="B167" s="38" t="s">
        <v>7372</v>
      </c>
      <c r="C167" s="38" t="s">
        <v>7292</v>
      </c>
      <c r="D167" s="38" t="s">
        <v>3427</v>
      </c>
      <c r="H167" s="20"/>
      <c r="J167" s="20"/>
      <c r="M167" s="20"/>
      <c r="N167" s="20"/>
    </row>
    <row r="168" spans="1:14" ht="12.75" x14ac:dyDescent="0.2">
      <c r="A168" s="39">
        <v>167</v>
      </c>
      <c r="B168" s="38" t="s">
        <v>7373</v>
      </c>
      <c r="C168" s="38" t="s">
        <v>7293</v>
      </c>
      <c r="D168" s="38" t="s">
        <v>1636</v>
      </c>
      <c r="H168" s="20"/>
      <c r="J168" s="20"/>
      <c r="M168" s="20"/>
      <c r="N168" s="20"/>
    </row>
    <row r="169" spans="1:14" ht="12.75" x14ac:dyDescent="0.2">
      <c r="A169" s="39">
        <v>168</v>
      </c>
      <c r="B169" s="38" t="s">
        <v>7374</v>
      </c>
      <c r="C169" s="38" t="s">
        <v>7280</v>
      </c>
      <c r="D169" s="38" t="s">
        <v>2887</v>
      </c>
      <c r="H169" s="20"/>
      <c r="J169" s="20"/>
      <c r="M169" s="20"/>
      <c r="N169" s="20"/>
    </row>
    <row r="170" spans="1:14" ht="12.75" x14ac:dyDescent="0.2">
      <c r="A170" s="39">
        <v>169</v>
      </c>
      <c r="B170" s="38" t="s">
        <v>7375</v>
      </c>
      <c r="C170" s="38" t="s">
        <v>7278</v>
      </c>
      <c r="D170" s="38" t="s">
        <v>1202</v>
      </c>
      <c r="H170" s="20"/>
      <c r="J170" s="20"/>
      <c r="M170" s="20"/>
      <c r="N170" s="20"/>
    </row>
    <row r="171" spans="1:14" ht="12.75" x14ac:dyDescent="0.2">
      <c r="A171" s="39">
        <v>170</v>
      </c>
      <c r="B171" s="38" t="s">
        <v>7376</v>
      </c>
      <c r="C171" s="38" t="s">
        <v>7291</v>
      </c>
      <c r="D171" s="38" t="s">
        <v>2020</v>
      </c>
      <c r="H171" s="20"/>
      <c r="J171" s="20"/>
      <c r="M171" s="20"/>
      <c r="N171" s="20"/>
    </row>
    <row r="172" spans="1:14" ht="12.75" x14ac:dyDescent="0.2">
      <c r="H172" s="20"/>
      <c r="J172" s="20"/>
      <c r="M172" s="20"/>
      <c r="N172" s="20"/>
    </row>
    <row r="173" spans="1:14" ht="12.75" x14ac:dyDescent="0.2">
      <c r="H173" s="20"/>
      <c r="J173" s="20"/>
      <c r="M173" s="20"/>
      <c r="N173" s="20"/>
    </row>
    <row r="174" spans="1:14" ht="12.75" x14ac:dyDescent="0.2">
      <c r="H174" s="20"/>
      <c r="J174" s="20"/>
      <c r="M174" s="20"/>
      <c r="N174" s="20"/>
    </row>
    <row r="175" spans="1:14" ht="12.75" x14ac:dyDescent="0.2">
      <c r="H175" s="20"/>
      <c r="J175" s="20"/>
      <c r="M175" s="20"/>
      <c r="N175" s="20"/>
    </row>
    <row r="176" spans="1:14" ht="12.75" x14ac:dyDescent="0.2">
      <c r="H176" s="20"/>
      <c r="J176" s="20"/>
      <c r="M176" s="20"/>
      <c r="N176" s="20"/>
    </row>
    <row r="177" spans="8:14" ht="12.75" x14ac:dyDescent="0.2">
      <c r="H177" s="20"/>
      <c r="J177" s="20"/>
      <c r="M177" s="20"/>
      <c r="N177" s="20"/>
    </row>
    <row r="178" spans="8:14" ht="12.75" x14ac:dyDescent="0.2">
      <c r="H178" s="20"/>
      <c r="J178" s="20"/>
      <c r="M178" s="20"/>
      <c r="N178" s="20"/>
    </row>
    <row r="179" spans="8:14" ht="12.75" x14ac:dyDescent="0.2">
      <c r="H179" s="20"/>
      <c r="J179" s="20"/>
      <c r="M179" s="20"/>
      <c r="N179" s="20"/>
    </row>
    <row r="180" spans="8:14" ht="12.75" x14ac:dyDescent="0.2">
      <c r="H180" s="20"/>
      <c r="J180" s="20"/>
      <c r="M180" s="20"/>
      <c r="N180" s="20"/>
    </row>
    <row r="181" spans="8:14" ht="12.75" x14ac:dyDescent="0.2">
      <c r="H181" s="20"/>
      <c r="J181" s="20"/>
      <c r="M181" s="20"/>
      <c r="N181" s="20"/>
    </row>
    <row r="182" spans="8:14" ht="12.75" x14ac:dyDescent="0.2">
      <c r="H182" s="20"/>
      <c r="J182" s="20"/>
      <c r="M182" s="20"/>
      <c r="N182" s="20"/>
    </row>
    <row r="183" spans="8:14" ht="12.75" x14ac:dyDescent="0.2">
      <c r="H183" s="20"/>
      <c r="J183" s="20"/>
      <c r="M183" s="20"/>
      <c r="N183" s="20"/>
    </row>
    <row r="184" spans="8:14" ht="12.75" x14ac:dyDescent="0.2">
      <c r="H184" s="20"/>
      <c r="J184" s="20"/>
      <c r="M184" s="20"/>
      <c r="N184" s="20"/>
    </row>
    <row r="185" spans="8:14" ht="12.75" x14ac:dyDescent="0.2">
      <c r="H185" s="20"/>
      <c r="J185" s="20"/>
      <c r="M185" s="20"/>
      <c r="N185" s="20"/>
    </row>
    <row r="186" spans="8:14" ht="12.75" x14ac:dyDescent="0.2">
      <c r="H186" s="20"/>
      <c r="J186" s="20"/>
      <c r="M186" s="20"/>
      <c r="N186" s="20"/>
    </row>
    <row r="187" spans="8:14" ht="12.75" x14ac:dyDescent="0.2">
      <c r="H187" s="20"/>
      <c r="J187" s="20"/>
      <c r="M187" s="20"/>
      <c r="N187" s="20"/>
    </row>
    <row r="188" spans="8:14" ht="12.75" x14ac:dyDescent="0.2">
      <c r="H188" s="20"/>
      <c r="J188" s="20"/>
      <c r="M188" s="20"/>
      <c r="N188" s="20"/>
    </row>
    <row r="189" spans="8:14" ht="12.75" x14ac:dyDescent="0.2">
      <c r="H189" s="20"/>
      <c r="J189" s="20"/>
      <c r="M189" s="20"/>
      <c r="N189" s="20"/>
    </row>
    <row r="190" spans="8:14" ht="12.75" x14ac:dyDescent="0.2">
      <c r="H190" s="20"/>
      <c r="J190" s="20"/>
      <c r="M190" s="20"/>
      <c r="N190" s="20"/>
    </row>
    <row r="191" spans="8:14" ht="12.75" x14ac:dyDescent="0.2">
      <c r="H191" s="20"/>
      <c r="J191" s="20"/>
      <c r="M191" s="20"/>
      <c r="N191" s="20"/>
    </row>
    <row r="192" spans="8:14" ht="12.75" x14ac:dyDescent="0.2">
      <c r="H192" s="20"/>
      <c r="J192" s="20"/>
      <c r="M192" s="20"/>
      <c r="N192" s="20"/>
    </row>
    <row r="193" spans="8:14" ht="12.75" x14ac:dyDescent="0.2">
      <c r="H193" s="20"/>
      <c r="J193" s="20"/>
      <c r="M193" s="20"/>
      <c r="N193" s="20"/>
    </row>
    <row r="194" spans="8:14" ht="12.75" x14ac:dyDescent="0.2">
      <c r="H194" s="20"/>
      <c r="J194" s="20"/>
      <c r="M194" s="20"/>
      <c r="N194" s="20"/>
    </row>
    <row r="195" spans="8:14" ht="12.75" x14ac:dyDescent="0.2">
      <c r="H195" s="20"/>
      <c r="J195" s="20"/>
      <c r="M195" s="20"/>
      <c r="N195" s="20"/>
    </row>
    <row r="196" spans="8:14" ht="12.75" x14ac:dyDescent="0.2">
      <c r="H196" s="20"/>
      <c r="J196" s="20"/>
      <c r="M196" s="20"/>
      <c r="N196" s="20"/>
    </row>
    <row r="197" spans="8:14" ht="12.75" x14ac:dyDescent="0.2">
      <c r="H197" s="20"/>
      <c r="J197" s="20"/>
      <c r="M197" s="20"/>
      <c r="N197" s="20"/>
    </row>
    <row r="198" spans="8:14" ht="12.75" x14ac:dyDescent="0.2">
      <c r="H198" s="20"/>
      <c r="J198" s="20"/>
      <c r="M198" s="20"/>
      <c r="N198" s="20"/>
    </row>
    <row r="199" spans="8:14" ht="12.75" x14ac:dyDescent="0.2">
      <c r="H199" s="20"/>
      <c r="J199" s="20"/>
      <c r="M199" s="20"/>
      <c r="N199" s="20"/>
    </row>
    <row r="200" spans="8:14" ht="12.75" x14ac:dyDescent="0.2">
      <c r="H200" s="20"/>
      <c r="J200" s="20"/>
      <c r="M200" s="20"/>
      <c r="N200" s="20"/>
    </row>
    <row r="201" spans="8:14" ht="12.75" x14ac:dyDescent="0.2">
      <c r="H201" s="20"/>
      <c r="J201" s="20"/>
      <c r="M201" s="20"/>
      <c r="N201" s="20"/>
    </row>
    <row r="202" spans="8:14" ht="12.75" x14ac:dyDescent="0.2">
      <c r="H202" s="20"/>
      <c r="J202" s="20"/>
      <c r="M202" s="20"/>
      <c r="N202" s="20"/>
    </row>
    <row r="203" spans="8:14" ht="12.75" x14ac:dyDescent="0.2">
      <c r="H203" s="20"/>
      <c r="J203" s="20"/>
      <c r="M203" s="20"/>
      <c r="N203" s="20"/>
    </row>
    <row r="204" spans="8:14" ht="12.75" x14ac:dyDescent="0.2">
      <c r="H204" s="20"/>
      <c r="J204" s="20"/>
      <c r="M204" s="20"/>
      <c r="N204" s="20"/>
    </row>
    <row r="205" spans="8:14" ht="12.75" x14ac:dyDescent="0.2">
      <c r="H205" s="20"/>
      <c r="J205" s="20"/>
      <c r="M205" s="20"/>
      <c r="N205" s="20"/>
    </row>
    <row r="206" spans="8:14" ht="12.75" x14ac:dyDescent="0.2">
      <c r="H206" s="20"/>
      <c r="J206" s="20"/>
      <c r="M206" s="20"/>
      <c r="N206" s="20"/>
    </row>
    <row r="207" spans="8:14" ht="12.75" x14ac:dyDescent="0.2">
      <c r="H207" s="20"/>
      <c r="J207" s="20"/>
      <c r="M207" s="20"/>
      <c r="N207" s="20"/>
    </row>
    <row r="208" spans="8:14" ht="12.75" x14ac:dyDescent="0.2">
      <c r="H208" s="20"/>
      <c r="J208" s="20"/>
      <c r="M208" s="20"/>
      <c r="N208" s="20"/>
    </row>
    <row r="209" spans="8:14" ht="12.75" x14ac:dyDescent="0.2">
      <c r="H209" s="20"/>
      <c r="J209" s="20"/>
      <c r="M209" s="20"/>
      <c r="N209" s="20"/>
    </row>
    <row r="210" spans="8:14" ht="12.75" x14ac:dyDescent="0.2">
      <c r="H210" s="20"/>
      <c r="J210" s="20"/>
      <c r="M210" s="20"/>
      <c r="N210" s="20"/>
    </row>
    <row r="211" spans="8:14" ht="12.75" x14ac:dyDescent="0.2">
      <c r="H211" s="20"/>
      <c r="J211" s="20"/>
      <c r="M211" s="20"/>
      <c r="N211" s="20"/>
    </row>
    <row r="212" spans="8:14" ht="12.75" x14ac:dyDescent="0.2">
      <c r="H212" s="20"/>
      <c r="J212" s="20"/>
      <c r="M212" s="20"/>
      <c r="N212" s="20"/>
    </row>
    <row r="213" spans="8:14" ht="12.75" x14ac:dyDescent="0.2">
      <c r="H213" s="20"/>
      <c r="J213" s="20"/>
      <c r="M213" s="20"/>
      <c r="N213" s="20"/>
    </row>
    <row r="214" spans="8:14" ht="12.75" x14ac:dyDescent="0.2">
      <c r="H214" s="20"/>
      <c r="J214" s="20"/>
      <c r="M214" s="20"/>
      <c r="N214" s="20"/>
    </row>
    <row r="215" spans="8:14" ht="12.75" x14ac:dyDescent="0.2">
      <c r="H215" s="20"/>
      <c r="J215" s="20"/>
      <c r="M215" s="20"/>
      <c r="N215" s="20"/>
    </row>
    <row r="216" spans="8:14" ht="12.75" x14ac:dyDescent="0.2">
      <c r="H216" s="20"/>
      <c r="J216" s="20"/>
      <c r="M216" s="20"/>
      <c r="N216" s="20"/>
    </row>
    <row r="217" spans="8:14" ht="12.75" x14ac:dyDescent="0.2">
      <c r="H217" s="20"/>
      <c r="J217" s="20"/>
      <c r="M217" s="20"/>
      <c r="N217" s="20"/>
    </row>
    <row r="218" spans="8:14" ht="12.75" x14ac:dyDescent="0.2">
      <c r="H218" s="20"/>
      <c r="J218" s="20"/>
      <c r="M218" s="20"/>
      <c r="N218" s="20"/>
    </row>
    <row r="219" spans="8:14" ht="12.75" x14ac:dyDescent="0.2">
      <c r="H219" s="20"/>
      <c r="J219" s="20"/>
      <c r="M219" s="20"/>
      <c r="N219" s="20"/>
    </row>
    <row r="220" spans="8:14" ht="12.75" x14ac:dyDescent="0.2">
      <c r="H220" s="20"/>
      <c r="J220" s="20"/>
      <c r="M220" s="20"/>
      <c r="N220" s="20"/>
    </row>
    <row r="221" spans="8:14" ht="12.75" x14ac:dyDescent="0.2">
      <c r="H221" s="20"/>
      <c r="J221" s="20"/>
      <c r="M221" s="20"/>
      <c r="N221" s="20"/>
    </row>
    <row r="222" spans="8:14" ht="12.75" x14ac:dyDescent="0.2">
      <c r="H222" s="20"/>
      <c r="J222" s="20"/>
      <c r="M222" s="20"/>
      <c r="N222" s="20"/>
    </row>
    <row r="223" spans="8:14" ht="12.75" x14ac:dyDescent="0.2">
      <c r="H223" s="20"/>
      <c r="J223" s="20"/>
      <c r="M223" s="20"/>
      <c r="N223" s="20"/>
    </row>
    <row r="224" spans="8:14" ht="12.75" x14ac:dyDescent="0.2">
      <c r="H224" s="20"/>
      <c r="J224" s="20"/>
      <c r="M224" s="20"/>
      <c r="N224" s="20"/>
    </row>
    <row r="225" spans="8:14" ht="12.75" x14ac:dyDescent="0.2">
      <c r="H225" s="20"/>
      <c r="J225" s="20"/>
      <c r="M225" s="20"/>
      <c r="N225" s="20"/>
    </row>
    <row r="226" spans="8:14" ht="12.75" x14ac:dyDescent="0.2">
      <c r="H226" s="20"/>
      <c r="J226" s="20"/>
      <c r="M226" s="20"/>
      <c r="N226" s="20"/>
    </row>
    <row r="227" spans="8:14" ht="12.75" x14ac:dyDescent="0.2">
      <c r="H227" s="20"/>
      <c r="J227" s="20"/>
      <c r="M227" s="20"/>
      <c r="N227" s="20"/>
    </row>
    <row r="228" spans="8:14" ht="12.75" x14ac:dyDescent="0.2">
      <c r="H228" s="20"/>
      <c r="J228" s="20"/>
      <c r="M228" s="20"/>
      <c r="N228" s="20"/>
    </row>
    <row r="229" spans="8:14" ht="12.75" x14ac:dyDescent="0.2">
      <c r="H229" s="20"/>
      <c r="J229" s="20"/>
      <c r="M229" s="20"/>
      <c r="N229" s="20"/>
    </row>
    <row r="230" spans="8:14" ht="12.75" x14ac:dyDescent="0.2">
      <c r="H230" s="20"/>
      <c r="J230" s="20"/>
      <c r="M230" s="20"/>
      <c r="N230" s="20"/>
    </row>
    <row r="231" spans="8:14" ht="12.75" x14ac:dyDescent="0.2">
      <c r="H231" s="20"/>
      <c r="J231" s="20"/>
      <c r="M231" s="20"/>
      <c r="N231" s="20"/>
    </row>
    <row r="232" spans="8:14" ht="12.75" x14ac:dyDescent="0.2">
      <c r="H232" s="20"/>
      <c r="J232" s="20"/>
      <c r="M232" s="20"/>
      <c r="N232" s="20"/>
    </row>
    <row r="233" spans="8:14" ht="12.75" x14ac:dyDescent="0.2">
      <c r="H233" s="20"/>
      <c r="J233" s="20"/>
      <c r="M233" s="20"/>
      <c r="N233" s="20"/>
    </row>
    <row r="234" spans="8:14" ht="12.75" x14ac:dyDescent="0.2">
      <c r="H234" s="20"/>
      <c r="J234" s="20"/>
      <c r="M234" s="20"/>
      <c r="N234" s="20"/>
    </row>
    <row r="235" spans="8:14" ht="12.75" x14ac:dyDescent="0.2">
      <c r="H235" s="20"/>
      <c r="J235" s="20"/>
      <c r="M235" s="20"/>
      <c r="N235" s="20"/>
    </row>
    <row r="236" spans="8:14" ht="12.75" x14ac:dyDescent="0.2">
      <c r="H236" s="20"/>
      <c r="J236" s="20"/>
      <c r="M236" s="20"/>
      <c r="N236" s="20"/>
    </row>
    <row r="237" spans="8:14" ht="12.75" x14ac:dyDescent="0.2">
      <c r="H237" s="20"/>
      <c r="J237" s="20"/>
      <c r="M237" s="20"/>
      <c r="N237" s="20"/>
    </row>
    <row r="238" spans="8:14" ht="12.75" x14ac:dyDescent="0.2">
      <c r="H238" s="20"/>
      <c r="J238" s="20"/>
      <c r="M238" s="20"/>
      <c r="N238" s="20"/>
    </row>
    <row r="239" spans="8:14" ht="12.75" x14ac:dyDescent="0.2">
      <c r="H239" s="20"/>
      <c r="J239" s="20"/>
      <c r="M239" s="20"/>
      <c r="N239" s="20"/>
    </row>
    <row r="240" spans="8:14" ht="12.75" x14ac:dyDescent="0.2">
      <c r="H240" s="20"/>
      <c r="J240" s="20"/>
      <c r="M240" s="20"/>
      <c r="N240" s="20"/>
    </row>
    <row r="241" spans="8:14" ht="12.75" x14ac:dyDescent="0.2">
      <c r="H241" s="20"/>
      <c r="J241" s="20"/>
      <c r="M241" s="20"/>
      <c r="N241" s="20"/>
    </row>
    <row r="242" spans="8:14" ht="12.75" x14ac:dyDescent="0.2">
      <c r="H242" s="20"/>
      <c r="J242" s="20"/>
      <c r="M242" s="20"/>
      <c r="N242" s="20"/>
    </row>
    <row r="243" spans="8:14" ht="12.75" x14ac:dyDescent="0.2">
      <c r="H243" s="20"/>
      <c r="J243" s="20"/>
      <c r="M243" s="20"/>
      <c r="N243" s="20"/>
    </row>
    <row r="244" spans="8:14" ht="12.75" x14ac:dyDescent="0.2">
      <c r="H244" s="20"/>
      <c r="J244" s="20"/>
      <c r="M244" s="20"/>
      <c r="N244" s="20"/>
    </row>
    <row r="245" spans="8:14" ht="12.75" x14ac:dyDescent="0.2">
      <c r="H245" s="20"/>
      <c r="J245" s="20"/>
      <c r="M245" s="20"/>
      <c r="N245" s="20"/>
    </row>
    <row r="246" spans="8:14" ht="12.75" x14ac:dyDescent="0.2">
      <c r="H246" s="20"/>
      <c r="J246" s="20"/>
      <c r="M246" s="20"/>
      <c r="N246" s="20"/>
    </row>
    <row r="247" spans="8:14" ht="12.75" x14ac:dyDescent="0.2">
      <c r="H247" s="20"/>
      <c r="J247" s="20"/>
      <c r="M247" s="20"/>
      <c r="N247" s="20"/>
    </row>
    <row r="248" spans="8:14" ht="12.75" x14ac:dyDescent="0.2">
      <c r="H248" s="20"/>
      <c r="J248" s="20"/>
      <c r="M248" s="20"/>
      <c r="N248" s="20"/>
    </row>
    <row r="249" spans="8:14" ht="12.75" x14ac:dyDescent="0.2">
      <c r="H249" s="20"/>
      <c r="J249" s="20"/>
      <c r="M249" s="20"/>
      <c r="N249" s="20"/>
    </row>
    <row r="250" spans="8:14" ht="12.75" x14ac:dyDescent="0.2">
      <c r="H250" s="20"/>
      <c r="J250" s="20"/>
      <c r="M250" s="20"/>
      <c r="N250" s="20"/>
    </row>
    <row r="251" spans="8:14" ht="12.75" x14ac:dyDescent="0.2">
      <c r="H251" s="20"/>
      <c r="J251" s="20"/>
      <c r="M251" s="20"/>
      <c r="N251" s="20"/>
    </row>
    <row r="252" spans="8:14" ht="12.75" x14ac:dyDescent="0.2">
      <c r="H252" s="20"/>
      <c r="J252" s="20"/>
      <c r="M252" s="20"/>
      <c r="N252" s="20"/>
    </row>
    <row r="253" spans="8:14" ht="12.75" x14ac:dyDescent="0.2">
      <c r="H253" s="20"/>
      <c r="J253" s="20"/>
      <c r="M253" s="20"/>
      <c r="N253" s="20"/>
    </row>
    <row r="254" spans="8:14" ht="12.75" x14ac:dyDescent="0.2">
      <c r="H254" s="20"/>
      <c r="J254" s="20"/>
      <c r="M254" s="20"/>
      <c r="N254" s="20"/>
    </row>
    <row r="255" spans="8:14" ht="12.75" x14ac:dyDescent="0.2">
      <c r="H255" s="20"/>
      <c r="J255" s="20"/>
      <c r="M255" s="20"/>
      <c r="N255" s="20"/>
    </row>
    <row r="256" spans="8:14" ht="12.75" x14ac:dyDescent="0.2">
      <c r="H256" s="20"/>
      <c r="J256" s="20"/>
      <c r="M256" s="20"/>
      <c r="N256" s="20"/>
    </row>
    <row r="257" spans="8:14" ht="12.75" x14ac:dyDescent="0.2">
      <c r="H257" s="20"/>
      <c r="J257" s="20"/>
      <c r="M257" s="20"/>
      <c r="N257" s="20"/>
    </row>
    <row r="258" spans="8:14" ht="12.75" x14ac:dyDescent="0.2">
      <c r="H258" s="20"/>
      <c r="J258" s="20"/>
      <c r="M258" s="20"/>
      <c r="N258" s="20"/>
    </row>
    <row r="259" spans="8:14" ht="12.75" x14ac:dyDescent="0.2">
      <c r="H259" s="20"/>
      <c r="J259" s="20"/>
      <c r="M259" s="20"/>
      <c r="N259" s="20"/>
    </row>
    <row r="260" spans="8:14" ht="12.75" x14ac:dyDescent="0.2">
      <c r="H260" s="20"/>
      <c r="J260" s="20"/>
      <c r="M260" s="20"/>
      <c r="N260" s="20"/>
    </row>
    <row r="261" spans="8:14" ht="12.75" x14ac:dyDescent="0.2">
      <c r="H261" s="20"/>
      <c r="J261" s="20"/>
      <c r="M261" s="20"/>
      <c r="N261" s="20"/>
    </row>
    <row r="262" spans="8:14" ht="12.75" x14ac:dyDescent="0.2">
      <c r="H262" s="20"/>
      <c r="J262" s="20"/>
      <c r="M262" s="20"/>
      <c r="N262" s="20"/>
    </row>
    <row r="263" spans="8:14" ht="12.75" x14ac:dyDescent="0.2">
      <c r="H263" s="20"/>
      <c r="J263" s="20"/>
      <c r="M263" s="20"/>
      <c r="N263" s="20"/>
    </row>
    <row r="264" spans="8:14" ht="12.75" x14ac:dyDescent="0.2">
      <c r="H264" s="20"/>
      <c r="J264" s="20"/>
      <c r="M264" s="20"/>
      <c r="N264" s="20"/>
    </row>
    <row r="265" spans="8:14" ht="12.75" x14ac:dyDescent="0.2">
      <c r="H265" s="20"/>
      <c r="J265" s="20"/>
      <c r="M265" s="20"/>
      <c r="N265" s="20"/>
    </row>
    <row r="266" spans="8:14" ht="12.75" x14ac:dyDescent="0.2">
      <c r="H266" s="20"/>
      <c r="J266" s="20"/>
      <c r="M266" s="20"/>
      <c r="N266" s="20"/>
    </row>
    <row r="267" spans="8:14" ht="12.75" x14ac:dyDescent="0.2">
      <c r="H267" s="20"/>
      <c r="J267" s="20"/>
      <c r="M267" s="20"/>
      <c r="N267" s="20"/>
    </row>
    <row r="268" spans="8:14" ht="12.75" x14ac:dyDescent="0.2">
      <c r="H268" s="20"/>
      <c r="J268" s="20"/>
      <c r="M268" s="20"/>
      <c r="N268" s="20"/>
    </row>
    <row r="269" spans="8:14" ht="12.75" x14ac:dyDescent="0.2">
      <c r="H269" s="20"/>
      <c r="J269" s="20"/>
      <c r="M269" s="20"/>
      <c r="N269" s="20"/>
    </row>
    <row r="270" spans="8:14" ht="12.75" x14ac:dyDescent="0.2">
      <c r="H270" s="20"/>
      <c r="J270" s="20"/>
      <c r="M270" s="20"/>
      <c r="N270" s="20"/>
    </row>
    <row r="271" spans="8:14" ht="12.75" x14ac:dyDescent="0.2">
      <c r="H271" s="20"/>
      <c r="J271" s="20"/>
      <c r="M271" s="20"/>
      <c r="N271" s="20"/>
    </row>
    <row r="272" spans="8:14" ht="12.75" x14ac:dyDescent="0.2">
      <c r="H272" s="20"/>
      <c r="J272" s="20"/>
      <c r="M272" s="20"/>
      <c r="N272" s="20"/>
    </row>
    <row r="273" spans="8:14" ht="12.75" x14ac:dyDescent="0.2">
      <c r="H273" s="20"/>
      <c r="J273" s="20"/>
      <c r="M273" s="20"/>
      <c r="N273" s="20"/>
    </row>
    <row r="274" spans="8:14" ht="12.75" x14ac:dyDescent="0.2">
      <c r="H274" s="20"/>
      <c r="J274" s="20"/>
      <c r="M274" s="20"/>
      <c r="N274" s="20"/>
    </row>
    <row r="275" spans="8:14" ht="12.75" x14ac:dyDescent="0.2">
      <c r="H275" s="20"/>
      <c r="J275" s="20"/>
      <c r="M275" s="20"/>
      <c r="N275" s="20"/>
    </row>
    <row r="276" spans="8:14" ht="12.75" x14ac:dyDescent="0.2">
      <c r="H276" s="20"/>
      <c r="J276" s="20"/>
      <c r="M276" s="20"/>
      <c r="N276" s="20"/>
    </row>
    <row r="277" spans="8:14" ht="12.75" x14ac:dyDescent="0.2">
      <c r="H277" s="20"/>
      <c r="J277" s="20"/>
      <c r="M277" s="20"/>
      <c r="N277" s="20"/>
    </row>
    <row r="278" spans="8:14" ht="12.75" x14ac:dyDescent="0.2">
      <c r="H278" s="20"/>
      <c r="J278" s="20"/>
      <c r="M278" s="20"/>
      <c r="N278" s="20"/>
    </row>
    <row r="279" spans="8:14" ht="12.75" x14ac:dyDescent="0.2">
      <c r="H279" s="20"/>
      <c r="J279" s="20"/>
      <c r="M279" s="20"/>
      <c r="N279" s="20"/>
    </row>
    <row r="280" spans="8:14" ht="12.75" x14ac:dyDescent="0.2">
      <c r="H280" s="20"/>
      <c r="J280" s="20"/>
      <c r="M280" s="20"/>
      <c r="N280" s="20"/>
    </row>
    <row r="281" spans="8:14" ht="12.75" x14ac:dyDescent="0.2">
      <c r="H281" s="20"/>
      <c r="J281" s="20"/>
      <c r="M281" s="20"/>
      <c r="N281" s="20"/>
    </row>
    <row r="282" spans="8:14" ht="12.75" x14ac:dyDescent="0.2">
      <c r="H282" s="20"/>
      <c r="J282" s="20"/>
      <c r="M282" s="20"/>
      <c r="N282" s="20"/>
    </row>
    <row r="283" spans="8:14" ht="12.75" x14ac:dyDescent="0.2">
      <c r="H283" s="20"/>
      <c r="J283" s="20"/>
      <c r="M283" s="20"/>
      <c r="N283" s="20"/>
    </row>
    <row r="284" spans="8:14" ht="12.75" x14ac:dyDescent="0.2">
      <c r="H284" s="20"/>
      <c r="J284" s="20"/>
      <c r="M284" s="20"/>
      <c r="N284" s="20"/>
    </row>
    <row r="285" spans="8:14" ht="12.75" x14ac:dyDescent="0.2">
      <c r="H285" s="20"/>
      <c r="J285" s="20"/>
      <c r="M285" s="20"/>
      <c r="N285" s="20"/>
    </row>
    <row r="286" spans="8:14" ht="12.75" x14ac:dyDescent="0.2">
      <c r="H286" s="20"/>
      <c r="J286" s="20"/>
      <c r="M286" s="20"/>
      <c r="N286" s="20"/>
    </row>
    <row r="287" spans="8:14" ht="12.75" x14ac:dyDescent="0.2">
      <c r="H287" s="20"/>
      <c r="J287" s="20"/>
      <c r="M287" s="20"/>
      <c r="N287" s="20"/>
    </row>
    <row r="288" spans="8:14" ht="12.75" x14ac:dyDescent="0.2">
      <c r="H288" s="20"/>
      <c r="J288" s="20"/>
      <c r="M288" s="20"/>
      <c r="N288" s="20"/>
    </row>
    <row r="289" spans="8:14" ht="12.75" x14ac:dyDescent="0.2">
      <c r="H289" s="20"/>
      <c r="J289" s="20"/>
      <c r="M289" s="20"/>
      <c r="N289" s="20"/>
    </row>
    <row r="290" spans="8:14" ht="12.75" x14ac:dyDescent="0.2">
      <c r="H290" s="20"/>
      <c r="J290" s="20"/>
      <c r="M290" s="20"/>
      <c r="N290" s="20"/>
    </row>
    <row r="291" spans="8:14" ht="12.75" x14ac:dyDescent="0.2">
      <c r="H291" s="20"/>
      <c r="J291" s="20"/>
      <c r="M291" s="20"/>
      <c r="N291" s="20"/>
    </row>
    <row r="292" spans="8:14" ht="12.75" x14ac:dyDescent="0.2">
      <c r="H292" s="20"/>
      <c r="J292" s="20"/>
      <c r="M292" s="20"/>
      <c r="N292" s="20"/>
    </row>
    <row r="293" spans="8:14" ht="12.75" x14ac:dyDescent="0.2">
      <c r="H293" s="20"/>
      <c r="J293" s="20"/>
      <c r="M293" s="20"/>
      <c r="N293" s="20"/>
    </row>
    <row r="294" spans="8:14" ht="12.75" x14ac:dyDescent="0.2">
      <c r="H294" s="20"/>
      <c r="J294" s="20"/>
      <c r="M294" s="20"/>
      <c r="N294" s="20"/>
    </row>
    <row r="295" spans="8:14" ht="12.75" x14ac:dyDescent="0.2">
      <c r="H295" s="20"/>
      <c r="J295" s="20"/>
      <c r="M295" s="20"/>
      <c r="N295" s="20"/>
    </row>
    <row r="296" spans="8:14" ht="12.75" x14ac:dyDescent="0.2">
      <c r="H296" s="20"/>
      <c r="J296" s="20"/>
      <c r="M296" s="20"/>
      <c r="N296" s="20"/>
    </row>
    <row r="297" spans="8:14" ht="12.75" x14ac:dyDescent="0.2">
      <c r="H297" s="20"/>
      <c r="J297" s="20"/>
      <c r="M297" s="20"/>
      <c r="N297" s="20"/>
    </row>
    <row r="298" spans="8:14" ht="12.75" x14ac:dyDescent="0.2">
      <c r="H298" s="20"/>
      <c r="J298" s="20"/>
      <c r="M298" s="20"/>
      <c r="N298" s="20"/>
    </row>
    <row r="299" spans="8:14" ht="12.75" x14ac:dyDescent="0.2">
      <c r="H299" s="20"/>
      <c r="J299" s="20"/>
      <c r="M299" s="20"/>
      <c r="N299" s="20"/>
    </row>
    <row r="300" spans="8:14" ht="12.75" x14ac:dyDescent="0.2">
      <c r="H300" s="20"/>
      <c r="J300" s="20"/>
      <c r="M300" s="20"/>
      <c r="N300" s="20"/>
    </row>
    <row r="301" spans="8:14" ht="12.75" x14ac:dyDescent="0.2">
      <c r="H301" s="20"/>
      <c r="J301" s="20"/>
      <c r="M301" s="20"/>
      <c r="N301" s="20"/>
    </row>
    <row r="302" spans="8:14" ht="12.75" x14ac:dyDescent="0.2">
      <c r="H302" s="20"/>
      <c r="J302" s="20"/>
      <c r="M302" s="20"/>
      <c r="N302" s="20"/>
    </row>
    <row r="303" spans="8:14" ht="12.75" x14ac:dyDescent="0.2">
      <c r="H303" s="20"/>
      <c r="J303" s="20"/>
      <c r="M303" s="20"/>
      <c r="N303" s="20"/>
    </row>
    <row r="304" spans="8:14" ht="12.75" x14ac:dyDescent="0.2">
      <c r="H304" s="20"/>
      <c r="J304" s="20"/>
      <c r="M304" s="20"/>
      <c r="N304" s="20"/>
    </row>
    <row r="305" spans="8:14" ht="12.75" x14ac:dyDescent="0.2">
      <c r="H305" s="20"/>
      <c r="J305" s="20"/>
      <c r="M305" s="20"/>
      <c r="N305" s="20"/>
    </row>
    <row r="306" spans="8:14" ht="12.75" x14ac:dyDescent="0.2">
      <c r="H306" s="20"/>
      <c r="J306" s="20"/>
      <c r="M306" s="20"/>
      <c r="N306" s="20"/>
    </row>
    <row r="307" spans="8:14" ht="12.75" x14ac:dyDescent="0.2">
      <c r="H307" s="20"/>
      <c r="J307" s="20"/>
      <c r="M307" s="20"/>
      <c r="N307" s="20"/>
    </row>
    <row r="308" spans="8:14" ht="12.75" x14ac:dyDescent="0.2">
      <c r="H308" s="20"/>
      <c r="J308" s="20"/>
      <c r="M308" s="20"/>
      <c r="N308" s="20"/>
    </row>
    <row r="309" spans="8:14" ht="12.75" x14ac:dyDescent="0.2">
      <c r="H309" s="20"/>
      <c r="J309" s="20"/>
      <c r="M309" s="20"/>
      <c r="N309" s="20"/>
    </row>
    <row r="310" spans="8:14" ht="12.75" x14ac:dyDescent="0.2">
      <c r="H310" s="20"/>
      <c r="J310" s="20"/>
      <c r="M310" s="20"/>
      <c r="N310" s="20"/>
    </row>
    <row r="311" spans="8:14" ht="12.75" x14ac:dyDescent="0.2">
      <c r="H311" s="20"/>
      <c r="J311" s="20"/>
      <c r="M311" s="20"/>
      <c r="N311" s="20"/>
    </row>
    <row r="312" spans="8:14" ht="12.75" x14ac:dyDescent="0.2">
      <c r="H312" s="20"/>
      <c r="J312" s="20"/>
      <c r="M312" s="20"/>
      <c r="N312" s="20"/>
    </row>
    <row r="313" spans="8:14" ht="12.75" x14ac:dyDescent="0.2">
      <c r="H313" s="20"/>
      <c r="J313" s="20"/>
      <c r="M313" s="20"/>
      <c r="N313" s="20"/>
    </row>
    <row r="314" spans="8:14" ht="12.75" x14ac:dyDescent="0.2">
      <c r="H314" s="20"/>
      <c r="J314" s="20"/>
      <c r="M314" s="20"/>
      <c r="N314" s="20"/>
    </row>
    <row r="315" spans="8:14" ht="12.75" x14ac:dyDescent="0.2">
      <c r="H315" s="20"/>
      <c r="J315" s="20"/>
      <c r="M315" s="20"/>
      <c r="N315" s="20"/>
    </row>
    <row r="316" spans="8:14" ht="12.75" x14ac:dyDescent="0.2">
      <c r="H316" s="20"/>
      <c r="J316" s="20"/>
      <c r="M316" s="20"/>
      <c r="N316" s="20"/>
    </row>
    <row r="317" spans="8:14" ht="12.75" x14ac:dyDescent="0.2">
      <c r="H317" s="20"/>
      <c r="J317" s="20"/>
      <c r="M317" s="20"/>
      <c r="N317" s="20"/>
    </row>
    <row r="318" spans="8:14" ht="12.75" x14ac:dyDescent="0.2">
      <c r="H318" s="20"/>
      <c r="J318" s="20"/>
      <c r="M318" s="20"/>
      <c r="N318" s="20"/>
    </row>
    <row r="319" spans="8:14" ht="12.75" x14ac:dyDescent="0.2">
      <c r="H319" s="20"/>
      <c r="J319" s="20"/>
      <c r="M319" s="20"/>
      <c r="N319" s="20"/>
    </row>
    <row r="320" spans="8:14" ht="12.75" x14ac:dyDescent="0.2">
      <c r="H320" s="20"/>
      <c r="J320" s="20"/>
      <c r="M320" s="20"/>
      <c r="N320" s="20"/>
    </row>
    <row r="321" spans="8:14" ht="12.75" x14ac:dyDescent="0.2">
      <c r="H321" s="20"/>
      <c r="J321" s="20"/>
      <c r="M321" s="20"/>
      <c r="N321" s="20"/>
    </row>
    <row r="322" spans="8:14" ht="12.75" x14ac:dyDescent="0.2">
      <c r="H322" s="20"/>
      <c r="J322" s="20"/>
      <c r="M322" s="20"/>
      <c r="N322" s="20"/>
    </row>
    <row r="323" spans="8:14" ht="12.75" x14ac:dyDescent="0.2">
      <c r="H323" s="20"/>
      <c r="J323" s="20"/>
      <c r="M323" s="20"/>
      <c r="N323" s="20"/>
    </row>
    <row r="324" spans="8:14" ht="12.75" x14ac:dyDescent="0.2">
      <c r="H324" s="20"/>
      <c r="J324" s="20"/>
      <c r="M324" s="20"/>
      <c r="N324" s="20"/>
    </row>
    <row r="325" spans="8:14" ht="12.75" x14ac:dyDescent="0.2">
      <c r="H325" s="20"/>
      <c r="J325" s="20"/>
      <c r="M325" s="20"/>
      <c r="N325" s="20"/>
    </row>
    <row r="326" spans="8:14" ht="12.75" x14ac:dyDescent="0.2">
      <c r="H326" s="20"/>
      <c r="J326" s="20"/>
      <c r="M326" s="20"/>
      <c r="N326" s="20"/>
    </row>
    <row r="327" spans="8:14" ht="12.75" x14ac:dyDescent="0.2">
      <c r="H327" s="20"/>
      <c r="J327" s="20"/>
      <c r="M327" s="20"/>
      <c r="N327" s="20"/>
    </row>
    <row r="328" spans="8:14" ht="12.75" x14ac:dyDescent="0.2">
      <c r="H328" s="20"/>
      <c r="J328" s="20"/>
      <c r="M328" s="20"/>
      <c r="N328" s="20"/>
    </row>
    <row r="329" spans="8:14" ht="12.75" x14ac:dyDescent="0.2">
      <c r="H329" s="20"/>
      <c r="J329" s="20"/>
      <c r="M329" s="20"/>
      <c r="N329" s="20"/>
    </row>
    <row r="330" spans="8:14" ht="12.75" x14ac:dyDescent="0.2">
      <c r="H330" s="20"/>
      <c r="J330" s="20"/>
      <c r="M330" s="20"/>
      <c r="N330" s="20"/>
    </row>
    <row r="331" spans="8:14" ht="12.75" x14ac:dyDescent="0.2">
      <c r="H331" s="20"/>
      <c r="J331" s="20"/>
      <c r="M331" s="20"/>
      <c r="N331" s="20"/>
    </row>
    <row r="332" spans="8:14" ht="12.75" x14ac:dyDescent="0.2">
      <c r="H332" s="20"/>
      <c r="J332" s="20"/>
      <c r="M332" s="20"/>
      <c r="N332" s="20"/>
    </row>
    <row r="333" spans="8:14" ht="12.75" x14ac:dyDescent="0.2">
      <c r="H333" s="20"/>
      <c r="J333" s="20"/>
      <c r="M333" s="20"/>
      <c r="N333" s="20"/>
    </row>
    <row r="334" spans="8:14" ht="12.75" x14ac:dyDescent="0.2">
      <c r="H334" s="20"/>
      <c r="J334" s="20"/>
      <c r="M334" s="20"/>
      <c r="N334" s="20"/>
    </row>
    <row r="335" spans="8:14" ht="12.75" x14ac:dyDescent="0.2">
      <c r="H335" s="20"/>
      <c r="J335" s="20"/>
      <c r="M335" s="20"/>
      <c r="N335" s="20"/>
    </row>
    <row r="336" spans="8:14" ht="12.75" x14ac:dyDescent="0.2">
      <c r="H336" s="20"/>
      <c r="J336" s="20"/>
      <c r="M336" s="20"/>
      <c r="N336" s="20"/>
    </row>
    <row r="337" spans="8:14" ht="12.75" x14ac:dyDescent="0.2">
      <c r="H337" s="20"/>
      <c r="J337" s="20"/>
      <c r="M337" s="20"/>
      <c r="N337" s="20"/>
    </row>
    <row r="338" spans="8:14" ht="12.75" x14ac:dyDescent="0.2">
      <c r="H338" s="20"/>
      <c r="J338" s="20"/>
      <c r="M338" s="20"/>
      <c r="N338" s="20"/>
    </row>
    <row r="339" spans="8:14" ht="12.75" x14ac:dyDescent="0.2">
      <c r="H339" s="20"/>
      <c r="J339" s="20"/>
      <c r="M339" s="20"/>
      <c r="N339" s="20"/>
    </row>
    <row r="340" spans="8:14" ht="12.75" x14ac:dyDescent="0.2">
      <c r="H340" s="20"/>
      <c r="J340" s="20"/>
      <c r="M340" s="20"/>
      <c r="N340" s="20"/>
    </row>
    <row r="341" spans="8:14" ht="12.75" x14ac:dyDescent="0.2">
      <c r="H341" s="20"/>
      <c r="J341" s="20"/>
      <c r="M341" s="20"/>
      <c r="N341" s="20"/>
    </row>
    <row r="342" spans="8:14" ht="12.75" x14ac:dyDescent="0.2">
      <c r="H342" s="20"/>
      <c r="J342" s="20"/>
      <c r="M342" s="20"/>
      <c r="N342" s="20"/>
    </row>
    <row r="343" spans="8:14" ht="12.75" x14ac:dyDescent="0.2">
      <c r="H343" s="20"/>
      <c r="J343" s="20"/>
      <c r="M343" s="20"/>
      <c r="N343" s="20"/>
    </row>
    <row r="344" spans="8:14" ht="12.75" x14ac:dyDescent="0.2">
      <c r="H344" s="20"/>
      <c r="J344" s="20"/>
      <c r="M344" s="20"/>
      <c r="N344" s="20"/>
    </row>
    <row r="345" spans="8:14" ht="12.75" x14ac:dyDescent="0.2">
      <c r="H345" s="20"/>
      <c r="J345" s="20"/>
      <c r="M345" s="20"/>
      <c r="N345" s="20"/>
    </row>
    <row r="346" spans="8:14" ht="12.75" x14ac:dyDescent="0.2">
      <c r="H346" s="20"/>
      <c r="J346" s="20"/>
      <c r="M346" s="20"/>
      <c r="N346" s="20"/>
    </row>
    <row r="347" spans="8:14" ht="12.75" x14ac:dyDescent="0.2">
      <c r="H347" s="20"/>
      <c r="J347" s="20"/>
      <c r="M347" s="20"/>
      <c r="N347" s="20"/>
    </row>
    <row r="348" spans="8:14" ht="12.75" x14ac:dyDescent="0.2">
      <c r="H348" s="20"/>
      <c r="J348" s="20"/>
      <c r="M348" s="20"/>
      <c r="N348" s="20"/>
    </row>
    <row r="349" spans="8:14" ht="12.75" x14ac:dyDescent="0.2">
      <c r="H349" s="20"/>
      <c r="J349" s="20"/>
      <c r="M349" s="20"/>
      <c r="N349" s="20"/>
    </row>
    <row r="350" spans="8:14" ht="12.75" x14ac:dyDescent="0.2">
      <c r="H350" s="20"/>
      <c r="J350" s="20"/>
      <c r="M350" s="20"/>
      <c r="N350" s="20"/>
    </row>
    <row r="351" spans="8:14" ht="12.75" x14ac:dyDescent="0.2">
      <c r="H351" s="20"/>
      <c r="J351" s="20"/>
      <c r="M351" s="20"/>
      <c r="N351" s="20"/>
    </row>
    <row r="352" spans="8:14" ht="12.75" x14ac:dyDescent="0.2">
      <c r="H352" s="20"/>
      <c r="J352" s="20"/>
      <c r="M352" s="20"/>
      <c r="N352" s="20"/>
    </row>
    <row r="353" spans="8:14" ht="12.75" x14ac:dyDescent="0.2">
      <c r="H353" s="20"/>
      <c r="J353" s="20"/>
      <c r="M353" s="20"/>
      <c r="N353" s="20"/>
    </row>
    <row r="354" spans="8:14" ht="12.75" x14ac:dyDescent="0.2">
      <c r="H354" s="20"/>
      <c r="J354" s="20"/>
      <c r="M354" s="20"/>
      <c r="N354" s="20"/>
    </row>
    <row r="355" spans="8:14" ht="12.75" x14ac:dyDescent="0.2">
      <c r="H355" s="20"/>
      <c r="J355" s="20"/>
      <c r="M355" s="20"/>
      <c r="N355" s="20"/>
    </row>
    <row r="356" spans="8:14" ht="12.75" x14ac:dyDescent="0.2">
      <c r="H356" s="20"/>
      <c r="J356" s="20"/>
      <c r="M356" s="20"/>
      <c r="N356" s="20"/>
    </row>
    <row r="357" spans="8:14" ht="12.75" x14ac:dyDescent="0.2">
      <c r="H357" s="20"/>
      <c r="J357" s="20"/>
      <c r="M357" s="20"/>
      <c r="N357" s="20"/>
    </row>
    <row r="358" spans="8:14" ht="12.75" x14ac:dyDescent="0.2">
      <c r="H358" s="20"/>
      <c r="J358" s="20"/>
      <c r="M358" s="20"/>
      <c r="N358" s="20"/>
    </row>
    <row r="359" spans="8:14" ht="12.75" x14ac:dyDescent="0.2">
      <c r="H359" s="20"/>
      <c r="J359" s="20"/>
      <c r="M359" s="20"/>
      <c r="N359" s="20"/>
    </row>
    <row r="360" spans="8:14" ht="12.75" x14ac:dyDescent="0.2">
      <c r="H360" s="20"/>
      <c r="J360" s="20"/>
      <c r="M360" s="20"/>
      <c r="N360" s="20"/>
    </row>
    <row r="361" spans="8:14" ht="12.75" x14ac:dyDescent="0.2">
      <c r="H361" s="20"/>
      <c r="J361" s="20"/>
      <c r="M361" s="20"/>
      <c r="N361" s="20"/>
    </row>
    <row r="362" spans="8:14" ht="12.75" x14ac:dyDescent="0.2">
      <c r="H362" s="20"/>
      <c r="J362" s="20"/>
      <c r="M362" s="20"/>
      <c r="N362" s="20"/>
    </row>
    <row r="363" spans="8:14" ht="12.75" x14ac:dyDescent="0.2">
      <c r="H363" s="20"/>
      <c r="J363" s="20"/>
      <c r="M363" s="20"/>
      <c r="N363" s="20"/>
    </row>
    <row r="364" spans="8:14" ht="12.75" x14ac:dyDescent="0.2">
      <c r="H364" s="20"/>
      <c r="J364" s="20"/>
      <c r="M364" s="20"/>
      <c r="N364" s="20"/>
    </row>
    <row r="365" spans="8:14" ht="12.75" x14ac:dyDescent="0.2">
      <c r="H365" s="20"/>
      <c r="J365" s="20"/>
      <c r="M365" s="20"/>
      <c r="N365" s="20"/>
    </row>
    <row r="366" spans="8:14" ht="12.75" x14ac:dyDescent="0.2">
      <c r="H366" s="20"/>
      <c r="J366" s="20"/>
      <c r="M366" s="20"/>
      <c r="N366" s="20"/>
    </row>
    <row r="367" spans="8:14" ht="12.75" x14ac:dyDescent="0.2">
      <c r="H367" s="20"/>
      <c r="J367" s="20"/>
      <c r="M367" s="20"/>
      <c r="N367" s="20"/>
    </row>
    <row r="368" spans="8:14" ht="12.75" x14ac:dyDescent="0.2">
      <c r="H368" s="20"/>
      <c r="J368" s="20"/>
      <c r="M368" s="20"/>
      <c r="N368" s="20"/>
    </row>
    <row r="369" spans="8:14" ht="12.75" x14ac:dyDescent="0.2">
      <c r="H369" s="20"/>
      <c r="J369" s="20"/>
      <c r="M369" s="20"/>
      <c r="N369" s="20"/>
    </row>
    <row r="370" spans="8:14" ht="12.75" x14ac:dyDescent="0.2">
      <c r="H370" s="20"/>
      <c r="J370" s="20"/>
      <c r="M370" s="20"/>
      <c r="N370" s="20"/>
    </row>
    <row r="371" spans="8:14" ht="12.75" x14ac:dyDescent="0.2">
      <c r="H371" s="20"/>
      <c r="J371" s="20"/>
      <c r="M371" s="20"/>
      <c r="N371" s="20"/>
    </row>
    <row r="372" spans="8:14" ht="12.75" x14ac:dyDescent="0.2">
      <c r="H372" s="20"/>
      <c r="J372" s="20"/>
      <c r="M372" s="20"/>
      <c r="N372" s="20"/>
    </row>
    <row r="373" spans="8:14" ht="12.75" x14ac:dyDescent="0.2">
      <c r="H373" s="20"/>
      <c r="J373" s="20"/>
      <c r="M373" s="20"/>
      <c r="N373" s="20"/>
    </row>
    <row r="374" spans="8:14" ht="12.75" x14ac:dyDescent="0.2">
      <c r="H374" s="20"/>
      <c r="J374" s="20"/>
      <c r="M374" s="20"/>
      <c r="N374" s="20"/>
    </row>
    <row r="375" spans="8:14" ht="12.75" x14ac:dyDescent="0.2">
      <c r="H375" s="20"/>
      <c r="J375" s="20"/>
      <c r="M375" s="20"/>
      <c r="N375" s="20"/>
    </row>
    <row r="376" spans="8:14" ht="12.75" x14ac:dyDescent="0.2">
      <c r="H376" s="20"/>
      <c r="J376" s="20"/>
      <c r="M376" s="20"/>
      <c r="N376" s="20"/>
    </row>
    <row r="377" spans="8:14" ht="12.75" x14ac:dyDescent="0.2">
      <c r="H377" s="20"/>
      <c r="J377" s="20"/>
      <c r="M377" s="20"/>
      <c r="N377" s="20"/>
    </row>
    <row r="378" spans="8:14" ht="12.75" x14ac:dyDescent="0.2">
      <c r="H378" s="20"/>
      <c r="J378" s="20"/>
      <c r="M378" s="20"/>
      <c r="N378" s="20"/>
    </row>
    <row r="379" spans="8:14" ht="12.75" x14ac:dyDescent="0.2">
      <c r="H379" s="20"/>
      <c r="J379" s="20"/>
      <c r="M379" s="20"/>
      <c r="N379" s="20"/>
    </row>
    <row r="380" spans="8:14" ht="12.75" x14ac:dyDescent="0.2">
      <c r="H380" s="20"/>
      <c r="J380" s="20"/>
      <c r="M380" s="20"/>
      <c r="N380" s="20"/>
    </row>
    <row r="381" spans="8:14" ht="12.75" x14ac:dyDescent="0.2">
      <c r="H381" s="20"/>
      <c r="J381" s="20"/>
      <c r="M381" s="20"/>
      <c r="N381" s="20"/>
    </row>
    <row r="382" spans="8:14" ht="12.75" x14ac:dyDescent="0.2">
      <c r="H382" s="20"/>
      <c r="J382" s="20"/>
      <c r="M382" s="20"/>
      <c r="N382" s="20"/>
    </row>
    <row r="383" spans="8:14" ht="12.75" x14ac:dyDescent="0.2">
      <c r="H383" s="20"/>
      <c r="J383" s="20"/>
      <c r="M383" s="20"/>
      <c r="N383" s="20"/>
    </row>
    <row r="384" spans="8:14" ht="12.75" x14ac:dyDescent="0.2">
      <c r="H384" s="20"/>
      <c r="J384" s="20"/>
      <c r="M384" s="20"/>
      <c r="N384" s="20"/>
    </row>
    <row r="385" spans="8:14" ht="12.75" x14ac:dyDescent="0.2">
      <c r="H385" s="20"/>
      <c r="J385" s="20"/>
      <c r="M385" s="20"/>
      <c r="N385" s="20"/>
    </row>
    <row r="386" spans="8:14" ht="12.75" x14ac:dyDescent="0.2">
      <c r="H386" s="20"/>
      <c r="J386" s="20"/>
      <c r="M386" s="20"/>
      <c r="N386" s="20"/>
    </row>
    <row r="387" spans="8:14" ht="12.75" x14ac:dyDescent="0.2">
      <c r="H387" s="20"/>
      <c r="J387" s="20"/>
      <c r="M387" s="20"/>
      <c r="N387" s="20"/>
    </row>
    <row r="388" spans="8:14" ht="12.75" x14ac:dyDescent="0.2">
      <c r="H388" s="20"/>
      <c r="J388" s="20"/>
      <c r="M388" s="20"/>
      <c r="N388" s="20"/>
    </row>
    <row r="389" spans="8:14" ht="12.75" x14ac:dyDescent="0.2">
      <c r="H389" s="20"/>
      <c r="J389" s="20"/>
      <c r="M389" s="20"/>
      <c r="N389" s="20"/>
    </row>
    <row r="390" spans="8:14" ht="12.75" x14ac:dyDescent="0.2">
      <c r="H390" s="20"/>
      <c r="J390" s="20"/>
      <c r="M390" s="20"/>
      <c r="N390" s="20"/>
    </row>
    <row r="391" spans="8:14" ht="12.75" x14ac:dyDescent="0.2">
      <c r="H391" s="20"/>
      <c r="J391" s="20"/>
      <c r="M391" s="20"/>
      <c r="N391" s="20"/>
    </row>
    <row r="392" spans="8:14" ht="12.75" x14ac:dyDescent="0.2">
      <c r="H392" s="20"/>
      <c r="J392" s="20"/>
      <c r="M392" s="20"/>
      <c r="N392" s="20"/>
    </row>
    <row r="393" spans="8:14" ht="12.75" x14ac:dyDescent="0.2">
      <c r="H393" s="20"/>
      <c r="J393" s="20"/>
      <c r="M393" s="20"/>
      <c r="N393" s="20"/>
    </row>
    <row r="394" spans="8:14" ht="12.75" x14ac:dyDescent="0.2">
      <c r="H394" s="20"/>
      <c r="J394" s="20"/>
      <c r="M394" s="20"/>
      <c r="N394" s="20"/>
    </row>
    <row r="395" spans="8:14" ht="12.75" x14ac:dyDescent="0.2">
      <c r="H395" s="20"/>
      <c r="J395" s="20"/>
      <c r="M395" s="20"/>
      <c r="N395" s="20"/>
    </row>
    <row r="396" spans="8:14" ht="12.75" x14ac:dyDescent="0.2">
      <c r="H396" s="20"/>
      <c r="J396" s="20"/>
      <c r="M396" s="20"/>
      <c r="N396" s="20"/>
    </row>
    <row r="397" spans="8:14" ht="12.75" x14ac:dyDescent="0.2">
      <c r="H397" s="20"/>
      <c r="J397" s="20"/>
      <c r="M397" s="20"/>
      <c r="N397" s="20"/>
    </row>
    <row r="398" spans="8:14" ht="12.75" x14ac:dyDescent="0.2">
      <c r="H398" s="20"/>
      <c r="J398" s="20"/>
      <c r="M398" s="20"/>
      <c r="N398" s="20"/>
    </row>
    <row r="399" spans="8:14" ht="12.75" x14ac:dyDescent="0.2">
      <c r="H399" s="20"/>
      <c r="J399" s="20"/>
      <c r="M399" s="20"/>
      <c r="N399" s="20"/>
    </row>
    <row r="400" spans="8:14" ht="12.75" x14ac:dyDescent="0.2">
      <c r="H400" s="20"/>
      <c r="J400" s="20"/>
      <c r="M400" s="20"/>
      <c r="N400" s="20"/>
    </row>
    <row r="401" spans="8:14" ht="12.75" x14ac:dyDescent="0.2">
      <c r="H401" s="20"/>
      <c r="J401" s="20"/>
      <c r="M401" s="20"/>
      <c r="N401" s="20"/>
    </row>
    <row r="402" spans="8:14" ht="12.75" x14ac:dyDescent="0.2">
      <c r="H402" s="20"/>
      <c r="J402" s="20"/>
      <c r="M402" s="20"/>
      <c r="N402" s="20"/>
    </row>
    <row r="403" spans="8:14" ht="12.75" x14ac:dyDescent="0.2">
      <c r="H403" s="20"/>
      <c r="J403" s="20"/>
      <c r="M403" s="20"/>
      <c r="N403" s="20"/>
    </row>
    <row r="404" spans="8:14" ht="12.75" x14ac:dyDescent="0.2">
      <c r="H404" s="20"/>
      <c r="J404" s="20"/>
      <c r="M404" s="20"/>
      <c r="N404" s="20"/>
    </row>
    <row r="405" spans="8:14" ht="12.75" x14ac:dyDescent="0.2">
      <c r="H405" s="20"/>
      <c r="J405" s="20"/>
      <c r="M405" s="20"/>
      <c r="N405" s="20"/>
    </row>
    <row r="406" spans="8:14" ht="12.75" x14ac:dyDescent="0.2">
      <c r="H406" s="20"/>
      <c r="J406" s="20"/>
      <c r="M406" s="20"/>
      <c r="N406" s="20"/>
    </row>
    <row r="407" spans="8:14" ht="12.75" x14ac:dyDescent="0.2">
      <c r="H407" s="20"/>
      <c r="J407" s="20"/>
      <c r="M407" s="20"/>
      <c r="N407" s="20"/>
    </row>
    <row r="408" spans="8:14" ht="12.75" x14ac:dyDescent="0.2">
      <c r="H408" s="20"/>
      <c r="J408" s="20"/>
      <c r="M408" s="20"/>
      <c r="N408" s="20"/>
    </row>
    <row r="409" spans="8:14" ht="12.75" x14ac:dyDescent="0.2">
      <c r="H409" s="20"/>
      <c r="J409" s="20"/>
      <c r="M409" s="20"/>
      <c r="N409" s="20"/>
    </row>
    <row r="410" spans="8:14" ht="12.75" x14ac:dyDescent="0.2">
      <c r="H410" s="20"/>
      <c r="J410" s="20"/>
      <c r="M410" s="20"/>
      <c r="N410" s="20"/>
    </row>
    <row r="411" spans="8:14" ht="12.75" x14ac:dyDescent="0.2">
      <c r="H411" s="20"/>
      <c r="J411" s="20"/>
      <c r="M411" s="20"/>
      <c r="N411" s="20"/>
    </row>
    <row r="412" spans="8:14" ht="12.75" x14ac:dyDescent="0.2">
      <c r="H412" s="20"/>
      <c r="J412" s="20"/>
      <c r="M412" s="20"/>
      <c r="N412" s="20"/>
    </row>
    <row r="413" spans="8:14" ht="12.75" x14ac:dyDescent="0.2">
      <c r="H413" s="20"/>
      <c r="J413" s="20"/>
      <c r="M413" s="20"/>
      <c r="N413" s="20"/>
    </row>
    <row r="414" spans="8:14" ht="12.75" x14ac:dyDescent="0.2">
      <c r="H414" s="20"/>
      <c r="J414" s="20"/>
      <c r="M414" s="20"/>
      <c r="N414" s="20"/>
    </row>
    <row r="415" spans="8:14" ht="12.75" x14ac:dyDescent="0.2">
      <c r="H415" s="20"/>
      <c r="J415" s="20"/>
      <c r="M415" s="20"/>
      <c r="N415" s="20"/>
    </row>
    <row r="416" spans="8:14" ht="12.75" x14ac:dyDescent="0.2">
      <c r="H416" s="20"/>
      <c r="J416" s="20"/>
      <c r="M416" s="20"/>
      <c r="N416" s="20"/>
    </row>
    <row r="417" spans="8:14" ht="12.75" x14ac:dyDescent="0.2">
      <c r="H417" s="20"/>
      <c r="J417" s="20"/>
      <c r="M417" s="20"/>
      <c r="N417" s="20"/>
    </row>
    <row r="418" spans="8:14" ht="12.75" x14ac:dyDescent="0.2">
      <c r="H418" s="20"/>
      <c r="J418" s="20"/>
      <c r="M418" s="20"/>
      <c r="N418" s="20"/>
    </row>
    <row r="419" spans="8:14" ht="12.75" x14ac:dyDescent="0.2">
      <c r="H419" s="20"/>
      <c r="J419" s="20"/>
      <c r="M419" s="20"/>
      <c r="N419" s="20"/>
    </row>
    <row r="420" spans="8:14" ht="12.75" x14ac:dyDescent="0.2">
      <c r="H420" s="20"/>
      <c r="J420" s="20"/>
      <c r="M420" s="20"/>
      <c r="N420" s="20"/>
    </row>
    <row r="421" spans="8:14" ht="12.75" x14ac:dyDescent="0.2">
      <c r="H421" s="20"/>
      <c r="J421" s="20"/>
      <c r="M421" s="20"/>
      <c r="N421" s="20"/>
    </row>
    <row r="422" spans="8:14" ht="12.75" x14ac:dyDescent="0.2">
      <c r="H422" s="20"/>
      <c r="J422" s="20"/>
      <c r="M422" s="20"/>
      <c r="N422" s="20"/>
    </row>
    <row r="423" spans="8:14" ht="12.75" x14ac:dyDescent="0.2">
      <c r="H423" s="20"/>
      <c r="J423" s="20"/>
      <c r="M423" s="20"/>
      <c r="N423" s="20"/>
    </row>
    <row r="424" spans="8:14" ht="12.75" x14ac:dyDescent="0.2">
      <c r="H424" s="20"/>
      <c r="J424" s="20"/>
      <c r="M424" s="20"/>
      <c r="N424" s="20"/>
    </row>
    <row r="425" spans="8:14" ht="12.75" x14ac:dyDescent="0.2">
      <c r="H425" s="20"/>
      <c r="J425" s="20"/>
      <c r="M425" s="20"/>
      <c r="N425" s="20"/>
    </row>
    <row r="426" spans="8:14" ht="12.75" x14ac:dyDescent="0.2">
      <c r="H426" s="20"/>
      <c r="J426" s="20"/>
      <c r="M426" s="20"/>
      <c r="N426" s="20"/>
    </row>
    <row r="427" spans="8:14" ht="12.75" x14ac:dyDescent="0.2">
      <c r="H427" s="20"/>
      <c r="J427" s="20"/>
      <c r="M427" s="20"/>
      <c r="N427" s="20"/>
    </row>
    <row r="428" spans="8:14" ht="12.75" x14ac:dyDescent="0.2">
      <c r="H428" s="20"/>
      <c r="J428" s="20"/>
      <c r="M428" s="20"/>
      <c r="N428" s="20"/>
    </row>
    <row r="429" spans="8:14" ht="12.75" x14ac:dyDescent="0.2">
      <c r="H429" s="20"/>
      <c r="J429" s="20"/>
      <c r="M429" s="20"/>
      <c r="N429" s="20"/>
    </row>
    <row r="430" spans="8:14" ht="12.75" x14ac:dyDescent="0.2">
      <c r="H430" s="20"/>
      <c r="J430" s="20"/>
      <c r="M430" s="20"/>
      <c r="N430" s="20"/>
    </row>
    <row r="431" spans="8:14" ht="12.75" x14ac:dyDescent="0.2">
      <c r="H431" s="20"/>
      <c r="J431" s="20"/>
      <c r="M431" s="20"/>
      <c r="N431" s="20"/>
    </row>
    <row r="432" spans="8:14" ht="12.75" x14ac:dyDescent="0.2">
      <c r="H432" s="20"/>
      <c r="J432" s="20"/>
      <c r="M432" s="20"/>
      <c r="N432" s="20"/>
    </row>
    <row r="433" spans="8:14" ht="12.75" x14ac:dyDescent="0.2">
      <c r="H433" s="20"/>
      <c r="J433" s="20"/>
      <c r="M433" s="20"/>
      <c r="N433" s="20"/>
    </row>
    <row r="434" spans="8:14" ht="12.75" x14ac:dyDescent="0.2">
      <c r="H434" s="20"/>
      <c r="J434" s="20"/>
      <c r="M434" s="20"/>
      <c r="N434" s="20"/>
    </row>
    <row r="435" spans="8:14" ht="12.75" x14ac:dyDescent="0.2">
      <c r="H435" s="20"/>
      <c r="J435" s="20"/>
      <c r="M435" s="20"/>
      <c r="N435" s="20"/>
    </row>
    <row r="436" spans="8:14" ht="12.75" x14ac:dyDescent="0.2">
      <c r="H436" s="20"/>
      <c r="J436" s="20"/>
      <c r="M436" s="20"/>
      <c r="N436" s="20"/>
    </row>
    <row r="437" spans="8:14" ht="12.75" x14ac:dyDescent="0.2">
      <c r="H437" s="20"/>
      <c r="J437" s="20"/>
      <c r="M437" s="20"/>
      <c r="N437" s="20"/>
    </row>
    <row r="438" spans="8:14" ht="12.75" x14ac:dyDescent="0.2">
      <c r="H438" s="20"/>
      <c r="J438" s="20"/>
      <c r="M438" s="20"/>
      <c r="N438" s="20"/>
    </row>
    <row r="439" spans="8:14" ht="12.75" x14ac:dyDescent="0.2">
      <c r="H439" s="20"/>
      <c r="J439" s="20"/>
      <c r="M439" s="20"/>
      <c r="N439" s="20"/>
    </row>
    <row r="440" spans="8:14" ht="12.75" x14ac:dyDescent="0.2">
      <c r="H440" s="20"/>
      <c r="J440" s="20"/>
      <c r="M440" s="20"/>
      <c r="N440" s="20"/>
    </row>
    <row r="441" spans="8:14" ht="12.75" x14ac:dyDescent="0.2">
      <c r="H441" s="20"/>
      <c r="J441" s="20"/>
      <c r="M441" s="20"/>
      <c r="N441" s="20"/>
    </row>
    <row r="442" spans="8:14" ht="12.75" x14ac:dyDescent="0.2">
      <c r="H442" s="20"/>
      <c r="J442" s="20"/>
      <c r="M442" s="20"/>
      <c r="N442" s="20"/>
    </row>
    <row r="443" spans="8:14" ht="12.75" x14ac:dyDescent="0.2">
      <c r="H443" s="20"/>
      <c r="J443" s="20"/>
      <c r="M443" s="20"/>
      <c r="N443" s="20"/>
    </row>
    <row r="444" spans="8:14" ht="12.75" x14ac:dyDescent="0.2">
      <c r="H444" s="20"/>
      <c r="J444" s="20"/>
      <c r="M444" s="20"/>
      <c r="N444" s="20"/>
    </row>
    <row r="445" spans="8:14" ht="12.75" x14ac:dyDescent="0.2">
      <c r="H445" s="20"/>
      <c r="J445" s="20"/>
      <c r="M445" s="20"/>
      <c r="N445" s="20"/>
    </row>
    <row r="446" spans="8:14" ht="12.75" x14ac:dyDescent="0.2">
      <c r="H446" s="20"/>
      <c r="J446" s="20"/>
      <c r="M446" s="20"/>
      <c r="N446" s="20"/>
    </row>
    <row r="447" spans="8:14" ht="12.75" x14ac:dyDescent="0.2">
      <c r="H447" s="20"/>
      <c r="J447" s="20"/>
      <c r="M447" s="20"/>
      <c r="N447" s="20"/>
    </row>
    <row r="448" spans="8:14" ht="12.75" x14ac:dyDescent="0.2">
      <c r="H448" s="20"/>
      <c r="J448" s="20"/>
      <c r="M448" s="20"/>
      <c r="N448" s="20"/>
    </row>
    <row r="449" spans="8:14" ht="12.75" x14ac:dyDescent="0.2">
      <c r="H449" s="20"/>
      <c r="J449" s="20"/>
      <c r="M449" s="20"/>
      <c r="N449" s="20"/>
    </row>
    <row r="450" spans="8:14" ht="12.75" x14ac:dyDescent="0.2">
      <c r="H450" s="20"/>
      <c r="J450" s="20"/>
      <c r="M450" s="20"/>
      <c r="N450" s="20"/>
    </row>
    <row r="451" spans="8:14" ht="12.75" x14ac:dyDescent="0.2">
      <c r="H451" s="20"/>
      <c r="J451" s="20"/>
      <c r="M451" s="20"/>
      <c r="N451" s="20"/>
    </row>
    <row r="452" spans="8:14" ht="12.75" x14ac:dyDescent="0.2">
      <c r="H452" s="20"/>
      <c r="J452" s="20"/>
      <c r="M452" s="20"/>
      <c r="N452" s="20"/>
    </row>
    <row r="453" spans="8:14" ht="12.75" x14ac:dyDescent="0.2">
      <c r="H453" s="20"/>
      <c r="J453" s="20"/>
      <c r="M453" s="20"/>
      <c r="N453" s="20"/>
    </row>
    <row r="454" spans="8:14" ht="12.75" x14ac:dyDescent="0.2">
      <c r="H454" s="20"/>
      <c r="J454" s="20"/>
      <c r="M454" s="20"/>
      <c r="N454" s="20"/>
    </row>
    <row r="455" spans="8:14" ht="12.75" x14ac:dyDescent="0.2">
      <c r="H455" s="20"/>
      <c r="J455" s="20"/>
      <c r="M455" s="20"/>
      <c r="N455" s="20"/>
    </row>
    <row r="456" spans="8:14" ht="12.75" x14ac:dyDescent="0.2">
      <c r="H456" s="20"/>
      <c r="J456" s="20"/>
      <c r="M456" s="20"/>
      <c r="N456" s="20"/>
    </row>
    <row r="457" spans="8:14" ht="12.75" x14ac:dyDescent="0.2">
      <c r="H457" s="20"/>
      <c r="J457" s="20"/>
      <c r="M457" s="20"/>
      <c r="N457" s="20"/>
    </row>
    <row r="458" spans="8:14" ht="12.75" x14ac:dyDescent="0.2">
      <c r="H458" s="20"/>
      <c r="J458" s="20"/>
      <c r="M458" s="20"/>
      <c r="N458" s="20"/>
    </row>
    <row r="459" spans="8:14" ht="12.75" x14ac:dyDescent="0.2">
      <c r="H459" s="20"/>
      <c r="J459" s="20"/>
      <c r="M459" s="20"/>
      <c r="N459" s="20"/>
    </row>
    <row r="460" spans="8:14" ht="12.75" x14ac:dyDescent="0.2">
      <c r="H460" s="20"/>
      <c r="J460" s="20"/>
      <c r="M460" s="20"/>
      <c r="N460" s="20"/>
    </row>
    <row r="461" spans="8:14" ht="12.75" x14ac:dyDescent="0.2">
      <c r="H461" s="20"/>
      <c r="J461" s="20"/>
      <c r="M461" s="20"/>
      <c r="N461" s="20"/>
    </row>
    <row r="462" spans="8:14" ht="12.75" x14ac:dyDescent="0.2">
      <c r="H462" s="20"/>
      <c r="J462" s="20"/>
      <c r="M462" s="20"/>
      <c r="N462" s="20"/>
    </row>
    <row r="463" spans="8:14" ht="12.75" x14ac:dyDescent="0.2">
      <c r="H463" s="20"/>
      <c r="J463" s="20"/>
      <c r="M463" s="20"/>
      <c r="N463" s="20"/>
    </row>
    <row r="464" spans="8:14" ht="12.75" x14ac:dyDescent="0.2">
      <c r="H464" s="20"/>
      <c r="J464" s="20"/>
      <c r="M464" s="20"/>
      <c r="N464" s="20"/>
    </row>
    <row r="465" spans="8:14" ht="12.75" x14ac:dyDescent="0.2">
      <c r="H465" s="20"/>
      <c r="J465" s="20"/>
      <c r="M465" s="20"/>
      <c r="N465" s="20"/>
    </row>
    <row r="466" spans="8:14" ht="12.75" x14ac:dyDescent="0.2">
      <c r="H466" s="20"/>
      <c r="J466" s="20"/>
      <c r="M466" s="20"/>
      <c r="N466" s="20"/>
    </row>
    <row r="467" spans="8:14" ht="12.75" x14ac:dyDescent="0.2">
      <c r="H467" s="20"/>
      <c r="J467" s="20"/>
      <c r="M467" s="20"/>
      <c r="N467" s="20"/>
    </row>
    <row r="468" spans="8:14" ht="12.75" x14ac:dyDescent="0.2">
      <c r="H468" s="20"/>
      <c r="J468" s="20"/>
      <c r="M468" s="20"/>
      <c r="N468" s="20"/>
    </row>
    <row r="469" spans="8:14" ht="12.75" x14ac:dyDescent="0.2">
      <c r="H469" s="20"/>
      <c r="J469" s="20"/>
      <c r="M469" s="20"/>
      <c r="N469" s="20"/>
    </row>
    <row r="470" spans="8:14" ht="12.75" x14ac:dyDescent="0.2">
      <c r="H470" s="20"/>
      <c r="J470" s="20"/>
      <c r="M470" s="20"/>
      <c r="N470" s="20"/>
    </row>
    <row r="471" spans="8:14" ht="12.75" x14ac:dyDescent="0.2">
      <c r="H471" s="20"/>
      <c r="J471" s="20"/>
      <c r="M471" s="20"/>
      <c r="N471" s="20"/>
    </row>
    <row r="472" spans="8:14" ht="12.75" x14ac:dyDescent="0.2">
      <c r="H472" s="20"/>
      <c r="J472" s="20"/>
      <c r="M472" s="20"/>
      <c r="N472" s="20"/>
    </row>
    <row r="473" spans="8:14" ht="12.75" x14ac:dyDescent="0.2">
      <c r="H473" s="20"/>
      <c r="J473" s="20"/>
      <c r="M473" s="20"/>
      <c r="N473" s="20"/>
    </row>
    <row r="474" spans="8:14" ht="12.75" x14ac:dyDescent="0.2">
      <c r="H474" s="20"/>
      <c r="J474" s="20"/>
      <c r="M474" s="20"/>
      <c r="N474" s="20"/>
    </row>
    <row r="475" spans="8:14" ht="12.75" x14ac:dyDescent="0.2">
      <c r="H475" s="20"/>
      <c r="J475" s="20"/>
      <c r="M475" s="20"/>
      <c r="N475" s="20"/>
    </row>
    <row r="476" spans="8:14" ht="12.75" x14ac:dyDescent="0.2">
      <c r="H476" s="20"/>
      <c r="J476" s="20"/>
      <c r="M476" s="20"/>
      <c r="N476" s="20"/>
    </row>
    <row r="477" spans="8:14" ht="12.75" x14ac:dyDescent="0.2">
      <c r="H477" s="20"/>
      <c r="J477" s="20"/>
      <c r="M477" s="20"/>
      <c r="N477" s="20"/>
    </row>
    <row r="478" spans="8:14" ht="12.75" x14ac:dyDescent="0.2">
      <c r="H478" s="20"/>
      <c r="J478" s="20"/>
      <c r="M478" s="20"/>
      <c r="N478" s="20"/>
    </row>
    <row r="479" spans="8:14" ht="12.75" x14ac:dyDescent="0.2">
      <c r="H479" s="20"/>
      <c r="J479" s="20"/>
      <c r="M479" s="20"/>
      <c r="N479" s="20"/>
    </row>
    <row r="480" spans="8:14" ht="12.75" x14ac:dyDescent="0.2">
      <c r="H480" s="20"/>
      <c r="J480" s="20"/>
      <c r="M480" s="20"/>
      <c r="N480" s="20"/>
    </row>
    <row r="481" spans="8:14" ht="12.75" x14ac:dyDescent="0.2">
      <c r="H481" s="20"/>
      <c r="J481" s="20"/>
      <c r="M481" s="20"/>
      <c r="N481" s="20"/>
    </row>
    <row r="482" spans="8:14" ht="12.75" x14ac:dyDescent="0.2">
      <c r="H482" s="20"/>
      <c r="J482" s="20"/>
      <c r="M482" s="20"/>
      <c r="N482" s="20"/>
    </row>
    <row r="483" spans="8:14" ht="12.75" x14ac:dyDescent="0.2">
      <c r="H483" s="20"/>
      <c r="J483" s="20"/>
      <c r="M483" s="20"/>
      <c r="N483" s="20"/>
    </row>
    <row r="484" spans="8:14" ht="12.75" x14ac:dyDescent="0.2">
      <c r="H484" s="20"/>
      <c r="J484" s="20"/>
      <c r="M484" s="20"/>
      <c r="N484" s="20"/>
    </row>
    <row r="485" spans="8:14" ht="12.75" x14ac:dyDescent="0.2">
      <c r="H485" s="20"/>
      <c r="J485" s="20"/>
      <c r="M485" s="20"/>
      <c r="N485" s="20"/>
    </row>
    <row r="486" spans="8:14" ht="12.75" x14ac:dyDescent="0.2">
      <c r="H486" s="20"/>
      <c r="J486" s="20"/>
      <c r="M486" s="20"/>
      <c r="N486" s="20"/>
    </row>
    <row r="487" spans="8:14" ht="12.75" x14ac:dyDescent="0.2">
      <c r="H487" s="20"/>
      <c r="J487" s="20"/>
      <c r="M487" s="20"/>
      <c r="N487" s="20"/>
    </row>
    <row r="488" spans="8:14" ht="12.75" x14ac:dyDescent="0.2">
      <c r="H488" s="20"/>
      <c r="J488" s="20"/>
      <c r="M488" s="20"/>
      <c r="N488" s="20"/>
    </row>
    <row r="489" spans="8:14" ht="12.75" x14ac:dyDescent="0.2">
      <c r="H489" s="20"/>
      <c r="J489" s="20"/>
      <c r="M489" s="20"/>
      <c r="N489" s="20"/>
    </row>
    <row r="490" spans="8:14" ht="12.75" x14ac:dyDescent="0.2">
      <c r="H490" s="20"/>
      <c r="J490" s="20"/>
      <c r="M490" s="20"/>
      <c r="N490" s="20"/>
    </row>
    <row r="491" spans="8:14" ht="12.75" x14ac:dyDescent="0.2">
      <c r="H491" s="20"/>
      <c r="J491" s="20"/>
      <c r="M491" s="20"/>
      <c r="N491" s="20"/>
    </row>
    <row r="492" spans="8:14" ht="12.75" x14ac:dyDescent="0.2">
      <c r="H492" s="20"/>
      <c r="J492" s="20"/>
      <c r="M492" s="20"/>
      <c r="N492" s="20"/>
    </row>
    <row r="493" spans="8:14" ht="12.75" x14ac:dyDescent="0.2">
      <c r="H493" s="20"/>
      <c r="J493" s="20"/>
      <c r="M493" s="20"/>
      <c r="N493" s="20"/>
    </row>
    <row r="494" spans="8:14" ht="12.75" x14ac:dyDescent="0.2">
      <c r="H494" s="20"/>
      <c r="J494" s="20"/>
      <c r="M494" s="20"/>
      <c r="N494" s="20"/>
    </row>
    <row r="495" spans="8:14" ht="12.75" x14ac:dyDescent="0.2">
      <c r="H495" s="20"/>
      <c r="J495" s="20"/>
      <c r="M495" s="20"/>
      <c r="N495" s="20"/>
    </row>
    <row r="496" spans="8:14" ht="12.75" x14ac:dyDescent="0.2">
      <c r="H496" s="20"/>
      <c r="J496" s="20"/>
      <c r="M496" s="20"/>
      <c r="N496" s="20"/>
    </row>
    <row r="497" spans="8:14" ht="12.75" x14ac:dyDescent="0.2">
      <c r="H497" s="20"/>
      <c r="J497" s="20"/>
      <c r="M497" s="20"/>
      <c r="N497" s="20"/>
    </row>
    <row r="498" spans="8:14" ht="12.75" x14ac:dyDescent="0.2">
      <c r="H498" s="20"/>
      <c r="J498" s="20"/>
      <c r="M498" s="20"/>
      <c r="N498" s="20"/>
    </row>
    <row r="499" spans="8:14" ht="12.75" x14ac:dyDescent="0.2">
      <c r="H499" s="20"/>
      <c r="J499" s="20"/>
      <c r="M499" s="20"/>
      <c r="N499" s="20"/>
    </row>
    <row r="500" spans="8:14" ht="12.75" x14ac:dyDescent="0.2">
      <c r="H500" s="20"/>
      <c r="J500" s="20"/>
      <c r="M500" s="20"/>
      <c r="N500" s="20"/>
    </row>
    <row r="501" spans="8:14" ht="12.75" x14ac:dyDescent="0.2">
      <c r="H501" s="20"/>
      <c r="J501" s="20"/>
      <c r="M501" s="20"/>
      <c r="N501" s="20"/>
    </row>
    <row r="502" spans="8:14" ht="12.75" x14ac:dyDescent="0.2">
      <c r="H502" s="20"/>
      <c r="J502" s="20"/>
      <c r="M502" s="20"/>
      <c r="N502" s="20"/>
    </row>
    <row r="503" spans="8:14" ht="12.75" x14ac:dyDescent="0.2">
      <c r="H503" s="20"/>
      <c r="J503" s="20"/>
      <c r="M503" s="20"/>
      <c r="N503" s="20"/>
    </row>
    <row r="504" spans="8:14" ht="12.75" x14ac:dyDescent="0.2">
      <c r="H504" s="20"/>
      <c r="J504" s="20"/>
      <c r="M504" s="20"/>
      <c r="N504" s="20"/>
    </row>
    <row r="505" spans="8:14" ht="12.75" x14ac:dyDescent="0.2">
      <c r="H505" s="20"/>
      <c r="J505" s="20"/>
      <c r="M505" s="20"/>
      <c r="N505" s="20"/>
    </row>
    <row r="506" spans="8:14" ht="12.75" x14ac:dyDescent="0.2">
      <c r="H506" s="20"/>
      <c r="J506" s="20"/>
      <c r="M506" s="20"/>
      <c r="N506" s="20"/>
    </row>
    <row r="507" spans="8:14" ht="12.75" x14ac:dyDescent="0.2">
      <c r="H507" s="20"/>
      <c r="J507" s="20"/>
      <c r="M507" s="20"/>
      <c r="N507" s="20"/>
    </row>
    <row r="508" spans="8:14" ht="12.75" x14ac:dyDescent="0.2">
      <c r="H508" s="20"/>
      <c r="J508" s="20"/>
      <c r="M508" s="20"/>
      <c r="N508" s="20"/>
    </row>
    <row r="509" spans="8:14" ht="12.75" x14ac:dyDescent="0.2">
      <c r="H509" s="20"/>
      <c r="J509" s="20"/>
      <c r="M509" s="20"/>
      <c r="N509" s="20"/>
    </row>
    <row r="510" spans="8:14" ht="12.75" x14ac:dyDescent="0.2">
      <c r="H510" s="20"/>
      <c r="J510" s="20"/>
      <c r="M510" s="20"/>
      <c r="N510" s="20"/>
    </row>
    <row r="511" spans="8:14" ht="12.75" x14ac:dyDescent="0.2">
      <c r="H511" s="20"/>
      <c r="J511" s="20"/>
      <c r="M511" s="20"/>
      <c r="N511" s="20"/>
    </row>
    <row r="512" spans="8:14" ht="12.75" x14ac:dyDescent="0.2">
      <c r="H512" s="20"/>
      <c r="J512" s="20"/>
      <c r="M512" s="20"/>
      <c r="N512" s="20"/>
    </row>
    <row r="513" spans="8:14" ht="12.75" x14ac:dyDescent="0.2">
      <c r="H513" s="20"/>
      <c r="J513" s="20"/>
      <c r="M513" s="20"/>
      <c r="N513" s="20"/>
    </row>
    <row r="514" spans="8:14" ht="12.75" x14ac:dyDescent="0.2">
      <c r="H514" s="20"/>
      <c r="J514" s="20"/>
      <c r="M514" s="20"/>
      <c r="N514" s="20"/>
    </row>
    <row r="515" spans="8:14" ht="12.75" x14ac:dyDescent="0.2">
      <c r="H515" s="20"/>
      <c r="J515" s="20"/>
      <c r="M515" s="20"/>
      <c r="N515" s="20"/>
    </row>
    <row r="516" spans="8:14" ht="12.75" x14ac:dyDescent="0.2">
      <c r="H516" s="20"/>
      <c r="J516" s="20"/>
      <c r="M516" s="20"/>
      <c r="N516" s="20"/>
    </row>
    <row r="517" spans="8:14" ht="12.75" x14ac:dyDescent="0.2">
      <c r="H517" s="20"/>
      <c r="J517" s="20"/>
      <c r="M517" s="20"/>
      <c r="N517" s="20"/>
    </row>
    <row r="518" spans="8:14" ht="12.75" x14ac:dyDescent="0.2">
      <c r="H518" s="20"/>
      <c r="J518" s="20"/>
      <c r="M518" s="20"/>
      <c r="N518" s="20"/>
    </row>
    <row r="519" spans="8:14" ht="12.75" x14ac:dyDescent="0.2">
      <c r="H519" s="20"/>
      <c r="J519" s="20"/>
      <c r="M519" s="20"/>
      <c r="N519" s="20"/>
    </row>
    <row r="520" spans="8:14" ht="12.75" x14ac:dyDescent="0.2">
      <c r="H520" s="20"/>
      <c r="J520" s="20"/>
      <c r="M520" s="20"/>
      <c r="N520" s="20"/>
    </row>
    <row r="521" spans="8:14" ht="12.75" x14ac:dyDescent="0.2">
      <c r="H521" s="20"/>
      <c r="J521" s="20"/>
      <c r="M521" s="20"/>
      <c r="N521" s="20"/>
    </row>
    <row r="522" spans="8:14" ht="12.75" x14ac:dyDescent="0.2">
      <c r="H522" s="20"/>
      <c r="J522" s="20"/>
      <c r="M522" s="20"/>
      <c r="N522" s="20"/>
    </row>
    <row r="523" spans="8:14" ht="12.75" x14ac:dyDescent="0.2">
      <c r="H523" s="20"/>
      <c r="J523" s="20"/>
      <c r="M523" s="20"/>
      <c r="N523" s="20"/>
    </row>
    <row r="524" spans="8:14" ht="12.75" x14ac:dyDescent="0.2">
      <c r="H524" s="20"/>
      <c r="J524" s="20"/>
      <c r="M524" s="20"/>
      <c r="N524" s="20"/>
    </row>
    <row r="525" spans="8:14" ht="12.75" x14ac:dyDescent="0.2">
      <c r="H525" s="20"/>
      <c r="J525" s="20"/>
      <c r="M525" s="20"/>
      <c r="N525" s="20"/>
    </row>
    <row r="526" spans="8:14" ht="12.75" x14ac:dyDescent="0.2">
      <c r="H526" s="20"/>
      <c r="J526" s="20"/>
      <c r="M526" s="20"/>
      <c r="N526" s="20"/>
    </row>
    <row r="527" spans="8:14" ht="12.75" x14ac:dyDescent="0.2">
      <c r="H527" s="20"/>
      <c r="J527" s="20"/>
      <c r="M527" s="20"/>
      <c r="N527" s="20"/>
    </row>
    <row r="528" spans="8:14" ht="12.75" x14ac:dyDescent="0.2">
      <c r="H528" s="20"/>
      <c r="J528" s="20"/>
      <c r="M528" s="20"/>
      <c r="N528" s="20"/>
    </row>
    <row r="529" spans="8:14" ht="12.75" x14ac:dyDescent="0.2">
      <c r="H529" s="20"/>
      <c r="J529" s="20"/>
      <c r="M529" s="20"/>
      <c r="N529" s="20"/>
    </row>
    <row r="530" spans="8:14" ht="12.75" x14ac:dyDescent="0.2">
      <c r="H530" s="20"/>
      <c r="J530" s="20"/>
      <c r="M530" s="20"/>
      <c r="N530" s="20"/>
    </row>
    <row r="531" spans="8:14" ht="12.75" x14ac:dyDescent="0.2">
      <c r="H531" s="20"/>
      <c r="J531" s="20"/>
      <c r="M531" s="20"/>
      <c r="N531" s="20"/>
    </row>
    <row r="532" spans="8:14" ht="12.75" x14ac:dyDescent="0.2">
      <c r="H532" s="20"/>
      <c r="J532" s="20"/>
      <c r="M532" s="20"/>
      <c r="N532" s="20"/>
    </row>
    <row r="533" spans="8:14" ht="12.75" x14ac:dyDescent="0.2">
      <c r="H533" s="20"/>
      <c r="J533" s="20"/>
      <c r="M533" s="20"/>
      <c r="N533" s="20"/>
    </row>
    <row r="534" spans="8:14" ht="12.75" x14ac:dyDescent="0.2">
      <c r="H534" s="20"/>
      <c r="J534" s="20"/>
      <c r="M534" s="20"/>
      <c r="N534" s="20"/>
    </row>
    <row r="535" spans="8:14" ht="12.75" x14ac:dyDescent="0.2">
      <c r="H535" s="20"/>
      <c r="J535" s="20"/>
      <c r="M535" s="20"/>
      <c r="N535" s="20"/>
    </row>
    <row r="536" spans="8:14" ht="12.75" x14ac:dyDescent="0.2">
      <c r="H536" s="20"/>
      <c r="J536" s="20"/>
      <c r="M536" s="20"/>
      <c r="N536" s="20"/>
    </row>
    <row r="537" spans="8:14" ht="12.75" x14ac:dyDescent="0.2">
      <c r="H537" s="20"/>
      <c r="J537" s="20"/>
      <c r="M537" s="20"/>
      <c r="N537" s="20"/>
    </row>
    <row r="538" spans="8:14" ht="12.75" x14ac:dyDescent="0.2">
      <c r="H538" s="20"/>
      <c r="J538" s="20"/>
      <c r="M538" s="20"/>
      <c r="N538" s="20"/>
    </row>
    <row r="539" spans="8:14" ht="12.75" x14ac:dyDescent="0.2">
      <c r="H539" s="20"/>
      <c r="J539" s="20"/>
      <c r="M539" s="20"/>
      <c r="N539" s="20"/>
    </row>
    <row r="540" spans="8:14" ht="12.75" x14ac:dyDescent="0.2">
      <c r="H540" s="20"/>
      <c r="J540" s="20"/>
      <c r="M540" s="20"/>
      <c r="N540" s="20"/>
    </row>
    <row r="541" spans="8:14" ht="12.75" x14ac:dyDescent="0.2">
      <c r="H541" s="20"/>
      <c r="J541" s="20"/>
      <c r="M541" s="20"/>
      <c r="N541" s="20"/>
    </row>
    <row r="542" spans="8:14" ht="12.75" x14ac:dyDescent="0.2">
      <c r="H542" s="20"/>
      <c r="J542" s="20"/>
      <c r="M542" s="20"/>
      <c r="N542" s="20"/>
    </row>
    <row r="543" spans="8:14" ht="12.75" x14ac:dyDescent="0.2">
      <c r="H543" s="20"/>
      <c r="J543" s="20"/>
      <c r="M543" s="20"/>
      <c r="N543" s="20"/>
    </row>
    <row r="544" spans="8:14" ht="12.75" x14ac:dyDescent="0.2">
      <c r="H544" s="20"/>
      <c r="J544" s="20"/>
      <c r="M544" s="20"/>
      <c r="N544" s="20"/>
    </row>
    <row r="545" spans="8:14" ht="12.75" x14ac:dyDescent="0.2">
      <c r="H545" s="20"/>
      <c r="J545" s="20"/>
      <c r="M545" s="20"/>
      <c r="N545" s="20"/>
    </row>
    <row r="546" spans="8:14" ht="12.75" x14ac:dyDescent="0.2">
      <c r="H546" s="20"/>
      <c r="J546" s="20"/>
      <c r="M546" s="20"/>
      <c r="N546" s="20"/>
    </row>
    <row r="547" spans="8:14" ht="12.75" x14ac:dyDescent="0.2">
      <c r="H547" s="20"/>
      <c r="J547" s="20"/>
      <c r="M547" s="20"/>
      <c r="N547" s="20"/>
    </row>
    <row r="548" spans="8:14" ht="12.75" x14ac:dyDescent="0.2">
      <c r="H548" s="20"/>
      <c r="J548" s="20"/>
      <c r="M548" s="20"/>
      <c r="N548" s="20"/>
    </row>
    <row r="549" spans="8:14" ht="12.75" x14ac:dyDescent="0.2">
      <c r="H549" s="20"/>
      <c r="J549" s="20"/>
      <c r="M549" s="20"/>
      <c r="N549" s="20"/>
    </row>
    <row r="550" spans="8:14" ht="12.75" x14ac:dyDescent="0.2">
      <c r="H550" s="20"/>
      <c r="J550" s="20"/>
      <c r="M550" s="20"/>
      <c r="N550" s="20"/>
    </row>
    <row r="551" spans="8:14" ht="12.75" x14ac:dyDescent="0.2">
      <c r="H551" s="20"/>
      <c r="J551" s="20"/>
      <c r="M551" s="20"/>
      <c r="N551" s="20"/>
    </row>
    <row r="552" spans="8:14" ht="12.75" x14ac:dyDescent="0.2">
      <c r="H552" s="20"/>
      <c r="J552" s="20"/>
      <c r="M552" s="20"/>
      <c r="N552" s="20"/>
    </row>
    <row r="553" spans="8:14" ht="12.75" x14ac:dyDescent="0.2">
      <c r="H553" s="20"/>
      <c r="J553" s="20"/>
      <c r="M553" s="20"/>
      <c r="N553" s="20"/>
    </row>
    <row r="554" spans="8:14" ht="12.75" x14ac:dyDescent="0.2">
      <c r="H554" s="20"/>
      <c r="J554" s="20"/>
      <c r="M554" s="20"/>
      <c r="N554" s="20"/>
    </row>
    <row r="555" spans="8:14" ht="12.75" x14ac:dyDescent="0.2">
      <c r="H555" s="20"/>
      <c r="J555" s="20"/>
      <c r="M555" s="20"/>
      <c r="N555" s="20"/>
    </row>
    <row r="556" spans="8:14" ht="12.75" x14ac:dyDescent="0.2">
      <c r="H556" s="20"/>
      <c r="J556" s="20"/>
      <c r="M556" s="20"/>
      <c r="N556" s="20"/>
    </row>
    <row r="557" spans="8:14" ht="12.75" x14ac:dyDescent="0.2">
      <c r="H557" s="20"/>
      <c r="J557" s="20"/>
      <c r="M557" s="20"/>
      <c r="N557" s="20"/>
    </row>
    <row r="558" spans="8:14" ht="12.75" x14ac:dyDescent="0.2">
      <c r="H558" s="20"/>
      <c r="J558" s="20"/>
      <c r="M558" s="20"/>
      <c r="N558" s="20"/>
    </row>
    <row r="559" spans="8:14" ht="12.75" x14ac:dyDescent="0.2">
      <c r="H559" s="20"/>
      <c r="J559" s="20"/>
      <c r="M559" s="20"/>
      <c r="N559" s="20"/>
    </row>
    <row r="560" spans="8:14" ht="12.75" x14ac:dyDescent="0.2">
      <c r="H560" s="20"/>
      <c r="J560" s="20"/>
      <c r="M560" s="20"/>
      <c r="N560" s="20"/>
    </row>
    <row r="561" spans="8:14" ht="12.75" x14ac:dyDescent="0.2">
      <c r="H561" s="20"/>
      <c r="J561" s="20"/>
      <c r="M561" s="20"/>
      <c r="N561" s="20"/>
    </row>
    <row r="562" spans="8:14" ht="12.75" x14ac:dyDescent="0.2">
      <c r="H562" s="20"/>
      <c r="J562" s="20"/>
      <c r="M562" s="20"/>
      <c r="N562" s="20"/>
    </row>
    <row r="563" spans="8:14" ht="12.75" x14ac:dyDescent="0.2">
      <c r="H563" s="20"/>
      <c r="J563" s="20"/>
      <c r="M563" s="20"/>
      <c r="N563" s="20"/>
    </row>
    <row r="564" spans="8:14" ht="12.75" x14ac:dyDescent="0.2">
      <c r="H564" s="20"/>
      <c r="J564" s="20"/>
      <c r="M564" s="20"/>
      <c r="N564" s="20"/>
    </row>
    <row r="565" spans="8:14" ht="12.75" x14ac:dyDescent="0.2">
      <c r="H565" s="20"/>
      <c r="J565" s="20"/>
      <c r="M565" s="20"/>
      <c r="N565" s="20"/>
    </row>
    <row r="566" spans="8:14" ht="12.75" x14ac:dyDescent="0.2">
      <c r="H566" s="20"/>
      <c r="J566" s="20"/>
      <c r="M566" s="20"/>
      <c r="N566" s="20"/>
    </row>
    <row r="567" spans="8:14" ht="12.75" x14ac:dyDescent="0.2">
      <c r="H567" s="20"/>
      <c r="J567" s="20"/>
      <c r="M567" s="20"/>
      <c r="N567" s="20"/>
    </row>
    <row r="568" spans="8:14" ht="12.75" x14ac:dyDescent="0.2">
      <c r="H568" s="20"/>
      <c r="J568" s="20"/>
      <c r="M568" s="20"/>
      <c r="N568" s="20"/>
    </row>
    <row r="569" spans="8:14" ht="12.75" x14ac:dyDescent="0.2">
      <c r="H569" s="20"/>
      <c r="J569" s="20"/>
      <c r="M569" s="20"/>
      <c r="N569" s="20"/>
    </row>
    <row r="570" spans="8:14" ht="12.75" x14ac:dyDescent="0.2">
      <c r="H570" s="20"/>
      <c r="J570" s="20"/>
      <c r="M570" s="20"/>
      <c r="N570" s="20"/>
    </row>
    <row r="571" spans="8:14" ht="12.75" x14ac:dyDescent="0.2">
      <c r="H571" s="20"/>
      <c r="J571" s="20"/>
      <c r="M571" s="20"/>
      <c r="N571" s="20"/>
    </row>
    <row r="572" spans="8:14" ht="12.75" x14ac:dyDescent="0.2">
      <c r="H572" s="20"/>
      <c r="J572" s="20"/>
      <c r="M572" s="20"/>
      <c r="N572" s="20"/>
    </row>
    <row r="573" spans="8:14" ht="12.75" x14ac:dyDescent="0.2">
      <c r="H573" s="20"/>
      <c r="J573" s="20"/>
      <c r="M573" s="20"/>
      <c r="N573" s="20"/>
    </row>
    <row r="574" spans="8:14" ht="12.75" x14ac:dyDescent="0.2">
      <c r="H574" s="20"/>
      <c r="J574" s="20"/>
      <c r="M574" s="20"/>
      <c r="N574" s="20"/>
    </row>
    <row r="575" spans="8:14" ht="12.75" x14ac:dyDescent="0.2">
      <c r="H575" s="20"/>
      <c r="J575" s="20"/>
      <c r="M575" s="20"/>
      <c r="N575" s="20"/>
    </row>
    <row r="576" spans="8:14" ht="12.75" x14ac:dyDescent="0.2">
      <c r="H576" s="20"/>
      <c r="J576" s="20"/>
      <c r="M576" s="20"/>
      <c r="N576" s="20"/>
    </row>
    <row r="577" spans="8:14" ht="12.75" x14ac:dyDescent="0.2">
      <c r="H577" s="20"/>
      <c r="J577" s="20"/>
      <c r="M577" s="20"/>
      <c r="N577" s="20"/>
    </row>
    <row r="578" spans="8:14" ht="12.75" x14ac:dyDescent="0.2">
      <c r="H578" s="20"/>
      <c r="J578" s="20"/>
      <c r="M578" s="20"/>
      <c r="N578" s="20"/>
    </row>
    <row r="579" spans="8:14" ht="12.75" x14ac:dyDescent="0.2">
      <c r="H579" s="20"/>
      <c r="J579" s="20"/>
      <c r="M579" s="20"/>
      <c r="N579" s="20"/>
    </row>
    <row r="580" spans="8:14" ht="12.75" x14ac:dyDescent="0.2">
      <c r="H580" s="20"/>
      <c r="J580" s="20"/>
      <c r="M580" s="20"/>
      <c r="N580" s="20"/>
    </row>
    <row r="581" spans="8:14" ht="12.75" x14ac:dyDescent="0.2">
      <c r="H581" s="20"/>
      <c r="J581" s="20"/>
      <c r="M581" s="20"/>
      <c r="N581" s="20"/>
    </row>
    <row r="582" spans="8:14" ht="12.75" x14ac:dyDescent="0.2">
      <c r="H582" s="20"/>
      <c r="J582" s="20"/>
      <c r="M582" s="20"/>
      <c r="N582" s="20"/>
    </row>
    <row r="583" spans="8:14" ht="12.75" x14ac:dyDescent="0.2">
      <c r="H583" s="20"/>
      <c r="J583" s="20"/>
      <c r="M583" s="20"/>
      <c r="N583" s="20"/>
    </row>
    <row r="584" spans="8:14" ht="12.75" x14ac:dyDescent="0.2">
      <c r="H584" s="20"/>
      <c r="J584" s="20"/>
      <c r="M584" s="20"/>
      <c r="N584" s="20"/>
    </row>
    <row r="585" spans="8:14" ht="12.75" x14ac:dyDescent="0.2">
      <c r="H585" s="20"/>
      <c r="J585" s="20"/>
      <c r="M585" s="20"/>
      <c r="N585" s="20"/>
    </row>
    <row r="586" spans="8:14" ht="12.75" x14ac:dyDescent="0.2">
      <c r="H586" s="20"/>
      <c r="J586" s="20"/>
      <c r="M586" s="20"/>
      <c r="N586" s="20"/>
    </row>
    <row r="587" spans="8:14" ht="12.75" x14ac:dyDescent="0.2">
      <c r="H587" s="20"/>
      <c r="J587" s="20"/>
      <c r="M587" s="20"/>
      <c r="N587" s="20"/>
    </row>
    <row r="588" spans="8:14" ht="12.75" x14ac:dyDescent="0.2">
      <c r="H588" s="20"/>
      <c r="J588" s="20"/>
      <c r="M588" s="20"/>
      <c r="N588" s="20"/>
    </row>
    <row r="589" spans="8:14" ht="12.75" x14ac:dyDescent="0.2">
      <c r="H589" s="20"/>
      <c r="J589" s="20"/>
      <c r="M589" s="20"/>
      <c r="N589" s="20"/>
    </row>
    <row r="590" spans="8:14" ht="12.75" x14ac:dyDescent="0.2">
      <c r="H590" s="20"/>
      <c r="J590" s="20"/>
      <c r="M590" s="20"/>
      <c r="N590" s="20"/>
    </row>
    <row r="591" spans="8:14" ht="12.75" x14ac:dyDescent="0.2">
      <c r="H591" s="20"/>
      <c r="J591" s="20"/>
      <c r="M591" s="20"/>
      <c r="N591" s="20"/>
    </row>
    <row r="592" spans="8:14" ht="12.75" x14ac:dyDescent="0.2">
      <c r="H592" s="20"/>
      <c r="J592" s="20"/>
      <c r="M592" s="20"/>
      <c r="N592" s="20"/>
    </row>
    <row r="593" spans="8:14" ht="12.75" x14ac:dyDescent="0.2">
      <c r="H593" s="20"/>
      <c r="J593" s="20"/>
      <c r="M593" s="20"/>
      <c r="N593" s="20"/>
    </row>
    <row r="594" spans="8:14" ht="12.75" x14ac:dyDescent="0.2">
      <c r="H594" s="20"/>
      <c r="J594" s="20"/>
      <c r="M594" s="20"/>
      <c r="N594" s="20"/>
    </row>
    <row r="595" spans="8:14" ht="12.75" x14ac:dyDescent="0.2">
      <c r="H595" s="20"/>
      <c r="J595" s="20"/>
      <c r="M595" s="20"/>
      <c r="N595" s="20"/>
    </row>
    <row r="596" spans="8:14" ht="12.75" x14ac:dyDescent="0.2">
      <c r="H596" s="20"/>
      <c r="J596" s="20"/>
      <c r="M596" s="20"/>
      <c r="N596" s="20"/>
    </row>
    <row r="597" spans="8:14" ht="12.75" x14ac:dyDescent="0.2">
      <c r="H597" s="20"/>
      <c r="J597" s="20"/>
      <c r="M597" s="20"/>
      <c r="N597" s="20"/>
    </row>
    <row r="598" spans="8:14" ht="12.75" x14ac:dyDescent="0.2">
      <c r="H598" s="20"/>
      <c r="J598" s="20"/>
      <c r="M598" s="20"/>
      <c r="N598" s="20"/>
    </row>
    <row r="599" spans="8:14" ht="12.75" x14ac:dyDescent="0.2">
      <c r="H599" s="20"/>
      <c r="J599" s="20"/>
      <c r="M599" s="20"/>
      <c r="N599" s="20"/>
    </row>
    <row r="600" spans="8:14" ht="12.75" x14ac:dyDescent="0.2">
      <c r="H600" s="20"/>
      <c r="J600" s="20"/>
      <c r="M600" s="20"/>
      <c r="N600" s="20"/>
    </row>
    <row r="601" spans="8:14" ht="12.75" x14ac:dyDescent="0.2">
      <c r="H601" s="20"/>
      <c r="J601" s="20"/>
      <c r="M601" s="20"/>
      <c r="N601" s="20"/>
    </row>
    <row r="602" spans="8:14" ht="12.75" x14ac:dyDescent="0.2">
      <c r="H602" s="20"/>
      <c r="J602" s="20"/>
      <c r="M602" s="20"/>
      <c r="N602" s="20"/>
    </row>
    <row r="603" spans="8:14" ht="12.75" x14ac:dyDescent="0.2">
      <c r="H603" s="20"/>
      <c r="J603" s="20"/>
      <c r="M603" s="20"/>
      <c r="N603" s="20"/>
    </row>
    <row r="604" spans="8:14" ht="12.75" x14ac:dyDescent="0.2">
      <c r="H604" s="20"/>
      <c r="J604" s="20"/>
      <c r="M604" s="20"/>
      <c r="N604" s="20"/>
    </row>
    <row r="605" spans="8:14" ht="12.75" x14ac:dyDescent="0.2">
      <c r="H605" s="20"/>
      <c r="J605" s="20"/>
      <c r="M605" s="20"/>
      <c r="N605" s="20"/>
    </row>
    <row r="606" spans="8:14" ht="12.75" x14ac:dyDescent="0.2">
      <c r="H606" s="20"/>
      <c r="J606" s="20"/>
      <c r="M606" s="20"/>
      <c r="N606" s="20"/>
    </row>
    <row r="607" spans="8:14" ht="12.75" x14ac:dyDescent="0.2">
      <c r="H607" s="20"/>
      <c r="J607" s="20"/>
      <c r="M607" s="20"/>
      <c r="N607" s="20"/>
    </row>
    <row r="608" spans="8:14" ht="12.75" x14ac:dyDescent="0.2">
      <c r="H608" s="20"/>
      <c r="J608" s="20"/>
      <c r="M608" s="20"/>
      <c r="N608" s="20"/>
    </row>
    <row r="609" spans="8:14" ht="12.75" x14ac:dyDescent="0.2">
      <c r="H609" s="20"/>
      <c r="J609" s="20"/>
      <c r="M609" s="20"/>
      <c r="N609" s="20"/>
    </row>
    <row r="610" spans="8:14" ht="12.75" x14ac:dyDescent="0.2">
      <c r="H610" s="20"/>
      <c r="J610" s="20"/>
      <c r="M610" s="20"/>
      <c r="N610" s="20"/>
    </row>
    <row r="611" spans="8:14" ht="12.75" x14ac:dyDescent="0.2">
      <c r="H611" s="20"/>
      <c r="J611" s="20"/>
      <c r="M611" s="20"/>
      <c r="N611" s="20"/>
    </row>
    <row r="612" spans="8:14" ht="12.75" x14ac:dyDescent="0.2">
      <c r="H612" s="20"/>
      <c r="J612" s="20"/>
      <c r="M612" s="20"/>
      <c r="N612" s="20"/>
    </row>
    <row r="613" spans="8:14" ht="12.75" x14ac:dyDescent="0.2">
      <c r="H613" s="20"/>
      <c r="J613" s="20"/>
      <c r="M613" s="20"/>
      <c r="N613" s="20"/>
    </row>
    <row r="614" spans="8:14" ht="12.75" x14ac:dyDescent="0.2">
      <c r="H614" s="20"/>
      <c r="J614" s="20"/>
      <c r="M614" s="20"/>
      <c r="N614" s="20"/>
    </row>
    <row r="615" spans="8:14" ht="12.75" x14ac:dyDescent="0.2">
      <c r="H615" s="20"/>
      <c r="J615" s="20"/>
      <c r="M615" s="20"/>
      <c r="N615" s="20"/>
    </row>
    <row r="616" spans="8:14" ht="12.75" x14ac:dyDescent="0.2">
      <c r="H616" s="20"/>
      <c r="J616" s="20"/>
      <c r="M616" s="20"/>
      <c r="N616" s="20"/>
    </row>
    <row r="617" spans="8:14" ht="12.75" x14ac:dyDescent="0.2">
      <c r="H617" s="20"/>
      <c r="J617" s="20"/>
      <c r="M617" s="20"/>
      <c r="N617" s="20"/>
    </row>
    <row r="618" spans="8:14" ht="12.75" x14ac:dyDescent="0.2">
      <c r="H618" s="20"/>
      <c r="J618" s="20"/>
      <c r="M618" s="20"/>
      <c r="N618" s="20"/>
    </row>
    <row r="619" spans="8:14" ht="12.75" x14ac:dyDescent="0.2">
      <c r="H619" s="20"/>
      <c r="J619" s="20"/>
      <c r="M619" s="20"/>
      <c r="N619" s="20"/>
    </row>
    <row r="620" spans="8:14" ht="12.75" x14ac:dyDescent="0.2">
      <c r="H620" s="20"/>
      <c r="J620" s="20"/>
      <c r="M620" s="20"/>
      <c r="N620" s="20"/>
    </row>
    <row r="621" spans="8:14" ht="12.75" x14ac:dyDescent="0.2">
      <c r="H621" s="20"/>
      <c r="J621" s="20"/>
      <c r="M621" s="20"/>
      <c r="N621" s="20"/>
    </row>
    <row r="622" spans="8:14" ht="12.75" x14ac:dyDescent="0.2">
      <c r="H622" s="20"/>
      <c r="J622" s="20"/>
      <c r="M622" s="20"/>
      <c r="N622" s="20"/>
    </row>
    <row r="623" spans="8:14" ht="12.75" x14ac:dyDescent="0.2">
      <c r="H623" s="20"/>
      <c r="J623" s="20"/>
      <c r="M623" s="20"/>
      <c r="N623" s="20"/>
    </row>
    <row r="624" spans="8:14" ht="12.75" x14ac:dyDescent="0.2">
      <c r="H624" s="20"/>
      <c r="J624" s="20"/>
      <c r="M624" s="20"/>
      <c r="N624" s="20"/>
    </row>
    <row r="625" spans="8:14" ht="12.75" x14ac:dyDescent="0.2">
      <c r="H625" s="20"/>
      <c r="J625" s="20"/>
      <c r="M625" s="20"/>
      <c r="N625" s="20"/>
    </row>
    <row r="626" spans="8:14" ht="12.75" x14ac:dyDescent="0.2">
      <c r="H626" s="20"/>
      <c r="J626" s="20"/>
      <c r="M626" s="20"/>
      <c r="N626" s="20"/>
    </row>
    <row r="627" spans="8:14" ht="12.75" x14ac:dyDescent="0.2">
      <c r="H627" s="20"/>
      <c r="J627" s="20"/>
      <c r="M627" s="20"/>
      <c r="N627" s="20"/>
    </row>
    <row r="628" spans="8:14" ht="12.75" x14ac:dyDescent="0.2">
      <c r="H628" s="20"/>
      <c r="J628" s="20"/>
      <c r="M628" s="20"/>
      <c r="N628" s="20"/>
    </row>
    <row r="629" spans="8:14" ht="12.75" x14ac:dyDescent="0.2">
      <c r="H629" s="20"/>
      <c r="J629" s="20"/>
      <c r="M629" s="20"/>
      <c r="N629" s="20"/>
    </row>
    <row r="630" spans="8:14" ht="12.75" x14ac:dyDescent="0.2">
      <c r="H630" s="20"/>
      <c r="J630" s="20"/>
      <c r="M630" s="20"/>
      <c r="N630" s="20"/>
    </row>
    <row r="631" spans="8:14" ht="12.75" x14ac:dyDescent="0.2">
      <c r="H631" s="20"/>
      <c r="J631" s="20"/>
      <c r="M631" s="20"/>
      <c r="N631" s="20"/>
    </row>
    <row r="632" spans="8:14" ht="12.75" x14ac:dyDescent="0.2">
      <c r="H632" s="20"/>
      <c r="J632" s="20"/>
      <c r="M632" s="20"/>
      <c r="N632" s="20"/>
    </row>
    <row r="633" spans="8:14" ht="12.75" x14ac:dyDescent="0.2">
      <c r="H633" s="20"/>
      <c r="J633" s="20"/>
      <c r="M633" s="20"/>
      <c r="N633" s="20"/>
    </row>
    <row r="634" spans="8:14" ht="12.75" x14ac:dyDescent="0.2">
      <c r="H634" s="20"/>
      <c r="J634" s="20"/>
      <c r="M634" s="20"/>
      <c r="N634" s="20"/>
    </row>
    <row r="635" spans="8:14" ht="12.75" x14ac:dyDescent="0.2">
      <c r="H635" s="20"/>
      <c r="J635" s="20"/>
      <c r="M635" s="20"/>
      <c r="N635" s="20"/>
    </row>
    <row r="636" spans="8:14" ht="12.75" x14ac:dyDescent="0.2">
      <c r="H636" s="20"/>
      <c r="J636" s="20"/>
      <c r="M636" s="20"/>
      <c r="N636" s="20"/>
    </row>
    <row r="637" spans="8:14" ht="12.75" x14ac:dyDescent="0.2">
      <c r="H637" s="20"/>
      <c r="J637" s="20"/>
      <c r="M637" s="20"/>
      <c r="N637" s="20"/>
    </row>
    <row r="638" spans="8:14" ht="12.75" x14ac:dyDescent="0.2">
      <c r="H638" s="20"/>
      <c r="J638" s="20"/>
      <c r="M638" s="20"/>
      <c r="N638" s="20"/>
    </row>
    <row r="639" spans="8:14" ht="12.75" x14ac:dyDescent="0.2">
      <c r="H639" s="20"/>
      <c r="J639" s="20"/>
      <c r="M639" s="20"/>
      <c r="N639" s="20"/>
    </row>
    <row r="640" spans="8:14" ht="12.75" x14ac:dyDescent="0.2">
      <c r="H640" s="20"/>
      <c r="J640" s="20"/>
      <c r="M640" s="20"/>
      <c r="N640" s="20"/>
    </row>
    <row r="641" spans="8:14" ht="12.75" x14ac:dyDescent="0.2">
      <c r="H641" s="20"/>
      <c r="J641" s="20"/>
      <c r="M641" s="20"/>
      <c r="N641" s="20"/>
    </row>
    <row r="642" spans="8:14" ht="12.75" x14ac:dyDescent="0.2">
      <c r="H642" s="20"/>
      <c r="J642" s="20"/>
      <c r="M642" s="20"/>
      <c r="N642" s="20"/>
    </row>
    <row r="643" spans="8:14" ht="12.75" x14ac:dyDescent="0.2">
      <c r="H643" s="20"/>
      <c r="J643" s="20"/>
      <c r="M643" s="20"/>
      <c r="N643" s="20"/>
    </row>
    <row r="644" spans="8:14" ht="12.75" x14ac:dyDescent="0.2">
      <c r="H644" s="20"/>
      <c r="J644" s="20"/>
      <c r="M644" s="20"/>
      <c r="N644" s="20"/>
    </row>
    <row r="645" spans="8:14" ht="12.75" x14ac:dyDescent="0.2">
      <c r="H645" s="20"/>
      <c r="J645" s="20"/>
      <c r="M645" s="20"/>
      <c r="N645" s="20"/>
    </row>
    <row r="646" spans="8:14" ht="12.75" x14ac:dyDescent="0.2">
      <c r="H646" s="20"/>
      <c r="J646" s="20"/>
      <c r="M646" s="20"/>
      <c r="N646" s="20"/>
    </row>
    <row r="647" spans="8:14" ht="12.75" x14ac:dyDescent="0.2">
      <c r="H647" s="20"/>
      <c r="J647" s="20"/>
      <c r="M647" s="20"/>
      <c r="N647" s="20"/>
    </row>
    <row r="648" spans="8:14" ht="12.75" x14ac:dyDescent="0.2">
      <c r="H648" s="20"/>
      <c r="J648" s="20"/>
      <c r="M648" s="20"/>
      <c r="N648" s="20"/>
    </row>
    <row r="649" spans="8:14" ht="12.75" x14ac:dyDescent="0.2">
      <c r="H649" s="20"/>
      <c r="J649" s="20"/>
      <c r="M649" s="20"/>
      <c r="N649" s="20"/>
    </row>
    <row r="650" spans="8:14" ht="12.75" x14ac:dyDescent="0.2">
      <c r="H650" s="20"/>
      <c r="J650" s="20"/>
      <c r="M650" s="20"/>
      <c r="N650" s="20"/>
    </row>
    <row r="651" spans="8:14" ht="12.75" x14ac:dyDescent="0.2">
      <c r="H651" s="20"/>
      <c r="J651" s="20"/>
      <c r="M651" s="20"/>
      <c r="N651" s="20"/>
    </row>
    <row r="652" spans="8:14" ht="12.75" x14ac:dyDescent="0.2">
      <c r="H652" s="20"/>
      <c r="J652" s="20"/>
      <c r="M652" s="20"/>
      <c r="N652" s="20"/>
    </row>
    <row r="653" spans="8:14" ht="12.75" x14ac:dyDescent="0.2">
      <c r="H653" s="20"/>
      <c r="J653" s="20"/>
      <c r="M653" s="20"/>
      <c r="N653" s="20"/>
    </row>
    <row r="654" spans="8:14" ht="12.75" x14ac:dyDescent="0.2">
      <c r="H654" s="20"/>
      <c r="J654" s="20"/>
      <c r="M654" s="20"/>
      <c r="N654" s="20"/>
    </row>
    <row r="655" spans="8:14" ht="12.75" x14ac:dyDescent="0.2">
      <c r="H655" s="20"/>
      <c r="J655" s="20"/>
      <c r="M655" s="20"/>
      <c r="N655" s="20"/>
    </row>
    <row r="656" spans="8:14" ht="12.75" x14ac:dyDescent="0.2">
      <c r="H656" s="20"/>
      <c r="J656" s="20"/>
      <c r="M656" s="20"/>
      <c r="N656" s="20"/>
    </row>
    <row r="657" spans="8:14" ht="12.75" x14ac:dyDescent="0.2">
      <c r="H657" s="20"/>
      <c r="J657" s="20"/>
      <c r="M657" s="20"/>
      <c r="N657" s="20"/>
    </row>
    <row r="658" spans="8:14" ht="12.75" x14ac:dyDescent="0.2">
      <c r="H658" s="20"/>
      <c r="J658" s="20"/>
      <c r="M658" s="20"/>
      <c r="N658" s="20"/>
    </row>
    <row r="659" spans="8:14" ht="12.75" x14ac:dyDescent="0.2">
      <c r="H659" s="20"/>
      <c r="J659" s="20"/>
      <c r="M659" s="20"/>
      <c r="N659" s="20"/>
    </row>
    <row r="660" spans="8:14" ht="12.75" x14ac:dyDescent="0.2">
      <c r="H660" s="20"/>
      <c r="J660" s="20"/>
      <c r="M660" s="20"/>
      <c r="N660" s="20"/>
    </row>
    <row r="661" spans="8:14" ht="12.75" x14ac:dyDescent="0.2">
      <c r="H661" s="20"/>
      <c r="J661" s="20"/>
      <c r="M661" s="20"/>
      <c r="N661" s="20"/>
    </row>
    <row r="662" spans="8:14" ht="12.75" x14ac:dyDescent="0.2">
      <c r="H662" s="20"/>
      <c r="J662" s="20"/>
      <c r="M662" s="20"/>
      <c r="N662" s="20"/>
    </row>
    <row r="663" spans="8:14" ht="12.75" x14ac:dyDescent="0.2">
      <c r="H663" s="20"/>
      <c r="J663" s="20"/>
      <c r="M663" s="20"/>
      <c r="N663" s="20"/>
    </row>
    <row r="664" spans="8:14" ht="12.75" x14ac:dyDescent="0.2">
      <c r="H664" s="20"/>
      <c r="J664" s="20"/>
      <c r="M664" s="20"/>
      <c r="N664" s="20"/>
    </row>
    <row r="665" spans="8:14" ht="12.75" x14ac:dyDescent="0.2">
      <c r="H665" s="20"/>
      <c r="J665" s="20"/>
      <c r="M665" s="20"/>
      <c r="N665" s="20"/>
    </row>
    <row r="666" spans="8:14" ht="12.75" x14ac:dyDescent="0.2">
      <c r="H666" s="20"/>
      <c r="J666" s="20"/>
      <c r="M666" s="20"/>
      <c r="N666" s="20"/>
    </row>
    <row r="667" spans="8:14" ht="12.75" x14ac:dyDescent="0.2">
      <c r="H667" s="20"/>
      <c r="J667" s="20"/>
      <c r="M667" s="20"/>
      <c r="N667" s="20"/>
    </row>
    <row r="668" spans="8:14" ht="12.75" x14ac:dyDescent="0.2">
      <c r="H668" s="20"/>
      <c r="J668" s="20"/>
      <c r="M668" s="20"/>
      <c r="N668" s="20"/>
    </row>
    <row r="669" spans="8:14" ht="12.75" x14ac:dyDescent="0.2">
      <c r="H669" s="20"/>
      <c r="J669" s="20"/>
      <c r="M669" s="20"/>
      <c r="N669" s="20"/>
    </row>
    <row r="670" spans="8:14" ht="12.75" x14ac:dyDescent="0.2">
      <c r="H670" s="20"/>
      <c r="J670" s="20"/>
      <c r="M670" s="20"/>
      <c r="N670" s="20"/>
    </row>
    <row r="671" spans="8:14" ht="12.75" x14ac:dyDescent="0.2">
      <c r="H671" s="20"/>
      <c r="J671" s="20"/>
      <c r="M671" s="20"/>
      <c r="N671" s="20"/>
    </row>
    <row r="672" spans="8:14" ht="12.75" x14ac:dyDescent="0.2">
      <c r="H672" s="20"/>
      <c r="J672" s="20"/>
      <c r="M672" s="20"/>
      <c r="N672" s="20"/>
    </row>
    <row r="673" spans="8:14" ht="12.75" x14ac:dyDescent="0.2">
      <c r="H673" s="20"/>
      <c r="J673" s="20"/>
      <c r="M673" s="20"/>
      <c r="N673" s="20"/>
    </row>
    <row r="674" spans="8:14" ht="12.75" x14ac:dyDescent="0.2">
      <c r="H674" s="20"/>
      <c r="J674" s="20"/>
      <c r="M674" s="20"/>
      <c r="N674" s="20"/>
    </row>
    <row r="675" spans="8:14" ht="12.75" x14ac:dyDescent="0.2">
      <c r="H675" s="20"/>
      <c r="J675" s="20"/>
      <c r="M675" s="20"/>
      <c r="N675" s="20"/>
    </row>
    <row r="676" spans="8:14" ht="12.75" x14ac:dyDescent="0.2">
      <c r="H676" s="20"/>
      <c r="J676" s="20"/>
      <c r="M676" s="20"/>
      <c r="N676" s="20"/>
    </row>
    <row r="677" spans="8:14" ht="12.75" x14ac:dyDescent="0.2">
      <c r="H677" s="20"/>
      <c r="J677" s="20"/>
      <c r="M677" s="20"/>
      <c r="N677" s="20"/>
    </row>
    <row r="678" spans="8:14" ht="12.75" x14ac:dyDescent="0.2">
      <c r="H678" s="20"/>
      <c r="J678" s="20"/>
      <c r="M678" s="20"/>
      <c r="N678" s="20"/>
    </row>
    <row r="679" spans="8:14" ht="12.75" x14ac:dyDescent="0.2">
      <c r="H679" s="20"/>
      <c r="J679" s="20"/>
      <c r="M679" s="20"/>
      <c r="N679" s="20"/>
    </row>
    <row r="680" spans="8:14" ht="12.75" x14ac:dyDescent="0.2">
      <c r="H680" s="20"/>
      <c r="J680" s="20"/>
      <c r="M680" s="20"/>
      <c r="N680" s="20"/>
    </row>
    <row r="681" spans="8:14" ht="12.75" x14ac:dyDescent="0.2">
      <c r="H681" s="20"/>
      <c r="J681" s="20"/>
      <c r="M681" s="20"/>
      <c r="N681" s="20"/>
    </row>
    <row r="682" spans="8:14" ht="12.75" x14ac:dyDescent="0.2">
      <c r="H682" s="20"/>
      <c r="J682" s="20"/>
      <c r="M682" s="20"/>
      <c r="N682" s="20"/>
    </row>
    <row r="683" spans="8:14" ht="12.75" x14ac:dyDescent="0.2">
      <c r="H683" s="20"/>
      <c r="J683" s="20"/>
      <c r="M683" s="20"/>
      <c r="N683" s="20"/>
    </row>
    <row r="684" spans="8:14" ht="12.75" x14ac:dyDescent="0.2">
      <c r="H684" s="20"/>
      <c r="J684" s="20"/>
      <c r="M684" s="20"/>
      <c r="N684" s="20"/>
    </row>
    <row r="685" spans="8:14" ht="12.75" x14ac:dyDescent="0.2">
      <c r="H685" s="20"/>
      <c r="J685" s="20"/>
      <c r="M685" s="20"/>
      <c r="N685" s="20"/>
    </row>
    <row r="686" spans="8:14" ht="12.75" x14ac:dyDescent="0.2">
      <c r="H686" s="20"/>
      <c r="J686" s="20"/>
      <c r="M686" s="20"/>
      <c r="N686" s="20"/>
    </row>
    <row r="687" spans="8:14" ht="12.75" x14ac:dyDescent="0.2">
      <c r="H687" s="20"/>
      <c r="J687" s="20"/>
      <c r="M687" s="20"/>
      <c r="N687" s="20"/>
    </row>
    <row r="688" spans="8:14" ht="12.75" x14ac:dyDescent="0.2">
      <c r="H688" s="20"/>
      <c r="J688" s="20"/>
      <c r="M688" s="20"/>
      <c r="N688" s="20"/>
    </row>
    <row r="689" spans="8:14" ht="12.75" x14ac:dyDescent="0.2">
      <c r="H689" s="20"/>
      <c r="J689" s="20"/>
      <c r="M689" s="20"/>
      <c r="N689" s="20"/>
    </row>
    <row r="690" spans="8:14" ht="12.75" x14ac:dyDescent="0.2">
      <c r="H690" s="20"/>
      <c r="J690" s="20"/>
      <c r="M690" s="20"/>
      <c r="N690" s="20"/>
    </row>
    <row r="691" spans="8:14" ht="12.75" x14ac:dyDescent="0.2">
      <c r="H691" s="20"/>
      <c r="J691" s="20"/>
      <c r="M691" s="20"/>
      <c r="N691" s="20"/>
    </row>
    <row r="692" spans="8:14" ht="12.75" x14ac:dyDescent="0.2">
      <c r="H692" s="20"/>
      <c r="J692" s="20"/>
      <c r="M692" s="20"/>
      <c r="N692" s="20"/>
    </row>
    <row r="693" spans="8:14" ht="12.75" x14ac:dyDescent="0.2">
      <c r="H693" s="20"/>
      <c r="J693" s="20"/>
      <c r="M693" s="20"/>
      <c r="N693" s="20"/>
    </row>
    <row r="694" spans="8:14" ht="12.75" x14ac:dyDescent="0.2">
      <c r="H694" s="20"/>
      <c r="J694" s="20"/>
      <c r="M694" s="20"/>
      <c r="N694" s="20"/>
    </row>
    <row r="695" spans="8:14" ht="12.75" x14ac:dyDescent="0.2">
      <c r="H695" s="20"/>
      <c r="J695" s="20"/>
      <c r="M695" s="20"/>
      <c r="N695" s="20"/>
    </row>
    <row r="696" spans="8:14" ht="12.75" x14ac:dyDescent="0.2">
      <c r="H696" s="20"/>
      <c r="J696" s="20"/>
      <c r="M696" s="20"/>
      <c r="N696" s="20"/>
    </row>
    <row r="697" spans="8:14" ht="12.75" x14ac:dyDescent="0.2">
      <c r="H697" s="20"/>
      <c r="J697" s="20"/>
      <c r="M697" s="20"/>
      <c r="N697" s="20"/>
    </row>
    <row r="698" spans="8:14" ht="12.75" x14ac:dyDescent="0.2">
      <c r="H698" s="20"/>
      <c r="J698" s="20"/>
      <c r="M698" s="20"/>
      <c r="N698" s="20"/>
    </row>
    <row r="699" spans="8:14" ht="12.75" x14ac:dyDescent="0.2">
      <c r="H699" s="20"/>
      <c r="J699" s="20"/>
      <c r="M699" s="20"/>
      <c r="N699" s="20"/>
    </row>
    <row r="700" spans="8:14" ht="12.75" x14ac:dyDescent="0.2">
      <c r="H700" s="20"/>
      <c r="J700" s="20"/>
      <c r="M700" s="20"/>
      <c r="N700" s="20"/>
    </row>
    <row r="701" spans="8:14" ht="12.75" x14ac:dyDescent="0.2">
      <c r="H701" s="20"/>
      <c r="J701" s="20"/>
      <c r="M701" s="20"/>
      <c r="N701" s="20"/>
    </row>
    <row r="702" spans="8:14" ht="12.75" x14ac:dyDescent="0.2">
      <c r="H702" s="20"/>
      <c r="J702" s="20"/>
      <c r="M702" s="20"/>
      <c r="N702" s="20"/>
    </row>
    <row r="703" spans="8:14" ht="12.75" x14ac:dyDescent="0.2">
      <c r="H703" s="20"/>
      <c r="J703" s="20"/>
      <c r="M703" s="20"/>
      <c r="N703" s="20"/>
    </row>
    <row r="704" spans="8:14" ht="12.75" x14ac:dyDescent="0.2">
      <c r="H704" s="20"/>
      <c r="J704" s="20"/>
      <c r="M704" s="20"/>
      <c r="N704" s="20"/>
    </row>
    <row r="705" spans="8:14" ht="12.75" x14ac:dyDescent="0.2">
      <c r="H705" s="20"/>
      <c r="J705" s="20"/>
      <c r="M705" s="20"/>
      <c r="N705" s="20"/>
    </row>
    <row r="706" spans="8:14" ht="12.75" x14ac:dyDescent="0.2">
      <c r="H706" s="20"/>
      <c r="J706" s="20"/>
      <c r="M706" s="20"/>
      <c r="N706" s="20"/>
    </row>
    <row r="707" spans="8:14" ht="12.75" x14ac:dyDescent="0.2">
      <c r="H707" s="20"/>
      <c r="J707" s="20"/>
      <c r="M707" s="20"/>
      <c r="N707" s="20"/>
    </row>
    <row r="708" spans="8:14" ht="12.75" x14ac:dyDescent="0.2">
      <c r="H708" s="20"/>
      <c r="J708" s="20"/>
      <c r="M708" s="20"/>
      <c r="N708" s="20"/>
    </row>
    <row r="709" spans="8:14" ht="12.75" x14ac:dyDescent="0.2">
      <c r="H709" s="20"/>
      <c r="J709" s="20"/>
      <c r="M709" s="20"/>
      <c r="N709" s="20"/>
    </row>
    <row r="710" spans="8:14" ht="12.75" x14ac:dyDescent="0.2">
      <c r="H710" s="20"/>
      <c r="J710" s="20"/>
      <c r="M710" s="20"/>
      <c r="N710" s="20"/>
    </row>
    <row r="711" spans="8:14" ht="12.75" x14ac:dyDescent="0.2">
      <c r="H711" s="20"/>
      <c r="J711" s="20"/>
      <c r="M711" s="20"/>
      <c r="N711" s="20"/>
    </row>
    <row r="712" spans="8:14" ht="12.75" x14ac:dyDescent="0.2">
      <c r="H712" s="20"/>
      <c r="J712" s="20"/>
      <c r="M712" s="20"/>
      <c r="N712" s="20"/>
    </row>
    <row r="713" spans="8:14" ht="12.75" x14ac:dyDescent="0.2">
      <c r="H713" s="20"/>
      <c r="J713" s="20"/>
      <c r="M713" s="20"/>
      <c r="N713" s="20"/>
    </row>
    <row r="714" spans="8:14" ht="12.75" x14ac:dyDescent="0.2">
      <c r="H714" s="20"/>
      <c r="J714" s="20"/>
      <c r="M714" s="20"/>
      <c r="N714" s="20"/>
    </row>
    <row r="715" spans="8:14" ht="12.75" x14ac:dyDescent="0.2">
      <c r="H715" s="20"/>
      <c r="J715" s="20"/>
      <c r="M715" s="20"/>
      <c r="N715" s="20"/>
    </row>
    <row r="716" spans="8:14" ht="12.75" x14ac:dyDescent="0.2">
      <c r="H716" s="20"/>
      <c r="J716" s="20"/>
      <c r="M716" s="20"/>
      <c r="N716" s="20"/>
    </row>
    <row r="717" spans="8:14" ht="12.75" x14ac:dyDescent="0.2">
      <c r="H717" s="20"/>
      <c r="J717" s="20"/>
      <c r="M717" s="20"/>
      <c r="N717" s="20"/>
    </row>
    <row r="718" spans="8:14" ht="12.75" x14ac:dyDescent="0.2">
      <c r="H718" s="20"/>
      <c r="J718" s="20"/>
      <c r="M718" s="20"/>
      <c r="N718" s="20"/>
    </row>
    <row r="719" spans="8:14" ht="12.75" x14ac:dyDescent="0.2">
      <c r="H719" s="20"/>
      <c r="J719" s="20"/>
      <c r="M719" s="20"/>
      <c r="N719" s="20"/>
    </row>
    <row r="720" spans="8:14" ht="12.75" x14ac:dyDescent="0.2">
      <c r="H720" s="20"/>
      <c r="J720" s="20"/>
      <c r="M720" s="20"/>
      <c r="N720" s="20"/>
    </row>
    <row r="721" spans="8:14" ht="12.75" x14ac:dyDescent="0.2">
      <c r="H721" s="20"/>
      <c r="J721" s="20"/>
      <c r="M721" s="20"/>
      <c r="N721" s="20"/>
    </row>
    <row r="722" spans="8:14" ht="12.75" x14ac:dyDescent="0.2">
      <c r="H722" s="20"/>
      <c r="J722" s="20"/>
      <c r="M722" s="20"/>
      <c r="N722" s="20"/>
    </row>
    <row r="723" spans="8:14" ht="12.75" x14ac:dyDescent="0.2">
      <c r="H723" s="20"/>
      <c r="J723" s="20"/>
      <c r="M723" s="20"/>
      <c r="N723" s="20"/>
    </row>
    <row r="724" spans="8:14" ht="12.75" x14ac:dyDescent="0.2">
      <c r="H724" s="20"/>
      <c r="J724" s="20"/>
      <c r="M724" s="20"/>
      <c r="N724" s="20"/>
    </row>
    <row r="725" spans="8:14" ht="12.75" x14ac:dyDescent="0.2">
      <c r="H725" s="20"/>
      <c r="J725" s="20"/>
      <c r="M725" s="20"/>
      <c r="N725" s="20"/>
    </row>
    <row r="726" spans="8:14" ht="12.75" x14ac:dyDescent="0.2">
      <c r="H726" s="20"/>
      <c r="J726" s="20"/>
      <c r="M726" s="20"/>
      <c r="N726" s="20"/>
    </row>
    <row r="727" spans="8:14" ht="12.75" x14ac:dyDescent="0.2">
      <c r="H727" s="20"/>
      <c r="J727" s="20"/>
      <c r="M727" s="20"/>
      <c r="N727" s="20"/>
    </row>
    <row r="728" spans="8:14" ht="12.75" x14ac:dyDescent="0.2">
      <c r="H728" s="20"/>
      <c r="J728" s="20"/>
      <c r="M728" s="20"/>
      <c r="N728" s="20"/>
    </row>
    <row r="729" spans="8:14" ht="12.75" x14ac:dyDescent="0.2">
      <c r="H729" s="20"/>
      <c r="J729" s="20"/>
      <c r="M729" s="20"/>
      <c r="N729" s="20"/>
    </row>
    <row r="730" spans="8:14" ht="12.75" x14ac:dyDescent="0.2">
      <c r="H730" s="20"/>
      <c r="J730" s="20"/>
      <c r="M730" s="20"/>
      <c r="N730" s="20"/>
    </row>
    <row r="731" spans="8:14" ht="12.75" x14ac:dyDescent="0.2">
      <c r="H731" s="20"/>
      <c r="J731" s="20"/>
      <c r="M731" s="20"/>
      <c r="N731" s="20"/>
    </row>
    <row r="732" spans="8:14" ht="12.75" x14ac:dyDescent="0.2">
      <c r="H732" s="20"/>
      <c r="J732" s="20"/>
      <c r="M732" s="20"/>
      <c r="N732" s="20"/>
    </row>
    <row r="733" spans="8:14" ht="12.75" x14ac:dyDescent="0.2">
      <c r="H733" s="20"/>
      <c r="J733" s="20"/>
      <c r="M733" s="20"/>
      <c r="N733" s="20"/>
    </row>
    <row r="734" spans="8:14" ht="12.75" x14ac:dyDescent="0.2">
      <c r="H734" s="20"/>
      <c r="J734" s="20"/>
      <c r="M734" s="20"/>
      <c r="N734" s="20"/>
    </row>
    <row r="735" spans="8:14" ht="12.75" x14ac:dyDescent="0.2">
      <c r="H735" s="20"/>
      <c r="J735" s="20"/>
      <c r="M735" s="20"/>
      <c r="N735" s="20"/>
    </row>
    <row r="736" spans="8:14" ht="12.75" x14ac:dyDescent="0.2">
      <c r="H736" s="20"/>
      <c r="J736" s="20"/>
      <c r="M736" s="20"/>
      <c r="N736" s="20"/>
    </row>
    <row r="737" spans="8:14" ht="12.75" x14ac:dyDescent="0.2">
      <c r="H737" s="20"/>
      <c r="J737" s="20"/>
      <c r="M737" s="20"/>
      <c r="N737" s="20"/>
    </row>
    <row r="738" spans="8:14" ht="12.75" x14ac:dyDescent="0.2">
      <c r="H738" s="20"/>
      <c r="J738" s="20"/>
      <c r="M738" s="20"/>
      <c r="N738" s="20"/>
    </row>
    <row r="739" spans="8:14" ht="12.75" x14ac:dyDescent="0.2">
      <c r="H739" s="20"/>
      <c r="J739" s="20"/>
      <c r="M739" s="20"/>
      <c r="N739" s="20"/>
    </row>
    <row r="740" spans="8:14" ht="12.75" x14ac:dyDescent="0.2">
      <c r="H740" s="20"/>
      <c r="J740" s="20"/>
      <c r="M740" s="20"/>
      <c r="N740" s="20"/>
    </row>
    <row r="741" spans="8:14" ht="12.75" x14ac:dyDescent="0.2">
      <c r="H741" s="20"/>
      <c r="J741" s="20"/>
      <c r="M741" s="20"/>
      <c r="N741" s="20"/>
    </row>
    <row r="742" spans="8:14" ht="12.75" x14ac:dyDescent="0.2">
      <c r="H742" s="20"/>
      <c r="J742" s="20"/>
      <c r="M742" s="20"/>
      <c r="N742" s="20"/>
    </row>
    <row r="743" spans="8:14" ht="12.75" x14ac:dyDescent="0.2">
      <c r="H743" s="20"/>
      <c r="J743" s="20"/>
      <c r="M743" s="20"/>
      <c r="N743" s="20"/>
    </row>
    <row r="744" spans="8:14" ht="12.75" x14ac:dyDescent="0.2">
      <c r="H744" s="20"/>
      <c r="J744" s="20"/>
      <c r="M744" s="20"/>
      <c r="N744" s="20"/>
    </row>
    <row r="745" spans="8:14" ht="12.75" x14ac:dyDescent="0.2">
      <c r="H745" s="20"/>
      <c r="J745" s="20"/>
      <c r="M745" s="20"/>
      <c r="N745" s="20"/>
    </row>
    <row r="746" spans="8:14" ht="12.75" x14ac:dyDescent="0.2">
      <c r="H746" s="20"/>
      <c r="J746" s="20"/>
      <c r="M746" s="20"/>
      <c r="N746" s="20"/>
    </row>
    <row r="747" spans="8:14" ht="12.75" x14ac:dyDescent="0.2">
      <c r="H747" s="20"/>
      <c r="J747" s="20"/>
      <c r="M747" s="20"/>
      <c r="N747" s="20"/>
    </row>
    <row r="748" spans="8:14" ht="12.75" x14ac:dyDescent="0.2">
      <c r="H748" s="20"/>
      <c r="J748" s="20"/>
      <c r="M748" s="20"/>
      <c r="N748" s="20"/>
    </row>
    <row r="749" spans="8:14" ht="12.75" x14ac:dyDescent="0.2">
      <c r="H749" s="20"/>
      <c r="J749" s="20"/>
      <c r="M749" s="20"/>
      <c r="N749" s="20"/>
    </row>
    <row r="750" spans="8:14" ht="12.75" x14ac:dyDescent="0.2">
      <c r="H750" s="20"/>
      <c r="J750" s="20"/>
      <c r="M750" s="20"/>
      <c r="N750" s="20"/>
    </row>
    <row r="751" spans="8:14" ht="12.75" x14ac:dyDescent="0.2">
      <c r="H751" s="20"/>
      <c r="J751" s="20"/>
      <c r="M751" s="20"/>
      <c r="N751" s="20"/>
    </row>
    <row r="752" spans="8:14" ht="12.75" x14ac:dyDescent="0.2">
      <c r="H752" s="20"/>
      <c r="J752" s="20"/>
      <c r="M752" s="20"/>
      <c r="N752" s="20"/>
    </row>
    <row r="753" spans="8:14" ht="12.75" x14ac:dyDescent="0.2">
      <c r="H753" s="20"/>
      <c r="J753" s="20"/>
      <c r="M753" s="20"/>
      <c r="N753" s="20"/>
    </row>
    <row r="754" spans="8:14" ht="12.75" x14ac:dyDescent="0.2">
      <c r="H754" s="20"/>
      <c r="J754" s="20"/>
      <c r="M754" s="20"/>
      <c r="N754" s="20"/>
    </row>
    <row r="755" spans="8:14" ht="12.75" x14ac:dyDescent="0.2">
      <c r="H755" s="20"/>
      <c r="J755" s="20"/>
      <c r="M755" s="20"/>
      <c r="N755" s="20"/>
    </row>
    <row r="756" spans="8:14" ht="12.75" x14ac:dyDescent="0.2">
      <c r="H756" s="20"/>
      <c r="J756" s="20"/>
      <c r="M756" s="20"/>
      <c r="N756" s="20"/>
    </row>
    <row r="757" spans="8:14" ht="12.75" x14ac:dyDescent="0.2">
      <c r="H757" s="20"/>
      <c r="J757" s="20"/>
      <c r="M757" s="20"/>
      <c r="N757" s="20"/>
    </row>
    <row r="758" spans="8:14" ht="12.75" x14ac:dyDescent="0.2">
      <c r="H758" s="20"/>
      <c r="J758" s="20"/>
      <c r="M758" s="20"/>
      <c r="N758" s="20"/>
    </row>
    <row r="759" spans="8:14" ht="12.75" x14ac:dyDescent="0.2">
      <c r="H759" s="20"/>
      <c r="J759" s="20"/>
      <c r="M759" s="20"/>
      <c r="N759" s="20"/>
    </row>
    <row r="760" spans="8:14" ht="12.75" x14ac:dyDescent="0.2">
      <c r="H760" s="20"/>
      <c r="J760" s="20"/>
      <c r="M760" s="20"/>
      <c r="N760" s="20"/>
    </row>
    <row r="761" spans="8:14" ht="12.75" x14ac:dyDescent="0.2">
      <c r="H761" s="20"/>
      <c r="J761" s="20"/>
      <c r="M761" s="20"/>
      <c r="N761" s="20"/>
    </row>
    <row r="762" spans="8:14" ht="12.75" x14ac:dyDescent="0.2">
      <c r="H762" s="20"/>
      <c r="J762" s="20"/>
      <c r="M762" s="20"/>
      <c r="N762" s="20"/>
    </row>
    <row r="763" spans="8:14" ht="12.75" x14ac:dyDescent="0.2">
      <c r="H763" s="20"/>
      <c r="J763" s="20"/>
      <c r="M763" s="20"/>
      <c r="N763" s="20"/>
    </row>
    <row r="764" spans="8:14" ht="12.75" x14ac:dyDescent="0.2">
      <c r="H764" s="20"/>
      <c r="J764" s="20"/>
      <c r="M764" s="20"/>
      <c r="N764" s="20"/>
    </row>
    <row r="765" spans="8:14" ht="12.75" x14ac:dyDescent="0.2">
      <c r="H765" s="20"/>
      <c r="J765" s="20"/>
      <c r="M765" s="20"/>
      <c r="N765" s="20"/>
    </row>
    <row r="766" spans="8:14" ht="12.75" x14ac:dyDescent="0.2">
      <c r="H766" s="20"/>
      <c r="J766" s="20"/>
      <c r="M766" s="20"/>
      <c r="N766" s="20"/>
    </row>
    <row r="767" spans="8:14" ht="12.75" x14ac:dyDescent="0.2">
      <c r="H767" s="20"/>
      <c r="J767" s="20"/>
      <c r="M767" s="20"/>
      <c r="N767" s="20"/>
    </row>
    <row r="768" spans="8:14" ht="12.75" x14ac:dyDescent="0.2">
      <c r="H768" s="20"/>
      <c r="J768" s="20"/>
      <c r="M768" s="20"/>
      <c r="N768" s="20"/>
    </row>
    <row r="769" spans="8:14" ht="12.75" x14ac:dyDescent="0.2">
      <c r="H769" s="20"/>
      <c r="J769" s="20"/>
      <c r="M769" s="20"/>
      <c r="N769" s="20"/>
    </row>
    <row r="770" spans="8:14" ht="12.75" x14ac:dyDescent="0.2">
      <c r="H770" s="20"/>
      <c r="J770" s="20"/>
      <c r="M770" s="20"/>
      <c r="N770" s="20"/>
    </row>
    <row r="771" spans="8:14" ht="12.75" x14ac:dyDescent="0.2">
      <c r="H771" s="20"/>
      <c r="J771" s="20"/>
      <c r="M771" s="20"/>
      <c r="N771" s="20"/>
    </row>
    <row r="772" spans="8:14" ht="12.75" x14ac:dyDescent="0.2">
      <c r="H772" s="20"/>
      <c r="J772" s="20"/>
      <c r="M772" s="20"/>
      <c r="N772" s="20"/>
    </row>
    <row r="773" spans="8:14" ht="12.75" x14ac:dyDescent="0.2">
      <c r="H773" s="20"/>
      <c r="J773" s="20"/>
      <c r="M773" s="20"/>
      <c r="N773" s="20"/>
    </row>
    <row r="774" spans="8:14" ht="12.75" x14ac:dyDescent="0.2">
      <c r="H774" s="20"/>
      <c r="J774" s="20"/>
      <c r="M774" s="20"/>
      <c r="N774" s="20"/>
    </row>
    <row r="775" spans="8:14" ht="12.75" x14ac:dyDescent="0.2">
      <c r="H775" s="20"/>
      <c r="J775" s="20"/>
      <c r="M775" s="20"/>
      <c r="N775" s="20"/>
    </row>
    <row r="776" spans="8:14" ht="12.75" x14ac:dyDescent="0.2">
      <c r="H776" s="20"/>
      <c r="J776" s="20"/>
      <c r="M776" s="20"/>
      <c r="N776" s="20"/>
    </row>
    <row r="777" spans="8:14" ht="12.75" x14ac:dyDescent="0.2">
      <c r="H777" s="20"/>
      <c r="J777" s="20"/>
      <c r="M777" s="20"/>
      <c r="N777" s="20"/>
    </row>
    <row r="778" spans="8:14" ht="12.75" x14ac:dyDescent="0.2">
      <c r="H778" s="20"/>
      <c r="J778" s="20"/>
      <c r="M778" s="20"/>
      <c r="N778" s="20"/>
    </row>
    <row r="779" spans="8:14" ht="12.75" x14ac:dyDescent="0.2">
      <c r="H779" s="20"/>
      <c r="J779" s="20"/>
      <c r="M779" s="20"/>
      <c r="N779" s="20"/>
    </row>
    <row r="780" spans="8:14" ht="12.75" x14ac:dyDescent="0.2">
      <c r="H780" s="20"/>
      <c r="J780" s="20"/>
      <c r="M780" s="20"/>
      <c r="N780" s="20"/>
    </row>
    <row r="781" spans="8:14" ht="12.75" x14ac:dyDescent="0.2">
      <c r="H781" s="20"/>
      <c r="J781" s="20"/>
      <c r="M781" s="20"/>
      <c r="N781" s="20"/>
    </row>
    <row r="782" spans="8:14" ht="12.75" x14ac:dyDescent="0.2">
      <c r="H782" s="20"/>
      <c r="J782" s="20"/>
      <c r="M782" s="20"/>
      <c r="N782" s="20"/>
    </row>
    <row r="783" spans="8:14" ht="12.75" x14ac:dyDescent="0.2">
      <c r="H783" s="20"/>
      <c r="J783" s="20"/>
      <c r="M783" s="20"/>
      <c r="N783" s="20"/>
    </row>
    <row r="784" spans="8:14" ht="12.75" x14ac:dyDescent="0.2">
      <c r="H784" s="20"/>
      <c r="J784" s="20"/>
      <c r="M784" s="20"/>
      <c r="N784" s="20"/>
    </row>
    <row r="785" spans="8:14" ht="12.75" x14ac:dyDescent="0.2">
      <c r="H785" s="20"/>
      <c r="J785" s="20"/>
      <c r="M785" s="20"/>
      <c r="N785" s="20"/>
    </row>
    <row r="786" spans="8:14" ht="12.75" x14ac:dyDescent="0.2">
      <c r="H786" s="20"/>
      <c r="J786" s="20"/>
      <c r="M786" s="20"/>
      <c r="N786" s="20"/>
    </row>
    <row r="787" spans="8:14" ht="12.75" x14ac:dyDescent="0.2">
      <c r="H787" s="20"/>
      <c r="J787" s="20"/>
      <c r="M787" s="20"/>
      <c r="N787" s="20"/>
    </row>
    <row r="788" spans="8:14" ht="12.75" x14ac:dyDescent="0.2">
      <c r="H788" s="20"/>
      <c r="J788" s="20"/>
      <c r="M788" s="20"/>
      <c r="N788" s="20"/>
    </row>
    <row r="789" spans="8:14" ht="12.75" x14ac:dyDescent="0.2">
      <c r="H789" s="20"/>
      <c r="J789" s="20"/>
      <c r="M789" s="20"/>
      <c r="N789" s="20"/>
    </row>
    <row r="790" spans="8:14" ht="12.75" x14ac:dyDescent="0.2">
      <c r="H790" s="20"/>
      <c r="J790" s="20"/>
      <c r="M790" s="20"/>
      <c r="N790" s="20"/>
    </row>
    <row r="791" spans="8:14" ht="12.75" x14ac:dyDescent="0.2">
      <c r="H791" s="20"/>
      <c r="J791" s="20"/>
      <c r="M791" s="20"/>
      <c r="N791" s="20"/>
    </row>
    <row r="792" spans="8:14" ht="12.75" x14ac:dyDescent="0.2">
      <c r="H792" s="20"/>
      <c r="J792" s="20"/>
      <c r="M792" s="20"/>
      <c r="N792" s="20"/>
    </row>
    <row r="793" spans="8:14" ht="12.75" x14ac:dyDescent="0.2">
      <c r="H793" s="20"/>
      <c r="J793" s="20"/>
      <c r="M793" s="20"/>
      <c r="N793" s="20"/>
    </row>
    <row r="794" spans="8:14" ht="12.75" x14ac:dyDescent="0.2">
      <c r="H794" s="20"/>
      <c r="J794" s="20"/>
      <c r="M794" s="20"/>
      <c r="N794" s="20"/>
    </row>
    <row r="795" spans="8:14" ht="12.75" x14ac:dyDescent="0.2">
      <c r="H795" s="20"/>
      <c r="J795" s="20"/>
      <c r="M795" s="20"/>
      <c r="N795" s="20"/>
    </row>
    <row r="796" spans="8:14" ht="12.75" x14ac:dyDescent="0.2">
      <c r="H796" s="20"/>
      <c r="J796" s="20"/>
      <c r="M796" s="20"/>
      <c r="N796" s="20"/>
    </row>
    <row r="797" spans="8:14" ht="12.75" x14ac:dyDescent="0.2">
      <c r="H797" s="20"/>
      <c r="J797" s="20"/>
      <c r="M797" s="20"/>
      <c r="N797" s="20"/>
    </row>
    <row r="798" spans="8:14" ht="12.75" x14ac:dyDescent="0.2">
      <c r="H798" s="20"/>
      <c r="J798" s="20"/>
      <c r="M798" s="20"/>
      <c r="N798" s="20"/>
    </row>
    <row r="799" spans="8:14" ht="12.75" x14ac:dyDescent="0.2">
      <c r="H799" s="20"/>
      <c r="J799" s="20"/>
      <c r="M799" s="20"/>
      <c r="N799" s="20"/>
    </row>
    <row r="800" spans="8:14" ht="12.75" x14ac:dyDescent="0.2">
      <c r="H800" s="20"/>
      <c r="J800" s="20"/>
      <c r="M800" s="20"/>
      <c r="N800" s="20"/>
    </row>
    <row r="801" spans="8:14" ht="12.75" x14ac:dyDescent="0.2">
      <c r="H801" s="20"/>
      <c r="J801" s="20"/>
      <c r="M801" s="20"/>
      <c r="N801" s="20"/>
    </row>
    <row r="802" spans="8:14" ht="12.75" x14ac:dyDescent="0.2">
      <c r="H802" s="20"/>
      <c r="J802" s="20"/>
      <c r="M802" s="20"/>
      <c r="N802" s="20"/>
    </row>
    <row r="803" spans="8:14" ht="12.75" x14ac:dyDescent="0.2">
      <c r="H803" s="20"/>
      <c r="J803" s="20"/>
      <c r="M803" s="20"/>
      <c r="N803" s="20"/>
    </row>
    <row r="804" spans="8:14" ht="12.75" x14ac:dyDescent="0.2">
      <c r="H804" s="20"/>
      <c r="J804" s="20"/>
      <c r="M804" s="20"/>
      <c r="N804" s="20"/>
    </row>
    <row r="805" spans="8:14" ht="12.75" x14ac:dyDescent="0.2">
      <c r="H805" s="20"/>
      <c r="J805" s="20"/>
      <c r="M805" s="20"/>
      <c r="N805" s="20"/>
    </row>
    <row r="806" spans="8:14" ht="12.75" x14ac:dyDescent="0.2">
      <c r="H806" s="20"/>
      <c r="J806" s="20"/>
      <c r="M806" s="20"/>
      <c r="N806" s="20"/>
    </row>
    <row r="807" spans="8:14" ht="12.75" x14ac:dyDescent="0.2">
      <c r="H807" s="20"/>
      <c r="J807" s="20"/>
      <c r="M807" s="20"/>
      <c r="N807" s="20"/>
    </row>
    <row r="808" spans="8:14" ht="12.75" x14ac:dyDescent="0.2">
      <c r="H808" s="20"/>
      <c r="J808" s="20"/>
      <c r="M808" s="20"/>
      <c r="N808" s="20"/>
    </row>
    <row r="809" spans="8:14" ht="12.75" x14ac:dyDescent="0.2">
      <c r="H809" s="20"/>
      <c r="J809" s="20"/>
      <c r="M809" s="20"/>
      <c r="N809" s="20"/>
    </row>
    <row r="810" spans="8:14" ht="12.75" x14ac:dyDescent="0.2">
      <c r="H810" s="20"/>
      <c r="J810" s="20"/>
      <c r="M810" s="20"/>
      <c r="N810" s="20"/>
    </row>
    <row r="811" spans="8:14" ht="12.75" x14ac:dyDescent="0.2">
      <c r="H811" s="20"/>
      <c r="J811" s="20"/>
      <c r="M811" s="20"/>
      <c r="N811" s="20"/>
    </row>
    <row r="812" spans="8:14" ht="12.75" x14ac:dyDescent="0.2">
      <c r="H812" s="20"/>
      <c r="J812" s="20"/>
      <c r="M812" s="20"/>
      <c r="N812" s="20"/>
    </row>
    <row r="813" spans="8:14" ht="12.75" x14ac:dyDescent="0.2">
      <c r="H813" s="20"/>
      <c r="J813" s="20"/>
      <c r="M813" s="20"/>
      <c r="N813" s="20"/>
    </row>
    <row r="814" spans="8:14" ht="12.75" x14ac:dyDescent="0.2">
      <c r="H814" s="20"/>
      <c r="J814" s="20"/>
      <c r="M814" s="20"/>
      <c r="N814" s="20"/>
    </row>
    <row r="815" spans="8:14" ht="12.75" x14ac:dyDescent="0.2">
      <c r="H815" s="20"/>
      <c r="J815" s="20"/>
      <c r="M815" s="20"/>
      <c r="N815" s="20"/>
    </row>
    <row r="816" spans="8:14" ht="12.75" x14ac:dyDescent="0.2">
      <c r="H816" s="20"/>
      <c r="J816" s="20"/>
      <c r="M816" s="20"/>
      <c r="N816" s="20"/>
    </row>
    <row r="817" spans="8:14" ht="12.75" x14ac:dyDescent="0.2">
      <c r="H817" s="20"/>
      <c r="J817" s="20"/>
      <c r="M817" s="20"/>
      <c r="N817" s="20"/>
    </row>
    <row r="818" spans="8:14" ht="12.75" x14ac:dyDescent="0.2">
      <c r="H818" s="20"/>
      <c r="J818" s="20"/>
      <c r="M818" s="20"/>
      <c r="N818" s="20"/>
    </row>
    <row r="819" spans="8:14" ht="12.75" x14ac:dyDescent="0.2">
      <c r="H819" s="20"/>
      <c r="J819" s="20"/>
      <c r="M819" s="20"/>
      <c r="N819" s="20"/>
    </row>
    <row r="820" spans="8:14" ht="12.75" x14ac:dyDescent="0.2">
      <c r="H820" s="20"/>
      <c r="J820" s="20"/>
      <c r="M820" s="20"/>
      <c r="N820" s="20"/>
    </row>
    <row r="821" spans="8:14" ht="12.75" x14ac:dyDescent="0.2">
      <c r="H821" s="20"/>
      <c r="J821" s="20"/>
      <c r="M821" s="20"/>
      <c r="N821" s="20"/>
    </row>
    <row r="822" spans="8:14" ht="12.75" x14ac:dyDescent="0.2">
      <c r="H822" s="20"/>
      <c r="J822" s="20"/>
      <c r="M822" s="20"/>
      <c r="N822" s="20"/>
    </row>
    <row r="823" spans="8:14" ht="12.75" x14ac:dyDescent="0.2">
      <c r="H823" s="20"/>
      <c r="J823" s="20"/>
      <c r="M823" s="20"/>
      <c r="N823" s="20"/>
    </row>
    <row r="824" spans="8:14" ht="12.75" x14ac:dyDescent="0.2">
      <c r="H824" s="20"/>
      <c r="J824" s="20"/>
      <c r="M824" s="20"/>
      <c r="N824" s="20"/>
    </row>
    <row r="825" spans="8:14" ht="12.75" x14ac:dyDescent="0.2">
      <c r="H825" s="20"/>
      <c r="J825" s="20"/>
      <c r="M825" s="20"/>
      <c r="N825" s="20"/>
    </row>
    <row r="826" spans="8:14" ht="12.75" x14ac:dyDescent="0.2">
      <c r="H826" s="20"/>
      <c r="J826" s="20"/>
      <c r="M826" s="20"/>
      <c r="N826" s="20"/>
    </row>
    <row r="827" spans="8:14" ht="12.75" x14ac:dyDescent="0.2">
      <c r="H827" s="20"/>
      <c r="J827" s="20"/>
      <c r="M827" s="20"/>
      <c r="N827" s="20"/>
    </row>
    <row r="828" spans="8:14" ht="12.75" x14ac:dyDescent="0.2">
      <c r="H828" s="20"/>
      <c r="J828" s="20"/>
      <c r="M828" s="20"/>
      <c r="N828" s="20"/>
    </row>
    <row r="829" spans="8:14" ht="12.75" x14ac:dyDescent="0.2">
      <c r="H829" s="20"/>
      <c r="J829" s="20"/>
      <c r="M829" s="20"/>
      <c r="N829" s="20"/>
    </row>
    <row r="830" spans="8:14" ht="12.75" x14ac:dyDescent="0.2">
      <c r="H830" s="20"/>
      <c r="J830" s="20"/>
      <c r="M830" s="20"/>
      <c r="N830" s="20"/>
    </row>
    <row r="831" spans="8:14" ht="12.75" x14ac:dyDescent="0.2">
      <c r="H831" s="20"/>
      <c r="J831" s="20"/>
      <c r="M831" s="20"/>
      <c r="N831" s="20"/>
    </row>
    <row r="832" spans="8:14" ht="12.75" x14ac:dyDescent="0.2">
      <c r="H832" s="20"/>
      <c r="J832" s="20"/>
      <c r="M832" s="20"/>
      <c r="N832" s="20"/>
    </row>
    <row r="833" spans="8:14" ht="12.75" x14ac:dyDescent="0.2">
      <c r="H833" s="20"/>
      <c r="J833" s="20"/>
      <c r="M833" s="20"/>
      <c r="N833" s="20"/>
    </row>
    <row r="834" spans="8:14" ht="12.75" x14ac:dyDescent="0.2">
      <c r="H834" s="20"/>
      <c r="J834" s="20"/>
      <c r="M834" s="20"/>
      <c r="N834" s="20"/>
    </row>
    <row r="835" spans="8:14" ht="12.75" x14ac:dyDescent="0.2">
      <c r="H835" s="20"/>
      <c r="J835" s="20"/>
      <c r="M835" s="20"/>
      <c r="N835" s="20"/>
    </row>
    <row r="836" spans="8:14" ht="12.75" x14ac:dyDescent="0.2">
      <c r="H836" s="20"/>
      <c r="J836" s="20"/>
      <c r="M836" s="20"/>
      <c r="N836" s="20"/>
    </row>
    <row r="837" spans="8:14" ht="12.75" x14ac:dyDescent="0.2">
      <c r="H837" s="20"/>
      <c r="J837" s="20"/>
      <c r="M837" s="20"/>
      <c r="N837" s="20"/>
    </row>
    <row r="838" spans="8:14" ht="12.75" x14ac:dyDescent="0.2">
      <c r="H838" s="20"/>
      <c r="J838" s="20"/>
      <c r="M838" s="20"/>
      <c r="N838" s="20"/>
    </row>
    <row r="839" spans="8:14" ht="12.75" x14ac:dyDescent="0.2">
      <c r="H839" s="20"/>
      <c r="J839" s="20"/>
      <c r="M839" s="20"/>
      <c r="N839" s="20"/>
    </row>
    <row r="840" spans="8:14" ht="12.75" x14ac:dyDescent="0.2">
      <c r="H840" s="20"/>
      <c r="J840" s="20"/>
      <c r="M840" s="20"/>
      <c r="N840" s="20"/>
    </row>
    <row r="841" spans="8:14" ht="12.75" x14ac:dyDescent="0.2">
      <c r="H841" s="20"/>
      <c r="J841" s="20"/>
      <c r="M841" s="20"/>
      <c r="N841" s="20"/>
    </row>
    <row r="842" spans="8:14" ht="12.75" x14ac:dyDescent="0.2">
      <c r="H842" s="20"/>
      <c r="J842" s="20"/>
      <c r="M842" s="20"/>
      <c r="N842" s="20"/>
    </row>
    <row r="843" spans="8:14" ht="12.75" x14ac:dyDescent="0.2">
      <c r="H843" s="20"/>
      <c r="J843" s="20"/>
      <c r="M843" s="20"/>
      <c r="N843" s="20"/>
    </row>
    <row r="844" spans="8:14" ht="12.75" x14ac:dyDescent="0.2">
      <c r="H844" s="20"/>
      <c r="J844" s="20"/>
      <c r="M844" s="20"/>
      <c r="N844" s="20"/>
    </row>
    <row r="845" spans="8:14" ht="12.75" x14ac:dyDescent="0.2">
      <c r="H845" s="20"/>
      <c r="J845" s="20"/>
      <c r="M845" s="20"/>
      <c r="N845" s="20"/>
    </row>
    <row r="846" spans="8:14" ht="12.75" x14ac:dyDescent="0.2">
      <c r="H846" s="20"/>
      <c r="J846" s="20"/>
      <c r="M846" s="20"/>
      <c r="N846" s="20"/>
    </row>
    <row r="847" spans="8:14" ht="12.75" x14ac:dyDescent="0.2">
      <c r="H847" s="20"/>
      <c r="J847" s="20"/>
      <c r="M847" s="20"/>
      <c r="N847" s="20"/>
    </row>
    <row r="848" spans="8:14" ht="12.75" x14ac:dyDescent="0.2">
      <c r="H848" s="20"/>
      <c r="J848" s="20"/>
      <c r="M848" s="20"/>
      <c r="N848" s="20"/>
    </row>
    <row r="849" spans="8:14" ht="12.75" x14ac:dyDescent="0.2">
      <c r="H849" s="20"/>
      <c r="J849" s="20"/>
      <c r="M849" s="20"/>
      <c r="N849" s="20"/>
    </row>
    <row r="850" spans="8:14" ht="12.75" x14ac:dyDescent="0.2">
      <c r="H850" s="20"/>
      <c r="J850" s="20"/>
      <c r="M850" s="20"/>
      <c r="N850" s="20"/>
    </row>
    <row r="851" spans="8:14" ht="12.75" x14ac:dyDescent="0.2">
      <c r="H851" s="20"/>
      <c r="J851" s="20"/>
      <c r="M851" s="20"/>
      <c r="N851" s="20"/>
    </row>
    <row r="852" spans="8:14" ht="12.75" x14ac:dyDescent="0.2">
      <c r="H852" s="20"/>
      <c r="J852" s="20"/>
      <c r="M852" s="20"/>
      <c r="N852" s="20"/>
    </row>
    <row r="853" spans="8:14" ht="12.75" x14ac:dyDescent="0.2">
      <c r="H853" s="20"/>
      <c r="J853" s="20"/>
      <c r="M853" s="20"/>
      <c r="N853" s="20"/>
    </row>
    <row r="854" spans="8:14" ht="12.75" x14ac:dyDescent="0.2">
      <c r="H854" s="20"/>
      <c r="J854" s="20"/>
      <c r="M854" s="20"/>
      <c r="N854" s="20"/>
    </row>
    <row r="855" spans="8:14" ht="12.75" x14ac:dyDescent="0.2">
      <c r="H855" s="20"/>
      <c r="J855" s="20"/>
      <c r="M855" s="20"/>
      <c r="N855" s="20"/>
    </row>
    <row r="856" spans="8:14" ht="12.75" x14ac:dyDescent="0.2">
      <c r="H856" s="20"/>
      <c r="J856" s="20"/>
      <c r="M856" s="20"/>
      <c r="N856" s="20"/>
    </row>
    <row r="857" spans="8:14" ht="12.75" x14ac:dyDescent="0.2">
      <c r="H857" s="20"/>
      <c r="J857" s="20"/>
      <c r="M857" s="20"/>
      <c r="N857" s="20"/>
    </row>
    <row r="858" spans="8:14" ht="12.75" x14ac:dyDescent="0.2">
      <c r="H858" s="20"/>
      <c r="J858" s="20"/>
      <c r="M858" s="20"/>
      <c r="N858" s="20"/>
    </row>
    <row r="859" spans="8:14" ht="12.75" x14ac:dyDescent="0.2">
      <c r="H859" s="20"/>
      <c r="J859" s="20"/>
      <c r="M859" s="20"/>
      <c r="N859" s="20"/>
    </row>
    <row r="860" spans="8:14" ht="12.75" x14ac:dyDescent="0.2">
      <c r="H860" s="20"/>
      <c r="J860" s="20"/>
      <c r="M860" s="20"/>
      <c r="N860" s="20"/>
    </row>
    <row r="861" spans="8:14" ht="12.75" x14ac:dyDescent="0.2">
      <c r="H861" s="20"/>
      <c r="J861" s="20"/>
      <c r="M861" s="20"/>
      <c r="N861" s="20"/>
    </row>
    <row r="862" spans="8:14" ht="12.75" x14ac:dyDescent="0.2">
      <c r="H862" s="20"/>
      <c r="J862" s="20"/>
      <c r="M862" s="20"/>
      <c r="N862" s="20"/>
    </row>
    <row r="863" spans="8:14" ht="12.75" x14ac:dyDescent="0.2">
      <c r="H863" s="20"/>
      <c r="J863" s="20"/>
      <c r="M863" s="20"/>
      <c r="N863" s="20"/>
    </row>
    <row r="864" spans="8:14" ht="12.75" x14ac:dyDescent="0.2">
      <c r="H864" s="20"/>
      <c r="J864" s="20"/>
      <c r="M864" s="20"/>
      <c r="N864" s="20"/>
    </row>
    <row r="865" spans="8:14" ht="12.75" x14ac:dyDescent="0.2">
      <c r="H865" s="20"/>
      <c r="J865" s="20"/>
      <c r="M865" s="20"/>
      <c r="N865" s="20"/>
    </row>
    <row r="866" spans="8:14" ht="12.75" x14ac:dyDescent="0.2">
      <c r="H866" s="20"/>
      <c r="J866" s="20"/>
      <c r="M866" s="20"/>
      <c r="N866" s="20"/>
    </row>
    <row r="867" spans="8:14" ht="12.75" x14ac:dyDescent="0.2">
      <c r="H867" s="20"/>
      <c r="J867" s="20"/>
      <c r="M867" s="20"/>
      <c r="N867" s="20"/>
    </row>
    <row r="868" spans="8:14" ht="12.75" x14ac:dyDescent="0.2">
      <c r="H868" s="20"/>
      <c r="J868" s="20"/>
      <c r="M868" s="20"/>
      <c r="N868" s="20"/>
    </row>
    <row r="869" spans="8:14" ht="12.75" x14ac:dyDescent="0.2">
      <c r="H869" s="20"/>
      <c r="J869" s="20"/>
      <c r="M869" s="20"/>
      <c r="N869" s="20"/>
    </row>
    <row r="870" spans="8:14" ht="12.75" x14ac:dyDescent="0.2">
      <c r="H870" s="20"/>
      <c r="J870" s="20"/>
      <c r="M870" s="20"/>
      <c r="N870" s="20"/>
    </row>
    <row r="871" spans="8:14" ht="12.75" x14ac:dyDescent="0.2">
      <c r="H871" s="20"/>
      <c r="J871" s="20"/>
      <c r="M871" s="20"/>
      <c r="N871" s="20"/>
    </row>
    <row r="872" spans="8:14" ht="12.75" x14ac:dyDescent="0.2">
      <c r="H872" s="20"/>
      <c r="J872" s="20"/>
      <c r="M872" s="20"/>
      <c r="N872" s="20"/>
    </row>
    <row r="873" spans="8:14" ht="12.75" x14ac:dyDescent="0.2">
      <c r="H873" s="20"/>
      <c r="J873" s="20"/>
      <c r="M873" s="20"/>
      <c r="N873" s="20"/>
    </row>
    <row r="874" spans="8:14" ht="12.75" x14ac:dyDescent="0.2">
      <c r="H874" s="20"/>
      <c r="J874" s="20"/>
      <c r="M874" s="20"/>
      <c r="N874" s="20"/>
    </row>
    <row r="875" spans="8:14" ht="12.75" x14ac:dyDescent="0.2">
      <c r="H875" s="20"/>
      <c r="J875" s="20"/>
      <c r="M875" s="20"/>
      <c r="N875" s="20"/>
    </row>
    <row r="876" spans="8:14" ht="12.75" x14ac:dyDescent="0.2">
      <c r="H876" s="20"/>
      <c r="J876" s="20"/>
      <c r="M876" s="20"/>
      <c r="N876" s="20"/>
    </row>
    <row r="877" spans="8:14" ht="12.75" x14ac:dyDescent="0.2">
      <c r="H877" s="20"/>
      <c r="J877" s="20"/>
      <c r="M877" s="20"/>
      <c r="N877" s="20"/>
    </row>
    <row r="878" spans="8:14" ht="12.75" x14ac:dyDescent="0.2">
      <c r="H878" s="20"/>
      <c r="J878" s="20"/>
      <c r="M878" s="20"/>
      <c r="N878" s="20"/>
    </row>
    <row r="879" spans="8:14" ht="12.75" x14ac:dyDescent="0.2">
      <c r="H879" s="20"/>
      <c r="J879" s="20"/>
      <c r="M879" s="20"/>
      <c r="N879" s="20"/>
    </row>
    <row r="880" spans="8:14" ht="12.75" x14ac:dyDescent="0.2">
      <c r="H880" s="20"/>
      <c r="J880" s="20"/>
      <c r="M880" s="20"/>
      <c r="N880" s="20"/>
    </row>
    <row r="881" spans="8:14" ht="12.75" x14ac:dyDescent="0.2">
      <c r="H881" s="20"/>
      <c r="J881" s="20"/>
      <c r="M881" s="20"/>
      <c r="N881" s="20"/>
    </row>
    <row r="882" spans="8:14" ht="12.75" x14ac:dyDescent="0.2">
      <c r="H882" s="20"/>
      <c r="J882" s="20"/>
      <c r="M882" s="20"/>
      <c r="N882" s="20"/>
    </row>
    <row r="883" spans="8:14" ht="12.75" x14ac:dyDescent="0.2">
      <c r="H883" s="20"/>
      <c r="J883" s="20"/>
      <c r="M883" s="20"/>
      <c r="N883" s="20"/>
    </row>
    <row r="884" spans="8:14" ht="12.75" x14ac:dyDescent="0.2">
      <c r="H884" s="20"/>
      <c r="J884" s="20"/>
      <c r="M884" s="20"/>
      <c r="N884" s="20"/>
    </row>
    <row r="885" spans="8:14" ht="12.75" x14ac:dyDescent="0.2">
      <c r="H885" s="20"/>
      <c r="J885" s="20"/>
      <c r="M885" s="20"/>
      <c r="N885" s="20"/>
    </row>
    <row r="886" spans="8:14" ht="12.75" x14ac:dyDescent="0.2">
      <c r="H886" s="20"/>
      <c r="J886" s="20"/>
      <c r="M886" s="20"/>
      <c r="N886" s="20"/>
    </row>
    <row r="887" spans="8:14" ht="12.75" x14ac:dyDescent="0.2">
      <c r="H887" s="20"/>
      <c r="J887" s="20"/>
      <c r="M887" s="20"/>
      <c r="N887" s="20"/>
    </row>
    <row r="888" spans="8:14" ht="12.75" x14ac:dyDescent="0.2">
      <c r="H888" s="20"/>
      <c r="J888" s="20"/>
      <c r="M888" s="20"/>
      <c r="N888" s="20"/>
    </row>
    <row r="889" spans="8:14" ht="12.75" x14ac:dyDescent="0.2">
      <c r="H889" s="20"/>
      <c r="J889" s="20"/>
      <c r="M889" s="20"/>
      <c r="N889" s="20"/>
    </row>
    <row r="890" spans="8:14" ht="12.75" x14ac:dyDescent="0.2">
      <c r="H890" s="20"/>
      <c r="J890" s="20"/>
      <c r="M890" s="20"/>
      <c r="N890" s="20"/>
    </row>
    <row r="891" spans="8:14" ht="12.75" x14ac:dyDescent="0.2">
      <c r="H891" s="20"/>
      <c r="J891" s="20"/>
      <c r="M891" s="20"/>
      <c r="N891" s="20"/>
    </row>
    <row r="892" spans="8:14" ht="12.75" x14ac:dyDescent="0.2">
      <c r="H892" s="20"/>
      <c r="J892" s="20"/>
      <c r="M892" s="20"/>
      <c r="N892" s="20"/>
    </row>
    <row r="893" spans="8:14" ht="12.75" x14ac:dyDescent="0.2">
      <c r="H893" s="20"/>
      <c r="J893" s="20"/>
      <c r="M893" s="20"/>
      <c r="N893" s="20"/>
    </row>
    <row r="894" spans="8:14" ht="12.75" x14ac:dyDescent="0.2">
      <c r="H894" s="20"/>
      <c r="J894" s="20"/>
      <c r="M894" s="20"/>
      <c r="N894" s="20"/>
    </row>
    <row r="895" spans="8:14" ht="12.75" x14ac:dyDescent="0.2">
      <c r="H895" s="20"/>
      <c r="J895" s="20"/>
      <c r="M895" s="20"/>
      <c r="N895" s="20"/>
    </row>
    <row r="896" spans="8:14" ht="12.75" x14ac:dyDescent="0.2">
      <c r="H896" s="20"/>
      <c r="J896" s="20"/>
      <c r="M896" s="20"/>
      <c r="N896" s="20"/>
    </row>
    <row r="897" spans="8:14" ht="12.75" x14ac:dyDescent="0.2">
      <c r="H897" s="20"/>
      <c r="J897" s="20"/>
      <c r="M897" s="20"/>
      <c r="N897" s="20"/>
    </row>
    <row r="898" spans="8:14" ht="12.75" x14ac:dyDescent="0.2">
      <c r="H898" s="20"/>
      <c r="J898" s="20"/>
      <c r="M898" s="20"/>
      <c r="N898" s="20"/>
    </row>
    <row r="899" spans="8:14" ht="12.75" x14ac:dyDescent="0.2">
      <c r="H899" s="20"/>
      <c r="J899" s="20"/>
      <c r="M899" s="20"/>
      <c r="N899" s="20"/>
    </row>
    <row r="900" spans="8:14" ht="12.75" x14ac:dyDescent="0.2">
      <c r="H900" s="20"/>
      <c r="J900" s="20"/>
      <c r="M900" s="20"/>
      <c r="N900" s="20"/>
    </row>
    <row r="901" spans="8:14" ht="12.75" x14ac:dyDescent="0.2">
      <c r="H901" s="20"/>
      <c r="J901" s="20"/>
      <c r="M901" s="20"/>
      <c r="N901" s="20"/>
    </row>
    <row r="902" spans="8:14" ht="12.75" x14ac:dyDescent="0.2">
      <c r="H902" s="20"/>
      <c r="J902" s="20"/>
      <c r="M902" s="20"/>
      <c r="N902" s="20"/>
    </row>
    <row r="903" spans="8:14" ht="12.75" x14ac:dyDescent="0.2">
      <c r="H903" s="20"/>
      <c r="J903" s="20"/>
      <c r="M903" s="20"/>
      <c r="N903" s="20"/>
    </row>
    <row r="904" spans="8:14" ht="12.75" x14ac:dyDescent="0.2">
      <c r="H904" s="20"/>
      <c r="J904" s="20"/>
      <c r="M904" s="20"/>
      <c r="N904" s="20"/>
    </row>
    <row r="905" spans="8:14" ht="12.75" x14ac:dyDescent="0.2">
      <c r="H905" s="20"/>
      <c r="J905" s="20"/>
      <c r="M905" s="20"/>
      <c r="N905" s="20"/>
    </row>
    <row r="906" spans="8:14" ht="12.75" x14ac:dyDescent="0.2">
      <c r="H906" s="20"/>
      <c r="J906" s="20"/>
      <c r="M906" s="20"/>
      <c r="N906" s="20"/>
    </row>
    <row r="907" spans="8:14" ht="12.75" x14ac:dyDescent="0.2">
      <c r="H907" s="20"/>
      <c r="J907" s="20"/>
      <c r="M907" s="20"/>
      <c r="N907" s="20"/>
    </row>
    <row r="908" spans="8:14" ht="12.75" x14ac:dyDescent="0.2">
      <c r="H908" s="20"/>
      <c r="J908" s="20"/>
      <c r="M908" s="20"/>
      <c r="N908" s="20"/>
    </row>
    <row r="909" spans="8:14" ht="12.75" x14ac:dyDescent="0.2">
      <c r="H909" s="20"/>
      <c r="J909" s="20"/>
      <c r="M909" s="20"/>
      <c r="N909" s="20"/>
    </row>
    <row r="910" spans="8:14" ht="12.75" x14ac:dyDescent="0.2">
      <c r="H910" s="20"/>
      <c r="J910" s="20"/>
      <c r="M910" s="20"/>
      <c r="N910" s="20"/>
    </row>
    <row r="911" spans="8:14" ht="12.75" x14ac:dyDescent="0.2">
      <c r="H911" s="20"/>
      <c r="J911" s="20"/>
      <c r="M911" s="20"/>
      <c r="N911" s="20"/>
    </row>
    <row r="912" spans="8:14" ht="12.75" x14ac:dyDescent="0.2">
      <c r="H912" s="20"/>
      <c r="J912" s="20"/>
      <c r="M912" s="20"/>
      <c r="N912" s="20"/>
    </row>
    <row r="913" spans="8:14" ht="12.75" x14ac:dyDescent="0.2">
      <c r="H913" s="20"/>
      <c r="J913" s="20"/>
      <c r="M913" s="20"/>
      <c r="N913" s="20"/>
    </row>
    <row r="914" spans="8:14" ht="12.75" x14ac:dyDescent="0.2">
      <c r="H914" s="20"/>
      <c r="J914" s="20"/>
      <c r="M914" s="20"/>
      <c r="N914" s="20"/>
    </row>
    <row r="915" spans="8:14" ht="12.75" x14ac:dyDescent="0.2">
      <c r="H915" s="20"/>
      <c r="J915" s="20"/>
      <c r="M915" s="20"/>
      <c r="N915" s="20"/>
    </row>
    <row r="916" spans="8:14" ht="12.75" x14ac:dyDescent="0.2">
      <c r="H916" s="20"/>
      <c r="J916" s="20"/>
      <c r="M916" s="20"/>
      <c r="N916" s="20"/>
    </row>
    <row r="917" spans="8:14" ht="12.75" x14ac:dyDescent="0.2">
      <c r="H917" s="20"/>
      <c r="J917" s="20"/>
      <c r="M917" s="20"/>
      <c r="N917" s="20"/>
    </row>
    <row r="918" spans="8:14" ht="12.75" x14ac:dyDescent="0.2">
      <c r="H918" s="20"/>
      <c r="J918" s="20"/>
      <c r="M918" s="20"/>
      <c r="N918" s="20"/>
    </row>
    <row r="919" spans="8:14" ht="12.75" x14ac:dyDescent="0.2">
      <c r="H919" s="20"/>
      <c r="J919" s="20"/>
      <c r="M919" s="20"/>
      <c r="N919" s="20"/>
    </row>
    <row r="920" spans="8:14" ht="12.75" x14ac:dyDescent="0.2">
      <c r="H920" s="20"/>
      <c r="J920" s="20"/>
      <c r="M920" s="20"/>
      <c r="N920" s="20"/>
    </row>
    <row r="921" spans="8:14" ht="12.75" x14ac:dyDescent="0.2">
      <c r="H921" s="20"/>
      <c r="J921" s="20"/>
      <c r="M921" s="20"/>
      <c r="N921" s="20"/>
    </row>
    <row r="922" spans="8:14" ht="12.75" x14ac:dyDescent="0.2">
      <c r="H922" s="20"/>
      <c r="J922" s="20"/>
      <c r="M922" s="20"/>
      <c r="N922" s="20"/>
    </row>
    <row r="923" spans="8:14" ht="12.75" x14ac:dyDescent="0.2">
      <c r="H923" s="20"/>
      <c r="J923" s="20"/>
      <c r="M923" s="20"/>
      <c r="N923" s="20"/>
    </row>
    <row r="924" spans="8:14" ht="12.75" x14ac:dyDescent="0.2">
      <c r="H924" s="20"/>
      <c r="J924" s="20"/>
      <c r="M924" s="20"/>
      <c r="N924" s="20"/>
    </row>
    <row r="925" spans="8:14" ht="12.75" x14ac:dyDescent="0.2">
      <c r="H925" s="20"/>
      <c r="J925" s="20"/>
      <c r="M925" s="20"/>
      <c r="N925" s="20"/>
    </row>
    <row r="926" spans="8:14" ht="12.75" x14ac:dyDescent="0.2">
      <c r="H926" s="20"/>
      <c r="J926" s="20"/>
      <c r="M926" s="20"/>
      <c r="N926" s="20"/>
    </row>
    <row r="927" spans="8:14" ht="12.75" x14ac:dyDescent="0.2">
      <c r="H927" s="20"/>
      <c r="J927" s="20"/>
      <c r="M927" s="20"/>
      <c r="N927" s="20"/>
    </row>
    <row r="928" spans="8:14" ht="12.75" x14ac:dyDescent="0.2">
      <c r="H928" s="20"/>
      <c r="J928" s="20"/>
      <c r="M928" s="20"/>
      <c r="N928" s="20"/>
    </row>
    <row r="929" spans="8:14" ht="12.75" x14ac:dyDescent="0.2">
      <c r="H929" s="20"/>
      <c r="J929" s="20"/>
      <c r="M929" s="20"/>
      <c r="N929" s="20"/>
    </row>
    <row r="930" spans="8:14" ht="12.75" x14ac:dyDescent="0.2">
      <c r="H930" s="20"/>
      <c r="J930" s="20"/>
      <c r="M930" s="20"/>
      <c r="N930" s="20"/>
    </row>
    <row r="931" spans="8:14" ht="12.75" x14ac:dyDescent="0.2">
      <c r="H931" s="20"/>
      <c r="J931" s="20"/>
      <c r="M931" s="20"/>
      <c r="N931" s="20"/>
    </row>
    <row r="932" spans="8:14" ht="12.75" x14ac:dyDescent="0.2">
      <c r="H932" s="20"/>
      <c r="J932" s="20"/>
      <c r="M932" s="20"/>
      <c r="N932" s="20"/>
    </row>
    <row r="933" spans="8:14" ht="12.75" x14ac:dyDescent="0.2">
      <c r="H933" s="20"/>
      <c r="J933" s="20"/>
      <c r="M933" s="20"/>
      <c r="N933" s="20"/>
    </row>
    <row r="934" spans="8:14" ht="12.75" x14ac:dyDescent="0.2">
      <c r="H934" s="20"/>
      <c r="J934" s="20"/>
      <c r="M934" s="20"/>
      <c r="N934" s="20"/>
    </row>
    <row r="935" spans="8:14" ht="12.75" x14ac:dyDescent="0.2">
      <c r="H935" s="20"/>
      <c r="J935" s="20"/>
      <c r="M935" s="20"/>
      <c r="N935" s="20"/>
    </row>
    <row r="936" spans="8:14" ht="12.75" x14ac:dyDescent="0.2">
      <c r="H936" s="20"/>
      <c r="J936" s="20"/>
      <c r="M936" s="20"/>
      <c r="N936" s="20"/>
    </row>
    <row r="937" spans="8:14" ht="12.75" x14ac:dyDescent="0.2">
      <c r="H937" s="20"/>
      <c r="J937" s="20"/>
      <c r="M937" s="20"/>
      <c r="N937" s="20"/>
    </row>
    <row r="938" spans="8:14" ht="12.75" x14ac:dyDescent="0.2">
      <c r="H938" s="20"/>
      <c r="J938" s="20"/>
      <c r="M938" s="20"/>
      <c r="N938" s="20"/>
    </row>
    <row r="939" spans="8:14" ht="12.75" x14ac:dyDescent="0.2">
      <c r="H939" s="20"/>
      <c r="J939" s="20"/>
      <c r="M939" s="20"/>
      <c r="N939" s="20"/>
    </row>
    <row r="940" spans="8:14" ht="12.75" x14ac:dyDescent="0.2">
      <c r="H940" s="20"/>
      <c r="J940" s="20"/>
      <c r="M940" s="20"/>
      <c r="N940" s="20"/>
    </row>
    <row r="941" spans="8:14" ht="12.75" x14ac:dyDescent="0.2">
      <c r="H941" s="20"/>
      <c r="J941" s="20"/>
      <c r="M941" s="20"/>
      <c r="N941" s="20"/>
    </row>
    <row r="942" spans="8:14" ht="12.75" x14ac:dyDescent="0.2">
      <c r="H942" s="20"/>
      <c r="J942" s="20"/>
      <c r="M942" s="20"/>
      <c r="N942" s="20"/>
    </row>
    <row r="943" spans="8:14" ht="12.75" x14ac:dyDescent="0.2">
      <c r="H943" s="20"/>
      <c r="J943" s="20"/>
      <c r="M943" s="20"/>
      <c r="N943" s="20"/>
    </row>
    <row r="944" spans="8:14" ht="12.75" x14ac:dyDescent="0.2">
      <c r="H944" s="20"/>
      <c r="J944" s="20"/>
      <c r="M944" s="20"/>
      <c r="N944" s="20"/>
    </row>
    <row r="945" spans="8:14" ht="12.75" x14ac:dyDescent="0.2">
      <c r="H945" s="20"/>
      <c r="J945" s="20"/>
      <c r="M945" s="20"/>
      <c r="N945" s="20"/>
    </row>
    <row r="946" spans="8:14" ht="12.75" x14ac:dyDescent="0.2">
      <c r="H946" s="20"/>
      <c r="J946" s="20"/>
      <c r="M946" s="20"/>
      <c r="N946" s="20"/>
    </row>
    <row r="947" spans="8:14" ht="12.75" x14ac:dyDescent="0.2">
      <c r="H947" s="20"/>
      <c r="J947" s="20"/>
      <c r="M947" s="20"/>
      <c r="N947" s="20"/>
    </row>
    <row r="948" spans="8:14" ht="12.75" x14ac:dyDescent="0.2">
      <c r="H948" s="20"/>
      <c r="J948" s="20"/>
      <c r="M948" s="20"/>
      <c r="N948" s="20"/>
    </row>
    <row r="949" spans="8:14" ht="12.75" x14ac:dyDescent="0.2">
      <c r="H949" s="20"/>
      <c r="J949" s="20"/>
      <c r="M949" s="20"/>
      <c r="N949" s="20"/>
    </row>
    <row r="950" spans="8:14" ht="12.75" x14ac:dyDescent="0.2">
      <c r="H950" s="20"/>
      <c r="J950" s="20"/>
      <c r="M950" s="20"/>
      <c r="N950" s="20"/>
    </row>
    <row r="951" spans="8:14" ht="12.75" x14ac:dyDescent="0.2">
      <c r="H951" s="20"/>
      <c r="J951" s="20"/>
      <c r="M951" s="20"/>
      <c r="N951" s="20"/>
    </row>
    <row r="952" spans="8:14" ht="12.75" x14ac:dyDescent="0.2">
      <c r="H952" s="20"/>
      <c r="J952" s="20"/>
      <c r="M952" s="20"/>
      <c r="N952" s="20"/>
    </row>
    <row r="953" spans="8:14" ht="12.75" x14ac:dyDescent="0.2">
      <c r="H953" s="20"/>
      <c r="J953" s="20"/>
      <c r="M953" s="20"/>
      <c r="N953" s="20"/>
    </row>
    <row r="954" spans="8:14" ht="12.75" x14ac:dyDescent="0.2">
      <c r="H954" s="20"/>
      <c r="J954" s="20"/>
      <c r="M954" s="20"/>
      <c r="N954" s="20"/>
    </row>
    <row r="955" spans="8:14" ht="12.75" x14ac:dyDescent="0.2">
      <c r="H955" s="20"/>
      <c r="J955" s="20"/>
      <c r="M955" s="20"/>
      <c r="N955" s="20"/>
    </row>
    <row r="956" spans="8:14" ht="12.75" x14ac:dyDescent="0.2">
      <c r="H956" s="20"/>
      <c r="J956" s="20"/>
      <c r="M956" s="20"/>
      <c r="N956" s="20"/>
    </row>
    <row r="957" spans="8:14" ht="12.75" x14ac:dyDescent="0.2">
      <c r="H957" s="20"/>
      <c r="J957" s="20"/>
      <c r="M957" s="20"/>
      <c r="N957" s="20"/>
    </row>
    <row r="958" spans="8:14" ht="12.75" x14ac:dyDescent="0.2">
      <c r="H958" s="20"/>
      <c r="J958" s="20"/>
      <c r="M958" s="20"/>
      <c r="N958" s="20"/>
    </row>
    <row r="959" spans="8:14" ht="12.75" x14ac:dyDescent="0.2">
      <c r="H959" s="20"/>
      <c r="J959" s="20"/>
      <c r="M959" s="20"/>
      <c r="N959" s="20"/>
    </row>
    <row r="960" spans="8:14" ht="12.75" x14ac:dyDescent="0.2">
      <c r="H960" s="20"/>
      <c r="J960" s="20"/>
      <c r="M960" s="20"/>
      <c r="N960" s="20"/>
    </row>
    <row r="961" spans="8:14" ht="12.75" x14ac:dyDescent="0.2">
      <c r="H961" s="20"/>
      <c r="J961" s="20"/>
      <c r="M961" s="20"/>
      <c r="N961" s="20"/>
    </row>
    <row r="962" spans="8:14" ht="12.75" x14ac:dyDescent="0.2">
      <c r="H962" s="20"/>
      <c r="J962" s="20"/>
      <c r="M962" s="20"/>
      <c r="N962" s="20"/>
    </row>
    <row r="963" spans="8:14" ht="12.75" x14ac:dyDescent="0.2">
      <c r="H963" s="20"/>
      <c r="J963" s="20"/>
      <c r="M963" s="20"/>
      <c r="N963" s="20"/>
    </row>
    <row r="964" spans="8:14" ht="12.75" x14ac:dyDescent="0.2">
      <c r="H964" s="20"/>
      <c r="J964" s="20"/>
      <c r="M964" s="20"/>
      <c r="N964" s="20"/>
    </row>
    <row r="965" spans="8:14" ht="12.75" x14ac:dyDescent="0.2">
      <c r="H965" s="20"/>
      <c r="J965" s="20"/>
      <c r="M965" s="20"/>
      <c r="N965" s="20"/>
    </row>
    <row r="966" spans="8:14" ht="12.75" x14ac:dyDescent="0.2">
      <c r="H966" s="20"/>
      <c r="J966" s="20"/>
      <c r="M966" s="20"/>
      <c r="N966" s="20"/>
    </row>
    <row r="967" spans="8:14" ht="12.75" x14ac:dyDescent="0.2">
      <c r="H967" s="20"/>
      <c r="J967" s="20"/>
      <c r="M967" s="20"/>
      <c r="N967" s="20"/>
    </row>
    <row r="968" spans="8:14" ht="12.75" x14ac:dyDescent="0.2">
      <c r="H968" s="20"/>
      <c r="J968" s="20"/>
      <c r="M968" s="20"/>
      <c r="N968" s="20"/>
    </row>
    <row r="969" spans="8:14" ht="12.75" x14ac:dyDescent="0.2">
      <c r="H969" s="20"/>
      <c r="J969" s="20"/>
      <c r="M969" s="20"/>
      <c r="N969" s="20"/>
    </row>
    <row r="970" spans="8:14" ht="12.75" x14ac:dyDescent="0.2">
      <c r="H970" s="20"/>
      <c r="J970" s="20"/>
      <c r="M970" s="20"/>
      <c r="N970" s="20"/>
    </row>
    <row r="971" spans="8:14" ht="12.75" x14ac:dyDescent="0.2">
      <c r="H971" s="20"/>
      <c r="J971" s="20"/>
      <c r="M971" s="20"/>
      <c r="N971" s="20"/>
    </row>
    <row r="972" spans="8:14" ht="12.75" x14ac:dyDescent="0.2">
      <c r="H972" s="20"/>
      <c r="J972" s="20"/>
      <c r="M972" s="20"/>
      <c r="N972" s="20"/>
    </row>
    <row r="973" spans="8:14" ht="12.75" x14ac:dyDescent="0.2">
      <c r="H973" s="20"/>
      <c r="J973" s="20"/>
      <c r="M973" s="20"/>
      <c r="N973" s="20"/>
    </row>
    <row r="974" spans="8:14" ht="12.75" x14ac:dyDescent="0.2">
      <c r="H974" s="20"/>
      <c r="J974" s="20"/>
      <c r="M974" s="20"/>
      <c r="N974" s="20"/>
    </row>
    <row r="975" spans="8:14" ht="12.75" x14ac:dyDescent="0.2">
      <c r="H975" s="20"/>
      <c r="J975" s="20"/>
      <c r="M975" s="20"/>
      <c r="N975" s="20"/>
    </row>
    <row r="976" spans="8:14" ht="12.75" x14ac:dyDescent="0.2">
      <c r="H976" s="20"/>
      <c r="J976" s="20"/>
      <c r="M976" s="20"/>
      <c r="N976" s="20"/>
    </row>
    <row r="977" spans="8:14" ht="12.75" x14ac:dyDescent="0.2">
      <c r="H977" s="20"/>
      <c r="J977" s="20"/>
      <c r="M977" s="20"/>
      <c r="N977" s="20"/>
    </row>
    <row r="978" spans="8:14" ht="12.75" x14ac:dyDescent="0.2">
      <c r="H978" s="20"/>
      <c r="J978" s="20"/>
      <c r="M978" s="20"/>
      <c r="N978" s="20"/>
    </row>
    <row r="979" spans="8:14" ht="12.75" x14ac:dyDescent="0.2">
      <c r="H979" s="20"/>
      <c r="J979" s="20"/>
      <c r="M979" s="20"/>
      <c r="N979" s="20"/>
    </row>
    <row r="980" spans="8:14" ht="12.75" x14ac:dyDescent="0.2">
      <c r="H980" s="20"/>
      <c r="J980" s="20"/>
      <c r="M980" s="20"/>
      <c r="N980" s="20"/>
    </row>
    <row r="981" spans="8:14" ht="12.75" x14ac:dyDescent="0.2">
      <c r="H981" s="20"/>
      <c r="J981" s="20"/>
      <c r="M981" s="20"/>
      <c r="N981" s="20"/>
    </row>
    <row r="982" spans="8:14" ht="12.75" x14ac:dyDescent="0.2">
      <c r="H982" s="20"/>
      <c r="J982" s="20"/>
      <c r="M982" s="20"/>
      <c r="N982" s="20"/>
    </row>
    <row r="983" spans="8:14" ht="12.75" x14ac:dyDescent="0.2">
      <c r="H983" s="20"/>
      <c r="J983" s="20"/>
      <c r="M983" s="20"/>
      <c r="N983" s="20"/>
    </row>
    <row r="984" spans="8:14" ht="12.75" x14ac:dyDescent="0.2">
      <c r="H984" s="20"/>
      <c r="J984" s="20"/>
      <c r="M984" s="20"/>
      <c r="N984" s="20"/>
    </row>
    <row r="985" spans="8:14" ht="12.75" x14ac:dyDescent="0.2">
      <c r="H985" s="20"/>
      <c r="J985" s="20"/>
      <c r="M985" s="20"/>
      <c r="N985" s="20"/>
    </row>
    <row r="986" spans="8:14" ht="12.75" x14ac:dyDescent="0.2">
      <c r="H986" s="20"/>
      <c r="J986" s="20"/>
      <c r="M986" s="20"/>
      <c r="N986" s="20"/>
    </row>
    <row r="987" spans="8:14" ht="12.75" x14ac:dyDescent="0.2">
      <c r="H987" s="20"/>
      <c r="J987" s="20"/>
      <c r="M987" s="20"/>
      <c r="N987" s="20"/>
    </row>
    <row r="988" spans="8:14" ht="12.75" x14ac:dyDescent="0.2">
      <c r="H988" s="20"/>
      <c r="J988" s="20"/>
      <c r="M988" s="20"/>
      <c r="N988" s="20"/>
    </row>
    <row r="989" spans="8:14" ht="12.75" x14ac:dyDescent="0.2">
      <c r="H989" s="20"/>
      <c r="J989" s="20"/>
      <c r="M989" s="20"/>
      <c r="N989" s="20"/>
    </row>
    <row r="990" spans="8:14" ht="12.75" x14ac:dyDescent="0.2">
      <c r="H990" s="20"/>
      <c r="J990" s="20"/>
      <c r="M990" s="20"/>
      <c r="N990" s="20"/>
    </row>
    <row r="991" spans="8:14" ht="12.75" x14ac:dyDescent="0.2">
      <c r="H991" s="20"/>
      <c r="J991" s="20"/>
      <c r="M991" s="20"/>
      <c r="N991" s="20"/>
    </row>
    <row r="992" spans="8:14" ht="12.75" x14ac:dyDescent="0.2">
      <c r="H992" s="20"/>
      <c r="J992" s="20"/>
      <c r="M992" s="20"/>
      <c r="N992" s="20"/>
    </row>
    <row r="993" spans="8:14" ht="12.75" x14ac:dyDescent="0.2">
      <c r="H993" s="20"/>
      <c r="J993" s="20"/>
      <c r="M993" s="20"/>
      <c r="N993" s="20"/>
    </row>
    <row r="994" spans="8:14" ht="12.75" x14ac:dyDescent="0.2">
      <c r="H994" s="20"/>
      <c r="J994" s="20"/>
      <c r="M994" s="20"/>
      <c r="N994" s="20"/>
    </row>
    <row r="995" spans="8:14" ht="12.75" x14ac:dyDescent="0.2">
      <c r="H995" s="20"/>
      <c r="J995" s="20"/>
      <c r="M995" s="20"/>
      <c r="N995" s="20"/>
    </row>
    <row r="996" spans="8:14" ht="12.75" x14ac:dyDescent="0.2">
      <c r="H996" s="20"/>
      <c r="J996" s="20"/>
      <c r="M996" s="20"/>
      <c r="N996" s="20"/>
    </row>
    <row r="997" spans="8:14" ht="12.75" x14ac:dyDescent="0.2">
      <c r="H997" s="20"/>
      <c r="J997" s="20"/>
      <c r="M997" s="20"/>
      <c r="N997" s="20"/>
    </row>
    <row r="998" spans="8:14" ht="12.75" x14ac:dyDescent="0.2">
      <c r="H998" s="20"/>
      <c r="J998" s="20"/>
      <c r="M998" s="20"/>
      <c r="N998" s="20"/>
    </row>
    <row r="999" spans="8:14" ht="12.75" x14ac:dyDescent="0.2">
      <c r="H999" s="20"/>
      <c r="J999" s="20"/>
      <c r="M999" s="20"/>
      <c r="N999" s="20"/>
    </row>
    <row r="1000" spans="8:14" ht="12.75" x14ac:dyDescent="0.2">
      <c r="H1000" s="20"/>
      <c r="J1000" s="20"/>
      <c r="M1000" s="20"/>
      <c r="N1000" s="20"/>
    </row>
  </sheetData>
  <sortState ref="A2:AA1000">
    <sortCondition ref="A1:A1000"/>
  </sortState>
  <hyperlinks>
    <hyperlink ref="E15" r:id="rId1"/>
    <hyperlink ref="E16" r:id="rId2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77"/>
  <sheetViews>
    <sheetView workbookViewId="0">
      <pane ySplit="1" topLeftCell="A2" activePane="bottomLeft" state="frozen"/>
      <selection pane="bottomLeft" activeCell="B3" sqref="B3"/>
    </sheetView>
  </sheetViews>
  <sheetFormatPr defaultColWidth="12.7109375" defaultRowHeight="15.75" customHeight="1" x14ac:dyDescent="0.2"/>
  <cols>
    <col min="5" max="5" width="7.7109375" customWidth="1"/>
    <col min="6" max="6" width="8.140625" customWidth="1"/>
    <col min="7" max="7" width="7.7109375" customWidth="1"/>
  </cols>
  <sheetData>
    <row r="1" spans="1:28" ht="12.75" x14ac:dyDescent="0.2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3" t="s">
        <v>7</v>
      </c>
      <c r="I1" s="22" t="s">
        <v>8</v>
      </c>
      <c r="J1" s="22" t="s">
        <v>9</v>
      </c>
      <c r="K1" s="22" t="s">
        <v>61</v>
      </c>
      <c r="L1" s="22" t="s">
        <v>11</v>
      </c>
      <c r="M1" s="23" t="s">
        <v>12</v>
      </c>
      <c r="N1" s="23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4" t="s">
        <v>18</v>
      </c>
      <c r="T1" s="24" t="s">
        <v>19</v>
      </c>
      <c r="U1" s="24" t="s">
        <v>20</v>
      </c>
      <c r="V1" s="24" t="s">
        <v>21</v>
      </c>
      <c r="W1" s="24" t="s">
        <v>22</v>
      </c>
      <c r="X1" s="24" t="s">
        <v>23</v>
      </c>
      <c r="Y1" s="24" t="s">
        <v>24</v>
      </c>
      <c r="Z1" s="24" t="s">
        <v>25</v>
      </c>
      <c r="AA1" s="24" t="s">
        <v>26</v>
      </c>
      <c r="AB1" s="7"/>
    </row>
    <row r="2" spans="1:28" ht="15.75" customHeight="1" x14ac:dyDescent="0.25">
      <c r="A2" s="25">
        <v>2</v>
      </c>
      <c r="B2" s="25"/>
      <c r="C2" s="26" t="s">
        <v>62</v>
      </c>
      <c r="D2" s="26" t="s">
        <v>29</v>
      </c>
      <c r="E2" s="27" t="str">
        <f t="shared" ref="E2:E101" si="0">"https://www.screener.in/company/"&amp; D2&amp;"/consolidated/"</f>
        <v>https://www.screener.in/company/TATAMOTORS/consolidated/</v>
      </c>
      <c r="F2" s="25"/>
      <c r="G2" s="25"/>
      <c r="H2" s="28">
        <f t="shared" ref="H2:H101" ca="1" si="1">(G2*L2)/10^7</f>
        <v>0</v>
      </c>
      <c r="I2" s="29" t="str">
        <f ca="1">IFERROR(__xludf.DUMMYFUNCTION("IMPORTXML(E2,""/html/body/main/div[3]/div[3]/div[2]/ul/li[5]/span[2]/span"")"),"Loading...")</f>
        <v>Loading...</v>
      </c>
      <c r="J2" s="29">
        <f ca="1">IFERROR(__xludf.DUMMYFUNCTION("GOOGLEFINANCE(""NSE:""&amp;D2,""marketcap"")"),2547195816564)</f>
        <v>2547195816564</v>
      </c>
      <c r="K2" s="29"/>
      <c r="L2" s="29">
        <f ca="1">IFERROR(__xludf.DUMMYFUNCTION("GOOGLEFINANCE(""NSE:""&amp;D2,""price"")"),693.5)</f>
        <v>693.5</v>
      </c>
      <c r="M2" s="28">
        <f t="shared" ref="M2:M101" ca="1" si="2">L2-K2</f>
        <v>693.5</v>
      </c>
      <c r="N2" s="28" t="e">
        <f t="shared" ref="N2:N101" ca="1" si="3">(M2/K2)*100</f>
        <v>#DIV/0!</v>
      </c>
      <c r="O2" s="29">
        <f ca="1">IFERROR(__xludf.DUMMYFUNCTION("GOOGLEFINANCE(""NSE:""&amp;D2,""pe"")"),9.75)</f>
        <v>9.75</v>
      </c>
      <c r="P2" s="29">
        <f ca="1">IFERROR(__xludf.DUMMYFUNCTION("GOOGLEFINANCE(""NSE:""&amp;D2,""EPS"")"),71.14)</f>
        <v>71.14</v>
      </c>
      <c r="Q2" s="29">
        <v>13.5</v>
      </c>
      <c r="R2" s="29" t="str">
        <f ca="1">IFERROR(__xludf.DUMMYFUNCTION("IMPORTXML(E2,""/html/body/main/div[3]/div[3]/div[2]/ul/li[7]/span[2]/span"")"),"Loading...")</f>
        <v>Loading...</v>
      </c>
      <c r="S2" s="29" t="str">
        <f ca="1">IFERROR(__xludf.DUMMYFUNCTION("IMPORTXML(E2,""/html/body/main/div[3]/div[3]/div[2]/ul/li[8]/span[2]/span"")"),"Loading...")</f>
        <v>Loading...</v>
      </c>
      <c r="T2" s="29"/>
      <c r="U2" s="29"/>
      <c r="V2" s="29"/>
      <c r="W2" s="29"/>
      <c r="X2" s="29"/>
      <c r="Y2" s="29"/>
      <c r="Z2" s="30"/>
      <c r="AA2" s="30"/>
      <c r="AB2" s="30"/>
    </row>
    <row r="3" spans="1:28" ht="15.75" customHeight="1" x14ac:dyDescent="0.25">
      <c r="A3" s="25">
        <v>3</v>
      </c>
      <c r="B3" s="25"/>
      <c r="C3" s="26" t="s">
        <v>63</v>
      </c>
      <c r="D3" s="26" t="s">
        <v>64</v>
      </c>
      <c r="E3" s="27" t="str">
        <f t="shared" si="0"/>
        <v>https://www.screener.in/company/PFC/consolidated/</v>
      </c>
      <c r="F3" s="25"/>
      <c r="G3" s="25"/>
      <c r="H3" s="28">
        <f t="shared" ca="1" si="1"/>
        <v>0</v>
      </c>
      <c r="I3" s="29">
        <f ca="1">IFERROR(__xludf.DUMMYFUNCTION("IMPORTXML(E3,""/html/body/main/div[3]/div[3]/div[2]/ul/li[5]/span[2]/span"")"),357)</f>
        <v>357</v>
      </c>
      <c r="J3" s="29">
        <f ca="1">IFERROR(__xludf.DUMMYFUNCTION("GOOGLEFINANCE(""NSE:""&amp;D3,""marketcap"")"),1302369660155)</f>
        <v>1302369660155</v>
      </c>
      <c r="K3" s="29"/>
      <c r="L3" s="29">
        <f ca="1">IFERROR(__xludf.DUMMYFUNCTION("GOOGLEFINANCE(""NSE:""&amp;D3,""price"")"),394.75)</f>
        <v>394.75</v>
      </c>
      <c r="M3" s="28">
        <f t="shared" ca="1" si="2"/>
        <v>394.75</v>
      </c>
      <c r="N3" s="28" t="e">
        <f t="shared" ca="1" si="3"/>
        <v>#DIV/0!</v>
      </c>
      <c r="O3" s="29">
        <f ca="1">IFERROR(__xludf.DUMMYFUNCTION("GOOGLEFINANCE(""NSE:""&amp;D3,""pe"")"),5.36)</f>
        <v>5.36</v>
      </c>
      <c r="P3" s="29">
        <f ca="1">IFERROR(__xludf.DUMMYFUNCTION("GOOGLEFINANCE(""NSE:""&amp;D3,""EPS"")"),73.68)</f>
        <v>73.680000000000007</v>
      </c>
      <c r="Q3" s="29">
        <v>13.5</v>
      </c>
      <c r="R3" s="29" t="str">
        <f ca="1">IFERROR(__xludf.DUMMYFUNCTION("IMPORTXML(E3,""/html/body/main/div[3]/div[3]/div[2]/ul/li[7]/span[2]/span"")"),"Loading...")</f>
        <v>Loading...</v>
      </c>
      <c r="S3" s="29" t="str">
        <f ca="1">IFERROR(__xludf.DUMMYFUNCTION("IMPORTXML(E3,""/html/body/main/div[3]/div[3]/div[2]/ul/li[8]/span[2]/span"")"),"Loading...")</f>
        <v>Loading...</v>
      </c>
      <c r="T3" s="29"/>
      <c r="U3" s="29"/>
      <c r="V3" s="29"/>
      <c r="W3" s="29"/>
      <c r="X3" s="29"/>
      <c r="Y3" s="29"/>
      <c r="Z3" s="30"/>
      <c r="AA3" s="30"/>
      <c r="AB3" s="30"/>
    </row>
    <row r="4" spans="1:28" ht="15.75" customHeight="1" x14ac:dyDescent="0.25">
      <c r="A4" s="25">
        <v>4</v>
      </c>
      <c r="B4" s="25"/>
      <c r="C4" s="26" t="s">
        <v>65</v>
      </c>
      <c r="D4" s="26" t="s">
        <v>66</v>
      </c>
      <c r="E4" s="27" t="str">
        <f t="shared" si="0"/>
        <v>https://www.screener.in/company/COALINDIA/consolidated/</v>
      </c>
      <c r="F4" s="25"/>
      <c r="G4" s="25"/>
      <c r="H4" s="28">
        <f t="shared" ca="1" si="1"/>
        <v>0</v>
      </c>
      <c r="I4" s="29" t="str">
        <f ca="1">IFERROR(__xludf.DUMMYFUNCTION("IMPORTXML(E4,""/html/body/main/div[3]/div[3]/div[2]/ul/li[5]/span[2]/span"")"),"Loading...")</f>
        <v>Loading...</v>
      </c>
      <c r="J4" s="29">
        <f ca="1">IFERROR(__xludf.DUMMYFUNCTION("GOOGLEFINANCE(""NSE:""&amp;D4,""marketcap"")"),2419496246609)</f>
        <v>2419496246609</v>
      </c>
      <c r="K4" s="29"/>
      <c r="L4" s="29">
        <f ca="1">IFERROR(__xludf.DUMMYFUNCTION("GOOGLEFINANCE(""NSE:""&amp;D4,""price"")"),393.1)</f>
        <v>393.1</v>
      </c>
      <c r="M4" s="28">
        <f t="shared" ca="1" si="2"/>
        <v>393.1</v>
      </c>
      <c r="N4" s="28" t="e">
        <f t="shared" ca="1" si="3"/>
        <v>#DIV/0!</v>
      </c>
      <c r="O4" s="29">
        <f ca="1">IFERROR(__xludf.DUMMYFUNCTION("GOOGLEFINANCE(""NSE:""&amp;D4,""pe"")"),7.31)</f>
        <v>7.31</v>
      </c>
      <c r="P4" s="29">
        <f ca="1">IFERROR(__xludf.DUMMYFUNCTION("GOOGLEFINANCE(""NSE:""&amp;D4,""EPS"")"),53.78)</f>
        <v>53.78</v>
      </c>
      <c r="Q4" s="29">
        <v>13.5</v>
      </c>
      <c r="R4" s="29" t="str">
        <f ca="1">IFERROR(__xludf.DUMMYFUNCTION("IMPORTXML(E4,""/html/body/main/div[3]/div[3]/div[2]/ul/li[7]/span[2]/span"")"),"Loading...")</f>
        <v>Loading...</v>
      </c>
      <c r="S4" s="29" t="str">
        <f ca="1">IFERROR(__xludf.DUMMYFUNCTION("IMPORTXML(E4,""/html/body/main/div[3]/div[3]/div[2]/ul/li[8]/span[2]/span"")"),"Loading...")</f>
        <v>Loading...</v>
      </c>
      <c r="T4" s="29"/>
      <c r="U4" s="29"/>
      <c r="V4" s="29"/>
      <c r="W4" s="29"/>
      <c r="X4" s="29"/>
      <c r="Y4" s="29"/>
      <c r="Z4" s="30"/>
      <c r="AA4" s="30"/>
      <c r="AB4" s="30"/>
    </row>
    <row r="5" spans="1:28" ht="15.75" customHeight="1" x14ac:dyDescent="0.25">
      <c r="A5" s="25">
        <v>5</v>
      </c>
      <c r="B5" s="25"/>
      <c r="C5" s="26" t="s">
        <v>67</v>
      </c>
      <c r="D5" s="26" t="s">
        <v>68</v>
      </c>
      <c r="E5" s="27" t="str">
        <f t="shared" si="0"/>
        <v>https://www.screener.in/company/PNB/consolidated/</v>
      </c>
      <c r="F5" s="25"/>
      <c r="G5" s="25"/>
      <c r="H5" s="28">
        <f t="shared" ca="1" si="1"/>
        <v>0</v>
      </c>
      <c r="I5" s="29" t="str">
        <f ca="1">IFERROR(__xludf.DUMMYFUNCTION("IMPORTXML(E5,""/html/body/main/div[3]/div[3]/div[2]/ul/li[5]/span[2]/span"")"),"Loading...")</f>
        <v>Loading...</v>
      </c>
      <c r="J5" s="29">
        <f ca="1">IFERROR(__xludf.DUMMYFUNCTION("GOOGLEFINANCE(""NSE:""&amp;D5,""marketcap"")"),1192617662500)</f>
        <v>1192617662500</v>
      </c>
      <c r="K5" s="29"/>
      <c r="L5" s="29">
        <f ca="1">IFERROR(__xludf.DUMMYFUNCTION("GOOGLEFINANCE(""NSE:""&amp;D5,""price"")"),103.62)</f>
        <v>103.62</v>
      </c>
      <c r="M5" s="28">
        <f t="shared" ca="1" si="2"/>
        <v>103.62</v>
      </c>
      <c r="N5" s="28" t="e">
        <f t="shared" ca="1" si="3"/>
        <v>#DIV/0!</v>
      </c>
      <c r="O5" s="29">
        <f ca="1">IFERROR(__xludf.DUMMYFUNCTION("GOOGLEFINANCE(""NSE:""&amp;D5,""pe"")"),7.08)</f>
        <v>7.08</v>
      </c>
      <c r="P5" s="29">
        <f ca="1">IFERROR(__xludf.DUMMYFUNCTION("GOOGLEFINANCE(""NSE:""&amp;D5,""EPS"")"),14.63)</f>
        <v>14.63</v>
      </c>
      <c r="Q5" s="29">
        <v>13.5</v>
      </c>
      <c r="R5" s="29" t="str">
        <f ca="1">IFERROR(__xludf.DUMMYFUNCTION("IMPORTXML(E5,""/html/body/main/div[3]/div[3]/div[2]/ul/li[7]/span[2]/span"")"),"Loading...")</f>
        <v>Loading...</v>
      </c>
      <c r="S5" s="29" t="str">
        <f ca="1">IFERROR(__xludf.DUMMYFUNCTION("IMPORTXML(E5,""/html/body/main/div[3]/div[3]/div[2]/ul/li[8]/span[2]/span"")"),"Loading...")</f>
        <v>Loading...</v>
      </c>
      <c r="T5" s="29"/>
      <c r="U5" s="29"/>
      <c r="V5" s="29"/>
      <c r="W5" s="29"/>
      <c r="X5" s="29"/>
      <c r="Y5" s="29"/>
      <c r="Z5" s="30"/>
      <c r="AA5" s="30"/>
      <c r="AB5" s="30"/>
    </row>
    <row r="6" spans="1:28" ht="15.75" customHeight="1" x14ac:dyDescent="0.25">
      <c r="A6" s="25">
        <v>6</v>
      </c>
      <c r="B6" s="25"/>
      <c r="C6" s="26" t="s">
        <v>69</v>
      </c>
      <c r="D6" s="26" t="s">
        <v>70</v>
      </c>
      <c r="E6" s="27" t="str">
        <f t="shared" si="0"/>
        <v>https://www.screener.in/company/RECLTD/consolidated/</v>
      </c>
      <c r="F6" s="25"/>
      <c r="G6" s="25"/>
      <c r="H6" s="28">
        <f t="shared" ca="1" si="1"/>
        <v>0</v>
      </c>
      <c r="I6" s="29" t="str">
        <f ca="1">IFERROR(__xludf.DUMMYFUNCTION("IMPORTXML(E6,""/html/body/main/div[3]/div[3]/div[2]/ul/li[5]/span[2]/span"")"),"Loading...")</f>
        <v>Loading...</v>
      </c>
      <c r="J6" s="29">
        <f ca="1">IFERROR(__xludf.DUMMYFUNCTION("GOOGLEFINANCE(""NSE:""&amp;D6,""marketcap"")"),964168744539)</f>
        <v>964168744539</v>
      </c>
      <c r="K6" s="29"/>
      <c r="L6" s="29">
        <f ca="1">IFERROR(__xludf.DUMMYFUNCTION("GOOGLEFINANCE(""NSE:""&amp;D6,""price"")"),366.95)</f>
        <v>366.95</v>
      </c>
      <c r="M6" s="28">
        <f t="shared" ca="1" si="2"/>
        <v>366.95</v>
      </c>
      <c r="N6" s="28" t="e">
        <f t="shared" ca="1" si="3"/>
        <v>#DIV/0!</v>
      </c>
      <c r="O6" s="29">
        <f ca="1">IFERROR(__xludf.DUMMYFUNCTION("GOOGLEFINANCE(""NSE:""&amp;D6,""pe"")"),5.72)</f>
        <v>5.72</v>
      </c>
      <c r="P6" s="29">
        <f ca="1">IFERROR(__xludf.DUMMYFUNCTION("GOOGLEFINANCE(""NSE:""&amp;D6,""EPS"")"),64.14)</f>
        <v>64.14</v>
      </c>
      <c r="Q6" s="29">
        <v>13.5</v>
      </c>
      <c r="R6" s="29" t="str">
        <f ca="1">IFERROR(__xludf.DUMMYFUNCTION("IMPORTXML(E6,""/html/body/main/div[3]/div[3]/div[2]/ul/li[7]/span[2]/span"")"),"Loading...")</f>
        <v>Loading...</v>
      </c>
      <c r="S6" s="29" t="str">
        <f ca="1">IFERROR(__xludf.DUMMYFUNCTION("IMPORTXML(E6,""/html/body/main/div[3]/div[3]/div[2]/ul/li[8]/span[2]/span"")"),"Loading...")</f>
        <v>Loading...</v>
      </c>
      <c r="T6" s="29"/>
      <c r="U6" s="29"/>
      <c r="V6" s="29"/>
      <c r="W6" s="29"/>
      <c r="X6" s="29"/>
      <c r="Y6" s="29"/>
      <c r="Z6" s="30"/>
      <c r="AA6" s="30"/>
      <c r="AB6" s="30"/>
    </row>
    <row r="7" spans="1:28" ht="15.75" customHeight="1" x14ac:dyDescent="0.25">
      <c r="A7" s="25">
        <v>7</v>
      </c>
      <c r="B7" s="25"/>
      <c r="C7" s="26" t="s">
        <v>71</v>
      </c>
      <c r="D7" s="26" t="s">
        <v>72</v>
      </c>
      <c r="E7" s="27" t="str">
        <f t="shared" si="0"/>
        <v>https://www.screener.in/company/ONGC/consolidated/</v>
      </c>
      <c r="F7" s="25"/>
      <c r="G7" s="25"/>
      <c r="H7" s="28">
        <f t="shared" ca="1" si="1"/>
        <v>0</v>
      </c>
      <c r="I7" s="29">
        <f ca="1">IFERROR(__xludf.DUMMYFUNCTION("IMPORTXML(E7,""/html/body/main/div[3]/div[3]/div[2]/ul/li[5]/span[2]/span"")"),273)</f>
        <v>273</v>
      </c>
      <c r="J7" s="29">
        <f ca="1">IFERROR(__xludf.DUMMYFUNCTION("GOOGLEFINANCE(""NSE:""&amp;D7,""marketcap"")"),2945550727219)</f>
        <v>2945550727219</v>
      </c>
      <c r="K7" s="29"/>
      <c r="L7" s="29">
        <f ca="1">IFERROR(__xludf.DUMMYFUNCTION("GOOGLEFINANCE(""NSE:""&amp;D7,""price"")"),234.6)</f>
        <v>234.6</v>
      </c>
      <c r="M7" s="28">
        <f t="shared" ca="1" si="2"/>
        <v>234.6</v>
      </c>
      <c r="N7" s="28" t="e">
        <f t="shared" ca="1" si="3"/>
        <v>#DIV/0!</v>
      </c>
      <c r="O7" s="29">
        <f ca="1">IFERROR(__xludf.DUMMYFUNCTION("GOOGLEFINANCE(""NSE:""&amp;D7,""pe"")"),8.19)</f>
        <v>8.19</v>
      </c>
      <c r="P7" s="29">
        <f ca="1">IFERROR(__xludf.DUMMYFUNCTION("GOOGLEFINANCE(""NSE:""&amp;D7,""EPS"")"),28.63)</f>
        <v>28.63</v>
      </c>
      <c r="Q7" s="29">
        <v>13.5</v>
      </c>
      <c r="R7" s="29" t="str">
        <f ca="1">IFERROR(__xludf.DUMMYFUNCTION("IMPORTXML(E7,""/html/body/main/div[3]/div[3]/div[2]/ul/li[7]/span[2]/span"")"),"Loading...")</f>
        <v>Loading...</v>
      </c>
      <c r="S7" s="29" t="str">
        <f ca="1">IFERROR(__xludf.DUMMYFUNCTION("IMPORTXML(E7,""/html/body/main/div[3]/div[3]/div[2]/ul/li[8]/span[2]/span"")"),"Loading...")</f>
        <v>Loading...</v>
      </c>
      <c r="T7" s="29"/>
      <c r="U7" s="29"/>
      <c r="V7" s="29"/>
      <c r="W7" s="29"/>
      <c r="X7" s="29"/>
      <c r="Y7" s="29"/>
      <c r="Z7" s="30"/>
      <c r="AA7" s="30"/>
      <c r="AB7" s="30"/>
    </row>
    <row r="8" spans="1:28" ht="15.75" customHeight="1" x14ac:dyDescent="0.25">
      <c r="A8" s="25">
        <v>8</v>
      </c>
      <c r="B8" s="25"/>
      <c r="C8" s="26" t="s">
        <v>73</v>
      </c>
      <c r="D8" s="26" t="s">
        <v>74</v>
      </c>
      <c r="E8" s="27" t="str">
        <f t="shared" si="0"/>
        <v>https://www.screener.in/company/BPCL/consolidated/</v>
      </c>
      <c r="F8" s="25"/>
      <c r="G8" s="25"/>
      <c r="H8" s="28">
        <f t="shared" ca="1" si="1"/>
        <v>0</v>
      </c>
      <c r="I8" s="29" t="str">
        <f ca="1">IFERROR(__xludf.DUMMYFUNCTION("IMPORTXML(E8,""/html/body/main/div[3]/div[3]/div[2]/ul/li[5]/span[2]/span"")"),"Loading...")</f>
        <v>Loading...</v>
      </c>
      <c r="J8" s="29">
        <f ca="1">IFERROR(__xludf.DUMMYFUNCTION("GOOGLEFINANCE(""NSE:""&amp;D8,""marketcap"")"),676191277899)</f>
        <v>676191277899</v>
      </c>
      <c r="K8" s="29"/>
      <c r="L8" s="29">
        <f ca="1">IFERROR(__xludf.DUMMYFUNCTION("GOOGLEFINANCE(""NSE:""&amp;D8,""price"")"),313.2)</f>
        <v>313.2</v>
      </c>
      <c r="M8" s="28">
        <f t="shared" ca="1" si="2"/>
        <v>313.2</v>
      </c>
      <c r="N8" s="28" t="e">
        <f t="shared" ca="1" si="3"/>
        <v>#DIV/0!</v>
      </c>
      <c r="O8" s="29">
        <f ca="1">IFERROR(__xludf.DUMMYFUNCTION("GOOGLEFINANCE(""NSE:""&amp;D8,""pe"")"),7.72)</f>
        <v>7.72</v>
      </c>
      <c r="P8" s="29">
        <f ca="1">IFERROR(__xludf.DUMMYFUNCTION("GOOGLEFINANCE(""NSE:""&amp;D8,""EPS"")"),40.57)</f>
        <v>40.57</v>
      </c>
      <c r="Q8" s="29">
        <v>13.5</v>
      </c>
      <c r="R8" s="29" t="str">
        <f ca="1">IFERROR(__xludf.DUMMYFUNCTION("IMPORTXML(E8,""/html/body/main/div[3]/div[3]/div[2]/ul/li[7]/span[2]/span"")"),"Loading...")</f>
        <v>Loading...</v>
      </c>
      <c r="S8" s="29" t="str">
        <f ca="1">IFERROR(__xludf.DUMMYFUNCTION("IMPORTXML(E8,""/html/body/main/div[3]/div[3]/div[2]/ul/li[8]/span[2]/span"")"),"Loading...")</f>
        <v>Loading...</v>
      </c>
      <c r="T8" s="29"/>
      <c r="U8" s="29"/>
      <c r="V8" s="29"/>
      <c r="W8" s="29"/>
      <c r="X8" s="29"/>
      <c r="Y8" s="29"/>
      <c r="Z8" s="30"/>
      <c r="AA8" s="30"/>
      <c r="AB8" s="30"/>
    </row>
    <row r="9" spans="1:28" ht="15.75" customHeight="1" x14ac:dyDescent="0.25">
      <c r="A9" s="25">
        <v>9</v>
      </c>
      <c r="B9" s="25"/>
      <c r="C9" s="26" t="s">
        <v>75</v>
      </c>
      <c r="D9" s="26" t="s">
        <v>76</v>
      </c>
      <c r="E9" s="27" t="str">
        <f t="shared" si="0"/>
        <v>https://www.screener.in/company/SBIN/consolidated/</v>
      </c>
      <c r="F9" s="25"/>
      <c r="G9" s="25"/>
      <c r="H9" s="28">
        <f t="shared" ca="1" si="1"/>
        <v>0</v>
      </c>
      <c r="I9" s="29" t="str">
        <f ca="1">IFERROR(__xludf.DUMMYFUNCTION("IMPORTXML(E9,""/html/body/main/div[3]/div[3]/div[2]/ul/li[5]/span[2]/span"")"),"Loading...")</f>
        <v>Loading...</v>
      </c>
      <c r="J9" s="29">
        <f ca="1">IFERROR(__xludf.DUMMYFUNCTION("GOOGLEFINANCE(""NSE:""&amp;D9,""marketcap"")"),7448646500828)</f>
        <v>7448646500828</v>
      </c>
      <c r="K9" s="29"/>
      <c r="L9" s="29">
        <f ca="1">IFERROR(__xludf.DUMMYFUNCTION("GOOGLEFINANCE(""NSE:""&amp;D9,""price"")"),806.95)</f>
        <v>806.95</v>
      </c>
      <c r="M9" s="28">
        <f t="shared" ca="1" si="2"/>
        <v>806.95</v>
      </c>
      <c r="N9" s="28" t="e">
        <f t="shared" ca="1" si="3"/>
        <v>#DIV/0!</v>
      </c>
      <c r="O9" s="29">
        <f ca="1">IFERROR(__xludf.DUMMYFUNCTION("GOOGLEFINANCE(""NSE:""&amp;D9,""pe"")"),9.07)</f>
        <v>9.07</v>
      </c>
      <c r="P9" s="29">
        <f ca="1">IFERROR(__xludf.DUMMYFUNCTION("GOOGLEFINANCE(""NSE:""&amp;D9,""EPS"")"),89.01)</f>
        <v>89.01</v>
      </c>
      <c r="Q9" s="29">
        <v>13.5</v>
      </c>
      <c r="R9" s="29" t="str">
        <f ca="1">IFERROR(__xludf.DUMMYFUNCTION("IMPORTXML(E9,""/html/body/main/div[3]/div[3]/div[2]/ul/li[7]/span[2]/span"")"),"Loading...")</f>
        <v>Loading...</v>
      </c>
      <c r="S9" s="29" t="str">
        <f ca="1">IFERROR(__xludf.DUMMYFUNCTION("IMPORTXML(E9,""/html/body/main/div[3]/div[3]/div[2]/ul/li[8]/span[2]/span"")"),"Loading...")</f>
        <v>Loading...</v>
      </c>
      <c r="T9" s="29"/>
      <c r="U9" s="29"/>
      <c r="V9" s="29"/>
      <c r="W9" s="29"/>
      <c r="X9" s="29"/>
      <c r="Y9" s="29"/>
      <c r="Z9" s="30"/>
      <c r="AA9" s="30"/>
      <c r="AB9" s="30"/>
    </row>
    <row r="10" spans="1:28" ht="15.75" customHeight="1" x14ac:dyDescent="0.25">
      <c r="A10" s="25">
        <v>10</v>
      </c>
      <c r="B10" s="25"/>
      <c r="C10" s="26" t="s">
        <v>77</v>
      </c>
      <c r="D10" s="26" t="s">
        <v>78</v>
      </c>
      <c r="E10" s="27" t="str">
        <f t="shared" si="0"/>
        <v>https://www.screener.in/company/GAIL/consolidated/</v>
      </c>
      <c r="F10" s="25"/>
      <c r="G10" s="25"/>
      <c r="H10" s="28">
        <f t="shared" ca="1" si="1"/>
        <v>0</v>
      </c>
      <c r="I10" s="29" t="str">
        <f ca="1">IFERROR(__xludf.DUMMYFUNCTION("IMPORTXML(E10,""/html/body/main/div[3]/div[3]/div[2]/ul/li[5]/span[2]/span"")"),"Loading...")</f>
        <v>Loading...</v>
      </c>
      <c r="J10" s="29">
        <f ca="1">IFERROR(__xludf.DUMMYFUNCTION("GOOGLEFINANCE(""NSE:""&amp;D10,""marketcap"")"),1143330016391)</f>
        <v>1143330016391</v>
      </c>
      <c r="K10" s="29"/>
      <c r="L10" s="29">
        <f ca="1">IFERROR(__xludf.DUMMYFUNCTION("GOOGLEFINANCE(""NSE:""&amp;D10,""price"")"),173.99)</f>
        <v>173.99</v>
      </c>
      <c r="M10" s="28">
        <f t="shared" ca="1" si="2"/>
        <v>173.99</v>
      </c>
      <c r="N10" s="28" t="e">
        <f t="shared" ca="1" si="3"/>
        <v>#DIV/0!</v>
      </c>
      <c r="O10" s="29">
        <f ca="1">IFERROR(__xludf.DUMMYFUNCTION("GOOGLEFINANCE(""NSE:""&amp;D10,""pe"")"),9.83)</f>
        <v>9.83</v>
      </c>
      <c r="P10" s="29">
        <f ca="1">IFERROR(__xludf.DUMMYFUNCTION("GOOGLEFINANCE(""NSE:""&amp;D10,""EPS"")"),17.7)</f>
        <v>17.7</v>
      </c>
      <c r="Q10" s="29">
        <v>13.5</v>
      </c>
      <c r="R10" s="29" t="str">
        <f ca="1">IFERROR(__xludf.DUMMYFUNCTION("IMPORTXML(E10,""/html/body/main/div[3]/div[3]/div[2]/ul/li[7]/span[2]/span"")"),"Loading...")</f>
        <v>Loading...</v>
      </c>
      <c r="S10" s="29">
        <f ca="1">IFERROR(__xludf.DUMMYFUNCTION("IMPORTXML(E10,""/html/body/main/div[3]/div[3]/div[2]/ul/li[8]/span[2]/span"")"),13.1)</f>
        <v>13.1</v>
      </c>
      <c r="T10" s="29"/>
      <c r="U10" s="29"/>
      <c r="V10" s="29"/>
      <c r="W10" s="29"/>
      <c r="X10" s="29"/>
      <c r="Y10" s="29"/>
      <c r="Z10" s="30"/>
      <c r="AA10" s="30"/>
      <c r="AB10" s="30"/>
    </row>
    <row r="11" spans="1:28" ht="15.75" customHeight="1" x14ac:dyDescent="0.25">
      <c r="A11" s="25">
        <v>1</v>
      </c>
      <c r="B11" s="25"/>
      <c r="C11" s="26" t="s">
        <v>79</v>
      </c>
      <c r="D11" s="26" t="s">
        <v>80</v>
      </c>
      <c r="E11" s="27" t="str">
        <f t="shared" si="0"/>
        <v>https://www.screener.in/company/BANKBARODA/consolidated/</v>
      </c>
      <c r="F11" s="25"/>
      <c r="G11" s="25"/>
      <c r="H11" s="28">
        <f t="shared" ca="1" si="1"/>
        <v>0</v>
      </c>
      <c r="I11" s="29" t="str">
        <f ca="1">IFERROR(__xludf.DUMMYFUNCTION("IMPORTXML(E11,""/html/body/main/div[3]/div[3]/div[2]/ul/li[5]/span[2]/span"")"),"Loading...")</f>
        <v>Loading...</v>
      </c>
      <c r="J11" s="29">
        <f ca="1">IFERROR(__xludf.DUMMYFUNCTION("GOOGLEFINANCE(""NSE:""&amp;D11,""marketcap"")"),1210961993272)</f>
        <v>1210961993272</v>
      </c>
      <c r="K11" s="29"/>
      <c r="L11" s="29">
        <f ca="1">IFERROR(__xludf.DUMMYFUNCTION("GOOGLEFINANCE(""NSE:""&amp;D11,""price"")"),234.81)</f>
        <v>234.81</v>
      </c>
      <c r="M11" s="28">
        <f t="shared" ca="1" si="2"/>
        <v>234.81</v>
      </c>
      <c r="N11" s="28" t="e">
        <f t="shared" ca="1" si="3"/>
        <v>#DIV/0!</v>
      </c>
      <c r="O11" s="29">
        <f ca="1">IFERROR(__xludf.DUMMYFUNCTION("GOOGLEFINANCE(""NSE:""&amp;D11,""pe"")"),6.24)</f>
        <v>6.24</v>
      </c>
      <c r="P11" s="29">
        <f ca="1">IFERROR(__xludf.DUMMYFUNCTION("GOOGLEFINANCE(""NSE:""&amp;D11,""EPS"")"),37.63)</f>
        <v>37.630000000000003</v>
      </c>
      <c r="Q11" s="29">
        <v>13.5</v>
      </c>
      <c r="R11" s="29" t="str">
        <f ca="1">IFERROR(__xludf.DUMMYFUNCTION("IMPORTXML(E11,""/html/body/main/div[3]/div[3]/div[2]/ul/li[7]/span[2]/span"")"),"Loading...")</f>
        <v>Loading...</v>
      </c>
      <c r="S11" s="29" t="str">
        <f ca="1">IFERROR(__xludf.DUMMYFUNCTION("IMPORTXML(E11,""/html/body/main/div[3]/div[3]/div[2]/ul/li[8]/span[2]/span"")"),"Loading...")</f>
        <v>Loading...</v>
      </c>
      <c r="T11" s="29"/>
      <c r="U11" s="29"/>
      <c r="V11" s="29"/>
      <c r="W11" s="29"/>
      <c r="X11" s="29"/>
      <c r="Y11" s="29"/>
      <c r="Z11" s="30"/>
      <c r="AA11" s="30"/>
      <c r="AB11" s="30"/>
    </row>
    <row r="12" spans="1:28" ht="15.75" customHeight="1" x14ac:dyDescent="0.25">
      <c r="A12" s="4">
        <v>11</v>
      </c>
      <c r="C12" s="12" t="s">
        <v>81</v>
      </c>
      <c r="D12" s="12" t="s">
        <v>82</v>
      </c>
      <c r="E12" s="13" t="str">
        <f t="shared" si="0"/>
        <v>https://www.screener.in/company/HINDALCO/consolidated/</v>
      </c>
      <c r="H12" s="14">
        <f t="shared" ca="1" si="1"/>
        <v>0</v>
      </c>
      <c r="I12" s="15" t="str">
        <f ca="1">IFERROR(__xludf.DUMMYFUNCTION("IMPORTXML(E12,""/html/body/main/div[3]/div[3]/div[2]/ul/li[5]/span[2]/span"")"),"Loading...")</f>
        <v>Loading...</v>
      </c>
      <c r="J12" s="15">
        <f ca="1">IFERROR(__xludf.DUMMYFUNCTION("GOOGLEFINANCE(""NSE:""&amp;D12,""marketcap"")"),1665024986102)</f>
        <v>1665024986102</v>
      </c>
      <c r="K12" s="15"/>
      <c r="L12" s="16">
        <f ca="1">IFERROR(__xludf.DUMMYFUNCTION("GOOGLEFINANCE(""NSE:""&amp;D12,""price"")"),745)</f>
        <v>745</v>
      </c>
      <c r="M12" s="17">
        <f t="shared" ca="1" si="2"/>
        <v>745</v>
      </c>
      <c r="N12" s="18" t="e">
        <f t="shared" ca="1" si="3"/>
        <v>#DIV/0!</v>
      </c>
      <c r="O12" s="15">
        <f ca="1">IFERROR(__xludf.DUMMYFUNCTION("GOOGLEFINANCE(""NSE:""&amp;D12,""pe"")"),9.79)</f>
        <v>9.7899999999999991</v>
      </c>
      <c r="P12" s="15">
        <f ca="1">IFERROR(__xludf.DUMMYFUNCTION("GOOGLEFINANCE(""NSE:""&amp;D12,""EPS"")"),76.1)</f>
        <v>76.099999999999994</v>
      </c>
      <c r="Q12" s="15">
        <v>13.5</v>
      </c>
      <c r="R12" s="15" t="str">
        <f ca="1">IFERROR(__xludf.DUMMYFUNCTION("IMPORTXML(E12,""/html/body/main/div[3]/div[3]/div[2]/ul/li[7]/span[2]/span"")"),"Loading...")</f>
        <v>Loading...</v>
      </c>
      <c r="S12" s="15" t="str">
        <f ca="1">IFERROR(__xludf.DUMMYFUNCTION("IMPORTXML(E12,""/html/body/main/div[3]/div[3]/div[2]/ul/li[8]/span[2]/span"")"),"Loading...")</f>
        <v>Loading...</v>
      </c>
      <c r="T12" s="15"/>
      <c r="U12" s="15"/>
      <c r="V12" s="15"/>
      <c r="W12" s="15"/>
      <c r="X12" s="15"/>
      <c r="Y12" s="15"/>
      <c r="Z12" s="7"/>
      <c r="AA12" s="7"/>
      <c r="AB12" s="7"/>
    </row>
    <row r="13" spans="1:28" ht="15.75" customHeight="1" x14ac:dyDescent="0.25">
      <c r="A13" s="4">
        <v>12</v>
      </c>
      <c r="C13" s="12" t="s">
        <v>83</v>
      </c>
      <c r="D13" s="12" t="s">
        <v>84</v>
      </c>
      <c r="E13" s="13" t="str">
        <f t="shared" si="0"/>
        <v>https://www.screener.in/company/LICI/consolidated/</v>
      </c>
      <c r="H13" s="14">
        <f t="shared" ca="1" si="1"/>
        <v>0</v>
      </c>
      <c r="I13" s="15" t="str">
        <f ca="1">IFERROR(__xludf.DUMMYFUNCTION("IMPORTXML(E13,""/html/body/main/div[3]/div[3]/div[2]/ul/li[5]/span[2]/span"")"),"Loading...")</f>
        <v>Loading...</v>
      </c>
      <c r="J13" s="15">
        <f ca="1">IFERROR(__xludf.DUMMYFUNCTION("GOOGLEFINANCE(""NSE:""&amp;D13,""marketcap"")"),5546367209772)</f>
        <v>5546367209772</v>
      </c>
      <c r="K13" s="15"/>
      <c r="L13" s="16">
        <f ca="1">IFERROR(__xludf.DUMMYFUNCTION("GOOGLEFINANCE(""NSE:""&amp;D13,""price"")"),877.25)</f>
        <v>877.25</v>
      </c>
      <c r="M13" s="17">
        <f t="shared" ca="1" si="2"/>
        <v>877.25</v>
      </c>
      <c r="N13" s="18" t="e">
        <f t="shared" ca="1" si="3"/>
        <v>#DIV/0!</v>
      </c>
      <c r="O13" s="15">
        <f ca="1">IFERROR(__xludf.DUMMYFUNCTION("GOOGLEFINANCE(""NSE:""&amp;D13,""pe"")"),11.39)</f>
        <v>11.39</v>
      </c>
      <c r="P13" s="15">
        <f ca="1">IFERROR(__xludf.DUMMYFUNCTION("GOOGLEFINANCE(""NSE:""&amp;D13,""EPS"")"),77.03)</f>
        <v>77.03</v>
      </c>
      <c r="Q13" s="15">
        <v>13.5</v>
      </c>
      <c r="R13" s="15" t="str">
        <f ca="1">IFERROR(__xludf.DUMMYFUNCTION("IMPORTXML(E13,""/html/body/main/div[3]/div[3]/div[2]/ul/li[7]/span[2]/span"")"),"Loading...")</f>
        <v>Loading...</v>
      </c>
      <c r="S13" s="15">
        <f ca="1">IFERROR(__xludf.DUMMYFUNCTION("IMPORTXML(E13,""/html/body/main/div[3]/div[3]/div[2]/ul/li[8]/span[2]/span"")"),46)</f>
        <v>46</v>
      </c>
      <c r="T13" s="15"/>
      <c r="U13" s="15"/>
      <c r="V13" s="15"/>
      <c r="W13" s="15"/>
      <c r="X13" s="15"/>
      <c r="Y13" s="15"/>
      <c r="Z13" s="7"/>
      <c r="AA13" s="7"/>
      <c r="AB13" s="7"/>
    </row>
    <row r="14" spans="1:28" ht="15.75" customHeight="1" x14ac:dyDescent="0.25">
      <c r="A14" s="4">
        <v>13</v>
      </c>
      <c r="C14" s="12" t="s">
        <v>85</v>
      </c>
      <c r="D14" s="12" t="s">
        <v>86</v>
      </c>
      <c r="E14" s="13" t="str">
        <f t="shared" si="0"/>
        <v>https://www.screener.in/company/AXISBANK/consolidated/</v>
      </c>
      <c r="H14" s="14">
        <f t="shared" ca="1" si="1"/>
        <v>0</v>
      </c>
      <c r="I14" s="15" t="str">
        <f ca="1">IFERROR(__xludf.DUMMYFUNCTION("IMPORTXML(E14,""/html/body/main/div[3]/div[3]/div[2]/ul/li[5]/span[2]/span"")"),"Loading...")</f>
        <v>Loading...</v>
      </c>
      <c r="J14" s="15">
        <f ca="1">IFERROR(__xludf.DUMMYFUNCTION("GOOGLEFINANCE(""NSE:""&amp;D14,""marketcap"")"),3274801814805)</f>
        <v>3274801814805</v>
      </c>
      <c r="K14" s="15"/>
      <c r="L14" s="16">
        <f ca="1">IFERROR(__xludf.DUMMYFUNCTION("GOOGLEFINANCE(""NSE:""&amp;D14,""price"")"),1056)</f>
        <v>1056</v>
      </c>
      <c r="M14" s="17">
        <f t="shared" ca="1" si="2"/>
        <v>1056</v>
      </c>
      <c r="N14" s="18" t="e">
        <f t="shared" ca="1" si="3"/>
        <v>#DIV/0!</v>
      </c>
      <c r="O14" s="15">
        <f ca="1">IFERROR(__xludf.DUMMYFUNCTION("GOOGLEFINANCE(""NSE:""&amp;D14,""pe"")"),11.79)</f>
        <v>11.79</v>
      </c>
      <c r="P14" s="15">
        <f ca="1">IFERROR(__xludf.DUMMYFUNCTION("GOOGLEFINANCE(""NSE:""&amp;D14,""EPS"")"),89.53)</f>
        <v>89.53</v>
      </c>
      <c r="Q14" s="15">
        <v>13.5</v>
      </c>
      <c r="R14" s="15" t="str">
        <f ca="1">IFERROR(__xludf.DUMMYFUNCTION("IMPORTXML(E14,""/html/body/main/div[3]/div[3]/div[2]/ul/li[7]/span[2]/span"")"),"Loading...")</f>
        <v>Loading...</v>
      </c>
      <c r="S14" s="15" t="str">
        <f ca="1">IFERROR(__xludf.DUMMYFUNCTION("IMPORTXML(E14,""/html/body/main/div[3]/div[3]/div[2]/ul/li[8]/span[2]/span"")"),"Loading...")</f>
        <v>Loading...</v>
      </c>
      <c r="T14" s="15"/>
      <c r="U14" s="15"/>
      <c r="V14" s="15"/>
      <c r="W14" s="15"/>
      <c r="X14" s="15"/>
      <c r="Y14" s="15"/>
      <c r="Z14" s="7"/>
      <c r="AA14" s="7"/>
      <c r="AB14" s="7"/>
    </row>
    <row r="15" spans="1:28" ht="15.75" customHeight="1" x14ac:dyDescent="0.25">
      <c r="A15" s="4">
        <v>14</v>
      </c>
      <c r="C15" s="12" t="s">
        <v>87</v>
      </c>
      <c r="D15" s="12" t="s">
        <v>88</v>
      </c>
      <c r="E15" s="13" t="str">
        <f t="shared" si="0"/>
        <v>https://www.screener.in/company/SHRIRAMFIN/consolidated/</v>
      </c>
      <c r="H15" s="14">
        <f t="shared" ca="1" si="1"/>
        <v>0</v>
      </c>
      <c r="I15" s="15" t="str">
        <f ca="1">IFERROR(__xludf.DUMMYFUNCTION("IMPORTXML(E15,""/html/body/main/div[3]/div[3]/div[2]/ul/li[5]/span[2]/span"")"),"Loading...")</f>
        <v>Loading...</v>
      </c>
      <c r="J15" s="15">
        <f ca="1">IFERROR(__xludf.DUMMYFUNCTION("GOOGLEFINANCE(""NSE:""&amp;D15,""marketcap"")"),1115367785751)</f>
        <v>1115367785751</v>
      </c>
      <c r="K15" s="15"/>
      <c r="L15" s="16">
        <f ca="1">IFERROR(__xludf.DUMMYFUNCTION("GOOGLEFINANCE(""NSE:""&amp;D15,""price"")"),595.65)</f>
        <v>595.65</v>
      </c>
      <c r="M15" s="17">
        <f t="shared" ca="1" si="2"/>
        <v>595.65</v>
      </c>
      <c r="N15" s="18" t="e">
        <f t="shared" ca="1" si="3"/>
        <v>#DIV/0!</v>
      </c>
      <c r="O15" s="15">
        <f ca="1">IFERROR(__xludf.DUMMYFUNCTION("GOOGLEFINANCE(""NSE:""&amp;D15,""pe"")"),11.65)</f>
        <v>11.65</v>
      </c>
      <c r="P15" s="15">
        <f ca="1">IFERROR(__xludf.DUMMYFUNCTION("GOOGLEFINANCE(""NSE:""&amp;D15,""EPS"")"),51.15)</f>
        <v>51.15</v>
      </c>
      <c r="Q15" s="15">
        <v>13.5</v>
      </c>
      <c r="R15" s="15" t="str">
        <f ca="1">IFERROR(__xludf.DUMMYFUNCTION("IMPORTXML(E15,""/html/body/main/div[3]/div[3]/div[2]/ul/li[7]/span[2]/span"")"),"Loading...")</f>
        <v>Loading...</v>
      </c>
      <c r="S15" s="15" t="str">
        <f ca="1">IFERROR(__xludf.DUMMYFUNCTION("IMPORTXML(E15,""/html/body/main/div[3]/div[3]/div[2]/ul/li[8]/span[2]/span"")"),"Loading...")</f>
        <v>Loading...</v>
      </c>
      <c r="T15" s="15"/>
      <c r="U15" s="15"/>
      <c r="V15" s="15"/>
      <c r="W15" s="15"/>
      <c r="X15" s="15"/>
      <c r="Y15" s="15"/>
      <c r="Z15" s="7"/>
      <c r="AA15" s="7"/>
      <c r="AB15" s="7"/>
    </row>
    <row r="16" spans="1:28" ht="15.75" customHeight="1" x14ac:dyDescent="0.25">
      <c r="A16" s="4">
        <v>15</v>
      </c>
      <c r="C16" s="12" t="s">
        <v>89</v>
      </c>
      <c r="D16" s="12" t="s">
        <v>90</v>
      </c>
      <c r="E16" s="13" t="str">
        <f t="shared" si="0"/>
        <v>https://www.screener.in/company/VEDL/consolidated/</v>
      </c>
      <c r="H16" s="14">
        <f t="shared" ca="1" si="1"/>
        <v>0</v>
      </c>
      <c r="I16" s="15" t="str">
        <f ca="1">IFERROR(__xludf.DUMMYFUNCTION("IMPORTXML(E16,""/html/body/main/div[3]/div[3]/div[2]/ul/li[5]/span[2]/span"")"),"Loading...")</f>
        <v>Loading...</v>
      </c>
      <c r="J16" s="15">
        <f ca="1">IFERROR(__xludf.DUMMYFUNCTION("GOOGLEFINANCE(""NSE:""&amp;D16,""marketcap"")"),1655392909500)</f>
        <v>1655392909500</v>
      </c>
      <c r="K16" s="15"/>
      <c r="L16" s="16">
        <f ca="1">IFERROR(__xludf.DUMMYFUNCTION("GOOGLEFINANCE(""NSE:""&amp;D16,""price"")"),445.8)</f>
        <v>445.8</v>
      </c>
      <c r="M16" s="17">
        <f t="shared" ca="1" si="2"/>
        <v>445.8</v>
      </c>
      <c r="N16" s="18" t="e">
        <f t="shared" ca="1" si="3"/>
        <v>#DIV/0!</v>
      </c>
      <c r="O16" s="15">
        <f ca="1">IFERROR(__xludf.DUMMYFUNCTION("GOOGLEFINANCE(""NSE:""&amp;D16,""pe"")"),12.01)</f>
        <v>12.01</v>
      </c>
      <c r="P16" s="15">
        <f ca="1">IFERROR(__xludf.DUMMYFUNCTION("GOOGLEFINANCE(""NSE:""&amp;D16,""EPS"")"),37.12)</f>
        <v>37.119999999999997</v>
      </c>
      <c r="Q16" s="15">
        <v>13.5</v>
      </c>
      <c r="R16" s="15" t="str">
        <f ca="1">IFERROR(__xludf.DUMMYFUNCTION("IMPORTXML(E16,""/html/body/main/div[3]/div[3]/div[2]/ul/li[7]/span[2]/span"")"),"Loading...")</f>
        <v>Loading...</v>
      </c>
      <c r="S16" s="15" t="str">
        <f ca="1">IFERROR(__xludf.DUMMYFUNCTION("IMPORTXML(E16,""/html/body/main/div[3]/div[3]/div[2]/ul/li[8]/span[2]/span"")"),"Loading...")</f>
        <v>Loading...</v>
      </c>
      <c r="T16" s="15"/>
      <c r="U16" s="15"/>
      <c r="V16" s="15"/>
      <c r="W16" s="15"/>
      <c r="X16" s="15"/>
      <c r="Y16" s="15"/>
      <c r="Z16" s="7"/>
      <c r="AA16" s="7"/>
      <c r="AB16" s="7"/>
    </row>
    <row r="17" spans="1:28" ht="15.75" customHeight="1" x14ac:dyDescent="0.25">
      <c r="A17" s="4">
        <v>16</v>
      </c>
      <c r="C17" s="12" t="s">
        <v>91</v>
      </c>
      <c r="D17" s="12" t="s">
        <v>92</v>
      </c>
      <c r="E17" s="13" t="str">
        <f t="shared" si="0"/>
        <v>https://www.screener.in/company/NTPC/consolidated/</v>
      </c>
      <c r="H17" s="14">
        <f t="shared" ca="1" si="1"/>
        <v>0</v>
      </c>
      <c r="I17" s="15" t="str">
        <f ca="1">IFERROR(__xludf.DUMMYFUNCTION("IMPORTXML(E17,""/html/body/main/div[3]/div[3]/div[2]/ul/li[5]/span[2]/span"")"),"Loading...")</f>
        <v>Loading...</v>
      </c>
      <c r="J17" s="15">
        <f ca="1">IFERROR(__xludf.DUMMYFUNCTION("GOOGLEFINANCE(""NSE:""&amp;D17,""marketcap"")"),3183956941343)</f>
        <v>3183956941343</v>
      </c>
      <c r="K17" s="15"/>
      <c r="L17" s="16">
        <f ca="1">IFERROR(__xludf.DUMMYFUNCTION("GOOGLEFINANCE(""NSE:""&amp;D17,""price"")"),328.75)</f>
        <v>328.75</v>
      </c>
      <c r="M17" s="17">
        <f t="shared" ca="1" si="2"/>
        <v>328.75</v>
      </c>
      <c r="N17" s="18" t="e">
        <f t="shared" ca="1" si="3"/>
        <v>#DIV/0!</v>
      </c>
      <c r="O17" s="15">
        <f ca="1">IFERROR(__xludf.DUMMYFUNCTION("GOOGLEFINANCE(""NSE:""&amp;D17,""pe"")"),13.31)</f>
        <v>13.31</v>
      </c>
      <c r="P17" s="15">
        <f ca="1">IFERROR(__xludf.DUMMYFUNCTION("GOOGLEFINANCE(""NSE:""&amp;D17,""EPS"")"),24.7)</f>
        <v>24.7</v>
      </c>
      <c r="Q17" s="15">
        <v>13.5</v>
      </c>
      <c r="R17" s="15" t="str">
        <f ca="1">IFERROR(__xludf.DUMMYFUNCTION("IMPORTXML(E17,""/html/body/main/div[3]/div[3]/div[2]/ul/li[7]/span[2]/span"")"),"Loading...")</f>
        <v>Loading...</v>
      </c>
      <c r="S17" s="15" t="str">
        <f ca="1">IFERROR(__xludf.DUMMYFUNCTION("IMPORTXML(E17,""/html/body/main/div[3]/div[3]/div[2]/ul/li[8]/span[2]/span"")"),"Loading...")</f>
        <v>Loading...</v>
      </c>
      <c r="T17" s="15"/>
      <c r="U17" s="15"/>
      <c r="V17" s="15"/>
      <c r="W17" s="15"/>
      <c r="X17" s="15"/>
      <c r="Y17" s="15"/>
      <c r="Z17" s="7"/>
      <c r="AA17" s="7"/>
      <c r="AB17" s="7"/>
    </row>
    <row r="18" spans="1:28" ht="15.75" customHeight="1" x14ac:dyDescent="0.25">
      <c r="A18" s="4">
        <v>17</v>
      </c>
      <c r="C18" s="12" t="s">
        <v>93</v>
      </c>
      <c r="D18" s="12" t="s">
        <v>94</v>
      </c>
      <c r="E18" s="13" t="str">
        <f t="shared" si="0"/>
        <v>https://www.screener.in/company/ADANIPOWER/consolidated/</v>
      </c>
      <c r="H18" s="14">
        <f t="shared" ca="1" si="1"/>
        <v>0</v>
      </c>
      <c r="I18" s="15" t="str">
        <f ca="1">IFERROR(__xludf.DUMMYFUNCTION("IMPORTXML(E18,""/html/body/main/div[3]/div[3]/div[2]/ul/li[5]/span[2]/span"")"),"Loading...")</f>
        <v>Loading...</v>
      </c>
      <c r="J18" s="15">
        <f ca="1">IFERROR(__xludf.DUMMYFUNCTION("GOOGLEFINANCE(""NSE:""&amp;D18,""marketcap"")"),2351961355118)</f>
        <v>2351961355118</v>
      </c>
      <c r="K18" s="15"/>
      <c r="L18" s="16">
        <f ca="1">IFERROR(__xludf.DUMMYFUNCTION("GOOGLEFINANCE(""NSE:""&amp;D18,""price"")"),610.3)</f>
        <v>610.29999999999995</v>
      </c>
      <c r="M18" s="17">
        <f t="shared" ca="1" si="2"/>
        <v>610.29999999999995</v>
      </c>
      <c r="N18" s="18" t="e">
        <f t="shared" ca="1" si="3"/>
        <v>#DIV/0!</v>
      </c>
      <c r="O18" s="15">
        <f ca="1">IFERROR(__xludf.DUMMYFUNCTION("GOOGLEFINANCE(""NSE:""&amp;D18,""pe"")"),18.92)</f>
        <v>18.920000000000002</v>
      </c>
      <c r="P18" s="15">
        <f ca="1">IFERROR(__xludf.DUMMYFUNCTION("GOOGLEFINANCE(""NSE:""&amp;D18,""EPS"")"),32.25)</f>
        <v>32.25</v>
      </c>
      <c r="Q18" s="15">
        <v>13.5</v>
      </c>
      <c r="R18" s="15" t="str">
        <f ca="1">IFERROR(__xludf.DUMMYFUNCTION("IMPORTXML(E18,""/html/body/main/div[3]/div[3]/div[2]/ul/li[7]/span[2]/span"")"),"Loading...")</f>
        <v>Loading...</v>
      </c>
      <c r="S18" s="15" t="str">
        <f ca="1">IFERROR(__xludf.DUMMYFUNCTION("IMPORTXML(E18,""/html/body/main/div[3]/div[3]/div[2]/ul/li[8]/span[2]/span"")"),"Loading...")</f>
        <v>Loading...</v>
      </c>
      <c r="T18" s="15"/>
      <c r="U18" s="15"/>
      <c r="V18" s="15"/>
      <c r="W18" s="15"/>
      <c r="X18" s="15"/>
      <c r="Y18" s="15"/>
      <c r="Z18" s="7"/>
      <c r="AA18" s="7"/>
      <c r="AB18" s="7"/>
    </row>
    <row r="19" spans="1:28" ht="15.75" customHeight="1" x14ac:dyDescent="0.25">
      <c r="A19" s="4">
        <v>18</v>
      </c>
      <c r="C19" s="12" t="s">
        <v>95</v>
      </c>
      <c r="D19" s="12" t="s">
        <v>96</v>
      </c>
      <c r="E19" s="13" t="str">
        <f t="shared" si="0"/>
        <v>https://www.screener.in/company/INDUSTOWER/consolidated/</v>
      </c>
      <c r="H19" s="14">
        <f t="shared" ca="1" si="1"/>
        <v>0</v>
      </c>
      <c r="I19" s="15" t="str">
        <f ca="1">IFERROR(__xludf.DUMMYFUNCTION("IMPORTXML(E19,""/html/body/main/div[3]/div[3]/div[2]/ul/li[5]/span[2]/span"")"),"Loading...")</f>
        <v>Loading...</v>
      </c>
      <c r="J19" s="15">
        <f ca="1">IFERROR(__xludf.DUMMYFUNCTION("GOOGLEFINANCE(""NSE:""&amp;D19,""marketcap"")"),888973681227)</f>
        <v>888973681227</v>
      </c>
      <c r="K19" s="15"/>
      <c r="L19" s="16">
        <f ca="1">IFERROR(__xludf.DUMMYFUNCTION("GOOGLEFINANCE(""NSE:""&amp;D19,""price"")"),337)</f>
        <v>337</v>
      </c>
      <c r="M19" s="17">
        <f t="shared" ca="1" si="2"/>
        <v>337</v>
      </c>
      <c r="N19" s="18" t="e">
        <f t="shared" ca="1" si="3"/>
        <v>#DIV/0!</v>
      </c>
      <c r="O19" s="15">
        <f ca="1">IFERROR(__xludf.DUMMYFUNCTION("GOOGLEFINANCE(""NSE:""&amp;D19,""pe"")"),15.51)</f>
        <v>15.51</v>
      </c>
      <c r="P19" s="15">
        <f ca="1">IFERROR(__xludf.DUMMYFUNCTION("GOOGLEFINANCE(""NSE:""&amp;D19,""EPS"")"),15.6)</f>
        <v>15.6</v>
      </c>
      <c r="Q19" s="15">
        <v>13.5</v>
      </c>
      <c r="R19" s="15" t="str">
        <f ca="1">IFERROR(__xludf.DUMMYFUNCTION("IMPORTXML(E19,""/html/body/main/div[3]/div[3]/div[2]/ul/li[7]/span[2]/span"")"),"Loading...")</f>
        <v>Loading...</v>
      </c>
      <c r="S19" s="15" t="str">
        <f ca="1">IFERROR(__xludf.DUMMYFUNCTION("IMPORTXML(E19,""/html/body/main/div[3]/div[3]/div[2]/ul/li[8]/span[2]/span"")"),"Loading...")</f>
        <v>Loading...</v>
      </c>
      <c r="T19" s="15"/>
      <c r="U19" s="15"/>
      <c r="V19" s="15"/>
      <c r="W19" s="15"/>
      <c r="X19" s="15"/>
      <c r="Y19" s="15"/>
      <c r="Z19" s="7"/>
      <c r="AA19" s="7"/>
      <c r="AB19" s="7"/>
    </row>
    <row r="20" spans="1:28" ht="15.75" customHeight="1" x14ac:dyDescent="0.25">
      <c r="A20" s="4">
        <v>19</v>
      </c>
      <c r="C20" s="12" t="s">
        <v>97</v>
      </c>
      <c r="D20" s="12" t="s">
        <v>41</v>
      </c>
      <c r="E20" s="13" t="str">
        <f t="shared" si="0"/>
        <v>https://www.screener.in/company/POWERGRID/consolidated/</v>
      </c>
      <c r="H20" s="14">
        <f t="shared" ca="1" si="1"/>
        <v>0</v>
      </c>
      <c r="I20" s="15" t="str">
        <f ca="1">IFERROR(__xludf.DUMMYFUNCTION("IMPORTXML(E20,""/html/body/main/div[3]/div[3]/div[2]/ul/li[5]/span[2]/span"")"),"Loading...")</f>
        <v>Loading...</v>
      </c>
      <c r="J20" s="15">
        <f ca="1">IFERROR(__xludf.DUMMYFUNCTION("GOOGLEFINANCE(""NSE:""&amp;D20,""marketcap"")"),2653486750652)</f>
        <v>2653486750652</v>
      </c>
      <c r="K20" s="15"/>
      <c r="L20" s="16">
        <f ca="1">IFERROR(__xludf.DUMMYFUNCTION("GOOGLEFINANCE(""NSE:""&amp;D20,""price"")"),285.5)</f>
        <v>285.5</v>
      </c>
      <c r="M20" s="17">
        <f t="shared" ca="1" si="2"/>
        <v>285.5</v>
      </c>
      <c r="N20" s="18" t="e">
        <f t="shared" ca="1" si="3"/>
        <v>#DIV/0!</v>
      </c>
      <c r="O20" s="15">
        <f ca="1">IFERROR(__xludf.DUMMYFUNCTION("GOOGLEFINANCE(""NSE:""&amp;D20,""pe"")"),17.21)</f>
        <v>17.21</v>
      </c>
      <c r="P20" s="15">
        <f ca="1">IFERROR(__xludf.DUMMYFUNCTION("GOOGLEFINANCE(""NSE:""&amp;D20,""EPS"")"),16.59)</f>
        <v>16.59</v>
      </c>
      <c r="Q20" s="15">
        <v>13.5</v>
      </c>
      <c r="R20" s="15" t="str">
        <f ca="1">IFERROR(__xludf.DUMMYFUNCTION("IMPORTXML(E20,""/html/body/main/div[3]/div[3]/div[2]/ul/li[7]/span[2]/span"")"),"Loading...")</f>
        <v>Loading...</v>
      </c>
      <c r="S20" s="15" t="str">
        <f ca="1">IFERROR(__xludf.DUMMYFUNCTION("IMPORTXML(E20,""/html/body/main/div[3]/div[3]/div[2]/ul/li[8]/span[2]/span"")"),"Loading...")</f>
        <v>Loading...</v>
      </c>
      <c r="T20" s="15"/>
      <c r="U20" s="15"/>
      <c r="V20" s="15"/>
      <c r="W20" s="15"/>
      <c r="X20" s="15"/>
      <c r="Y20" s="15"/>
      <c r="Z20" s="7"/>
      <c r="AA20" s="7"/>
      <c r="AB20" s="7"/>
    </row>
    <row r="21" spans="1:28" ht="15.75" customHeight="1" x14ac:dyDescent="0.25">
      <c r="A21" s="4">
        <v>20</v>
      </c>
      <c r="C21" s="12" t="s">
        <v>98</v>
      </c>
      <c r="D21" s="12" t="s">
        <v>99</v>
      </c>
      <c r="E21" s="13" t="str">
        <f t="shared" si="0"/>
        <v>https://www.screener.in/company/IOC/consolidated/</v>
      </c>
      <c r="H21" s="14">
        <f t="shared" ca="1" si="1"/>
        <v>0</v>
      </c>
      <c r="I21" s="15" t="str">
        <f ca="1">IFERROR(__xludf.DUMMYFUNCTION("IMPORTXML(E21,""/html/body/main/div[3]/div[3]/div[2]/ul/li[5]/span[2]/span"")"),"Loading...")</f>
        <v>Loading...</v>
      </c>
      <c r="J21" s="15">
        <f ca="1">IFERROR(__xludf.DUMMYFUNCTION("GOOGLEFINANCE(""NSE:""&amp;D21,""marketcap"")"),1972320878914)</f>
        <v>1972320878914</v>
      </c>
      <c r="K21" s="15"/>
      <c r="L21" s="16">
        <f ca="1">IFERROR(__xludf.DUMMYFUNCTION("GOOGLEFINANCE(""NSE:""&amp;D21,""price"")"),140.09)</f>
        <v>140.09</v>
      </c>
      <c r="M21" s="17">
        <f t="shared" ca="1" si="2"/>
        <v>140.09</v>
      </c>
      <c r="N21" s="18" t="e">
        <f t="shared" ca="1" si="3"/>
        <v>#DIV/0!</v>
      </c>
      <c r="O21" s="15">
        <f ca="1">IFERROR(__xludf.DUMMYFUNCTION("GOOGLEFINANCE(""NSE:""&amp;D21,""pe"")"),11.44)</f>
        <v>11.44</v>
      </c>
      <c r="P21" s="15">
        <f ca="1">IFERROR(__xludf.DUMMYFUNCTION("GOOGLEFINANCE(""NSE:""&amp;D21,""EPS"")"),12.25)</f>
        <v>12.25</v>
      </c>
      <c r="Q21" s="15">
        <v>13.5</v>
      </c>
      <c r="R21" s="15" t="str">
        <f ca="1">IFERROR(__xludf.DUMMYFUNCTION("IMPORTXML(E21,""/html/body/main/div[3]/div[3]/div[2]/ul/li[7]/span[2]/span"")"),"Loading...")</f>
        <v>Loading...</v>
      </c>
      <c r="S21" s="15" t="str">
        <f ca="1">IFERROR(__xludf.DUMMYFUNCTION("IMPORTXML(E21,""/html/body/main/div[3]/div[3]/div[2]/ul/li[8]/span[2]/span"")"),"Loading...")</f>
        <v>Loading...</v>
      </c>
      <c r="T21" s="15"/>
      <c r="U21" s="15"/>
      <c r="V21" s="15"/>
      <c r="W21" s="15"/>
      <c r="X21" s="15"/>
      <c r="Y21" s="15"/>
      <c r="Z21" s="7"/>
      <c r="AA21" s="7"/>
      <c r="AB21" s="7"/>
    </row>
    <row r="22" spans="1:28" ht="15.75" customHeight="1" x14ac:dyDescent="0.25">
      <c r="A22" s="4">
        <v>21</v>
      </c>
      <c r="C22" s="12" t="s">
        <v>100</v>
      </c>
      <c r="D22" s="12" t="s">
        <v>101</v>
      </c>
      <c r="E22" s="13" t="str">
        <f t="shared" si="0"/>
        <v>https://www.screener.in/company/KOTAKBANK/consolidated/</v>
      </c>
      <c r="H22" s="14">
        <f t="shared" ca="1" si="1"/>
        <v>0</v>
      </c>
      <c r="I22" s="15" t="str">
        <f ca="1">IFERROR(__xludf.DUMMYFUNCTION("IMPORTXML(E22,""/html/body/main/div[3]/div[3]/div[2]/ul/li[5]/span[2]/span"")"),"Loading...")</f>
        <v>Loading...</v>
      </c>
      <c r="J22" s="15">
        <f ca="1">IFERROR(__xludf.DUMMYFUNCTION("GOOGLEFINANCE(""NSE:""&amp;D22,""marketcap"")"),3863346192000)</f>
        <v>3863346192000</v>
      </c>
      <c r="K22" s="15"/>
      <c r="L22" s="16">
        <f ca="1">IFERROR(__xludf.DUMMYFUNCTION("GOOGLEFINANCE(""NSE:""&amp;D22,""price"")"),1939.5)</f>
        <v>1939.5</v>
      </c>
      <c r="M22" s="17">
        <f t="shared" ca="1" si="2"/>
        <v>1939.5</v>
      </c>
      <c r="N22" s="18" t="e">
        <f t="shared" ca="1" si="3"/>
        <v>#DIV/0!</v>
      </c>
      <c r="O22" s="15">
        <f ca="1">IFERROR(__xludf.DUMMYFUNCTION("GOOGLEFINANCE(""NSE:""&amp;D22,""pe"")"),20.14)</f>
        <v>20.14</v>
      </c>
      <c r="P22" s="15">
        <f ca="1">IFERROR(__xludf.DUMMYFUNCTION("GOOGLEFINANCE(""NSE:""&amp;D22,""EPS"")"),96.31)</f>
        <v>96.31</v>
      </c>
      <c r="Q22" s="15">
        <v>13.5</v>
      </c>
      <c r="R22" s="15" t="str">
        <f ca="1">IFERROR(__xludf.DUMMYFUNCTION("IMPORTXML(E22,""/html/body/main/div[3]/div[3]/div[2]/ul/li[7]/span[2]/span"")"),"Loading...")</f>
        <v>Loading...</v>
      </c>
      <c r="S22" s="15" t="str">
        <f ca="1">IFERROR(__xludf.DUMMYFUNCTION("IMPORTXML(E22,""/html/body/main/div[3]/div[3]/div[2]/ul/li[8]/span[2]/span"")"),"Loading...")</f>
        <v>Loading...</v>
      </c>
      <c r="T22" s="15"/>
      <c r="U22" s="15"/>
      <c r="V22" s="15"/>
      <c r="W22" s="15"/>
      <c r="X22" s="15"/>
      <c r="Y22" s="15"/>
      <c r="Z22" s="7"/>
      <c r="AA22" s="7"/>
      <c r="AB22" s="7"/>
    </row>
    <row r="23" spans="1:28" ht="15.75" customHeight="1" x14ac:dyDescent="0.25">
      <c r="A23" s="4">
        <v>22</v>
      </c>
      <c r="C23" s="12" t="s">
        <v>102</v>
      </c>
      <c r="D23" s="12" t="s">
        <v>103</v>
      </c>
      <c r="E23" s="13" t="str">
        <f t="shared" si="0"/>
        <v>https://www.screener.in/company/BAJAJHLDNG/consolidated/</v>
      </c>
      <c r="H23" s="14">
        <f t="shared" ca="1" si="1"/>
        <v>0</v>
      </c>
      <c r="I23" s="15" t="str">
        <f ca="1">IFERROR(__xludf.DUMMYFUNCTION("IMPORTXML(E23,""/html/body/main/div[3]/div[3]/div[2]/ul/li[5]/span[2]/span"")"),"Loading...")</f>
        <v>Loading...</v>
      </c>
      <c r="J23" s="15">
        <f ca="1">IFERROR(__xludf.DUMMYFUNCTION("GOOGLEFINANCE(""NSE:""&amp;D23,""marketcap"")"),1438580000000)</f>
        <v>1438580000000</v>
      </c>
      <c r="K23" s="15"/>
      <c r="L23" s="16">
        <f ca="1">IFERROR(__xludf.DUMMYFUNCTION("GOOGLEFINANCE(""NSE:""&amp;D23,""price"")"),12934)</f>
        <v>12934</v>
      </c>
      <c r="M23" s="17">
        <f t="shared" ca="1" si="2"/>
        <v>12934</v>
      </c>
      <c r="N23" s="18" t="e">
        <f t="shared" ca="1" si="3"/>
        <v>#DIV/0!</v>
      </c>
      <c r="O23" s="15">
        <f ca="1">IFERROR(__xludf.DUMMYFUNCTION("GOOGLEFINANCE(""NSE:""&amp;D23,""pe"")"),17.14)</f>
        <v>17.14</v>
      </c>
      <c r="P23" s="15">
        <f ca="1">IFERROR(__xludf.DUMMYFUNCTION("GOOGLEFINANCE(""NSE:""&amp;D23,""EPS"")"),754.5)</f>
        <v>754.5</v>
      </c>
      <c r="Q23" s="15">
        <v>13.5</v>
      </c>
      <c r="R23" s="15" t="str">
        <f ca="1">IFERROR(__xludf.DUMMYFUNCTION("IMPORTXML(E23,""/html/body/main/div[3]/div[3]/div[2]/ul/li[7]/span[2]/span"")"),"Loading...")</f>
        <v>Loading...</v>
      </c>
      <c r="S23" s="15" t="str">
        <f ca="1">IFERROR(__xludf.DUMMYFUNCTION("IMPORTXML(E23,""/html/body/main/div[3]/div[3]/div[2]/ul/li[8]/span[2]/span"")"),"Loading...")</f>
        <v>Loading...</v>
      </c>
      <c r="T23" s="15"/>
      <c r="U23" s="15"/>
      <c r="V23" s="15"/>
      <c r="W23" s="15"/>
      <c r="X23" s="15"/>
      <c r="Y23" s="15"/>
      <c r="Z23" s="7"/>
      <c r="AA23" s="7"/>
      <c r="AB23" s="7"/>
    </row>
    <row r="24" spans="1:28" ht="15.75" customHeight="1" x14ac:dyDescent="0.25">
      <c r="A24" s="4">
        <v>23</v>
      </c>
      <c r="C24" s="12" t="s">
        <v>104</v>
      </c>
      <c r="D24" s="12" t="s">
        <v>105</v>
      </c>
      <c r="E24" s="13" t="str">
        <f t="shared" si="0"/>
        <v>https://www.screener.in/company/DRREDDY/consolidated/</v>
      </c>
      <c r="H24" s="14">
        <f t="shared" ca="1" si="1"/>
        <v>0</v>
      </c>
      <c r="I24" s="15" t="str">
        <f ca="1">IFERROR(__xludf.DUMMYFUNCTION("IMPORTXML(E24,""/html/body/main/div[3]/div[3]/div[2]/ul/li[5]/span[2]/span"")"),"Loading...")</f>
        <v>Loading...</v>
      </c>
      <c r="J24" s="15">
        <f ca="1">IFERROR(__xludf.DUMMYFUNCTION("GOOGLEFINANCE(""NSE:""&amp;D24,""marketcap"")"),12005488279)</f>
        <v>12005488279</v>
      </c>
      <c r="K24" s="15"/>
      <c r="L24" s="16">
        <f ca="1">IFERROR(__xludf.DUMMYFUNCTION("GOOGLEFINANCE(""NSE:""&amp;D24,""price"")"),1269.7)</f>
        <v>1269.7</v>
      </c>
      <c r="M24" s="17">
        <f t="shared" ca="1" si="2"/>
        <v>1269.7</v>
      </c>
      <c r="N24" s="18" t="e">
        <f t="shared" ca="1" si="3"/>
        <v>#DIV/0!</v>
      </c>
      <c r="O24" s="15">
        <f ca="1">IFERROR(__xludf.DUMMYFUNCTION("GOOGLEFINANCE(""NSE:""&amp;D24,""pe"")"),18.63)</f>
        <v>18.63</v>
      </c>
      <c r="P24" s="15">
        <f ca="1">IFERROR(__xludf.DUMMYFUNCTION("GOOGLEFINANCE(""NSE:""&amp;D24,""EPS"")"),68.14)</f>
        <v>68.14</v>
      </c>
      <c r="Q24" s="15">
        <v>13.5</v>
      </c>
      <c r="R24" s="15" t="str">
        <f ca="1">IFERROR(__xludf.DUMMYFUNCTION("IMPORTXML(E24,""/html/body/main/div[3]/div[3]/div[2]/ul/li[7]/span[2]/span"")"),"Loading...")</f>
        <v>Loading...</v>
      </c>
      <c r="S24" s="15" t="str">
        <f ca="1">IFERROR(__xludf.DUMMYFUNCTION("IMPORTXML(E24,""/html/body/main/div[3]/div[3]/div[2]/ul/li[8]/span[2]/span"")"),"Loading...")</f>
        <v>Loading...</v>
      </c>
      <c r="T24" s="15"/>
      <c r="U24" s="15"/>
      <c r="V24" s="15"/>
      <c r="W24" s="15"/>
      <c r="X24" s="15"/>
      <c r="Y24" s="15"/>
      <c r="Z24" s="7"/>
      <c r="AA24" s="7"/>
      <c r="AB24" s="7"/>
    </row>
    <row r="25" spans="1:28" ht="15.75" customHeight="1" x14ac:dyDescent="0.25">
      <c r="A25" s="4">
        <v>24</v>
      </c>
      <c r="C25" s="12" t="s">
        <v>53</v>
      </c>
      <c r="D25" s="12" t="s">
        <v>54</v>
      </c>
      <c r="E25" s="13" t="str">
        <f t="shared" si="0"/>
        <v>https://www.screener.in/company/HEROMOTOCO/consolidated/</v>
      </c>
      <c r="H25" s="14">
        <f t="shared" ca="1" si="1"/>
        <v>0</v>
      </c>
      <c r="I25" s="15" t="str">
        <f ca="1">IFERROR(__xludf.DUMMYFUNCTION("IMPORTXML(E25,""/html/body/main/div[3]/div[3]/div[2]/ul/li[5]/span[2]/span"")"),"Loading...")</f>
        <v>Loading...</v>
      </c>
      <c r="J25" s="15">
        <f ca="1">IFERROR(__xludf.DUMMYFUNCTION("GOOGLEFINANCE(""NSE:""&amp;D25,""marketcap"")"),1073021457876)</f>
        <v>1073021457876</v>
      </c>
      <c r="K25" s="15"/>
      <c r="L25" s="16">
        <f ca="1">IFERROR(__xludf.DUMMYFUNCTION("GOOGLEFINANCE(""NSE:""&amp;D25,""price"")"),5370)</f>
        <v>5370</v>
      </c>
      <c r="M25" s="17">
        <f t="shared" ca="1" si="2"/>
        <v>5370</v>
      </c>
      <c r="N25" s="18" t="e">
        <f t="shared" ca="1" si="3"/>
        <v>#DIV/0!</v>
      </c>
      <c r="O25" s="15">
        <f ca="1">IFERROR(__xludf.DUMMYFUNCTION("GOOGLEFINANCE(""NSE:""&amp;D25,""pe"")"),21.35)</f>
        <v>21.35</v>
      </c>
      <c r="P25" s="15">
        <f ca="1">IFERROR(__xludf.DUMMYFUNCTION("GOOGLEFINANCE(""NSE:""&amp;D25,""EPS"")"),251.57)</f>
        <v>251.57</v>
      </c>
      <c r="Q25" s="15">
        <v>13.5</v>
      </c>
      <c r="R25" s="15" t="str">
        <f ca="1">IFERROR(__xludf.DUMMYFUNCTION("IMPORTXML(E25,""/html/body/main/div[3]/div[3]/div[2]/ul/li[7]/span[2]/span"")"),"Loading...")</f>
        <v>Loading...</v>
      </c>
      <c r="S25" s="15" t="str">
        <f ca="1">IFERROR(__xludf.DUMMYFUNCTION("IMPORTXML(E25,""/html/body/main/div[3]/div[3]/div[2]/ul/li[8]/span[2]/span"")"),"Loading...")</f>
        <v>Loading...</v>
      </c>
      <c r="T25" s="15"/>
      <c r="U25" s="15"/>
      <c r="V25" s="15"/>
      <c r="W25" s="15"/>
      <c r="X25" s="15"/>
      <c r="Y25" s="15"/>
      <c r="Z25" s="7"/>
      <c r="AA25" s="7"/>
      <c r="AB25" s="7"/>
    </row>
    <row r="26" spans="1:28" ht="15.75" customHeight="1" x14ac:dyDescent="0.25">
      <c r="A26" s="4">
        <v>25</v>
      </c>
      <c r="C26" s="12" t="s">
        <v>106</v>
      </c>
      <c r="D26" s="12" t="s">
        <v>107</v>
      </c>
      <c r="E26" s="13" t="str">
        <f t="shared" si="0"/>
        <v>https://www.screener.in/company/ICICIBANK/consolidated/</v>
      </c>
      <c r="H26" s="14">
        <f t="shared" ca="1" si="1"/>
        <v>0</v>
      </c>
      <c r="I26" s="15" t="str">
        <f ca="1">IFERROR(__xludf.DUMMYFUNCTION("IMPORTXML(E26,""/html/body/main/div[3]/div[3]/div[2]/ul/li[5]/span[2]/span"")"),"Loading...")</f>
        <v>Loading...</v>
      </c>
      <c r="J26" s="15">
        <f ca="1">IFERROR(__xludf.DUMMYFUNCTION("GOOGLEFINANCE(""NSE:""&amp;D26,""marketcap"")"),113199854792)</f>
        <v>113199854792</v>
      </c>
      <c r="K26" s="15"/>
      <c r="L26" s="16">
        <f ca="1">IFERROR(__xludf.DUMMYFUNCTION("GOOGLEFINANCE(""NSE:""&amp;D26,""price"")"),1402.3)</f>
        <v>1402.3</v>
      </c>
      <c r="M26" s="17">
        <f t="shared" ca="1" si="2"/>
        <v>1402.3</v>
      </c>
      <c r="N26" s="18" t="e">
        <f t="shared" ca="1" si="3"/>
        <v>#DIV/0!</v>
      </c>
      <c r="O26" s="15">
        <f ca="1">IFERROR(__xludf.DUMMYFUNCTION("GOOGLEFINANCE(""NSE:""&amp;D26,""pe"")"),19.05)</f>
        <v>19.05</v>
      </c>
      <c r="P26" s="15">
        <f ca="1">IFERROR(__xludf.DUMMYFUNCTION("GOOGLEFINANCE(""NSE:""&amp;D26,""EPS"")"),73.6)</f>
        <v>73.599999999999994</v>
      </c>
      <c r="Q26" s="15">
        <v>13.5</v>
      </c>
      <c r="R26" s="15" t="str">
        <f ca="1">IFERROR(__xludf.DUMMYFUNCTION("IMPORTXML(E26,""/html/body/main/div[3]/div[3]/div[2]/ul/li[7]/span[2]/span"")"),"Loading...")</f>
        <v>Loading...</v>
      </c>
      <c r="S26" s="15" t="str">
        <f ca="1">IFERROR(__xludf.DUMMYFUNCTION("IMPORTXML(E26,""/html/body/main/div[3]/div[3]/div[2]/ul/li[8]/span[2]/span"")"),"Loading...")</f>
        <v>Loading...</v>
      </c>
      <c r="T26" s="15"/>
      <c r="U26" s="15"/>
      <c r="V26" s="15"/>
      <c r="W26" s="15"/>
      <c r="X26" s="15"/>
      <c r="Y26" s="15"/>
      <c r="Z26" s="7"/>
      <c r="AA26" s="7"/>
      <c r="AB26" s="7"/>
    </row>
    <row r="27" spans="1:28" ht="15.75" customHeight="1" x14ac:dyDescent="0.25">
      <c r="A27" s="4">
        <v>26</v>
      </c>
      <c r="C27" s="12" t="s">
        <v>108</v>
      </c>
      <c r="D27" s="12" t="s">
        <v>109</v>
      </c>
      <c r="E27" s="13" t="str">
        <f t="shared" si="0"/>
        <v>https://www.screener.in/company/HDFCBANK/consolidated/</v>
      </c>
      <c r="H27" s="14">
        <f t="shared" ca="1" si="1"/>
        <v>0</v>
      </c>
      <c r="I27" s="15" t="str">
        <f ca="1">IFERROR(__xludf.DUMMYFUNCTION("IMPORTXML(E27,""/html/body/main/div[3]/div[3]/div[2]/ul/li[5]/span[2]/span"")"),"Loading...")</f>
        <v>Loading...</v>
      </c>
      <c r="J27" s="15">
        <f ca="1">IFERROR(__xludf.DUMMYFUNCTION("GOOGLEFINANCE(""NSE:""&amp;D27,""marketcap"")"),167540009178)</f>
        <v>167540009178</v>
      </c>
      <c r="K27" s="15"/>
      <c r="L27" s="16">
        <f ca="1">IFERROR(__xludf.DUMMYFUNCTION("GOOGLEFINANCE(""NSE:""&amp;D27,""price"")"),962.6)</f>
        <v>962.6</v>
      </c>
      <c r="M27" s="17">
        <f t="shared" ca="1" si="2"/>
        <v>962.6</v>
      </c>
      <c r="N27" s="18" t="e">
        <f t="shared" ca="1" si="3"/>
        <v>#DIV/0!</v>
      </c>
      <c r="O27" s="15">
        <f ca="1">IFERROR(__xludf.DUMMYFUNCTION("GOOGLEFINANCE(""NSE:""&amp;D27,""pe"")"),20.94)</f>
        <v>20.94</v>
      </c>
      <c r="P27" s="15">
        <f ca="1">IFERROR(__xludf.DUMMYFUNCTION("GOOGLEFINANCE(""NSE:""&amp;D27,""EPS"")"),45.96)</f>
        <v>45.96</v>
      </c>
      <c r="Q27" s="15">
        <v>13.5</v>
      </c>
      <c r="R27" s="15">
        <f ca="1">IFERROR(__xludf.DUMMYFUNCTION("IMPORTXML(E27,""/html/body/main/div[3]/div[3]/div[2]/ul/li[7]/span[2]/span"")"),7.51)</f>
        <v>7.51</v>
      </c>
      <c r="S27" s="15" t="str">
        <f ca="1">IFERROR(__xludf.DUMMYFUNCTION("IMPORTXML(E27,""/html/body/main/div[3]/div[3]/div[2]/ul/li[8]/span[2]/span"")"),"Loading...")</f>
        <v>Loading...</v>
      </c>
      <c r="T27" s="15"/>
      <c r="U27" s="15"/>
      <c r="V27" s="15"/>
      <c r="W27" s="15"/>
      <c r="X27" s="15"/>
      <c r="Y27" s="15"/>
      <c r="Z27" s="7"/>
      <c r="AA27" s="7"/>
      <c r="AB27" s="7"/>
    </row>
    <row r="28" spans="1:28" ht="15.75" customHeight="1" x14ac:dyDescent="0.25">
      <c r="A28" s="4">
        <v>27</v>
      </c>
      <c r="C28" s="12" t="s">
        <v>110</v>
      </c>
      <c r="D28" s="12" t="s">
        <v>111</v>
      </c>
      <c r="E28" s="13" t="str">
        <f t="shared" si="0"/>
        <v>https://www.screener.in/company/HINDZINC/consolidated/</v>
      </c>
      <c r="H28" s="14">
        <f t="shared" ca="1" si="1"/>
        <v>0</v>
      </c>
      <c r="I28" s="15" t="str">
        <f ca="1">IFERROR(__xludf.DUMMYFUNCTION("IMPORTXML(E28,""/html/body/main/div[3]/div[3]/div[2]/ul/li[5]/span[2]/span"")"),"Loading...")</f>
        <v>Loading...</v>
      </c>
      <c r="J28" s="15">
        <f ca="1">IFERROR(__xludf.DUMMYFUNCTION("GOOGLEFINANCE(""NSE:""&amp;D28,""marketcap"")"),1859993294250)</f>
        <v>1859993294250</v>
      </c>
      <c r="K28" s="15"/>
      <c r="L28" s="16">
        <f ca="1">IFERROR(__xludf.DUMMYFUNCTION("GOOGLEFINANCE(""NSE:""&amp;D28,""price"")"),441)</f>
        <v>441</v>
      </c>
      <c r="M28" s="17">
        <f t="shared" ca="1" si="2"/>
        <v>441</v>
      </c>
      <c r="N28" s="18" t="e">
        <f t="shared" ca="1" si="3"/>
        <v>#DIV/0!</v>
      </c>
      <c r="O28" s="15">
        <f ca="1">IFERROR(__xludf.DUMMYFUNCTION("GOOGLEFINANCE(""NSE:""&amp;D28,""pe"")"),18.22)</f>
        <v>18.22</v>
      </c>
      <c r="P28" s="15">
        <f ca="1">IFERROR(__xludf.DUMMYFUNCTION("GOOGLEFINANCE(""NSE:""&amp;D28,""EPS"")"),24.21)</f>
        <v>24.21</v>
      </c>
      <c r="Q28" s="15">
        <v>13.5</v>
      </c>
      <c r="R28" s="15" t="str">
        <f ca="1">IFERROR(__xludf.DUMMYFUNCTION("IMPORTXML(E28,""/html/body/main/div[3]/div[3]/div[2]/ul/li[7]/span[2]/span"")"),"Loading...")</f>
        <v>Loading...</v>
      </c>
      <c r="S28" s="15" t="str">
        <f ca="1">IFERROR(__xludf.DUMMYFUNCTION("IMPORTXML(E28,""/html/body/main/div[3]/div[3]/div[2]/ul/li[8]/span[2]/span"")"),"Loading...")</f>
        <v>Loading...</v>
      </c>
      <c r="T28" s="15"/>
      <c r="U28" s="15"/>
      <c r="V28" s="15"/>
      <c r="W28" s="15"/>
      <c r="X28" s="15"/>
      <c r="Y28" s="15"/>
      <c r="Z28" s="7"/>
      <c r="AA28" s="7"/>
      <c r="AB28" s="7"/>
    </row>
    <row r="29" spans="1:28" ht="15" x14ac:dyDescent="0.25">
      <c r="A29" s="4">
        <v>28</v>
      </c>
      <c r="C29" s="12" t="s">
        <v>112</v>
      </c>
      <c r="D29" s="12" t="s">
        <v>113</v>
      </c>
      <c r="E29" s="13" t="str">
        <f t="shared" si="0"/>
        <v>https://www.screener.in/company/ZYDUSLIFE/consolidated/</v>
      </c>
      <c r="H29" s="14">
        <f t="shared" ca="1" si="1"/>
        <v>0</v>
      </c>
      <c r="I29" s="15" t="str">
        <f ca="1">IFERROR(__xludf.DUMMYFUNCTION("IMPORTXML(E29,""/html/body/main/div[3]/div[3]/div[2]/ul/li[5]/span[2]/span"")"),"Loading...")</f>
        <v>Loading...</v>
      </c>
      <c r="J29" s="15">
        <f ca="1">IFERROR(__xludf.DUMMYFUNCTION("GOOGLEFINANCE(""NSE:""&amp;D29,""marketcap"")"),1021327510000)</f>
        <v>1021327510000</v>
      </c>
      <c r="K29" s="15"/>
      <c r="L29" s="16">
        <f ca="1">IFERROR(__xludf.DUMMYFUNCTION("GOOGLEFINANCE(""NSE:""&amp;D29,""price"")"),1015)</f>
        <v>1015</v>
      </c>
      <c r="M29" s="17">
        <f t="shared" ca="1" si="2"/>
        <v>1015</v>
      </c>
      <c r="N29" s="18" t="e">
        <f t="shared" ca="1" si="3"/>
        <v>#DIV/0!</v>
      </c>
      <c r="O29" s="15">
        <f ca="1">IFERROR(__xludf.DUMMYFUNCTION("GOOGLEFINANCE(""NSE:""&amp;D29,""pe"")"),22.33)</f>
        <v>22.33</v>
      </c>
      <c r="P29" s="15">
        <f ca="1">IFERROR(__xludf.DUMMYFUNCTION("GOOGLEFINANCE(""NSE:""&amp;D29,""EPS"")"),45.44)</f>
        <v>45.44</v>
      </c>
      <c r="Q29" s="15">
        <v>13.5</v>
      </c>
      <c r="R29" s="15" t="str">
        <f ca="1">IFERROR(__xludf.DUMMYFUNCTION("IMPORTXML(E29,""/html/body/main/div[3]/div[3]/div[2]/ul/li[7]/span[2]/span"")"),"Loading...")</f>
        <v>Loading...</v>
      </c>
      <c r="S29" s="15" t="str">
        <f ca="1">IFERROR(__xludf.DUMMYFUNCTION("IMPORTXML(E29,""/html/body/main/div[3]/div[3]/div[2]/ul/li[8]/span[2]/span"")"),"Loading...")</f>
        <v>Loading...</v>
      </c>
      <c r="T29" s="15"/>
      <c r="U29" s="15"/>
      <c r="V29" s="15"/>
      <c r="W29" s="15"/>
      <c r="X29" s="15"/>
      <c r="Y29" s="15"/>
      <c r="Z29" s="7"/>
      <c r="AA29" s="7"/>
      <c r="AB29" s="7"/>
    </row>
    <row r="30" spans="1:28" ht="15" x14ac:dyDescent="0.25">
      <c r="A30" s="4">
        <v>29</v>
      </c>
      <c r="C30" s="12" t="s">
        <v>114</v>
      </c>
      <c r="D30" s="12" t="s">
        <v>115</v>
      </c>
      <c r="E30" s="13" t="str">
        <f t="shared" si="0"/>
        <v>https://www.screener.in/company/MOTHERSON/consolidated/</v>
      </c>
      <c r="H30" s="14">
        <f t="shared" ca="1" si="1"/>
        <v>0</v>
      </c>
      <c r="I30" s="15" t="str">
        <f ca="1">IFERROR(__xludf.DUMMYFUNCTION("IMPORTXML(E30,""/html/body/main/div[3]/div[3]/div[2]/ul/li[5]/span[2]/span"")"),"Loading...")</f>
        <v>Loading...</v>
      </c>
      <c r="J30" s="15">
        <f ca="1">IFERROR(__xludf.DUMMYFUNCTION("GOOGLEFINANCE(""NSE:""&amp;D30,""marketcap"")"),641323188655)</f>
        <v>641323188655</v>
      </c>
      <c r="K30" s="15"/>
      <c r="L30" s="16">
        <f ca="1">IFERROR(__xludf.DUMMYFUNCTION("GOOGLEFINANCE(""NSE:""&amp;D30,""price"")"),94.39)</f>
        <v>94.39</v>
      </c>
      <c r="M30" s="17">
        <f t="shared" ca="1" si="2"/>
        <v>94.39</v>
      </c>
      <c r="N30" s="18" t="e">
        <f t="shared" ca="1" si="3"/>
        <v>#DIV/0!</v>
      </c>
      <c r="O30" s="15">
        <f ca="1">IFERROR(__xludf.DUMMYFUNCTION("GOOGLEFINANCE(""NSE:""&amp;D30,""pe"")"),30.77)</f>
        <v>30.77</v>
      </c>
      <c r="P30" s="15">
        <f ca="1">IFERROR(__xludf.DUMMYFUNCTION("GOOGLEFINANCE(""NSE:""&amp;D30,""EPS"")"),3.07)</f>
        <v>3.07</v>
      </c>
      <c r="Q30" s="15">
        <v>13.5</v>
      </c>
      <c r="R30" s="15" t="str">
        <f ca="1">IFERROR(__xludf.DUMMYFUNCTION("IMPORTXML(E30,""/html/body/main/div[3]/div[3]/div[2]/ul/li[7]/span[2]/span"")"),"Loading...")</f>
        <v>Loading...</v>
      </c>
      <c r="S30" s="15" t="str">
        <f ca="1">IFERROR(__xludf.DUMMYFUNCTION("IMPORTXML(E30,""/html/body/main/div[3]/div[3]/div[2]/ul/li[8]/span[2]/span"")"),"Loading...")</f>
        <v>Loading...</v>
      </c>
      <c r="T30" s="15"/>
      <c r="U30" s="15"/>
      <c r="V30" s="15"/>
      <c r="W30" s="15"/>
      <c r="X30" s="15"/>
      <c r="Y30" s="15"/>
      <c r="Z30" s="7"/>
      <c r="AA30" s="7"/>
      <c r="AB30" s="7"/>
    </row>
    <row r="31" spans="1:28" ht="15" x14ac:dyDescent="0.25">
      <c r="A31" s="4">
        <v>30</v>
      </c>
      <c r="C31" s="12" t="s">
        <v>116</v>
      </c>
      <c r="D31" s="12" t="s">
        <v>117</v>
      </c>
      <c r="E31" s="13" t="str">
        <f t="shared" si="0"/>
        <v>https://www.screener.in/company/CIPLA/consolidated/</v>
      </c>
      <c r="H31" s="14">
        <f t="shared" ca="1" si="1"/>
        <v>0</v>
      </c>
      <c r="I31" s="15" t="str">
        <f ca="1">IFERROR(__xludf.DUMMYFUNCTION("IMPORTXML(E31,""/html/body/main/div[3]/div[3]/div[2]/ul/li[5]/span[2]/span"")"),"Loading...")</f>
        <v>Loading...</v>
      </c>
      <c r="J31" s="15">
        <f ca="1">IFERROR(__xludf.DUMMYFUNCTION("GOOGLEFINANCE(""NSE:""&amp;D31,""marketcap"")"),1254765000000)</f>
        <v>1254765000000</v>
      </c>
      <c r="K31" s="15"/>
      <c r="L31" s="16">
        <f ca="1">IFERROR(__xludf.DUMMYFUNCTION("GOOGLEFINANCE(""NSE:""&amp;D31,""price"")"),1551.1)</f>
        <v>1551.1</v>
      </c>
      <c r="M31" s="17">
        <f t="shared" ca="1" si="2"/>
        <v>1551.1</v>
      </c>
      <c r="N31" s="18" t="e">
        <f t="shared" ca="1" si="3"/>
        <v>#DIV/0!</v>
      </c>
      <c r="O31" s="15">
        <f ca="1">IFERROR(__xludf.DUMMYFUNCTION("GOOGLEFINANCE(""NSE:""&amp;D31,""pe"")"),23.25)</f>
        <v>23.25</v>
      </c>
      <c r="P31" s="15">
        <f ca="1">IFERROR(__xludf.DUMMYFUNCTION("GOOGLEFINANCE(""NSE:""&amp;D31,""EPS"")"),66.73)</f>
        <v>66.73</v>
      </c>
      <c r="Q31" s="15">
        <v>13.5</v>
      </c>
      <c r="R31" s="15" t="str">
        <f ca="1">IFERROR(__xludf.DUMMYFUNCTION("IMPORTXML(E31,""/html/body/main/div[3]/div[3]/div[2]/ul/li[7]/span[2]/span"")"),"Loading...")</f>
        <v>Loading...</v>
      </c>
      <c r="S31" s="15" t="str">
        <f ca="1">IFERROR(__xludf.DUMMYFUNCTION("IMPORTXML(E31,""/html/body/main/div[3]/div[3]/div[2]/ul/li[8]/span[2]/span"")"),"Loading...")</f>
        <v>Loading...</v>
      </c>
      <c r="T31" s="15"/>
      <c r="U31" s="15"/>
      <c r="V31" s="15"/>
      <c r="W31" s="15"/>
      <c r="X31" s="15"/>
      <c r="Y31" s="15"/>
      <c r="Z31" s="7"/>
      <c r="AA31" s="7"/>
      <c r="AB31" s="7"/>
    </row>
    <row r="32" spans="1:28" ht="15" x14ac:dyDescent="0.25">
      <c r="A32" s="4">
        <v>31</v>
      </c>
      <c r="C32" s="12" t="s">
        <v>118</v>
      </c>
      <c r="D32" s="12" t="s">
        <v>119</v>
      </c>
      <c r="E32" s="13" t="str">
        <f t="shared" si="0"/>
        <v>https://www.screener.in/company/WIPRO/consolidated/</v>
      </c>
      <c r="H32" s="14">
        <f t="shared" ca="1" si="1"/>
        <v>0</v>
      </c>
      <c r="I32" s="15" t="str">
        <f ca="1">IFERROR(__xludf.DUMMYFUNCTION("IMPORTXML(E32,""/html/body/main/div[3]/div[3]/div[2]/ul/li[5]/span[2]/span"")"),"Loading...")</f>
        <v>Loading...</v>
      </c>
      <c r="J32" s="15">
        <f ca="1">IFERROR(__xludf.DUMMYFUNCTION("GOOGLEFINANCE(""NSE:""&amp;D32,""marketcap"")"),32513399327)</f>
        <v>32513399327</v>
      </c>
      <c r="K32" s="15"/>
      <c r="L32" s="16">
        <f ca="1">IFERROR(__xludf.DUMMYFUNCTION("GOOGLEFINANCE(""NSE:""&amp;D32,""price"")"),244.36)</f>
        <v>244.36</v>
      </c>
      <c r="M32" s="17">
        <f t="shared" ca="1" si="2"/>
        <v>244.36</v>
      </c>
      <c r="N32" s="18" t="e">
        <f t="shared" ca="1" si="3"/>
        <v>#DIV/0!</v>
      </c>
      <c r="O32" s="15">
        <f ca="1">IFERROR(__xludf.DUMMYFUNCTION("GOOGLEFINANCE(""NSE:""&amp;D32,""pe"")"),19.05)</f>
        <v>19.05</v>
      </c>
      <c r="P32" s="15">
        <f ca="1">IFERROR(__xludf.DUMMYFUNCTION("GOOGLEFINANCE(""NSE:""&amp;D32,""EPS"")"),12.83)</f>
        <v>12.83</v>
      </c>
      <c r="Q32" s="15">
        <v>13.5</v>
      </c>
      <c r="R32" s="15" t="str">
        <f ca="1">IFERROR(__xludf.DUMMYFUNCTION("IMPORTXML(E32,""/html/body/main/div[3]/div[3]/div[2]/ul/li[7]/span[2]/span"")"),"Loading...")</f>
        <v>Loading...</v>
      </c>
      <c r="S32" s="15" t="str">
        <f ca="1">IFERROR(__xludf.DUMMYFUNCTION("IMPORTXML(E32,""/html/body/main/div[3]/div[3]/div[2]/ul/li[8]/span[2]/span"")"),"Loading...")</f>
        <v>Loading...</v>
      </c>
      <c r="T32" s="15"/>
      <c r="U32" s="15"/>
      <c r="V32" s="15"/>
      <c r="W32" s="15"/>
      <c r="X32" s="15"/>
      <c r="Y32" s="15"/>
      <c r="Z32" s="7"/>
      <c r="AA32" s="7"/>
      <c r="AB32" s="7"/>
    </row>
    <row r="33" spans="1:28" ht="15" x14ac:dyDescent="0.25">
      <c r="A33" s="4">
        <v>32</v>
      </c>
      <c r="B33" s="7" t="s">
        <v>27</v>
      </c>
      <c r="C33" s="12" t="s">
        <v>120</v>
      </c>
      <c r="D33" s="12" t="s">
        <v>121</v>
      </c>
      <c r="E33" s="13" t="str">
        <f t="shared" si="0"/>
        <v>https://www.screener.in/company/RELIANCE/consolidated/</v>
      </c>
      <c r="F33" s="15">
        <v>443059</v>
      </c>
      <c r="G33" s="15">
        <v>3832241897</v>
      </c>
      <c r="H33" s="14">
        <f t="shared" ca="1" si="1"/>
        <v>527201.51777029003</v>
      </c>
      <c r="I33" s="15" t="str">
        <f ca="1">IFERROR(__xludf.DUMMYFUNCTION("IMPORTXML(E33,""/html/body/main/div[3]/div[3]/div[2]/ul/li[5]/span[2]/span"")"),"Loading...")</f>
        <v>Loading...</v>
      </c>
      <c r="J33" s="15">
        <f ca="1">IFERROR(__xludf.DUMMYFUNCTION("GOOGLEFINANCE(""NSE:""&amp;D33,""marketcap"")"),18592328154575)</f>
        <v>18592328154575</v>
      </c>
      <c r="K33" s="15"/>
      <c r="L33" s="16">
        <f ca="1">IFERROR(__xludf.DUMMYFUNCTION("GOOGLEFINANCE(""NSE:""&amp;D33,""price"")"),1375.7)</f>
        <v>1375.7</v>
      </c>
      <c r="M33" s="17">
        <f t="shared" ca="1" si="2"/>
        <v>1375.7</v>
      </c>
      <c r="N33" s="18" t="e">
        <f t="shared" ca="1" si="3"/>
        <v>#DIV/0!</v>
      </c>
      <c r="O33" s="15">
        <f ca="1">IFERROR(__xludf.DUMMYFUNCTION("GOOGLEFINANCE(""NSE:""&amp;D33,""pe"")"),22.84)</f>
        <v>22.84</v>
      </c>
      <c r="P33" s="15">
        <f ca="1">IFERROR(__xludf.DUMMYFUNCTION("GOOGLEFINANCE(""NSE:""&amp;D33,""EPS"")"),60.23)</f>
        <v>60.23</v>
      </c>
      <c r="Q33" s="15">
        <v>13.5</v>
      </c>
      <c r="R33" s="15" t="str">
        <f ca="1">IFERROR(__xludf.DUMMYFUNCTION("IMPORTXML(E33,""/html/body/main/div[3]/div[3]/div[2]/ul/li[7]/span[2]/span"")"),"Loading...")</f>
        <v>Loading...</v>
      </c>
      <c r="S33" s="15" t="str">
        <f ca="1">IFERROR(__xludf.DUMMYFUNCTION("IMPORTXML(E33,""/html/body/main/div[3]/div[3]/div[2]/ul/li[8]/span[2]/span"")"),"Loading...")</f>
        <v>Loading...</v>
      </c>
      <c r="T33" s="15"/>
      <c r="U33" s="15"/>
      <c r="V33" s="15"/>
      <c r="W33" s="15"/>
      <c r="X33" s="15"/>
      <c r="Y33" s="15"/>
      <c r="Z33" s="7"/>
      <c r="AA33" s="7"/>
      <c r="AB33" s="7"/>
    </row>
    <row r="34" spans="1:28" ht="15" x14ac:dyDescent="0.25">
      <c r="A34" s="4">
        <v>33</v>
      </c>
      <c r="C34" s="12" t="s">
        <v>122</v>
      </c>
      <c r="D34" s="12" t="s">
        <v>123</v>
      </c>
      <c r="E34" s="13" t="str">
        <f t="shared" si="0"/>
        <v>https://www.screener.in/company/ADANIPORTS/consolidated/</v>
      </c>
      <c r="H34" s="14">
        <f t="shared" ca="1" si="1"/>
        <v>0</v>
      </c>
      <c r="I34" s="15" t="str">
        <f ca="1">IFERROR(__xludf.DUMMYFUNCTION("IMPORTXML(E34,""/html/body/main/div[3]/div[3]/div[2]/ul/li[5]/span[2]/span"")"),"Loading...")</f>
        <v>Loading...</v>
      </c>
      <c r="J34" s="15">
        <f ca="1">IFERROR(__xludf.DUMMYFUNCTION("GOOGLEFINANCE(""NSE:""&amp;D34,""marketcap"")"),2856777971261)</f>
        <v>2856777971261</v>
      </c>
      <c r="K34" s="15"/>
      <c r="L34" s="16">
        <f ca="1">IFERROR(__xludf.DUMMYFUNCTION("GOOGLEFINANCE(""NSE:""&amp;D34,""price"")"),1321.1)</f>
        <v>1321.1</v>
      </c>
      <c r="M34" s="17">
        <f t="shared" ca="1" si="2"/>
        <v>1321.1</v>
      </c>
      <c r="N34" s="18" t="e">
        <f t="shared" ca="1" si="3"/>
        <v>#DIV/0!</v>
      </c>
      <c r="O34" s="15">
        <f ca="1">IFERROR(__xludf.DUMMYFUNCTION("GOOGLEFINANCE(""NSE:""&amp;D34,""pe"")"),25.27)</f>
        <v>25.27</v>
      </c>
      <c r="P34" s="15">
        <f ca="1">IFERROR(__xludf.DUMMYFUNCTION("GOOGLEFINANCE(""NSE:""&amp;D34,""EPS"")"),52.28)</f>
        <v>52.28</v>
      </c>
      <c r="Q34" s="15">
        <v>13.5</v>
      </c>
      <c r="R34" s="15" t="str">
        <f ca="1">IFERROR(__xludf.DUMMYFUNCTION("IMPORTXML(E34,""/html/body/main/div[3]/div[3]/div[2]/ul/li[7]/span[2]/span"")"),"Loading...")</f>
        <v>Loading...</v>
      </c>
      <c r="S34" s="15" t="str">
        <f ca="1">IFERROR(__xludf.DUMMYFUNCTION("IMPORTXML(E34,""/html/body/main/div[3]/div[3]/div[2]/ul/li[8]/span[2]/span"")"),"Loading...")</f>
        <v>Loading...</v>
      </c>
      <c r="T34" s="15"/>
      <c r="U34" s="15"/>
      <c r="V34" s="15"/>
      <c r="W34" s="15"/>
      <c r="X34" s="15"/>
      <c r="Y34" s="15"/>
      <c r="Z34" s="7"/>
      <c r="AA34" s="7"/>
      <c r="AB34" s="7"/>
    </row>
    <row r="35" spans="1:28" ht="15" x14ac:dyDescent="0.25">
      <c r="A35" s="4">
        <v>34</v>
      </c>
      <c r="C35" s="12" t="s">
        <v>124</v>
      </c>
      <c r="D35" s="12" t="s">
        <v>125</v>
      </c>
      <c r="E35" s="13" t="str">
        <f t="shared" si="0"/>
        <v>https://www.screener.in/company/HYUNDAI/consolidated/</v>
      </c>
      <c r="H35" s="14">
        <f t="shared" ca="1" si="1"/>
        <v>0</v>
      </c>
      <c r="I35" s="15" t="str">
        <f ca="1">IFERROR(__xludf.DUMMYFUNCTION("IMPORTXML(E35,""/html/body/main/div[3]/div[3]/div[2]/ul/li[5]/span[2]/span"")"),"Loading...")</f>
        <v>Loading...</v>
      </c>
      <c r="J35" s="15">
        <f ca="1">IFERROR(__xludf.DUMMYFUNCTION("GOOGLEFINANCE(""NSE:""&amp;D35,""marketcap"")"),2072439472974)</f>
        <v>2072439472974</v>
      </c>
      <c r="K35" s="15"/>
      <c r="L35" s="16">
        <f ca="1">IFERROR(__xludf.DUMMYFUNCTION("GOOGLEFINANCE(""NSE:""&amp;D35,""price"")"),2539)</f>
        <v>2539</v>
      </c>
      <c r="M35" s="17">
        <f t="shared" ca="1" si="2"/>
        <v>2539</v>
      </c>
      <c r="N35" s="18" t="e">
        <f t="shared" ca="1" si="3"/>
        <v>#DIV/0!</v>
      </c>
      <c r="O35" s="15">
        <f ca="1">IFERROR(__xludf.DUMMYFUNCTION("GOOGLEFINANCE(""NSE:""&amp;D35,""pe"")"),37.37)</f>
        <v>37.369999999999997</v>
      </c>
      <c r="P35" s="15">
        <f ca="1">IFERROR(__xludf.DUMMYFUNCTION("GOOGLEFINANCE(""NSE:""&amp;D35,""EPS"")"),67.93)</f>
        <v>67.930000000000007</v>
      </c>
      <c r="Q35" s="15">
        <v>13.5</v>
      </c>
      <c r="R35" s="15" t="str">
        <f ca="1">IFERROR(__xludf.DUMMYFUNCTION("IMPORTXML(E35,""/html/body/main/div[3]/div[3]/div[2]/ul/li[7]/span[2]/span"")"),"Loading...")</f>
        <v>Loading...</v>
      </c>
      <c r="S35" s="15" t="str">
        <f ca="1">IFERROR(__xludf.DUMMYFUNCTION("IMPORTXML(E35,""/html/body/main/div[3]/div[3]/div[2]/ul/li[8]/span[2]/span"")"),"Loading...")</f>
        <v>Loading...</v>
      </c>
      <c r="T35" s="15"/>
      <c r="U35" s="15"/>
      <c r="V35" s="15"/>
      <c r="W35" s="15"/>
      <c r="X35" s="15"/>
      <c r="Y35" s="15"/>
      <c r="Z35" s="7"/>
      <c r="AA35" s="7"/>
      <c r="AB35" s="7"/>
    </row>
    <row r="36" spans="1:28" ht="15" x14ac:dyDescent="0.25">
      <c r="A36" s="4">
        <v>35</v>
      </c>
      <c r="C36" s="12" t="s">
        <v>126</v>
      </c>
      <c r="D36" s="12" t="s">
        <v>37</v>
      </c>
      <c r="E36" s="13" t="str">
        <f t="shared" si="0"/>
        <v>https://www.screener.in/company/M&amp;M/consolidated/</v>
      </c>
      <c r="H36" s="14">
        <f t="shared" ca="1" si="1"/>
        <v>0</v>
      </c>
      <c r="I36" s="15" t="str">
        <f ca="1">IFERROR(__xludf.DUMMYFUNCTION("IMPORTXML(E36,""/html/body/main/div[3]/div[3]/div[2]/ul/li[5]/span[2]/span"")"),"Loading...")</f>
        <v>Loading...</v>
      </c>
      <c r="J36" s="15">
        <f ca="1">IFERROR(__xludf.DUMMYFUNCTION("GOOGLEFINANCE(""NSE:""&amp;D36,""marketcap"")"),4269732222087)</f>
        <v>4269732222087</v>
      </c>
      <c r="K36" s="15"/>
      <c r="L36" s="16">
        <f ca="1">IFERROR(__xludf.DUMMYFUNCTION("GOOGLEFINANCE(""NSE:""&amp;D36,""price"")"),3562.9)</f>
        <v>3562.9</v>
      </c>
      <c r="M36" s="17">
        <f t="shared" ca="1" si="2"/>
        <v>3562.9</v>
      </c>
      <c r="N36" s="18" t="e">
        <f t="shared" ca="1" si="3"/>
        <v>#DIV/0!</v>
      </c>
      <c r="O36" s="15">
        <f ca="1">IFERROR(__xludf.DUMMYFUNCTION("GOOGLEFINANCE(""NSE:""&amp;D36,""pe"")"),29.06)</f>
        <v>29.06</v>
      </c>
      <c r="P36" s="15">
        <f ca="1">IFERROR(__xludf.DUMMYFUNCTION("GOOGLEFINANCE(""NSE:""&amp;D36,""EPS"")"),122.59)</f>
        <v>122.59</v>
      </c>
      <c r="Q36" s="15">
        <v>13.5</v>
      </c>
      <c r="R36" s="15" t="str">
        <f ca="1">IFERROR(__xludf.DUMMYFUNCTION("IMPORTXML(E36,""/html/body/main/div[3]/div[3]/div[2]/ul/li[7]/span[2]/span"")"),"Loading...")</f>
        <v>Loading...</v>
      </c>
      <c r="S36" s="15" t="str">
        <f ca="1">IFERROR(__xludf.DUMMYFUNCTION("IMPORTXML(E36,""/html/body/main/div[3]/div[3]/div[2]/ul/li[8]/span[2]/span"")"),"Loading...")</f>
        <v>Loading...</v>
      </c>
      <c r="T36" s="15"/>
      <c r="U36" s="15"/>
      <c r="V36" s="15"/>
      <c r="W36" s="15"/>
      <c r="X36" s="15"/>
      <c r="Y36" s="15"/>
      <c r="Z36" s="7"/>
      <c r="AA36" s="7"/>
      <c r="AB36" s="7"/>
    </row>
    <row r="37" spans="1:28" ht="15" x14ac:dyDescent="0.25">
      <c r="A37" s="4">
        <v>36</v>
      </c>
      <c r="C37" s="12" t="s">
        <v>127</v>
      </c>
      <c r="D37" s="12" t="s">
        <v>128</v>
      </c>
      <c r="E37" s="13" t="str">
        <f t="shared" si="0"/>
        <v>https://www.screener.in/company/IRFC/consolidated/</v>
      </c>
      <c r="H37" s="14">
        <f t="shared" ca="1" si="1"/>
        <v>0</v>
      </c>
      <c r="I37" s="15" t="str">
        <f ca="1">IFERROR(__xludf.DUMMYFUNCTION("IMPORTXML(E37,""/html/body/main/div[3]/div[3]/div[2]/ul/li[5]/span[2]/span"")"),"Loading...")</f>
        <v>Loading...</v>
      </c>
      <c r="J37" s="15">
        <f ca="1">IFERROR(__xludf.DUMMYFUNCTION("GOOGLEFINANCE(""NSE:""&amp;D37,""marketcap"")"),1614575351086)</f>
        <v>1614575351086</v>
      </c>
      <c r="K37" s="15"/>
      <c r="L37" s="16">
        <f ca="1">IFERROR(__xludf.DUMMYFUNCTION("GOOGLEFINANCE(""NSE:""&amp;D37,""price"")"),123.69)</f>
        <v>123.69</v>
      </c>
      <c r="M37" s="17">
        <f t="shared" ca="1" si="2"/>
        <v>123.69</v>
      </c>
      <c r="N37" s="18" t="e">
        <f t="shared" ca="1" si="3"/>
        <v>#DIV/0!</v>
      </c>
      <c r="O37" s="15">
        <f ca="1">IFERROR(__xludf.DUMMYFUNCTION("GOOGLEFINANCE(""NSE:""&amp;D37,""pe"")"),24.23)</f>
        <v>24.23</v>
      </c>
      <c r="P37" s="15">
        <f ca="1">IFERROR(__xludf.DUMMYFUNCTION("GOOGLEFINANCE(""NSE:""&amp;D37,""EPS"")"),5.11)</f>
        <v>5.1100000000000003</v>
      </c>
      <c r="Q37" s="15">
        <v>13.5</v>
      </c>
      <c r="R37" s="15" t="str">
        <f ca="1">IFERROR(__xludf.DUMMYFUNCTION("IMPORTXML(E37,""/html/body/main/div[3]/div[3]/div[2]/ul/li[7]/span[2]/span"")"),"Loading...")</f>
        <v>Loading...</v>
      </c>
      <c r="S37" s="15" t="str">
        <f ca="1">IFERROR(__xludf.DUMMYFUNCTION("IMPORTXML(E37,""/html/body/main/div[3]/div[3]/div[2]/ul/li[8]/span[2]/span"")"),"Loading...")</f>
        <v>Loading...</v>
      </c>
      <c r="T37" s="15"/>
      <c r="U37" s="15"/>
      <c r="V37" s="15"/>
      <c r="W37" s="15"/>
      <c r="X37" s="15"/>
      <c r="Y37" s="15"/>
      <c r="Z37" s="7"/>
      <c r="AA37" s="7"/>
      <c r="AB37" s="7"/>
    </row>
    <row r="38" spans="1:28" ht="15" x14ac:dyDescent="0.25">
      <c r="A38" s="4">
        <v>37</v>
      </c>
      <c r="C38" s="12" t="s">
        <v>129</v>
      </c>
      <c r="D38" s="12" t="s">
        <v>130</v>
      </c>
      <c r="E38" s="13" t="str">
        <f t="shared" si="0"/>
        <v>https://www.screener.in/company/HCLTECH/consolidated/</v>
      </c>
      <c r="H38" s="14">
        <f t="shared" ca="1" si="1"/>
        <v>0</v>
      </c>
      <c r="I38" s="15" t="str">
        <f ca="1">IFERROR(__xludf.DUMMYFUNCTION("IMPORTXML(E38,""/html/body/main/div[3]/div[3]/div[2]/ul/li[5]/span[2]/span"")"),"Loading...")</f>
        <v>Loading...</v>
      </c>
      <c r="J38" s="15">
        <f ca="1">IFERROR(__xludf.DUMMYFUNCTION("GOOGLEFINANCE(""NSE:""&amp;D38,""marketcap"")"),3847483964354)</f>
        <v>3847483964354</v>
      </c>
      <c r="K38" s="15"/>
      <c r="L38" s="16">
        <f ca="1">IFERROR(__xludf.DUMMYFUNCTION("GOOGLEFINANCE(""NSE:""&amp;D38,""price"")"),1420.1)</f>
        <v>1420.1</v>
      </c>
      <c r="M38" s="17">
        <f t="shared" ca="1" si="2"/>
        <v>1420.1</v>
      </c>
      <c r="N38" s="18" t="e">
        <f t="shared" ca="1" si="3"/>
        <v>#DIV/0!</v>
      </c>
      <c r="O38" s="15">
        <f ca="1">IFERROR(__xludf.DUMMYFUNCTION("GOOGLEFINANCE(""NSE:""&amp;D38,""pe"")"),22.69)</f>
        <v>22.69</v>
      </c>
      <c r="P38" s="15">
        <f ca="1">IFERROR(__xludf.DUMMYFUNCTION("GOOGLEFINANCE(""NSE:""&amp;D38,""EPS"")"),62.57)</f>
        <v>62.57</v>
      </c>
      <c r="Q38" s="15">
        <v>13.5</v>
      </c>
      <c r="R38" s="15" t="str">
        <f ca="1">IFERROR(__xludf.DUMMYFUNCTION("IMPORTXML(E38,""/html/body/main/div[3]/div[3]/div[2]/ul/li[7]/span[2]/span"")"),"Loading...")</f>
        <v>Loading...</v>
      </c>
      <c r="S38" s="15" t="str">
        <f ca="1">IFERROR(__xludf.DUMMYFUNCTION("IMPORTXML(E38,""/html/body/main/div[3]/div[3]/div[2]/ul/li[8]/span[2]/span"")"),"Loading...")</f>
        <v>Loading...</v>
      </c>
      <c r="T38" s="15"/>
      <c r="U38" s="15"/>
      <c r="V38" s="15"/>
      <c r="W38" s="15"/>
      <c r="X38" s="15"/>
      <c r="Y38" s="15"/>
      <c r="Z38" s="7"/>
      <c r="AA38" s="7"/>
      <c r="AB38" s="7"/>
    </row>
    <row r="39" spans="1:28" ht="15" x14ac:dyDescent="0.25">
      <c r="A39" s="4">
        <v>38</v>
      </c>
      <c r="C39" s="12" t="s">
        <v>131</v>
      </c>
      <c r="D39" s="12" t="s">
        <v>39</v>
      </c>
      <c r="E39" s="13" t="str">
        <f t="shared" si="0"/>
        <v>https://www.screener.in/company/ITC/consolidated/</v>
      </c>
      <c r="H39" s="14">
        <f t="shared" ca="1" si="1"/>
        <v>0</v>
      </c>
      <c r="I39" s="15" t="str">
        <f ca="1">IFERROR(__xludf.DUMMYFUNCTION("IMPORTXML(E39,""/html/body/main/div[3]/div[3]/div[2]/ul/li[5]/span[2]/span"")"),"Loading...")</f>
        <v>Loading...</v>
      </c>
      <c r="J39" s="15">
        <f ca="1">IFERROR(__xludf.DUMMYFUNCTION("GOOGLEFINANCE(""NSE:""&amp;D39,""marketcap"")"),5099666900000)</f>
        <v>5099666900000</v>
      </c>
      <c r="K39" s="15"/>
      <c r="L39" s="16">
        <f ca="1">IFERROR(__xludf.DUMMYFUNCTION("GOOGLEFINANCE(""NSE:""&amp;D39,""price"")"),407.9)</f>
        <v>407.9</v>
      </c>
      <c r="M39" s="17">
        <f t="shared" ca="1" si="2"/>
        <v>407.9</v>
      </c>
      <c r="N39" s="18" t="e">
        <f t="shared" ca="1" si="3"/>
        <v>#DIV/0!</v>
      </c>
      <c r="O39" s="15">
        <f ca="1">IFERROR(__xludf.DUMMYFUNCTION("GOOGLEFINANCE(""NSE:""&amp;D39,""pe"")"),14.65)</f>
        <v>14.65</v>
      </c>
      <c r="P39" s="15">
        <f ca="1">IFERROR(__xludf.DUMMYFUNCTION("GOOGLEFINANCE(""NSE:""&amp;D39,""EPS"")"),27.85)</f>
        <v>27.85</v>
      </c>
      <c r="Q39" s="15">
        <v>13.5</v>
      </c>
      <c r="R39" s="15" t="str">
        <f ca="1">IFERROR(__xludf.DUMMYFUNCTION("IMPORTXML(E39,""/html/body/main/div[3]/div[3]/div[2]/ul/li[7]/span[2]/span"")"),"Loading...")</f>
        <v>Loading...</v>
      </c>
      <c r="S39" s="15" t="str">
        <f ca="1">IFERROR(__xludf.DUMMYFUNCTION("IMPORTXML(E39,""/html/body/main/div[3]/div[3]/div[2]/ul/li[8]/span[2]/span"")"),"Loading...")</f>
        <v>Loading...</v>
      </c>
      <c r="T39" s="15"/>
      <c r="U39" s="15"/>
      <c r="V39" s="15"/>
      <c r="W39" s="15"/>
      <c r="X39" s="15"/>
      <c r="Y39" s="15"/>
      <c r="Z39" s="7"/>
      <c r="AA39" s="7"/>
      <c r="AB39" s="7"/>
    </row>
    <row r="40" spans="1:28" ht="15" x14ac:dyDescent="0.25">
      <c r="A40" s="4">
        <v>39</v>
      </c>
      <c r="C40" s="12" t="s">
        <v>132</v>
      </c>
      <c r="D40" s="12" t="s">
        <v>133</v>
      </c>
      <c r="E40" s="13" t="str">
        <f t="shared" si="0"/>
        <v>https://www.screener.in/company/MARUTI/consolidated/</v>
      </c>
      <c r="H40" s="14">
        <f t="shared" ca="1" si="1"/>
        <v>0</v>
      </c>
      <c r="I40" s="15" t="str">
        <f ca="1">IFERROR(__xludf.DUMMYFUNCTION("IMPORTXML(E40,""/html/body/main/div[3]/div[3]/div[2]/ul/li[5]/span[2]/span"")"),"Loading...")</f>
        <v>Loading...</v>
      </c>
      <c r="J40" s="15">
        <f ca="1">IFERROR(__xludf.DUMMYFUNCTION("GOOGLEFINANCE(""NSE:""&amp;D40,""marketcap"")"),4686563527750)</f>
        <v>4686563527750</v>
      </c>
      <c r="K40" s="15"/>
      <c r="L40" s="16">
        <f ca="1">IFERROR(__xludf.DUMMYFUNCTION("GOOGLEFINANCE(""NSE:""&amp;D40,""price"")"),14903)</f>
        <v>14903</v>
      </c>
      <c r="M40" s="17">
        <f t="shared" ca="1" si="2"/>
        <v>14903</v>
      </c>
      <c r="N40" s="18" t="e">
        <f t="shared" ca="1" si="3"/>
        <v>#DIV/0!</v>
      </c>
      <c r="O40" s="15">
        <f ca="1">IFERROR(__xludf.DUMMYFUNCTION("GOOGLEFINANCE(""NSE:""&amp;D40,""pe"")"),32.24)</f>
        <v>32.24</v>
      </c>
      <c r="P40" s="15">
        <f ca="1">IFERROR(__xludf.DUMMYFUNCTION("GOOGLEFINANCE(""NSE:""&amp;D40,""EPS"")"),462.24)</f>
        <v>462.24</v>
      </c>
      <c r="Q40" s="15">
        <v>13.5</v>
      </c>
      <c r="R40" s="15" t="str">
        <f ca="1">IFERROR(__xludf.DUMMYFUNCTION("IMPORTXML(E40,""/html/body/main/div[3]/div[3]/div[2]/ul/li[7]/span[2]/span"")"),"Loading...")</f>
        <v>Loading...</v>
      </c>
      <c r="S40" s="15" t="str">
        <f ca="1">IFERROR(__xludf.DUMMYFUNCTION("IMPORTXML(E40,""/html/body/main/div[3]/div[3]/div[2]/ul/li[8]/span[2]/span"")"),"Loading...")</f>
        <v>Loading...</v>
      </c>
      <c r="T40" s="15"/>
      <c r="U40" s="15"/>
      <c r="V40" s="15"/>
      <c r="W40" s="15"/>
      <c r="X40" s="15"/>
      <c r="Y40" s="15"/>
      <c r="Z40" s="7"/>
      <c r="AA40" s="7"/>
      <c r="AB40" s="7"/>
    </row>
    <row r="41" spans="1:28" ht="15" x14ac:dyDescent="0.25">
      <c r="A41" s="4">
        <v>40</v>
      </c>
      <c r="C41" s="12" t="s">
        <v>134</v>
      </c>
      <c r="D41" s="12" t="s">
        <v>35</v>
      </c>
      <c r="E41" s="13" t="str">
        <f t="shared" si="0"/>
        <v>https://www.screener.in/company/INFY/consolidated/</v>
      </c>
      <c r="H41" s="14">
        <f t="shared" ca="1" si="1"/>
        <v>0</v>
      </c>
      <c r="I41" s="15" t="str">
        <f ca="1">IFERROR(__xludf.DUMMYFUNCTION("IMPORTXML(E41,""/html/body/main/div[3]/div[3]/div[2]/ul/li[5]/span[2]/span"")"),"Loading...")</f>
        <v>Loading...</v>
      </c>
      <c r="J41" s="15">
        <f ca="1">IFERROR(__xludf.DUMMYFUNCTION("GOOGLEFINANCE(""NSE:""&amp;D41,""marketcap"")"),68009920315)</f>
        <v>68009920315</v>
      </c>
      <c r="K41" s="15"/>
      <c r="L41" s="16">
        <f ca="1">IFERROR(__xludf.DUMMYFUNCTION("GOOGLEFINANCE(""NSE:""&amp;D41,""price"")"),1446)</f>
        <v>1446</v>
      </c>
      <c r="M41" s="17">
        <f t="shared" ca="1" si="2"/>
        <v>1446</v>
      </c>
      <c r="N41" s="18" t="e">
        <f t="shared" ca="1" si="3"/>
        <v>#DIV/0!</v>
      </c>
      <c r="O41" s="15">
        <f ca="1">IFERROR(__xludf.DUMMYFUNCTION("GOOGLEFINANCE(""NSE:""&amp;D41,""pe"")"),22.02)</f>
        <v>22.02</v>
      </c>
      <c r="P41" s="15">
        <f ca="1">IFERROR(__xludf.DUMMYFUNCTION("GOOGLEFINANCE(""NSE:""&amp;D41,""EPS"")"),65.68)</f>
        <v>65.680000000000007</v>
      </c>
      <c r="Q41" s="15">
        <v>13.5</v>
      </c>
      <c r="R41" s="15" t="str">
        <f ca="1">IFERROR(__xludf.DUMMYFUNCTION("IMPORTXML(E41,""/html/body/main/div[3]/div[3]/div[2]/ul/li[7]/span[2]/span"")"),"Loading...")</f>
        <v>Loading...</v>
      </c>
      <c r="S41" s="15">
        <f ca="1">IFERROR(__xludf.DUMMYFUNCTION("IMPORTXML(E41,""/html/body/main/div[3]/div[3]/div[2]/ul/li[8]/span[2]/span"")"),28.8)</f>
        <v>28.8</v>
      </c>
      <c r="T41" s="15"/>
      <c r="U41" s="15"/>
      <c r="V41" s="15"/>
      <c r="W41" s="15"/>
      <c r="X41" s="15"/>
      <c r="Y41" s="15"/>
      <c r="Z41" s="7"/>
      <c r="AA41" s="7"/>
      <c r="AB41" s="7"/>
    </row>
    <row r="42" spans="1:28" ht="15" x14ac:dyDescent="0.25">
      <c r="A42" s="4">
        <v>41</v>
      </c>
      <c r="C42" s="12" t="s">
        <v>135</v>
      </c>
      <c r="D42" s="12" t="s">
        <v>136</v>
      </c>
      <c r="E42" s="13" t="str">
        <f t="shared" si="0"/>
        <v>https://www.screener.in/company/HAL/consolidated/</v>
      </c>
      <c r="H42" s="14">
        <f t="shared" ca="1" si="1"/>
        <v>0</v>
      </c>
      <c r="I42" s="15" t="str">
        <f ca="1">IFERROR(__xludf.DUMMYFUNCTION("IMPORTXML(E42,""/html/body/main/div[3]/div[3]/div[2]/ul/li[5]/span[2]/span"")"),"Loading...")</f>
        <v>Loading...</v>
      </c>
      <c r="J42" s="15">
        <f ca="1">IFERROR(__xludf.DUMMYFUNCTION("GOOGLEFINANCE(""NSE:""&amp;D42,""marketcap"")"),2952257520000)</f>
        <v>2952257520000</v>
      </c>
      <c r="K42" s="15"/>
      <c r="L42" s="16">
        <f ca="1">IFERROR(__xludf.DUMMYFUNCTION("GOOGLEFINANCE(""NSE:""&amp;D42,""price"")"),4415)</f>
        <v>4415</v>
      </c>
      <c r="M42" s="17">
        <f t="shared" ca="1" si="2"/>
        <v>4415</v>
      </c>
      <c r="N42" s="18" t="e">
        <f t="shared" ca="1" si="3"/>
        <v>#DIV/0!</v>
      </c>
      <c r="O42" s="15">
        <f ca="1">IFERROR(__xludf.DUMMYFUNCTION("GOOGLEFINANCE(""NSE:""&amp;D42,""pe"")"),35.52)</f>
        <v>35.520000000000003</v>
      </c>
      <c r="P42" s="15">
        <f ca="1">IFERROR(__xludf.DUMMYFUNCTION("GOOGLEFINANCE(""NSE:""&amp;D42,""EPS"")"),124.28)</f>
        <v>124.28</v>
      </c>
      <c r="Q42" s="15">
        <v>13.5</v>
      </c>
      <c r="R42" s="15" t="str">
        <f ca="1">IFERROR(__xludf.DUMMYFUNCTION("IMPORTXML(E42,""/html/body/main/div[3]/div[3]/div[2]/ul/li[7]/span[2]/span"")"),"Loading...")</f>
        <v>Loading...</v>
      </c>
      <c r="S42" s="15" t="str">
        <f ca="1">IFERROR(__xludf.DUMMYFUNCTION("IMPORTXML(E42,""/html/body/main/div[3]/div[3]/div[2]/ul/li[8]/span[2]/span"")"),"Loading...")</f>
        <v>Loading...</v>
      </c>
      <c r="T42" s="15"/>
      <c r="U42" s="15"/>
      <c r="V42" s="15"/>
      <c r="W42" s="15"/>
      <c r="X42" s="15"/>
      <c r="Y42" s="15"/>
      <c r="Z42" s="7"/>
      <c r="AA42" s="7"/>
      <c r="AB42" s="7"/>
    </row>
    <row r="43" spans="1:28" ht="15" x14ac:dyDescent="0.25">
      <c r="A43" s="4">
        <v>42</v>
      </c>
      <c r="C43" s="12" t="s">
        <v>137</v>
      </c>
      <c r="D43" s="12" t="s">
        <v>31</v>
      </c>
      <c r="E43" s="13" t="str">
        <f t="shared" si="0"/>
        <v>https://www.screener.in/company/TCS/consolidated/</v>
      </c>
      <c r="H43" s="14">
        <f t="shared" ca="1" si="1"/>
        <v>0</v>
      </c>
      <c r="I43" s="15" t="str">
        <f ca="1">IFERROR(__xludf.DUMMYFUNCTION("IMPORTXML(E43,""/html/body/main/div[3]/div[3]/div[2]/ul/li[5]/span[2]/span"")"),"Loading...")</f>
        <v>Loading...</v>
      </c>
      <c r="J43" s="15">
        <f ca="1">IFERROR(__xludf.DUMMYFUNCTION("GOOGLEFINANCE(""NSE:""&amp;D43,""marketcap"")"),11031188059209)</f>
        <v>11031188059209</v>
      </c>
      <c r="K43" s="15"/>
      <c r="L43" s="16">
        <f ca="1">IFERROR(__xludf.DUMMYFUNCTION("GOOGLEFINANCE(""NSE:""&amp;D43,""price"")"),3048)</f>
        <v>3048</v>
      </c>
      <c r="M43" s="17">
        <f t="shared" ca="1" si="2"/>
        <v>3048</v>
      </c>
      <c r="N43" s="18" t="e">
        <f t="shared" ca="1" si="3"/>
        <v>#DIV/0!</v>
      </c>
      <c r="O43" s="15">
        <f ca="1">IFERROR(__xludf.DUMMYFUNCTION("GOOGLEFINANCE(""NSE:""&amp;D43,""pe"")"),22.38)</f>
        <v>22.38</v>
      </c>
      <c r="P43" s="15">
        <f ca="1">IFERROR(__xludf.DUMMYFUNCTION("GOOGLEFINANCE(""NSE:""&amp;D43,""EPS"")"),136.19)</f>
        <v>136.19</v>
      </c>
      <c r="Q43" s="15">
        <v>13.5</v>
      </c>
      <c r="R43" s="15" t="str">
        <f ca="1">IFERROR(__xludf.DUMMYFUNCTION("IMPORTXML(E43,""/html/body/main/div[3]/div[3]/div[2]/ul/li[7]/span[2]/span"")"),"Loading...")</f>
        <v>Loading...</v>
      </c>
      <c r="S43" s="15" t="str">
        <f ca="1">IFERROR(__xludf.DUMMYFUNCTION("IMPORTXML(E43,""/html/body/main/div[3]/div[3]/div[2]/ul/li[8]/span[2]/span"")"),"Loading...")</f>
        <v>Loading...</v>
      </c>
      <c r="T43" s="15"/>
      <c r="U43" s="15"/>
      <c r="V43" s="15"/>
      <c r="W43" s="15"/>
      <c r="X43" s="15"/>
      <c r="Y43" s="15"/>
      <c r="Z43" s="7"/>
      <c r="AA43" s="7"/>
      <c r="AB43" s="7"/>
    </row>
    <row r="44" spans="1:28" ht="15" x14ac:dyDescent="0.25">
      <c r="A44" s="4">
        <v>43</v>
      </c>
      <c r="C44" s="12" t="s">
        <v>138</v>
      </c>
      <c r="D44" s="12" t="s">
        <v>139</v>
      </c>
      <c r="E44" s="13" t="str">
        <f t="shared" si="0"/>
        <v>https://www.screener.in/company/IOB/consolidated/</v>
      </c>
      <c r="H44" s="14">
        <f t="shared" ca="1" si="1"/>
        <v>0</v>
      </c>
      <c r="I44" s="15" t="str">
        <f ca="1">IFERROR(__xludf.DUMMYFUNCTION("IMPORTXML(E44,""/html/body/main/div[3]/div[3]/div[2]/ul/li[5]/span[2]/span"")"),"Loading...")</f>
        <v>Loading...</v>
      </c>
      <c r="J44" s="15">
        <f ca="1">IFERROR(__xludf.DUMMYFUNCTION("GOOGLEFINANCE(""NSE:""&amp;D44,""marketcap"")"),741186100000)</f>
        <v>741186100000</v>
      </c>
      <c r="K44" s="15"/>
      <c r="L44" s="16">
        <f ca="1">IFERROR(__xludf.DUMMYFUNCTION("GOOGLEFINANCE(""NSE:""&amp;D44,""price"")"),38.57)</f>
        <v>38.57</v>
      </c>
      <c r="M44" s="17">
        <f t="shared" ca="1" si="2"/>
        <v>38.57</v>
      </c>
      <c r="N44" s="18" t="e">
        <f t="shared" ca="1" si="3"/>
        <v>#DIV/0!</v>
      </c>
      <c r="O44" s="15">
        <f ca="1">IFERROR(__xludf.DUMMYFUNCTION("GOOGLEFINANCE(""NSE:""&amp;D44,""pe"")"),18.79)</f>
        <v>18.79</v>
      </c>
      <c r="P44" s="15">
        <f ca="1">IFERROR(__xludf.DUMMYFUNCTION("GOOGLEFINANCE(""NSE:""&amp;D44,""EPS"")"),2.05)</f>
        <v>2.0499999999999998</v>
      </c>
      <c r="Q44" s="15">
        <v>13.5</v>
      </c>
      <c r="R44" s="15" t="str">
        <f ca="1">IFERROR(__xludf.DUMMYFUNCTION("IMPORTXML(E44,""/html/body/main/div[3]/div[3]/div[2]/ul/li[7]/span[2]/span"")"),"Loading...")</f>
        <v>Loading...</v>
      </c>
      <c r="S44" s="15" t="str">
        <f ca="1">IFERROR(__xludf.DUMMYFUNCTION("IMPORTXML(E44,""/html/body/main/div[3]/div[3]/div[2]/ul/li[8]/span[2]/span"")"),"Loading...")</f>
        <v>Loading...</v>
      </c>
      <c r="T44" s="15"/>
      <c r="U44" s="15"/>
      <c r="V44" s="15"/>
      <c r="W44" s="15"/>
      <c r="X44" s="15"/>
      <c r="Y44" s="15"/>
      <c r="Z44" s="7"/>
      <c r="AA44" s="7"/>
      <c r="AB44" s="7"/>
    </row>
    <row r="45" spans="1:28" ht="15" x14ac:dyDescent="0.25">
      <c r="A45" s="4">
        <v>44</v>
      </c>
      <c r="C45" s="12" t="s">
        <v>140</v>
      </c>
      <c r="D45" s="12" t="s">
        <v>141</v>
      </c>
      <c r="E45" s="13" t="str">
        <f t="shared" si="0"/>
        <v>https://www.screener.in/company/AMBUJACEM/consolidated/</v>
      </c>
      <c r="H45" s="14">
        <f t="shared" ca="1" si="1"/>
        <v>0</v>
      </c>
      <c r="I45" s="15" t="str">
        <f ca="1">IFERROR(__xludf.DUMMYFUNCTION("IMPORTXML(E45,""/html/body/main/div[3]/div[3]/div[2]/ul/li[5]/span[2]/span"")"),"Loading...")</f>
        <v>Loading...</v>
      </c>
      <c r="J45" s="15">
        <f ca="1">IFERROR(__xludf.DUMMYFUNCTION("GOOGLEFINANCE(""NSE:""&amp;D45,""marketcap"")"),1246023678500)</f>
        <v>1246023678500</v>
      </c>
      <c r="K45" s="15"/>
      <c r="L45" s="16">
        <f ca="1">IFERROR(__xludf.DUMMYFUNCTION("GOOGLEFINANCE(""NSE:""&amp;D45,""price"")"),567)</f>
        <v>567</v>
      </c>
      <c r="M45" s="17">
        <f t="shared" ca="1" si="2"/>
        <v>567</v>
      </c>
      <c r="N45" s="18" t="e">
        <f t="shared" ca="1" si="3"/>
        <v>#DIV/0!</v>
      </c>
      <c r="O45" s="15">
        <f ca="1">IFERROR(__xludf.DUMMYFUNCTION("GOOGLEFINANCE(""NSE:""&amp;D45,""pe"")"),32.36)</f>
        <v>32.36</v>
      </c>
      <c r="P45" s="15">
        <f ca="1">IFERROR(__xludf.DUMMYFUNCTION("GOOGLEFINANCE(""NSE:""&amp;D45,""EPS"")"),17.52)</f>
        <v>17.52</v>
      </c>
      <c r="Q45" s="15">
        <v>13.5</v>
      </c>
      <c r="R45" s="15" t="str">
        <f ca="1">IFERROR(__xludf.DUMMYFUNCTION("IMPORTXML(E45,""/html/body/main/div[3]/div[3]/div[2]/ul/li[7]/span[2]/span"")"),"Loading...")</f>
        <v>Loading...</v>
      </c>
      <c r="S45" s="15" t="str">
        <f ca="1">IFERROR(__xludf.DUMMYFUNCTION("IMPORTXML(E45,""/html/body/main/div[3]/div[3]/div[2]/ul/li[8]/span[2]/span"")"),"Loading...")</f>
        <v>Loading...</v>
      </c>
      <c r="T45" s="15"/>
      <c r="U45" s="15"/>
      <c r="V45" s="15"/>
      <c r="W45" s="15"/>
      <c r="X45" s="15"/>
      <c r="Y45" s="15"/>
      <c r="Z45" s="7"/>
      <c r="AA45" s="7"/>
      <c r="AB45" s="7"/>
    </row>
    <row r="46" spans="1:28" ht="15" x14ac:dyDescent="0.25">
      <c r="A46" s="4">
        <v>45</v>
      </c>
      <c r="C46" s="12" t="s">
        <v>142</v>
      </c>
      <c r="D46" s="12" t="s">
        <v>143</v>
      </c>
      <c r="E46" s="13" t="str">
        <f t="shared" si="0"/>
        <v>https://www.screener.in/company/BAJAJ-AUTO/consolidated/</v>
      </c>
      <c r="H46" s="14">
        <f t="shared" ca="1" si="1"/>
        <v>0</v>
      </c>
      <c r="I46" s="31">
        <f ca="1">IFERROR(__xludf.DUMMYFUNCTION("IMPORTXML(E46,""/html/body/main/div[3]/div[3]/div[2]/ul/li[5]/span[2]/span"")"),1260)</f>
        <v>1260</v>
      </c>
      <c r="J46" s="15">
        <f ca="1">IFERROR(__xludf.DUMMYFUNCTION("GOOGLEFINANCE(""NSE:""&amp;D46,""marketcap"")"),2536262000000)</f>
        <v>2536262000000</v>
      </c>
      <c r="K46" s="15"/>
      <c r="L46" s="16">
        <f ca="1">IFERROR(__xludf.DUMMYFUNCTION("GOOGLEFINANCE(""NSE:""&amp;D46,""price"")"),9075)</f>
        <v>9075</v>
      </c>
      <c r="M46" s="17">
        <f t="shared" ca="1" si="2"/>
        <v>9075</v>
      </c>
      <c r="N46" s="18" t="e">
        <f t="shared" ca="1" si="3"/>
        <v>#DIV/0!</v>
      </c>
      <c r="O46" s="15">
        <f ca="1">IFERROR(__xludf.DUMMYFUNCTION("GOOGLEFINANCE(""NSE:""&amp;D46,""pe"")"),33.42)</f>
        <v>33.42</v>
      </c>
      <c r="P46" s="15">
        <f ca="1">IFERROR(__xludf.DUMMYFUNCTION("GOOGLEFINANCE(""NSE:""&amp;D46,""EPS"")"),271.57)</f>
        <v>271.57</v>
      </c>
      <c r="Q46" s="15">
        <v>13.5</v>
      </c>
      <c r="R46" s="15" t="str">
        <f ca="1">IFERROR(__xludf.DUMMYFUNCTION("IMPORTXML(E46,""/html/body/main/div[3]/div[3]/div[2]/ul/li[7]/span[2]/span"")"),"Loading...")</f>
        <v>Loading...</v>
      </c>
      <c r="S46" s="15" t="str">
        <f ca="1">IFERROR(__xludf.DUMMYFUNCTION("IMPORTXML(E46,""/html/body/main/div[3]/div[3]/div[2]/ul/li[8]/span[2]/span"")"),"Loading...")</f>
        <v>Loading...</v>
      </c>
      <c r="T46" s="15"/>
      <c r="U46" s="15"/>
      <c r="V46" s="15"/>
      <c r="W46" s="15"/>
      <c r="X46" s="15"/>
      <c r="Y46" s="15"/>
      <c r="Z46" s="7"/>
      <c r="AA46" s="7"/>
      <c r="AB46" s="7"/>
    </row>
    <row r="47" spans="1:28" ht="15" x14ac:dyDescent="0.25">
      <c r="A47" s="4">
        <v>46</v>
      </c>
      <c r="C47" s="12" t="s">
        <v>144</v>
      </c>
      <c r="D47" s="12" t="s">
        <v>145</v>
      </c>
      <c r="E47" s="13" t="str">
        <f t="shared" si="0"/>
        <v>https://www.screener.in/company/TATAPOWER/consolidated/</v>
      </c>
      <c r="H47" s="14">
        <f t="shared" ca="1" si="1"/>
        <v>0</v>
      </c>
      <c r="I47" s="15" t="str">
        <f ca="1">IFERROR(__xludf.DUMMYFUNCTION("IMPORTXML(E47,""/html/body/main/div[3]/div[3]/div[2]/ul/li[5]/span[2]/span"")"),"Loading...")</f>
        <v>Loading...</v>
      </c>
      <c r="J47" s="15">
        <f ca="1">IFERROR(__xludf.DUMMYFUNCTION("GOOGLEFINANCE(""NSE:""&amp;D47,""marketcap"")"),1232598885510)</f>
        <v>1232598885510</v>
      </c>
      <c r="K47" s="15"/>
      <c r="L47" s="16">
        <f ca="1">IFERROR(__xludf.DUMMYFUNCTION("GOOGLEFINANCE(""NSE:""&amp;D47,""price"")"),385.75)</f>
        <v>385.75</v>
      </c>
      <c r="M47" s="17">
        <f t="shared" ca="1" si="2"/>
        <v>385.75</v>
      </c>
      <c r="N47" s="18" t="e">
        <f t="shared" ca="1" si="3"/>
        <v>#DIV/0!</v>
      </c>
      <c r="O47" s="15">
        <f ca="1">IFERROR(__xludf.DUMMYFUNCTION("GOOGLEFINANCE(""NSE:""&amp;D47,""pe"")"),30.4)</f>
        <v>30.4</v>
      </c>
      <c r="P47" s="15">
        <f ca="1">IFERROR(__xludf.DUMMYFUNCTION("GOOGLEFINANCE(""NSE:""&amp;D47,""EPS"")"),12.69)</f>
        <v>12.69</v>
      </c>
      <c r="Q47" s="15">
        <v>13.5</v>
      </c>
      <c r="R47" s="15" t="str">
        <f ca="1">IFERROR(__xludf.DUMMYFUNCTION("IMPORTXML(E47,""/html/body/main/div[3]/div[3]/div[2]/ul/li[7]/span[2]/span"")"),"Loading...")</f>
        <v>Loading...</v>
      </c>
      <c r="S47" s="15" t="str">
        <f ca="1">IFERROR(__xludf.DUMMYFUNCTION("IMPORTXML(E47,""/html/body/main/div[3]/div[3]/div[2]/ul/li[8]/span[2]/span"")"),"Loading...")</f>
        <v>Loading...</v>
      </c>
      <c r="T47" s="15"/>
      <c r="U47" s="15"/>
      <c r="V47" s="15"/>
      <c r="W47" s="15"/>
      <c r="X47" s="15"/>
      <c r="Y47" s="15"/>
      <c r="Z47" s="7"/>
      <c r="AA47" s="7"/>
      <c r="AB47" s="7"/>
    </row>
    <row r="48" spans="1:28" ht="15" x14ac:dyDescent="0.25">
      <c r="A48" s="4">
        <v>47</v>
      </c>
      <c r="C48" s="12" t="s">
        <v>146</v>
      </c>
      <c r="D48" s="12" t="s">
        <v>147</v>
      </c>
      <c r="E48" s="13" t="str">
        <f t="shared" si="0"/>
        <v>https://www.screener.in/company/INDIGO/consolidated/</v>
      </c>
      <c r="H48" s="14">
        <f t="shared" ca="1" si="1"/>
        <v>0</v>
      </c>
      <c r="I48" s="15" t="str">
        <f ca="1">IFERROR(__xludf.DUMMYFUNCTION("IMPORTXML(E48,""/html/body/main/div[3]/div[3]/div[2]/ul/li[5]/span[2]/span"")"),"Loading...")</f>
        <v>Loading...</v>
      </c>
      <c r="J48" s="15">
        <f ca="1">IFERROR(__xludf.DUMMYFUNCTION("GOOGLEFINANCE(""NSE:""&amp;D48,""marketcap"")"),2191817000000)</f>
        <v>2191817000000</v>
      </c>
      <c r="K48" s="15"/>
      <c r="L48" s="16">
        <f ca="1">IFERROR(__xludf.DUMMYFUNCTION("GOOGLEFINANCE(""NSE:""&amp;D48,""price"")"),5673)</f>
        <v>5673</v>
      </c>
      <c r="M48" s="17">
        <f t="shared" ca="1" si="2"/>
        <v>5673</v>
      </c>
      <c r="N48" s="18" t="e">
        <f t="shared" ca="1" si="3"/>
        <v>#DIV/0!</v>
      </c>
      <c r="O48" s="15">
        <f ca="1">IFERROR(__xludf.DUMMYFUNCTION("GOOGLEFINANCE(""NSE:""&amp;D48,""pe"")"),32.74)</f>
        <v>32.74</v>
      </c>
      <c r="P48" s="15">
        <f ca="1">IFERROR(__xludf.DUMMYFUNCTION("GOOGLEFINANCE(""NSE:""&amp;D48,""EPS"")"),173.26)</f>
        <v>173.26</v>
      </c>
      <c r="Q48" s="15">
        <v>13.5</v>
      </c>
      <c r="R48" s="15" t="str">
        <f ca="1">IFERROR(__xludf.DUMMYFUNCTION("IMPORTXML(E48,""/html/body/main/div[3]/div[3]/div[2]/ul/li[7]/span[2]/span"")"),"Loading...")</f>
        <v>Loading...</v>
      </c>
      <c r="S48" s="15" t="str">
        <f ca="1">IFERROR(__xludf.DUMMYFUNCTION("IMPORTXML(E48,""/html/body/main/div[3]/div[3]/div[2]/ul/li[8]/span[2]/span"")"),"Loading...")</f>
        <v>Loading...</v>
      </c>
      <c r="T48" s="15"/>
      <c r="U48" s="15"/>
      <c r="V48" s="15"/>
      <c r="W48" s="15"/>
      <c r="X48" s="15"/>
      <c r="Y48" s="15"/>
      <c r="Z48" s="7"/>
      <c r="AA48" s="7"/>
      <c r="AB48" s="7"/>
    </row>
    <row r="49" spans="1:28" ht="15" x14ac:dyDescent="0.25">
      <c r="A49" s="4">
        <v>48</v>
      </c>
      <c r="C49" s="12" t="s">
        <v>148</v>
      </c>
      <c r="D49" s="12" t="s">
        <v>149</v>
      </c>
      <c r="E49" s="13" t="str">
        <f t="shared" si="0"/>
        <v>https://www.screener.in/company/CHOLAFIN/consolidated/</v>
      </c>
      <c r="H49" s="14">
        <f t="shared" ca="1" si="1"/>
        <v>0</v>
      </c>
      <c r="I49" s="15" t="str">
        <f ca="1">IFERROR(__xludf.DUMMYFUNCTION("IMPORTXML(E49,""/html/body/main/div[3]/div[3]/div[2]/ul/li[5]/span[2]/span"")"),"Loading...")</f>
        <v>Loading...</v>
      </c>
      <c r="J49" s="15">
        <f ca="1">IFERROR(__xludf.DUMMYFUNCTION("GOOGLEFINANCE(""NSE:""&amp;D49,""marketcap"")"),1252057534832)</f>
        <v>1252057534832</v>
      </c>
      <c r="K49" s="15"/>
      <c r="L49" s="16">
        <f ca="1">IFERROR(__xludf.DUMMYFUNCTION("GOOGLEFINANCE(""NSE:""&amp;D49,""price"")"),1491)</f>
        <v>1491</v>
      </c>
      <c r="M49" s="17">
        <f t="shared" ca="1" si="2"/>
        <v>1491</v>
      </c>
      <c r="N49" s="18" t="e">
        <f t="shared" ca="1" si="3"/>
        <v>#DIV/0!</v>
      </c>
      <c r="O49" s="15">
        <f ca="1">IFERROR(__xludf.DUMMYFUNCTION("GOOGLEFINANCE(""NSE:""&amp;D49,""pe"")"),28.21)</f>
        <v>28.21</v>
      </c>
      <c r="P49" s="15">
        <f ca="1">IFERROR(__xludf.DUMMYFUNCTION("GOOGLEFINANCE(""NSE:""&amp;D49,""EPS"")"),52.85)</f>
        <v>52.85</v>
      </c>
      <c r="Q49" s="15">
        <v>13.5</v>
      </c>
      <c r="R49" s="15" t="str">
        <f ca="1">IFERROR(__xludf.DUMMYFUNCTION("IMPORTXML(E49,""/html/body/main/div[3]/div[3]/div[2]/ul/li[7]/span[2]/span"")"),"Loading...")</f>
        <v>Loading...</v>
      </c>
      <c r="S49" s="15" t="str">
        <f ca="1">IFERROR(__xludf.DUMMYFUNCTION("IMPORTXML(E49,""/html/body/main/div[3]/div[3]/div[2]/ul/li[8]/span[2]/span"")"),"Loading...")</f>
        <v>Loading...</v>
      </c>
      <c r="T49" s="15"/>
      <c r="U49" s="15"/>
      <c r="V49" s="15"/>
      <c r="W49" s="15"/>
      <c r="X49" s="15"/>
      <c r="Y49" s="15"/>
      <c r="Z49" s="7"/>
      <c r="AA49" s="7"/>
      <c r="AB49" s="7"/>
    </row>
    <row r="50" spans="1:28" ht="15" x14ac:dyDescent="0.25">
      <c r="A50" s="4">
        <v>49</v>
      </c>
      <c r="C50" s="12" t="s">
        <v>150</v>
      </c>
      <c r="D50" s="12" t="s">
        <v>151</v>
      </c>
      <c r="E50" s="13" t="str">
        <f t="shared" si="0"/>
        <v>https://www.screener.in/company/EICHERMOT/consolidated/</v>
      </c>
      <c r="H50" s="14">
        <f t="shared" ca="1" si="1"/>
        <v>0</v>
      </c>
      <c r="I50" s="15">
        <f ca="1">IFERROR(__xludf.DUMMYFUNCTION("IMPORTXML(E50,""/html/body/main/div[3]/div[3]/div[2]/ul/li[5]/span[2]/span"")"),777)</f>
        <v>777</v>
      </c>
      <c r="J50" s="15">
        <f ca="1">IFERROR(__xludf.DUMMYFUNCTION("GOOGLEFINANCE(""NSE:""&amp;D50,""marketcap"")"),1803033034867)</f>
        <v>1803033034867</v>
      </c>
      <c r="K50" s="15"/>
      <c r="L50" s="16">
        <f ca="1">IFERROR(__xludf.DUMMYFUNCTION("GOOGLEFINANCE(""NSE:""&amp;D50,""price"")"),6580)</f>
        <v>6580</v>
      </c>
      <c r="M50" s="17">
        <f t="shared" ca="1" si="2"/>
        <v>6580</v>
      </c>
      <c r="N50" s="18" t="e">
        <f t="shared" ca="1" si="3"/>
        <v>#DIV/0!</v>
      </c>
      <c r="O50" s="15">
        <f ca="1">IFERROR(__xludf.DUMMYFUNCTION("GOOGLEFINANCE(""NSE:""&amp;D50,""pe"")"),37.36)</f>
        <v>37.36</v>
      </c>
      <c r="P50" s="15">
        <f ca="1">IFERROR(__xludf.DUMMYFUNCTION("GOOGLEFINANCE(""NSE:""&amp;D50,""EPS"")"),176.14)</f>
        <v>176.14</v>
      </c>
      <c r="Q50" s="15">
        <v>13.5</v>
      </c>
      <c r="R50" s="15" t="str">
        <f ca="1">IFERROR(__xludf.DUMMYFUNCTION("IMPORTXML(E50,""/html/body/main/div[3]/div[3]/div[2]/ul/li[7]/span[2]/span"")"),"Loading...")</f>
        <v>Loading...</v>
      </c>
      <c r="S50" s="15" t="str">
        <f ca="1">IFERROR(__xludf.DUMMYFUNCTION("IMPORTXML(E50,""/html/body/main/div[3]/div[3]/div[2]/ul/li[8]/span[2]/span"")"),"Loading...")</f>
        <v>Loading...</v>
      </c>
      <c r="T50" s="15"/>
      <c r="U50" s="15"/>
      <c r="V50" s="15"/>
      <c r="W50" s="15"/>
      <c r="X50" s="15"/>
      <c r="Y50" s="15"/>
      <c r="Z50" s="7"/>
      <c r="AA50" s="7"/>
      <c r="AB50" s="7"/>
    </row>
    <row r="51" spans="1:28" ht="15" x14ac:dyDescent="0.25">
      <c r="A51" s="4">
        <v>50</v>
      </c>
      <c r="C51" s="12" t="s">
        <v>152</v>
      </c>
      <c r="D51" s="12" t="s">
        <v>153</v>
      </c>
      <c r="E51" s="13" t="str">
        <f t="shared" si="0"/>
        <v>https://www.screener.in/company/LT/consolidated/</v>
      </c>
      <c r="H51" s="14">
        <f t="shared" ca="1" si="1"/>
        <v>0</v>
      </c>
      <c r="I51" s="15" t="str">
        <f ca="1">IFERROR(__xludf.DUMMYFUNCTION("IMPORTXML(E51,""/html/body/main/div[3]/div[3]/div[2]/ul/li[5]/span[2]/span"")"),"Loading...")</f>
        <v>Loading...</v>
      </c>
      <c r="J51" s="15">
        <f ca="1">IFERROR(__xludf.DUMMYFUNCTION("GOOGLEFINANCE(""NSE:""&amp;D51,""marketcap"")"),4888019000000)</f>
        <v>4888019000000</v>
      </c>
      <c r="K51" s="15"/>
      <c r="L51" s="16">
        <f ca="1">IFERROR(__xludf.DUMMYFUNCTION("GOOGLEFINANCE(""NSE:""&amp;D51,""price"")"),3553.7)</f>
        <v>3553.7</v>
      </c>
      <c r="M51" s="17">
        <f t="shared" ca="1" si="2"/>
        <v>3553.7</v>
      </c>
      <c r="N51" s="18" t="e">
        <f t="shared" ca="1" si="3"/>
        <v>#DIV/0!</v>
      </c>
      <c r="O51" s="15">
        <f ca="1">IFERROR(__xludf.DUMMYFUNCTION("GOOGLEFINANCE(""NSE:""&amp;D51,""pe"")"),30.81)</f>
        <v>30.81</v>
      </c>
      <c r="P51" s="15">
        <f ca="1">IFERROR(__xludf.DUMMYFUNCTION("GOOGLEFINANCE(""NSE:""&amp;D51,""EPS"")"),115.33)</f>
        <v>115.33</v>
      </c>
      <c r="Q51" s="15">
        <v>13.5</v>
      </c>
      <c r="R51" s="15" t="str">
        <f ca="1">IFERROR(__xludf.DUMMYFUNCTION("IMPORTXML(E51,""/html/body/main/div[3]/div[3]/div[2]/ul/li[7]/span[2]/span"")"),"Loading...")</f>
        <v>Loading...</v>
      </c>
      <c r="S51" s="15" t="str">
        <f ca="1">IFERROR(__xludf.DUMMYFUNCTION("IMPORTXML(E51,""/html/body/main/div[3]/div[3]/div[2]/ul/li[8]/span[2]/span"")"),"Loading...")</f>
        <v>Loading...</v>
      </c>
      <c r="T51" s="15"/>
      <c r="U51" s="15"/>
      <c r="V51" s="15"/>
      <c r="W51" s="15"/>
      <c r="X51" s="15"/>
      <c r="Y51" s="15"/>
      <c r="Z51" s="7"/>
      <c r="AA51" s="7"/>
      <c r="AB51" s="7"/>
    </row>
    <row r="52" spans="1:28" ht="15" x14ac:dyDescent="0.25">
      <c r="A52" s="4">
        <v>51</v>
      </c>
      <c r="C52" s="12" t="s">
        <v>154</v>
      </c>
      <c r="D52" s="12" t="s">
        <v>155</v>
      </c>
      <c r="E52" s="13" t="str">
        <f t="shared" si="0"/>
        <v>https://www.screener.in/company/BAJFINANCE/consolidated/</v>
      </c>
      <c r="H52" s="14">
        <f t="shared" ca="1" si="1"/>
        <v>0</v>
      </c>
      <c r="I52" s="15" t="str">
        <f ca="1">IFERROR(__xludf.DUMMYFUNCTION("IMPORTXML(E52,""/html/body/main/div[3]/div[3]/div[2]/ul/li[5]/span[2]/span"")"),"Loading...")</f>
        <v>Loading...</v>
      </c>
      <c r="J52" s="15">
        <f ca="1">IFERROR(__xludf.DUMMYFUNCTION("GOOGLEFINANCE(""NSE:""&amp;D52,""marketcap"")"),582469507876)</f>
        <v>582469507876</v>
      </c>
      <c r="K52" s="15"/>
      <c r="L52" s="16">
        <f ca="1">IFERROR(__xludf.DUMMYFUNCTION("GOOGLEFINANCE(""NSE:""&amp;D52,""price"")"),936.95)</f>
        <v>936.95</v>
      </c>
      <c r="M52" s="17">
        <f t="shared" ca="1" si="2"/>
        <v>936.95</v>
      </c>
      <c r="N52" s="18" t="e">
        <f t="shared" ca="1" si="3"/>
        <v>#DIV/0!</v>
      </c>
      <c r="O52" s="15">
        <f ca="1">IFERROR(__xludf.DUMMYFUNCTION("GOOGLEFINANCE(""NSE:""&amp;D52,""pe"")"),33.39)</f>
        <v>33.39</v>
      </c>
      <c r="P52" s="15">
        <f ca="1">IFERROR(__xludf.DUMMYFUNCTION("GOOGLEFINANCE(""NSE:""&amp;D52,""EPS"")"),28.06)</f>
        <v>28.06</v>
      </c>
      <c r="Q52" s="15">
        <v>13.5</v>
      </c>
      <c r="R52" s="15" t="str">
        <f ca="1">IFERROR(__xludf.DUMMYFUNCTION("IMPORTXML(E52,""/html/body/main/div[3]/div[3]/div[2]/ul/li[7]/span[2]/span"")"),"Loading...")</f>
        <v>Loading...</v>
      </c>
      <c r="S52" s="15" t="str">
        <f ca="1">IFERROR(__xludf.DUMMYFUNCTION("IMPORTXML(E52,""/html/body/main/div[3]/div[3]/div[2]/ul/li[8]/span[2]/span"")"),"Loading...")</f>
        <v>Loading...</v>
      </c>
      <c r="T52" s="15"/>
      <c r="U52" s="15"/>
      <c r="V52" s="15"/>
      <c r="W52" s="15"/>
      <c r="X52" s="15"/>
      <c r="Y52" s="15"/>
      <c r="Z52" s="7"/>
      <c r="AA52" s="7"/>
      <c r="AB52" s="7"/>
    </row>
    <row r="53" spans="1:28" ht="15" x14ac:dyDescent="0.25">
      <c r="A53" s="4">
        <v>52</v>
      </c>
      <c r="C53" s="12" t="s">
        <v>156</v>
      </c>
      <c r="D53" s="12" t="s">
        <v>157</v>
      </c>
      <c r="E53" s="13" t="str">
        <f t="shared" si="0"/>
        <v>https://www.screener.in/company/SUNPHARMA/consolidated/</v>
      </c>
      <c r="H53" s="14">
        <f t="shared" ca="1" si="1"/>
        <v>0</v>
      </c>
      <c r="I53" s="15" t="str">
        <f ca="1">IFERROR(__xludf.DUMMYFUNCTION("IMPORTXML(E53,""/html/body/main/div[3]/div[3]/div[2]/ul/li[5]/span[2]/span"")"),"Loading...")</f>
        <v>Loading...</v>
      </c>
      <c r="J53" s="15">
        <f ca="1">IFERROR(__xludf.DUMMYFUNCTION("GOOGLEFINANCE(""NSE:""&amp;D53,""marketcap"")"),3824623112693)</f>
        <v>3824623112693</v>
      </c>
      <c r="K53" s="15"/>
      <c r="L53" s="16">
        <f ca="1">IFERROR(__xludf.DUMMYFUNCTION("GOOGLEFINANCE(""NSE:""&amp;D53,""price"")"),1592.9)</f>
        <v>1592.9</v>
      </c>
      <c r="M53" s="17">
        <f t="shared" ca="1" si="2"/>
        <v>1592.9</v>
      </c>
      <c r="N53" s="18" t="e">
        <f t="shared" ca="1" si="3"/>
        <v>#DIV/0!</v>
      </c>
      <c r="O53" s="15">
        <f ca="1">IFERROR(__xludf.DUMMYFUNCTION("GOOGLEFINANCE(""NSE:""&amp;D53,""pe"")"),36.83)</f>
        <v>36.83</v>
      </c>
      <c r="P53" s="15">
        <f ca="1">IFERROR(__xludf.DUMMYFUNCTION("GOOGLEFINANCE(""NSE:""&amp;D53,""EPS"")"),43.25)</f>
        <v>43.25</v>
      </c>
      <c r="Q53" s="15">
        <v>13.5</v>
      </c>
      <c r="R53" s="15" t="str">
        <f ca="1">IFERROR(__xludf.DUMMYFUNCTION("IMPORTXML(E53,""/html/body/main/div[3]/div[3]/div[2]/ul/li[7]/span[2]/span"")"),"Loading...")</f>
        <v>Loading...</v>
      </c>
      <c r="S53" s="15" t="str">
        <f ca="1">IFERROR(__xludf.DUMMYFUNCTION("IMPORTXML(E53,""/html/body/main/div[3]/div[3]/div[2]/ul/li[8]/span[2]/span"")"),"Loading...")</f>
        <v>Loading...</v>
      </c>
      <c r="T53" s="15"/>
      <c r="U53" s="15"/>
      <c r="V53" s="15"/>
      <c r="W53" s="15"/>
      <c r="X53" s="15"/>
      <c r="Y53" s="15"/>
      <c r="Z53" s="7"/>
      <c r="AA53" s="7"/>
      <c r="AB53" s="7"/>
    </row>
    <row r="54" spans="1:28" ht="15" x14ac:dyDescent="0.25">
      <c r="A54" s="4">
        <v>53</v>
      </c>
      <c r="C54" s="12" t="s">
        <v>158</v>
      </c>
      <c r="D54" s="12" t="s">
        <v>159</v>
      </c>
      <c r="E54" s="13" t="str">
        <f t="shared" si="0"/>
        <v>https://www.screener.in/company/BAJAJFINSV/consolidated/</v>
      </c>
      <c r="H54" s="14">
        <f t="shared" ca="1" si="1"/>
        <v>0</v>
      </c>
      <c r="I54" s="15" t="str">
        <f ca="1">IFERROR(__xludf.DUMMYFUNCTION("IMPORTXML(E54,""/html/body/main/div[3]/div[3]/div[2]/ul/li[5]/span[2]/span"")"),"Loading...")</f>
        <v>Loading...</v>
      </c>
      <c r="J54" s="15">
        <f ca="1">IFERROR(__xludf.DUMMYFUNCTION("GOOGLEFINANCE(""NSE:""&amp;D54,""marketcap"")"),3214942634829)</f>
        <v>3214942634829</v>
      </c>
      <c r="K54" s="15"/>
      <c r="L54" s="16">
        <f ca="1">IFERROR(__xludf.DUMMYFUNCTION("GOOGLEFINANCE(""NSE:""&amp;D54,""price"")"),2015)</f>
        <v>2015</v>
      </c>
      <c r="M54" s="17">
        <f t="shared" ca="1" si="2"/>
        <v>2015</v>
      </c>
      <c r="N54" s="18" t="e">
        <f t="shared" ca="1" si="3"/>
        <v>#DIV/0!</v>
      </c>
      <c r="O54" s="15">
        <f ca="1">IFERROR(__xludf.DUMMYFUNCTION("GOOGLEFINANCE(""NSE:""&amp;D54,""pe"")"),34.07)</f>
        <v>34.07</v>
      </c>
      <c r="P54" s="15">
        <f ca="1">IFERROR(__xludf.DUMMYFUNCTION("GOOGLEFINANCE(""NSE:""&amp;D54,""EPS"")"),59.15)</f>
        <v>59.15</v>
      </c>
      <c r="Q54" s="15">
        <v>13.5</v>
      </c>
      <c r="R54" s="15" t="str">
        <f ca="1">IFERROR(__xludf.DUMMYFUNCTION("IMPORTXML(E54,""/html/body/main/div[3]/div[3]/div[2]/ul/li[7]/span[2]/span"")"),"Loading...")</f>
        <v>Loading...</v>
      </c>
      <c r="S54" s="15" t="str">
        <f ca="1">IFERROR(__xludf.DUMMYFUNCTION("IMPORTXML(E54,""/html/body/main/div[3]/div[3]/div[2]/ul/li[8]/span[2]/span"")"),"Loading...")</f>
        <v>Loading...</v>
      </c>
      <c r="T54" s="15"/>
      <c r="U54" s="15"/>
      <c r="V54" s="15"/>
      <c r="W54" s="15"/>
      <c r="X54" s="15"/>
      <c r="Y54" s="15"/>
      <c r="Z54" s="7"/>
      <c r="AA54" s="7"/>
      <c r="AB54" s="7"/>
    </row>
    <row r="55" spans="1:28" ht="15" x14ac:dyDescent="0.25">
      <c r="A55" s="4">
        <v>54</v>
      </c>
      <c r="C55" s="12" t="s">
        <v>160</v>
      </c>
      <c r="D55" s="12" t="s">
        <v>161</v>
      </c>
      <c r="E55" s="13" t="str">
        <f t="shared" si="0"/>
        <v>https://www.screener.in/company/LTIM/consolidated/</v>
      </c>
      <c r="H55" s="14">
        <f t="shared" ca="1" si="1"/>
        <v>0</v>
      </c>
      <c r="I55" s="15" t="str">
        <f ca="1">IFERROR(__xludf.DUMMYFUNCTION("IMPORTXML(E55,""/html/body/main/div[3]/div[3]/div[2]/ul/li[5]/span[2]/span"")"),"Loading...")</f>
        <v>Loading...</v>
      </c>
      <c r="J55" s="15">
        <f ca="1">IFERROR(__xludf.DUMMYFUNCTION("GOOGLEFINANCE(""NSE:""&amp;D55,""marketcap"")"),1539925000000)</f>
        <v>1539925000000</v>
      </c>
      <c r="K55" s="15"/>
      <c r="L55" s="16">
        <f ca="1">IFERROR(__xludf.DUMMYFUNCTION("GOOGLEFINANCE(""NSE:""&amp;D55,""price"")"),5215)</f>
        <v>5215</v>
      </c>
      <c r="M55" s="17">
        <f t="shared" ca="1" si="2"/>
        <v>5215</v>
      </c>
      <c r="N55" s="18" t="e">
        <f t="shared" ca="1" si="3"/>
        <v>#DIV/0!</v>
      </c>
      <c r="O55" s="15">
        <f ca="1">IFERROR(__xludf.DUMMYFUNCTION("GOOGLEFINANCE(""NSE:""&amp;D55,""pe"")"),34.69)</f>
        <v>34.69</v>
      </c>
      <c r="P55" s="15">
        <f ca="1">IFERROR(__xludf.DUMMYFUNCTION("GOOGLEFINANCE(""NSE:""&amp;D55,""EPS"")"),145.92)</f>
        <v>145.91999999999999</v>
      </c>
      <c r="Q55" s="15">
        <v>13.5</v>
      </c>
      <c r="R55" s="15" t="str">
        <f ca="1">IFERROR(__xludf.DUMMYFUNCTION("IMPORTXML(E55,""/html/body/main/div[3]/div[3]/div[2]/ul/li[7]/span[2]/span"")"),"Loading...")</f>
        <v>Loading...</v>
      </c>
      <c r="S55" s="15" t="str">
        <f ca="1">IFERROR(__xludf.DUMMYFUNCTION("IMPORTXML(E55,""/html/body/main/div[3]/div[3]/div[2]/ul/li[8]/span[2]/span"")"),"Loading...")</f>
        <v>Loading...</v>
      </c>
      <c r="T55" s="15"/>
      <c r="U55" s="15"/>
      <c r="V55" s="15"/>
      <c r="W55" s="15"/>
      <c r="X55" s="15"/>
      <c r="Y55" s="15"/>
      <c r="Z55" s="7"/>
      <c r="AA55" s="7"/>
      <c r="AB55" s="7"/>
    </row>
    <row r="56" spans="1:28" ht="15" x14ac:dyDescent="0.25">
      <c r="A56" s="4">
        <v>55</v>
      </c>
      <c r="C56" s="12" t="s">
        <v>162</v>
      </c>
      <c r="D56" s="12" t="s">
        <v>163</v>
      </c>
      <c r="E56" s="13" t="str">
        <f t="shared" si="0"/>
        <v>https://www.screener.in/company/TECHM/consolidated/</v>
      </c>
      <c r="H56" s="14">
        <f t="shared" ca="1" si="1"/>
        <v>0</v>
      </c>
      <c r="I56" s="15" t="str">
        <f ca="1">IFERROR(__xludf.DUMMYFUNCTION("IMPORTXML(E56,""/html/body/main/div[3]/div[3]/div[2]/ul/li[5]/span[2]/span"")"),"Loading...")</f>
        <v>Loading...</v>
      </c>
      <c r="J56" s="15">
        <f ca="1">IFERROR(__xludf.DUMMYFUNCTION("GOOGLEFINANCE(""NSE:""&amp;D56,""marketcap"")"),1448681910247)</f>
        <v>1448681910247</v>
      </c>
      <c r="K56" s="15"/>
      <c r="L56" s="16">
        <f ca="1">IFERROR(__xludf.DUMMYFUNCTION("GOOGLEFINANCE(""NSE:""&amp;D56,""price"")"),1478)</f>
        <v>1478</v>
      </c>
      <c r="M56" s="17">
        <f t="shared" ca="1" si="2"/>
        <v>1478</v>
      </c>
      <c r="N56" s="18" t="e">
        <f t="shared" ca="1" si="3"/>
        <v>#DIV/0!</v>
      </c>
      <c r="O56" s="15">
        <f ca="1">IFERROR(__xludf.DUMMYFUNCTION("GOOGLEFINANCE(""NSE:""&amp;D56,""pe"")"),28.88)</f>
        <v>28.88</v>
      </c>
      <c r="P56" s="15">
        <f ca="1">IFERROR(__xludf.DUMMYFUNCTION("GOOGLEFINANCE(""NSE:""&amp;D56,""EPS"")"),51.19)</f>
        <v>51.19</v>
      </c>
      <c r="Q56" s="15">
        <v>13.5</v>
      </c>
      <c r="R56" s="15" t="str">
        <f ca="1">IFERROR(__xludf.DUMMYFUNCTION("IMPORTXML(E56,""/html/body/main/div[3]/div[3]/div[2]/ul/li[7]/span[2]/span"")"),"Loading...")</f>
        <v>Loading...</v>
      </c>
      <c r="S56" s="15" t="str">
        <f ca="1">IFERROR(__xludf.DUMMYFUNCTION("IMPORTXML(E56,""/html/body/main/div[3]/div[3]/div[2]/ul/li[8]/span[2]/span"")"),"Loading...")</f>
        <v>Loading...</v>
      </c>
      <c r="T56" s="15"/>
      <c r="U56" s="15"/>
      <c r="V56" s="15"/>
      <c r="W56" s="15"/>
      <c r="X56" s="15"/>
      <c r="Y56" s="15"/>
      <c r="Z56" s="7"/>
      <c r="AA56" s="7"/>
      <c r="AB56" s="7"/>
    </row>
    <row r="57" spans="1:28" ht="15" x14ac:dyDescent="0.25">
      <c r="A57" s="4">
        <v>56</v>
      </c>
      <c r="C57" s="12" t="s">
        <v>164</v>
      </c>
      <c r="D57" s="12" t="s">
        <v>165</v>
      </c>
      <c r="E57" s="13" t="str">
        <f t="shared" si="0"/>
        <v>https://www.screener.in/company/BOSCHLTD/consolidated/</v>
      </c>
      <c r="H57" s="14">
        <f t="shared" ca="1" si="1"/>
        <v>0</v>
      </c>
      <c r="I57" s="15" t="str">
        <f ca="1">IFERROR(__xludf.DUMMYFUNCTION("IMPORTXML(E57,""/html/body/main/div[3]/div[3]/div[2]/ul/li[5]/span[2]/span"")"),"Loading...")</f>
        <v>Loading...</v>
      </c>
      <c r="J57" s="15">
        <f ca="1">IFERROR(__xludf.DUMMYFUNCTION("GOOGLEFINANCE(""NSE:""&amp;D57,""marketcap"")"),1208621125033)</f>
        <v>1208621125033</v>
      </c>
      <c r="K57" s="15"/>
      <c r="L57" s="16">
        <f ca="1">IFERROR(__xludf.DUMMYFUNCTION("GOOGLEFINANCE(""NSE:""&amp;D57,""price"")"),40900)</f>
        <v>40900</v>
      </c>
      <c r="M57" s="17">
        <f t="shared" ca="1" si="2"/>
        <v>40900</v>
      </c>
      <c r="N57" s="18" t="e">
        <f t="shared" ca="1" si="3"/>
        <v>#DIV/0!</v>
      </c>
      <c r="O57" s="15">
        <f ca="1">IFERROR(__xludf.DUMMYFUNCTION("GOOGLEFINANCE(""NSE:""&amp;D57,""pe"")"),45.26)</f>
        <v>45.26</v>
      </c>
      <c r="P57" s="15">
        <f ca="1">IFERROR(__xludf.DUMMYFUNCTION("GOOGLEFINANCE(""NSE:""&amp;D57,""EPS"")"),903.6)</f>
        <v>903.6</v>
      </c>
      <c r="Q57" s="15">
        <v>13.5</v>
      </c>
      <c r="R57" s="15" t="str">
        <f ca="1">IFERROR(__xludf.DUMMYFUNCTION("IMPORTXML(E57,""/html/body/main/div[3]/div[3]/div[2]/ul/li[7]/span[2]/span"")"),"Loading...")</f>
        <v>Loading...</v>
      </c>
      <c r="S57" s="15" t="str">
        <f ca="1">IFERROR(__xludf.DUMMYFUNCTION("IMPORTXML(E57,""/html/body/main/div[3]/div[3]/div[2]/ul/li[8]/span[2]/span"")"),"Loading...")</f>
        <v>Loading...</v>
      </c>
      <c r="T57" s="15"/>
      <c r="U57" s="15"/>
      <c r="V57" s="15"/>
      <c r="W57" s="15"/>
      <c r="X57" s="15"/>
      <c r="Y57" s="15"/>
      <c r="Z57" s="7"/>
      <c r="AA57" s="7"/>
      <c r="AB57" s="7"/>
    </row>
    <row r="58" spans="1:28" ht="15" x14ac:dyDescent="0.25">
      <c r="A58" s="4">
        <v>57</v>
      </c>
      <c r="C58" s="12" t="s">
        <v>166</v>
      </c>
      <c r="D58" s="12" t="s">
        <v>167</v>
      </c>
      <c r="E58" s="13" t="str">
        <f t="shared" si="0"/>
        <v>https://www.screener.in/company/BHARTIARTL/consolidated/</v>
      </c>
      <c r="H58" s="14">
        <f t="shared" ca="1" si="1"/>
        <v>0</v>
      </c>
      <c r="I58" s="15">
        <f ca="1">IFERROR(__xludf.DUMMYFUNCTION("IMPORTXML(E58,""/html/body/main/div[3]/div[3]/div[2]/ul/li[5]/span[2]/span"")"),199)</f>
        <v>199</v>
      </c>
      <c r="J58" s="15">
        <f ca="1">IFERROR(__xludf.DUMMYFUNCTION("GOOGLEFINANCE(""NSE:""&amp;D58,""marketcap"")"),11362940000000)</f>
        <v>11362940000000</v>
      </c>
      <c r="K58" s="15"/>
      <c r="L58" s="16">
        <f ca="1">IFERROR(__xludf.DUMMYFUNCTION("GOOGLEFINANCE(""NSE:""&amp;D58,""price"")"),1894)</f>
        <v>1894</v>
      </c>
      <c r="M58" s="17">
        <f t="shared" ca="1" si="2"/>
        <v>1894</v>
      </c>
      <c r="N58" s="18" t="e">
        <f t="shared" ca="1" si="3"/>
        <v>#DIV/0!</v>
      </c>
      <c r="O58" s="15">
        <f ca="1">IFERROR(__xludf.DUMMYFUNCTION("GOOGLEFINANCE(""NSE:""&amp;D58,""pe"")"),32.17)</f>
        <v>32.17</v>
      </c>
      <c r="P58" s="15">
        <f ca="1">IFERROR(__xludf.DUMMYFUNCTION("GOOGLEFINANCE(""NSE:""&amp;D58,""EPS"")"),58.87)</f>
        <v>58.87</v>
      </c>
      <c r="Q58" s="15">
        <v>13.5</v>
      </c>
      <c r="R58" s="15" t="str">
        <f ca="1">IFERROR(__xludf.DUMMYFUNCTION("IMPORTXML(E58,""/html/body/main/div[3]/div[3]/div[2]/ul/li[7]/span[2]/span"")"),"Loading...")</f>
        <v>Loading...</v>
      </c>
      <c r="S58" s="15" t="str">
        <f ca="1">IFERROR(__xludf.DUMMYFUNCTION("IMPORTXML(E58,""/html/body/main/div[3]/div[3]/div[2]/ul/li[8]/span[2]/span"")"),"Loading...")</f>
        <v>Loading...</v>
      </c>
      <c r="T58" s="15"/>
      <c r="U58" s="15"/>
      <c r="V58" s="15"/>
      <c r="W58" s="15"/>
      <c r="X58" s="15"/>
      <c r="Y58" s="15"/>
      <c r="Z58" s="7"/>
      <c r="AA58" s="7"/>
      <c r="AB58" s="7"/>
    </row>
    <row r="59" spans="1:28" ht="15" x14ac:dyDescent="0.25">
      <c r="A59" s="4">
        <v>58</v>
      </c>
      <c r="C59" s="12" t="s">
        <v>168</v>
      </c>
      <c r="D59" s="12" t="s">
        <v>169</v>
      </c>
      <c r="E59" s="13" t="str">
        <f t="shared" si="0"/>
        <v>https://www.screener.in/company/CUMMINSIND/consolidated/</v>
      </c>
      <c r="H59" s="14">
        <f t="shared" ca="1" si="1"/>
        <v>0</v>
      </c>
      <c r="I59" s="15" t="str">
        <f ca="1">IFERROR(__xludf.DUMMYFUNCTION("IMPORTXML(E59,""/html/body/main/div[3]/div[3]/div[2]/ul/li[5]/span[2]/span"")"),"Loading...")</f>
        <v>Loading...</v>
      </c>
      <c r="J59" s="15">
        <f ca="1">IFERROR(__xludf.DUMMYFUNCTION("GOOGLEFINANCE(""NSE:""&amp;D59,""marketcap"")"),1087178007800)</f>
        <v>1087178007800</v>
      </c>
      <c r="K59" s="15"/>
      <c r="L59" s="16">
        <f ca="1">IFERROR(__xludf.DUMMYFUNCTION("GOOGLEFINANCE(""NSE:""&amp;D59,""price"")"),3922)</f>
        <v>3922</v>
      </c>
      <c r="M59" s="17">
        <f t="shared" ca="1" si="2"/>
        <v>3922</v>
      </c>
      <c r="N59" s="18" t="e">
        <f t="shared" ca="1" si="3"/>
        <v>#DIV/0!</v>
      </c>
      <c r="O59" s="15">
        <f ca="1">IFERROR(__xludf.DUMMYFUNCTION("GOOGLEFINANCE(""NSE:""&amp;D59,""pe"")"),50.77)</f>
        <v>50.77</v>
      </c>
      <c r="P59" s="15">
        <f ca="1">IFERROR(__xludf.DUMMYFUNCTION("GOOGLEFINANCE(""NSE:""&amp;D59,""EPS"")"),77.25)</f>
        <v>77.25</v>
      </c>
      <c r="Q59" s="15">
        <v>13.5</v>
      </c>
      <c r="R59" s="15" t="str">
        <f ca="1">IFERROR(__xludf.DUMMYFUNCTION("IMPORTXML(E59,""/html/body/main/div[3]/div[3]/div[2]/ul/li[7]/span[2]/span"")"),"Loading...")</f>
        <v>Loading...</v>
      </c>
      <c r="S59" s="15" t="str">
        <f ca="1">IFERROR(__xludf.DUMMYFUNCTION("IMPORTXML(E59,""/html/body/main/div[3]/div[3]/div[2]/ul/li[8]/span[2]/span"")"),"Loading...")</f>
        <v>Loading...</v>
      </c>
      <c r="T59" s="15"/>
      <c r="U59" s="15"/>
      <c r="V59" s="15"/>
      <c r="W59" s="15"/>
      <c r="X59" s="15"/>
      <c r="Y59" s="15"/>
      <c r="Z59" s="7"/>
      <c r="AA59" s="7"/>
      <c r="AB59" s="7"/>
    </row>
    <row r="60" spans="1:28" ht="15" x14ac:dyDescent="0.25">
      <c r="A60" s="4">
        <v>59</v>
      </c>
      <c r="C60" s="12" t="s">
        <v>170</v>
      </c>
      <c r="D60" s="12" t="s">
        <v>171</v>
      </c>
      <c r="E60" s="13" t="str">
        <f t="shared" si="0"/>
        <v>https://www.screener.in/company/BEL/consolidated/</v>
      </c>
      <c r="H60" s="14">
        <f t="shared" ca="1" si="1"/>
        <v>0</v>
      </c>
      <c r="I60" s="15" t="str">
        <f ca="1">IFERROR(__xludf.DUMMYFUNCTION("IMPORTXML(E60,""/html/body/main/div[3]/div[3]/div[2]/ul/li[5]/span[2]/span"")"),"Loading...")</f>
        <v>Loading...</v>
      </c>
      <c r="J60" s="15">
        <f ca="1">IFERROR(__xludf.DUMMYFUNCTION("GOOGLEFINANCE(""NSE:""&amp;D60,""marketcap"")"),2711562238330)</f>
        <v>2711562238330</v>
      </c>
      <c r="K60" s="15"/>
      <c r="L60" s="16">
        <f ca="1">IFERROR(__xludf.DUMMYFUNCTION("GOOGLEFINANCE(""NSE:""&amp;D60,""price"")"),371.7)</f>
        <v>371.7</v>
      </c>
      <c r="M60" s="17">
        <f t="shared" ca="1" si="2"/>
        <v>371.7</v>
      </c>
      <c r="N60" s="18" t="e">
        <f t="shared" ca="1" si="3"/>
        <v>#DIV/0!</v>
      </c>
      <c r="O60" s="15">
        <f ca="1">IFERROR(__xludf.DUMMYFUNCTION("GOOGLEFINANCE(""NSE:""&amp;D60,""pe"")"),49.36)</f>
        <v>49.36</v>
      </c>
      <c r="P60" s="15">
        <f ca="1">IFERROR(__xludf.DUMMYFUNCTION("GOOGLEFINANCE(""NSE:""&amp;D60,""EPS"")"),7.53)</f>
        <v>7.53</v>
      </c>
      <c r="Q60" s="15">
        <v>13.5</v>
      </c>
      <c r="R60" s="15">
        <f ca="1">IFERROR(__xludf.DUMMYFUNCTION("IMPORTXML(E60,""/html/body/main/div[3]/div[3]/div[2]/ul/li[7]/span[2]/span"")"),39)</f>
        <v>39</v>
      </c>
      <c r="S60" s="15" t="str">
        <f ca="1">IFERROR(__xludf.DUMMYFUNCTION("IMPORTXML(E60,""/html/body/main/div[3]/div[3]/div[2]/ul/li[8]/span[2]/span"")"),"Loading...")</f>
        <v>Loading...</v>
      </c>
      <c r="T60" s="15"/>
      <c r="U60" s="15"/>
      <c r="V60" s="15"/>
      <c r="W60" s="15"/>
      <c r="X60" s="15"/>
      <c r="Y60" s="15"/>
      <c r="Z60" s="7"/>
      <c r="AA60" s="7"/>
      <c r="AB60" s="7"/>
    </row>
    <row r="61" spans="1:28" ht="15" x14ac:dyDescent="0.25">
      <c r="A61" s="4">
        <v>60</v>
      </c>
      <c r="C61" s="12" t="s">
        <v>172</v>
      </c>
      <c r="D61" s="12" t="s">
        <v>173</v>
      </c>
      <c r="E61" s="13" t="str">
        <f t="shared" si="0"/>
        <v>https://www.screener.in/company/DLF/consolidated/</v>
      </c>
      <c r="H61" s="14">
        <f t="shared" ca="1" si="1"/>
        <v>0</v>
      </c>
      <c r="I61" s="15" t="str">
        <f ca="1">IFERROR(__xludf.DUMMYFUNCTION("IMPORTXML(E61,""/html/body/main/div[3]/div[3]/div[2]/ul/li[5]/span[2]/span"")"),"Loading...")</f>
        <v>Loading...</v>
      </c>
      <c r="J61" s="15">
        <f ca="1">IFERROR(__xludf.DUMMYFUNCTION("GOOGLEFINANCE(""NSE:""&amp;D61,""marketcap"")"),1870604969787)</f>
        <v>1870604969787</v>
      </c>
      <c r="K61" s="15"/>
      <c r="L61" s="16">
        <f ca="1">IFERROR(__xludf.DUMMYFUNCTION("GOOGLEFINANCE(""NSE:""&amp;D61,""price"")"),756.95)</f>
        <v>756.95</v>
      </c>
      <c r="M61" s="17">
        <f t="shared" ca="1" si="2"/>
        <v>756.95</v>
      </c>
      <c r="N61" s="18" t="e">
        <f t="shared" ca="1" si="3"/>
        <v>#DIV/0!</v>
      </c>
      <c r="O61" s="15">
        <f ca="1">IFERROR(__xludf.DUMMYFUNCTION("GOOGLEFINANCE(""NSE:""&amp;D61,""pe"")"),41.76)</f>
        <v>41.76</v>
      </c>
      <c r="P61" s="15">
        <f ca="1">IFERROR(__xludf.DUMMYFUNCTION("GOOGLEFINANCE(""NSE:""&amp;D61,""EPS"")"),18.13)</f>
        <v>18.13</v>
      </c>
      <c r="Q61" s="15">
        <v>13.5</v>
      </c>
      <c r="R61" s="15" t="str">
        <f ca="1">IFERROR(__xludf.DUMMYFUNCTION("IMPORTXML(E61,""/html/body/main/div[3]/div[3]/div[2]/ul/li[7]/span[2]/span"")"),"Loading...")</f>
        <v>Loading...</v>
      </c>
      <c r="S61" s="15" t="str">
        <f ca="1">IFERROR(__xludf.DUMMYFUNCTION("IMPORTXML(E61,""/html/body/main/div[3]/div[3]/div[2]/ul/li[8]/span[2]/span"")"),"Loading...")</f>
        <v>Loading...</v>
      </c>
      <c r="T61" s="15"/>
      <c r="U61" s="15"/>
      <c r="V61" s="15"/>
      <c r="W61" s="15"/>
      <c r="X61" s="15"/>
      <c r="Y61" s="15"/>
      <c r="Z61" s="7"/>
      <c r="AA61" s="7"/>
      <c r="AB61" s="7"/>
    </row>
    <row r="62" spans="1:28" ht="15" x14ac:dyDescent="0.25">
      <c r="A62" s="4">
        <v>61</v>
      </c>
      <c r="C62" s="12" t="s">
        <v>174</v>
      </c>
      <c r="D62" s="12" t="s">
        <v>175</v>
      </c>
      <c r="E62" s="13" t="str">
        <f t="shared" si="0"/>
        <v>https://www.screener.in/company/GRASIM/consolidated/</v>
      </c>
      <c r="H62" s="14">
        <f t="shared" ca="1" si="1"/>
        <v>0</v>
      </c>
      <c r="I62" s="15" t="str">
        <f ca="1">IFERROR(__xludf.DUMMYFUNCTION("IMPORTXML(E62,""/html/body/main/div[3]/div[3]/div[2]/ul/li[5]/span[2]/span"")"),"Loading...")</f>
        <v>Loading...</v>
      </c>
      <c r="J62" s="15">
        <f ca="1">IFERROR(__xludf.DUMMYFUNCTION("GOOGLEFINANCE(""NSE:""&amp;D62,""marketcap"")"),1902588000000)</f>
        <v>1902588000000</v>
      </c>
      <c r="K62" s="15"/>
      <c r="L62" s="16">
        <f ca="1">IFERROR(__xludf.DUMMYFUNCTION("GOOGLEFINANCE(""NSE:""&amp;D62,""price"")"),2807.9)</f>
        <v>2807.9</v>
      </c>
      <c r="M62" s="17">
        <f t="shared" ca="1" si="2"/>
        <v>2807.9</v>
      </c>
      <c r="N62" s="18" t="e">
        <f t="shared" ca="1" si="3"/>
        <v>#DIV/0!</v>
      </c>
      <c r="O62" s="15">
        <f ca="1">IFERROR(__xludf.DUMMYFUNCTION("GOOGLEFINANCE(""NSE:""&amp;D62,""pe"")"),48.25)</f>
        <v>48.25</v>
      </c>
      <c r="P62" s="15">
        <f ca="1">IFERROR(__xludf.DUMMYFUNCTION("GOOGLEFINANCE(""NSE:""&amp;D62,""EPS"")"),58.2)</f>
        <v>58.2</v>
      </c>
      <c r="Q62" s="15">
        <v>13.5</v>
      </c>
      <c r="R62" s="15" t="str">
        <f ca="1">IFERROR(__xludf.DUMMYFUNCTION("IMPORTXML(E62,""/html/body/main/div[3]/div[3]/div[2]/ul/li[7]/span[2]/span"")"),"Loading...")</f>
        <v>Loading...</v>
      </c>
      <c r="S62" s="15" t="str">
        <f ca="1">IFERROR(__xludf.DUMMYFUNCTION("IMPORTXML(E62,""/html/body/main/div[3]/div[3]/div[2]/ul/li[8]/span[2]/span"")"),"Loading...")</f>
        <v>Loading...</v>
      </c>
      <c r="T62" s="15"/>
      <c r="U62" s="15"/>
      <c r="V62" s="15"/>
      <c r="W62" s="15"/>
      <c r="X62" s="15"/>
      <c r="Y62" s="15"/>
      <c r="Z62" s="7"/>
      <c r="AA62" s="7"/>
      <c r="AB62" s="7"/>
    </row>
    <row r="63" spans="1:28" ht="15" x14ac:dyDescent="0.25">
      <c r="A63" s="4">
        <v>62</v>
      </c>
      <c r="C63" s="12" t="s">
        <v>176</v>
      </c>
      <c r="D63" s="12" t="s">
        <v>177</v>
      </c>
      <c r="E63" s="13" t="str">
        <f t="shared" si="0"/>
        <v>https://www.screener.in/company/POLYCAB/consolidated/</v>
      </c>
      <c r="H63" s="14">
        <f t="shared" ca="1" si="1"/>
        <v>0</v>
      </c>
      <c r="I63" s="15" t="str">
        <f ca="1">IFERROR(__xludf.DUMMYFUNCTION("IMPORTXML(E63,""/html/body/main/div[3]/div[3]/div[2]/ul/li[5]/span[2]/span"")"),"Loading...")</f>
        <v>Loading...</v>
      </c>
      <c r="J63" s="15">
        <f ca="1">IFERROR(__xludf.DUMMYFUNCTION("GOOGLEFINANCE(""NSE:""&amp;D63,""marketcap"")"),1090212800750)</f>
        <v>1090212800750</v>
      </c>
      <c r="K63" s="15"/>
      <c r="L63" s="16">
        <f ca="1">IFERROR(__xludf.DUMMYFUNCTION("GOOGLEFINANCE(""NSE:""&amp;D63,""price"")"),7242.5)</f>
        <v>7242.5</v>
      </c>
      <c r="M63" s="17">
        <f t="shared" ca="1" si="2"/>
        <v>7242.5</v>
      </c>
      <c r="N63" s="18" t="e">
        <f t="shared" ca="1" si="3"/>
        <v>#DIV/0!</v>
      </c>
      <c r="O63" s="15">
        <f ca="1">IFERROR(__xludf.DUMMYFUNCTION("GOOGLEFINANCE(""NSE:""&amp;D63,""pe"")"),49.34)</f>
        <v>49.34</v>
      </c>
      <c r="P63" s="15">
        <f ca="1">IFERROR(__xludf.DUMMYFUNCTION("GOOGLEFINANCE(""NSE:""&amp;D63,""EPS"")"),146.78)</f>
        <v>146.78</v>
      </c>
      <c r="Q63" s="15">
        <v>13.5</v>
      </c>
      <c r="R63" s="15" t="str">
        <f ca="1">IFERROR(__xludf.DUMMYFUNCTION("IMPORTXML(E63,""/html/body/main/div[3]/div[3]/div[2]/ul/li[7]/span[2]/span"")"),"Loading...")</f>
        <v>Loading...</v>
      </c>
      <c r="S63" s="15" t="str">
        <f ca="1">IFERROR(__xludf.DUMMYFUNCTION("IMPORTXML(E63,""/html/body/main/div[3]/div[3]/div[2]/ul/li[8]/span[2]/span"")"),"Loading...")</f>
        <v>Loading...</v>
      </c>
      <c r="T63" s="15"/>
      <c r="U63" s="15"/>
      <c r="V63" s="15"/>
      <c r="W63" s="15"/>
      <c r="X63" s="15"/>
      <c r="Y63" s="15"/>
      <c r="Z63" s="7"/>
      <c r="AA63" s="7"/>
      <c r="AB63" s="7"/>
    </row>
    <row r="64" spans="1:28" ht="15" x14ac:dyDescent="0.25">
      <c r="A64" s="4">
        <v>63</v>
      </c>
      <c r="C64" s="12" t="s">
        <v>178</v>
      </c>
      <c r="D64" s="12" t="s">
        <v>179</v>
      </c>
      <c r="E64" s="13" t="str">
        <f t="shared" si="0"/>
        <v>https://www.screener.in/company/LODHA/consolidated/</v>
      </c>
      <c r="H64" s="14">
        <f t="shared" ca="1" si="1"/>
        <v>0</v>
      </c>
      <c r="I64" s="15" t="str">
        <f ca="1">IFERROR(__xludf.DUMMYFUNCTION("IMPORTXML(E64,""/html/body/main/div[3]/div[3]/div[2]/ul/li[5]/span[2]/span"")"),"Loading...")</f>
        <v>Loading...</v>
      </c>
      <c r="J64" s="15">
        <f ca="1">IFERROR(__xludf.DUMMYFUNCTION("GOOGLEFINANCE(""NSE:""&amp;D64,""marketcap"")"),1173572727500)</f>
        <v>1173572727500</v>
      </c>
      <c r="K64" s="15"/>
      <c r="L64" s="16">
        <f ca="1">IFERROR(__xludf.DUMMYFUNCTION("GOOGLEFINANCE(""NSE:""&amp;D64,""price"")"),1177)</f>
        <v>1177</v>
      </c>
      <c r="M64" s="17">
        <f t="shared" ca="1" si="2"/>
        <v>1177</v>
      </c>
      <c r="N64" s="18" t="e">
        <f t="shared" ca="1" si="3"/>
        <v>#DIV/0!</v>
      </c>
      <c r="O64" s="15">
        <f ca="1">IFERROR(__xludf.DUMMYFUNCTION("GOOGLEFINANCE(""NSE:""&amp;D64,""pe"")"),39.71)</f>
        <v>39.71</v>
      </c>
      <c r="P64" s="15">
        <f ca="1">IFERROR(__xludf.DUMMYFUNCTION("GOOGLEFINANCE(""NSE:""&amp;D64,""EPS"")"),29.64)</f>
        <v>29.64</v>
      </c>
      <c r="Q64" s="15">
        <v>13.5</v>
      </c>
      <c r="R64" s="15" t="str">
        <f ca="1">IFERROR(__xludf.DUMMYFUNCTION("IMPORTXML(E64,""/html/body/main/div[3]/div[3]/div[2]/ul/li[7]/span[2]/span"")"),"Loading...")</f>
        <v>Loading...</v>
      </c>
      <c r="S64" s="15" t="str">
        <f ca="1">IFERROR(__xludf.DUMMYFUNCTION("IMPORTXML(E64,""/html/body/main/div[3]/div[3]/div[2]/ul/li[8]/span[2]/span"")"),"Loading...")</f>
        <v>Loading...</v>
      </c>
      <c r="T64" s="15"/>
      <c r="U64" s="15"/>
      <c r="V64" s="15"/>
      <c r="W64" s="15"/>
      <c r="X64" s="15"/>
      <c r="Y64" s="15"/>
      <c r="Z64" s="7"/>
      <c r="AA64" s="7"/>
      <c r="AB64" s="7"/>
    </row>
    <row r="65" spans="1:28" ht="15" x14ac:dyDescent="0.25">
      <c r="A65" s="4">
        <v>64</v>
      </c>
      <c r="C65" s="12" t="s">
        <v>180</v>
      </c>
      <c r="D65" s="12" t="s">
        <v>181</v>
      </c>
      <c r="E65" s="13" t="str">
        <f t="shared" si="0"/>
        <v>https://www.screener.in/company/BAJAJHFL/consolidated/</v>
      </c>
      <c r="H65" s="14">
        <f t="shared" ca="1" si="1"/>
        <v>0</v>
      </c>
      <c r="I65" s="15" t="str">
        <f ca="1">IFERROR(__xludf.DUMMYFUNCTION("IMPORTXML(E65,""/html/body/main/div[3]/div[3]/div[2]/ul/li[5]/span[2]/span"")"),"Loading...")</f>
        <v>Loading...</v>
      </c>
      <c r="J65" s="15">
        <f ca="1">IFERROR(__xludf.DUMMYFUNCTION("GOOGLEFINANCE(""NSE:""&amp;D65,""marketcap"")"),935456478000)</f>
        <v>935456478000</v>
      </c>
      <c r="K65" s="15"/>
      <c r="L65" s="16">
        <f ca="1">IFERROR(__xludf.DUMMYFUNCTION("GOOGLEFINANCE(""NSE:""&amp;D65,""price"")"),112.29)</f>
        <v>112.29</v>
      </c>
      <c r="M65" s="17">
        <f t="shared" ca="1" si="2"/>
        <v>112.29</v>
      </c>
      <c r="N65" s="18" t="e">
        <f t="shared" ca="1" si="3"/>
        <v>#DIV/0!</v>
      </c>
      <c r="O65" s="15">
        <f ca="1">IFERROR(__xludf.DUMMYFUNCTION("GOOGLEFINANCE(""NSE:""&amp;D65,""pe"")"),40.84)</f>
        <v>40.840000000000003</v>
      </c>
      <c r="P65" s="15">
        <f ca="1">IFERROR(__xludf.DUMMYFUNCTION("GOOGLEFINANCE(""NSE:""&amp;D65,""EPS"")"),2.75)</f>
        <v>2.75</v>
      </c>
      <c r="Q65" s="15">
        <v>13.5</v>
      </c>
      <c r="R65" s="15" t="str">
        <f ca="1">IFERROR(__xludf.DUMMYFUNCTION("IMPORTXML(E65,""/html/body/main/div[3]/div[3]/div[2]/ul/li[7]/span[2]/span"")"),"Loading...")</f>
        <v>Loading...</v>
      </c>
      <c r="S65" s="15" t="str">
        <f ca="1">IFERROR(__xludf.DUMMYFUNCTION("IMPORTXML(E65,""/html/body/main/div[3]/div[3]/div[2]/ul/li[8]/span[2]/span"")"),"Loading...")</f>
        <v>Loading...</v>
      </c>
      <c r="T65" s="15"/>
      <c r="U65" s="15"/>
      <c r="V65" s="15"/>
      <c r="W65" s="15"/>
      <c r="X65" s="15"/>
      <c r="Y65" s="15"/>
      <c r="Z65" s="7"/>
      <c r="AA65" s="7"/>
      <c r="AB65" s="7"/>
    </row>
    <row r="66" spans="1:28" ht="15" x14ac:dyDescent="0.25">
      <c r="A66" s="4">
        <v>65</v>
      </c>
      <c r="C66" s="12" t="s">
        <v>182</v>
      </c>
      <c r="D66" s="12" t="s">
        <v>183</v>
      </c>
      <c r="E66" s="13" t="str">
        <f t="shared" si="0"/>
        <v>https://www.screener.in/company/JSWENERGY/consolidated/</v>
      </c>
      <c r="H66" s="14">
        <f t="shared" ca="1" si="1"/>
        <v>0</v>
      </c>
      <c r="I66" s="15" t="str">
        <f ca="1">IFERROR(__xludf.DUMMYFUNCTION("IMPORTXML(E66,""/html/body/main/div[3]/div[3]/div[2]/ul/li[5]/span[2]/span"")"),"Loading...")</f>
        <v>Loading...</v>
      </c>
      <c r="J66" s="15">
        <f ca="1">IFERROR(__xludf.DUMMYFUNCTION("GOOGLEFINANCE(""NSE:""&amp;D66,""marketcap"")"),879519059104)</f>
        <v>879519059104</v>
      </c>
      <c r="K66" s="15"/>
      <c r="L66" s="16">
        <f ca="1">IFERROR(__xludf.DUMMYFUNCTION("GOOGLEFINANCE(""NSE:""&amp;D66,""price"")"),504.2)</f>
        <v>504.2</v>
      </c>
      <c r="M66" s="17">
        <f t="shared" ca="1" si="2"/>
        <v>504.2</v>
      </c>
      <c r="N66" s="18" t="e">
        <f t="shared" ca="1" si="3"/>
        <v>#DIV/0!</v>
      </c>
      <c r="O66" s="15">
        <f ca="1">IFERROR(__xludf.DUMMYFUNCTION("GOOGLEFINANCE(""NSE:""&amp;D66,""pe"")"),40.57)</f>
        <v>40.57</v>
      </c>
      <c r="P66" s="15">
        <f ca="1">IFERROR(__xludf.DUMMYFUNCTION("GOOGLEFINANCE(""NSE:""&amp;D66,""EPS"")"),12.43)</f>
        <v>12.43</v>
      </c>
      <c r="Q66" s="15">
        <v>13.5</v>
      </c>
      <c r="R66" s="15" t="str">
        <f ca="1">IFERROR(__xludf.DUMMYFUNCTION("IMPORTXML(E66,""/html/body/main/div[3]/div[3]/div[2]/ul/li[7]/span[2]/span"")"),"Loading...")</f>
        <v>Loading...</v>
      </c>
      <c r="S66" s="15" t="str">
        <f ca="1">IFERROR(__xludf.DUMMYFUNCTION("IMPORTXML(E66,""/html/body/main/div[3]/div[3]/div[2]/ul/li[8]/span[2]/span"")"),"Loading...")</f>
        <v>Loading...</v>
      </c>
      <c r="T66" s="15"/>
      <c r="U66" s="15"/>
      <c r="V66" s="15"/>
      <c r="W66" s="15"/>
      <c r="X66" s="15"/>
      <c r="Y66" s="15"/>
      <c r="Z66" s="7"/>
      <c r="AA66" s="7"/>
      <c r="AB66" s="7"/>
    </row>
    <row r="67" spans="1:28" ht="15" x14ac:dyDescent="0.25">
      <c r="A67" s="4">
        <v>66</v>
      </c>
      <c r="C67" s="12" t="s">
        <v>184</v>
      </c>
      <c r="D67" s="12" t="s">
        <v>185</v>
      </c>
      <c r="E67" s="13" t="str">
        <f t="shared" si="0"/>
        <v>https://www.screener.in/company/HINDUNILVR/consolidated/</v>
      </c>
      <c r="H67" s="14">
        <f t="shared" ca="1" si="1"/>
        <v>0</v>
      </c>
      <c r="I67" s="15" t="str">
        <f ca="1">IFERROR(__xludf.DUMMYFUNCTION("IMPORTXML(E67,""/html/body/main/div[3]/div[3]/div[2]/ul/li[5]/span[2]/span"")"),"Loading...")</f>
        <v>Loading...</v>
      </c>
      <c r="J67" s="15">
        <f ca="1">IFERROR(__xludf.DUMMYFUNCTION("GOOGLEFINANCE(""NSE:""&amp;D67,""marketcap"")"),6184178046525)</f>
        <v>6184178046525</v>
      </c>
      <c r="K67" s="15"/>
      <c r="L67" s="16">
        <f ca="1">IFERROR(__xludf.DUMMYFUNCTION("GOOGLEFINANCE(""NSE:""&amp;D67,""price"")"),2628)</f>
        <v>2628</v>
      </c>
      <c r="M67" s="17">
        <f t="shared" ca="1" si="2"/>
        <v>2628</v>
      </c>
      <c r="N67" s="18" t="e">
        <f t="shared" ca="1" si="3"/>
        <v>#DIV/0!</v>
      </c>
      <c r="O67" s="15">
        <f ca="1">IFERROR(__xludf.DUMMYFUNCTION("GOOGLEFINANCE(""NSE:""&amp;D67,""pe"")"),57.2)</f>
        <v>57.2</v>
      </c>
      <c r="P67" s="15">
        <f ca="1">IFERROR(__xludf.DUMMYFUNCTION("GOOGLEFINANCE(""NSE:""&amp;D67,""EPS"")"),45.94)</f>
        <v>45.94</v>
      </c>
      <c r="Q67" s="15">
        <v>13.5</v>
      </c>
      <c r="R67" s="15" t="str">
        <f ca="1">IFERROR(__xludf.DUMMYFUNCTION("IMPORTXML(E67,""/html/body/main/div[3]/div[3]/div[2]/ul/li[7]/span[2]/span"")"),"Loading...")</f>
        <v>Loading...</v>
      </c>
      <c r="S67" s="15" t="str">
        <f ca="1">IFERROR(__xludf.DUMMYFUNCTION("IMPORTXML(E67,""/html/body/main/div[3]/div[3]/div[2]/ul/li[8]/span[2]/span"")"),"Loading...")</f>
        <v>Loading...</v>
      </c>
      <c r="T67" s="15"/>
      <c r="U67" s="15"/>
      <c r="V67" s="15"/>
      <c r="W67" s="15"/>
      <c r="X67" s="15"/>
      <c r="Y67" s="15"/>
      <c r="Z67" s="7"/>
      <c r="AA67" s="7"/>
      <c r="AB67" s="7"/>
    </row>
    <row r="68" spans="1:28" ht="15" x14ac:dyDescent="0.25">
      <c r="A68" s="4">
        <v>67</v>
      </c>
      <c r="C68" s="12" t="s">
        <v>186</v>
      </c>
      <c r="D68" s="12" t="s">
        <v>187</v>
      </c>
      <c r="E68" s="13" t="str">
        <f t="shared" si="0"/>
        <v>https://www.screener.in/company/ULTRACEMCO/consolidated/</v>
      </c>
      <c r="H68" s="14">
        <f t="shared" ca="1" si="1"/>
        <v>0</v>
      </c>
      <c r="I68" s="15" t="str">
        <f ca="1">IFERROR(__xludf.DUMMYFUNCTION("IMPORTXML(E68,""/html/body/main/div[3]/div[3]/div[2]/ul/li[5]/span[2]/span"")"),"Loading...")</f>
        <v>Loading...</v>
      </c>
      <c r="J68" s="15">
        <f ca="1">IFERROR(__xludf.DUMMYFUNCTION("GOOGLEFINANCE(""NSE:""&amp;D68,""marketcap"")"),3706618000000)</f>
        <v>3706618000000</v>
      </c>
      <c r="K68" s="15"/>
      <c r="L68" s="16">
        <f ca="1">IFERROR(__xludf.DUMMYFUNCTION("GOOGLEFINANCE(""NSE:""&amp;D68,""price"")"),12592)</f>
        <v>12592</v>
      </c>
      <c r="M68" s="17">
        <f t="shared" ca="1" si="2"/>
        <v>12592</v>
      </c>
      <c r="N68" s="18" t="e">
        <f t="shared" ca="1" si="3"/>
        <v>#DIV/0!</v>
      </c>
      <c r="O68" s="15">
        <f ca="1">IFERROR(__xludf.DUMMYFUNCTION("GOOGLEFINANCE(""NSE:""&amp;D68,""pe"")"),57.06)</f>
        <v>57.06</v>
      </c>
      <c r="P68" s="15">
        <f ca="1">IFERROR(__xludf.DUMMYFUNCTION("GOOGLEFINANCE(""NSE:""&amp;D68,""EPS"")"),220.67)</f>
        <v>220.67</v>
      </c>
      <c r="Q68" s="15">
        <v>13.5</v>
      </c>
      <c r="R68" s="15" t="str">
        <f ca="1">IFERROR(__xludf.DUMMYFUNCTION("IMPORTXML(E68,""/html/body/main/div[3]/div[3]/div[2]/ul/li[7]/span[2]/span"")"),"Loading...")</f>
        <v>Loading...</v>
      </c>
      <c r="S68" s="15" t="str">
        <f ca="1">IFERROR(__xludf.DUMMYFUNCTION("IMPORTXML(E68,""/html/body/main/div[3]/div[3]/div[2]/ul/li[8]/span[2]/span"")"),"Loading...")</f>
        <v>Loading...</v>
      </c>
      <c r="T68" s="15"/>
      <c r="U68" s="15"/>
      <c r="V68" s="15"/>
      <c r="W68" s="15"/>
      <c r="X68" s="15"/>
      <c r="Y68" s="15"/>
      <c r="Z68" s="7"/>
      <c r="AA68" s="7"/>
      <c r="AB68" s="7"/>
    </row>
    <row r="69" spans="1:28" ht="15" x14ac:dyDescent="0.25">
      <c r="A69" s="4">
        <v>68</v>
      </c>
      <c r="C69" s="12" t="s">
        <v>188</v>
      </c>
      <c r="D69" s="12" t="s">
        <v>189</v>
      </c>
      <c r="E69" s="13" t="str">
        <f t="shared" si="0"/>
        <v>https://www.screener.in/company/DABUR/consolidated/</v>
      </c>
      <c r="H69" s="14">
        <f t="shared" ca="1" si="1"/>
        <v>0</v>
      </c>
      <c r="I69" s="15" t="str">
        <f ca="1">IFERROR(__xludf.DUMMYFUNCTION("IMPORTXML(E69,""/html/body/main/div[3]/div[3]/div[2]/ul/li[5]/span[2]/span"")"),"Loading...")</f>
        <v>Loading...</v>
      </c>
      <c r="J69" s="15">
        <f ca="1">IFERROR(__xludf.DUMMYFUNCTION("GOOGLEFINANCE(""NSE:""&amp;D69,""marketcap"")"),967538380704)</f>
        <v>967538380704</v>
      </c>
      <c r="K69" s="15"/>
      <c r="L69" s="16">
        <f ca="1">IFERROR(__xludf.DUMMYFUNCTION("GOOGLEFINANCE(""NSE:""&amp;D69,""price"")"),547.05)</f>
        <v>547.04999999999995</v>
      </c>
      <c r="M69" s="17">
        <f t="shared" ca="1" si="2"/>
        <v>547.04999999999995</v>
      </c>
      <c r="N69" s="18" t="e">
        <f t="shared" ca="1" si="3"/>
        <v>#DIV/0!</v>
      </c>
      <c r="O69" s="15">
        <f ca="1">IFERROR(__xludf.DUMMYFUNCTION("GOOGLEFINANCE(""NSE:""&amp;D69,""pe"")"),54.58)</f>
        <v>54.58</v>
      </c>
      <c r="P69" s="15">
        <f ca="1">IFERROR(__xludf.DUMMYFUNCTION("GOOGLEFINANCE(""NSE:""&amp;D69,""EPS"")"),10.02)</f>
        <v>10.02</v>
      </c>
      <c r="Q69" s="15">
        <v>13.5</v>
      </c>
      <c r="R69" s="15" t="str">
        <f ca="1">IFERROR(__xludf.DUMMYFUNCTION("IMPORTXML(E69,""/html/body/main/div[3]/div[3]/div[2]/ul/li[7]/span[2]/span"")"),"Loading...")</f>
        <v>Loading...</v>
      </c>
      <c r="S69" s="15" t="str">
        <f ca="1">IFERROR(__xludf.DUMMYFUNCTION("IMPORTXML(E69,""/html/body/main/div[3]/div[3]/div[2]/ul/li[8]/span[2]/span"")"),"Loading...")</f>
        <v>Loading...</v>
      </c>
      <c r="T69" s="15"/>
      <c r="U69" s="15"/>
      <c r="V69" s="15"/>
      <c r="W69" s="15"/>
      <c r="X69" s="15"/>
      <c r="Y69" s="15"/>
      <c r="Z69" s="7"/>
      <c r="AA69" s="7"/>
      <c r="AB69" s="7"/>
    </row>
    <row r="70" spans="1:28" ht="15" x14ac:dyDescent="0.25">
      <c r="A70" s="4">
        <v>69</v>
      </c>
      <c r="C70" s="12" t="s">
        <v>190</v>
      </c>
      <c r="D70" s="12" t="s">
        <v>191</v>
      </c>
      <c r="E70" s="13" t="str">
        <f t="shared" si="0"/>
        <v>https://www.screener.in/company/ASIANPAINT/consolidated/</v>
      </c>
      <c r="H70" s="14">
        <f t="shared" ca="1" si="1"/>
        <v>0</v>
      </c>
      <c r="I70" s="15" t="str">
        <f ca="1">IFERROR(__xludf.DUMMYFUNCTION("IMPORTXML(E70,""/html/body/main/div[3]/div[3]/div[2]/ul/li[5]/span[2]/span"")"),"Loading...")</f>
        <v>Loading...</v>
      </c>
      <c r="J70" s="15">
        <f ca="1">IFERROR(__xludf.DUMMYFUNCTION("GOOGLEFINANCE(""NSE:""&amp;D70,""marketcap"")"),2471463706082)</f>
        <v>2471463706082</v>
      </c>
      <c r="K70" s="15"/>
      <c r="L70" s="16">
        <f ca="1">IFERROR(__xludf.DUMMYFUNCTION("GOOGLEFINANCE(""NSE:""&amp;D70,""price"")"),2581.9)</f>
        <v>2581.9</v>
      </c>
      <c r="M70" s="17">
        <f t="shared" ca="1" si="2"/>
        <v>2581.9</v>
      </c>
      <c r="N70" s="18" t="e">
        <f t="shared" ca="1" si="3"/>
        <v>#DIV/0!</v>
      </c>
      <c r="O70" s="15">
        <f ca="1">IFERROR(__xludf.DUMMYFUNCTION("GOOGLEFINANCE(""NSE:""&amp;D70,""pe"")"),68.84)</f>
        <v>68.84</v>
      </c>
      <c r="P70" s="15">
        <f ca="1">IFERROR(__xludf.DUMMYFUNCTION("GOOGLEFINANCE(""NSE:""&amp;D70,""EPS"")"),37.51)</f>
        <v>37.51</v>
      </c>
      <c r="Q70" s="15">
        <v>13.5</v>
      </c>
      <c r="R70" s="15" t="str">
        <f ca="1">IFERROR(__xludf.DUMMYFUNCTION("IMPORTXML(E70,""/html/body/main/div[3]/div[3]/div[2]/ul/li[7]/span[2]/span"")"),"Loading...")</f>
        <v>Loading...</v>
      </c>
      <c r="S70" s="15" t="str">
        <f ca="1">IFERROR(__xludf.DUMMYFUNCTION("IMPORTXML(E70,""/html/body/main/div[3]/div[3]/div[2]/ul/li[8]/span[2]/span"")"),"Loading...")</f>
        <v>Loading...</v>
      </c>
      <c r="T70" s="15"/>
      <c r="U70" s="15"/>
      <c r="V70" s="15"/>
      <c r="W70" s="15"/>
      <c r="X70" s="15"/>
      <c r="Y70" s="15"/>
      <c r="Z70" s="7"/>
      <c r="AA70" s="7"/>
      <c r="AB70" s="7"/>
    </row>
    <row r="71" spans="1:28" ht="15" x14ac:dyDescent="0.25">
      <c r="A71" s="4">
        <v>70</v>
      </c>
      <c r="C71" s="12" t="s">
        <v>192</v>
      </c>
      <c r="D71" s="12" t="s">
        <v>193</v>
      </c>
      <c r="E71" s="13" t="str">
        <f t="shared" si="0"/>
        <v>https://www.screener.in/company/BRITANNIA/consolidated/</v>
      </c>
      <c r="H71" s="14">
        <f t="shared" ca="1" si="1"/>
        <v>0</v>
      </c>
      <c r="I71" s="15" t="str">
        <f ca="1">IFERROR(__xludf.DUMMYFUNCTION("IMPORTXML(E71,""/html/body/main/div[3]/div[3]/div[2]/ul/li[5]/span[2]/span"")"),"Loading...")</f>
        <v>Loading...</v>
      </c>
      <c r="J71" s="15">
        <f ca="1">IFERROR(__xludf.DUMMYFUNCTION("GOOGLEFINANCE(""NSE:""&amp;D71,""marketcap"")"),1464296553991)</f>
        <v>1464296553991</v>
      </c>
      <c r="K71" s="15"/>
      <c r="L71" s="16">
        <f ca="1">IFERROR(__xludf.DUMMYFUNCTION("GOOGLEFINANCE(""NSE:""&amp;D71,""price"")"),6081)</f>
        <v>6081</v>
      </c>
      <c r="M71" s="17">
        <f t="shared" ca="1" si="2"/>
        <v>6081</v>
      </c>
      <c r="N71" s="18" t="e">
        <f t="shared" ca="1" si="3"/>
        <v>#DIV/0!</v>
      </c>
      <c r="O71" s="15">
        <f ca="1">IFERROR(__xludf.DUMMYFUNCTION("GOOGLEFINANCE(""NSE:""&amp;D71,""pe"")"),66.77)</f>
        <v>66.77</v>
      </c>
      <c r="P71" s="15">
        <f ca="1">IFERROR(__xludf.DUMMYFUNCTION("GOOGLEFINANCE(""NSE:""&amp;D71,""EPS"")"),91.07)</f>
        <v>91.07</v>
      </c>
      <c r="Q71" s="15">
        <v>13.5</v>
      </c>
      <c r="R71" s="15" t="str">
        <f ca="1">IFERROR(__xludf.DUMMYFUNCTION("IMPORTXML(E71,""/html/body/main/div[3]/div[3]/div[2]/ul/li[7]/span[2]/span"")"),"Loading...")</f>
        <v>Loading...</v>
      </c>
      <c r="S71" s="15" t="str">
        <f ca="1">IFERROR(__xludf.DUMMYFUNCTION("IMPORTXML(E71,""/html/body/main/div[3]/div[3]/div[2]/ul/li[8]/span[2]/span"")"),"Loading...")</f>
        <v>Loading...</v>
      </c>
      <c r="T71" s="15"/>
      <c r="U71" s="15"/>
      <c r="V71" s="15"/>
      <c r="W71" s="15"/>
      <c r="X71" s="15"/>
      <c r="Y71" s="15"/>
      <c r="Z71" s="7"/>
      <c r="AA71" s="7"/>
      <c r="AB71" s="7"/>
    </row>
    <row r="72" spans="1:28" ht="15" x14ac:dyDescent="0.25">
      <c r="A72" s="4">
        <v>71</v>
      </c>
      <c r="C72" s="12" t="s">
        <v>194</v>
      </c>
      <c r="D72" s="12" t="s">
        <v>195</v>
      </c>
      <c r="E72" s="13" t="str">
        <f t="shared" si="0"/>
        <v>https://www.screener.in/company/RVNL/consolidated/</v>
      </c>
      <c r="H72" s="14">
        <f t="shared" ca="1" si="1"/>
        <v>0</v>
      </c>
      <c r="I72" s="15" t="str">
        <f ca="1">IFERROR(__xludf.DUMMYFUNCTION("IMPORTXML(E72,""/html/body/main/div[3]/div[3]/div[2]/ul/li[5]/span[2]/span"")"),"Loading...")</f>
        <v>Loading...</v>
      </c>
      <c r="J72" s="15">
        <f ca="1">IFERROR(__xludf.DUMMYFUNCTION("GOOGLEFINANCE(""NSE:""&amp;D72,""marketcap"")"),687446876885)</f>
        <v>687446876885</v>
      </c>
      <c r="K72" s="15"/>
      <c r="L72" s="16">
        <f ca="1">IFERROR(__xludf.DUMMYFUNCTION("GOOGLEFINANCE(""NSE:""&amp;D72,""price"")"),329.9)</f>
        <v>329.9</v>
      </c>
      <c r="M72" s="17">
        <f t="shared" ca="1" si="2"/>
        <v>329.9</v>
      </c>
      <c r="N72" s="18" t="e">
        <f t="shared" ca="1" si="3"/>
        <v>#DIV/0!</v>
      </c>
      <c r="O72" s="15">
        <f ca="1">IFERROR(__xludf.DUMMYFUNCTION("GOOGLEFINANCE(""NSE:""&amp;D72,""pe"")"),57.59)</f>
        <v>57.59</v>
      </c>
      <c r="P72" s="15">
        <f ca="1">IFERROR(__xludf.DUMMYFUNCTION("GOOGLEFINANCE(""NSE:""&amp;D72,""EPS"")"),5.73)</f>
        <v>5.73</v>
      </c>
      <c r="Q72" s="15">
        <v>13.5</v>
      </c>
      <c r="R72" s="15" t="str">
        <f ca="1">IFERROR(__xludf.DUMMYFUNCTION("IMPORTXML(E72,""/html/body/main/div[3]/div[3]/div[2]/ul/li[7]/span[2]/span"")"),"Loading...")</f>
        <v>Loading...</v>
      </c>
      <c r="S72" s="15" t="str">
        <f ca="1">IFERROR(__xludf.DUMMYFUNCTION("IMPORTXML(E72,""/html/body/main/div[3]/div[3]/div[2]/ul/li[8]/span[2]/span"")"),"Loading...")</f>
        <v>Loading...</v>
      </c>
      <c r="T72" s="15"/>
      <c r="U72" s="15"/>
      <c r="V72" s="15"/>
      <c r="W72" s="15"/>
      <c r="X72" s="15"/>
      <c r="Y72" s="15"/>
      <c r="Z72" s="7"/>
      <c r="AA72" s="7"/>
      <c r="AB72" s="7"/>
    </row>
    <row r="73" spans="1:28" ht="15" x14ac:dyDescent="0.25">
      <c r="A73" s="4">
        <v>72</v>
      </c>
      <c r="C73" s="12" t="s">
        <v>196</v>
      </c>
      <c r="D73" s="12" t="s">
        <v>197</v>
      </c>
      <c r="E73" s="13" t="str">
        <f t="shared" si="0"/>
        <v>https://www.screener.in/company/TORNTPHARM/consolidated/</v>
      </c>
      <c r="H73" s="14">
        <f t="shared" ca="1" si="1"/>
        <v>0</v>
      </c>
      <c r="I73" s="15" t="str">
        <f ca="1">IFERROR(__xludf.DUMMYFUNCTION("IMPORTXML(E73,""/html/body/main/div[3]/div[3]/div[2]/ul/li[5]/span[2]/span"")"),"Loading...")</f>
        <v>Loading...</v>
      </c>
      <c r="J73" s="15">
        <f ca="1">IFERROR(__xludf.DUMMYFUNCTION("GOOGLEFINANCE(""NSE:""&amp;D73,""marketcap"")"),1211330000000)</f>
        <v>1211330000000</v>
      </c>
      <c r="K73" s="15"/>
      <c r="L73" s="16">
        <f ca="1">IFERROR(__xludf.DUMMYFUNCTION("GOOGLEFINANCE(""NSE:""&amp;D73,""price"")"),3584)</f>
        <v>3584</v>
      </c>
      <c r="M73" s="17">
        <f t="shared" ca="1" si="2"/>
        <v>3584</v>
      </c>
      <c r="N73" s="18" t="e">
        <f t="shared" ca="1" si="3"/>
        <v>#DIV/0!</v>
      </c>
      <c r="O73" s="15">
        <f ca="1">IFERROR(__xludf.DUMMYFUNCTION("GOOGLEFINANCE(""NSE:""&amp;D73,""pe"")"),60.59)</f>
        <v>60.59</v>
      </c>
      <c r="P73" s="15">
        <f ca="1">IFERROR(__xludf.DUMMYFUNCTION("GOOGLEFINANCE(""NSE:""&amp;D73,""EPS"")"),59.15)</f>
        <v>59.15</v>
      </c>
      <c r="Q73" s="15">
        <v>13.5</v>
      </c>
      <c r="R73" s="15" t="str">
        <f ca="1">IFERROR(__xludf.DUMMYFUNCTION("IMPORTXML(E73,""/html/body/main/div[3]/div[3]/div[2]/ul/li[7]/span[2]/span"")"),"Loading...")</f>
        <v>Loading...</v>
      </c>
      <c r="S73" s="15" t="str">
        <f ca="1">IFERROR(__xludf.DUMMYFUNCTION("IMPORTXML(E73,""/html/body/main/div[3]/div[3]/div[2]/ul/li[8]/span[2]/span"")"),"Loading...")</f>
        <v>Loading...</v>
      </c>
      <c r="T73" s="15"/>
      <c r="U73" s="15"/>
      <c r="V73" s="15"/>
      <c r="W73" s="15"/>
      <c r="X73" s="15"/>
      <c r="Y73" s="15"/>
      <c r="Z73" s="7"/>
      <c r="AA73" s="7"/>
      <c r="AB73" s="7"/>
    </row>
    <row r="74" spans="1:28" ht="15" x14ac:dyDescent="0.25">
      <c r="A74" s="4">
        <v>73</v>
      </c>
      <c r="C74" s="12" t="s">
        <v>198</v>
      </c>
      <c r="D74" s="12" t="s">
        <v>199</v>
      </c>
      <c r="E74" s="13" t="str">
        <f t="shared" si="0"/>
        <v>https://www.screener.in/company/TVSMOTOR/consolidated/</v>
      </c>
      <c r="H74" s="14">
        <f t="shared" ca="1" si="1"/>
        <v>0</v>
      </c>
      <c r="I74" s="15" t="str">
        <f ca="1">IFERROR(__xludf.DUMMYFUNCTION("IMPORTXML(E74,""/html/body/main/div[3]/div[3]/div[2]/ul/li[5]/span[2]/span"")"),"Loading...")</f>
        <v>Loading...</v>
      </c>
      <c r="J74" s="15">
        <f ca="1">IFERROR(__xludf.DUMMYFUNCTION("GOOGLEFINANCE(""NSE:""&amp;D74,""marketcap"")"),1650395836337)</f>
        <v>1650395836337</v>
      </c>
      <c r="K74" s="15"/>
      <c r="L74" s="16">
        <f ca="1">IFERROR(__xludf.DUMMYFUNCTION("GOOGLEFINANCE(""NSE:""&amp;D74,""price"")"),3478)</f>
        <v>3478</v>
      </c>
      <c r="M74" s="17">
        <f t="shared" ca="1" si="2"/>
        <v>3478</v>
      </c>
      <c r="N74" s="18" t="e">
        <f t="shared" ca="1" si="3"/>
        <v>#DIV/0!</v>
      </c>
      <c r="O74" s="15">
        <f ca="1">IFERROR(__xludf.DUMMYFUNCTION("GOOGLEFINANCE(""NSE:""&amp;D74,""pe"")"),69.29)</f>
        <v>69.290000000000006</v>
      </c>
      <c r="P74" s="15">
        <f ca="1">IFERROR(__xludf.DUMMYFUNCTION("GOOGLEFINANCE(""NSE:""&amp;D74,""EPS"")"),50.2)</f>
        <v>50.2</v>
      </c>
      <c r="Q74" s="15">
        <v>13.5</v>
      </c>
      <c r="R74" s="15" t="str">
        <f ca="1">IFERROR(__xludf.DUMMYFUNCTION("IMPORTXML(E74,""/html/body/main/div[3]/div[3]/div[2]/ul/li[7]/span[2]/span"")"),"Loading...")</f>
        <v>Loading...</v>
      </c>
      <c r="S74" s="15" t="str">
        <f ca="1">IFERROR(__xludf.DUMMYFUNCTION("IMPORTXML(E74,""/html/body/main/div[3]/div[3]/div[2]/ul/li[8]/span[2]/span"")"),"Loading...")</f>
        <v>Loading...</v>
      </c>
      <c r="T74" s="15"/>
      <c r="U74" s="15"/>
      <c r="V74" s="15"/>
      <c r="W74" s="15"/>
      <c r="X74" s="15"/>
      <c r="Y74" s="15"/>
      <c r="Z74" s="7"/>
      <c r="AA74" s="7"/>
      <c r="AB74" s="7"/>
    </row>
    <row r="75" spans="1:28" ht="15" x14ac:dyDescent="0.25">
      <c r="A75" s="4">
        <v>74</v>
      </c>
      <c r="C75" s="12" t="s">
        <v>200</v>
      </c>
      <c r="D75" s="12" t="s">
        <v>201</v>
      </c>
      <c r="E75" s="13" t="str">
        <f t="shared" si="0"/>
        <v>https://www.screener.in/company/SBILIFE/consolidated/</v>
      </c>
      <c r="H75" s="14">
        <f t="shared" ca="1" si="1"/>
        <v>0</v>
      </c>
      <c r="I75" s="15" t="str">
        <f ca="1">IFERROR(__xludf.DUMMYFUNCTION("IMPORTXML(E75,""/html/body/main/div[3]/div[3]/div[2]/ul/li[5]/span[2]/span"")"),"Loading...")</f>
        <v>Loading...</v>
      </c>
      <c r="J75" s="15">
        <f ca="1">IFERROR(__xludf.DUMMYFUNCTION("GOOGLEFINANCE(""NSE:""&amp;D75,""marketcap"")"),1810469850000)</f>
        <v>1810469850000</v>
      </c>
      <c r="K75" s="15"/>
      <c r="L75" s="16">
        <f ca="1">IFERROR(__xludf.DUMMYFUNCTION("GOOGLEFINANCE(""NSE:""&amp;D75,""price"")"),1806)</f>
        <v>1806</v>
      </c>
      <c r="M75" s="17">
        <f t="shared" ca="1" si="2"/>
        <v>1806</v>
      </c>
      <c r="N75" s="18" t="e">
        <f t="shared" ca="1" si="3"/>
        <v>#DIV/0!</v>
      </c>
      <c r="O75" s="15">
        <f ca="1">IFERROR(__xludf.DUMMYFUNCTION("GOOGLEFINANCE(""NSE:""&amp;D75,""pe"")"),72.8)</f>
        <v>72.8</v>
      </c>
      <c r="P75" s="15">
        <f ca="1">IFERROR(__xludf.DUMMYFUNCTION("GOOGLEFINANCE(""NSE:""&amp;D75,""EPS"")"),24.81)</f>
        <v>24.81</v>
      </c>
      <c r="Q75" s="15">
        <v>13.5</v>
      </c>
      <c r="R75" s="15" t="str">
        <f ca="1">IFERROR(__xludf.DUMMYFUNCTION("IMPORTXML(E75,""/html/body/main/div[3]/div[3]/div[2]/ul/li[7]/span[2]/span"")"),"Loading...")</f>
        <v>Loading...</v>
      </c>
      <c r="S75" s="15" t="str">
        <f ca="1">IFERROR(__xludf.DUMMYFUNCTION("IMPORTXML(E75,""/html/body/main/div[3]/div[3]/div[2]/ul/li[8]/span[2]/span"")"),"Loading...")</f>
        <v>Loading...</v>
      </c>
      <c r="T75" s="15"/>
      <c r="U75" s="15"/>
      <c r="V75" s="15"/>
      <c r="W75" s="15"/>
      <c r="X75" s="15"/>
      <c r="Y75" s="15"/>
      <c r="Z75" s="7"/>
      <c r="AA75" s="7"/>
      <c r="AB75" s="7"/>
    </row>
    <row r="76" spans="1:28" ht="15" x14ac:dyDescent="0.25">
      <c r="A76" s="4">
        <v>75</v>
      </c>
      <c r="C76" s="12" t="s">
        <v>202</v>
      </c>
      <c r="D76" s="12" t="s">
        <v>203</v>
      </c>
      <c r="E76" s="13" t="str">
        <f t="shared" si="0"/>
        <v>https://www.screener.in/company/ABB/consolidated/</v>
      </c>
      <c r="H76" s="14">
        <f t="shared" ca="1" si="1"/>
        <v>0</v>
      </c>
      <c r="I76" s="15" t="str">
        <f ca="1">IFERROR(__xludf.DUMMYFUNCTION("IMPORTXML(E76,""/html/body/main/div[3]/div[3]/div[2]/ul/li[5]/span[2]/span"")"),"Loading...")</f>
        <v>Loading...</v>
      </c>
      <c r="J76" s="15">
        <f ca="1">IFERROR(__xludf.DUMMYFUNCTION("GOOGLEFINANCE(""NSE:""&amp;D76,""marketcap"")"),1086124334879)</f>
        <v>1086124334879</v>
      </c>
      <c r="K76" s="15"/>
      <c r="L76" s="16">
        <f ca="1">IFERROR(__xludf.DUMMYFUNCTION("GOOGLEFINANCE(""NSE:""&amp;D76,""price"")"),5129)</f>
        <v>5129</v>
      </c>
      <c r="M76" s="17">
        <f t="shared" ca="1" si="2"/>
        <v>5129</v>
      </c>
      <c r="N76" s="18" t="e">
        <f t="shared" ca="1" si="3"/>
        <v>#DIV/0!</v>
      </c>
      <c r="O76" s="15">
        <f ca="1">IFERROR(__xludf.DUMMYFUNCTION("GOOGLEFINANCE(""NSE:""&amp;D76,""pe"")"),60.55)</f>
        <v>60.55</v>
      </c>
      <c r="P76" s="15">
        <f ca="1">IFERROR(__xludf.DUMMYFUNCTION("GOOGLEFINANCE(""NSE:""&amp;D76,""EPS"")"),84.71)</f>
        <v>84.71</v>
      </c>
      <c r="Q76" s="15">
        <v>13.5</v>
      </c>
      <c r="R76" s="15" t="str">
        <f ca="1">IFERROR(__xludf.DUMMYFUNCTION("IMPORTXML(E76,""/html/body/main/div[3]/div[3]/div[2]/ul/li[7]/span[2]/span"")"),"Loading...")</f>
        <v>Loading...</v>
      </c>
      <c r="S76" s="15" t="str">
        <f ca="1">IFERROR(__xludf.DUMMYFUNCTION("IMPORTXML(E76,""/html/body/main/div[3]/div[3]/div[2]/ul/li[8]/span[2]/span"")"),"Loading...")</f>
        <v>Loading...</v>
      </c>
      <c r="T76" s="15"/>
      <c r="U76" s="15"/>
      <c r="V76" s="15"/>
      <c r="W76" s="15"/>
      <c r="X76" s="15"/>
      <c r="Y76" s="15"/>
      <c r="Z76" s="7"/>
      <c r="AA76" s="7"/>
      <c r="AB76" s="7"/>
    </row>
    <row r="77" spans="1:28" ht="15" x14ac:dyDescent="0.25">
      <c r="A77" s="4">
        <v>76</v>
      </c>
      <c r="C77" s="12" t="s">
        <v>204</v>
      </c>
      <c r="D77" s="12" t="s">
        <v>205</v>
      </c>
      <c r="E77" s="13" t="str">
        <f t="shared" si="0"/>
        <v>https://www.screener.in/company/VBL/consolidated/</v>
      </c>
      <c r="H77" s="14">
        <f t="shared" ca="1" si="1"/>
        <v>0</v>
      </c>
      <c r="I77" s="15" t="str">
        <f ca="1">IFERROR(__xludf.DUMMYFUNCTION("IMPORTXML(E77,""/html/body/main/div[3]/div[3]/div[2]/ul/li[5]/span[2]/span"")"),"Loading...")</f>
        <v>Loading...</v>
      </c>
      <c r="J77" s="15">
        <f ca="1">IFERROR(__xludf.DUMMYFUNCTION("GOOGLEFINANCE(""NSE:""&amp;D77,""marketcap"")"),1589120081499)</f>
        <v>1589120081499</v>
      </c>
      <c r="K77" s="15"/>
      <c r="L77" s="16">
        <f ca="1">IFERROR(__xludf.DUMMYFUNCTION("GOOGLEFINANCE(""NSE:""&amp;D77,""price"")"),469.5)</f>
        <v>469.5</v>
      </c>
      <c r="M77" s="17">
        <f t="shared" ca="1" si="2"/>
        <v>469.5</v>
      </c>
      <c r="N77" s="18" t="e">
        <f t="shared" ca="1" si="3"/>
        <v>#DIV/0!</v>
      </c>
      <c r="O77" s="15">
        <f ca="1">IFERROR(__xludf.DUMMYFUNCTION("GOOGLEFINANCE(""NSE:""&amp;D77,""pe"")"),55.18)</f>
        <v>55.18</v>
      </c>
      <c r="P77" s="15">
        <f ca="1">IFERROR(__xludf.DUMMYFUNCTION("GOOGLEFINANCE(""NSE:""&amp;D77,""EPS"")"),8.51)</f>
        <v>8.51</v>
      </c>
      <c r="Q77" s="15">
        <v>13.5</v>
      </c>
      <c r="R77" s="15">
        <f ca="1">IFERROR(__xludf.DUMMYFUNCTION("IMPORTXML(E77,""/html/body/main/div[3]/div[3]/div[2]/ul/li[7]/span[2]/span"")"),24.8)</f>
        <v>24.8</v>
      </c>
      <c r="S77" s="15" t="str">
        <f ca="1">IFERROR(__xludf.DUMMYFUNCTION("IMPORTXML(E77,""/html/body/main/div[3]/div[3]/div[2]/ul/li[8]/span[2]/span"")"),"Loading...")</f>
        <v>Loading...</v>
      </c>
      <c r="T77" s="15"/>
      <c r="U77" s="15"/>
      <c r="V77" s="15"/>
      <c r="W77" s="15"/>
      <c r="X77" s="15"/>
      <c r="Y77" s="15"/>
      <c r="Z77" s="7"/>
      <c r="AA77" s="7"/>
      <c r="AB77" s="7"/>
    </row>
    <row r="78" spans="1:28" ht="15" x14ac:dyDescent="0.25">
      <c r="A78" s="4">
        <v>77</v>
      </c>
      <c r="C78" s="12" t="s">
        <v>206</v>
      </c>
      <c r="D78" s="12" t="s">
        <v>207</v>
      </c>
      <c r="E78" s="13" t="str">
        <f t="shared" si="0"/>
        <v>https://www.screener.in/company/SIEMENS/consolidated/</v>
      </c>
      <c r="H78" s="14">
        <f t="shared" ca="1" si="1"/>
        <v>0</v>
      </c>
      <c r="I78" s="15" t="str">
        <f ca="1">IFERROR(__xludf.DUMMYFUNCTION("IMPORTXML(E78,""/html/body/main/div[3]/div[3]/div[2]/ul/li[5]/span[2]/span"")"),"Loading...")</f>
        <v>Loading...</v>
      </c>
      <c r="J78" s="15">
        <f ca="1">IFERROR(__xludf.DUMMYFUNCTION("GOOGLEFINANCE(""NSE:""&amp;D78,""marketcap"")"),1099935860225)</f>
        <v>1099935860225</v>
      </c>
      <c r="K78" s="15"/>
      <c r="L78" s="16">
        <f ca="1">IFERROR(__xludf.DUMMYFUNCTION("GOOGLEFINANCE(""NSE:""&amp;D78,""price"")"),3099)</f>
        <v>3099</v>
      </c>
      <c r="M78" s="17">
        <f t="shared" ca="1" si="2"/>
        <v>3099</v>
      </c>
      <c r="N78" s="18" t="e">
        <f t="shared" ca="1" si="3"/>
        <v>#DIV/0!</v>
      </c>
      <c r="O78" s="15">
        <f ca="1">IFERROR(__xludf.DUMMYFUNCTION("GOOGLEFINANCE(""NSE:""&amp;D78,""pe"")"),45.06)</f>
        <v>45.06</v>
      </c>
      <c r="P78" s="15">
        <f ca="1">IFERROR(__xludf.DUMMYFUNCTION("GOOGLEFINANCE(""NSE:""&amp;D78,""EPS"")"),68.78)</f>
        <v>68.78</v>
      </c>
      <c r="Q78" s="15">
        <v>13.5</v>
      </c>
      <c r="R78" s="15" t="str">
        <f ca="1">IFERROR(__xludf.DUMMYFUNCTION("IMPORTXML(E78,""/html/body/main/div[3]/div[3]/div[2]/ul/li[7]/span[2]/span"")"),"Loading...")</f>
        <v>Loading...</v>
      </c>
      <c r="S78" s="15" t="str">
        <f ca="1">IFERROR(__xludf.DUMMYFUNCTION("IMPORTXML(E78,""/html/body/main/div[3]/div[3]/div[2]/ul/li[8]/span[2]/span"")"),"Loading...")</f>
        <v>Loading...</v>
      </c>
      <c r="T78" s="15"/>
      <c r="U78" s="15"/>
      <c r="V78" s="15"/>
      <c r="W78" s="15"/>
      <c r="X78" s="15"/>
      <c r="Y78" s="15"/>
      <c r="Z78" s="7"/>
      <c r="AA78" s="7"/>
      <c r="AB78" s="7"/>
    </row>
    <row r="79" spans="1:28" ht="15" x14ac:dyDescent="0.25">
      <c r="A79" s="4">
        <v>78</v>
      </c>
      <c r="C79" s="12" t="s">
        <v>208</v>
      </c>
      <c r="D79" s="12" t="s">
        <v>209</v>
      </c>
      <c r="E79" s="13" t="str">
        <f t="shared" si="0"/>
        <v>https://www.screener.in/company/NESTLEIND/consolidated/</v>
      </c>
      <c r="H79" s="14">
        <f t="shared" ca="1" si="1"/>
        <v>0</v>
      </c>
      <c r="I79" s="15" t="str">
        <f ca="1">IFERROR(__xludf.DUMMYFUNCTION("IMPORTXML(E79,""/html/body/main/div[3]/div[3]/div[2]/ul/li[5]/span[2]/span"")"),"Loading...")</f>
        <v>Loading...</v>
      </c>
      <c r="J79" s="15">
        <f ca="1">IFERROR(__xludf.DUMMYFUNCTION("GOOGLEFINANCE(""NSE:""&amp;D79,""marketcap"")"),2327282213677)</f>
        <v>2327282213677</v>
      </c>
      <c r="K79" s="15"/>
      <c r="L79" s="16">
        <f ca="1">IFERROR(__xludf.DUMMYFUNCTION("GOOGLEFINANCE(""NSE:""&amp;D79,""price"")"),1206.9)</f>
        <v>1206.9000000000001</v>
      </c>
      <c r="M79" s="17">
        <f t="shared" ca="1" si="2"/>
        <v>1206.9000000000001</v>
      </c>
      <c r="N79" s="18" t="e">
        <f t="shared" ca="1" si="3"/>
        <v>#DIV/0!</v>
      </c>
      <c r="O79" s="15">
        <f ca="1">IFERROR(__xludf.DUMMYFUNCTION("GOOGLEFINANCE(""NSE:""&amp;D79,""pe"")"),74.87)</f>
        <v>74.87</v>
      </c>
      <c r="P79" s="15">
        <f ca="1">IFERROR(__xludf.DUMMYFUNCTION("GOOGLEFINANCE(""NSE:""&amp;D79,""EPS"")"),16.12)</f>
        <v>16.12</v>
      </c>
      <c r="Q79" s="15">
        <v>13.5</v>
      </c>
      <c r="R79" s="15" t="str">
        <f ca="1">IFERROR(__xludf.DUMMYFUNCTION("IMPORTXML(E79,""/html/body/main/div[3]/div[3]/div[2]/ul/li[7]/span[2]/span"")"),"Loading...")</f>
        <v>Loading...</v>
      </c>
      <c r="S79" s="15" t="str">
        <f ca="1">IFERROR(__xludf.DUMMYFUNCTION("IMPORTXML(E79,""/html/body/main/div[3]/div[3]/div[2]/ul/li[8]/span[2]/span"")"),"Loading...")</f>
        <v>Loading...</v>
      </c>
      <c r="T79" s="15"/>
      <c r="U79" s="15"/>
      <c r="V79" s="15"/>
      <c r="W79" s="15"/>
      <c r="X79" s="15"/>
      <c r="Y79" s="15"/>
      <c r="Z79" s="7"/>
      <c r="AA79" s="7"/>
      <c r="AB79" s="7"/>
    </row>
    <row r="80" spans="1:28" ht="15" x14ac:dyDescent="0.25">
      <c r="A80" s="4">
        <v>79</v>
      </c>
      <c r="C80" s="12" t="s">
        <v>210</v>
      </c>
      <c r="D80" s="12" t="s">
        <v>211</v>
      </c>
      <c r="E80" s="13" t="str">
        <f t="shared" si="0"/>
        <v>https://www.screener.in/company/HAVELLS/consolidated/</v>
      </c>
      <c r="H80" s="14">
        <f t="shared" ca="1" si="1"/>
        <v>0</v>
      </c>
      <c r="I80" s="15" t="str">
        <f ca="1">IFERROR(__xludf.DUMMYFUNCTION("IMPORTXML(E80,""/html/body/main/div[3]/div[3]/div[2]/ul/li[5]/span[2]/span"")"),"Loading...")</f>
        <v>Loading...</v>
      </c>
      <c r="J80" s="15">
        <f ca="1">IFERROR(__xludf.DUMMYFUNCTION("GOOGLEFINANCE(""NSE:""&amp;D80,""marketcap"")"),991878676346)</f>
        <v>991878676346</v>
      </c>
      <c r="K80" s="15"/>
      <c r="L80" s="16">
        <f ca="1">IFERROR(__xludf.DUMMYFUNCTION("GOOGLEFINANCE(""NSE:""&amp;D80,""price"")"),1578)</f>
        <v>1578</v>
      </c>
      <c r="M80" s="17">
        <f t="shared" ca="1" si="2"/>
        <v>1578</v>
      </c>
      <c r="N80" s="18" t="e">
        <f t="shared" ca="1" si="3"/>
        <v>#DIV/0!</v>
      </c>
      <c r="O80" s="15">
        <f ca="1">IFERROR(__xludf.DUMMYFUNCTION("GOOGLEFINANCE(""NSE:""&amp;D80,""pe"")"),70.03)</f>
        <v>70.03</v>
      </c>
      <c r="P80" s="15">
        <f ca="1">IFERROR(__xludf.DUMMYFUNCTION("GOOGLEFINANCE(""NSE:""&amp;D80,""EPS"")"),22.53)</f>
        <v>22.53</v>
      </c>
      <c r="Q80" s="15">
        <v>13.5</v>
      </c>
      <c r="R80" s="15" t="str">
        <f ca="1">IFERROR(__xludf.DUMMYFUNCTION("IMPORTXML(E80,""/html/body/main/div[3]/div[3]/div[2]/ul/li[7]/span[2]/span"")"),"Loading...")</f>
        <v>Loading...</v>
      </c>
      <c r="S80" s="15" t="str">
        <f ca="1">IFERROR(__xludf.DUMMYFUNCTION("IMPORTXML(E80,""/html/body/main/div[3]/div[3]/div[2]/ul/li[8]/span[2]/span"")"),"Loading...")</f>
        <v>Loading...</v>
      </c>
      <c r="T80" s="15"/>
      <c r="U80" s="15"/>
      <c r="V80" s="15"/>
      <c r="W80" s="15"/>
      <c r="X80" s="15"/>
      <c r="Y80" s="15"/>
      <c r="Z80" s="7"/>
      <c r="AA80" s="7"/>
      <c r="AB80" s="7"/>
    </row>
    <row r="81" spans="1:28" ht="15" x14ac:dyDescent="0.25">
      <c r="A81" s="4">
        <v>80</v>
      </c>
      <c r="C81" s="12" t="s">
        <v>212</v>
      </c>
      <c r="D81" s="12" t="s">
        <v>33</v>
      </c>
      <c r="E81" s="13" t="str">
        <f t="shared" si="0"/>
        <v>https://www.screener.in/company/TATASTEEL/consolidated/</v>
      </c>
      <c r="H81" s="14">
        <f t="shared" ca="1" si="1"/>
        <v>0</v>
      </c>
      <c r="I81" s="15" t="str">
        <f ca="1">IFERROR(__xludf.DUMMYFUNCTION("IMPORTXML(E81,""/html/body/main/div[3]/div[3]/div[2]/ul/li[5]/span[2]/span"")"),"Loading...")</f>
        <v>Loading...</v>
      </c>
      <c r="J81" s="15">
        <f ca="1">IFERROR(__xludf.DUMMYFUNCTION("GOOGLEFINANCE(""NSE:""&amp;D81,""marketcap"")"),2092863728306)</f>
        <v>2092863728306</v>
      </c>
      <c r="K81" s="15"/>
      <c r="L81" s="16">
        <f ca="1">IFERROR(__xludf.DUMMYFUNCTION("GOOGLEFINANCE(""NSE:""&amp;D81,""price"")"),167.8)</f>
        <v>167.8</v>
      </c>
      <c r="M81" s="17">
        <f t="shared" ca="1" si="2"/>
        <v>167.8</v>
      </c>
      <c r="N81" s="18" t="e">
        <f t="shared" ca="1" si="3"/>
        <v>#DIV/0!</v>
      </c>
      <c r="O81" s="15">
        <f ca="1">IFERROR(__xludf.DUMMYFUNCTION("GOOGLEFINANCE(""NSE:""&amp;D81,""pe"")"),46.07)</f>
        <v>46.07</v>
      </c>
      <c r="P81" s="15">
        <f ca="1">IFERROR(__xludf.DUMMYFUNCTION("GOOGLEFINANCE(""NSE:""&amp;D81,""EPS"")"),3.64)</f>
        <v>3.64</v>
      </c>
      <c r="Q81" s="15">
        <v>13.5</v>
      </c>
      <c r="R81" s="15" t="str">
        <f ca="1">IFERROR(__xludf.DUMMYFUNCTION("IMPORTXML(E81,""/html/body/main/div[3]/div[3]/div[2]/ul/li[7]/span[2]/span"")"),"Loading...")</f>
        <v>Loading...</v>
      </c>
      <c r="S81" s="15" t="str">
        <f ca="1">IFERROR(__xludf.DUMMYFUNCTION("IMPORTXML(E81,""/html/body/main/div[3]/div[3]/div[2]/ul/li[8]/span[2]/span"")"),"Loading...")</f>
        <v>Loading...</v>
      </c>
      <c r="T81" s="15"/>
      <c r="U81" s="15"/>
      <c r="V81" s="15"/>
      <c r="W81" s="15"/>
      <c r="X81" s="15"/>
      <c r="Y81" s="15"/>
      <c r="Z81" s="7"/>
      <c r="AA81" s="7"/>
      <c r="AB81" s="7"/>
    </row>
    <row r="82" spans="1:28" ht="15" x14ac:dyDescent="0.25">
      <c r="A82" s="4">
        <v>81</v>
      </c>
      <c r="C82" s="12" t="s">
        <v>213</v>
      </c>
      <c r="D82" s="12" t="s">
        <v>214</v>
      </c>
      <c r="E82" s="13" t="str">
        <f t="shared" si="0"/>
        <v>https://www.screener.in/company/ADANIENT/consolidated/</v>
      </c>
      <c r="H82" s="14">
        <f t="shared" ca="1" si="1"/>
        <v>0</v>
      </c>
      <c r="I82" s="15" t="str">
        <f ca="1">IFERROR(__xludf.DUMMYFUNCTION("IMPORTXML(E82,""/html/body/main/div[3]/div[3]/div[2]/ul/li[5]/span[2]/span"")"),"Loading...")</f>
        <v>Loading...</v>
      </c>
      <c r="J82" s="15">
        <f ca="1">IFERROR(__xludf.DUMMYFUNCTION("GOOGLEFINANCE(""NSE:""&amp;D82,""marketcap"")"),2634415850000)</f>
        <v>2634415850000</v>
      </c>
      <c r="K82" s="15"/>
      <c r="L82" s="16">
        <f ca="1">IFERROR(__xludf.DUMMYFUNCTION("GOOGLEFINANCE(""NSE:""&amp;D82,""price"")"),2282.5)</f>
        <v>2282.5</v>
      </c>
      <c r="M82" s="17">
        <f t="shared" ca="1" si="2"/>
        <v>2282.5</v>
      </c>
      <c r="N82" s="18" t="e">
        <f t="shared" ca="1" si="3"/>
        <v>#DIV/0!</v>
      </c>
      <c r="O82" s="15">
        <f ca="1">IFERROR(__xludf.DUMMYFUNCTION("GOOGLEFINANCE(""NSE:""&amp;D82,""pe"")"),37.69)</f>
        <v>37.69</v>
      </c>
      <c r="P82" s="15">
        <f ca="1">IFERROR(__xludf.DUMMYFUNCTION("GOOGLEFINANCE(""NSE:""&amp;D82,""EPS"")"),60.56)</f>
        <v>60.56</v>
      </c>
      <c r="Q82" s="15">
        <v>13.5</v>
      </c>
      <c r="R82" s="15" t="str">
        <f ca="1">IFERROR(__xludf.DUMMYFUNCTION("IMPORTXML(E82,""/html/body/main/div[3]/div[3]/div[2]/ul/li[7]/span[2]/span"")"),"Loading...")</f>
        <v>Loading...</v>
      </c>
      <c r="S82" s="15" t="str">
        <f ca="1">IFERROR(__xludf.DUMMYFUNCTION("IMPORTXML(E82,""/html/body/main/div[3]/div[3]/div[2]/ul/li[8]/span[2]/span"")"),"Loading...")</f>
        <v>Loading...</v>
      </c>
      <c r="T82" s="15"/>
      <c r="U82" s="15"/>
      <c r="V82" s="15"/>
      <c r="W82" s="15"/>
      <c r="X82" s="15"/>
      <c r="Y82" s="15"/>
      <c r="Z82" s="7"/>
      <c r="AA82" s="7"/>
      <c r="AB82" s="7"/>
    </row>
    <row r="83" spans="1:28" ht="15" x14ac:dyDescent="0.25">
      <c r="A83" s="4">
        <v>82</v>
      </c>
      <c r="C83" s="12" t="s">
        <v>215</v>
      </c>
      <c r="D83" s="12" t="s">
        <v>216</v>
      </c>
      <c r="E83" s="13" t="str">
        <f t="shared" si="0"/>
        <v>https://www.screener.in/company/PIDILITIND/consolidated/</v>
      </c>
      <c r="H83" s="14">
        <f t="shared" ca="1" si="1"/>
        <v>0</v>
      </c>
      <c r="I83" s="15" t="str">
        <f ca="1">IFERROR(__xludf.DUMMYFUNCTION("IMPORTXML(E83,""/html/body/main/div[3]/div[3]/div[2]/ul/li[5]/span[2]/span"")"),"Loading...")</f>
        <v>Loading...</v>
      </c>
      <c r="J83" s="15">
        <f ca="1">IFERROR(__xludf.DUMMYFUNCTION("GOOGLEFINANCE(""NSE:""&amp;D83,""marketcap"")"),1574112490135)</f>
        <v>1574112490135</v>
      </c>
      <c r="K83" s="15"/>
      <c r="L83" s="16">
        <f ca="1">IFERROR(__xludf.DUMMYFUNCTION("GOOGLEFINANCE(""NSE:""&amp;D83,""price"")"),3095.5)</f>
        <v>3095.5</v>
      </c>
      <c r="M83" s="17">
        <f t="shared" ca="1" si="2"/>
        <v>3095.5</v>
      </c>
      <c r="N83" s="18" t="e">
        <f t="shared" ca="1" si="3"/>
        <v>#DIV/0!</v>
      </c>
      <c r="O83" s="15">
        <f ca="1">IFERROR(__xludf.DUMMYFUNCTION("GOOGLEFINANCE(""NSE:""&amp;D83,""pe"")"),72.32)</f>
        <v>72.319999999999993</v>
      </c>
      <c r="P83" s="15">
        <f ca="1">IFERROR(__xludf.DUMMYFUNCTION("GOOGLEFINANCE(""NSE:""&amp;D83,""EPS"")"),42.8)</f>
        <v>42.8</v>
      </c>
      <c r="Q83" s="15">
        <v>13.5</v>
      </c>
      <c r="R83" s="15" t="str">
        <f ca="1">IFERROR(__xludf.DUMMYFUNCTION("IMPORTXML(E83,""/html/body/main/div[3]/div[3]/div[2]/ul/li[7]/span[2]/span"")"),"Loading...")</f>
        <v>Loading...</v>
      </c>
      <c r="S83" s="15" t="str">
        <f ca="1">IFERROR(__xludf.DUMMYFUNCTION("IMPORTXML(E83,""/html/body/main/div[3]/div[3]/div[2]/ul/li[8]/span[2]/span"")"),"Loading...")</f>
        <v>Loading...</v>
      </c>
      <c r="T83" s="15"/>
      <c r="U83" s="15"/>
      <c r="V83" s="15"/>
      <c r="W83" s="15"/>
      <c r="X83" s="15"/>
      <c r="Y83" s="15"/>
      <c r="Z83" s="7"/>
      <c r="AA83" s="7"/>
      <c r="AB83" s="7"/>
    </row>
    <row r="84" spans="1:28" ht="15" x14ac:dyDescent="0.25">
      <c r="A84" s="4">
        <v>83</v>
      </c>
      <c r="C84" s="12" t="s">
        <v>217</v>
      </c>
      <c r="D84" s="12" t="s">
        <v>218</v>
      </c>
      <c r="E84" s="13" t="str">
        <f t="shared" si="0"/>
        <v>https://www.screener.in/company/DIVISLAB/consolidated/</v>
      </c>
      <c r="H84" s="14">
        <f t="shared" ca="1" si="1"/>
        <v>0</v>
      </c>
      <c r="I84" s="15" t="str">
        <f ca="1">IFERROR(__xludf.DUMMYFUNCTION("IMPORTXML(E84,""/html/body/main/div[3]/div[3]/div[2]/ul/li[5]/span[2]/span"")"),"Loading...")</f>
        <v>Loading...</v>
      </c>
      <c r="J84" s="15">
        <f ca="1">IFERROR(__xludf.DUMMYFUNCTION("GOOGLEFINANCE(""NSE:""&amp;D84,""marketcap"")"),1599328864389)</f>
        <v>1599328864389</v>
      </c>
      <c r="K84" s="15"/>
      <c r="L84" s="16">
        <f ca="1">IFERROR(__xludf.DUMMYFUNCTION("GOOGLEFINANCE(""NSE:""&amp;D84,""price"")"),6021)</f>
        <v>6021</v>
      </c>
      <c r="M84" s="17">
        <f t="shared" ca="1" si="2"/>
        <v>6021</v>
      </c>
      <c r="N84" s="18" t="e">
        <f t="shared" ca="1" si="3"/>
        <v>#DIV/0!</v>
      </c>
      <c r="O84" s="15">
        <f ca="1">IFERROR(__xludf.DUMMYFUNCTION("GOOGLEFINANCE(""NSE:""&amp;D84,""pe"")"),69.29)</f>
        <v>69.290000000000006</v>
      </c>
      <c r="P84" s="15">
        <f ca="1">IFERROR(__xludf.DUMMYFUNCTION("GOOGLEFINANCE(""NSE:""&amp;D84,""EPS"")"),86.9)</f>
        <v>86.9</v>
      </c>
      <c r="Q84" s="15">
        <v>13.5</v>
      </c>
      <c r="R84" s="15" t="str">
        <f ca="1">IFERROR(__xludf.DUMMYFUNCTION("IMPORTXML(E84,""/html/body/main/div[3]/div[3]/div[2]/ul/li[7]/span[2]/span"")"),"Loading...")</f>
        <v>Loading...</v>
      </c>
      <c r="S84" s="15" t="str">
        <f ca="1">IFERROR(__xludf.DUMMYFUNCTION("IMPORTXML(E84,""/html/body/main/div[3]/div[3]/div[2]/ul/li[8]/span[2]/span"")"),"Loading...")</f>
        <v>Loading...</v>
      </c>
      <c r="T84" s="15"/>
      <c r="U84" s="15"/>
      <c r="V84" s="15"/>
      <c r="W84" s="15"/>
      <c r="X84" s="15"/>
      <c r="Y84" s="15"/>
      <c r="Z84" s="7"/>
      <c r="AA84" s="7"/>
      <c r="AB84" s="7"/>
    </row>
    <row r="85" spans="1:28" ht="15" x14ac:dyDescent="0.25">
      <c r="A85" s="4">
        <v>84</v>
      </c>
      <c r="C85" s="12" t="s">
        <v>219</v>
      </c>
      <c r="D85" s="12" t="s">
        <v>220</v>
      </c>
      <c r="E85" s="13" t="str">
        <f t="shared" si="0"/>
        <v>https://www.screener.in/company/JSWSTEEL/consolidated/</v>
      </c>
      <c r="H85" s="14">
        <f t="shared" ca="1" si="1"/>
        <v>0</v>
      </c>
      <c r="I85" s="15" t="str">
        <f ca="1">IFERROR(__xludf.DUMMYFUNCTION("IMPORTXML(E85,""/html/body/main/div[3]/div[3]/div[2]/ul/li[5]/span[2]/span"")"),"Loading...")</f>
        <v>Loading...</v>
      </c>
      <c r="J85" s="15">
        <f ca="1">IFERROR(__xludf.DUMMYFUNCTION("GOOGLEFINANCE(""NSE:""&amp;D85,""marketcap"")"),2622348672461)</f>
        <v>2622348672461</v>
      </c>
      <c r="K85" s="15"/>
      <c r="L85" s="16">
        <f ca="1">IFERROR(__xludf.DUMMYFUNCTION("GOOGLEFINANCE(""NSE:""&amp;D85,""price"")"),1074.9)</f>
        <v>1074.9000000000001</v>
      </c>
      <c r="M85" s="17">
        <f t="shared" ca="1" si="2"/>
        <v>1074.9000000000001</v>
      </c>
      <c r="N85" s="18" t="e">
        <f t="shared" ca="1" si="3"/>
        <v>#DIV/0!</v>
      </c>
      <c r="O85" s="15">
        <f ca="1">IFERROR(__xludf.DUMMYFUNCTION("GOOGLEFINANCE(""NSE:""&amp;D85,""pe"")"),54.32)</f>
        <v>54.32</v>
      </c>
      <c r="P85" s="15">
        <f ca="1">IFERROR(__xludf.DUMMYFUNCTION("GOOGLEFINANCE(""NSE:""&amp;D85,""EPS"")"),19.79)</f>
        <v>19.79</v>
      </c>
      <c r="Q85" s="15">
        <v>13.5</v>
      </c>
      <c r="R85" s="15" t="str">
        <f ca="1">IFERROR(__xludf.DUMMYFUNCTION("IMPORTXML(E85,""/html/body/main/div[3]/div[3]/div[2]/ul/li[7]/span[2]/span"")"),"Loading...")</f>
        <v>Loading...</v>
      </c>
      <c r="S85" s="15" t="str">
        <f ca="1">IFERROR(__xludf.DUMMYFUNCTION("IMPORTXML(E85,""/html/body/main/div[3]/div[3]/div[2]/ul/li[8]/span[2]/span"")"),"Loading...")</f>
        <v>Loading...</v>
      </c>
      <c r="T85" s="15"/>
      <c r="U85" s="15"/>
      <c r="V85" s="15"/>
      <c r="W85" s="15"/>
      <c r="X85" s="15"/>
      <c r="Y85" s="15"/>
      <c r="Z85" s="7"/>
      <c r="AA85" s="7"/>
      <c r="AB85" s="7"/>
    </row>
    <row r="86" spans="1:28" ht="15" x14ac:dyDescent="0.25">
      <c r="A86" s="4">
        <v>85</v>
      </c>
      <c r="C86" s="12" t="s">
        <v>221</v>
      </c>
      <c r="D86" s="12" t="s">
        <v>222</v>
      </c>
      <c r="E86" s="13" t="str">
        <f t="shared" si="0"/>
        <v>https://www.screener.in/company/HDFCLIFE/consolidated/</v>
      </c>
      <c r="H86" s="14">
        <f t="shared" ca="1" si="1"/>
        <v>0</v>
      </c>
      <c r="I86" s="15" t="str">
        <f ca="1">IFERROR(__xludf.DUMMYFUNCTION("IMPORTXML(E86,""/html/body/main/div[3]/div[3]/div[2]/ul/li[5]/span[2]/span"")"),"Loading...")</f>
        <v>Loading...</v>
      </c>
      <c r="J86" s="15">
        <f ca="1">IFERROR(__xludf.DUMMYFUNCTION("GOOGLEFINANCE(""NSE:""&amp;D86,""marketcap"")"),1632952256364)</f>
        <v>1632952256364</v>
      </c>
      <c r="K86" s="15"/>
      <c r="L86" s="16">
        <f ca="1">IFERROR(__xludf.DUMMYFUNCTION("GOOGLEFINANCE(""NSE:""&amp;D86,""price"")"),760.05)</f>
        <v>760.05</v>
      </c>
      <c r="M86" s="17">
        <f t="shared" ca="1" si="2"/>
        <v>760.05</v>
      </c>
      <c r="N86" s="18" t="e">
        <f t="shared" ca="1" si="3"/>
        <v>#DIV/0!</v>
      </c>
      <c r="O86" s="15">
        <f ca="1">IFERROR(__xludf.DUMMYFUNCTION("GOOGLEFINANCE(""NSE:""&amp;D86,""pe"")"),87.12)</f>
        <v>87.12</v>
      </c>
      <c r="P86" s="15">
        <f ca="1">IFERROR(__xludf.DUMMYFUNCTION("GOOGLEFINANCE(""NSE:""&amp;D86,""EPS"")"),8.72)</f>
        <v>8.7200000000000006</v>
      </c>
      <c r="Q86" s="15">
        <v>13.5</v>
      </c>
      <c r="R86" s="15" t="str">
        <f ca="1">IFERROR(__xludf.DUMMYFUNCTION("IMPORTXML(E86,""/html/body/main/div[3]/div[3]/div[2]/ul/li[7]/span[2]/span"")"),"Loading...")</f>
        <v>Loading...</v>
      </c>
      <c r="S86" s="15" t="str">
        <f ca="1">IFERROR(__xludf.DUMMYFUNCTION("IMPORTXML(E86,""/html/body/main/div[3]/div[3]/div[2]/ul/li[8]/span[2]/span"")"),"Loading...")</f>
        <v>Loading...</v>
      </c>
      <c r="T86" s="15"/>
      <c r="U86" s="15"/>
      <c r="V86" s="15"/>
      <c r="W86" s="15"/>
      <c r="X86" s="15"/>
      <c r="Y86" s="15"/>
      <c r="Z86" s="7"/>
      <c r="AA86" s="7"/>
      <c r="AB86" s="7"/>
    </row>
    <row r="87" spans="1:28" ht="15" x14ac:dyDescent="0.25">
      <c r="A87" s="4">
        <v>86</v>
      </c>
      <c r="C87" s="12" t="s">
        <v>223</v>
      </c>
      <c r="D87" s="12" t="s">
        <v>224</v>
      </c>
      <c r="E87" s="13" t="str">
        <f t="shared" si="0"/>
        <v>https://www.screener.in/company/ICICIPRULI/consolidated/</v>
      </c>
      <c r="H87" s="14">
        <f t="shared" ca="1" si="1"/>
        <v>0</v>
      </c>
      <c r="I87" s="15" t="str">
        <f ca="1">IFERROR(__xludf.DUMMYFUNCTION("IMPORTXML(E87,""/html/body/main/div[3]/div[3]/div[2]/ul/li[5]/span[2]/span"")"),"Loading...")</f>
        <v>Loading...</v>
      </c>
      <c r="J87" s="15">
        <f ca="1">IFERROR(__xludf.DUMMYFUNCTION("GOOGLEFINANCE(""NSE:""&amp;D87,""marketcap"")"),864120630255)</f>
        <v>864120630255</v>
      </c>
      <c r="K87" s="15"/>
      <c r="L87" s="16">
        <f ca="1">IFERROR(__xludf.DUMMYFUNCTION("GOOGLEFINANCE(""NSE:""&amp;D87,""price"")"),596.45)</f>
        <v>596.45000000000005</v>
      </c>
      <c r="M87" s="17">
        <f t="shared" ca="1" si="2"/>
        <v>596.45000000000005</v>
      </c>
      <c r="N87" s="18" t="e">
        <f t="shared" ca="1" si="3"/>
        <v>#DIV/0!</v>
      </c>
      <c r="O87" s="15">
        <f ca="1">IFERROR(__xludf.DUMMYFUNCTION("GOOGLEFINANCE(""NSE:""&amp;D87,""pe"")"),69.03)</f>
        <v>69.03</v>
      </c>
      <c r="P87" s="15">
        <f ca="1">IFERROR(__xludf.DUMMYFUNCTION("GOOGLEFINANCE(""NSE:""&amp;D87,""EPS"")"),8.64)</f>
        <v>8.64</v>
      </c>
      <c r="Q87" s="15">
        <v>13.5</v>
      </c>
      <c r="R87" s="15" t="str">
        <f ca="1">IFERROR(__xludf.DUMMYFUNCTION("IMPORTXML(E87,""/html/body/main/div[3]/div[3]/div[2]/ul/li[7]/span[2]/span"")"),"Loading...")</f>
        <v>Loading...</v>
      </c>
      <c r="S87" s="15" t="str">
        <f ca="1">IFERROR(__xludf.DUMMYFUNCTION("IMPORTXML(E87,""/html/body/main/div[3]/div[3]/div[2]/ul/li[8]/span[2]/span"")"),"Loading...")</f>
        <v>Loading...</v>
      </c>
      <c r="T87" s="15"/>
      <c r="U87" s="15"/>
      <c r="V87" s="15"/>
      <c r="W87" s="15"/>
      <c r="X87" s="15"/>
      <c r="Y87" s="15"/>
      <c r="Z87" s="7"/>
      <c r="AA87" s="7"/>
      <c r="AB87" s="7"/>
    </row>
    <row r="88" spans="1:28" ht="15" x14ac:dyDescent="0.25">
      <c r="A88" s="4">
        <v>87</v>
      </c>
      <c r="C88" s="12" t="s">
        <v>225</v>
      </c>
      <c r="D88" s="12" t="s">
        <v>226</v>
      </c>
      <c r="E88" s="13" t="str">
        <f t="shared" si="0"/>
        <v>https://www.screener.in/company/TATACONSUM/consolidated/</v>
      </c>
      <c r="H88" s="14">
        <f t="shared" ca="1" si="1"/>
        <v>0</v>
      </c>
      <c r="I88" s="15" t="str">
        <f ca="1">IFERROR(__xludf.DUMMYFUNCTION("IMPORTXML(E88,""/html/body/main/div[3]/div[3]/div[2]/ul/li[5]/span[2]/span"")"),"Loading...")</f>
        <v>Loading...</v>
      </c>
      <c r="J88" s="15">
        <f ca="1">IFERROR(__xludf.DUMMYFUNCTION("GOOGLEFINANCE(""NSE:""&amp;D88,""marketcap"")"),1063752167500)</f>
        <v>1063752167500</v>
      </c>
      <c r="K88" s="15"/>
      <c r="L88" s="16">
        <f ca="1">IFERROR(__xludf.DUMMYFUNCTION("GOOGLEFINANCE(""NSE:""&amp;D88,""price"")"),1075)</f>
        <v>1075</v>
      </c>
      <c r="M88" s="17">
        <f t="shared" ca="1" si="2"/>
        <v>1075</v>
      </c>
      <c r="N88" s="18" t="e">
        <f t="shared" ca="1" si="3"/>
        <v>#DIV/0!</v>
      </c>
      <c r="O88" s="15">
        <f ca="1">IFERROR(__xludf.DUMMYFUNCTION("GOOGLEFINANCE(""NSE:""&amp;D88,""pe"")"),80.49)</f>
        <v>80.489999999999995</v>
      </c>
      <c r="P88" s="15">
        <f ca="1">IFERROR(__xludf.DUMMYFUNCTION("GOOGLEFINANCE(""NSE:""&amp;D88,""EPS"")"),13.36)</f>
        <v>13.36</v>
      </c>
      <c r="Q88" s="15">
        <v>13.5</v>
      </c>
      <c r="R88" s="15" t="str">
        <f ca="1">IFERROR(__xludf.DUMMYFUNCTION("IMPORTXML(E88,""/html/body/main/div[3]/div[3]/div[2]/ul/li[7]/span[2]/span"")"),"Loading...")</f>
        <v>Loading...</v>
      </c>
      <c r="S88" s="15" t="str">
        <f ca="1">IFERROR(__xludf.DUMMYFUNCTION("IMPORTXML(E88,""/html/body/main/div[3]/div[3]/div[2]/ul/li[8]/span[2]/span"")"),"Loading...")</f>
        <v>Loading...</v>
      </c>
      <c r="T88" s="15"/>
      <c r="U88" s="15"/>
      <c r="V88" s="15"/>
      <c r="W88" s="15"/>
      <c r="X88" s="15"/>
      <c r="Y88" s="15"/>
      <c r="Z88" s="7"/>
      <c r="AA88" s="7"/>
      <c r="AB88" s="7"/>
    </row>
    <row r="89" spans="1:28" ht="15" x14ac:dyDescent="0.25">
      <c r="A89" s="4">
        <v>88</v>
      </c>
      <c r="C89" s="12" t="s">
        <v>227</v>
      </c>
      <c r="D89" s="12" t="s">
        <v>228</v>
      </c>
      <c r="E89" s="13" t="str">
        <f t="shared" si="0"/>
        <v>https://www.screener.in/company/TITAN/consolidated/</v>
      </c>
      <c r="H89" s="14">
        <f t="shared" ca="1" si="1"/>
        <v>0</v>
      </c>
      <c r="I89" s="15" t="str">
        <f ca="1">IFERROR(__xludf.DUMMYFUNCTION("IMPORTXML(E89,""/html/body/main/div[3]/div[3]/div[2]/ul/li[5]/span[2]/span"")"),"Loading...")</f>
        <v>Loading...</v>
      </c>
      <c r="J89" s="15">
        <f ca="1">IFERROR(__xludf.DUMMYFUNCTION("GOOGLEFINANCE(""NSE:""&amp;D89,""marketcap"")"),3251974369725)</f>
        <v>3251974369725</v>
      </c>
      <c r="K89" s="15"/>
      <c r="L89" s="16">
        <f ca="1">IFERROR(__xludf.DUMMYFUNCTION("GOOGLEFINANCE(""NSE:""&amp;D89,""price"")"),3660)</f>
        <v>3660</v>
      </c>
      <c r="M89" s="17">
        <f t="shared" ca="1" si="2"/>
        <v>3660</v>
      </c>
      <c r="N89" s="18" t="e">
        <f t="shared" ca="1" si="3"/>
        <v>#DIV/0!</v>
      </c>
      <c r="O89" s="15">
        <f ca="1">IFERROR(__xludf.DUMMYFUNCTION("GOOGLEFINANCE(""NSE:""&amp;D89,""pe"")"),87.46)</f>
        <v>87.46</v>
      </c>
      <c r="P89" s="15">
        <f ca="1">IFERROR(__xludf.DUMMYFUNCTION("GOOGLEFINANCE(""NSE:""&amp;D89,""EPS"")"),41.85)</f>
        <v>41.85</v>
      </c>
      <c r="Q89" s="15">
        <v>13.5</v>
      </c>
      <c r="R89" s="15" t="str">
        <f ca="1">IFERROR(__xludf.DUMMYFUNCTION("IMPORTXML(E89,""/html/body/main/div[3]/div[3]/div[2]/ul/li[7]/span[2]/span"")"),"Loading...")</f>
        <v>Loading...</v>
      </c>
      <c r="S89" s="15" t="str">
        <f ca="1">IFERROR(__xludf.DUMMYFUNCTION("IMPORTXML(E89,""/html/body/main/div[3]/div[3]/div[2]/ul/li[8]/span[2]/span"")"),"Loading...")</f>
        <v>Loading...</v>
      </c>
      <c r="T89" s="15"/>
      <c r="U89" s="15"/>
      <c r="V89" s="15"/>
      <c r="W89" s="15"/>
      <c r="X89" s="15"/>
      <c r="Y89" s="15"/>
      <c r="Z89" s="7"/>
      <c r="AA89" s="7"/>
      <c r="AB89" s="7"/>
    </row>
    <row r="90" spans="1:28" ht="15" x14ac:dyDescent="0.25">
      <c r="A90" s="4">
        <v>89</v>
      </c>
      <c r="C90" s="12" t="s">
        <v>229</v>
      </c>
      <c r="D90" s="12" t="s">
        <v>230</v>
      </c>
      <c r="E90" s="13" t="str">
        <f t="shared" si="0"/>
        <v>https://www.screener.in/company/DMART/consolidated/</v>
      </c>
      <c r="H90" s="14">
        <f t="shared" ca="1" si="1"/>
        <v>0</v>
      </c>
      <c r="I90" s="15" t="str">
        <f ca="1">IFERROR(__xludf.DUMMYFUNCTION("IMPORTXML(E90,""/html/body/main/div[3]/div[3]/div[2]/ul/li[5]/span[2]/span"")"),"Loading...")</f>
        <v>Loading...</v>
      </c>
      <c r="J90" s="15">
        <f ca="1">IFERROR(__xludf.DUMMYFUNCTION("GOOGLEFINANCE(""NSE:""&amp;D90,""marketcap"")"),3117294278572)</f>
        <v>3117294278572</v>
      </c>
      <c r="K90" s="15"/>
      <c r="L90" s="16">
        <f ca="1">IFERROR(__xludf.DUMMYFUNCTION("GOOGLEFINANCE(""NSE:""&amp;D90,""price"")"),4800)</f>
        <v>4800</v>
      </c>
      <c r="M90" s="17">
        <f t="shared" ca="1" si="2"/>
        <v>4800</v>
      </c>
      <c r="N90" s="18" t="e">
        <f t="shared" ca="1" si="3"/>
        <v>#DIV/0!</v>
      </c>
      <c r="O90" s="15">
        <f ca="1">IFERROR(__xludf.DUMMYFUNCTION("GOOGLEFINANCE(""NSE:""&amp;D90,""pe"")"),115.65)</f>
        <v>115.65</v>
      </c>
      <c r="P90" s="15">
        <f ca="1">IFERROR(__xludf.DUMMYFUNCTION("GOOGLEFINANCE(""NSE:""&amp;D90,""EPS"")"),41.5)</f>
        <v>41.5</v>
      </c>
      <c r="Q90" s="15">
        <v>13.5</v>
      </c>
      <c r="R90" s="15" t="str">
        <f ca="1">IFERROR(__xludf.DUMMYFUNCTION("IMPORTXML(E90,""/html/body/main/div[3]/div[3]/div[2]/ul/li[7]/span[2]/span"")"),"Loading...")</f>
        <v>Loading...</v>
      </c>
      <c r="S90" s="15" t="str">
        <f ca="1">IFERROR(__xludf.DUMMYFUNCTION("IMPORTXML(E90,""/html/body/main/div[3]/div[3]/div[2]/ul/li[8]/span[2]/span"")"),"Loading...")</f>
        <v>Loading...</v>
      </c>
      <c r="T90" s="15"/>
      <c r="U90" s="15"/>
      <c r="V90" s="15"/>
      <c r="W90" s="15"/>
      <c r="X90" s="15"/>
      <c r="Y90" s="15"/>
      <c r="Z90" s="7"/>
      <c r="AA90" s="7"/>
      <c r="AB90" s="7"/>
    </row>
    <row r="91" spans="1:28" ht="15" x14ac:dyDescent="0.25">
      <c r="A91" s="4">
        <v>90</v>
      </c>
      <c r="C91" s="12" t="s">
        <v>231</v>
      </c>
      <c r="D91" s="12" t="s">
        <v>232</v>
      </c>
      <c r="E91" s="13" t="str">
        <f t="shared" si="0"/>
        <v>https://www.screener.in/company/JIOFIN/consolidated/</v>
      </c>
      <c r="H91" s="14">
        <f t="shared" ca="1" si="1"/>
        <v>0</v>
      </c>
      <c r="I91" s="15" t="str">
        <f ca="1">IFERROR(__xludf.DUMMYFUNCTION("IMPORTXML(E91,""/html/body/main/div[3]/div[3]/div[2]/ul/li[5]/span[2]/span"")"),"Loading...")</f>
        <v>Loading...</v>
      </c>
      <c r="J91" s="15">
        <f ca="1">IFERROR(__xludf.DUMMYFUNCTION("GOOGLEFINANCE(""NSE:""&amp;D91,""marketcap"")"),1970377641075)</f>
        <v>1970377641075</v>
      </c>
      <c r="K91" s="15"/>
      <c r="L91" s="16">
        <f ca="1">IFERROR(__xludf.DUMMYFUNCTION("GOOGLEFINANCE(""NSE:""&amp;D91,""price"")"),310)</f>
        <v>310</v>
      </c>
      <c r="M91" s="17">
        <f t="shared" ca="1" si="2"/>
        <v>310</v>
      </c>
      <c r="N91" s="18" t="e">
        <f t="shared" ca="1" si="3"/>
        <v>#DIV/0!</v>
      </c>
      <c r="O91" s="15">
        <f ca="1">IFERROR(__xludf.DUMMYFUNCTION("GOOGLEFINANCE(""NSE:""&amp;D91,""pe"")"),120.95)</f>
        <v>120.95</v>
      </c>
      <c r="P91" s="15">
        <f ca="1">IFERROR(__xludf.DUMMYFUNCTION("GOOGLEFINANCE(""NSE:""&amp;D91,""EPS"")"),2.56)</f>
        <v>2.56</v>
      </c>
      <c r="Q91" s="15">
        <v>13.5</v>
      </c>
      <c r="R91" s="15" t="str">
        <f ca="1">IFERROR(__xludf.DUMMYFUNCTION("IMPORTXML(E91,""/html/body/main/div[3]/div[3]/div[2]/ul/li[7]/span[2]/span"")"),"Loading...")</f>
        <v>Loading...</v>
      </c>
      <c r="S91" s="15" t="str">
        <f ca="1">IFERROR(__xludf.DUMMYFUNCTION("IMPORTXML(E91,""/html/body/main/div[3]/div[3]/div[2]/ul/li[8]/span[2]/span"")"),"Loading...")</f>
        <v>Loading...</v>
      </c>
      <c r="T91" s="15"/>
      <c r="U91" s="15"/>
      <c r="V91" s="15"/>
      <c r="W91" s="15"/>
      <c r="X91" s="15"/>
      <c r="Y91" s="15"/>
      <c r="Z91" s="7"/>
      <c r="AA91" s="7"/>
      <c r="AB91" s="7"/>
    </row>
    <row r="92" spans="1:28" ht="15" x14ac:dyDescent="0.25">
      <c r="A92" s="4">
        <v>91</v>
      </c>
      <c r="C92" s="12" t="s">
        <v>233</v>
      </c>
      <c r="D92" s="12" t="s">
        <v>234</v>
      </c>
      <c r="E92" s="13" t="str">
        <f t="shared" si="0"/>
        <v>https://www.screener.in/company/TRENT/consolidated/</v>
      </c>
      <c r="H92" s="14">
        <f t="shared" ca="1" si="1"/>
        <v>0</v>
      </c>
      <c r="I92" s="15" t="str">
        <f ca="1">IFERROR(__xludf.DUMMYFUNCTION("IMPORTXML(E92,""/html/body/main/div[3]/div[3]/div[2]/ul/li[5]/span[2]/span"")"),"Loading...")</f>
        <v>Loading...</v>
      </c>
      <c r="J92" s="15">
        <f ca="1">IFERROR(__xludf.DUMMYFUNCTION("GOOGLEFINANCE(""NSE:""&amp;D92,""marketcap"")"),1965312000000)</f>
        <v>1965312000000</v>
      </c>
      <c r="K92" s="15"/>
      <c r="L92" s="16">
        <f ca="1">IFERROR(__xludf.DUMMYFUNCTION("GOOGLEFINANCE(""NSE:""&amp;D92,""price"")"),5515.5)</f>
        <v>5515.5</v>
      </c>
      <c r="M92" s="17">
        <f t="shared" ca="1" si="2"/>
        <v>5515.5</v>
      </c>
      <c r="N92" s="18" t="e">
        <f t="shared" ca="1" si="3"/>
        <v>#DIV/0!</v>
      </c>
      <c r="O92" s="15">
        <f ca="1">IFERROR(__xludf.DUMMYFUNCTION("GOOGLEFINANCE(""NSE:""&amp;D92,""pe"")"),123.78)</f>
        <v>123.78</v>
      </c>
      <c r="P92" s="15">
        <f ca="1">IFERROR(__xludf.DUMMYFUNCTION("GOOGLEFINANCE(""NSE:""&amp;D92,""EPS"")"),44.56)</f>
        <v>44.56</v>
      </c>
      <c r="Q92" s="15">
        <v>13.5</v>
      </c>
      <c r="R92" s="15" t="str">
        <f ca="1">IFERROR(__xludf.DUMMYFUNCTION("IMPORTXML(E92,""/html/body/main/div[3]/div[3]/div[2]/ul/li[7]/span[2]/span"")"),"Loading...")</f>
        <v>Loading...</v>
      </c>
      <c r="S92" s="15" t="str">
        <f ca="1">IFERROR(__xludf.DUMMYFUNCTION("IMPORTXML(E92,""/html/body/main/div[3]/div[3]/div[2]/ul/li[8]/span[2]/span"")"),"Loading...")</f>
        <v>Loading...</v>
      </c>
      <c r="T92" s="15"/>
      <c r="U92" s="15"/>
      <c r="V92" s="15"/>
      <c r="W92" s="15"/>
      <c r="X92" s="15"/>
      <c r="Y92" s="15"/>
      <c r="Z92" s="7"/>
      <c r="AA92" s="7"/>
      <c r="AB92" s="7"/>
    </row>
    <row r="93" spans="1:28" ht="15" x14ac:dyDescent="0.25">
      <c r="A93" s="4">
        <v>92</v>
      </c>
      <c r="C93" s="12" t="s">
        <v>235</v>
      </c>
      <c r="D93" s="12" t="s">
        <v>236</v>
      </c>
      <c r="E93" s="13" t="str">
        <f t="shared" si="0"/>
        <v>https://www.screener.in/company/CGPOWER/consolidated/</v>
      </c>
      <c r="H93" s="14">
        <f t="shared" ca="1" si="1"/>
        <v>0</v>
      </c>
      <c r="I93" s="15" t="str">
        <f ca="1">IFERROR(__xludf.DUMMYFUNCTION("IMPORTXML(E93,""/html/body/main/div[3]/div[3]/div[2]/ul/li[5]/span[2]/span"")"),"Loading...")</f>
        <v>Loading...</v>
      </c>
      <c r="J93" s="15">
        <f ca="1">IFERROR(__xludf.DUMMYFUNCTION("GOOGLEFINANCE(""NSE:""&amp;D93,""marketcap"")"),1127122014682)</f>
        <v>1127122014682</v>
      </c>
      <c r="K93" s="15"/>
      <c r="L93" s="16">
        <f ca="1">IFERROR(__xludf.DUMMYFUNCTION("GOOGLEFINANCE(""NSE:""&amp;D93,""price"")"),738)</f>
        <v>738</v>
      </c>
      <c r="M93" s="17">
        <f t="shared" ca="1" si="2"/>
        <v>738</v>
      </c>
      <c r="N93" s="18" t="e">
        <f t="shared" ca="1" si="3"/>
        <v>#DIV/0!</v>
      </c>
      <c r="O93" s="15">
        <f ca="1">IFERROR(__xludf.DUMMYFUNCTION("GOOGLEFINANCE(""NSE:""&amp;D93,""pe"")"),112.62)</f>
        <v>112.62</v>
      </c>
      <c r="P93" s="15">
        <f ca="1">IFERROR(__xludf.DUMMYFUNCTION("GOOGLEFINANCE(""NSE:""&amp;D93,""EPS"")"),6.55)</f>
        <v>6.55</v>
      </c>
      <c r="Q93" s="15">
        <v>13.5</v>
      </c>
      <c r="R93" s="15" t="str">
        <f ca="1">IFERROR(__xludf.DUMMYFUNCTION("IMPORTXML(E93,""/html/body/main/div[3]/div[3]/div[2]/ul/li[7]/span[2]/span"")"),"Loading...")</f>
        <v>Loading...</v>
      </c>
      <c r="S93" s="15" t="str">
        <f ca="1">IFERROR(__xludf.DUMMYFUNCTION("IMPORTXML(E93,""/html/body/main/div[3]/div[3]/div[2]/ul/li[8]/span[2]/span"")"),"Loading...")</f>
        <v>Loading...</v>
      </c>
      <c r="T93" s="15"/>
      <c r="U93" s="15"/>
      <c r="V93" s="15"/>
      <c r="W93" s="15"/>
      <c r="X93" s="15"/>
      <c r="Y93" s="15"/>
      <c r="Z93" s="7"/>
      <c r="AA93" s="7"/>
      <c r="AB93" s="7"/>
    </row>
    <row r="94" spans="1:28" ht="15" x14ac:dyDescent="0.25">
      <c r="A94" s="4">
        <v>93</v>
      </c>
      <c r="C94" s="12" t="s">
        <v>237</v>
      </c>
      <c r="D94" s="12" t="s">
        <v>238</v>
      </c>
      <c r="E94" s="13" t="str">
        <f t="shared" si="0"/>
        <v>https://www.screener.in/company/ADANIENSOL/consolidated/</v>
      </c>
      <c r="H94" s="14">
        <f t="shared" ca="1" si="1"/>
        <v>0</v>
      </c>
      <c r="I94" s="15" t="str">
        <f ca="1">IFERROR(__xludf.DUMMYFUNCTION("IMPORTXML(E94,""/html/body/main/div[3]/div[3]/div[2]/ul/li[5]/span[2]/span"")"),"Loading...")</f>
        <v>Loading...</v>
      </c>
      <c r="J94" s="15">
        <f ca="1">IFERROR(__xludf.DUMMYFUNCTION("GOOGLEFINANCE(""NSE:""&amp;D94,""marketcap"")"),909971115000)</f>
        <v>909971115000</v>
      </c>
      <c r="K94" s="15"/>
      <c r="L94" s="16">
        <f ca="1">IFERROR(__xludf.DUMMYFUNCTION("GOOGLEFINANCE(""NSE:""&amp;D94,""price"")"),757.5)</f>
        <v>757.5</v>
      </c>
      <c r="M94" s="17">
        <f t="shared" ca="1" si="2"/>
        <v>757.5</v>
      </c>
      <c r="N94" s="18" t="e">
        <f t="shared" ca="1" si="3"/>
        <v>#DIV/0!</v>
      </c>
      <c r="O94" s="15">
        <f ca="1">IFERROR(__xludf.DUMMYFUNCTION("GOOGLEFINANCE(""NSE:""&amp;D94,""pe"")"),36.22)</f>
        <v>36.22</v>
      </c>
      <c r="P94" s="15">
        <f ca="1">IFERROR(__xludf.DUMMYFUNCTION("GOOGLEFINANCE(""NSE:""&amp;D94,""EPS"")"),20.92)</f>
        <v>20.92</v>
      </c>
      <c r="Q94" s="15">
        <v>13.5</v>
      </c>
      <c r="R94" s="15" t="str">
        <f ca="1">IFERROR(__xludf.DUMMYFUNCTION("IMPORTXML(E94,""/html/body/main/div[3]/div[3]/div[2]/ul/li[7]/span[2]/span"")"),"Loading...")</f>
        <v>Loading...</v>
      </c>
      <c r="S94" s="15" t="str">
        <f ca="1">IFERROR(__xludf.DUMMYFUNCTION("IMPORTXML(E94,""/html/body/main/div[3]/div[3]/div[2]/ul/li[8]/span[2]/span"")"),"Loading...")</f>
        <v>Loading...</v>
      </c>
      <c r="T94" s="15"/>
      <c r="U94" s="15"/>
      <c r="V94" s="15"/>
      <c r="W94" s="15"/>
      <c r="X94" s="15"/>
      <c r="Y94" s="15"/>
      <c r="Z94" s="7"/>
      <c r="AA94" s="7"/>
      <c r="AB94" s="7"/>
    </row>
    <row r="95" spans="1:28" ht="15" x14ac:dyDescent="0.25">
      <c r="A95" s="4">
        <v>94</v>
      </c>
      <c r="C95" s="12" t="s">
        <v>239</v>
      </c>
      <c r="D95" s="12" t="s">
        <v>240</v>
      </c>
      <c r="E95" s="13" t="str">
        <f t="shared" si="0"/>
        <v>https://www.screener.in/company/ADANIGREEN/consolidated/</v>
      </c>
      <c r="H95" s="14">
        <f t="shared" ca="1" si="1"/>
        <v>0</v>
      </c>
      <c r="I95" s="15" t="str">
        <f ca="1">IFERROR(__xludf.DUMMYFUNCTION("IMPORTXML(E95,""/html/body/main/div[3]/div[3]/div[2]/ul/li[5]/span[2]/span"")"),"Loading...")</f>
        <v>Loading...</v>
      </c>
      <c r="J95" s="15">
        <f ca="1">IFERROR(__xludf.DUMMYFUNCTION("GOOGLEFINANCE(""NSE:""&amp;D95,""marketcap"")"),1507494144204)</f>
        <v>1507494144204</v>
      </c>
      <c r="K95" s="15"/>
      <c r="L95" s="16">
        <f ca="1">IFERROR(__xludf.DUMMYFUNCTION("GOOGLEFINANCE(""NSE:""&amp;D95,""price"")"),930)</f>
        <v>930</v>
      </c>
      <c r="M95" s="17">
        <f t="shared" ca="1" si="2"/>
        <v>930</v>
      </c>
      <c r="N95" s="18" t="e">
        <f t="shared" ca="1" si="3"/>
        <v>#DIV/0!</v>
      </c>
      <c r="O95" s="15">
        <f ca="1">IFERROR(__xludf.DUMMYFUNCTION("GOOGLEFINANCE(""NSE:""&amp;D95,""pe"")"),92.88)</f>
        <v>92.88</v>
      </c>
      <c r="P95" s="15">
        <f ca="1">IFERROR(__xludf.DUMMYFUNCTION("GOOGLEFINANCE(""NSE:""&amp;D95,""EPS"")"),10.01)</f>
        <v>10.01</v>
      </c>
      <c r="Q95" s="15">
        <v>13.5</v>
      </c>
      <c r="R95" s="15" t="str">
        <f ca="1">IFERROR(__xludf.DUMMYFUNCTION("IMPORTXML(E95,""/html/body/main/div[3]/div[3]/div[2]/ul/li[7]/span[2]/span"")"),"Loading...")</f>
        <v>Loading...</v>
      </c>
      <c r="S95" s="15" t="str">
        <f ca="1">IFERROR(__xludf.DUMMYFUNCTION("IMPORTXML(E95,""/html/body/main/div[3]/div[3]/div[2]/ul/li[8]/span[2]/span"")"),"Loading...")</f>
        <v>Loading...</v>
      </c>
      <c r="T95" s="15"/>
      <c r="U95" s="15"/>
      <c r="V95" s="15"/>
      <c r="W95" s="15"/>
      <c r="X95" s="15"/>
      <c r="Y95" s="15"/>
      <c r="Z95" s="7"/>
      <c r="AA95" s="7"/>
      <c r="AB95" s="7"/>
    </row>
    <row r="96" spans="1:28" ht="15" x14ac:dyDescent="0.25">
      <c r="A96" s="4">
        <v>95</v>
      </c>
      <c r="C96" s="12" t="s">
        <v>241</v>
      </c>
      <c r="D96" s="12" t="s">
        <v>242</v>
      </c>
      <c r="E96" s="13" t="str">
        <f t="shared" si="0"/>
        <v>https://www.screener.in/company/NAUKRI/consolidated/</v>
      </c>
      <c r="H96" s="14">
        <f t="shared" ca="1" si="1"/>
        <v>0</v>
      </c>
      <c r="I96" s="15" t="str">
        <f ca="1">IFERROR(__xludf.DUMMYFUNCTION("IMPORTXML(E96,""/html/body/main/div[3]/div[3]/div[2]/ul/li[5]/span[2]/span"")"),"Loading...")</f>
        <v>Loading...</v>
      </c>
      <c r="J96" s="15">
        <f ca="1">IFERROR(__xludf.DUMMYFUNCTION("GOOGLEFINANCE(""NSE:""&amp;D96,""marketcap"")"),871995181321)</f>
        <v>871995181321</v>
      </c>
      <c r="K96" s="15"/>
      <c r="L96" s="16">
        <f ca="1">IFERROR(__xludf.DUMMYFUNCTION("GOOGLEFINANCE(""NSE:""&amp;D96,""price"")"),1345)</f>
        <v>1345</v>
      </c>
      <c r="M96" s="17">
        <f t="shared" ca="1" si="2"/>
        <v>1345</v>
      </c>
      <c r="N96" s="18" t="e">
        <f t="shared" ca="1" si="3"/>
        <v>#DIV/0!</v>
      </c>
      <c r="O96" s="15">
        <f ca="1">IFERROR(__xludf.DUMMYFUNCTION("GOOGLEFINANCE(""NSE:""&amp;D96,""pe"")"),85.13)</f>
        <v>85.13</v>
      </c>
      <c r="P96" s="15">
        <f ca="1">IFERROR(__xludf.DUMMYFUNCTION("GOOGLEFINANCE(""NSE:""&amp;D96,""EPS"")"),15.8)</f>
        <v>15.8</v>
      </c>
      <c r="Q96" s="15">
        <v>13.5</v>
      </c>
      <c r="R96" s="15" t="str">
        <f ca="1">IFERROR(__xludf.DUMMYFUNCTION("IMPORTXML(E96,""/html/body/main/div[3]/div[3]/div[2]/ul/li[7]/span[2]/span"")"),"Loading...")</f>
        <v>Loading...</v>
      </c>
      <c r="S96" s="15" t="str">
        <f ca="1">IFERROR(__xludf.DUMMYFUNCTION("IMPORTXML(E96,""/html/body/main/div[3]/div[3]/div[2]/ul/li[8]/span[2]/span"")"),"Loading...")</f>
        <v>Loading...</v>
      </c>
      <c r="T96" s="15"/>
      <c r="U96" s="15"/>
      <c r="V96" s="15"/>
      <c r="W96" s="15"/>
      <c r="X96" s="15"/>
      <c r="Y96" s="15"/>
      <c r="Z96" s="7"/>
      <c r="AA96" s="7"/>
      <c r="AB96" s="7"/>
    </row>
    <row r="97" spans="1:28" ht="15" x14ac:dyDescent="0.25">
      <c r="A97" s="4">
        <v>96</v>
      </c>
      <c r="C97" s="12" t="s">
        <v>243</v>
      </c>
      <c r="D97" s="12" t="s">
        <v>244</v>
      </c>
      <c r="E97" s="13" t="str">
        <f t="shared" si="0"/>
        <v>https://www.screener.in/company/ZOMATO/consolidated/</v>
      </c>
      <c r="H97" s="14" t="e">
        <f t="shared" ca="1" si="1"/>
        <v>#VALUE!</v>
      </c>
      <c r="I97" s="15" t="str">
        <f ca="1">IFERROR(__xludf.DUMMYFUNCTION("IMPORTXML(E97,""/html/body/main/div[3]/div[3]/div[2]/ul/li[5]/span[2]/span"")"),"Loading...")</f>
        <v>Loading...</v>
      </c>
      <c r="J97" s="15" t="str">
        <f ca="1">IFERROR(__xludf.DUMMYFUNCTION("GOOGLEFINANCE(""NSE:""&amp;D97,""marketcap"")"),"#N/A")</f>
        <v>#N/A</v>
      </c>
      <c r="K97" s="15"/>
      <c r="L97" s="16" t="str">
        <f ca="1">IFERROR(__xludf.DUMMYFUNCTION("GOOGLEFINANCE(""NSE:""&amp;D97,""price"")"),"#N/A")</f>
        <v>#N/A</v>
      </c>
      <c r="M97" s="17" t="e">
        <f t="shared" ca="1" si="2"/>
        <v>#VALUE!</v>
      </c>
      <c r="N97" s="18" t="e">
        <f t="shared" ca="1" si="3"/>
        <v>#VALUE!</v>
      </c>
      <c r="O97" s="15" t="str">
        <f ca="1">IFERROR(__xludf.DUMMYFUNCTION("GOOGLEFINANCE(""NSE:""&amp;D97,""pe"")"),"#N/A")</f>
        <v>#N/A</v>
      </c>
      <c r="P97" s="15" t="str">
        <f ca="1">IFERROR(__xludf.DUMMYFUNCTION("GOOGLEFINANCE(""NSE:""&amp;D97,""EPS"")"),"#N/A")</f>
        <v>#N/A</v>
      </c>
      <c r="Q97" s="15">
        <v>13.5</v>
      </c>
      <c r="R97" s="15" t="str">
        <f ca="1">IFERROR(__xludf.DUMMYFUNCTION("IMPORTXML(E97,""/html/body/main/div[3]/div[3]/div[2]/ul/li[7]/span[2]/span"")"),"#N/A")</f>
        <v>#N/A</v>
      </c>
      <c r="S97" s="15" t="str">
        <f ca="1">IFERROR(__xludf.DUMMYFUNCTION("IMPORTXML(E97,""/html/body/main/div[3]/div[3]/div[2]/ul/li[8]/span[2]/span"")"),"Loading...")</f>
        <v>Loading...</v>
      </c>
      <c r="T97" s="15"/>
      <c r="U97" s="15"/>
      <c r="V97" s="15"/>
      <c r="W97" s="15"/>
      <c r="X97" s="15"/>
      <c r="Y97" s="15"/>
      <c r="Z97" s="7"/>
      <c r="AA97" s="7"/>
      <c r="AB97" s="7"/>
    </row>
    <row r="98" spans="1:28" ht="15" x14ac:dyDescent="0.25">
      <c r="A98" s="4">
        <v>97</v>
      </c>
      <c r="C98" s="12" t="s">
        <v>245</v>
      </c>
      <c r="D98" s="12" t="s">
        <v>246</v>
      </c>
      <c r="E98" s="13" t="str">
        <f t="shared" si="0"/>
        <v>https://www.screener.in/company/GODREJCP/consolidated/</v>
      </c>
      <c r="H98" s="14">
        <f t="shared" ca="1" si="1"/>
        <v>0</v>
      </c>
      <c r="I98" s="15" t="str">
        <f ca="1">IFERROR(__xludf.DUMMYFUNCTION("IMPORTXML(E98,""/html/body/main/div[3]/div[3]/div[2]/ul/li[5]/span[2]/span"")"),"Loading...")</f>
        <v>Loading...</v>
      </c>
      <c r="J98" s="15">
        <f ca="1">IFERROR(__xludf.DUMMYFUNCTION("GOOGLEFINANCE(""NSE:""&amp;D98,""marketcap"")"),1257562510845)</f>
        <v>1257562510845</v>
      </c>
      <c r="K98" s="15"/>
      <c r="L98" s="16">
        <f ca="1">IFERROR(__xludf.DUMMYFUNCTION("GOOGLEFINANCE(""NSE:""&amp;D98,""price"")"),1229.2)</f>
        <v>1229.2</v>
      </c>
      <c r="M98" s="17">
        <f t="shared" ca="1" si="2"/>
        <v>1229.2</v>
      </c>
      <c r="N98" s="18" t="e">
        <f t="shared" ca="1" si="3"/>
        <v>#DIV/0!</v>
      </c>
      <c r="O98" s="15">
        <f ca="1">IFERROR(__xludf.DUMMYFUNCTION("GOOGLEFINANCE(""NSE:""&amp;D98,""pe"")"),67.84)</f>
        <v>67.84</v>
      </c>
      <c r="P98" s="15">
        <f ca="1">IFERROR(__xludf.DUMMYFUNCTION("GOOGLEFINANCE(""NSE:""&amp;D98,""EPS"")"),18.12)</f>
        <v>18.12</v>
      </c>
      <c r="Q98" s="15">
        <v>13.5</v>
      </c>
      <c r="R98" s="15" t="str">
        <f ca="1">IFERROR(__xludf.DUMMYFUNCTION("IMPORTXML(E98,""/html/body/main/div[3]/div[3]/div[2]/ul/li[7]/span[2]/span"")"),"Loading...")</f>
        <v>Loading...</v>
      </c>
      <c r="S98" s="15" t="str">
        <f ca="1">IFERROR(__xludf.DUMMYFUNCTION("IMPORTXML(E98,""/html/body/main/div[3]/div[3]/div[2]/ul/li[8]/span[2]/span"")"),"Loading...")</f>
        <v>Loading...</v>
      </c>
      <c r="T98" s="15"/>
      <c r="U98" s="15"/>
      <c r="V98" s="15"/>
      <c r="W98" s="15"/>
      <c r="X98" s="15"/>
      <c r="Y98" s="15"/>
      <c r="Z98" s="7"/>
      <c r="AA98" s="7"/>
      <c r="AB98" s="7"/>
    </row>
    <row r="99" spans="1:28" ht="15" x14ac:dyDescent="0.25">
      <c r="A99" s="4">
        <v>98</v>
      </c>
      <c r="C99" s="12" t="s">
        <v>247</v>
      </c>
      <c r="D99" s="12" t="s">
        <v>248</v>
      </c>
      <c r="E99" s="13" t="str">
        <f t="shared" si="0"/>
        <v>https://www.screener.in/company/SWIGGY/consolidated/</v>
      </c>
      <c r="H99" s="14">
        <f t="shared" ca="1" si="1"/>
        <v>0</v>
      </c>
      <c r="I99" s="15" t="str">
        <f ca="1">IFERROR(__xludf.DUMMYFUNCTION("IMPORTXML(E99,""/html/body/main/div[3]/div[3]/div[2]/ul/li[5]/span[2]/span"")"),"Loading...")</f>
        <v>Loading...</v>
      </c>
      <c r="J99" s="15">
        <f ca="1">IFERROR(__xludf.DUMMYFUNCTION("GOOGLEFINANCE(""NSE:""&amp;D99,""marketcap"")"),1004523375662)</f>
        <v>1004523375662</v>
      </c>
      <c r="K99" s="15"/>
      <c r="L99" s="16">
        <f ca="1">IFERROR(__xludf.DUMMYFUNCTION("GOOGLEFINANCE(""NSE:""&amp;D99,""price"")"),439.75)</f>
        <v>439.75</v>
      </c>
      <c r="M99" s="17">
        <f t="shared" ca="1" si="2"/>
        <v>439.75</v>
      </c>
      <c r="N99" s="18" t="e">
        <f t="shared" ca="1" si="3"/>
        <v>#DIV/0!</v>
      </c>
      <c r="O99" s="15" t="str">
        <f ca="1">IFERROR(__xludf.DUMMYFUNCTION("GOOGLEFINANCE(""NSE:""&amp;D99,""pe"")"),"#N/A")</f>
        <v>#N/A</v>
      </c>
      <c r="P99" s="15">
        <f ca="1">IFERROR(__xludf.DUMMYFUNCTION("GOOGLEFINANCE(""NSE:""&amp;D99,""EPS"")"),-15.91)</f>
        <v>-15.91</v>
      </c>
      <c r="Q99" s="15">
        <v>13.5</v>
      </c>
      <c r="R99" s="15" t="str">
        <f ca="1">IFERROR(__xludf.DUMMYFUNCTION("IMPORTXML(E99,""/html/body/main/div[3]/div[3]/div[2]/ul/li[7]/span[2]/span"")"),"Loading...")</f>
        <v>Loading...</v>
      </c>
      <c r="S99" s="15" t="str">
        <f ca="1">IFERROR(__xludf.DUMMYFUNCTION("IMPORTXML(E99,""/html/body/main/div[3]/div[3]/div[2]/ul/li[8]/span[2]/span"")"),"Loading...")</f>
        <v>Loading...</v>
      </c>
      <c r="T99" s="15"/>
      <c r="U99" s="15"/>
      <c r="V99" s="15"/>
      <c r="W99" s="15"/>
      <c r="X99" s="15"/>
      <c r="Y99" s="15"/>
      <c r="Z99" s="7"/>
      <c r="AA99" s="7"/>
      <c r="AB99" s="7"/>
    </row>
    <row r="100" spans="1:28" ht="15" x14ac:dyDescent="0.25">
      <c r="A100" s="4">
        <v>99</v>
      </c>
      <c r="C100" s="12" t="s">
        <v>249</v>
      </c>
      <c r="D100" s="12" t="s">
        <v>250</v>
      </c>
      <c r="E100" s="13" t="str">
        <f t="shared" si="0"/>
        <v>https://www.screener.in/company/NTPCGREEN/consolidated/</v>
      </c>
      <c r="H100" s="14">
        <f t="shared" ca="1" si="1"/>
        <v>0</v>
      </c>
      <c r="I100" s="15" t="str">
        <f ca="1">IFERROR(__xludf.DUMMYFUNCTION("IMPORTXML(E100,""/html/body/main/div[3]/div[3]/div[2]/ul/li[5]/span[2]/span"")"),"Loading...")</f>
        <v>Loading...</v>
      </c>
      <c r="J100" s="15">
        <f ca="1">IFERROR(__xludf.DUMMYFUNCTION("GOOGLEFINANCE(""NSE:""&amp;D100,""marketcap"")"),877414124139)</f>
        <v>877414124139</v>
      </c>
      <c r="K100" s="15"/>
      <c r="L100" s="16">
        <f ca="1">IFERROR(__xludf.DUMMYFUNCTION("GOOGLEFINANCE(""NSE:""&amp;D100,""price"")"),104.1)</f>
        <v>104.1</v>
      </c>
      <c r="M100" s="17">
        <f t="shared" ca="1" si="2"/>
        <v>104.1</v>
      </c>
      <c r="N100" s="18" t="e">
        <f t="shared" ca="1" si="3"/>
        <v>#DIV/0!</v>
      </c>
      <c r="O100" s="15">
        <f ca="1">IFERROR(__xludf.DUMMYFUNCTION("GOOGLEFINANCE(""NSE:""&amp;D100,""pe"")"),158.18)</f>
        <v>158.18</v>
      </c>
      <c r="P100" s="15">
        <f ca="1">IFERROR(__xludf.DUMMYFUNCTION("GOOGLEFINANCE(""NSE:""&amp;D100,""EPS"")"),0.66)</f>
        <v>0.66</v>
      </c>
      <c r="Q100" s="15">
        <v>13.5</v>
      </c>
      <c r="R100" s="15" t="str">
        <f ca="1">IFERROR(__xludf.DUMMYFUNCTION("IMPORTXML(E100,""/html/body/main/div[3]/div[3]/div[2]/ul/li[7]/span[2]/span"")"),"Loading...")</f>
        <v>Loading...</v>
      </c>
      <c r="S100" s="15">
        <f ca="1">IFERROR(__xludf.DUMMYFUNCTION("IMPORTXML(E100,""/html/body/main/div[3]/div[3]/div[2]/ul/li[8]/span[2]/span"")"),3.84)</f>
        <v>3.84</v>
      </c>
      <c r="T100" s="15"/>
      <c r="U100" s="15"/>
      <c r="V100" s="15"/>
      <c r="W100" s="15"/>
      <c r="X100" s="15"/>
      <c r="Y100" s="15"/>
      <c r="Z100" s="7"/>
      <c r="AA100" s="7"/>
      <c r="AB100" s="7"/>
    </row>
    <row r="101" spans="1:28" ht="15" x14ac:dyDescent="0.25">
      <c r="A101" s="4">
        <v>100</v>
      </c>
      <c r="C101" s="12" t="s">
        <v>251</v>
      </c>
      <c r="D101" s="12" t="s">
        <v>252</v>
      </c>
      <c r="E101" s="13" t="str">
        <f t="shared" si="0"/>
        <v>https://www.screener.in/company/UNITDSPR/consolidated/</v>
      </c>
      <c r="H101" s="14">
        <f t="shared" ca="1" si="1"/>
        <v>0</v>
      </c>
      <c r="I101" s="15" t="str">
        <f ca="1">IFERROR(__xludf.DUMMYFUNCTION("IMPORTXML(E101,""/html/body/main/div[3]/div[3]/div[2]/ul/li[5]/span[2]/span"")"),"Loading...")</f>
        <v>Loading...</v>
      </c>
      <c r="J101" s="15">
        <f ca="1">IFERROR(__xludf.DUMMYFUNCTION("GOOGLEFINANCE(""NSE:""&amp;D101,""marketcap"")"),953813635200)</f>
        <v>953813635200</v>
      </c>
      <c r="K101" s="15"/>
      <c r="L101" s="16">
        <f ca="1">IFERROR(__xludf.DUMMYFUNCTION("GOOGLEFINANCE(""NSE:""&amp;D101,""price"")"),1312.7)</f>
        <v>1312.7</v>
      </c>
      <c r="M101" s="17">
        <f t="shared" ca="1" si="2"/>
        <v>1312.7</v>
      </c>
      <c r="N101" s="18" t="e">
        <f t="shared" ca="1" si="3"/>
        <v>#DIV/0!</v>
      </c>
      <c r="O101" s="15" t="str">
        <f ca="1">IFERROR(__xludf.DUMMYFUNCTION("GOOGLEFINANCE(""NSE:""&amp;D101,""pe"")"),"#N/A")</f>
        <v>#N/A</v>
      </c>
      <c r="P101" s="15" t="str">
        <f ca="1">IFERROR(__xludf.DUMMYFUNCTION("GOOGLEFINANCE(""NSE:""&amp;D101,""EPS"")"),"#N/A")</f>
        <v>#N/A</v>
      </c>
      <c r="Q101" s="15">
        <v>13.5</v>
      </c>
      <c r="R101" s="15" t="str">
        <f ca="1">IFERROR(__xludf.DUMMYFUNCTION("IMPORTXML(E101,""/html/body/main/div[3]/div[3]/div[2]/ul/li[7]/span[2]/span"")"),"Loading...")</f>
        <v>Loading...</v>
      </c>
      <c r="S101" s="15" t="str">
        <f ca="1">IFERROR(__xludf.DUMMYFUNCTION("IMPORTXML(E101,""/html/body/main/div[3]/div[3]/div[2]/ul/li[8]/span[2]/span"")"),"Loading...")</f>
        <v>Loading...</v>
      </c>
      <c r="T101" s="15"/>
      <c r="U101" s="15"/>
      <c r="V101" s="15"/>
      <c r="W101" s="15"/>
      <c r="X101" s="15"/>
      <c r="Y101" s="15"/>
      <c r="Z101" s="7"/>
      <c r="AA101" s="7"/>
      <c r="AB101" s="7"/>
    </row>
    <row r="102" spans="1:28" ht="12.75" x14ac:dyDescent="0.2">
      <c r="H102" s="14"/>
      <c r="I102" s="15"/>
      <c r="J102" s="15"/>
      <c r="K102" s="15"/>
      <c r="L102" s="16"/>
      <c r="M102" s="17"/>
      <c r="N102" s="18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7"/>
      <c r="AA102" s="7"/>
      <c r="AB102" s="7"/>
    </row>
    <row r="103" spans="1:28" ht="12.75" x14ac:dyDescent="0.2">
      <c r="H103" s="14"/>
      <c r="I103" s="15"/>
      <c r="J103" s="15"/>
      <c r="K103" s="15"/>
      <c r="L103" s="16"/>
      <c r="M103" s="17"/>
      <c r="N103" s="18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7"/>
      <c r="AA103" s="7"/>
      <c r="AB103" s="7"/>
    </row>
    <row r="104" spans="1:28" ht="12.75" x14ac:dyDescent="0.2">
      <c r="H104" s="14"/>
      <c r="I104" s="15"/>
      <c r="J104" s="15"/>
      <c r="K104" s="15"/>
      <c r="L104" s="16"/>
      <c r="M104" s="17"/>
      <c r="N104" s="18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7"/>
      <c r="AA104" s="7"/>
      <c r="AB104" s="7"/>
    </row>
    <row r="105" spans="1:28" ht="12.75" x14ac:dyDescent="0.2">
      <c r="H105" s="14"/>
      <c r="I105" s="15"/>
      <c r="J105" s="15"/>
      <c r="K105" s="15"/>
      <c r="L105" s="16"/>
      <c r="M105" s="17"/>
      <c r="N105" s="18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7"/>
      <c r="AA105" s="7"/>
      <c r="AB105" s="7"/>
    </row>
    <row r="106" spans="1:28" ht="12.75" x14ac:dyDescent="0.2">
      <c r="H106" s="14"/>
      <c r="I106" s="15"/>
      <c r="J106" s="15"/>
      <c r="K106" s="15"/>
      <c r="L106" s="16"/>
      <c r="M106" s="17"/>
      <c r="N106" s="18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7"/>
      <c r="AA106" s="7"/>
      <c r="AB106" s="7"/>
    </row>
    <row r="107" spans="1:28" ht="12.75" x14ac:dyDescent="0.2">
      <c r="H107" s="14"/>
      <c r="I107" s="15"/>
      <c r="J107" s="15"/>
      <c r="K107" s="15"/>
      <c r="L107" s="16"/>
      <c r="M107" s="17"/>
      <c r="N107" s="18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7"/>
      <c r="AA107" s="7"/>
      <c r="AB107" s="7"/>
    </row>
    <row r="108" spans="1:28" ht="12.75" x14ac:dyDescent="0.2">
      <c r="H108" s="14"/>
      <c r="I108" s="15"/>
      <c r="J108" s="15"/>
      <c r="K108" s="15"/>
      <c r="L108" s="16"/>
      <c r="M108" s="17"/>
      <c r="N108" s="18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7"/>
      <c r="AA108" s="7"/>
      <c r="AB108" s="7"/>
    </row>
    <row r="109" spans="1:28" ht="12.75" x14ac:dyDescent="0.2">
      <c r="H109" s="14"/>
      <c r="I109" s="15"/>
      <c r="J109" s="15"/>
      <c r="K109" s="15"/>
      <c r="L109" s="16"/>
      <c r="M109" s="17"/>
      <c r="N109" s="18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7"/>
      <c r="AA109" s="7"/>
      <c r="AB109" s="7"/>
    </row>
    <row r="110" spans="1:28" ht="12.75" x14ac:dyDescent="0.2">
      <c r="H110" s="14"/>
      <c r="I110" s="15"/>
      <c r="J110" s="15"/>
      <c r="K110" s="15"/>
      <c r="L110" s="16"/>
      <c r="M110" s="17"/>
      <c r="N110" s="18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7"/>
      <c r="AA110" s="7"/>
      <c r="AB110" s="7"/>
    </row>
    <row r="111" spans="1:28" ht="12.75" x14ac:dyDescent="0.2">
      <c r="H111" s="14"/>
      <c r="I111" s="15"/>
      <c r="J111" s="15"/>
      <c r="K111" s="15"/>
      <c r="L111" s="16"/>
      <c r="M111" s="17"/>
      <c r="N111" s="18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7"/>
      <c r="AA111" s="7"/>
      <c r="AB111" s="7"/>
    </row>
    <row r="112" spans="1:28" ht="12.75" x14ac:dyDescent="0.2">
      <c r="H112" s="14"/>
      <c r="I112" s="15"/>
      <c r="J112" s="15"/>
      <c r="K112" s="15"/>
      <c r="L112" s="16"/>
      <c r="M112" s="17"/>
      <c r="N112" s="18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7"/>
      <c r="AA112" s="7"/>
      <c r="AB112" s="7"/>
    </row>
    <row r="113" spans="8:28" ht="12.75" x14ac:dyDescent="0.2">
      <c r="H113" s="14"/>
      <c r="I113" s="15"/>
      <c r="J113" s="15"/>
      <c r="K113" s="15"/>
      <c r="L113" s="16"/>
      <c r="M113" s="17"/>
      <c r="N113" s="18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7"/>
      <c r="AA113" s="7"/>
      <c r="AB113" s="7"/>
    </row>
    <row r="114" spans="8:28" ht="12.75" x14ac:dyDescent="0.2">
      <c r="H114" s="14"/>
      <c r="I114" s="15"/>
      <c r="J114" s="15"/>
      <c r="K114" s="15"/>
      <c r="L114" s="16"/>
      <c r="M114" s="17"/>
      <c r="N114" s="18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7"/>
      <c r="AA114" s="7"/>
      <c r="AB114" s="7"/>
    </row>
    <row r="115" spans="8:28" ht="12.75" x14ac:dyDescent="0.2">
      <c r="H115" s="14"/>
      <c r="I115" s="15"/>
      <c r="J115" s="15"/>
      <c r="K115" s="15"/>
      <c r="L115" s="16"/>
      <c r="M115" s="17"/>
      <c r="N115" s="18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7"/>
      <c r="AA115" s="7"/>
      <c r="AB115" s="7"/>
    </row>
    <row r="116" spans="8:28" ht="12.75" x14ac:dyDescent="0.2">
      <c r="H116" s="14"/>
      <c r="I116" s="15"/>
      <c r="J116" s="15"/>
      <c r="K116" s="15"/>
      <c r="L116" s="16"/>
      <c r="M116" s="17"/>
      <c r="N116" s="18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7"/>
      <c r="AA116" s="7"/>
      <c r="AB116" s="7"/>
    </row>
    <row r="117" spans="8:28" ht="12.75" x14ac:dyDescent="0.2">
      <c r="H117" s="14"/>
      <c r="I117" s="15"/>
      <c r="J117" s="15"/>
      <c r="K117" s="15"/>
      <c r="L117" s="16"/>
      <c r="M117" s="17"/>
      <c r="N117" s="18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7"/>
      <c r="AA117" s="7"/>
      <c r="AB117" s="7"/>
    </row>
    <row r="118" spans="8:28" ht="12.75" x14ac:dyDescent="0.2">
      <c r="H118" s="14"/>
      <c r="I118" s="15"/>
      <c r="J118" s="15"/>
      <c r="K118" s="15"/>
      <c r="L118" s="16"/>
      <c r="M118" s="17"/>
      <c r="N118" s="18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7"/>
      <c r="AA118" s="7"/>
      <c r="AB118" s="7"/>
    </row>
    <row r="119" spans="8:28" ht="12.75" x14ac:dyDescent="0.2">
      <c r="H119" s="14"/>
      <c r="I119" s="15"/>
      <c r="J119" s="15"/>
      <c r="K119" s="15"/>
      <c r="L119" s="16"/>
      <c r="M119" s="17"/>
      <c r="N119" s="18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7"/>
      <c r="AA119" s="7"/>
      <c r="AB119" s="7"/>
    </row>
    <row r="120" spans="8:28" ht="12.75" x14ac:dyDescent="0.2">
      <c r="H120" s="14"/>
      <c r="I120" s="15"/>
      <c r="J120" s="15"/>
      <c r="K120" s="15"/>
      <c r="L120" s="16"/>
      <c r="M120" s="17"/>
      <c r="N120" s="18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7"/>
      <c r="AA120" s="7"/>
      <c r="AB120" s="7"/>
    </row>
    <row r="121" spans="8:28" ht="12.75" x14ac:dyDescent="0.2">
      <c r="H121" s="14"/>
      <c r="I121" s="15"/>
      <c r="J121" s="15"/>
      <c r="K121" s="15"/>
      <c r="L121" s="16"/>
      <c r="M121" s="17"/>
      <c r="N121" s="18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7"/>
      <c r="AA121" s="7"/>
      <c r="AB121" s="7"/>
    </row>
    <row r="122" spans="8:28" ht="12.75" x14ac:dyDescent="0.2">
      <c r="H122" s="14"/>
      <c r="I122" s="15"/>
      <c r="J122" s="15"/>
      <c r="K122" s="15"/>
      <c r="L122" s="16"/>
      <c r="M122" s="17"/>
      <c r="N122" s="18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7"/>
      <c r="AA122" s="7"/>
      <c r="AB122" s="7"/>
    </row>
    <row r="123" spans="8:28" ht="12.75" x14ac:dyDescent="0.2">
      <c r="H123" s="14"/>
      <c r="I123" s="15"/>
      <c r="J123" s="15"/>
      <c r="K123" s="15"/>
      <c r="L123" s="16"/>
      <c r="M123" s="17"/>
      <c r="N123" s="18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7"/>
      <c r="AA123" s="7"/>
      <c r="AB123" s="7"/>
    </row>
    <row r="124" spans="8:28" ht="12.75" x14ac:dyDescent="0.2">
      <c r="H124" s="14"/>
      <c r="I124" s="15"/>
      <c r="J124" s="15"/>
      <c r="K124" s="15"/>
      <c r="L124" s="16"/>
      <c r="M124" s="17"/>
      <c r="N124" s="18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7"/>
      <c r="AA124" s="7"/>
      <c r="AB124" s="7"/>
    </row>
    <row r="125" spans="8:28" ht="12.75" x14ac:dyDescent="0.2">
      <c r="H125" s="14"/>
      <c r="I125" s="15"/>
      <c r="J125" s="15"/>
      <c r="K125" s="15"/>
      <c r="L125" s="16"/>
      <c r="M125" s="17"/>
      <c r="N125" s="18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7"/>
      <c r="AA125" s="7"/>
      <c r="AB125" s="7"/>
    </row>
    <row r="126" spans="8:28" ht="12.75" x14ac:dyDescent="0.2">
      <c r="H126" s="14"/>
      <c r="I126" s="15"/>
      <c r="J126" s="15"/>
      <c r="K126" s="15"/>
      <c r="L126" s="16"/>
      <c r="M126" s="17"/>
      <c r="N126" s="18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7"/>
      <c r="AA126" s="7"/>
      <c r="AB126" s="7"/>
    </row>
    <row r="127" spans="8:28" ht="12.75" x14ac:dyDescent="0.2">
      <c r="H127" s="14"/>
      <c r="I127" s="15"/>
      <c r="J127" s="15"/>
      <c r="K127" s="15"/>
      <c r="L127" s="16"/>
      <c r="M127" s="17"/>
      <c r="N127" s="18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7"/>
      <c r="AA127" s="7"/>
      <c r="AB127" s="7"/>
    </row>
    <row r="128" spans="8:28" ht="12.75" x14ac:dyDescent="0.2">
      <c r="H128" s="14"/>
      <c r="I128" s="15"/>
      <c r="J128" s="15"/>
      <c r="K128" s="15"/>
      <c r="L128" s="16"/>
      <c r="M128" s="17"/>
      <c r="N128" s="18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7"/>
      <c r="AA128" s="7"/>
      <c r="AB128" s="7"/>
    </row>
    <row r="129" spans="8:28" ht="12.75" x14ac:dyDescent="0.2">
      <c r="H129" s="14"/>
      <c r="I129" s="15"/>
      <c r="J129" s="15"/>
      <c r="K129" s="15"/>
      <c r="L129" s="16"/>
      <c r="M129" s="17"/>
      <c r="N129" s="18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7"/>
      <c r="AA129" s="7"/>
      <c r="AB129" s="7"/>
    </row>
    <row r="130" spans="8:28" ht="12.75" x14ac:dyDescent="0.2">
      <c r="H130" s="14"/>
      <c r="I130" s="15"/>
      <c r="J130" s="15"/>
      <c r="K130" s="15"/>
      <c r="L130" s="16"/>
      <c r="M130" s="17"/>
      <c r="N130" s="18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7"/>
      <c r="AA130" s="7"/>
      <c r="AB130" s="7"/>
    </row>
    <row r="131" spans="8:28" ht="12.75" x14ac:dyDescent="0.2">
      <c r="H131" s="14"/>
      <c r="I131" s="15"/>
      <c r="J131" s="15"/>
      <c r="K131" s="15"/>
      <c r="L131" s="16"/>
      <c r="M131" s="17"/>
      <c r="N131" s="18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7"/>
      <c r="AA131" s="7"/>
      <c r="AB131" s="7"/>
    </row>
    <row r="132" spans="8:28" ht="12.75" x14ac:dyDescent="0.2">
      <c r="H132" s="14"/>
      <c r="I132" s="15"/>
      <c r="J132" s="15"/>
      <c r="K132" s="15"/>
      <c r="L132" s="16"/>
      <c r="M132" s="17"/>
      <c r="N132" s="18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7"/>
      <c r="AA132" s="7"/>
      <c r="AB132" s="7"/>
    </row>
    <row r="133" spans="8:28" ht="12.75" x14ac:dyDescent="0.2">
      <c r="H133" s="14"/>
      <c r="I133" s="15"/>
      <c r="J133" s="15"/>
      <c r="K133" s="15"/>
      <c r="L133" s="16"/>
      <c r="M133" s="17"/>
      <c r="N133" s="18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7"/>
      <c r="AA133" s="7"/>
      <c r="AB133" s="7"/>
    </row>
    <row r="134" spans="8:28" ht="12.75" x14ac:dyDescent="0.2">
      <c r="H134" s="14"/>
      <c r="I134" s="15"/>
      <c r="J134" s="15"/>
      <c r="K134" s="15"/>
      <c r="L134" s="16"/>
      <c r="M134" s="17"/>
      <c r="N134" s="18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7"/>
      <c r="AA134" s="7"/>
      <c r="AB134" s="7"/>
    </row>
    <row r="135" spans="8:28" ht="12.75" x14ac:dyDescent="0.2">
      <c r="H135" s="14"/>
      <c r="I135" s="15"/>
      <c r="J135" s="15"/>
      <c r="K135" s="15"/>
      <c r="L135" s="16"/>
      <c r="M135" s="17"/>
      <c r="N135" s="18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7"/>
      <c r="AA135" s="7"/>
      <c r="AB135" s="7"/>
    </row>
    <row r="136" spans="8:28" ht="12.75" x14ac:dyDescent="0.2">
      <c r="H136" s="14"/>
      <c r="I136" s="15"/>
      <c r="J136" s="15"/>
      <c r="K136" s="15"/>
      <c r="L136" s="16"/>
      <c r="M136" s="17"/>
      <c r="N136" s="18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7"/>
      <c r="AA136" s="7"/>
      <c r="AB136" s="7"/>
    </row>
    <row r="137" spans="8:28" ht="12.75" x14ac:dyDescent="0.2">
      <c r="H137" s="14"/>
      <c r="I137" s="15"/>
      <c r="J137" s="15"/>
      <c r="K137" s="15"/>
      <c r="L137" s="16"/>
      <c r="M137" s="17"/>
      <c r="N137" s="18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7"/>
      <c r="AA137" s="7"/>
      <c r="AB137" s="7"/>
    </row>
    <row r="138" spans="8:28" ht="12.75" x14ac:dyDescent="0.2">
      <c r="H138" s="14"/>
      <c r="I138" s="15"/>
      <c r="J138" s="15"/>
      <c r="K138" s="15"/>
      <c r="L138" s="16"/>
      <c r="M138" s="17"/>
      <c r="N138" s="18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7"/>
      <c r="AA138" s="7"/>
      <c r="AB138" s="7"/>
    </row>
    <row r="139" spans="8:28" ht="12.75" x14ac:dyDescent="0.2">
      <c r="H139" s="14"/>
      <c r="I139" s="15"/>
      <c r="J139" s="15"/>
      <c r="K139" s="15"/>
      <c r="L139" s="16"/>
      <c r="M139" s="17"/>
      <c r="N139" s="18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7"/>
      <c r="AA139" s="7"/>
      <c r="AB139" s="7"/>
    </row>
    <row r="140" spans="8:28" ht="12.75" x14ac:dyDescent="0.2">
      <c r="H140" s="14"/>
      <c r="I140" s="15"/>
      <c r="J140" s="15"/>
      <c r="K140" s="15"/>
      <c r="L140" s="16"/>
      <c r="M140" s="17"/>
      <c r="N140" s="18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7"/>
      <c r="AA140" s="7"/>
      <c r="AB140" s="7"/>
    </row>
    <row r="141" spans="8:28" ht="12.75" x14ac:dyDescent="0.2">
      <c r="H141" s="14"/>
      <c r="I141" s="15"/>
      <c r="J141" s="15"/>
      <c r="K141" s="15"/>
      <c r="L141" s="16"/>
      <c r="M141" s="17"/>
      <c r="N141" s="18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7"/>
      <c r="AA141" s="7"/>
      <c r="AB141" s="7"/>
    </row>
    <row r="142" spans="8:28" ht="12.75" x14ac:dyDescent="0.2">
      <c r="H142" s="14"/>
      <c r="I142" s="15"/>
      <c r="J142" s="15"/>
      <c r="K142" s="15"/>
      <c r="L142" s="16"/>
      <c r="M142" s="17"/>
      <c r="N142" s="18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7"/>
      <c r="AA142" s="7"/>
      <c r="AB142" s="7"/>
    </row>
    <row r="143" spans="8:28" ht="12.75" x14ac:dyDescent="0.2">
      <c r="H143" s="14"/>
      <c r="I143" s="15"/>
      <c r="J143" s="15"/>
      <c r="K143" s="15"/>
      <c r="L143" s="16"/>
      <c r="M143" s="17"/>
      <c r="N143" s="18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7"/>
      <c r="AA143" s="7"/>
      <c r="AB143" s="7"/>
    </row>
    <row r="144" spans="8:28" ht="12.75" x14ac:dyDescent="0.2">
      <c r="H144" s="14"/>
      <c r="I144" s="15"/>
      <c r="J144" s="15"/>
      <c r="K144" s="15"/>
      <c r="L144" s="16"/>
      <c r="M144" s="17"/>
      <c r="N144" s="18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7"/>
      <c r="AA144" s="7"/>
      <c r="AB144" s="7"/>
    </row>
    <row r="145" spans="8:28" ht="12.75" x14ac:dyDescent="0.2">
      <c r="H145" s="14"/>
      <c r="I145" s="15"/>
      <c r="J145" s="15"/>
      <c r="K145" s="15"/>
      <c r="L145" s="16"/>
      <c r="M145" s="17"/>
      <c r="N145" s="18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7"/>
      <c r="AA145" s="7"/>
      <c r="AB145" s="7"/>
    </row>
    <row r="146" spans="8:28" ht="12.75" x14ac:dyDescent="0.2">
      <c r="H146" s="14"/>
      <c r="I146" s="15"/>
      <c r="J146" s="15"/>
      <c r="K146" s="15"/>
      <c r="L146" s="16"/>
      <c r="M146" s="17"/>
      <c r="N146" s="18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7"/>
      <c r="AA146" s="7"/>
      <c r="AB146" s="7"/>
    </row>
    <row r="147" spans="8:28" ht="12.75" x14ac:dyDescent="0.2">
      <c r="H147" s="14"/>
      <c r="I147" s="15"/>
      <c r="J147" s="15"/>
      <c r="K147" s="15"/>
      <c r="L147" s="16"/>
      <c r="M147" s="17"/>
      <c r="N147" s="18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7"/>
      <c r="AA147" s="7"/>
      <c r="AB147" s="7"/>
    </row>
    <row r="148" spans="8:28" ht="12.75" x14ac:dyDescent="0.2">
      <c r="H148" s="14"/>
      <c r="I148" s="15"/>
      <c r="J148" s="15"/>
      <c r="K148" s="15"/>
      <c r="L148" s="16"/>
      <c r="M148" s="17"/>
      <c r="N148" s="18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7"/>
      <c r="AA148" s="7"/>
      <c r="AB148" s="7"/>
    </row>
    <row r="149" spans="8:28" ht="12.75" x14ac:dyDescent="0.2">
      <c r="H149" s="14"/>
      <c r="I149" s="15"/>
      <c r="J149" s="15"/>
      <c r="K149" s="15"/>
      <c r="L149" s="16"/>
      <c r="M149" s="17"/>
      <c r="N149" s="18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7"/>
      <c r="AA149" s="7"/>
      <c r="AB149" s="7"/>
    </row>
    <row r="150" spans="8:28" ht="12.75" x14ac:dyDescent="0.2">
      <c r="H150" s="14"/>
      <c r="I150" s="15"/>
      <c r="J150" s="15"/>
      <c r="K150" s="15"/>
      <c r="L150" s="16"/>
      <c r="M150" s="17"/>
      <c r="N150" s="18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7"/>
      <c r="AA150" s="7"/>
      <c r="AB150" s="7"/>
    </row>
    <row r="151" spans="8:28" ht="12.75" x14ac:dyDescent="0.2">
      <c r="H151" s="14"/>
      <c r="I151" s="15"/>
      <c r="J151" s="15"/>
      <c r="K151" s="15"/>
      <c r="L151" s="16"/>
      <c r="M151" s="17"/>
      <c r="N151" s="18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7"/>
      <c r="AA151" s="7"/>
      <c r="AB151" s="7"/>
    </row>
    <row r="152" spans="8:28" ht="12.75" x14ac:dyDescent="0.2">
      <c r="H152" s="14"/>
      <c r="I152" s="15"/>
      <c r="J152" s="15"/>
      <c r="K152" s="15"/>
      <c r="L152" s="16"/>
      <c r="M152" s="17"/>
      <c r="N152" s="18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7"/>
      <c r="AA152" s="7"/>
      <c r="AB152" s="7"/>
    </row>
    <row r="153" spans="8:28" ht="12.75" x14ac:dyDescent="0.2">
      <c r="H153" s="14"/>
      <c r="I153" s="15"/>
      <c r="J153" s="15"/>
      <c r="K153" s="15"/>
      <c r="L153" s="16"/>
      <c r="M153" s="17"/>
      <c r="N153" s="18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7"/>
      <c r="AA153" s="7"/>
      <c r="AB153" s="7"/>
    </row>
    <row r="154" spans="8:28" ht="12.75" x14ac:dyDescent="0.2">
      <c r="H154" s="14"/>
      <c r="I154" s="15"/>
      <c r="J154" s="15"/>
      <c r="K154" s="15"/>
      <c r="L154" s="16"/>
      <c r="M154" s="17"/>
      <c r="N154" s="18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7"/>
      <c r="AA154" s="7"/>
      <c r="AB154" s="7"/>
    </row>
    <row r="155" spans="8:28" ht="12.75" x14ac:dyDescent="0.2">
      <c r="H155" s="14"/>
      <c r="I155" s="15"/>
      <c r="J155" s="15"/>
      <c r="K155" s="15"/>
      <c r="L155" s="16"/>
      <c r="M155" s="17"/>
      <c r="N155" s="18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7"/>
      <c r="AA155" s="7"/>
      <c r="AB155" s="7"/>
    </row>
    <row r="156" spans="8:28" ht="12.75" x14ac:dyDescent="0.2">
      <c r="H156" s="14"/>
      <c r="I156" s="15"/>
      <c r="J156" s="15"/>
      <c r="K156" s="15"/>
      <c r="L156" s="16"/>
      <c r="M156" s="17"/>
      <c r="N156" s="18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7"/>
      <c r="AA156" s="7"/>
      <c r="AB156" s="7"/>
    </row>
    <row r="157" spans="8:28" ht="12.75" x14ac:dyDescent="0.2">
      <c r="H157" s="14"/>
      <c r="I157" s="15"/>
      <c r="J157" s="15"/>
      <c r="K157" s="15"/>
      <c r="L157" s="16"/>
      <c r="M157" s="17"/>
      <c r="N157" s="18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7"/>
      <c r="AA157" s="7"/>
      <c r="AB157" s="7"/>
    </row>
    <row r="158" spans="8:28" ht="12.75" x14ac:dyDescent="0.2">
      <c r="H158" s="14"/>
      <c r="I158" s="15"/>
      <c r="J158" s="15"/>
      <c r="K158" s="15"/>
      <c r="L158" s="16"/>
      <c r="M158" s="17"/>
      <c r="N158" s="18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7"/>
      <c r="AA158" s="7"/>
      <c r="AB158" s="7"/>
    </row>
    <row r="159" spans="8:28" ht="12.75" x14ac:dyDescent="0.2">
      <c r="H159" s="14"/>
      <c r="I159" s="15"/>
      <c r="J159" s="15"/>
      <c r="K159" s="15"/>
      <c r="L159" s="16"/>
      <c r="M159" s="17"/>
      <c r="N159" s="18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7"/>
      <c r="AA159" s="7"/>
      <c r="AB159" s="7"/>
    </row>
    <row r="160" spans="8:28" ht="12.75" x14ac:dyDescent="0.2">
      <c r="H160" s="14"/>
      <c r="I160" s="15"/>
      <c r="J160" s="15"/>
      <c r="K160" s="15"/>
      <c r="L160" s="16"/>
      <c r="M160" s="17"/>
      <c r="N160" s="18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7"/>
      <c r="AA160" s="7"/>
      <c r="AB160" s="7"/>
    </row>
    <row r="161" spans="8:28" ht="12.75" x14ac:dyDescent="0.2">
      <c r="H161" s="14"/>
      <c r="I161" s="15"/>
      <c r="J161" s="15"/>
      <c r="K161" s="15"/>
      <c r="L161" s="16"/>
      <c r="M161" s="17"/>
      <c r="N161" s="18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7"/>
      <c r="AA161" s="7"/>
      <c r="AB161" s="7"/>
    </row>
    <row r="162" spans="8:28" ht="12.75" x14ac:dyDescent="0.2">
      <c r="H162" s="14"/>
      <c r="I162" s="15"/>
      <c r="J162" s="15"/>
      <c r="K162" s="15"/>
      <c r="L162" s="16"/>
      <c r="M162" s="17"/>
      <c r="N162" s="18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7"/>
      <c r="AA162" s="7"/>
      <c r="AB162" s="7"/>
    </row>
    <row r="163" spans="8:28" ht="12.75" x14ac:dyDescent="0.2">
      <c r="H163" s="14"/>
      <c r="I163" s="15"/>
      <c r="J163" s="15"/>
      <c r="K163" s="15"/>
      <c r="L163" s="16"/>
      <c r="M163" s="17"/>
      <c r="N163" s="18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7"/>
      <c r="AA163" s="7"/>
      <c r="AB163" s="7"/>
    </row>
    <row r="164" spans="8:28" ht="12.75" x14ac:dyDescent="0.2">
      <c r="H164" s="14"/>
      <c r="I164" s="15"/>
      <c r="J164" s="15"/>
      <c r="K164" s="15"/>
      <c r="L164" s="16"/>
      <c r="M164" s="17"/>
      <c r="N164" s="18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7"/>
      <c r="AA164" s="7"/>
      <c r="AB164" s="7"/>
    </row>
    <row r="165" spans="8:28" ht="12.75" x14ac:dyDescent="0.2">
      <c r="H165" s="14"/>
      <c r="I165" s="15"/>
      <c r="J165" s="15"/>
      <c r="K165" s="15"/>
      <c r="L165" s="16"/>
      <c r="M165" s="17"/>
      <c r="N165" s="18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7"/>
      <c r="AA165" s="7"/>
      <c r="AB165" s="7"/>
    </row>
    <row r="166" spans="8:28" ht="12.75" x14ac:dyDescent="0.2">
      <c r="H166" s="14"/>
      <c r="I166" s="15"/>
      <c r="J166" s="15"/>
      <c r="K166" s="15"/>
      <c r="L166" s="16"/>
      <c r="M166" s="17"/>
      <c r="N166" s="18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7"/>
      <c r="AA166" s="7"/>
      <c r="AB166" s="7"/>
    </row>
    <row r="167" spans="8:28" ht="12.75" x14ac:dyDescent="0.2">
      <c r="H167" s="14"/>
      <c r="I167" s="15"/>
      <c r="J167" s="15"/>
      <c r="K167" s="15"/>
      <c r="L167" s="16"/>
      <c r="M167" s="17"/>
      <c r="N167" s="18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7"/>
      <c r="AA167" s="7"/>
      <c r="AB167" s="7"/>
    </row>
    <row r="168" spans="8:28" ht="12.75" x14ac:dyDescent="0.2">
      <c r="H168" s="14"/>
      <c r="I168" s="15"/>
      <c r="J168" s="15"/>
      <c r="K168" s="15"/>
      <c r="L168" s="16"/>
      <c r="M168" s="17"/>
      <c r="N168" s="18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7"/>
      <c r="AA168" s="7"/>
      <c r="AB168" s="7"/>
    </row>
    <row r="169" spans="8:28" ht="12.75" x14ac:dyDescent="0.2">
      <c r="H169" s="14"/>
      <c r="I169" s="15"/>
      <c r="J169" s="15"/>
      <c r="K169" s="15"/>
      <c r="L169" s="16"/>
      <c r="M169" s="17"/>
      <c r="N169" s="18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7"/>
      <c r="AA169" s="7"/>
      <c r="AB169" s="7"/>
    </row>
    <row r="170" spans="8:28" ht="12.75" x14ac:dyDescent="0.2">
      <c r="H170" s="14"/>
      <c r="I170" s="15"/>
      <c r="J170" s="15"/>
      <c r="K170" s="15"/>
      <c r="L170" s="16"/>
      <c r="M170" s="17"/>
      <c r="N170" s="18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7"/>
      <c r="AA170" s="7"/>
      <c r="AB170" s="7"/>
    </row>
    <row r="171" spans="8:28" ht="12.75" x14ac:dyDescent="0.2">
      <c r="H171" s="14"/>
      <c r="I171" s="15"/>
      <c r="J171" s="15"/>
      <c r="K171" s="15"/>
      <c r="L171" s="16"/>
      <c r="M171" s="17"/>
      <c r="N171" s="18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7"/>
      <c r="AA171" s="7"/>
      <c r="AB171" s="7"/>
    </row>
    <row r="172" spans="8:28" ht="12.75" x14ac:dyDescent="0.2">
      <c r="H172" s="14"/>
      <c r="I172" s="15"/>
      <c r="J172" s="15"/>
      <c r="K172" s="15"/>
      <c r="L172" s="16"/>
      <c r="M172" s="17"/>
      <c r="N172" s="18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7"/>
      <c r="AA172" s="7"/>
      <c r="AB172" s="7"/>
    </row>
    <row r="173" spans="8:28" ht="12.75" x14ac:dyDescent="0.2">
      <c r="H173" s="14"/>
      <c r="I173" s="15"/>
      <c r="J173" s="15"/>
      <c r="K173" s="15"/>
      <c r="L173" s="16"/>
      <c r="M173" s="17"/>
      <c r="N173" s="18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7"/>
      <c r="AA173" s="7"/>
      <c r="AB173" s="7"/>
    </row>
    <row r="174" spans="8:28" ht="12.75" x14ac:dyDescent="0.2">
      <c r="H174" s="14"/>
      <c r="I174" s="15"/>
      <c r="J174" s="15"/>
      <c r="K174" s="15"/>
      <c r="L174" s="16"/>
      <c r="M174" s="17"/>
      <c r="N174" s="18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7"/>
      <c r="AA174" s="7"/>
      <c r="AB174" s="7"/>
    </row>
    <row r="175" spans="8:28" ht="12.75" x14ac:dyDescent="0.2">
      <c r="H175" s="14"/>
      <c r="I175" s="15"/>
      <c r="J175" s="15"/>
      <c r="K175" s="15"/>
      <c r="L175" s="16"/>
      <c r="M175" s="17"/>
      <c r="N175" s="18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7"/>
      <c r="AA175" s="7"/>
      <c r="AB175" s="7"/>
    </row>
    <row r="176" spans="8:28" ht="12.75" x14ac:dyDescent="0.2">
      <c r="H176" s="14"/>
      <c r="I176" s="15"/>
      <c r="J176" s="15"/>
      <c r="K176" s="15"/>
      <c r="L176" s="16"/>
      <c r="M176" s="17"/>
      <c r="N176" s="18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7"/>
      <c r="AA176" s="7"/>
      <c r="AB176" s="7"/>
    </row>
    <row r="177" spans="8:28" ht="12.75" x14ac:dyDescent="0.2">
      <c r="H177" s="14"/>
      <c r="I177" s="15"/>
      <c r="J177" s="15"/>
      <c r="K177" s="15"/>
      <c r="L177" s="16"/>
      <c r="M177" s="17"/>
      <c r="N177" s="18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7"/>
      <c r="AA177" s="7"/>
      <c r="AB177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K151"/>
  <sheetViews>
    <sheetView topLeftCell="C1" workbookViewId="0">
      <pane ySplit="1" topLeftCell="A2" activePane="bottomLeft" state="frozen"/>
      <selection pane="bottomLeft" activeCell="B3" sqref="B3"/>
    </sheetView>
  </sheetViews>
  <sheetFormatPr defaultColWidth="12.7109375" defaultRowHeight="15.75" customHeight="1" x14ac:dyDescent="0.2"/>
  <cols>
    <col min="5" max="5" width="9.42578125" customWidth="1"/>
    <col min="6" max="6" width="4.28515625" customWidth="1"/>
    <col min="7" max="7" width="7.7109375" customWidth="1"/>
  </cols>
  <sheetData>
    <row r="1" spans="1:37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61</v>
      </c>
      <c r="L1" s="1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15.75" customHeight="1" x14ac:dyDescent="0.25">
      <c r="A2" s="32">
        <v>138</v>
      </c>
      <c r="B2" s="32"/>
      <c r="C2" s="33" t="s">
        <v>253</v>
      </c>
      <c r="D2" s="33" t="s">
        <v>254</v>
      </c>
      <c r="E2" s="34" t="str">
        <f t="shared" ref="E2:E151" si="0">"https://www.screener.in/company/"&amp; D2&amp;"/consolidated/"</f>
        <v>https://www.screener.in/company/IRB/consolidated/</v>
      </c>
      <c r="F2" s="32"/>
      <c r="G2" s="32"/>
      <c r="H2" s="35">
        <f t="shared" ref="H2:H151" ca="1" si="1">(G2*L2)/10^7</f>
        <v>0</v>
      </c>
      <c r="I2" s="36" t="str">
        <f ca="1">IFERROR(__xludf.DUMMYFUNCTION("IMPORTXML(E2,""/html/body/main/div[3]/div[3]/div[2]/ul/li[5]/span[2]/span"")"),"Loading...")</f>
        <v>Loading...</v>
      </c>
      <c r="J2" s="36">
        <f ca="1">IFERROR(__xludf.DUMMYFUNCTION("GOOGLEFINANCE(""NSE:""&amp;D2,""marketcap"")"),255471495545)</f>
        <v>255471495545</v>
      </c>
      <c r="K2" s="36"/>
      <c r="L2" s="36">
        <f ca="1">IFERROR(__xludf.DUMMYFUNCTION("GOOGLEFINANCE(""NSE:""&amp;D2,""price"")"),42.44)</f>
        <v>42.44</v>
      </c>
      <c r="M2" s="35">
        <f t="shared" ref="M2:M151" ca="1" si="2">L2-K2</f>
        <v>42.44</v>
      </c>
      <c r="N2" s="35" t="e">
        <f t="shared" ref="N2:N151" ca="1" si="3">(M2/K2)*100</f>
        <v>#DIV/0!</v>
      </c>
      <c r="O2" s="36">
        <f ca="1">IFERROR(__xludf.DUMMYFUNCTION("GOOGLEFINANCE(""NSE:""&amp;D2,""pe"")"),3.91)</f>
        <v>3.91</v>
      </c>
      <c r="P2" s="36">
        <f ca="1">IFERROR(__xludf.DUMMYFUNCTION("GOOGLEFINANCE(""NSE:""&amp;D2,""EPS"")"),10.84)</f>
        <v>10.84</v>
      </c>
      <c r="Q2" s="36">
        <v>13.5</v>
      </c>
      <c r="R2" s="36" t="str">
        <f ca="1">IFERROR(__xludf.DUMMYFUNCTION("IMPORTXML(E2,""/html/body/main/div[3]/div[3]/div[2]/ul/li[7]/span[2]/span"")"),"Loading...")</f>
        <v>Loading...</v>
      </c>
      <c r="S2" s="36" t="str">
        <f ca="1">IFERROR(__xludf.DUMMYFUNCTION("IMPORTXML(E2,""/html/body/main/div[3]/div[3]/div[2]/ul/li[8]/span[2]/span"")"),"Loading...")</f>
        <v>Loading...</v>
      </c>
      <c r="T2" s="32">
        <v>34.6</v>
      </c>
      <c r="U2" s="32">
        <v>22.7</v>
      </c>
      <c r="V2" s="32">
        <v>2.6</v>
      </c>
      <c r="W2" s="32">
        <v>5.7</v>
      </c>
      <c r="X2" s="32">
        <v>519.92999999999995</v>
      </c>
      <c r="Y2" s="36">
        <f t="shared" ref="Y2:Y151" ca="1" si="4">L2-X2</f>
        <v>-477.48999999999995</v>
      </c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</row>
    <row r="3" spans="1:37" ht="15.75" customHeight="1" x14ac:dyDescent="0.25">
      <c r="A3" s="32">
        <v>9</v>
      </c>
      <c r="B3" s="32"/>
      <c r="C3" s="33" t="s">
        <v>255</v>
      </c>
      <c r="D3" s="33" t="s">
        <v>256</v>
      </c>
      <c r="E3" s="34" t="str">
        <f t="shared" si="0"/>
        <v>https://www.screener.in/company/CANBK/consolidated/</v>
      </c>
      <c r="F3" s="32"/>
      <c r="G3" s="32"/>
      <c r="H3" s="35">
        <f t="shared" ca="1" si="1"/>
        <v>0</v>
      </c>
      <c r="I3" s="36" t="str">
        <f ca="1">IFERROR(__xludf.DUMMYFUNCTION("IMPORTXML(E3,""/html/body/main/div[3]/div[3]/div[2]/ul/li[5]/span[2]/span"")"),"Loading...")</f>
        <v>Loading...</v>
      </c>
      <c r="J3" s="36">
        <f ca="1">IFERROR(__xludf.DUMMYFUNCTION("GOOGLEFINANCE(""NSE:""&amp;D3,""marketcap"")"),971412377483)</f>
        <v>971412377483</v>
      </c>
      <c r="K3" s="36"/>
      <c r="L3" s="36">
        <f ca="1">IFERROR(__xludf.DUMMYFUNCTION("GOOGLEFINANCE(""NSE:""&amp;D3,""price"")"),107.25)</f>
        <v>107.25</v>
      </c>
      <c r="M3" s="35">
        <f t="shared" ca="1" si="2"/>
        <v>107.25</v>
      </c>
      <c r="N3" s="35" t="e">
        <f t="shared" ca="1" si="3"/>
        <v>#DIV/0!</v>
      </c>
      <c r="O3" s="36">
        <f ca="1">IFERROR(__xludf.DUMMYFUNCTION("GOOGLEFINANCE(""NSE:""&amp;D3,""pe"")"),5.84)</f>
        <v>5.84</v>
      </c>
      <c r="P3" s="36">
        <f ca="1">IFERROR(__xludf.DUMMYFUNCTION("GOOGLEFINANCE(""NSE:""&amp;D3,""EPS"")"),18.38)</f>
        <v>18.38</v>
      </c>
      <c r="Q3" s="36">
        <v>13.5</v>
      </c>
      <c r="R3" s="36" t="str">
        <f ca="1">IFERROR(__xludf.DUMMYFUNCTION("IMPORTXML(E3,""/html/body/main/div[3]/div[3]/div[2]/ul/li[7]/span[2]/span"")"),"Loading...")</f>
        <v>Loading...</v>
      </c>
      <c r="S3" s="36" t="str">
        <f ca="1">IFERROR(__xludf.DUMMYFUNCTION("IMPORTXML(E3,""/html/body/main/div[3]/div[3]/div[2]/ul/li[8]/span[2]/span"")"),"Loading...")</f>
        <v>Loading...</v>
      </c>
      <c r="T3" s="32">
        <v>34.6</v>
      </c>
      <c r="U3" s="32">
        <v>22.7</v>
      </c>
      <c r="V3" s="32">
        <v>2.6</v>
      </c>
      <c r="W3" s="32">
        <v>5.7</v>
      </c>
      <c r="X3" s="32">
        <v>519.92999999999995</v>
      </c>
      <c r="Y3" s="36">
        <f t="shared" ca="1" si="4"/>
        <v>-412.67999999999995</v>
      </c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</row>
    <row r="4" spans="1:37" ht="15.75" customHeight="1" x14ac:dyDescent="0.25">
      <c r="A4" s="32">
        <v>81</v>
      </c>
      <c r="B4" s="32"/>
      <c r="C4" s="33" t="s">
        <v>257</v>
      </c>
      <c r="D4" s="33" t="s">
        <v>258</v>
      </c>
      <c r="E4" s="34" t="str">
        <f t="shared" si="0"/>
        <v>https://www.screener.in/company/BANKINDIA/consolidated/</v>
      </c>
      <c r="F4" s="32"/>
      <c r="G4" s="32"/>
      <c r="H4" s="35">
        <f t="shared" ca="1" si="1"/>
        <v>0</v>
      </c>
      <c r="I4" s="36" t="str">
        <f ca="1">IFERROR(__xludf.DUMMYFUNCTION("IMPORTXML(E4,""/html/body/main/div[3]/div[3]/div[2]/ul/li[5]/span[2]/span"")"),"Loading...")</f>
        <v>Loading...</v>
      </c>
      <c r="J4" s="36">
        <f ca="1">IFERROR(__xludf.DUMMYFUNCTION("GOOGLEFINANCE(""NSE:""&amp;D4,""marketcap"")"),512489685895)</f>
        <v>512489685895</v>
      </c>
      <c r="K4" s="36"/>
      <c r="L4" s="36">
        <f ca="1">IFERROR(__xludf.DUMMYFUNCTION("GOOGLEFINANCE(""NSE:""&amp;D4,""price"")"),112.95)</f>
        <v>112.95</v>
      </c>
      <c r="M4" s="35">
        <f t="shared" ca="1" si="2"/>
        <v>112.95</v>
      </c>
      <c r="N4" s="35" t="e">
        <f t="shared" ca="1" si="3"/>
        <v>#DIV/0!</v>
      </c>
      <c r="O4" s="36">
        <f ca="1">IFERROR(__xludf.DUMMYFUNCTION("GOOGLEFINANCE(""NSE:""&amp;D4,""pe"")"),5.42)</f>
        <v>5.42</v>
      </c>
      <c r="P4" s="36">
        <f ca="1">IFERROR(__xludf.DUMMYFUNCTION("GOOGLEFINANCE(""NSE:""&amp;D4,""EPS"")"),20.84)</f>
        <v>20.84</v>
      </c>
      <c r="Q4" s="36">
        <v>13.5</v>
      </c>
      <c r="R4" s="36" t="str">
        <f ca="1">IFERROR(__xludf.DUMMYFUNCTION("IMPORTXML(E4,""/html/body/main/div[3]/div[3]/div[2]/ul/li[7]/span[2]/span"")"),"Loading...")</f>
        <v>Loading...</v>
      </c>
      <c r="S4" s="36">
        <f ca="1">IFERROR(__xludf.DUMMYFUNCTION("IMPORTXML(E4,""/html/body/main/div[3]/div[3]/div[2]/ul/li[8]/span[2]/span"")"),12.4)</f>
        <v>12.4</v>
      </c>
      <c r="T4" s="32">
        <v>34.6</v>
      </c>
      <c r="U4" s="32">
        <v>22.7</v>
      </c>
      <c r="V4" s="32">
        <v>2.6</v>
      </c>
      <c r="W4" s="32">
        <v>5.7</v>
      </c>
      <c r="X4" s="32">
        <v>519.92999999999995</v>
      </c>
      <c r="Y4" s="36">
        <f t="shared" ca="1" si="4"/>
        <v>-406.97999999999996</v>
      </c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</row>
    <row r="5" spans="1:37" ht="15.75" customHeight="1" x14ac:dyDescent="0.25">
      <c r="A5" s="32">
        <v>14</v>
      </c>
      <c r="B5" s="32"/>
      <c r="C5" s="33" t="s">
        <v>259</v>
      </c>
      <c r="D5" s="33" t="s">
        <v>260</v>
      </c>
      <c r="E5" s="34" t="str">
        <f t="shared" si="0"/>
        <v>https://www.screener.in/company/UNIONBANK/consolidated/</v>
      </c>
      <c r="F5" s="32"/>
      <c r="G5" s="32"/>
      <c r="H5" s="35">
        <f t="shared" ca="1" si="1"/>
        <v>0</v>
      </c>
      <c r="I5" s="36" t="str">
        <f ca="1">IFERROR(__xludf.DUMMYFUNCTION("IMPORTXML(E5,""/html/body/main/div[3]/div[3]/div[2]/ul/li[5]/span[2]/span"")"),"Loading...")</f>
        <v>Loading...</v>
      </c>
      <c r="J5" s="36">
        <f ca="1">IFERROR(__xludf.DUMMYFUNCTION("GOOGLEFINANCE(""NSE:""&amp;D5,""marketcap"")"),972075044103)</f>
        <v>972075044103</v>
      </c>
      <c r="K5" s="36"/>
      <c r="L5" s="36">
        <f ca="1">IFERROR(__xludf.DUMMYFUNCTION("GOOGLEFINANCE(""NSE:""&amp;D5,""price"")"),127.41)</f>
        <v>127.41</v>
      </c>
      <c r="M5" s="35">
        <f t="shared" ca="1" si="2"/>
        <v>127.41</v>
      </c>
      <c r="N5" s="35" t="e">
        <f t="shared" ca="1" si="3"/>
        <v>#DIV/0!</v>
      </c>
      <c r="O5" s="36">
        <f ca="1">IFERROR(__xludf.DUMMYFUNCTION("GOOGLEFINANCE(""NSE:""&amp;D5,""pe"")"),5.17)</f>
        <v>5.17</v>
      </c>
      <c r="P5" s="36">
        <f ca="1">IFERROR(__xludf.DUMMYFUNCTION("GOOGLEFINANCE(""NSE:""&amp;D5,""EPS"")"),24.65)</f>
        <v>24.65</v>
      </c>
      <c r="Q5" s="36">
        <v>13.5</v>
      </c>
      <c r="R5" s="36" t="str">
        <f ca="1">IFERROR(__xludf.DUMMYFUNCTION("IMPORTXML(E5,""/html/body/main/div[3]/div[3]/div[2]/ul/li[7]/span[2]/span"")"),"Loading...")</f>
        <v>Loading...</v>
      </c>
      <c r="S5" s="36" t="str">
        <f ca="1">IFERROR(__xludf.DUMMYFUNCTION("IMPORTXML(E5,""/html/body/main/div[3]/div[3]/div[2]/ul/li[8]/span[2]/span"")"),"Loading...")</f>
        <v>Loading...</v>
      </c>
      <c r="T5" s="32">
        <v>34.6</v>
      </c>
      <c r="U5" s="32">
        <v>22.7</v>
      </c>
      <c r="V5" s="32">
        <v>2.6</v>
      </c>
      <c r="W5" s="32">
        <v>5.7</v>
      </c>
      <c r="X5" s="32">
        <v>519.92999999999995</v>
      </c>
      <c r="Y5" s="36">
        <f t="shared" ca="1" si="4"/>
        <v>-392.52</v>
      </c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</row>
    <row r="6" spans="1:37" ht="15.75" customHeight="1" x14ac:dyDescent="0.25">
      <c r="A6" s="32">
        <v>135</v>
      </c>
      <c r="B6" s="32"/>
      <c r="C6" s="33" t="s">
        <v>261</v>
      </c>
      <c r="D6" s="33" t="s">
        <v>262</v>
      </c>
      <c r="E6" s="34" t="str">
        <f t="shared" si="0"/>
        <v>https://www.screener.in/company/LICHSGFIN/consolidated/</v>
      </c>
      <c r="F6" s="32"/>
      <c r="G6" s="32"/>
      <c r="H6" s="35">
        <f t="shared" ca="1" si="1"/>
        <v>0</v>
      </c>
      <c r="I6" s="36" t="str">
        <f ca="1">IFERROR(__xludf.DUMMYFUNCTION("IMPORTXML(E6,""/html/body/main/div[3]/div[3]/div[2]/ul/li[5]/span[2]/span"")"),"Loading...")</f>
        <v>Loading...</v>
      </c>
      <c r="J6" s="36">
        <f ca="1">IFERROR(__xludf.DUMMYFUNCTION("GOOGLEFINANCE(""NSE:""&amp;D6,""marketcap"")"),304767495962)</f>
        <v>304767495962</v>
      </c>
      <c r="K6" s="36"/>
      <c r="L6" s="36">
        <f ca="1">IFERROR(__xludf.DUMMYFUNCTION("GOOGLEFINANCE(""NSE:""&amp;D6,""price"")"),555.2)</f>
        <v>555.20000000000005</v>
      </c>
      <c r="M6" s="35">
        <f t="shared" ca="1" si="2"/>
        <v>555.20000000000005</v>
      </c>
      <c r="N6" s="35" t="e">
        <f t="shared" ca="1" si="3"/>
        <v>#DIV/0!</v>
      </c>
      <c r="O6" s="36">
        <f ca="1">IFERROR(__xludf.DUMMYFUNCTION("GOOGLEFINANCE(""NSE:""&amp;D6,""pe"")"),5.55)</f>
        <v>5.55</v>
      </c>
      <c r="P6" s="36">
        <f ca="1">IFERROR(__xludf.DUMMYFUNCTION("GOOGLEFINANCE(""NSE:""&amp;D6,""EPS"")"),100)</f>
        <v>100</v>
      </c>
      <c r="Q6" s="36">
        <v>13.5</v>
      </c>
      <c r="R6" s="36" t="str">
        <f ca="1">IFERROR(__xludf.DUMMYFUNCTION("IMPORTXML(E6,""/html/body/main/div[3]/div[3]/div[2]/ul/li[7]/span[2]/span"")"),"Loading...")</f>
        <v>Loading...</v>
      </c>
      <c r="S6" s="36" t="str">
        <f ca="1">IFERROR(__xludf.DUMMYFUNCTION("IMPORTXML(E6,""/html/body/main/div[3]/div[3]/div[2]/ul/li[8]/span[2]/span"")"),"Loading...")</f>
        <v>Loading...</v>
      </c>
      <c r="T6" s="32">
        <v>34.6</v>
      </c>
      <c r="U6" s="32">
        <v>22.7</v>
      </c>
      <c r="V6" s="32">
        <v>2.6</v>
      </c>
      <c r="W6" s="32">
        <v>5.7</v>
      </c>
      <c r="X6" s="32">
        <v>519.92999999999995</v>
      </c>
      <c r="Y6" s="36">
        <f t="shared" ca="1" si="4"/>
        <v>35.270000000000095</v>
      </c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</row>
    <row r="7" spans="1:37" ht="15.75" customHeight="1" x14ac:dyDescent="0.25">
      <c r="A7" s="32">
        <v>110</v>
      </c>
      <c r="B7" s="32"/>
      <c r="C7" s="33" t="s">
        <v>263</v>
      </c>
      <c r="D7" s="33" t="s">
        <v>264</v>
      </c>
      <c r="E7" s="34" t="str">
        <f t="shared" si="0"/>
        <v>https://www.screener.in/company/MAHABANK/consolidated/</v>
      </c>
      <c r="F7" s="32"/>
      <c r="G7" s="32"/>
      <c r="H7" s="35">
        <f t="shared" ca="1" si="1"/>
        <v>0</v>
      </c>
      <c r="I7" s="36" t="str">
        <f ca="1">IFERROR(__xludf.DUMMYFUNCTION("IMPORTXML(E7,""/html/body/main/div[3]/div[3]/div[2]/ul/li[5]/span[2]/span"")"),"Loading...")</f>
        <v>Loading...</v>
      </c>
      <c r="J7" s="36">
        <f ca="1">IFERROR(__xludf.DUMMYFUNCTION("GOOGLEFINANCE(""NSE:""&amp;D7,""marketcap"")"),404881670734)</f>
        <v>404881670734</v>
      </c>
      <c r="K7" s="36"/>
      <c r="L7" s="36">
        <f ca="1">IFERROR(__xludf.DUMMYFUNCTION("GOOGLEFINANCE(""NSE:""&amp;D7,""price"")"),52.75)</f>
        <v>52.75</v>
      </c>
      <c r="M7" s="35">
        <f t="shared" ca="1" si="2"/>
        <v>52.75</v>
      </c>
      <c r="N7" s="35" t="e">
        <f t="shared" ca="1" si="3"/>
        <v>#DIV/0!</v>
      </c>
      <c r="O7" s="36">
        <f ca="1">IFERROR(__xludf.DUMMYFUNCTION("GOOGLEFINANCE(""NSE:""&amp;D7,""pe"")"),6.91)</f>
        <v>6.91</v>
      </c>
      <c r="P7" s="36">
        <f ca="1">IFERROR(__xludf.DUMMYFUNCTION("GOOGLEFINANCE(""NSE:""&amp;D7,""EPS"")"),7.64)</f>
        <v>7.64</v>
      </c>
      <c r="Q7" s="36">
        <v>13.5</v>
      </c>
      <c r="R7" s="36" t="str">
        <f ca="1">IFERROR(__xludf.DUMMYFUNCTION("IMPORTXML(E7,""/html/body/main/div[3]/div[3]/div[2]/ul/li[7]/span[2]/span"")"),"Loading...")</f>
        <v>Loading...</v>
      </c>
      <c r="S7" s="36" t="str">
        <f ca="1">IFERROR(__xludf.DUMMYFUNCTION("IMPORTXML(E7,""/html/body/main/div[3]/div[3]/div[2]/ul/li[8]/span[2]/span"")"),"Loading...")</f>
        <v>Loading...</v>
      </c>
      <c r="T7" s="32">
        <v>34.6</v>
      </c>
      <c r="U7" s="32">
        <v>22.7</v>
      </c>
      <c r="V7" s="32">
        <v>2.6</v>
      </c>
      <c r="W7" s="32">
        <v>5.7</v>
      </c>
      <c r="X7" s="32">
        <v>519.92999999999995</v>
      </c>
      <c r="Y7" s="36">
        <f t="shared" ca="1" si="4"/>
        <v>-467.17999999999995</v>
      </c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</row>
    <row r="8" spans="1:37" ht="15.75" customHeight="1" x14ac:dyDescent="0.25">
      <c r="A8" s="32">
        <v>36</v>
      </c>
      <c r="B8" s="32"/>
      <c r="C8" s="33" t="s">
        <v>265</v>
      </c>
      <c r="D8" s="33" t="s">
        <v>266</v>
      </c>
      <c r="E8" s="34" t="str">
        <f t="shared" si="0"/>
        <v>https://www.screener.in/company/INDIANB/consolidated/</v>
      </c>
      <c r="F8" s="32"/>
      <c r="G8" s="32"/>
      <c r="H8" s="35">
        <f t="shared" ca="1" si="1"/>
        <v>0</v>
      </c>
      <c r="I8" s="36" t="str">
        <f ca="1">IFERROR(__xludf.DUMMYFUNCTION("IMPORTXML(E8,""/html/body/main/div[3]/div[3]/div[2]/ul/li[5]/span[2]/span"")"),"Loading...")</f>
        <v>Loading...</v>
      </c>
      <c r="J8" s="36">
        <f ca="1">IFERROR(__xludf.DUMMYFUNCTION("GOOGLEFINANCE(""NSE:""&amp;D8,""marketcap"")"),894720800000)</f>
        <v>894720800000</v>
      </c>
      <c r="K8" s="36"/>
      <c r="L8" s="36">
        <f ca="1">IFERROR(__xludf.DUMMYFUNCTION("GOOGLEFINANCE(""NSE:""&amp;D8,""price"")"),665.1)</f>
        <v>665.1</v>
      </c>
      <c r="M8" s="35">
        <f t="shared" ca="1" si="2"/>
        <v>665.1</v>
      </c>
      <c r="N8" s="35" t="e">
        <f t="shared" ca="1" si="3"/>
        <v>#DIV/0!</v>
      </c>
      <c r="O8" s="36">
        <f ca="1">IFERROR(__xludf.DUMMYFUNCTION("GOOGLEFINANCE(""NSE:""&amp;D8,""pe"")"),8.17)</f>
        <v>8.17</v>
      </c>
      <c r="P8" s="36">
        <f ca="1">IFERROR(__xludf.DUMMYFUNCTION("GOOGLEFINANCE(""NSE:""&amp;D8,""EPS"")"),81.43)</f>
        <v>81.430000000000007</v>
      </c>
      <c r="Q8" s="36">
        <v>13.5</v>
      </c>
      <c r="R8" s="36" t="str">
        <f ca="1">IFERROR(__xludf.DUMMYFUNCTION("IMPORTXML(E8,""/html/body/main/div[3]/div[3]/div[2]/ul/li[7]/span[2]/span"")"),"Loading...")</f>
        <v>Loading...</v>
      </c>
      <c r="S8" s="36" t="str">
        <f ca="1">IFERROR(__xludf.DUMMYFUNCTION("IMPORTXML(E8,""/html/body/main/div[3]/div[3]/div[2]/ul/li[8]/span[2]/span"")"),"Loading...")</f>
        <v>Loading...</v>
      </c>
      <c r="T8" s="32">
        <v>34.6</v>
      </c>
      <c r="U8" s="32">
        <v>22.7</v>
      </c>
      <c r="V8" s="32">
        <v>2.6</v>
      </c>
      <c r="W8" s="32">
        <v>5.7</v>
      </c>
      <c r="X8" s="32">
        <v>519.92999999999995</v>
      </c>
      <c r="Y8" s="36">
        <f t="shared" ca="1" si="4"/>
        <v>145.17000000000007</v>
      </c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</row>
    <row r="9" spans="1:37" ht="15.75" customHeight="1" x14ac:dyDescent="0.25">
      <c r="A9" s="32">
        <v>42</v>
      </c>
      <c r="B9" s="32"/>
      <c r="C9" s="33" t="s">
        <v>267</v>
      </c>
      <c r="D9" s="33" t="s">
        <v>268</v>
      </c>
      <c r="E9" s="34" t="str">
        <f t="shared" si="0"/>
        <v>https://www.screener.in/company/GICRE/consolidated/</v>
      </c>
      <c r="F9" s="32"/>
      <c r="G9" s="32"/>
      <c r="H9" s="35">
        <f t="shared" ca="1" si="1"/>
        <v>0</v>
      </c>
      <c r="I9" s="36" t="str">
        <f ca="1">IFERROR(__xludf.DUMMYFUNCTION("IMPORTXML(E9,""/html/body/main/div[3]/div[3]/div[2]/ul/li[5]/span[2]/span"")"),"Loading...")</f>
        <v>Loading...</v>
      </c>
      <c r="J9" s="36">
        <f ca="1">IFERROR(__xludf.DUMMYFUNCTION("GOOGLEFINANCE(""NSE:""&amp;D9,""marketcap"")"),645006825024)</f>
        <v>645006825024</v>
      </c>
      <c r="K9" s="36"/>
      <c r="L9" s="36">
        <f ca="1">IFERROR(__xludf.DUMMYFUNCTION("GOOGLEFINANCE(""NSE:""&amp;D9,""price"")"),366.4)</f>
        <v>366.4</v>
      </c>
      <c r="M9" s="35">
        <f t="shared" ca="1" si="2"/>
        <v>366.4</v>
      </c>
      <c r="N9" s="35" t="e">
        <f t="shared" ca="1" si="3"/>
        <v>#DIV/0!</v>
      </c>
      <c r="O9" s="36">
        <f ca="1">IFERROR(__xludf.DUMMYFUNCTION("GOOGLEFINANCE(""NSE:""&amp;D9,""pe"")"),6.45)</f>
        <v>6.45</v>
      </c>
      <c r="P9" s="36">
        <f ca="1">IFERROR(__xludf.DUMMYFUNCTION("GOOGLEFINANCE(""NSE:""&amp;D9,""EPS"")"),56.78)</f>
        <v>56.78</v>
      </c>
      <c r="Q9" s="36">
        <v>13.5</v>
      </c>
      <c r="R9" s="36" t="str">
        <f ca="1">IFERROR(__xludf.DUMMYFUNCTION("IMPORTXML(E9,""/html/body/main/div[3]/div[3]/div[2]/ul/li[7]/span[2]/span"")"),"Loading...")</f>
        <v>Loading...</v>
      </c>
      <c r="S9" s="36" t="str">
        <f ca="1">IFERROR(__xludf.DUMMYFUNCTION("IMPORTXML(E9,""/html/body/main/div[3]/div[3]/div[2]/ul/li[8]/span[2]/span"")"),"Loading...")</f>
        <v>Loading...</v>
      </c>
      <c r="T9" s="32">
        <v>34.6</v>
      </c>
      <c r="U9" s="32">
        <v>22.7</v>
      </c>
      <c r="V9" s="32">
        <v>2.6</v>
      </c>
      <c r="W9" s="32">
        <v>5.7</v>
      </c>
      <c r="X9" s="32">
        <v>519.92999999999995</v>
      </c>
      <c r="Y9" s="36">
        <f t="shared" ca="1" si="4"/>
        <v>-153.52999999999997</v>
      </c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</row>
    <row r="10" spans="1:37" ht="15.75" customHeight="1" x14ac:dyDescent="0.25">
      <c r="A10" s="32">
        <v>20</v>
      </c>
      <c r="B10" s="32"/>
      <c r="C10" s="33" t="s">
        <v>269</v>
      </c>
      <c r="D10" s="33" t="s">
        <v>270</v>
      </c>
      <c r="E10" s="34" t="str">
        <f t="shared" si="0"/>
        <v>https://www.screener.in/company/OIL/consolidated/</v>
      </c>
      <c r="F10" s="32"/>
      <c r="G10" s="32"/>
      <c r="H10" s="35">
        <f t="shared" ca="1" si="1"/>
        <v>0</v>
      </c>
      <c r="I10" s="36" t="str">
        <f ca="1">IFERROR(__xludf.DUMMYFUNCTION("IMPORTXML(E10,""/html/body/main/div[3]/div[3]/div[2]/ul/li[5]/span[2]/span"")"),"Loading...")</f>
        <v>Loading...</v>
      </c>
      <c r="J10" s="36">
        <f ca="1">IFERROR(__xludf.DUMMYFUNCTION("GOOGLEFINANCE(""NSE:""&amp;D10,""marketcap"")"),644949675500)</f>
        <v>644949675500</v>
      </c>
      <c r="K10" s="36"/>
      <c r="L10" s="36">
        <f ca="1">IFERROR(__xludf.DUMMYFUNCTION("GOOGLEFINANCE(""NSE:""&amp;D10,""price"")"),396.5)</f>
        <v>396.5</v>
      </c>
      <c r="M10" s="35">
        <f t="shared" ca="1" si="2"/>
        <v>396.5</v>
      </c>
      <c r="N10" s="35" t="e">
        <f t="shared" ca="1" si="3"/>
        <v>#DIV/0!</v>
      </c>
      <c r="O10" s="36">
        <f ca="1">IFERROR(__xludf.DUMMYFUNCTION("GOOGLEFINANCE(""NSE:""&amp;D10,""pe"")"),9.83)</f>
        <v>9.83</v>
      </c>
      <c r="P10" s="36">
        <f ca="1">IFERROR(__xludf.DUMMYFUNCTION("GOOGLEFINANCE(""NSE:""&amp;D10,""EPS"")"),40.34)</f>
        <v>40.340000000000003</v>
      </c>
      <c r="Q10" s="36">
        <v>13.5</v>
      </c>
      <c r="R10" s="36" t="str">
        <f ca="1">IFERROR(__xludf.DUMMYFUNCTION("IMPORTXML(E10,""/html/body/main/div[3]/div[3]/div[2]/ul/li[7]/span[2]/span"")"),"Loading...")</f>
        <v>Loading...</v>
      </c>
      <c r="S10" s="36" t="str">
        <f ca="1">IFERROR(__xludf.DUMMYFUNCTION("IMPORTXML(E10,""/html/body/main/div[3]/div[3]/div[2]/ul/li[8]/span[2]/span"")"),"Loading...")</f>
        <v>Loading...</v>
      </c>
      <c r="T10" s="32">
        <v>34.6</v>
      </c>
      <c r="U10" s="32">
        <v>22.7</v>
      </c>
      <c r="V10" s="32">
        <v>2.6</v>
      </c>
      <c r="W10" s="32">
        <v>5.7</v>
      </c>
      <c r="X10" s="32">
        <v>519.92999999999995</v>
      </c>
      <c r="Y10" s="36">
        <f t="shared" ca="1" si="4"/>
        <v>-123.42999999999995</v>
      </c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</row>
    <row r="11" spans="1:37" ht="15.75" customHeight="1" x14ac:dyDescent="0.25">
      <c r="A11" s="32">
        <v>128</v>
      </c>
      <c r="B11" s="32"/>
      <c r="C11" s="33" t="s">
        <v>271</v>
      </c>
      <c r="D11" s="33" t="s">
        <v>272</v>
      </c>
      <c r="E11" s="34" t="str">
        <f t="shared" si="0"/>
        <v>https://www.screener.in/company/NATIONALUM/consolidated/</v>
      </c>
      <c r="F11" s="32"/>
      <c r="G11" s="32"/>
      <c r="H11" s="35">
        <f t="shared" ca="1" si="1"/>
        <v>0</v>
      </c>
      <c r="I11" s="36" t="str">
        <f ca="1">IFERROR(__xludf.DUMMYFUNCTION("IMPORTXML(E11,""/html/body/main/div[3]/div[3]/div[2]/ul/li[5]/span[2]/span"")"),"Loading...")</f>
        <v>Loading...</v>
      </c>
      <c r="J11" s="36">
        <f ca="1">IFERROR(__xludf.DUMMYFUNCTION("GOOGLEFINANCE(""NSE:""&amp;D11,""marketcap"")"),389641255440)</f>
        <v>389641255440</v>
      </c>
      <c r="K11" s="36"/>
      <c r="L11" s="36">
        <f ca="1">IFERROR(__xludf.DUMMYFUNCTION("GOOGLEFINANCE(""NSE:""&amp;D11,""price"")"),212.43)</f>
        <v>212.43</v>
      </c>
      <c r="M11" s="35">
        <f t="shared" ca="1" si="2"/>
        <v>212.43</v>
      </c>
      <c r="N11" s="35" t="e">
        <f t="shared" ca="1" si="3"/>
        <v>#DIV/0!</v>
      </c>
      <c r="O11" s="36">
        <f ca="1">IFERROR(__xludf.DUMMYFUNCTION("GOOGLEFINANCE(""NSE:""&amp;D11,""pe"")"),6.81)</f>
        <v>6.81</v>
      </c>
      <c r="P11" s="36">
        <f ca="1">IFERROR(__xludf.DUMMYFUNCTION("GOOGLEFINANCE(""NSE:""&amp;D11,""EPS"")"),31.19)</f>
        <v>31.19</v>
      </c>
      <c r="Q11" s="36">
        <v>13.5</v>
      </c>
      <c r="R11" s="36" t="str">
        <f ca="1">IFERROR(__xludf.DUMMYFUNCTION("IMPORTXML(E11,""/html/body/main/div[3]/div[3]/div[2]/ul/li[7]/span[2]/span"")"),"Loading...")</f>
        <v>Loading...</v>
      </c>
      <c r="S11" s="36" t="str">
        <f ca="1">IFERROR(__xludf.DUMMYFUNCTION("IMPORTXML(E11,""/html/body/main/div[3]/div[3]/div[2]/ul/li[8]/span[2]/span"")"),"Loading...")</f>
        <v>Loading...</v>
      </c>
      <c r="T11" s="32">
        <v>34.6</v>
      </c>
      <c r="U11" s="32">
        <v>22.7</v>
      </c>
      <c r="V11" s="32">
        <v>2.6</v>
      </c>
      <c r="W11" s="32">
        <v>5.7</v>
      </c>
      <c r="X11" s="32">
        <v>519.92999999999995</v>
      </c>
      <c r="Y11" s="36">
        <f t="shared" ca="1" si="4"/>
        <v>-307.49999999999994</v>
      </c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</row>
    <row r="12" spans="1:37" ht="15.75" customHeight="1" x14ac:dyDescent="0.25">
      <c r="A12" s="32">
        <v>49</v>
      </c>
      <c r="B12" s="32"/>
      <c r="C12" s="33" t="s">
        <v>273</v>
      </c>
      <c r="D12" s="33" t="s">
        <v>274</v>
      </c>
      <c r="E12" s="34" t="str">
        <f t="shared" si="0"/>
        <v>https://www.screener.in/company/NMDC/consolidated/</v>
      </c>
      <c r="F12" s="32"/>
      <c r="G12" s="32"/>
      <c r="H12" s="35">
        <f t="shared" ca="1" si="1"/>
        <v>0</v>
      </c>
      <c r="I12" s="36" t="str">
        <f ca="1">IFERROR(__xludf.DUMMYFUNCTION("IMPORTXML(E12,""/html/body/main/div[3]/div[3]/div[2]/ul/li[5]/span[2]/span"")"),"Loading...")</f>
        <v>Loading...</v>
      </c>
      <c r="J12" s="36">
        <f ca="1">IFERROR(__xludf.DUMMYFUNCTION("GOOGLEFINANCE(""NSE:""&amp;D12,""marketcap"")"),655171178000)</f>
        <v>655171178000</v>
      </c>
      <c r="K12" s="36"/>
      <c r="L12" s="36">
        <f ca="1">IFERROR(__xludf.DUMMYFUNCTION("GOOGLEFINANCE(""NSE:""&amp;D12,""price"")"),74.58)</f>
        <v>74.58</v>
      </c>
      <c r="M12" s="35">
        <f t="shared" ca="1" si="2"/>
        <v>74.58</v>
      </c>
      <c r="N12" s="35" t="e">
        <f t="shared" ca="1" si="3"/>
        <v>#DIV/0!</v>
      </c>
      <c r="O12" s="36">
        <f ca="1">IFERROR(__xludf.DUMMYFUNCTION("GOOGLEFINANCE(""NSE:""&amp;D12,""pe"")"),10.03)</f>
        <v>10.029999999999999</v>
      </c>
      <c r="P12" s="36">
        <f ca="1">IFERROR(__xludf.DUMMYFUNCTION("GOOGLEFINANCE(""NSE:""&amp;D12,""EPS"")"),7.44)</f>
        <v>7.44</v>
      </c>
      <c r="Q12" s="36">
        <v>13.5</v>
      </c>
      <c r="R12" s="36" t="str">
        <f ca="1">IFERROR(__xludf.DUMMYFUNCTION("IMPORTXML(E12,""/html/body/main/div[3]/div[3]/div[2]/ul/li[7]/span[2]/span"")"),"Loading...")</f>
        <v>Loading...</v>
      </c>
      <c r="S12" s="36" t="str">
        <f ca="1">IFERROR(__xludf.DUMMYFUNCTION("IMPORTXML(E12,""/html/body/main/div[3]/div[3]/div[2]/ul/li[8]/span[2]/span"")"),"Loading...")</f>
        <v>Loading...</v>
      </c>
      <c r="T12" s="32">
        <v>34.6</v>
      </c>
      <c r="U12" s="32">
        <v>22.7</v>
      </c>
      <c r="V12" s="32">
        <v>2.6</v>
      </c>
      <c r="W12" s="32">
        <v>5.7</v>
      </c>
      <c r="X12" s="32">
        <v>519.92999999999995</v>
      </c>
      <c r="Y12" s="36">
        <f t="shared" ca="1" si="4"/>
        <v>-445.34999999999997</v>
      </c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</row>
    <row r="13" spans="1:37" ht="15.75" customHeight="1" x14ac:dyDescent="0.25">
      <c r="A13" s="4">
        <v>6</v>
      </c>
      <c r="C13" s="12" t="s">
        <v>275</v>
      </c>
      <c r="D13" s="12" t="s">
        <v>276</v>
      </c>
      <c r="E13" s="5" t="str">
        <f t="shared" si="0"/>
        <v>https://www.screener.in/company/INDUSINDBK/consolidated/</v>
      </c>
      <c r="H13" s="6">
        <f t="shared" ca="1" si="1"/>
        <v>0</v>
      </c>
      <c r="I13" s="7" t="str">
        <f ca="1">IFERROR(__xludf.DUMMYFUNCTION("IMPORTXML(E13,""/html/body/main/div[3]/div[3]/div[2]/ul/li[5]/span[2]/span"")"),"Loading...")</f>
        <v>Loading...</v>
      </c>
      <c r="J13" s="7">
        <f ca="1">IFERROR(__xludf.DUMMYFUNCTION("GOOGLEFINANCE(""NSE:""&amp;D13,""marketcap"")"),589799400000)</f>
        <v>589799400000</v>
      </c>
      <c r="K13" s="7"/>
      <c r="L13" s="8">
        <f ca="1">IFERROR(__xludf.DUMMYFUNCTION("GOOGLEFINANCE(""NSE:""&amp;D13,""price"")"),758.25)</f>
        <v>758.25</v>
      </c>
      <c r="M13" s="9">
        <f t="shared" ca="1" si="2"/>
        <v>758.25</v>
      </c>
      <c r="N13" s="10" t="e">
        <f t="shared" ca="1" si="3"/>
        <v>#DIV/0!</v>
      </c>
      <c r="O13" s="7">
        <f ca="1">IFERROR(__xludf.DUMMYFUNCTION("GOOGLEFINANCE(""NSE:""&amp;D13,""pe"")"),58.59)</f>
        <v>58.59</v>
      </c>
      <c r="P13" s="7">
        <f ca="1">IFERROR(__xludf.DUMMYFUNCTION("GOOGLEFINANCE(""NSE:""&amp;D13,""EPS"")"),12.94)</f>
        <v>12.94</v>
      </c>
      <c r="Q13" s="7">
        <v>13.5</v>
      </c>
      <c r="R13" s="7" t="str">
        <f ca="1">IFERROR(__xludf.DUMMYFUNCTION("IMPORTXML(E13,""/html/body/main/div[3]/div[3]/div[2]/ul/li[7]/span[2]/span"")"),"Loading...")</f>
        <v>Loading...</v>
      </c>
      <c r="S13" s="7" t="str">
        <f ca="1">IFERROR(__xludf.DUMMYFUNCTION("IMPORTXML(E13,""/html/body/main/div[3]/div[3]/div[2]/ul/li[8]/span[2]/span"")"),"Loading...")</f>
        <v>Loading...</v>
      </c>
      <c r="T13" s="4">
        <v>34.6</v>
      </c>
      <c r="U13" s="4">
        <v>22.7</v>
      </c>
      <c r="V13" s="4">
        <v>2.6</v>
      </c>
      <c r="W13" s="4">
        <v>5.7</v>
      </c>
      <c r="X13" s="4">
        <v>519.92999999999995</v>
      </c>
      <c r="Y13" s="7">
        <f t="shared" ca="1" si="4"/>
        <v>238.32000000000005</v>
      </c>
    </row>
    <row r="14" spans="1:37" ht="15.75" customHeight="1" x14ac:dyDescent="0.25">
      <c r="A14" s="4">
        <v>84</v>
      </c>
      <c r="C14" s="12" t="s">
        <v>277</v>
      </c>
      <c r="D14" s="12" t="s">
        <v>278</v>
      </c>
      <c r="E14" s="5" t="str">
        <f t="shared" si="0"/>
        <v>https://www.screener.in/company/CENTRALBK/consolidated/</v>
      </c>
      <c r="H14" s="6">
        <f t="shared" ca="1" si="1"/>
        <v>0</v>
      </c>
      <c r="I14" s="7" t="str">
        <f ca="1">IFERROR(__xludf.DUMMYFUNCTION("IMPORTXML(E14,""/html/body/main/div[3]/div[3]/div[2]/ul/li[5]/span[2]/span"")"),"Loading...")</f>
        <v>Loading...</v>
      </c>
      <c r="J14" s="7">
        <f ca="1">IFERROR(__xludf.DUMMYFUNCTION("GOOGLEFINANCE(""NSE:""&amp;D14,""marketcap"")"),318887198068)</f>
        <v>318887198068</v>
      </c>
      <c r="K14" s="7"/>
      <c r="L14" s="8">
        <f ca="1">IFERROR(__xludf.DUMMYFUNCTION("GOOGLEFINANCE(""NSE:""&amp;D14,""price"")"),35.24)</f>
        <v>35.24</v>
      </c>
      <c r="M14" s="9">
        <f t="shared" ca="1" si="2"/>
        <v>35.24</v>
      </c>
      <c r="N14" s="10" t="e">
        <f t="shared" ca="1" si="3"/>
        <v>#DIV/0!</v>
      </c>
      <c r="O14" s="7">
        <f ca="1">IFERROR(__xludf.DUMMYFUNCTION("GOOGLEFINANCE(""NSE:""&amp;D14,""pe"")"),7.25)</f>
        <v>7.25</v>
      </c>
      <c r="P14" s="7">
        <f ca="1">IFERROR(__xludf.DUMMYFUNCTION("GOOGLEFINANCE(""NSE:""&amp;D14,""EPS"")"),4.86)</f>
        <v>4.8600000000000003</v>
      </c>
      <c r="Q14" s="7">
        <v>13.5</v>
      </c>
      <c r="R14" s="7" t="str">
        <f ca="1">IFERROR(__xludf.DUMMYFUNCTION("IMPORTXML(E14,""/html/body/main/div[3]/div[3]/div[2]/ul/li[7]/span[2]/span"")"),"Loading...")</f>
        <v>Loading...</v>
      </c>
      <c r="S14" s="7" t="str">
        <f ca="1">IFERROR(__xludf.DUMMYFUNCTION("IMPORTXML(E14,""/html/body/main/div[3]/div[3]/div[2]/ul/li[8]/span[2]/span"")"),"Loading...")</f>
        <v>Loading...</v>
      </c>
      <c r="T14" s="4">
        <v>34.6</v>
      </c>
      <c r="U14" s="4">
        <v>22.7</v>
      </c>
      <c r="V14" s="4">
        <v>2.6</v>
      </c>
      <c r="W14" s="4">
        <v>5.7</v>
      </c>
      <c r="X14" s="4">
        <v>519.92999999999995</v>
      </c>
      <c r="Y14" s="7">
        <f t="shared" ca="1" si="4"/>
        <v>-484.68999999999994</v>
      </c>
    </row>
    <row r="15" spans="1:37" ht="15.75" customHeight="1" x14ac:dyDescent="0.25">
      <c r="A15" s="4">
        <v>16</v>
      </c>
      <c r="C15" s="12" t="s">
        <v>279</v>
      </c>
      <c r="D15" s="12" t="s">
        <v>280</v>
      </c>
      <c r="E15" s="5" t="str">
        <f t="shared" si="0"/>
        <v>https://www.screener.in/company/IDBI/consolidated/</v>
      </c>
      <c r="H15" s="6">
        <f t="shared" ca="1" si="1"/>
        <v>0</v>
      </c>
      <c r="I15" s="7" t="str">
        <f ca="1">IFERROR(__xludf.DUMMYFUNCTION("IMPORTXML(E15,""/html/body/main/div[3]/div[3]/div[2]/ul/li[5]/span[2]/span"")"),"Loading...")</f>
        <v>Loading...</v>
      </c>
      <c r="J15" s="7">
        <f ca="1">IFERROR(__xludf.DUMMYFUNCTION("GOOGLEFINANCE(""NSE:""&amp;D15,""marketcap"")"),955565817532)</f>
        <v>955565817532</v>
      </c>
      <c r="K15" s="7"/>
      <c r="L15" s="8">
        <f ca="1">IFERROR(__xludf.DUMMYFUNCTION("GOOGLEFINANCE(""NSE:""&amp;D15,""price"")"),88.9)</f>
        <v>88.9</v>
      </c>
      <c r="M15" s="9">
        <f t="shared" ca="1" si="2"/>
        <v>88.9</v>
      </c>
      <c r="N15" s="10" t="e">
        <f t="shared" ca="1" si="3"/>
        <v>#DIV/0!</v>
      </c>
      <c r="O15" s="7">
        <f ca="1">IFERROR(__xludf.DUMMYFUNCTION("GOOGLEFINANCE(""NSE:""&amp;D15,""pe"")"),12.09)</f>
        <v>12.09</v>
      </c>
      <c r="P15" s="7">
        <f ca="1">IFERROR(__xludf.DUMMYFUNCTION("GOOGLEFINANCE(""NSE:""&amp;D15,""EPS"")"),7.36)</f>
        <v>7.36</v>
      </c>
      <c r="Q15" s="7">
        <v>13.5</v>
      </c>
      <c r="R15" s="7" t="str">
        <f ca="1">IFERROR(__xludf.DUMMYFUNCTION("IMPORTXML(E15,""/html/body/main/div[3]/div[3]/div[2]/ul/li[7]/span[2]/span"")"),"Loading...")</f>
        <v>Loading...</v>
      </c>
      <c r="S15" s="7" t="str">
        <f ca="1">IFERROR(__xludf.DUMMYFUNCTION("IMPORTXML(E15,""/html/body/main/div[3]/div[3]/div[2]/ul/li[8]/span[2]/span"")"),"Loading...")</f>
        <v>Loading...</v>
      </c>
      <c r="T15" s="4">
        <v>34.6</v>
      </c>
      <c r="U15" s="4">
        <v>22.7</v>
      </c>
      <c r="V15" s="4">
        <v>2.6</v>
      </c>
      <c r="W15" s="4">
        <v>5.7</v>
      </c>
      <c r="X15" s="4">
        <v>519.92999999999995</v>
      </c>
      <c r="Y15" s="7">
        <f t="shared" ca="1" si="4"/>
        <v>-431.03</v>
      </c>
    </row>
    <row r="16" spans="1:37" ht="15.75" customHeight="1" x14ac:dyDescent="0.25">
      <c r="A16" s="4">
        <v>90</v>
      </c>
      <c r="C16" s="12" t="s">
        <v>281</v>
      </c>
      <c r="D16" s="12" t="s">
        <v>282</v>
      </c>
      <c r="E16" s="5" t="str">
        <f t="shared" si="0"/>
        <v>https://www.screener.in/company/FEDERALBNK/consolidated/</v>
      </c>
      <c r="H16" s="6">
        <f t="shared" ca="1" si="1"/>
        <v>0</v>
      </c>
      <c r="I16" s="7" t="str">
        <f ca="1">IFERROR(__xludf.DUMMYFUNCTION("IMPORTXML(E16,""/html/body/main/div[3]/div[3]/div[2]/ul/li[5]/span[2]/span"")"),"Loading...")</f>
        <v>Loading...</v>
      </c>
      <c r="J16" s="7">
        <f ca="1">IFERROR(__xludf.DUMMYFUNCTION("GOOGLEFINANCE(""NSE:""&amp;D16,""marketcap"")"),468565691276)</f>
        <v>468565691276</v>
      </c>
      <c r="K16" s="7"/>
      <c r="L16" s="8">
        <f ca="1">IFERROR(__xludf.DUMMYFUNCTION("GOOGLEFINANCE(""NSE:""&amp;D16,""price"")"),190.56)</f>
        <v>190.56</v>
      </c>
      <c r="M16" s="9">
        <f t="shared" ca="1" si="2"/>
        <v>190.56</v>
      </c>
      <c r="N16" s="10" t="e">
        <f t="shared" ca="1" si="3"/>
        <v>#DIV/0!</v>
      </c>
      <c r="O16" s="7">
        <f ca="1">IFERROR(__xludf.DUMMYFUNCTION("GOOGLEFINANCE(""NSE:""&amp;D16,""pe"")"),11.66)</f>
        <v>11.66</v>
      </c>
      <c r="P16" s="7">
        <f ca="1">IFERROR(__xludf.DUMMYFUNCTION("GOOGLEFINANCE(""NSE:""&amp;D16,""EPS"")"),16.34)</f>
        <v>16.34</v>
      </c>
      <c r="Q16" s="7">
        <v>13.5</v>
      </c>
      <c r="R16" s="7">
        <f ca="1">IFERROR(__xludf.DUMMYFUNCTION("IMPORTXML(E16,""/html/body/main/div[3]/div[3]/div[2]/ul/li[7]/span[2]/span"")"),7.03)</f>
        <v>7.03</v>
      </c>
      <c r="S16" s="7" t="str">
        <f ca="1">IFERROR(__xludf.DUMMYFUNCTION("IMPORTXML(E16,""/html/body/main/div[3]/div[3]/div[2]/ul/li[8]/span[2]/span"")"),"Loading...")</f>
        <v>Loading...</v>
      </c>
      <c r="T16" s="4">
        <v>34.6</v>
      </c>
      <c r="U16" s="4">
        <v>22.7</v>
      </c>
      <c r="V16" s="4">
        <v>2.6</v>
      </c>
      <c r="W16" s="4">
        <v>5.7</v>
      </c>
      <c r="X16" s="4">
        <v>519.92999999999995</v>
      </c>
      <c r="Y16" s="7">
        <f t="shared" ca="1" si="4"/>
        <v>-329.36999999999995</v>
      </c>
    </row>
    <row r="17" spans="1:25" ht="15.75" customHeight="1" x14ac:dyDescent="0.25">
      <c r="A17" s="4">
        <v>95</v>
      </c>
      <c r="C17" s="12" t="s">
        <v>283</v>
      </c>
      <c r="D17" s="12" t="s">
        <v>284</v>
      </c>
      <c r="E17" s="5" t="str">
        <f t="shared" si="0"/>
        <v>https://www.screener.in/company/MOTILALOFS/consolidated/</v>
      </c>
      <c r="H17" s="6">
        <f t="shared" ca="1" si="1"/>
        <v>0</v>
      </c>
      <c r="I17" s="7" t="str">
        <f ca="1">IFERROR(__xludf.DUMMYFUNCTION("IMPORTXML(E17,""/html/body/main/div[3]/div[3]/div[2]/ul/li[5]/span[2]/span"")"),"Loading...")</f>
        <v>Loading...</v>
      </c>
      <c r="J17" s="7">
        <f ca="1">IFERROR(__xludf.DUMMYFUNCTION("GOOGLEFINANCE(""NSE:""&amp;D17,""marketcap"")"),524261235225)</f>
        <v>524261235225</v>
      </c>
      <c r="K17" s="7"/>
      <c r="L17" s="8">
        <f ca="1">IFERROR(__xludf.DUMMYFUNCTION("GOOGLEFINANCE(""NSE:""&amp;D17,""price"")"),874)</f>
        <v>874</v>
      </c>
      <c r="M17" s="9">
        <f t="shared" ca="1" si="2"/>
        <v>874</v>
      </c>
      <c r="N17" s="10" t="e">
        <f t="shared" ca="1" si="3"/>
        <v>#DIV/0!</v>
      </c>
      <c r="O17" s="7">
        <f ca="1">IFERROR(__xludf.DUMMYFUNCTION("GOOGLEFINANCE(""NSE:""&amp;D17,""pe"")"),19.12)</f>
        <v>19.12</v>
      </c>
      <c r="P17" s="7">
        <f ca="1">IFERROR(__xludf.DUMMYFUNCTION("GOOGLEFINANCE(""NSE:""&amp;D17,""EPS"")"),45.72)</f>
        <v>45.72</v>
      </c>
      <c r="Q17" s="7">
        <v>13.5</v>
      </c>
      <c r="R17" s="7" t="str">
        <f ca="1">IFERROR(__xludf.DUMMYFUNCTION("IMPORTXML(E17,""/html/body/main/div[3]/div[3]/div[2]/ul/li[7]/span[2]/span"")"),"Loading...")</f>
        <v>Loading...</v>
      </c>
      <c r="S17" s="7" t="str">
        <f ca="1">IFERROR(__xludf.DUMMYFUNCTION("IMPORTXML(E17,""/html/body/main/div[3]/div[3]/div[2]/ul/li[8]/span[2]/span"")"),"Loading...")</f>
        <v>Loading...</v>
      </c>
      <c r="T17" s="4">
        <v>34.6</v>
      </c>
      <c r="U17" s="4">
        <v>22.7</v>
      </c>
      <c r="V17" s="4">
        <v>2.6</v>
      </c>
      <c r="W17" s="4">
        <v>5.7</v>
      </c>
      <c r="X17" s="4">
        <v>519.92999999999995</v>
      </c>
      <c r="Y17" s="7">
        <f t="shared" ca="1" si="4"/>
        <v>354.07000000000005</v>
      </c>
    </row>
    <row r="18" spans="1:25" ht="15.75" customHeight="1" x14ac:dyDescent="0.25">
      <c r="A18" s="4">
        <v>70</v>
      </c>
      <c r="C18" s="12" t="s">
        <v>285</v>
      </c>
      <c r="D18" s="12" t="s">
        <v>286</v>
      </c>
      <c r="E18" s="5" t="str">
        <f t="shared" si="0"/>
        <v>https://www.screener.in/company/ABCAPITAL/consolidated/</v>
      </c>
      <c r="H18" s="6">
        <f t="shared" ca="1" si="1"/>
        <v>0</v>
      </c>
      <c r="I18" s="7" t="str">
        <f ca="1">IFERROR(__xludf.DUMMYFUNCTION("IMPORTXML(E18,""/html/body/main/div[3]/div[3]/div[2]/ul/li[5]/span[2]/span"")"),"Loading...")</f>
        <v>Loading...</v>
      </c>
      <c r="J18" s="7">
        <f ca="1">IFERROR(__xludf.DUMMYFUNCTION("GOOGLEFINANCE(""NSE:""&amp;D18,""marketcap"")"),732814842000)</f>
        <v>732814842000</v>
      </c>
      <c r="K18" s="7"/>
      <c r="L18" s="8">
        <f ca="1">IFERROR(__xludf.DUMMYFUNCTION("GOOGLEFINANCE(""NSE:""&amp;D18,""price"")"),281.05)</f>
        <v>281.05</v>
      </c>
      <c r="M18" s="9">
        <f t="shared" ca="1" si="2"/>
        <v>281.05</v>
      </c>
      <c r="N18" s="10" t="e">
        <f t="shared" ca="1" si="3"/>
        <v>#DIV/0!</v>
      </c>
      <c r="O18" s="7">
        <f ca="1">IFERROR(__xludf.DUMMYFUNCTION("GOOGLEFINANCE(""NSE:""&amp;D18,""pe"")"),21.68)</f>
        <v>21.68</v>
      </c>
      <c r="P18" s="7">
        <f ca="1">IFERROR(__xludf.DUMMYFUNCTION("GOOGLEFINANCE(""NSE:""&amp;D18,""EPS"")"),12.97)</f>
        <v>12.97</v>
      </c>
      <c r="Q18" s="7">
        <v>13.5</v>
      </c>
      <c r="R18" s="7" t="str">
        <f ca="1">IFERROR(__xludf.DUMMYFUNCTION("IMPORTXML(E18,""/html/body/main/div[3]/div[3]/div[2]/ul/li[7]/span[2]/span"")"),"Loading...")</f>
        <v>Loading...</v>
      </c>
      <c r="S18" s="7" t="str">
        <f ca="1">IFERROR(__xludf.DUMMYFUNCTION("IMPORTXML(E18,""/html/body/main/div[3]/div[3]/div[2]/ul/li[8]/span[2]/span"")"),"Loading...")</f>
        <v>Loading...</v>
      </c>
      <c r="T18" s="4">
        <v>34.6</v>
      </c>
      <c r="U18" s="4">
        <v>22.7</v>
      </c>
      <c r="V18" s="4">
        <v>2.6</v>
      </c>
      <c r="W18" s="4">
        <v>5.7</v>
      </c>
      <c r="X18" s="4">
        <v>519.92999999999995</v>
      </c>
      <c r="Y18" s="7">
        <f t="shared" ca="1" si="4"/>
        <v>-238.87999999999994</v>
      </c>
    </row>
    <row r="19" spans="1:25" ht="15.75" customHeight="1" x14ac:dyDescent="0.25">
      <c r="A19" s="4">
        <v>80</v>
      </c>
      <c r="C19" s="12" t="s">
        <v>287</v>
      </c>
      <c r="D19" s="12" t="s">
        <v>288</v>
      </c>
      <c r="E19" s="5" t="str">
        <f t="shared" si="0"/>
        <v>https://www.screener.in/company/PETRONET/consolidated/</v>
      </c>
      <c r="H19" s="6">
        <f t="shared" ca="1" si="1"/>
        <v>0</v>
      </c>
      <c r="I19" s="7" t="str">
        <f ca="1">IFERROR(__xludf.DUMMYFUNCTION("IMPORTXML(E19,""/html/body/main/div[3]/div[3]/div[2]/ul/li[5]/span[2]/span"")"),"Loading...")</f>
        <v>Loading...</v>
      </c>
      <c r="J19" s="7">
        <f ca="1">IFERROR(__xludf.DUMMYFUNCTION("GOOGLEFINANCE(""NSE:""&amp;D19,""marketcap"")"),409191646050)</f>
        <v>409191646050</v>
      </c>
      <c r="K19" s="7"/>
      <c r="L19" s="8">
        <f ca="1">IFERROR(__xludf.DUMMYFUNCTION("GOOGLEFINANCE(""NSE:""&amp;D19,""price"")"),273.8)</f>
        <v>273.8</v>
      </c>
      <c r="M19" s="9">
        <f t="shared" ca="1" si="2"/>
        <v>273.8</v>
      </c>
      <c r="N19" s="10" t="e">
        <f t="shared" ca="1" si="3"/>
        <v>#DIV/0!</v>
      </c>
      <c r="O19" s="7">
        <f ca="1">IFERROR(__xludf.DUMMYFUNCTION("GOOGLEFINANCE(""NSE:""&amp;D19,""pe"")"),11.08)</f>
        <v>11.08</v>
      </c>
      <c r="P19" s="7">
        <f ca="1">IFERROR(__xludf.DUMMYFUNCTION("GOOGLEFINANCE(""NSE:""&amp;D19,""EPS"")"),24.71)</f>
        <v>24.71</v>
      </c>
      <c r="Q19" s="7">
        <v>13.5</v>
      </c>
      <c r="R19" s="7" t="str">
        <f ca="1">IFERROR(__xludf.DUMMYFUNCTION("IMPORTXML(E19,""/html/body/main/div[3]/div[3]/div[2]/ul/li[7]/span[2]/span"")"),"Loading...")</f>
        <v>Loading...</v>
      </c>
      <c r="S19" s="7" t="str">
        <f ca="1">IFERROR(__xludf.DUMMYFUNCTION("IMPORTXML(E19,""/html/body/main/div[3]/div[3]/div[2]/ul/li[8]/span[2]/span"")"),"Loading...")</f>
        <v>Loading...</v>
      </c>
      <c r="T19" s="4">
        <v>34.6</v>
      </c>
      <c r="U19" s="4">
        <v>22.7</v>
      </c>
      <c r="V19" s="4">
        <v>2.6</v>
      </c>
      <c r="W19" s="4">
        <v>5.7</v>
      </c>
      <c r="X19" s="4">
        <v>519.92999999999995</v>
      </c>
      <c r="Y19" s="7">
        <f t="shared" ca="1" si="4"/>
        <v>-246.12999999999994</v>
      </c>
    </row>
    <row r="20" spans="1:25" ht="15.75" customHeight="1" x14ac:dyDescent="0.25">
      <c r="A20" s="4">
        <v>27</v>
      </c>
      <c r="C20" s="12" t="s">
        <v>289</v>
      </c>
      <c r="D20" s="12" t="s">
        <v>290</v>
      </c>
      <c r="E20" s="5" t="str">
        <f t="shared" si="0"/>
        <v>https://www.screener.in/company/HINDPETRO/consolidated/</v>
      </c>
      <c r="H20" s="6">
        <f t="shared" ca="1" si="1"/>
        <v>0</v>
      </c>
      <c r="I20" s="7" t="str">
        <f ca="1">IFERROR(__xludf.DUMMYFUNCTION("IMPORTXML(E20,""/html/body/main/div[3]/div[3]/div[2]/ul/li[5]/span[2]/span"")"),"Loading...")</f>
        <v>Loading...</v>
      </c>
      <c r="J20" s="7">
        <f ca="1">IFERROR(__xludf.DUMMYFUNCTION("GOOGLEFINANCE(""NSE:""&amp;D20,""marketcap"")"),817083648000)</f>
        <v>817083648000</v>
      </c>
      <c r="K20" s="7"/>
      <c r="L20" s="8">
        <f ca="1">IFERROR(__xludf.DUMMYFUNCTION("GOOGLEFINANCE(""NSE:""&amp;D20,""price"")"),384)</f>
        <v>384</v>
      </c>
      <c r="M20" s="9">
        <f t="shared" ca="1" si="2"/>
        <v>384</v>
      </c>
      <c r="N20" s="10" t="e">
        <f t="shared" ca="1" si="3"/>
        <v>#DIV/0!</v>
      </c>
      <c r="O20" s="7">
        <f ca="1">IFERROR(__xludf.DUMMYFUNCTION("GOOGLEFINANCE(""NSE:""&amp;D20,""pe"")"),8)</f>
        <v>8</v>
      </c>
      <c r="P20" s="7">
        <f ca="1">IFERROR(__xludf.DUMMYFUNCTION("GOOGLEFINANCE(""NSE:""&amp;D20,""EPS"")"),48)</f>
        <v>48</v>
      </c>
      <c r="Q20" s="7">
        <v>13.5</v>
      </c>
      <c r="R20" s="7" t="str">
        <f ca="1">IFERROR(__xludf.DUMMYFUNCTION("IMPORTXML(E20,""/html/body/main/div[3]/div[3]/div[2]/ul/li[7]/span[2]/span"")"),"Loading...")</f>
        <v>Loading...</v>
      </c>
      <c r="S20" s="7" t="str">
        <f ca="1">IFERROR(__xludf.DUMMYFUNCTION("IMPORTXML(E20,""/html/body/main/div[3]/div[3]/div[2]/ul/li[8]/span[2]/span"")"),"Loading...")</f>
        <v>Loading...</v>
      </c>
      <c r="T20" s="4">
        <v>34.6</v>
      </c>
      <c r="U20" s="4">
        <v>22.7</v>
      </c>
      <c r="V20" s="4">
        <v>2.6</v>
      </c>
      <c r="W20" s="4">
        <v>5.7</v>
      </c>
      <c r="X20" s="4">
        <v>519.92999999999995</v>
      </c>
      <c r="Y20" s="7">
        <f t="shared" ca="1" si="4"/>
        <v>-135.92999999999995</v>
      </c>
    </row>
    <row r="21" spans="1:25" ht="15.75" customHeight="1" x14ac:dyDescent="0.25">
      <c r="A21" s="4">
        <v>136</v>
      </c>
      <c r="C21" s="12" t="s">
        <v>291</v>
      </c>
      <c r="D21" s="12" t="s">
        <v>292</v>
      </c>
      <c r="E21" s="5" t="str">
        <f t="shared" si="0"/>
        <v>https://www.screener.in/company/NLCINDIA/consolidated/</v>
      </c>
      <c r="H21" s="6">
        <f t="shared" ca="1" si="1"/>
        <v>0</v>
      </c>
      <c r="I21" s="7" t="str">
        <f ca="1">IFERROR(__xludf.DUMMYFUNCTION("IMPORTXML(E21,""/html/body/main/div[3]/div[3]/div[2]/ul/li[5]/span[2]/span"")"),"Loading...")</f>
        <v>Loading...</v>
      </c>
      <c r="J21" s="7">
        <f ca="1">IFERROR(__xludf.DUMMYFUNCTION("GOOGLEFINANCE(""NSE:""&amp;D21,""marketcap"")"),316984998063)</f>
        <v>316984998063</v>
      </c>
      <c r="K21" s="7"/>
      <c r="L21" s="8">
        <f ca="1">IFERROR(__xludf.DUMMYFUNCTION("GOOGLEFINANCE(""NSE:""&amp;D21,""price"")"),228.6)</f>
        <v>228.6</v>
      </c>
      <c r="M21" s="9">
        <f t="shared" ca="1" si="2"/>
        <v>228.6</v>
      </c>
      <c r="N21" s="10" t="e">
        <f t="shared" ca="1" si="3"/>
        <v>#DIV/0!</v>
      </c>
      <c r="O21" s="7">
        <f ca="1">IFERROR(__xludf.DUMMYFUNCTION("GOOGLEFINANCE(""NSE:""&amp;D21,""pe"")"),10.62)</f>
        <v>10.62</v>
      </c>
      <c r="P21" s="7">
        <f ca="1">IFERROR(__xludf.DUMMYFUNCTION("GOOGLEFINANCE(""NSE:""&amp;D21,""EPS"")"),21.53)</f>
        <v>21.53</v>
      </c>
      <c r="Q21" s="7">
        <v>13.5</v>
      </c>
      <c r="R21" s="7" t="str">
        <f ca="1">IFERROR(__xludf.DUMMYFUNCTION("IMPORTXML(E21,""/html/body/main/div[3]/div[3]/div[2]/ul/li[7]/span[2]/span"")"),"Loading...")</f>
        <v>Loading...</v>
      </c>
      <c r="S21" s="7" t="str">
        <f ca="1">IFERROR(__xludf.DUMMYFUNCTION("IMPORTXML(E21,""/html/body/main/div[3]/div[3]/div[2]/ul/li[8]/span[2]/span"")"),"Loading...")</f>
        <v>Loading...</v>
      </c>
      <c r="T21" s="4">
        <v>34.6</v>
      </c>
      <c r="U21" s="4">
        <v>22.7</v>
      </c>
      <c r="V21" s="4">
        <v>2.6</v>
      </c>
      <c r="W21" s="4">
        <v>5.7</v>
      </c>
      <c r="X21" s="4">
        <v>519.92999999999995</v>
      </c>
      <c r="Y21" s="7">
        <f t="shared" ca="1" si="4"/>
        <v>-291.32999999999993</v>
      </c>
    </row>
    <row r="22" spans="1:25" ht="15.75" customHeight="1" x14ac:dyDescent="0.25">
      <c r="A22" s="4">
        <v>82</v>
      </c>
      <c r="C22" s="12" t="s">
        <v>293</v>
      </c>
      <c r="D22" s="12" t="s">
        <v>294</v>
      </c>
      <c r="E22" s="5" t="str">
        <f t="shared" si="0"/>
        <v>https://www.screener.in/company/HUDCO/consolidated/</v>
      </c>
      <c r="H22" s="6">
        <f t="shared" ca="1" si="1"/>
        <v>0</v>
      </c>
      <c r="I22" s="7" t="str">
        <f ca="1">IFERROR(__xludf.DUMMYFUNCTION("IMPORTXML(E22,""/html/body/main/div[3]/div[3]/div[2]/ul/li[5]/span[2]/span"")"),"Loading...")</f>
        <v>Loading...</v>
      </c>
      <c r="J22" s="7">
        <f ca="1">IFERROR(__xludf.DUMMYFUNCTION("GOOGLEFINANCE(""NSE:""&amp;D22,""marketcap"")"),431189300000)</f>
        <v>431189300000</v>
      </c>
      <c r="K22" s="7"/>
      <c r="L22" s="8">
        <f ca="1">IFERROR(__xludf.DUMMYFUNCTION("GOOGLEFINANCE(""NSE:""&amp;D22,""price"")"),215.29)</f>
        <v>215.29</v>
      </c>
      <c r="M22" s="9">
        <f t="shared" ca="1" si="2"/>
        <v>215.29</v>
      </c>
      <c r="N22" s="10" t="e">
        <f t="shared" ca="1" si="3"/>
        <v>#DIV/0!</v>
      </c>
      <c r="O22" s="7">
        <f ca="1">IFERROR(__xludf.DUMMYFUNCTION("GOOGLEFINANCE(""NSE:""&amp;D22,""pe"")"),15.5)</f>
        <v>15.5</v>
      </c>
      <c r="P22" s="7">
        <f ca="1">IFERROR(__xludf.DUMMYFUNCTION("GOOGLEFINANCE(""NSE:""&amp;D22,""EPS"")"),13.89)</f>
        <v>13.89</v>
      </c>
      <c r="Q22" s="7">
        <v>13.5</v>
      </c>
      <c r="R22" s="7" t="str">
        <f ca="1">IFERROR(__xludf.DUMMYFUNCTION("IMPORTXML(E22,""/html/body/main/div[3]/div[3]/div[2]/ul/li[7]/span[2]/span"")"),"Loading...")</f>
        <v>Loading...</v>
      </c>
      <c r="S22" s="7" t="str">
        <f ca="1">IFERROR(__xludf.DUMMYFUNCTION("IMPORTXML(E22,""/html/body/main/div[3]/div[3]/div[2]/ul/li[8]/span[2]/span"")"),"Loading...")</f>
        <v>Loading...</v>
      </c>
      <c r="T22" s="4">
        <v>34.6</v>
      </c>
      <c r="U22" s="4">
        <v>22.7</v>
      </c>
      <c r="V22" s="4">
        <v>2.6</v>
      </c>
      <c r="W22" s="4">
        <v>5.7</v>
      </c>
      <c r="X22" s="4">
        <v>519.92999999999995</v>
      </c>
      <c r="Y22" s="7">
        <f t="shared" ca="1" si="4"/>
        <v>-304.64</v>
      </c>
    </row>
    <row r="23" spans="1:25" ht="15.75" customHeight="1" x14ac:dyDescent="0.25">
      <c r="A23" s="4">
        <v>103</v>
      </c>
      <c r="C23" s="12" t="s">
        <v>295</v>
      </c>
      <c r="D23" s="12" t="s">
        <v>296</v>
      </c>
      <c r="E23" s="5" t="str">
        <f t="shared" si="0"/>
        <v>https://www.screener.in/company/ACC/consolidated/</v>
      </c>
      <c r="H23" s="6">
        <f t="shared" ca="1" si="1"/>
        <v>0</v>
      </c>
      <c r="I23" s="7" t="str">
        <f ca="1">IFERROR(__xludf.DUMMYFUNCTION("IMPORTXML(E23,""/html/body/main/div[3]/div[3]/div[2]/ul/li[5]/span[2]/span"")"),"Loading...")</f>
        <v>Loading...</v>
      </c>
      <c r="J23" s="7">
        <f ca="1">IFERROR(__xludf.DUMMYFUNCTION("GOOGLEFINANCE(""NSE:""&amp;D23,""marketcap"")"),343462900000)</f>
        <v>343462900000</v>
      </c>
      <c r="K23" s="7"/>
      <c r="L23" s="8">
        <f ca="1">IFERROR(__xludf.DUMMYFUNCTION("GOOGLEFINANCE(""NSE:""&amp;D23,""price"")"),1829.6)</f>
        <v>1829.6</v>
      </c>
      <c r="M23" s="9">
        <f t="shared" ca="1" si="2"/>
        <v>1829.6</v>
      </c>
      <c r="N23" s="10" t="e">
        <f t="shared" ca="1" si="3"/>
        <v>#DIV/0!</v>
      </c>
      <c r="O23" s="7">
        <f ca="1">IFERROR(__xludf.DUMMYFUNCTION("GOOGLEFINANCE(""NSE:""&amp;D23,""pe"")"),14.26)</f>
        <v>14.26</v>
      </c>
      <c r="P23" s="7">
        <f ca="1">IFERROR(__xludf.DUMMYFUNCTION("GOOGLEFINANCE(""NSE:""&amp;D23,""EPS"")"),128.34)</f>
        <v>128.34</v>
      </c>
      <c r="Q23" s="7">
        <v>13.5</v>
      </c>
      <c r="R23" s="7" t="str">
        <f ca="1">IFERROR(__xludf.DUMMYFUNCTION("IMPORTXML(E23,""/html/body/main/div[3]/div[3]/div[2]/ul/li[7]/span[2]/span"")"),"Loading...")</f>
        <v>Loading...</v>
      </c>
      <c r="S23" s="7" t="str">
        <f ca="1">IFERROR(__xludf.DUMMYFUNCTION("IMPORTXML(E23,""/html/body/main/div[3]/div[3]/div[2]/ul/li[8]/span[2]/span"")"),"Loading...")</f>
        <v>Loading...</v>
      </c>
      <c r="T23" s="4">
        <v>34.6</v>
      </c>
      <c r="U23" s="4">
        <v>22.7</v>
      </c>
      <c r="V23" s="4">
        <v>2.6</v>
      </c>
      <c r="W23" s="4">
        <v>5.7</v>
      </c>
      <c r="X23" s="4">
        <v>519.92999999999995</v>
      </c>
      <c r="Y23" s="7">
        <f t="shared" ca="1" si="4"/>
        <v>1309.67</v>
      </c>
    </row>
    <row r="24" spans="1:25" ht="15.75" customHeight="1" x14ac:dyDescent="0.25">
      <c r="A24" s="4">
        <v>137</v>
      </c>
      <c r="C24" s="12" t="s">
        <v>297</v>
      </c>
      <c r="D24" s="12" t="s">
        <v>298</v>
      </c>
      <c r="E24" s="5" t="str">
        <f t="shared" si="0"/>
        <v>https://www.screener.in/company/M&amp;MFIN/consolidated/</v>
      </c>
      <c r="H24" s="6">
        <f t="shared" ca="1" si="1"/>
        <v>0</v>
      </c>
      <c r="I24" s="7" t="str">
        <f ca="1">IFERROR(__xludf.DUMMYFUNCTION("IMPORTXML(E24,""/html/body/main/div[3]/div[3]/div[2]/ul/li[5]/span[2]/span"")"),"Loading...")</f>
        <v>Loading...</v>
      </c>
      <c r="J24" s="7">
        <f ca="1">IFERROR(__xludf.DUMMYFUNCTION("GOOGLEFINANCE(""NSE:""&amp;D24,""marketcap"")"),374147359940)</f>
        <v>374147359940</v>
      </c>
      <c r="K24" s="7"/>
      <c r="L24" s="8">
        <f ca="1">IFERROR(__xludf.DUMMYFUNCTION("GOOGLEFINANCE(""NSE:""&amp;D24,""price"")"),269.3)</f>
        <v>269.3</v>
      </c>
      <c r="M24" s="9">
        <f t="shared" ca="1" si="2"/>
        <v>269.3</v>
      </c>
      <c r="N24" s="10" t="e">
        <f t="shared" ca="1" si="3"/>
        <v>#DIV/0!</v>
      </c>
      <c r="O24" s="7">
        <f ca="1">IFERROR(__xludf.DUMMYFUNCTION("GOOGLEFINANCE(""NSE:""&amp;D24,""pe"")"),15.01)</f>
        <v>15.01</v>
      </c>
      <c r="P24" s="7">
        <f ca="1">IFERROR(__xludf.DUMMYFUNCTION("GOOGLEFINANCE(""NSE:""&amp;D24,""EPS"")"),17.94)</f>
        <v>17.940000000000001</v>
      </c>
      <c r="Q24" s="7">
        <v>13.5</v>
      </c>
      <c r="R24" s="7" t="str">
        <f ca="1">IFERROR(__xludf.DUMMYFUNCTION("IMPORTXML(E24,""/html/body/main/div[3]/div[3]/div[2]/ul/li[7]/span[2]/span"")"),"Loading...")</f>
        <v>Loading...</v>
      </c>
      <c r="S24" s="7" t="str">
        <f ca="1">IFERROR(__xludf.DUMMYFUNCTION("IMPORTXML(E24,""/html/body/main/div[3]/div[3]/div[2]/ul/li[8]/span[2]/span"")"),"Loading...")</f>
        <v>Loading...</v>
      </c>
      <c r="T24" s="4">
        <v>34.6</v>
      </c>
      <c r="U24" s="4">
        <v>22.7</v>
      </c>
      <c r="V24" s="4">
        <v>2.6</v>
      </c>
      <c r="W24" s="4">
        <v>5.7</v>
      </c>
      <c r="X24" s="4">
        <v>519.92999999999995</v>
      </c>
      <c r="Y24" s="7">
        <f t="shared" ca="1" si="4"/>
        <v>-250.62999999999994</v>
      </c>
    </row>
    <row r="25" spans="1:25" ht="15.75" customHeight="1" x14ac:dyDescent="0.25">
      <c r="A25" s="4">
        <v>149</v>
      </c>
      <c r="C25" s="12" t="s">
        <v>299</v>
      </c>
      <c r="D25" s="12" t="s">
        <v>300</v>
      </c>
      <c r="E25" s="5" t="str">
        <f t="shared" si="0"/>
        <v>https://www.screener.in/company/IGL/consolidated/</v>
      </c>
      <c r="H25" s="6">
        <f t="shared" ca="1" si="1"/>
        <v>0</v>
      </c>
      <c r="I25" s="7" t="str">
        <f ca="1">IFERROR(__xludf.DUMMYFUNCTION("IMPORTXML(E25,""/html/body/main/div[3]/div[3]/div[2]/ul/li[5]/span[2]/span"")"),"Loading...")</f>
        <v>Loading...</v>
      </c>
      <c r="J25" s="7">
        <f ca="1">IFERROR(__xludf.DUMMYFUNCTION("GOOGLEFINANCE(""NSE:""&amp;D25,""marketcap"")"),299390222394)</f>
        <v>299390222394</v>
      </c>
      <c r="K25" s="7"/>
      <c r="L25" s="8">
        <f ca="1">IFERROR(__xludf.DUMMYFUNCTION("GOOGLEFINANCE(""NSE:""&amp;D25,""price"")"),213.85)</f>
        <v>213.85</v>
      </c>
      <c r="M25" s="9">
        <f t="shared" ca="1" si="2"/>
        <v>213.85</v>
      </c>
      <c r="N25" s="10" t="e">
        <f t="shared" ca="1" si="3"/>
        <v>#DIV/0!</v>
      </c>
      <c r="O25" s="7">
        <f ca="1">IFERROR(__xludf.DUMMYFUNCTION("GOOGLEFINANCE(""NSE:""&amp;D25,""pe"")"),17.99)</f>
        <v>17.989999999999998</v>
      </c>
      <c r="P25" s="7">
        <f ca="1">IFERROR(__xludf.DUMMYFUNCTION("GOOGLEFINANCE(""NSE:""&amp;D25,""EPS"")"),11.89)</f>
        <v>11.89</v>
      </c>
      <c r="Q25" s="7">
        <v>13.5</v>
      </c>
      <c r="R25" s="7" t="str">
        <f ca="1">IFERROR(__xludf.DUMMYFUNCTION("IMPORTXML(E25,""/html/body/main/div[3]/div[3]/div[2]/ul/li[7]/span[2]/span"")"),"Loading...")</f>
        <v>Loading...</v>
      </c>
      <c r="S25" s="7" t="str">
        <f ca="1">IFERROR(__xludf.DUMMYFUNCTION("IMPORTXML(E25,""/html/body/main/div[3]/div[3]/div[2]/ul/li[8]/span[2]/span"")"),"Loading...")</f>
        <v>Loading...</v>
      </c>
      <c r="T25" s="4">
        <v>34.6</v>
      </c>
      <c r="U25" s="4">
        <v>22.7</v>
      </c>
      <c r="V25" s="4">
        <v>2.6</v>
      </c>
      <c r="W25" s="4">
        <v>5.7</v>
      </c>
      <c r="X25" s="4">
        <v>519.92999999999995</v>
      </c>
      <c r="Y25" s="7">
        <f t="shared" ca="1" si="4"/>
        <v>-306.07999999999993</v>
      </c>
    </row>
    <row r="26" spans="1:25" ht="15.75" customHeight="1" x14ac:dyDescent="0.25">
      <c r="A26" s="4">
        <v>35</v>
      </c>
      <c r="C26" s="12" t="s">
        <v>301</v>
      </c>
      <c r="D26" s="12" t="s">
        <v>302</v>
      </c>
      <c r="E26" s="5" t="str">
        <f t="shared" si="0"/>
        <v>https://www.screener.in/company/MUTHOOTFIN/consolidated/</v>
      </c>
      <c r="H26" s="6">
        <f t="shared" ca="1" si="1"/>
        <v>0</v>
      </c>
      <c r="I26" s="7" t="str">
        <f ca="1">IFERROR(__xludf.DUMMYFUNCTION("IMPORTXML(E26,""/html/body/main/div[3]/div[3]/div[2]/ul/li[5]/span[2]/span"")"),"Loading...")</f>
        <v>Loading...</v>
      </c>
      <c r="J26" s="7">
        <f ca="1">IFERROR(__xludf.DUMMYFUNCTION("GOOGLEFINANCE(""NSE:""&amp;D26,""marketcap"")"),1136936037544)</f>
        <v>1136936037544</v>
      </c>
      <c r="K26" s="7"/>
      <c r="L26" s="8">
        <f ca="1">IFERROR(__xludf.DUMMYFUNCTION("GOOGLEFINANCE(""NSE:""&amp;D26,""price"")"),2830.1)</f>
        <v>2830.1</v>
      </c>
      <c r="M26" s="9">
        <f t="shared" ca="1" si="2"/>
        <v>2830.1</v>
      </c>
      <c r="N26" s="10" t="e">
        <f t="shared" ca="1" si="3"/>
        <v>#DIV/0!</v>
      </c>
      <c r="O26" s="7">
        <f ca="1">IFERROR(__xludf.DUMMYFUNCTION("GOOGLEFINANCE(""NSE:""&amp;D26,""pe"")"),18.37)</f>
        <v>18.37</v>
      </c>
      <c r="P26" s="7">
        <f ca="1">IFERROR(__xludf.DUMMYFUNCTION("GOOGLEFINANCE(""NSE:""&amp;D26,""EPS"")"),154.05)</f>
        <v>154.05000000000001</v>
      </c>
      <c r="Q26" s="7">
        <v>13.5</v>
      </c>
      <c r="R26" s="7" t="str">
        <f ca="1">IFERROR(__xludf.DUMMYFUNCTION("IMPORTXML(E26,""/html/body/main/div[3]/div[3]/div[2]/ul/li[7]/span[2]/span"")"),"Loading...")</f>
        <v>Loading...</v>
      </c>
      <c r="S26" s="7" t="str">
        <f ca="1">IFERROR(__xludf.DUMMYFUNCTION("IMPORTXML(E26,""/html/body/main/div[3]/div[3]/div[2]/ul/li[8]/span[2]/span"")"),"Loading...")</f>
        <v>Loading...</v>
      </c>
      <c r="T26" s="4">
        <v>34.6</v>
      </c>
      <c r="U26" s="4">
        <v>22.7</v>
      </c>
      <c r="V26" s="4">
        <v>2.6</v>
      </c>
      <c r="W26" s="4">
        <v>5.7</v>
      </c>
      <c r="X26" s="4">
        <v>519.92999999999995</v>
      </c>
      <c r="Y26" s="7">
        <f t="shared" ca="1" si="4"/>
        <v>2310.17</v>
      </c>
    </row>
    <row r="27" spans="1:25" ht="15.75" customHeight="1" x14ac:dyDescent="0.25">
      <c r="A27" s="4">
        <v>31</v>
      </c>
      <c r="C27" s="12" t="s">
        <v>303</v>
      </c>
      <c r="D27" s="12" t="s">
        <v>304</v>
      </c>
      <c r="E27" s="5" t="str">
        <f t="shared" si="0"/>
        <v>https://www.screener.in/company/AUROPHARMA/consolidated/</v>
      </c>
      <c r="H27" s="6">
        <f t="shared" ca="1" si="1"/>
        <v>0</v>
      </c>
      <c r="I27" s="7" t="str">
        <f ca="1">IFERROR(__xludf.DUMMYFUNCTION("IMPORTXML(E27,""/html/body/main/div[3]/div[3]/div[2]/ul/li[5]/span[2]/span"")"),"Loading...")</f>
        <v>Loading...</v>
      </c>
      <c r="J27" s="7">
        <f ca="1">IFERROR(__xludf.DUMMYFUNCTION("GOOGLEFINANCE(""NSE:""&amp;D27,""marketcap"")"),606415000000)</f>
        <v>606415000000</v>
      </c>
      <c r="K27" s="7"/>
      <c r="L27" s="8">
        <f ca="1">IFERROR(__xludf.DUMMYFUNCTION("GOOGLEFINANCE(""NSE:""&amp;D27,""price"")"),1048)</f>
        <v>1048</v>
      </c>
      <c r="M27" s="9">
        <f t="shared" ca="1" si="2"/>
        <v>1048</v>
      </c>
      <c r="N27" s="10" t="e">
        <f t="shared" ca="1" si="3"/>
        <v>#DIV/0!</v>
      </c>
      <c r="O27" s="7">
        <f ca="1">IFERROR(__xludf.DUMMYFUNCTION("GOOGLEFINANCE(""NSE:""&amp;D27,""pe"")"),17.97)</f>
        <v>17.97</v>
      </c>
      <c r="P27" s="7">
        <f ca="1">IFERROR(__xludf.DUMMYFUNCTION("GOOGLEFINANCE(""NSE:""&amp;D27,""EPS"")"),58.32)</f>
        <v>58.32</v>
      </c>
      <c r="Q27" s="7">
        <v>13.5</v>
      </c>
      <c r="R27" s="7" t="str">
        <f ca="1">IFERROR(__xludf.DUMMYFUNCTION("IMPORTXML(E27,""/html/body/main/div[3]/div[3]/div[2]/ul/li[7]/span[2]/span"")"),"Loading...")</f>
        <v>Loading...</v>
      </c>
      <c r="S27" s="7" t="str">
        <f ca="1">IFERROR(__xludf.DUMMYFUNCTION("IMPORTXML(E27,""/html/body/main/div[3]/div[3]/div[2]/ul/li[8]/span[2]/span"")"),"Loading...")</f>
        <v>Loading...</v>
      </c>
      <c r="T27" s="4">
        <v>34.6</v>
      </c>
      <c r="U27" s="4">
        <v>22.7</v>
      </c>
      <c r="V27" s="4">
        <v>2.6</v>
      </c>
      <c r="W27" s="4">
        <v>5.7</v>
      </c>
      <c r="X27" s="4">
        <v>519.92999999999995</v>
      </c>
      <c r="Y27" s="7">
        <f t="shared" ca="1" si="4"/>
        <v>528.07000000000005</v>
      </c>
    </row>
    <row r="28" spans="1:25" ht="15.75" customHeight="1" x14ac:dyDescent="0.25">
      <c r="A28" s="4">
        <v>63</v>
      </c>
      <c r="C28" s="12" t="s">
        <v>305</v>
      </c>
      <c r="D28" s="12" t="s">
        <v>306</v>
      </c>
      <c r="E28" s="5" t="str">
        <f t="shared" si="0"/>
        <v>https://www.screener.in/company/UCOBANK/consolidated/</v>
      </c>
      <c r="H28" s="6">
        <f t="shared" ca="1" si="1"/>
        <v>0</v>
      </c>
      <c r="I28" s="7" t="str">
        <f ca="1">IFERROR(__xludf.DUMMYFUNCTION("IMPORTXML(E28,""/html/body/main/div[3]/div[3]/div[2]/ul/li[5]/span[2]/span"")"),"Loading...")</f>
        <v>Loading...</v>
      </c>
      <c r="J28" s="7">
        <f ca="1">IFERROR(__xludf.DUMMYFUNCTION("GOOGLEFINANCE(""NSE:""&amp;D28,""marketcap"")"),358882200000)</f>
        <v>358882200000</v>
      </c>
      <c r="K28" s="7"/>
      <c r="L28" s="8">
        <f ca="1">IFERROR(__xludf.DUMMYFUNCTION("GOOGLEFINANCE(""NSE:""&amp;D28,""price"")"),28.6)</f>
        <v>28.6</v>
      </c>
      <c r="M28" s="9">
        <f t="shared" ca="1" si="2"/>
        <v>28.6</v>
      </c>
      <c r="N28" s="10" t="e">
        <f t="shared" ca="1" si="3"/>
        <v>#DIV/0!</v>
      </c>
      <c r="O28" s="7">
        <f ca="1">IFERROR(__xludf.DUMMYFUNCTION("GOOGLEFINANCE(""NSE:""&amp;D28,""pe"")"),13.86)</f>
        <v>13.86</v>
      </c>
      <c r="P28" s="7">
        <f ca="1">IFERROR(__xludf.DUMMYFUNCTION("GOOGLEFINANCE(""NSE:""&amp;D28,""EPS"")"),2.06)</f>
        <v>2.06</v>
      </c>
      <c r="Q28" s="7">
        <v>13.5</v>
      </c>
      <c r="R28" s="7" t="str">
        <f ca="1">IFERROR(__xludf.DUMMYFUNCTION("IMPORTXML(E28,""/html/body/main/div[3]/div[3]/div[2]/ul/li[7]/span[2]/span"")"),"Loading...")</f>
        <v>Loading...</v>
      </c>
      <c r="S28" s="7" t="str">
        <f ca="1">IFERROR(__xludf.DUMMYFUNCTION("IMPORTXML(E28,""/html/body/main/div[3]/div[3]/div[2]/ul/li[8]/span[2]/span"")"),"Loading...")</f>
        <v>Loading...</v>
      </c>
      <c r="T28" s="4">
        <v>34.6</v>
      </c>
      <c r="U28" s="4">
        <v>22.7</v>
      </c>
      <c r="V28" s="4">
        <v>2.6</v>
      </c>
      <c r="W28" s="4">
        <v>5.7</v>
      </c>
      <c r="X28" s="4">
        <v>519.92999999999995</v>
      </c>
      <c r="Y28" s="7">
        <f t="shared" ca="1" si="4"/>
        <v>-491.32999999999993</v>
      </c>
    </row>
    <row r="29" spans="1:25" ht="15" x14ac:dyDescent="0.25">
      <c r="A29" s="4">
        <v>93</v>
      </c>
      <c r="C29" s="12" t="s">
        <v>307</v>
      </c>
      <c r="D29" s="12" t="s">
        <v>308</v>
      </c>
      <c r="E29" s="5" t="str">
        <f t="shared" si="0"/>
        <v>https://www.screener.in/company/AUBANK/consolidated/</v>
      </c>
      <c r="H29" s="6">
        <f t="shared" ca="1" si="1"/>
        <v>0</v>
      </c>
      <c r="I29" s="7" t="str">
        <f ca="1">IFERROR(__xludf.DUMMYFUNCTION("IMPORTXML(E29,""/html/body/main/div[3]/div[3]/div[2]/ul/li[5]/span[2]/span"")"),"Loading...")</f>
        <v>Loading...</v>
      </c>
      <c r="J29" s="7">
        <f ca="1">IFERROR(__xludf.DUMMYFUNCTION("GOOGLEFINANCE(""NSE:""&amp;D29,""marketcap"")"),517877200000)</f>
        <v>517877200000</v>
      </c>
      <c r="K29" s="7"/>
      <c r="L29" s="8">
        <f ca="1">IFERROR(__xludf.DUMMYFUNCTION("GOOGLEFINANCE(""NSE:""&amp;D29,""price"")"),696.6)</f>
        <v>696.6</v>
      </c>
      <c r="M29" s="9">
        <f t="shared" ca="1" si="2"/>
        <v>696.6</v>
      </c>
      <c r="N29" s="10" t="e">
        <f t="shared" ca="1" si="3"/>
        <v>#DIV/0!</v>
      </c>
      <c r="O29" s="7">
        <f ca="1">IFERROR(__xludf.DUMMYFUNCTION("GOOGLEFINANCE(""NSE:""&amp;D29,""pe"")"),24.67)</f>
        <v>24.67</v>
      </c>
      <c r="P29" s="7">
        <f ca="1">IFERROR(__xludf.DUMMYFUNCTION("GOOGLEFINANCE(""NSE:""&amp;D29,""EPS"")"),28.24)</f>
        <v>28.24</v>
      </c>
      <c r="Q29" s="7">
        <v>13.5</v>
      </c>
      <c r="R29" s="7" t="str">
        <f ca="1">IFERROR(__xludf.DUMMYFUNCTION("IMPORTXML(E29,""/html/body/main/div[3]/div[3]/div[2]/ul/li[7]/span[2]/span"")"),"Loading...")</f>
        <v>Loading...</v>
      </c>
      <c r="S29" s="7" t="str">
        <f ca="1">IFERROR(__xludf.DUMMYFUNCTION("IMPORTXML(E29,""/html/body/main/div[3]/div[3]/div[2]/ul/li[8]/span[2]/span"")"),"Loading...")</f>
        <v>Loading...</v>
      </c>
      <c r="T29" s="4">
        <v>34.6</v>
      </c>
      <c r="U29" s="4">
        <v>22.7</v>
      </c>
      <c r="V29" s="4">
        <v>2.6</v>
      </c>
      <c r="W29" s="4">
        <v>5.7</v>
      </c>
      <c r="X29" s="4">
        <v>519.92999999999995</v>
      </c>
      <c r="Y29" s="7">
        <f t="shared" ca="1" si="4"/>
        <v>176.67000000000007</v>
      </c>
    </row>
    <row r="30" spans="1:25" ht="15" x14ac:dyDescent="0.25">
      <c r="A30" s="4">
        <v>73</v>
      </c>
      <c r="C30" s="12" t="s">
        <v>309</v>
      </c>
      <c r="D30" s="12" t="s">
        <v>310</v>
      </c>
      <c r="E30" s="5" t="str">
        <f t="shared" si="0"/>
        <v>https://www.screener.in/company/SAIL/consolidated/</v>
      </c>
      <c r="H30" s="6">
        <f t="shared" ca="1" si="1"/>
        <v>0</v>
      </c>
      <c r="I30" s="7" t="str">
        <f ca="1">IFERROR(__xludf.DUMMYFUNCTION("IMPORTXML(E30,""/html/body/main/div[3]/div[3]/div[2]/ul/li[5]/span[2]/span"")"),"Loading...")</f>
        <v>Loading...</v>
      </c>
      <c r="J30" s="7">
        <f ca="1">IFERROR(__xludf.DUMMYFUNCTION("GOOGLEFINANCE(""NSE:""&amp;D30,""marketcap"")"),533984316303)</f>
        <v>533984316303</v>
      </c>
      <c r="K30" s="7"/>
      <c r="L30" s="8">
        <f ca="1">IFERROR(__xludf.DUMMYFUNCTION("GOOGLEFINANCE(""NSE:""&amp;D30,""price"")"),129.3)</f>
        <v>129.30000000000001</v>
      </c>
      <c r="M30" s="9">
        <f t="shared" ca="1" si="2"/>
        <v>129.30000000000001</v>
      </c>
      <c r="N30" s="10" t="e">
        <f t="shared" ca="1" si="3"/>
        <v>#DIV/0!</v>
      </c>
      <c r="O30" s="7">
        <f ca="1">IFERROR(__xludf.DUMMYFUNCTION("GOOGLEFINANCE(""NSE:""&amp;D30,""pe"")"),17.58)</f>
        <v>17.579999999999998</v>
      </c>
      <c r="P30" s="7">
        <f ca="1">IFERROR(__xludf.DUMMYFUNCTION("GOOGLEFINANCE(""NSE:""&amp;D30,""EPS"")"),7.35)</f>
        <v>7.35</v>
      </c>
      <c r="Q30" s="7">
        <v>13.5</v>
      </c>
      <c r="R30" s="7" t="str">
        <f ca="1">IFERROR(__xludf.DUMMYFUNCTION("IMPORTXML(E30,""/html/body/main/div[3]/div[3]/div[2]/ul/li[7]/span[2]/span"")"),"Loading...")</f>
        <v>Loading...</v>
      </c>
      <c r="S30" s="7" t="str">
        <f ca="1">IFERROR(__xludf.DUMMYFUNCTION("IMPORTXML(E30,""/html/body/main/div[3]/div[3]/div[2]/ul/li[8]/span[2]/span"")"),"Loading...")</f>
        <v>Loading...</v>
      </c>
      <c r="T30" s="4">
        <v>34.6</v>
      </c>
      <c r="U30" s="4">
        <v>22.7</v>
      </c>
      <c r="V30" s="4">
        <v>2.6</v>
      </c>
      <c r="W30" s="4">
        <v>5.7</v>
      </c>
      <c r="X30" s="4">
        <v>519.92999999999995</v>
      </c>
      <c r="Y30" s="7">
        <f t="shared" ca="1" si="4"/>
        <v>-390.62999999999994</v>
      </c>
    </row>
    <row r="31" spans="1:25" ht="15" x14ac:dyDescent="0.25">
      <c r="A31" s="4">
        <v>121</v>
      </c>
      <c r="C31" s="12" t="s">
        <v>311</v>
      </c>
      <c r="D31" s="12" t="s">
        <v>312</v>
      </c>
      <c r="E31" s="5" t="str">
        <f t="shared" si="0"/>
        <v>https://www.screener.in/company/GUJGASLTD/consolidated/</v>
      </c>
      <c r="H31" s="6">
        <f t="shared" ca="1" si="1"/>
        <v>0</v>
      </c>
      <c r="I31" s="7" t="str">
        <f ca="1">IFERROR(__xludf.DUMMYFUNCTION("IMPORTXML(E31,""/html/body/main/div[3]/div[3]/div[2]/ul/li[5]/span[2]/span"")"),"Loading...")</f>
        <v>Loading...</v>
      </c>
      <c r="J31" s="7">
        <f ca="1">IFERROR(__xludf.DUMMYFUNCTION("GOOGLEFINANCE(""NSE:""&amp;D31,""marketcap"")"),298726935693)</f>
        <v>298726935693</v>
      </c>
      <c r="K31" s="7"/>
      <c r="L31" s="8">
        <f ca="1">IFERROR(__xludf.DUMMYFUNCTION("GOOGLEFINANCE(""NSE:""&amp;D31,""price"")"),433.95)</f>
        <v>433.95</v>
      </c>
      <c r="M31" s="9">
        <f t="shared" ca="1" si="2"/>
        <v>433.95</v>
      </c>
      <c r="N31" s="10" t="e">
        <f t="shared" ca="1" si="3"/>
        <v>#DIV/0!</v>
      </c>
      <c r="O31" s="7">
        <f ca="1">IFERROR(__xludf.DUMMYFUNCTION("GOOGLEFINANCE(""NSE:""&amp;D31,""pe"")"),26.09)</f>
        <v>26.09</v>
      </c>
      <c r="P31" s="7">
        <f ca="1">IFERROR(__xludf.DUMMYFUNCTION("GOOGLEFINANCE(""NSE:""&amp;D31,""EPS"")"),16.63)</f>
        <v>16.63</v>
      </c>
      <c r="Q31" s="7">
        <v>13.5</v>
      </c>
      <c r="R31" s="7" t="str">
        <f ca="1">IFERROR(__xludf.DUMMYFUNCTION("IMPORTXML(E31,""/html/body/main/div[3]/div[3]/div[2]/ul/li[7]/span[2]/span"")"),"Loading...")</f>
        <v>Loading...</v>
      </c>
      <c r="S31" s="7" t="str">
        <f ca="1">IFERROR(__xludf.DUMMYFUNCTION("IMPORTXML(E31,""/html/body/main/div[3]/div[3]/div[2]/ul/li[8]/span[2]/span"")"),"Loading...")</f>
        <v>Loading...</v>
      </c>
      <c r="T31" s="4">
        <v>34.6</v>
      </c>
      <c r="U31" s="4">
        <v>22.7</v>
      </c>
      <c r="V31" s="4">
        <v>2.6</v>
      </c>
      <c r="W31" s="4">
        <v>5.7</v>
      </c>
      <c r="X31" s="4">
        <v>519.92999999999995</v>
      </c>
      <c r="Y31" s="7">
        <f t="shared" ca="1" si="4"/>
        <v>-85.979999999999961</v>
      </c>
    </row>
    <row r="32" spans="1:25" ht="15" x14ac:dyDescent="0.25">
      <c r="A32" s="4">
        <v>79</v>
      </c>
      <c r="C32" s="12" t="s">
        <v>313</v>
      </c>
      <c r="D32" s="12" t="s">
        <v>314</v>
      </c>
      <c r="E32" s="5" t="str">
        <f t="shared" si="0"/>
        <v>https://www.screener.in/company/IDFCFIRSTB/consolidated/</v>
      </c>
      <c r="H32" s="6">
        <f t="shared" ca="1" si="1"/>
        <v>0</v>
      </c>
      <c r="I32" s="7" t="str">
        <f ca="1">IFERROR(__xludf.DUMMYFUNCTION("IMPORTXML(E32,""/html/body/main/div[3]/div[3]/div[2]/ul/li[5]/span[2]/span"")"),"Loading...")</f>
        <v>Loading...</v>
      </c>
      <c r="J32" s="7">
        <f ca="1">IFERROR(__xludf.DUMMYFUNCTION("GOOGLEFINANCE(""NSE:""&amp;D32,""marketcap"")"),531459891058)</f>
        <v>531459891058</v>
      </c>
      <c r="K32" s="7"/>
      <c r="L32" s="8">
        <f ca="1">IFERROR(__xludf.DUMMYFUNCTION("GOOGLEFINANCE(""NSE:""&amp;D32,""price"")"),72.63)</f>
        <v>72.63</v>
      </c>
      <c r="M32" s="9">
        <f t="shared" ca="1" si="2"/>
        <v>72.63</v>
      </c>
      <c r="N32" s="10" t="e">
        <f t="shared" ca="1" si="3"/>
        <v>#DIV/0!</v>
      </c>
      <c r="O32" s="7">
        <f ca="1">IFERROR(__xludf.DUMMYFUNCTION("GOOGLEFINANCE(""NSE:""&amp;D32,""pe"")"),41.46)</f>
        <v>41.46</v>
      </c>
      <c r="P32" s="7">
        <f ca="1">IFERROR(__xludf.DUMMYFUNCTION("GOOGLEFINANCE(""NSE:""&amp;D32,""EPS"")"),1.75)</f>
        <v>1.75</v>
      </c>
      <c r="Q32" s="7">
        <v>13.5</v>
      </c>
      <c r="R32" s="7" t="str">
        <f ca="1">IFERROR(__xludf.DUMMYFUNCTION("IMPORTXML(E32,""/html/body/main/div[3]/div[3]/div[2]/ul/li[7]/span[2]/span"")"),"Loading...")</f>
        <v>Loading...</v>
      </c>
      <c r="S32" s="7" t="str">
        <f ca="1">IFERROR(__xludf.DUMMYFUNCTION("IMPORTXML(E32,""/html/body/main/div[3]/div[3]/div[2]/ul/li[8]/span[2]/span"")"),"Loading...")</f>
        <v>Loading...</v>
      </c>
      <c r="T32" s="4">
        <v>34.6</v>
      </c>
      <c r="U32" s="4">
        <v>22.7</v>
      </c>
      <c r="V32" s="4">
        <v>2.6</v>
      </c>
      <c r="W32" s="4">
        <v>5.7</v>
      </c>
      <c r="X32" s="4">
        <v>519.92999999999995</v>
      </c>
      <c r="Y32" s="7">
        <f t="shared" ca="1" si="4"/>
        <v>-447.29999999999995</v>
      </c>
    </row>
    <row r="33" spans="1:25" ht="15" x14ac:dyDescent="0.25">
      <c r="A33" s="4">
        <v>43</v>
      </c>
      <c r="C33" s="12" t="s">
        <v>315</v>
      </c>
      <c r="D33" s="12" t="s">
        <v>316</v>
      </c>
      <c r="E33" s="5" t="str">
        <f t="shared" si="0"/>
        <v>https://www.screener.in/company/OBEROIRLTY/consolidated/</v>
      </c>
      <c r="H33" s="6">
        <f t="shared" ca="1" si="1"/>
        <v>0</v>
      </c>
      <c r="I33" s="7" t="str">
        <f ca="1">IFERROR(__xludf.DUMMYFUNCTION("IMPORTXML(E33,""/html/body/main/div[3]/div[3]/div[2]/ul/li[5]/span[2]/span"")"),"Loading...")</f>
        <v>Loading...</v>
      </c>
      <c r="J33" s="7">
        <f ca="1">IFERROR(__xludf.DUMMYFUNCTION("GOOGLEFINANCE(""NSE:""&amp;D33,""marketcap"")"),592162600000)</f>
        <v>592162600000</v>
      </c>
      <c r="K33" s="7"/>
      <c r="L33" s="8">
        <f ca="1">IFERROR(__xludf.DUMMYFUNCTION("GOOGLEFINANCE(""NSE:""&amp;D33,""price"")"),1640)</f>
        <v>1640</v>
      </c>
      <c r="M33" s="9">
        <f t="shared" ca="1" si="2"/>
        <v>1640</v>
      </c>
      <c r="N33" s="10" t="e">
        <f t="shared" ca="1" si="3"/>
        <v>#DIV/0!</v>
      </c>
      <c r="O33" s="7">
        <f ca="1">IFERROR(__xludf.DUMMYFUNCTION("GOOGLEFINANCE(""NSE:""&amp;D33,""pe"")"),28.91)</f>
        <v>28.91</v>
      </c>
      <c r="P33" s="7">
        <f ca="1">IFERROR(__xludf.DUMMYFUNCTION("GOOGLEFINANCE(""NSE:""&amp;D33,""EPS"")"),56.73)</f>
        <v>56.73</v>
      </c>
      <c r="Q33" s="7">
        <v>13.5</v>
      </c>
      <c r="R33" s="7" t="str">
        <f ca="1">IFERROR(__xludf.DUMMYFUNCTION("IMPORTXML(E33,""/html/body/main/div[3]/div[3]/div[2]/ul/li[7]/span[2]/span"")"),"Loading...")</f>
        <v>Loading...</v>
      </c>
      <c r="S33" s="7" t="str">
        <f ca="1">IFERROR(__xludf.DUMMYFUNCTION("IMPORTXML(E33,""/html/body/main/div[3]/div[3]/div[2]/ul/li[8]/span[2]/span"")"),"Loading...")</f>
        <v>Loading...</v>
      </c>
      <c r="T33" s="4">
        <v>34.6</v>
      </c>
      <c r="U33" s="4">
        <v>22.7</v>
      </c>
      <c r="V33" s="4">
        <v>2.6</v>
      </c>
      <c r="W33" s="4">
        <v>5.7</v>
      </c>
      <c r="X33" s="4">
        <v>519.92999999999995</v>
      </c>
      <c r="Y33" s="7">
        <f t="shared" ca="1" si="4"/>
        <v>1120.0700000000002</v>
      </c>
    </row>
    <row r="34" spans="1:25" ht="15" x14ac:dyDescent="0.25">
      <c r="A34" s="4">
        <v>45</v>
      </c>
      <c r="C34" s="12" t="s">
        <v>317</v>
      </c>
      <c r="D34" s="12" t="s">
        <v>318</v>
      </c>
      <c r="E34" s="5" t="str">
        <f t="shared" si="0"/>
        <v>https://www.screener.in/company/ASHOKLEY/consolidated/</v>
      </c>
      <c r="H34" s="6">
        <f t="shared" ca="1" si="1"/>
        <v>0</v>
      </c>
      <c r="I34" s="7" t="str">
        <f ca="1">IFERROR(__xludf.DUMMYFUNCTION("IMPORTXML(E34,""/html/body/main/div[3]/div[3]/div[2]/ul/li[5]/span[2]/span"")"),"Loading...")</f>
        <v>Loading...</v>
      </c>
      <c r="J34" s="7">
        <f ca="1">IFERROR(__xludf.DUMMYFUNCTION("GOOGLEFINANCE(""NSE:""&amp;D34,""marketcap"")"),384391275791)</f>
        <v>384391275791</v>
      </c>
      <c r="K34" s="7"/>
      <c r="L34" s="8">
        <f ca="1">IFERROR(__xludf.DUMMYFUNCTION("GOOGLEFINANCE(""NSE:""&amp;D34,""price"")"),131.44)</f>
        <v>131.44</v>
      </c>
      <c r="M34" s="9">
        <f t="shared" ca="1" si="2"/>
        <v>131.44</v>
      </c>
      <c r="N34" s="10" t="e">
        <f t="shared" ca="1" si="3"/>
        <v>#DIV/0!</v>
      </c>
      <c r="O34" s="7">
        <f ca="1">IFERROR(__xludf.DUMMYFUNCTION("GOOGLEFINANCE(""NSE:""&amp;D34,""pe"")"),24.1)</f>
        <v>24.1</v>
      </c>
      <c r="P34" s="7">
        <f ca="1">IFERROR(__xludf.DUMMYFUNCTION("GOOGLEFINANCE(""NSE:""&amp;D34,""EPS"")"),5.46)</f>
        <v>5.46</v>
      </c>
      <c r="Q34" s="7">
        <v>13.5</v>
      </c>
      <c r="R34" s="7" t="str">
        <f ca="1">IFERROR(__xludf.DUMMYFUNCTION("IMPORTXML(E34,""/html/body/main/div[3]/div[3]/div[2]/ul/li[7]/span[2]/span"")"),"Loading...")</f>
        <v>Loading...</v>
      </c>
      <c r="S34" s="7" t="str">
        <f ca="1">IFERROR(__xludf.DUMMYFUNCTION("IMPORTXML(E34,""/html/body/main/div[3]/div[3]/div[2]/ul/li[8]/span[2]/span"")"),"Loading...")</f>
        <v>Loading...</v>
      </c>
      <c r="T34" s="4">
        <v>34.6</v>
      </c>
      <c r="U34" s="4">
        <v>22.7</v>
      </c>
      <c r="V34" s="4">
        <v>2.6</v>
      </c>
      <c r="W34" s="4">
        <v>5.7</v>
      </c>
      <c r="X34" s="4">
        <v>519.92999999999995</v>
      </c>
      <c r="Y34" s="7">
        <f t="shared" ca="1" si="4"/>
        <v>-388.48999999999995</v>
      </c>
    </row>
    <row r="35" spans="1:25" ht="15" x14ac:dyDescent="0.25">
      <c r="A35" s="4">
        <v>60</v>
      </c>
      <c r="C35" s="12" t="s">
        <v>319</v>
      </c>
      <c r="D35" s="12" t="s">
        <v>320</v>
      </c>
      <c r="E35" s="5" t="str">
        <f t="shared" si="0"/>
        <v>https://www.screener.in/company/JSL/consolidated/</v>
      </c>
      <c r="H35" s="6">
        <f t="shared" ca="1" si="1"/>
        <v>0</v>
      </c>
      <c r="I35" s="7" t="str">
        <f ca="1">IFERROR(__xludf.DUMMYFUNCTION("IMPORTXML(E35,""/html/body/main/div[3]/div[3]/div[2]/ul/li[5]/span[2]/span"")"),"Loading...")</f>
        <v>Loading...</v>
      </c>
      <c r="J35" s="7">
        <f ca="1">IFERROR(__xludf.DUMMYFUNCTION("GOOGLEFINANCE(""NSE:""&amp;D35,""marketcap"")"),620345921809)</f>
        <v>620345921809</v>
      </c>
      <c r="K35" s="7"/>
      <c r="L35" s="8">
        <f ca="1">IFERROR(__xludf.DUMMYFUNCTION("GOOGLEFINANCE(""NSE:""&amp;D35,""price"")"),758)</f>
        <v>758</v>
      </c>
      <c r="M35" s="9">
        <f t="shared" ca="1" si="2"/>
        <v>758</v>
      </c>
      <c r="N35" s="10" t="e">
        <f t="shared" ca="1" si="3"/>
        <v>#DIV/0!</v>
      </c>
      <c r="O35" s="7">
        <f ca="1">IFERROR(__xludf.DUMMYFUNCTION("GOOGLEFINANCE(""NSE:""&amp;D35,""pe"")"),24.29)</f>
        <v>24.29</v>
      </c>
      <c r="P35" s="7">
        <f ca="1">IFERROR(__xludf.DUMMYFUNCTION("GOOGLEFINANCE(""NSE:""&amp;D35,""EPS"")"),31.2)</f>
        <v>31.2</v>
      </c>
      <c r="Q35" s="7">
        <v>13.5</v>
      </c>
      <c r="R35" s="7" t="str">
        <f ca="1">IFERROR(__xludf.DUMMYFUNCTION("IMPORTXML(E35,""/html/body/main/div[3]/div[3]/div[2]/ul/li[7]/span[2]/span"")"),"Loading...")</f>
        <v>Loading...</v>
      </c>
      <c r="S35" s="7" t="str">
        <f ca="1">IFERROR(__xludf.DUMMYFUNCTION("IMPORTXML(E35,""/html/body/main/div[3]/div[3]/div[2]/ul/li[8]/span[2]/span"")"),"Loading...")</f>
        <v>Loading...</v>
      </c>
      <c r="T35" s="4">
        <v>34.6</v>
      </c>
      <c r="U35" s="4">
        <v>22.7</v>
      </c>
      <c r="V35" s="4">
        <v>2.6</v>
      </c>
      <c r="W35" s="4">
        <v>5.7</v>
      </c>
      <c r="X35" s="4">
        <v>519.92999999999995</v>
      </c>
      <c r="Y35" s="7">
        <f t="shared" ca="1" si="4"/>
        <v>238.07000000000005</v>
      </c>
    </row>
    <row r="36" spans="1:25" ht="15" x14ac:dyDescent="0.25">
      <c r="A36" s="4">
        <v>7</v>
      </c>
      <c r="C36" s="12" t="s">
        <v>321</v>
      </c>
      <c r="D36" s="12" t="s">
        <v>322</v>
      </c>
      <c r="E36" s="5" t="str">
        <f t="shared" si="0"/>
        <v>https://www.screener.in/company/JINDALSTEL/consolidated/</v>
      </c>
      <c r="H36" s="6">
        <f t="shared" ca="1" si="1"/>
        <v>0</v>
      </c>
      <c r="I36" s="7" t="str">
        <f ca="1">IFERROR(__xludf.DUMMYFUNCTION("IMPORTXML(E36,""/html/body/main/div[3]/div[3]/div[2]/ul/li[5]/span[2]/span"")"),"Loading...")</f>
        <v>Loading...</v>
      </c>
      <c r="J36" s="7">
        <f ca="1">IFERROR(__xludf.DUMMYFUNCTION("GOOGLEFINANCE(""NSE:""&amp;D36,""marketcap"")"),1046979533126)</f>
        <v>1046979533126</v>
      </c>
      <c r="K36" s="7"/>
      <c r="L36" s="8">
        <f ca="1">IFERROR(__xludf.DUMMYFUNCTION("GOOGLEFINANCE(""NSE:""&amp;D36,""price"")"),1032.5)</f>
        <v>1032.5</v>
      </c>
      <c r="M36" s="9">
        <f t="shared" ca="1" si="2"/>
        <v>1032.5</v>
      </c>
      <c r="N36" s="10" t="e">
        <f t="shared" ca="1" si="3"/>
        <v>#DIV/0!</v>
      </c>
      <c r="O36" s="7">
        <f ca="1">IFERROR(__xludf.DUMMYFUNCTION("GOOGLEFINANCE(""NSE:""&amp;D36,""pe"")"),35.15)</f>
        <v>35.15</v>
      </c>
      <c r="P36" s="7">
        <f ca="1">IFERROR(__xludf.DUMMYFUNCTION("GOOGLEFINANCE(""NSE:""&amp;D36,""EPS"")"),29.38)</f>
        <v>29.38</v>
      </c>
      <c r="Q36" s="7">
        <v>13.5</v>
      </c>
      <c r="R36" s="7" t="str">
        <f ca="1">IFERROR(__xludf.DUMMYFUNCTION("IMPORTXML(E36,""/html/body/main/div[3]/div[3]/div[2]/ul/li[7]/span[2]/span"")"),"Loading...")</f>
        <v>Loading...</v>
      </c>
      <c r="S36" s="7" t="str">
        <f ca="1">IFERROR(__xludf.DUMMYFUNCTION("IMPORTXML(E36,""/html/body/main/div[3]/div[3]/div[2]/ul/li[8]/span[2]/span"")"),"Loading...")</f>
        <v>Loading...</v>
      </c>
      <c r="T36" s="4">
        <v>34.6</v>
      </c>
      <c r="U36" s="4">
        <v>22.7</v>
      </c>
      <c r="V36" s="4">
        <v>2.6</v>
      </c>
      <c r="W36" s="4">
        <v>5.7</v>
      </c>
      <c r="X36" s="4">
        <v>519.92999999999995</v>
      </c>
      <c r="Y36" s="7">
        <f t="shared" ca="1" si="4"/>
        <v>512.57000000000005</v>
      </c>
    </row>
    <row r="37" spans="1:25" ht="15" x14ac:dyDescent="0.25">
      <c r="A37" s="4">
        <v>40</v>
      </c>
      <c r="C37" s="12" t="s">
        <v>323</v>
      </c>
      <c r="D37" s="12" t="s">
        <v>324</v>
      </c>
      <c r="E37" s="5" t="str">
        <f t="shared" si="0"/>
        <v>https://www.screener.in/company/YESBANK/consolidated/</v>
      </c>
      <c r="H37" s="6">
        <f t="shared" ca="1" si="1"/>
        <v>0</v>
      </c>
      <c r="I37" s="7" t="str">
        <f ca="1">IFERROR(__xludf.DUMMYFUNCTION("IMPORTXML(E37,""/html/body/main/div[3]/div[3]/div[2]/ul/li[5]/span[2]/span"")"),"Loading...")</f>
        <v>Loading...</v>
      </c>
      <c r="J37" s="7">
        <f ca="1">IFERROR(__xludf.DUMMYFUNCTION("GOOGLEFINANCE(""NSE:""&amp;D37,""marketcap"")"),640847365144)</f>
        <v>640847365144</v>
      </c>
      <c r="K37" s="7"/>
      <c r="L37" s="8">
        <f ca="1">IFERROR(__xludf.DUMMYFUNCTION("GOOGLEFINANCE(""NSE:""&amp;D37,""price"")"),20.44)</f>
        <v>20.440000000000001</v>
      </c>
      <c r="M37" s="9">
        <f t="shared" ca="1" si="2"/>
        <v>20.440000000000001</v>
      </c>
      <c r="N37" s="10" t="e">
        <f t="shared" ca="1" si="3"/>
        <v>#DIV/0!</v>
      </c>
      <c r="O37" s="7">
        <f ca="1">IFERROR(__xludf.DUMMYFUNCTION("GOOGLEFINANCE(""NSE:""&amp;D37,""pe"")"),23.28)</f>
        <v>23.28</v>
      </c>
      <c r="P37" s="7">
        <f ca="1">IFERROR(__xludf.DUMMYFUNCTION("GOOGLEFINANCE(""NSE:""&amp;D37,""EPS"")"),0.88)</f>
        <v>0.88</v>
      </c>
      <c r="Q37" s="7">
        <v>13.5</v>
      </c>
      <c r="R37" s="7" t="str">
        <f ca="1">IFERROR(__xludf.DUMMYFUNCTION("IMPORTXML(E37,""/html/body/main/div[3]/div[3]/div[2]/ul/li[7]/span[2]/span"")"),"Loading...")</f>
        <v>Loading...</v>
      </c>
      <c r="S37" s="7" t="str">
        <f ca="1">IFERROR(__xludf.DUMMYFUNCTION("IMPORTXML(E37,""/html/body/main/div[3]/div[3]/div[2]/ul/li[8]/span[2]/span"")"),"Loading...")</f>
        <v>Loading...</v>
      </c>
      <c r="T37" s="4">
        <v>34.6</v>
      </c>
      <c r="U37" s="4">
        <v>22.7</v>
      </c>
      <c r="V37" s="4">
        <v>2.6</v>
      </c>
      <c r="W37" s="4">
        <v>5.7</v>
      </c>
      <c r="X37" s="4">
        <v>519.92999999999995</v>
      </c>
      <c r="Y37" s="7">
        <f t="shared" ca="1" si="4"/>
        <v>-499.48999999999995</v>
      </c>
    </row>
    <row r="38" spans="1:25" ht="15" x14ac:dyDescent="0.25">
      <c r="A38" s="4">
        <v>130</v>
      </c>
      <c r="C38" s="12" t="s">
        <v>325</v>
      </c>
      <c r="D38" s="12" t="s">
        <v>326</v>
      </c>
      <c r="E38" s="5" t="str">
        <f t="shared" si="0"/>
        <v>https://www.screener.in/company/NIACL/consolidated/</v>
      </c>
      <c r="H38" s="6">
        <f t="shared" ca="1" si="1"/>
        <v>0</v>
      </c>
      <c r="I38" s="7" t="str">
        <f ca="1">IFERROR(__xludf.DUMMYFUNCTION("IMPORTXML(E38,""/html/body/main/div[3]/div[3]/div[2]/ul/li[5]/span[2]/span"")"),"Loading...")</f>
        <v>Loading...</v>
      </c>
      <c r="J38" s="7">
        <f ca="1">IFERROR(__xludf.DUMMYFUNCTION("GOOGLEFINANCE(""NSE:""&amp;D38,""marketcap"")"),320444474537)</f>
        <v>320444474537</v>
      </c>
      <c r="K38" s="7"/>
      <c r="L38" s="8">
        <f ca="1">IFERROR(__xludf.DUMMYFUNCTION("GOOGLEFINANCE(""NSE:""&amp;D38,""price"")"),194.95)</f>
        <v>194.95</v>
      </c>
      <c r="M38" s="9">
        <f t="shared" ca="1" si="2"/>
        <v>194.95</v>
      </c>
      <c r="N38" s="10" t="e">
        <f t="shared" ca="1" si="3"/>
        <v>#DIV/0!</v>
      </c>
      <c r="O38" s="7">
        <f ca="1">IFERROR(__xludf.DUMMYFUNCTION("GOOGLEFINANCE(""NSE:""&amp;D38,""pe"")"),26.8)</f>
        <v>26.8</v>
      </c>
      <c r="P38" s="7">
        <f ca="1">IFERROR(__xludf.DUMMYFUNCTION("GOOGLEFINANCE(""NSE:""&amp;D38,""EPS"")"),7.27)</f>
        <v>7.27</v>
      </c>
      <c r="Q38" s="7">
        <v>13.5</v>
      </c>
      <c r="R38" s="7" t="str">
        <f ca="1">IFERROR(__xludf.DUMMYFUNCTION("IMPORTXML(E38,""/html/body/main/div[3]/div[3]/div[2]/ul/li[7]/span[2]/span"")"),"Loading...")</f>
        <v>Loading...</v>
      </c>
      <c r="S38" s="7" t="str">
        <f ca="1">IFERROR(__xludf.DUMMYFUNCTION("IMPORTXML(E38,""/html/body/main/div[3]/div[3]/div[2]/ul/li[8]/span[2]/span"")"),"Loading...")</f>
        <v>Loading...</v>
      </c>
      <c r="T38" s="4">
        <v>34.6</v>
      </c>
      <c r="U38" s="4">
        <v>22.7</v>
      </c>
      <c r="V38" s="4">
        <v>2.6</v>
      </c>
      <c r="W38" s="4">
        <v>5.7</v>
      </c>
      <c r="X38" s="4">
        <v>519.92999999999995</v>
      </c>
      <c r="Y38" s="7">
        <f t="shared" ca="1" si="4"/>
        <v>-324.97999999999996</v>
      </c>
    </row>
    <row r="39" spans="1:25" ht="15" x14ac:dyDescent="0.25">
      <c r="A39" s="4">
        <v>67</v>
      </c>
      <c r="C39" s="12" t="s">
        <v>327</v>
      </c>
      <c r="D39" s="12" t="s">
        <v>328</v>
      </c>
      <c r="E39" s="5" t="str">
        <f t="shared" si="0"/>
        <v>https://www.screener.in/company/MRF/consolidated/</v>
      </c>
      <c r="H39" s="6">
        <f t="shared" ca="1" si="1"/>
        <v>0</v>
      </c>
      <c r="I39" s="7" t="str">
        <f ca="1">IFERROR(__xludf.DUMMYFUNCTION("IMPORTXML(E39,""/html/body/main/div[3]/div[3]/div[2]/ul/li[5]/span[2]/span"")"),"Loading...")</f>
        <v>Loading...</v>
      </c>
      <c r="J39" s="7">
        <f ca="1">IFERROR(__xludf.DUMMYFUNCTION("GOOGLEFINANCE(""NSE:""&amp;D39,""marketcap"")"),627858809720)</f>
        <v>627858809720</v>
      </c>
      <c r="K39" s="7"/>
      <c r="L39" s="8">
        <f ca="1">IFERROR(__xludf.DUMMYFUNCTION("GOOGLEFINANCE(""NSE:""&amp;D39,""price"")"),148040)</f>
        <v>148040</v>
      </c>
      <c r="M39" s="9">
        <f t="shared" ca="1" si="2"/>
        <v>148040</v>
      </c>
      <c r="N39" s="10" t="e">
        <f t="shared" ca="1" si="3"/>
        <v>#DIV/0!</v>
      </c>
      <c r="O39" s="7">
        <f ca="1">IFERROR(__xludf.DUMMYFUNCTION("GOOGLEFINANCE(""NSE:""&amp;D39,""pe"")"),34.91)</f>
        <v>34.909999999999997</v>
      </c>
      <c r="P39" s="7">
        <f ca="1">IFERROR(__xludf.DUMMYFUNCTION("GOOGLEFINANCE(""NSE:""&amp;D39,""EPS"")"),4241.16)</f>
        <v>4241.16</v>
      </c>
      <c r="Q39" s="7">
        <v>13.5</v>
      </c>
      <c r="R39" s="7" t="str">
        <f ca="1">IFERROR(__xludf.DUMMYFUNCTION("IMPORTXML(E39,""/html/body/main/div[3]/div[3]/div[2]/ul/li[7]/span[2]/span"")"),"Loading...")</f>
        <v>Loading...</v>
      </c>
      <c r="S39" s="7" t="str">
        <f ca="1">IFERROR(__xludf.DUMMYFUNCTION("IMPORTXML(E39,""/html/body/main/div[3]/div[3]/div[2]/ul/li[8]/span[2]/span"")"),"Loading...")</f>
        <v>Loading...</v>
      </c>
      <c r="T39" s="4">
        <v>34.6</v>
      </c>
      <c r="U39" s="4">
        <v>22.7</v>
      </c>
      <c r="V39" s="4">
        <v>2.6</v>
      </c>
      <c r="W39" s="4">
        <v>5.7</v>
      </c>
      <c r="X39" s="4">
        <v>519.92999999999995</v>
      </c>
      <c r="Y39" s="7">
        <f t="shared" ca="1" si="4"/>
        <v>147520.07</v>
      </c>
    </row>
    <row r="40" spans="1:25" ht="15" x14ac:dyDescent="0.25">
      <c r="A40" s="4">
        <v>46</v>
      </c>
      <c r="C40" s="12" t="s">
        <v>329</v>
      </c>
      <c r="D40" s="12" t="s">
        <v>330</v>
      </c>
      <c r="E40" s="5" t="str">
        <f t="shared" si="0"/>
        <v>https://www.screener.in/company/ALKEM/consolidated/</v>
      </c>
      <c r="H40" s="6">
        <f t="shared" ca="1" si="1"/>
        <v>0</v>
      </c>
      <c r="I40" s="7" t="str">
        <f ca="1">IFERROR(__xludf.DUMMYFUNCTION("IMPORTXML(E40,""/html/body/main/div[3]/div[3]/div[2]/ul/li[5]/span[2]/span"")"),"Loading...")</f>
        <v>Loading...</v>
      </c>
      <c r="J40" s="7">
        <f ca="1">IFERROR(__xludf.DUMMYFUNCTION("GOOGLEFINANCE(""NSE:""&amp;D40,""marketcap"")"),638357535000)</f>
        <v>638357535000</v>
      </c>
      <c r="K40" s="7"/>
      <c r="L40" s="8">
        <f ca="1">IFERROR(__xludf.DUMMYFUNCTION("GOOGLEFINANCE(""NSE:""&amp;D40,""price"")"),5339)</f>
        <v>5339</v>
      </c>
      <c r="M40" s="9">
        <f t="shared" ca="1" si="2"/>
        <v>5339</v>
      </c>
      <c r="N40" s="10" t="e">
        <f t="shared" ca="1" si="3"/>
        <v>#DIV/0!</v>
      </c>
      <c r="O40" s="7">
        <f ca="1">IFERROR(__xludf.DUMMYFUNCTION("GOOGLEFINANCE(""NSE:""&amp;D40,""pe"")"),27.94)</f>
        <v>27.94</v>
      </c>
      <c r="P40" s="7">
        <f ca="1">IFERROR(__xludf.DUMMYFUNCTION("GOOGLEFINANCE(""NSE:""&amp;D40,""EPS"")"),191.08)</f>
        <v>191.08</v>
      </c>
      <c r="Q40" s="7">
        <v>13.5</v>
      </c>
      <c r="R40" s="7" t="str">
        <f ca="1">IFERROR(__xludf.DUMMYFUNCTION("IMPORTXML(E40,""/html/body/main/div[3]/div[3]/div[2]/ul/li[7]/span[2]/span"")"),"Loading...")</f>
        <v>Loading...</v>
      </c>
      <c r="S40" s="7" t="str">
        <f ca="1">IFERROR(__xludf.DUMMYFUNCTION("IMPORTXML(E40,""/html/body/main/div[3]/div[3]/div[2]/ul/li[8]/span[2]/span"")"),"Loading...")</f>
        <v>Loading...</v>
      </c>
      <c r="T40" s="4">
        <v>34.6</v>
      </c>
      <c r="U40" s="4">
        <v>22.7</v>
      </c>
      <c r="V40" s="4">
        <v>2.6</v>
      </c>
      <c r="W40" s="4">
        <v>5.7</v>
      </c>
      <c r="X40" s="4">
        <v>519.92999999999995</v>
      </c>
      <c r="Y40" s="7">
        <f t="shared" ca="1" si="4"/>
        <v>4819.07</v>
      </c>
    </row>
    <row r="41" spans="1:25" ht="15" x14ac:dyDescent="0.25">
      <c r="A41" s="4">
        <v>58</v>
      </c>
      <c r="C41" s="12" t="s">
        <v>331</v>
      </c>
      <c r="D41" s="12" t="s">
        <v>332</v>
      </c>
      <c r="E41" s="5" t="str">
        <f t="shared" si="0"/>
        <v>https://www.screener.in/company/IREDA/consolidated/</v>
      </c>
      <c r="H41" s="6">
        <f t="shared" ca="1" si="1"/>
        <v>0</v>
      </c>
      <c r="I41" s="7" t="str">
        <f ca="1">IFERROR(__xludf.DUMMYFUNCTION("IMPORTXML(E41,""/html/body/main/div[3]/div[3]/div[2]/ul/li[5]/span[2]/span"")"),"Loading...")</f>
        <v>Loading...</v>
      </c>
      <c r="J41" s="7">
        <f ca="1">IFERROR(__xludf.DUMMYFUNCTION("GOOGLEFINANCE(""NSE:""&amp;D41,""marketcap"")"),391227346402)</f>
        <v>391227346402</v>
      </c>
      <c r="K41" s="7"/>
      <c r="L41" s="8">
        <f ca="1">IFERROR(__xludf.DUMMYFUNCTION("GOOGLEFINANCE(""NSE:""&amp;D41,""price"")"),145.89)</f>
        <v>145.88999999999999</v>
      </c>
      <c r="M41" s="9">
        <f t="shared" ca="1" si="2"/>
        <v>145.88999999999999</v>
      </c>
      <c r="N41" s="10" t="e">
        <f t="shared" ca="1" si="3"/>
        <v>#DIV/0!</v>
      </c>
      <c r="O41" s="7">
        <f ca="1">IFERROR(__xludf.DUMMYFUNCTION("GOOGLEFINANCE(""NSE:""&amp;D41,""pe"")"),25.15)</f>
        <v>25.15</v>
      </c>
      <c r="P41" s="7">
        <f ca="1">IFERROR(__xludf.DUMMYFUNCTION("GOOGLEFINANCE(""NSE:""&amp;D41,""EPS"")"),5.8)</f>
        <v>5.8</v>
      </c>
      <c r="Q41" s="7">
        <v>13.5</v>
      </c>
      <c r="R41" s="7" t="str">
        <f ca="1">IFERROR(__xludf.DUMMYFUNCTION("IMPORTXML(E41,""/html/body/main/div[3]/div[3]/div[2]/ul/li[7]/span[2]/span"")"),"Loading...")</f>
        <v>Loading...</v>
      </c>
      <c r="S41" s="7" t="str">
        <f ca="1">IFERROR(__xludf.DUMMYFUNCTION("IMPORTXML(E41,""/html/body/main/div[3]/div[3]/div[2]/ul/li[8]/span[2]/span"")"),"Loading...")</f>
        <v>Loading...</v>
      </c>
      <c r="T41" s="4">
        <v>34.6</v>
      </c>
      <c r="U41" s="4">
        <v>22.7</v>
      </c>
      <c r="V41" s="4">
        <v>2.6</v>
      </c>
      <c r="W41" s="4">
        <v>5.7</v>
      </c>
      <c r="X41" s="4">
        <v>519.92999999999995</v>
      </c>
      <c r="Y41" s="7">
        <f t="shared" ca="1" si="4"/>
        <v>-374.03999999999996</v>
      </c>
    </row>
    <row r="42" spans="1:25" ht="15" x14ac:dyDescent="0.25">
      <c r="A42" s="4">
        <v>68</v>
      </c>
      <c r="C42" s="12" t="s">
        <v>333</v>
      </c>
      <c r="D42" s="12" t="s">
        <v>334</v>
      </c>
      <c r="E42" s="5" t="str">
        <f t="shared" si="0"/>
        <v>https://www.screener.in/company/MPHASIS/consolidated/</v>
      </c>
      <c r="H42" s="6">
        <f t="shared" ca="1" si="1"/>
        <v>0</v>
      </c>
      <c r="I42" s="7" t="str">
        <f ca="1">IFERROR(__xludf.DUMMYFUNCTION("IMPORTXML(E42,""/html/body/main/div[3]/div[3]/div[2]/ul/li[5]/span[2]/span"")"),"Loading...")</f>
        <v>Loading...</v>
      </c>
      <c r="J42" s="7">
        <f ca="1">IFERROR(__xludf.DUMMYFUNCTION("GOOGLEFINANCE(""NSE:""&amp;D42,""marketcap"")"),532210400000)</f>
        <v>532210400000</v>
      </c>
      <c r="K42" s="7"/>
      <c r="L42" s="8">
        <f ca="1">IFERROR(__xludf.DUMMYFUNCTION("GOOGLEFINANCE(""NSE:""&amp;D42,""price"")"),2799.7)</f>
        <v>2799.7</v>
      </c>
      <c r="M42" s="9">
        <f t="shared" ca="1" si="2"/>
        <v>2799.7</v>
      </c>
      <c r="N42" s="10" t="e">
        <f t="shared" ca="1" si="3"/>
        <v>#DIV/0!</v>
      </c>
      <c r="O42" s="7">
        <f ca="1">IFERROR(__xludf.DUMMYFUNCTION("GOOGLEFINANCE(""NSE:""&amp;D42,""pe"")"),30.69)</f>
        <v>30.69</v>
      </c>
      <c r="P42" s="7">
        <f ca="1">IFERROR(__xludf.DUMMYFUNCTION("GOOGLEFINANCE(""NSE:""&amp;D42,""EPS"")"),91.22)</f>
        <v>91.22</v>
      </c>
      <c r="Q42" s="7">
        <v>13.5</v>
      </c>
      <c r="R42" s="7" t="str">
        <f ca="1">IFERROR(__xludf.DUMMYFUNCTION("IMPORTXML(E42,""/html/body/main/div[3]/div[3]/div[2]/ul/li[7]/span[2]/span"")"),"Loading...")</f>
        <v>Loading...</v>
      </c>
      <c r="S42" s="7" t="str">
        <f ca="1">IFERROR(__xludf.DUMMYFUNCTION("IMPORTXML(E42,""/html/body/main/div[3]/div[3]/div[2]/ul/li[8]/span[2]/span"")"),"Loading...")</f>
        <v>Loading...</v>
      </c>
      <c r="T42" s="4">
        <v>34.6</v>
      </c>
      <c r="U42" s="4">
        <v>22.7</v>
      </c>
      <c r="V42" s="4">
        <v>2.6</v>
      </c>
      <c r="W42" s="4">
        <v>5.7</v>
      </c>
      <c r="X42" s="4">
        <v>519.92999999999995</v>
      </c>
      <c r="Y42" s="7">
        <f t="shared" ca="1" si="4"/>
        <v>2279.77</v>
      </c>
    </row>
    <row r="43" spans="1:25" ht="15" x14ac:dyDescent="0.25">
      <c r="A43" s="4">
        <v>30</v>
      </c>
      <c r="C43" s="12" t="s">
        <v>335</v>
      </c>
      <c r="D43" s="12" t="s">
        <v>336</v>
      </c>
      <c r="E43" s="5" t="str">
        <f t="shared" si="0"/>
        <v>https://www.screener.in/company/TORNTPOWER/consolidated/</v>
      </c>
      <c r="H43" s="6">
        <f t="shared" ca="1" si="1"/>
        <v>0</v>
      </c>
      <c r="I43" s="7" t="str">
        <f ca="1">IFERROR(__xludf.DUMMYFUNCTION("IMPORTXML(E43,""/html/body/main/div[3]/div[3]/div[2]/ul/li[5]/span[2]/span"")"),"Loading...")</f>
        <v>Loading...</v>
      </c>
      <c r="J43" s="7">
        <f ca="1">IFERROR(__xludf.DUMMYFUNCTION("GOOGLEFINANCE(""NSE:""&amp;D43,""marketcap"")"),638332846775)</f>
        <v>638332846775</v>
      </c>
      <c r="K43" s="7"/>
      <c r="L43" s="8">
        <f ca="1">IFERROR(__xludf.DUMMYFUNCTION("GOOGLEFINANCE(""NSE:""&amp;D43,""price"")"),1265)</f>
        <v>1265</v>
      </c>
      <c r="M43" s="9">
        <f t="shared" ca="1" si="2"/>
        <v>1265</v>
      </c>
      <c r="N43" s="10" t="e">
        <f t="shared" ca="1" si="3"/>
        <v>#DIV/0!</v>
      </c>
      <c r="O43" s="7">
        <f ca="1">IFERROR(__xludf.DUMMYFUNCTION("GOOGLEFINANCE(""NSE:""&amp;D43,""pe"")"),22.86)</f>
        <v>22.86</v>
      </c>
      <c r="P43" s="7">
        <f ca="1">IFERROR(__xludf.DUMMYFUNCTION("GOOGLEFINANCE(""NSE:""&amp;D43,""EPS"")"),55.34)</f>
        <v>55.34</v>
      </c>
      <c r="Q43" s="7">
        <v>13.5</v>
      </c>
      <c r="R43" s="7" t="str">
        <f ca="1">IFERROR(__xludf.DUMMYFUNCTION("IMPORTXML(E43,""/html/body/main/div[3]/div[3]/div[2]/ul/li[7]/span[2]/span"")"),"Loading...")</f>
        <v>Loading...</v>
      </c>
      <c r="S43" s="7" t="str">
        <f ca="1">IFERROR(__xludf.DUMMYFUNCTION("IMPORTXML(E43,""/html/body/main/div[3]/div[3]/div[2]/ul/li[8]/span[2]/span"")"),"Loading...")</f>
        <v>Loading...</v>
      </c>
      <c r="T43" s="4">
        <v>34.6</v>
      </c>
      <c r="U43" s="4">
        <v>22.7</v>
      </c>
      <c r="V43" s="4">
        <v>2.6</v>
      </c>
      <c r="W43" s="4">
        <v>5.7</v>
      </c>
      <c r="X43" s="4">
        <v>519.92999999999995</v>
      </c>
      <c r="Y43" s="7">
        <f t="shared" ca="1" si="4"/>
        <v>745.07</v>
      </c>
    </row>
    <row r="44" spans="1:25" ht="15" x14ac:dyDescent="0.25">
      <c r="A44" s="4">
        <v>114</v>
      </c>
      <c r="C44" s="12" t="s">
        <v>337</v>
      </c>
      <c r="D44" s="12" t="s">
        <v>338</v>
      </c>
      <c r="E44" s="5" t="str">
        <f t="shared" si="0"/>
        <v>https://www.screener.in/company/ESCORTS/consolidated/</v>
      </c>
      <c r="H44" s="6">
        <f t="shared" ca="1" si="1"/>
        <v>0</v>
      </c>
      <c r="I44" s="7" t="str">
        <f ca="1">IFERROR(__xludf.DUMMYFUNCTION("IMPORTXML(E44,""/html/body/main/div[3]/div[3]/div[2]/ul/li[5]/span[2]/span"")"),"Loading...")</f>
        <v>Loading...</v>
      </c>
      <c r="J44" s="7">
        <f ca="1">IFERROR(__xludf.DUMMYFUNCTION("GOOGLEFINANCE(""NSE:""&amp;D44,""marketcap"")"),406260349736)</f>
        <v>406260349736</v>
      </c>
      <c r="K44" s="7"/>
      <c r="L44" s="8">
        <f ca="1">IFERROR(__xludf.DUMMYFUNCTION("GOOGLEFINANCE(""NSE:""&amp;D44,""price"")"),3692.9)</f>
        <v>3692.9</v>
      </c>
      <c r="M44" s="9">
        <f t="shared" ca="1" si="2"/>
        <v>3692.9</v>
      </c>
      <c r="N44" s="10" t="e">
        <f t="shared" ca="1" si="3"/>
        <v>#DIV/0!</v>
      </c>
      <c r="O44" s="7">
        <f ca="1">IFERROR(__xludf.DUMMYFUNCTION("GOOGLEFINANCE(""NSE:""&amp;D44,""pe"")"),17.22)</f>
        <v>17.22</v>
      </c>
      <c r="P44" s="7">
        <f ca="1">IFERROR(__xludf.DUMMYFUNCTION("GOOGLEFINANCE(""NSE:""&amp;D44,""EPS"")"),214.5)</f>
        <v>214.5</v>
      </c>
      <c r="Q44" s="7">
        <v>13.5</v>
      </c>
      <c r="R44" s="7" t="str">
        <f ca="1">IFERROR(__xludf.DUMMYFUNCTION("IMPORTXML(E44,""/html/body/main/div[3]/div[3]/div[2]/ul/li[7]/span[2]/span"")"),"Loading...")</f>
        <v>Loading...</v>
      </c>
      <c r="S44" s="7" t="str">
        <f ca="1">IFERROR(__xludf.DUMMYFUNCTION("IMPORTXML(E44,""/html/body/main/div[3]/div[3]/div[2]/ul/li[8]/span[2]/span"")"),"Loading...")</f>
        <v>Loading...</v>
      </c>
      <c r="T44" s="4">
        <v>34.6</v>
      </c>
      <c r="U44" s="4">
        <v>22.7</v>
      </c>
      <c r="V44" s="4">
        <v>2.6</v>
      </c>
      <c r="W44" s="4">
        <v>5.7</v>
      </c>
      <c r="X44" s="4">
        <v>519.92999999999995</v>
      </c>
      <c r="Y44" s="7">
        <f t="shared" ca="1" si="4"/>
        <v>3172.9700000000003</v>
      </c>
    </row>
    <row r="45" spans="1:25" ht="15" x14ac:dyDescent="0.25">
      <c r="A45" s="4">
        <v>65</v>
      </c>
      <c r="C45" s="12" t="s">
        <v>339</v>
      </c>
      <c r="D45" s="12" t="s">
        <v>340</v>
      </c>
      <c r="E45" s="5" t="str">
        <f t="shared" si="0"/>
        <v>https://www.screener.in/company/BALKRISIND/consolidated/</v>
      </c>
      <c r="H45" s="6">
        <f t="shared" ca="1" si="1"/>
        <v>0</v>
      </c>
      <c r="I45" s="7" t="str">
        <f ca="1">IFERROR(__xludf.DUMMYFUNCTION("IMPORTXML(E45,""/html/body/main/div[3]/div[3]/div[2]/ul/li[5]/span[2]/span"")"),"Loading...")</f>
        <v>Loading...</v>
      </c>
      <c r="J45" s="7">
        <f ca="1">IFERROR(__xludf.DUMMYFUNCTION("GOOGLEFINANCE(""NSE:""&amp;D45,""marketcap"")"),446176097600)</f>
        <v>446176097600</v>
      </c>
      <c r="K45" s="7"/>
      <c r="L45" s="8">
        <f ca="1">IFERROR(__xludf.DUMMYFUNCTION("GOOGLEFINANCE(""NSE:""&amp;D45,""price"")"),2308)</f>
        <v>2308</v>
      </c>
      <c r="M45" s="9">
        <f t="shared" ca="1" si="2"/>
        <v>2308</v>
      </c>
      <c r="N45" s="10" t="e">
        <f t="shared" ca="1" si="3"/>
        <v>#DIV/0!</v>
      </c>
      <c r="O45" s="7">
        <f ca="1">IFERROR(__xludf.DUMMYFUNCTION("GOOGLEFINANCE(""NSE:""&amp;D45,""pe"")"),30.7)</f>
        <v>30.7</v>
      </c>
      <c r="P45" s="7">
        <f ca="1">IFERROR(__xludf.DUMMYFUNCTION("GOOGLEFINANCE(""NSE:""&amp;D45,""EPS"")"),75.18)</f>
        <v>75.180000000000007</v>
      </c>
      <c r="Q45" s="7">
        <v>13.5</v>
      </c>
      <c r="R45" s="7" t="str">
        <f ca="1">IFERROR(__xludf.DUMMYFUNCTION("IMPORTXML(E45,""/html/body/main/div[3]/div[3]/div[2]/ul/li[7]/span[2]/span"")"),"Loading...")</f>
        <v>Loading...</v>
      </c>
      <c r="S45" s="7" t="str">
        <f ca="1">IFERROR(__xludf.DUMMYFUNCTION("IMPORTXML(E45,""/html/body/main/div[3]/div[3]/div[2]/ul/li[8]/span[2]/span"")"),"Loading...")</f>
        <v>Loading...</v>
      </c>
      <c r="T45" s="4">
        <v>34.6</v>
      </c>
      <c r="U45" s="4">
        <v>22.7</v>
      </c>
      <c r="V45" s="4">
        <v>2.6</v>
      </c>
      <c r="W45" s="4">
        <v>5.7</v>
      </c>
      <c r="X45" s="4">
        <v>519.92999999999995</v>
      </c>
      <c r="Y45" s="7">
        <f t="shared" ca="1" si="4"/>
        <v>1788.0700000000002</v>
      </c>
    </row>
    <row r="46" spans="1:25" ht="15" x14ac:dyDescent="0.25">
      <c r="A46" s="4">
        <v>127</v>
      </c>
      <c r="C46" s="12" t="s">
        <v>341</v>
      </c>
      <c r="D46" s="12" t="s">
        <v>342</v>
      </c>
      <c r="E46" s="5" t="str">
        <f t="shared" si="0"/>
        <v>https://www.screener.in/company/AIAENG/consolidated/</v>
      </c>
      <c r="H46" s="6">
        <f t="shared" ca="1" si="1"/>
        <v>0</v>
      </c>
      <c r="I46" s="7" t="str">
        <f ca="1">IFERROR(__xludf.DUMMYFUNCTION("IMPORTXML(E46,""/html/body/main/div[3]/div[3]/div[2]/ul/li[5]/span[2]/span"")"),"Loading...")</f>
        <v>Loading...</v>
      </c>
      <c r="J46" s="7">
        <f ca="1">IFERROR(__xludf.DUMMYFUNCTION("GOOGLEFINANCE(""NSE:""&amp;D46,""marketcap"")"),284720448870)</f>
        <v>284720448870</v>
      </c>
      <c r="K46" s="7"/>
      <c r="L46" s="8">
        <f ca="1">IFERROR(__xludf.DUMMYFUNCTION("GOOGLEFINANCE(""NSE:""&amp;D46,""price"")"),3051)</f>
        <v>3051</v>
      </c>
      <c r="M46" s="9">
        <f t="shared" ca="1" si="2"/>
        <v>3051</v>
      </c>
      <c r="N46" s="10" t="e">
        <f t="shared" ca="1" si="3"/>
        <v>#DIV/0!</v>
      </c>
      <c r="O46" s="7">
        <f ca="1">IFERROR(__xludf.DUMMYFUNCTION("GOOGLEFINANCE(""NSE:""&amp;D46,""pe"")"),25.78)</f>
        <v>25.78</v>
      </c>
      <c r="P46" s="7">
        <f ca="1">IFERROR(__xludf.DUMMYFUNCTION("GOOGLEFINANCE(""NSE:""&amp;D46,""EPS"")"),118.33)</f>
        <v>118.33</v>
      </c>
      <c r="Q46" s="7">
        <v>13.5</v>
      </c>
      <c r="R46" s="7" t="str">
        <f ca="1">IFERROR(__xludf.DUMMYFUNCTION("IMPORTXML(E46,""/html/body/main/div[3]/div[3]/div[2]/ul/li[7]/span[2]/span"")"),"Loading...")</f>
        <v>Loading...</v>
      </c>
      <c r="S46" s="7" t="str">
        <f ca="1">IFERROR(__xludf.DUMMYFUNCTION("IMPORTXML(E46,""/html/body/main/div[3]/div[3]/div[2]/ul/li[8]/span[2]/span"")"),"Loading...")</f>
        <v>Loading...</v>
      </c>
      <c r="T46" s="4">
        <v>34.6</v>
      </c>
      <c r="U46" s="4">
        <v>22.7</v>
      </c>
      <c r="V46" s="4">
        <v>2.6</v>
      </c>
      <c r="W46" s="4">
        <v>5.7</v>
      </c>
      <c r="X46" s="4">
        <v>519.92999999999995</v>
      </c>
      <c r="Y46" s="7">
        <f t="shared" ca="1" si="4"/>
        <v>2531.0700000000002</v>
      </c>
    </row>
    <row r="47" spans="1:25" ht="15" x14ac:dyDescent="0.25">
      <c r="A47" s="4">
        <v>17</v>
      </c>
      <c r="C47" s="12" t="s">
        <v>343</v>
      </c>
      <c r="D47" s="12" t="s">
        <v>344</v>
      </c>
      <c r="E47" s="5" t="str">
        <f t="shared" si="0"/>
        <v>https://www.screener.in/company/NHPC/consolidated/</v>
      </c>
      <c r="H47" s="6">
        <f t="shared" ca="1" si="1"/>
        <v>0</v>
      </c>
      <c r="I47" s="7" t="str">
        <f ca="1">IFERROR(__xludf.DUMMYFUNCTION("IMPORTXML(E47,""/html/body/main/div[3]/div[3]/div[2]/ul/li[5]/span[2]/span"")"),"Loading...")</f>
        <v>Loading...</v>
      </c>
      <c r="J47" s="7">
        <f ca="1">IFERROR(__xludf.DUMMYFUNCTION("GOOGLEFINANCE(""NSE:""&amp;D47,""marketcap"")"),782025855283)</f>
        <v>782025855283</v>
      </c>
      <c r="K47" s="7"/>
      <c r="L47" s="8">
        <f ca="1">IFERROR(__xludf.DUMMYFUNCTION("GOOGLEFINANCE(""NSE:""&amp;D47,""price"")"),77.92)</f>
        <v>77.92</v>
      </c>
      <c r="M47" s="9">
        <f t="shared" ca="1" si="2"/>
        <v>77.92</v>
      </c>
      <c r="N47" s="10" t="e">
        <f t="shared" ca="1" si="3"/>
        <v>#DIV/0!</v>
      </c>
      <c r="O47" s="7">
        <f ca="1">IFERROR(__xludf.DUMMYFUNCTION("GOOGLEFINANCE(""NSE:""&amp;D47,""pe"")"),25.63)</f>
        <v>25.63</v>
      </c>
      <c r="P47" s="7">
        <f ca="1">IFERROR(__xludf.DUMMYFUNCTION("GOOGLEFINANCE(""NSE:""&amp;D47,""EPS"")"),3.04)</f>
        <v>3.04</v>
      </c>
      <c r="Q47" s="7">
        <v>13.5</v>
      </c>
      <c r="R47" s="7" t="str">
        <f ca="1">IFERROR(__xludf.DUMMYFUNCTION("IMPORTXML(E47,""/html/body/main/div[3]/div[3]/div[2]/ul/li[7]/span[2]/span"")"),"Loading...")</f>
        <v>Loading...</v>
      </c>
      <c r="S47" s="7" t="str">
        <f ca="1">IFERROR(__xludf.DUMMYFUNCTION("IMPORTXML(E47,""/html/body/main/div[3]/div[3]/div[2]/ul/li[8]/span[2]/span"")"),"Loading...")</f>
        <v>Loading...</v>
      </c>
      <c r="T47" s="4">
        <v>34.6</v>
      </c>
      <c r="U47" s="4">
        <v>22.7</v>
      </c>
      <c r="V47" s="4">
        <v>2.6</v>
      </c>
      <c r="W47" s="4">
        <v>5.7</v>
      </c>
      <c r="X47" s="4">
        <v>519.92999999999995</v>
      </c>
      <c r="Y47" s="7">
        <f t="shared" ca="1" si="4"/>
        <v>-442.00999999999993</v>
      </c>
    </row>
    <row r="48" spans="1:25" ht="15" x14ac:dyDescent="0.25">
      <c r="A48" s="4">
        <v>5</v>
      </c>
      <c r="C48" s="12" t="s">
        <v>345</v>
      </c>
      <c r="D48" s="12" t="s">
        <v>346</v>
      </c>
      <c r="E48" s="5" t="str">
        <f t="shared" si="0"/>
        <v>https://www.screener.in/company/OFSS/consolidated/</v>
      </c>
      <c r="H48" s="6">
        <f t="shared" ca="1" si="1"/>
        <v>0</v>
      </c>
      <c r="I48" s="7" t="str">
        <f ca="1">IFERROR(__xludf.DUMMYFUNCTION("IMPORTXML(E48,""/html/body/main/div[3]/div[3]/div[2]/ul/li[5]/span[2]/span"")"),"Loading...")</f>
        <v>Loading...</v>
      </c>
      <c r="J48" s="7">
        <f ca="1">IFERROR(__xludf.DUMMYFUNCTION("GOOGLEFINANCE(""NSE:""&amp;D48,""marketcap"")"),719627400000)</f>
        <v>719627400000</v>
      </c>
      <c r="K48" s="7"/>
      <c r="L48" s="8">
        <f ca="1">IFERROR(__xludf.DUMMYFUNCTION("GOOGLEFINANCE(""NSE:""&amp;D48,""price"")"),8272)</f>
        <v>8272</v>
      </c>
      <c r="M48" s="9">
        <f t="shared" ca="1" si="2"/>
        <v>8272</v>
      </c>
      <c r="N48" s="10" t="e">
        <f t="shared" ca="1" si="3"/>
        <v>#DIV/0!</v>
      </c>
      <c r="O48" s="7">
        <f ca="1">IFERROR(__xludf.DUMMYFUNCTION("GOOGLEFINANCE(""NSE:""&amp;D48,""pe"")"),30.03)</f>
        <v>30.03</v>
      </c>
      <c r="P48" s="7">
        <f ca="1">IFERROR(__xludf.DUMMYFUNCTION("GOOGLEFINANCE(""NSE:""&amp;D48,""EPS"")"),275.42)</f>
        <v>275.42</v>
      </c>
      <c r="Q48" s="7">
        <v>13.5</v>
      </c>
      <c r="R48" s="7" t="str">
        <f ca="1">IFERROR(__xludf.DUMMYFUNCTION("IMPORTXML(E48,""/html/body/main/div[3]/div[3]/div[2]/ul/li[7]/span[2]/span"")"),"Loading...")</f>
        <v>Loading...</v>
      </c>
      <c r="S48" s="7" t="str">
        <f ca="1">IFERROR(__xludf.DUMMYFUNCTION("IMPORTXML(E48,""/html/body/main/div[3]/div[3]/div[2]/ul/li[8]/span[2]/span"")"),"Loading...")</f>
        <v>Loading...</v>
      </c>
      <c r="T48" s="4">
        <v>34.6</v>
      </c>
      <c r="U48" s="4">
        <v>22.7</v>
      </c>
      <c r="V48" s="4">
        <v>2.6</v>
      </c>
      <c r="W48" s="4">
        <v>5.7</v>
      </c>
      <c r="X48" s="4">
        <v>519.92999999999995</v>
      </c>
      <c r="Y48" s="7">
        <f t="shared" ca="1" si="4"/>
        <v>7752.07</v>
      </c>
    </row>
    <row r="49" spans="1:25" ht="15" x14ac:dyDescent="0.25">
      <c r="A49" s="4">
        <v>51</v>
      </c>
      <c r="C49" s="12" t="s">
        <v>347</v>
      </c>
      <c r="D49" s="12" t="s">
        <v>348</v>
      </c>
      <c r="E49" s="5" t="str">
        <f t="shared" si="0"/>
        <v>https://www.screener.in/company/PIIND/consolidated/</v>
      </c>
      <c r="H49" s="6">
        <f t="shared" ca="1" si="1"/>
        <v>0</v>
      </c>
      <c r="I49" s="7" t="str">
        <f ca="1">IFERROR(__xludf.DUMMYFUNCTION("IMPORTXML(E49,""/html/body/main/div[3]/div[3]/div[2]/ul/li[5]/span[2]/span"")"),"Loading...")</f>
        <v>Loading...</v>
      </c>
      <c r="J49" s="7">
        <f ca="1">IFERROR(__xludf.DUMMYFUNCTION("GOOGLEFINANCE(""NSE:""&amp;D49,""marketcap"")"),554475196000)</f>
        <v>554475196000</v>
      </c>
      <c r="K49" s="7"/>
      <c r="L49" s="8">
        <f ca="1">IFERROR(__xludf.DUMMYFUNCTION("GOOGLEFINANCE(""NSE:""&amp;D49,""price"")"),3655)</f>
        <v>3655</v>
      </c>
      <c r="M49" s="9">
        <f t="shared" ca="1" si="2"/>
        <v>3655</v>
      </c>
      <c r="N49" s="10" t="e">
        <f t="shared" ca="1" si="3"/>
        <v>#DIV/0!</v>
      </c>
      <c r="O49" s="7">
        <f ca="1">IFERROR(__xludf.DUMMYFUNCTION("GOOGLEFINANCE(""NSE:""&amp;D49,""pe"")"),34.42)</f>
        <v>34.42</v>
      </c>
      <c r="P49" s="7">
        <f ca="1">IFERROR(__xludf.DUMMYFUNCTION("GOOGLEFINANCE(""NSE:""&amp;D49,""EPS"")"),106.19)</f>
        <v>106.19</v>
      </c>
      <c r="Q49" s="7">
        <v>13.5</v>
      </c>
      <c r="R49" s="7" t="str">
        <f ca="1">IFERROR(__xludf.DUMMYFUNCTION("IMPORTXML(E49,""/html/body/main/div[3]/div[3]/div[2]/ul/li[7]/span[2]/span"")"),"Loading...")</f>
        <v>Loading...</v>
      </c>
      <c r="S49" s="7" t="str">
        <f ca="1">IFERROR(__xludf.DUMMYFUNCTION("IMPORTXML(E49,""/html/body/main/div[3]/div[3]/div[2]/ul/li[8]/span[2]/span"")"),"Loading...")</f>
        <v>Loading...</v>
      </c>
      <c r="T49" s="4">
        <v>34.6</v>
      </c>
      <c r="U49" s="4">
        <v>22.7</v>
      </c>
      <c r="V49" s="4">
        <v>2.6</v>
      </c>
      <c r="W49" s="4">
        <v>5.7</v>
      </c>
      <c r="X49" s="4">
        <v>519.92999999999995</v>
      </c>
      <c r="Y49" s="7">
        <f t="shared" ca="1" si="4"/>
        <v>3135.07</v>
      </c>
    </row>
    <row r="50" spans="1:25" ht="15" x14ac:dyDescent="0.25">
      <c r="A50" s="4">
        <v>106</v>
      </c>
      <c r="C50" s="12" t="s">
        <v>349</v>
      </c>
      <c r="D50" s="12" t="s">
        <v>350</v>
      </c>
      <c r="E50" s="5" t="str">
        <f t="shared" si="0"/>
        <v>https://www.screener.in/company/AWL/consolidated/</v>
      </c>
      <c r="H50" s="6">
        <f t="shared" ca="1" si="1"/>
        <v>0</v>
      </c>
      <c r="I50" s="7" t="str">
        <f ca="1">IFERROR(__xludf.DUMMYFUNCTION("IMPORTXML(E50,""/html/body/main/div[3]/div[3]/div[2]/ul/li[5]/span[2]/span"")"),"Loading...")</f>
        <v>Loading...</v>
      </c>
      <c r="J50" s="7">
        <f ca="1">IFERROR(__xludf.DUMMYFUNCTION("GOOGLEFINANCE(""NSE:""&amp;D50,""marketcap"")"),340335600000)</f>
        <v>340335600000</v>
      </c>
      <c r="K50" s="7"/>
      <c r="L50" s="8">
        <f ca="1">IFERROR(__xludf.DUMMYFUNCTION("GOOGLEFINANCE(""NSE:""&amp;D50,""price"")"),262.95)</f>
        <v>262.95</v>
      </c>
      <c r="M50" s="9">
        <f t="shared" ca="1" si="2"/>
        <v>262.95</v>
      </c>
      <c r="N50" s="10" t="e">
        <f t="shared" ca="1" si="3"/>
        <v>#DIV/0!</v>
      </c>
      <c r="O50" s="7">
        <f ca="1">IFERROR(__xludf.DUMMYFUNCTION("GOOGLEFINANCE(""NSE:""&amp;D50,""pe"")"),29.68)</f>
        <v>29.68</v>
      </c>
      <c r="P50" s="7">
        <f ca="1">IFERROR(__xludf.DUMMYFUNCTION("GOOGLEFINANCE(""NSE:""&amp;D50,""EPS"")"),8.86)</f>
        <v>8.86</v>
      </c>
      <c r="Q50" s="7">
        <v>13.5</v>
      </c>
      <c r="R50" s="7" t="str">
        <f ca="1">IFERROR(__xludf.DUMMYFUNCTION("IMPORTXML(E50,""/html/body/main/div[3]/div[3]/div[2]/ul/li[7]/span[2]/span"")"),"Loading...")</f>
        <v>Loading...</v>
      </c>
      <c r="S50" s="7" t="str">
        <f ca="1">IFERROR(__xludf.DUMMYFUNCTION("IMPORTXML(E50,""/html/body/main/div[3]/div[3]/div[2]/ul/li[8]/span[2]/span"")"),"Loading...")</f>
        <v>Loading...</v>
      </c>
      <c r="T50" s="4">
        <v>34.6</v>
      </c>
      <c r="U50" s="4">
        <v>22.7</v>
      </c>
      <c r="V50" s="4">
        <v>2.6</v>
      </c>
      <c r="W50" s="4">
        <v>5.7</v>
      </c>
      <c r="X50" s="4">
        <v>519.92999999999995</v>
      </c>
      <c r="Y50" s="7">
        <f t="shared" ca="1" si="4"/>
        <v>-256.97999999999996</v>
      </c>
    </row>
    <row r="51" spans="1:25" ht="15" x14ac:dyDescent="0.25">
      <c r="A51" s="4">
        <v>132</v>
      </c>
      <c r="C51" s="12" t="s">
        <v>351</v>
      </c>
      <c r="D51" s="12" t="s">
        <v>352</v>
      </c>
      <c r="E51" s="5" t="str">
        <f t="shared" si="0"/>
        <v>https://www.screener.in/company/APARINDS/consolidated/</v>
      </c>
      <c r="H51" s="6">
        <f t="shared" ca="1" si="1"/>
        <v>0</v>
      </c>
      <c r="I51" s="7" t="str">
        <f ca="1">IFERROR(__xludf.DUMMYFUNCTION("IMPORTXML(E51,""/html/body/main/div[3]/div[3]/div[2]/ul/li[5]/span[2]/span"")"),"Loading...")</f>
        <v>Loading...</v>
      </c>
      <c r="J51" s="7">
        <f ca="1">IFERROR(__xludf.DUMMYFUNCTION("GOOGLEFINANCE(""NSE:""&amp;D51,""marketcap"")"),312622836170)</f>
        <v>312622836170</v>
      </c>
      <c r="K51" s="7"/>
      <c r="L51" s="8">
        <f ca="1">IFERROR(__xludf.DUMMYFUNCTION("GOOGLEFINANCE(""NSE:""&amp;D51,""price"")"),7785)</f>
        <v>7785</v>
      </c>
      <c r="M51" s="9">
        <f t="shared" ca="1" si="2"/>
        <v>7785</v>
      </c>
      <c r="N51" s="10" t="e">
        <f t="shared" ca="1" si="3"/>
        <v>#DIV/0!</v>
      </c>
      <c r="O51" s="7">
        <f ca="1">IFERROR(__xludf.DUMMYFUNCTION("GOOGLEFINANCE(""NSE:""&amp;D51,""pe"")"),35.48)</f>
        <v>35.479999999999997</v>
      </c>
      <c r="P51" s="7">
        <f ca="1">IFERROR(__xludf.DUMMYFUNCTION("GOOGLEFINANCE(""NSE:""&amp;D51,""EPS"")"),219.43)</f>
        <v>219.43</v>
      </c>
      <c r="Q51" s="7">
        <v>13.5</v>
      </c>
      <c r="R51" s="7" t="str">
        <f ca="1">IFERROR(__xludf.DUMMYFUNCTION("IMPORTXML(E51,""/html/body/main/div[3]/div[3]/div[2]/ul/li[7]/span[2]/span"")"),"Loading...")</f>
        <v>Loading...</v>
      </c>
      <c r="S51" s="7" t="str">
        <f ca="1">IFERROR(__xludf.DUMMYFUNCTION("IMPORTXML(E51,""/html/body/main/div[3]/div[3]/div[2]/ul/li[8]/span[2]/span"")"),"Loading...")</f>
        <v>Loading...</v>
      </c>
      <c r="T51" s="4">
        <v>34.6</v>
      </c>
      <c r="U51" s="4">
        <v>22.7</v>
      </c>
      <c r="V51" s="4">
        <v>2.6</v>
      </c>
      <c r="W51" s="4">
        <v>5.7</v>
      </c>
      <c r="X51" s="4">
        <v>519.92999999999995</v>
      </c>
      <c r="Y51" s="7">
        <f t="shared" ca="1" si="4"/>
        <v>7265.07</v>
      </c>
    </row>
    <row r="52" spans="1:25" ht="15" x14ac:dyDescent="0.25">
      <c r="A52" s="4">
        <v>69</v>
      </c>
      <c r="C52" s="12" t="s">
        <v>353</v>
      </c>
      <c r="D52" s="12" t="s">
        <v>354</v>
      </c>
      <c r="E52" s="5" t="str">
        <f t="shared" si="0"/>
        <v>https://www.screener.in/company/CONCOR/consolidated/</v>
      </c>
      <c r="H52" s="6">
        <f t="shared" ca="1" si="1"/>
        <v>0</v>
      </c>
      <c r="I52" s="7" t="str">
        <f ca="1">IFERROR(__xludf.DUMMYFUNCTION("IMPORTXML(E52,""/html/body/main/div[3]/div[3]/div[2]/ul/li[5]/span[2]/span"")"),"Loading...")</f>
        <v>Loading...</v>
      </c>
      <c r="J52" s="7">
        <f ca="1">IFERROR(__xludf.DUMMYFUNCTION("GOOGLEFINANCE(""NSE:""&amp;D52,""marketcap"")"),331668200695)</f>
        <v>331668200695</v>
      </c>
      <c r="K52" s="7"/>
      <c r="L52" s="8">
        <f ca="1">IFERROR(__xludf.DUMMYFUNCTION("GOOGLEFINANCE(""NSE:""&amp;D52,""price"")"),543.95)</f>
        <v>543.95000000000005</v>
      </c>
      <c r="M52" s="9">
        <f t="shared" ca="1" si="2"/>
        <v>543.95000000000005</v>
      </c>
      <c r="N52" s="10" t="e">
        <f t="shared" ca="1" si="3"/>
        <v>#DIV/0!</v>
      </c>
      <c r="O52" s="7">
        <f ca="1">IFERROR(__xludf.DUMMYFUNCTION("GOOGLEFINANCE(""NSE:""&amp;D52,""pe"")"),33.34)</f>
        <v>33.340000000000003</v>
      </c>
      <c r="P52" s="7">
        <f ca="1">IFERROR(__xludf.DUMMYFUNCTION("GOOGLEFINANCE(""NSE:""&amp;D52,""EPS"")"),16.31)</f>
        <v>16.309999999999999</v>
      </c>
      <c r="Q52" s="7">
        <v>13.5</v>
      </c>
      <c r="R52" s="7" t="str">
        <f ca="1">IFERROR(__xludf.DUMMYFUNCTION("IMPORTXML(E52,""/html/body/main/div[3]/div[3]/div[2]/ul/li[7]/span[2]/span"")"),"Loading...")</f>
        <v>Loading...</v>
      </c>
      <c r="S52" s="7" t="str">
        <f ca="1">IFERROR(__xludf.DUMMYFUNCTION("IMPORTXML(E52,""/html/body/main/div[3]/div[3]/div[2]/ul/li[8]/span[2]/span"")"),"Loading...")</f>
        <v>Loading...</v>
      </c>
      <c r="T52" s="4">
        <v>34.6</v>
      </c>
      <c r="U52" s="4">
        <v>22.7</v>
      </c>
      <c r="V52" s="4">
        <v>2.6</v>
      </c>
      <c r="W52" s="4">
        <v>5.7</v>
      </c>
      <c r="X52" s="4">
        <v>519.92999999999995</v>
      </c>
      <c r="Y52" s="7">
        <f t="shared" ca="1" si="4"/>
        <v>24.020000000000095</v>
      </c>
    </row>
    <row r="53" spans="1:25" ht="15" x14ac:dyDescent="0.25">
      <c r="A53" s="4">
        <v>86</v>
      </c>
      <c r="C53" s="12" t="s">
        <v>355</v>
      </c>
      <c r="D53" s="12" t="s">
        <v>356</v>
      </c>
      <c r="E53" s="5" t="str">
        <f t="shared" si="0"/>
        <v>https://www.screener.in/company/SUNDARMFIN/consolidated/</v>
      </c>
      <c r="H53" s="6">
        <f t="shared" ca="1" si="1"/>
        <v>0</v>
      </c>
      <c r="I53" s="7" t="str">
        <f ca="1">IFERROR(__xludf.DUMMYFUNCTION("IMPORTXML(E53,""/html/body/main/div[3]/div[3]/div[2]/ul/li[5]/span[2]/span"")"),"Loading...")</f>
        <v>Loading...</v>
      </c>
      <c r="J53" s="7">
        <f ca="1">IFERROR(__xludf.DUMMYFUNCTION("GOOGLEFINANCE(""NSE:""&amp;D53,""marketcap"")"),496955998000)</f>
        <v>496955998000</v>
      </c>
      <c r="K53" s="7"/>
      <c r="L53" s="8">
        <f ca="1">IFERROR(__xludf.DUMMYFUNCTION("GOOGLEFINANCE(""NSE:""&amp;D53,""price"")"),4510)</f>
        <v>4510</v>
      </c>
      <c r="M53" s="9">
        <f t="shared" ca="1" si="2"/>
        <v>4510</v>
      </c>
      <c r="N53" s="10" t="e">
        <f t="shared" ca="1" si="3"/>
        <v>#DIV/0!</v>
      </c>
      <c r="O53" s="7">
        <f ca="1">IFERROR(__xludf.DUMMYFUNCTION("GOOGLEFINANCE(""NSE:""&amp;D53,""pe"")"),25.89)</f>
        <v>25.89</v>
      </c>
      <c r="P53" s="7">
        <f ca="1">IFERROR(__xludf.DUMMYFUNCTION("GOOGLEFINANCE(""NSE:""&amp;D53,""EPS"")"),174.19)</f>
        <v>174.19</v>
      </c>
      <c r="Q53" s="7">
        <v>13.5</v>
      </c>
      <c r="R53" s="7" t="str">
        <f ca="1">IFERROR(__xludf.DUMMYFUNCTION("IMPORTXML(E53,""/html/body/main/div[3]/div[3]/div[2]/ul/li[7]/span[2]/span"")"),"Loading...")</f>
        <v>Loading...</v>
      </c>
      <c r="S53" s="7" t="str">
        <f ca="1">IFERROR(__xludf.DUMMYFUNCTION("IMPORTXML(E53,""/html/body/main/div[3]/div[3]/div[2]/ul/li[8]/span[2]/span"")"),"Loading...")</f>
        <v>Loading...</v>
      </c>
      <c r="T53" s="4">
        <v>34.6</v>
      </c>
      <c r="U53" s="4">
        <v>22.7</v>
      </c>
      <c r="V53" s="4">
        <v>2.6</v>
      </c>
      <c r="W53" s="4">
        <v>5.7</v>
      </c>
      <c r="X53" s="4">
        <v>519.92999999999995</v>
      </c>
      <c r="Y53" s="7">
        <f t="shared" ca="1" si="4"/>
        <v>3990.07</v>
      </c>
    </row>
    <row r="54" spans="1:25" ht="15" x14ac:dyDescent="0.25">
      <c r="A54" s="4">
        <v>87</v>
      </c>
      <c r="C54" s="12" t="s">
        <v>357</v>
      </c>
      <c r="D54" s="12" t="s">
        <v>358</v>
      </c>
      <c r="E54" s="5" t="str">
        <f t="shared" si="0"/>
        <v>https://www.screener.in/company/COROMANDEL/consolidated/</v>
      </c>
      <c r="H54" s="6">
        <f t="shared" ca="1" si="1"/>
        <v>0</v>
      </c>
      <c r="I54" s="7" t="str">
        <f ca="1">IFERROR(__xludf.DUMMYFUNCTION("IMPORTXML(E54,""/html/body/main/div[3]/div[3]/div[2]/ul/li[5]/span[2]/span"")"),"Loading...")</f>
        <v>Loading...</v>
      </c>
      <c r="J54" s="7">
        <f ca="1">IFERROR(__xludf.DUMMYFUNCTION("GOOGLEFINANCE(""NSE:""&amp;D54,""marketcap"")"),665233400000)</f>
        <v>665233400000</v>
      </c>
      <c r="K54" s="7"/>
      <c r="L54" s="8">
        <f ca="1">IFERROR(__xludf.DUMMYFUNCTION("GOOGLEFINANCE(""NSE:""&amp;D54,""price"")"),2265)</f>
        <v>2265</v>
      </c>
      <c r="M54" s="9">
        <f t="shared" ca="1" si="2"/>
        <v>2265</v>
      </c>
      <c r="N54" s="10" t="e">
        <f t="shared" ca="1" si="3"/>
        <v>#DIV/0!</v>
      </c>
      <c r="O54" s="7">
        <f ca="1">IFERROR(__xludf.DUMMYFUNCTION("GOOGLEFINANCE(""NSE:""&amp;D54,""pe"")"),29.54)</f>
        <v>29.54</v>
      </c>
      <c r="P54" s="7">
        <f ca="1">IFERROR(__xludf.DUMMYFUNCTION("GOOGLEFINANCE(""NSE:""&amp;D54,""EPS"")"),76.68)</f>
        <v>76.680000000000007</v>
      </c>
      <c r="Q54" s="7">
        <v>13.5</v>
      </c>
      <c r="R54" s="7" t="str">
        <f ca="1">IFERROR(__xludf.DUMMYFUNCTION("IMPORTXML(E54,""/html/body/main/div[3]/div[3]/div[2]/ul/li[7]/span[2]/span"")"),"Loading...")</f>
        <v>Loading...</v>
      </c>
      <c r="S54" s="7" t="str">
        <f ca="1">IFERROR(__xludf.DUMMYFUNCTION("IMPORTXML(E54,""/html/body/main/div[3]/div[3]/div[2]/ul/li[8]/span[2]/span"")"),"Loading...")</f>
        <v>Loading...</v>
      </c>
      <c r="T54" s="4">
        <v>34.6</v>
      </c>
      <c r="U54" s="4">
        <v>22.7</v>
      </c>
      <c r="V54" s="4">
        <v>2.6</v>
      </c>
      <c r="W54" s="4">
        <v>5.7</v>
      </c>
      <c r="X54" s="4">
        <v>519.92999999999995</v>
      </c>
      <c r="Y54" s="7">
        <f t="shared" ca="1" si="4"/>
        <v>1745.0700000000002</v>
      </c>
    </row>
    <row r="55" spans="1:25" ht="15" x14ac:dyDescent="0.25">
      <c r="A55" s="4">
        <v>10</v>
      </c>
      <c r="C55" s="12" t="s">
        <v>359</v>
      </c>
      <c r="D55" s="12" t="s">
        <v>360</v>
      </c>
      <c r="E55" s="5" t="str">
        <f t="shared" si="0"/>
        <v>https://www.screener.in/company/LUPIN/consolidated/</v>
      </c>
      <c r="H55" s="6">
        <f t="shared" ca="1" si="1"/>
        <v>0</v>
      </c>
      <c r="I55" s="7" t="str">
        <f ca="1">IFERROR(__xludf.DUMMYFUNCTION("IMPORTXML(E55,""/html/body/main/div[3]/div[3]/div[2]/ul/li[5]/span[2]/span"")"),"Loading...")</f>
        <v>Loading...</v>
      </c>
      <c r="J55" s="7">
        <f ca="1">IFERROR(__xludf.DUMMYFUNCTION("GOOGLEFINANCE(""NSE:""&amp;D55,""marketcap"")"),887885100000)</f>
        <v>887885100000</v>
      </c>
      <c r="K55" s="7"/>
      <c r="L55" s="8">
        <f ca="1">IFERROR(__xludf.DUMMYFUNCTION("GOOGLEFINANCE(""NSE:""&amp;D55,""price"")"),1943.9)</f>
        <v>1943.9</v>
      </c>
      <c r="M55" s="9">
        <f t="shared" ca="1" si="2"/>
        <v>1943.9</v>
      </c>
      <c r="N55" s="10" t="e">
        <f t="shared" ca="1" si="3"/>
        <v>#DIV/0!</v>
      </c>
      <c r="O55" s="7">
        <f ca="1">IFERROR(__xludf.DUMMYFUNCTION("GOOGLEFINANCE(""NSE:""&amp;D55,""pe"")"),24.06)</f>
        <v>24.06</v>
      </c>
      <c r="P55" s="7">
        <f ca="1">IFERROR(__xludf.DUMMYFUNCTION("GOOGLEFINANCE(""NSE:""&amp;D55,""EPS"")"),80.79)</f>
        <v>80.790000000000006</v>
      </c>
      <c r="Q55" s="7">
        <v>13.5</v>
      </c>
      <c r="R55" s="7" t="str">
        <f ca="1">IFERROR(__xludf.DUMMYFUNCTION("IMPORTXML(E55,""/html/body/main/div[3]/div[3]/div[2]/ul/li[7]/span[2]/span"")"),"Loading...")</f>
        <v>Loading...</v>
      </c>
      <c r="S55" s="7" t="str">
        <f ca="1">IFERROR(__xludf.DUMMYFUNCTION("IMPORTXML(E55,""/html/body/main/div[3]/div[3]/div[2]/ul/li[8]/span[2]/span"")"),"Loading...")</f>
        <v>Loading...</v>
      </c>
      <c r="T55" s="4">
        <v>34.6</v>
      </c>
      <c r="U55" s="4">
        <v>22.7</v>
      </c>
      <c r="V55" s="4">
        <v>2.6</v>
      </c>
      <c r="W55" s="4">
        <v>5.7</v>
      </c>
      <c r="X55" s="4">
        <v>519.92999999999995</v>
      </c>
      <c r="Y55" s="7">
        <f t="shared" ca="1" si="4"/>
        <v>1423.9700000000003</v>
      </c>
    </row>
    <row r="56" spans="1:25" ht="15" x14ac:dyDescent="0.25">
      <c r="A56" s="4">
        <v>143</v>
      </c>
      <c r="C56" s="12" t="s">
        <v>361</v>
      </c>
      <c r="D56" s="12" t="s">
        <v>362</v>
      </c>
      <c r="E56" s="5" t="str">
        <f t="shared" si="0"/>
        <v>https://www.screener.in/company/ENDURANCE/consolidated/</v>
      </c>
      <c r="H56" s="6">
        <f t="shared" ca="1" si="1"/>
        <v>0</v>
      </c>
      <c r="I56" s="7" t="str">
        <f ca="1">IFERROR(__xludf.DUMMYFUNCTION("IMPORTXML(E56,""/html/body/main/div[3]/div[3]/div[2]/ul/li[5]/span[2]/span"")"),"Loading...")</f>
        <v>Loading...</v>
      </c>
      <c r="J56" s="7">
        <f ca="1">IFERROR(__xludf.DUMMYFUNCTION("GOOGLEFINANCE(""NSE:""&amp;D56,""marketcap"")"),414280071691)</f>
        <v>414280071691</v>
      </c>
      <c r="K56" s="7"/>
      <c r="L56" s="8">
        <f ca="1">IFERROR(__xludf.DUMMYFUNCTION("GOOGLEFINANCE(""NSE:""&amp;D56,""price"")"),2945.2)</f>
        <v>2945.2</v>
      </c>
      <c r="M56" s="9">
        <f t="shared" ca="1" si="2"/>
        <v>2945.2</v>
      </c>
      <c r="N56" s="10" t="e">
        <f t="shared" ca="1" si="3"/>
        <v>#DIV/0!</v>
      </c>
      <c r="O56" s="7">
        <f ca="1">IFERROR(__xludf.DUMMYFUNCTION("GOOGLEFINANCE(""NSE:""&amp;D56,""pe"")"),48.24)</f>
        <v>48.24</v>
      </c>
      <c r="P56" s="7">
        <f ca="1">IFERROR(__xludf.DUMMYFUNCTION("GOOGLEFINANCE(""NSE:""&amp;D56,""EPS"")"),61.06)</f>
        <v>61.06</v>
      </c>
      <c r="Q56" s="7">
        <v>13.5</v>
      </c>
      <c r="R56" s="7" t="str">
        <f ca="1">IFERROR(__xludf.DUMMYFUNCTION("IMPORTXML(E56,""/html/body/main/div[3]/div[3]/div[2]/ul/li[7]/span[2]/span"")"),"Loading...")</f>
        <v>Loading...</v>
      </c>
      <c r="S56" s="7" t="str">
        <f ca="1">IFERROR(__xludf.DUMMYFUNCTION("IMPORTXML(E56,""/html/body/main/div[3]/div[3]/div[2]/ul/li[8]/span[2]/span"")"),"Loading...")</f>
        <v>Loading...</v>
      </c>
      <c r="T56" s="4">
        <v>34.6</v>
      </c>
      <c r="U56" s="4">
        <v>22.7</v>
      </c>
      <c r="V56" s="4">
        <v>2.6</v>
      </c>
      <c r="W56" s="4">
        <v>5.7</v>
      </c>
      <c r="X56" s="4">
        <v>519.92999999999995</v>
      </c>
      <c r="Y56" s="7">
        <f t="shared" ca="1" si="4"/>
        <v>2425.27</v>
      </c>
    </row>
    <row r="57" spans="1:25" ht="15" x14ac:dyDescent="0.25">
      <c r="A57" s="4">
        <v>131</v>
      </c>
      <c r="C57" s="12" t="s">
        <v>363</v>
      </c>
      <c r="D57" s="12" t="s">
        <v>364</v>
      </c>
      <c r="E57" s="5" t="str">
        <f t="shared" si="0"/>
        <v>https://www.screener.in/company/PSB/consolidated/</v>
      </c>
      <c r="H57" s="6">
        <f t="shared" ca="1" si="1"/>
        <v>0</v>
      </c>
      <c r="I57" s="7" t="str">
        <f ca="1">IFERROR(__xludf.DUMMYFUNCTION("IMPORTXML(E57,""/html/body/main/div[3]/div[3]/div[2]/ul/li[5]/span[2]/span"")"),"Loading...")</f>
        <v>Loading...</v>
      </c>
      <c r="J57" s="7">
        <f ca="1">IFERROR(__xludf.DUMMYFUNCTION("GOOGLEFINANCE(""NSE:""&amp;D57,""marketcap"")"),203572308749)</f>
        <v>203572308749</v>
      </c>
      <c r="K57" s="7"/>
      <c r="L57" s="8">
        <f ca="1">IFERROR(__xludf.DUMMYFUNCTION("GOOGLEFINANCE(""NSE:""&amp;D57,""price"")"),28.69)</f>
        <v>28.69</v>
      </c>
      <c r="M57" s="9">
        <f t="shared" ca="1" si="2"/>
        <v>28.69</v>
      </c>
      <c r="N57" s="10" t="e">
        <f t="shared" ca="1" si="3"/>
        <v>#DIV/0!</v>
      </c>
      <c r="O57" s="7">
        <f ca="1">IFERROR(__xludf.DUMMYFUNCTION("GOOGLEFINANCE(""NSE:""&amp;D57,""pe"")"),17.85)</f>
        <v>17.850000000000001</v>
      </c>
      <c r="P57" s="7">
        <f ca="1">IFERROR(__xludf.DUMMYFUNCTION("GOOGLEFINANCE(""NSE:""&amp;D57,""EPS"")"),1.61)</f>
        <v>1.61</v>
      </c>
      <c r="Q57" s="7">
        <v>13.5</v>
      </c>
      <c r="R57" s="7" t="str">
        <f ca="1">IFERROR(__xludf.DUMMYFUNCTION("IMPORTXML(E57,""/html/body/main/div[3]/div[3]/div[2]/ul/li[7]/span[2]/span"")"),"Loading...")</f>
        <v>Loading...</v>
      </c>
      <c r="S57" s="7" t="str">
        <f ca="1">IFERROR(__xludf.DUMMYFUNCTION("IMPORTXML(E57,""/html/body/main/div[3]/div[3]/div[2]/ul/li[8]/span[2]/span"")"),"Loading...")</f>
        <v>Loading...</v>
      </c>
      <c r="T57" s="4">
        <v>34.6</v>
      </c>
      <c r="U57" s="4">
        <v>22.7</v>
      </c>
      <c r="V57" s="4">
        <v>2.6</v>
      </c>
      <c r="W57" s="4">
        <v>5.7</v>
      </c>
      <c r="X57" s="4">
        <v>519.92999999999995</v>
      </c>
      <c r="Y57" s="7">
        <f t="shared" ca="1" si="4"/>
        <v>-491.23999999999995</v>
      </c>
    </row>
    <row r="58" spans="1:25" ht="15" x14ac:dyDescent="0.25">
      <c r="A58" s="4">
        <v>4</v>
      </c>
      <c r="C58" s="12" t="s">
        <v>365</v>
      </c>
      <c r="D58" s="12" t="s">
        <v>366</v>
      </c>
      <c r="E58" s="5" t="str">
        <f t="shared" si="0"/>
        <v>https://www.screener.in/company/ICICIGI/consolidated/</v>
      </c>
      <c r="H58" s="6">
        <f t="shared" ca="1" si="1"/>
        <v>0</v>
      </c>
      <c r="I58" s="7" t="str">
        <f ca="1">IFERROR(__xludf.DUMMYFUNCTION("IMPORTXML(E58,""/html/body/main/div[3]/div[3]/div[2]/ul/li[5]/span[2]/span"")"),"Loading...")</f>
        <v>Loading...</v>
      </c>
      <c r="J58" s="7">
        <f ca="1">IFERROR(__xludf.DUMMYFUNCTION("GOOGLEFINANCE(""NSE:""&amp;D58,""marketcap"")"),913413162832)</f>
        <v>913413162832</v>
      </c>
      <c r="K58" s="7"/>
      <c r="L58" s="8">
        <f ca="1">IFERROR(__xludf.DUMMYFUNCTION("GOOGLEFINANCE(""NSE:""&amp;D58,""price"")"),1842)</f>
        <v>1842</v>
      </c>
      <c r="M58" s="9">
        <f t="shared" ca="1" si="2"/>
        <v>1842</v>
      </c>
      <c r="N58" s="10" t="e">
        <f t="shared" ca="1" si="3"/>
        <v>#DIV/0!</v>
      </c>
      <c r="O58" s="7">
        <f ca="1">IFERROR(__xludf.DUMMYFUNCTION("GOOGLEFINANCE(""NSE:""&amp;D58,""pe"")"),34.41)</f>
        <v>34.409999999999997</v>
      </c>
      <c r="P58" s="7">
        <f ca="1">IFERROR(__xludf.DUMMYFUNCTION("GOOGLEFINANCE(""NSE:""&amp;D58,""EPS"")"),53.53)</f>
        <v>53.53</v>
      </c>
      <c r="Q58" s="7">
        <v>13.5</v>
      </c>
      <c r="R58" s="7" t="str">
        <f ca="1">IFERROR(__xludf.DUMMYFUNCTION("IMPORTXML(E58,""/html/body/main/div[3]/div[3]/div[2]/ul/li[7]/span[2]/span"")"),"Loading...")</f>
        <v>Loading...</v>
      </c>
      <c r="S58" s="7" t="str">
        <f ca="1">IFERROR(__xludf.DUMMYFUNCTION("IMPORTXML(E58,""/html/body/main/div[3]/div[3]/div[2]/ul/li[8]/span[2]/span"")"),"Loading...")</f>
        <v>Loading...</v>
      </c>
      <c r="T58" s="4">
        <v>34.6</v>
      </c>
      <c r="U58" s="4">
        <v>22.7</v>
      </c>
      <c r="V58" s="4">
        <v>2.6</v>
      </c>
      <c r="W58" s="4">
        <v>5.7</v>
      </c>
      <c r="X58" s="4">
        <v>519.92999999999995</v>
      </c>
      <c r="Y58" s="7">
        <f t="shared" ca="1" si="4"/>
        <v>1322.0700000000002</v>
      </c>
    </row>
    <row r="59" spans="1:25" ht="15" x14ac:dyDescent="0.25">
      <c r="A59" s="4">
        <v>88</v>
      </c>
      <c r="C59" s="12" t="s">
        <v>367</v>
      </c>
      <c r="D59" s="12" t="s">
        <v>368</v>
      </c>
      <c r="E59" s="5" t="str">
        <f t="shared" si="0"/>
        <v>https://www.screener.in/company/SJVN/consolidated/</v>
      </c>
      <c r="H59" s="6">
        <f t="shared" ca="1" si="1"/>
        <v>0</v>
      </c>
      <c r="I59" s="7" t="str">
        <f ca="1">IFERROR(__xludf.DUMMYFUNCTION("IMPORTXML(E59,""/html/body/main/div[3]/div[3]/div[2]/ul/li[5]/span[2]/span"")"),"Loading...")</f>
        <v>Loading...</v>
      </c>
      <c r="J59" s="7">
        <f ca="1">IFERROR(__xludf.DUMMYFUNCTION("GOOGLEFINANCE(""NSE:""&amp;D59,""marketcap"")"),365431628655)</f>
        <v>365431628655</v>
      </c>
      <c r="K59" s="7"/>
      <c r="L59" s="8">
        <f ca="1">IFERROR(__xludf.DUMMYFUNCTION("GOOGLEFINANCE(""NSE:""&amp;D59,""price"")"),92.99)</f>
        <v>92.99</v>
      </c>
      <c r="M59" s="9">
        <f t="shared" ca="1" si="2"/>
        <v>92.99</v>
      </c>
      <c r="N59" s="10" t="e">
        <f t="shared" ca="1" si="3"/>
        <v>#DIV/0!</v>
      </c>
      <c r="O59" s="7">
        <f ca="1">IFERROR(__xludf.DUMMYFUNCTION("GOOGLEFINANCE(""NSE:""&amp;D59,""pe"")"),44.92)</f>
        <v>44.92</v>
      </c>
      <c r="P59" s="7">
        <f ca="1">IFERROR(__xludf.DUMMYFUNCTION("GOOGLEFINANCE(""NSE:""&amp;D59,""EPS"")"),2.07)</f>
        <v>2.0699999999999998</v>
      </c>
      <c r="Q59" s="7">
        <v>13.5</v>
      </c>
      <c r="R59" s="7" t="str">
        <f ca="1">IFERROR(__xludf.DUMMYFUNCTION("IMPORTXML(E59,""/html/body/main/div[3]/div[3]/div[2]/ul/li[7]/span[2]/span"")"),"Loading...")</f>
        <v>Loading...</v>
      </c>
      <c r="S59" s="7" t="str">
        <f ca="1">IFERROR(__xludf.DUMMYFUNCTION("IMPORTXML(E59,""/html/body/main/div[3]/div[3]/div[2]/ul/li[8]/span[2]/span"")"),"Loading...")</f>
        <v>Loading...</v>
      </c>
      <c r="T59" s="4">
        <v>34.6</v>
      </c>
      <c r="U59" s="4">
        <v>22.7</v>
      </c>
      <c r="V59" s="4">
        <v>2.6</v>
      </c>
      <c r="W59" s="4">
        <v>5.7</v>
      </c>
      <c r="X59" s="4">
        <v>519.92999999999995</v>
      </c>
      <c r="Y59" s="7">
        <f t="shared" ca="1" si="4"/>
        <v>-426.93999999999994</v>
      </c>
    </row>
    <row r="60" spans="1:25" ht="15" x14ac:dyDescent="0.25">
      <c r="A60" s="4">
        <v>19</v>
      </c>
      <c r="C60" s="12" t="s">
        <v>369</v>
      </c>
      <c r="D60" s="12" t="s">
        <v>370</v>
      </c>
      <c r="E60" s="5" t="str">
        <f t="shared" si="0"/>
        <v>https://www.screener.in/company/MAZDOCK/consolidated/</v>
      </c>
      <c r="H60" s="6">
        <f t="shared" ca="1" si="1"/>
        <v>0</v>
      </c>
      <c r="I60" s="7" t="str">
        <f ca="1">IFERROR(__xludf.DUMMYFUNCTION("IMPORTXML(E60,""/html/body/main/div[3]/div[3]/div[2]/ul/li[5]/span[2]/span"")"),"Loading...")</f>
        <v>Loading...</v>
      </c>
      <c r="J60" s="7">
        <f ca="1">IFERROR(__xludf.DUMMYFUNCTION("GOOGLEFINANCE(""NSE:""&amp;D60,""marketcap"")"),1077529950147)</f>
        <v>1077529950147</v>
      </c>
      <c r="K60" s="7"/>
      <c r="L60" s="8">
        <f ca="1">IFERROR(__xludf.DUMMYFUNCTION("GOOGLEFINANCE(""NSE:""&amp;D60,""price"")"),2685)</f>
        <v>2685</v>
      </c>
      <c r="M60" s="9">
        <f t="shared" ca="1" si="2"/>
        <v>2685</v>
      </c>
      <c r="N60" s="10" t="e">
        <f t="shared" ca="1" si="3"/>
        <v>#DIV/0!</v>
      </c>
      <c r="O60" s="7">
        <f ca="1">IFERROR(__xludf.DUMMYFUNCTION("GOOGLEFINANCE(""NSE:""&amp;D60,""pe"")"),49.92)</f>
        <v>49.92</v>
      </c>
      <c r="P60" s="7">
        <f ca="1">IFERROR(__xludf.DUMMYFUNCTION("GOOGLEFINANCE(""NSE:""&amp;D60,""EPS"")"),53.79)</f>
        <v>53.79</v>
      </c>
      <c r="Q60" s="7">
        <v>13.5</v>
      </c>
      <c r="R60" s="7" t="str">
        <f ca="1">IFERROR(__xludf.DUMMYFUNCTION("IMPORTXML(E60,""/html/body/main/div[3]/div[3]/div[2]/ul/li[7]/span[2]/span"")"),"Loading...")</f>
        <v>Loading...</v>
      </c>
      <c r="S60" s="7" t="str">
        <f ca="1">IFERROR(__xludf.DUMMYFUNCTION("IMPORTXML(E60,""/html/body/main/div[3]/div[3]/div[2]/ul/li[8]/span[2]/span"")"),"Loading...")</f>
        <v>Loading...</v>
      </c>
      <c r="T60" s="4">
        <v>34.6</v>
      </c>
      <c r="U60" s="4">
        <v>22.7</v>
      </c>
      <c r="V60" s="4">
        <v>2.6</v>
      </c>
      <c r="W60" s="4">
        <v>5.7</v>
      </c>
      <c r="X60" s="4">
        <v>519.92999999999995</v>
      </c>
      <c r="Y60" s="7">
        <f t="shared" ca="1" si="4"/>
        <v>2165.0700000000002</v>
      </c>
    </row>
    <row r="61" spans="1:25" ht="15" x14ac:dyDescent="0.25">
      <c r="A61" s="4">
        <v>18</v>
      </c>
      <c r="C61" s="12" t="s">
        <v>371</v>
      </c>
      <c r="D61" s="12" t="s">
        <v>372</v>
      </c>
      <c r="E61" s="5" t="str">
        <f t="shared" si="0"/>
        <v>https://www.screener.in/company/HDFCAMC/consolidated/</v>
      </c>
      <c r="H61" s="6">
        <f t="shared" ca="1" si="1"/>
        <v>0</v>
      </c>
      <c r="I61" s="7" t="str">
        <f ca="1">IFERROR(__xludf.DUMMYFUNCTION("IMPORTXML(E61,""/html/body/main/div[3]/div[3]/div[2]/ul/li[5]/span[2]/span"")"),"Loading...")</f>
        <v>Loading...</v>
      </c>
      <c r="J61" s="7">
        <f ca="1">IFERROR(__xludf.DUMMYFUNCTION("GOOGLEFINANCE(""NSE:""&amp;D61,""marketcap"")"),1192605176634)</f>
        <v>1192605176634</v>
      </c>
      <c r="K61" s="7"/>
      <c r="L61" s="8">
        <f ca="1">IFERROR(__xludf.DUMMYFUNCTION("GOOGLEFINANCE(""NSE:""&amp;D61,""price"")"),5594)</f>
        <v>5594</v>
      </c>
      <c r="M61" s="9">
        <f t="shared" ca="1" si="2"/>
        <v>5594</v>
      </c>
      <c r="N61" s="10" t="e">
        <f t="shared" ca="1" si="3"/>
        <v>#DIV/0!</v>
      </c>
      <c r="O61" s="7">
        <f ca="1">IFERROR(__xludf.DUMMYFUNCTION("GOOGLEFINANCE(""NSE:""&amp;D61,""pe"")"),46.04)</f>
        <v>46.04</v>
      </c>
      <c r="P61" s="7">
        <f ca="1">IFERROR(__xludf.DUMMYFUNCTION("GOOGLEFINANCE(""NSE:""&amp;D61,""EPS"")"),121.51)</f>
        <v>121.51</v>
      </c>
      <c r="Q61" s="7">
        <v>13.5</v>
      </c>
      <c r="R61" s="7">
        <f ca="1">IFERROR(__xludf.DUMMYFUNCTION("IMPORTXML(E61,""/html/body/main/div[3]/div[3]/div[2]/ul/li[7]/span[2]/span"")"),43.3)</f>
        <v>43.3</v>
      </c>
      <c r="S61" s="7" t="str">
        <f ca="1">IFERROR(__xludf.DUMMYFUNCTION("IMPORTXML(E61,""/html/body/main/div[3]/div[3]/div[2]/ul/li[8]/span[2]/span"")"),"Loading...")</f>
        <v>Loading...</v>
      </c>
      <c r="T61" s="4">
        <v>34.6</v>
      </c>
      <c r="U61" s="4">
        <v>22.7</v>
      </c>
      <c r="V61" s="4">
        <v>2.6</v>
      </c>
      <c r="W61" s="4">
        <v>5.7</v>
      </c>
      <c r="X61" s="4">
        <v>519.92999999999995</v>
      </c>
      <c r="Y61" s="7">
        <f t="shared" ca="1" si="4"/>
        <v>5074.07</v>
      </c>
    </row>
    <row r="62" spans="1:25" ht="15" x14ac:dyDescent="0.25">
      <c r="A62" s="4">
        <v>74</v>
      </c>
      <c r="C62" s="12" t="s">
        <v>373</v>
      </c>
      <c r="D62" s="12" t="s">
        <v>374</v>
      </c>
      <c r="E62" s="5" t="str">
        <f t="shared" si="0"/>
        <v>https://www.screener.in/company/TATACOMM/consolidated/</v>
      </c>
      <c r="H62" s="6">
        <f t="shared" ca="1" si="1"/>
        <v>0</v>
      </c>
      <c r="I62" s="7" t="str">
        <f ca="1">IFERROR(__xludf.DUMMYFUNCTION("IMPORTXML(E62,""/html/body/main/div[3]/div[3]/div[2]/ul/li[5]/span[2]/span"")"),"Loading...")</f>
        <v>Loading...</v>
      </c>
      <c r="J62" s="7">
        <f ca="1">IFERROR(__xludf.DUMMYFUNCTION("GOOGLEFINANCE(""NSE:""&amp;D62,""marketcap"")"),441636000000)</f>
        <v>441636000000</v>
      </c>
      <c r="K62" s="7"/>
      <c r="L62" s="8">
        <f ca="1">IFERROR(__xludf.DUMMYFUNCTION("GOOGLEFINANCE(""NSE:""&amp;D62,""price"")"),1550.7)</f>
        <v>1550.7</v>
      </c>
      <c r="M62" s="9">
        <f t="shared" ca="1" si="2"/>
        <v>1550.7</v>
      </c>
      <c r="N62" s="10" t="e">
        <f t="shared" ca="1" si="3"/>
        <v>#DIV/0!</v>
      </c>
      <c r="O62" s="7">
        <f ca="1">IFERROR(__xludf.DUMMYFUNCTION("GOOGLEFINANCE(""NSE:""&amp;D62,""pe"")"),26.12)</f>
        <v>26.12</v>
      </c>
      <c r="P62" s="7">
        <f ca="1">IFERROR(__xludf.DUMMYFUNCTION("GOOGLEFINANCE(""NSE:""&amp;D62,""EPS"")"),59.37)</f>
        <v>59.37</v>
      </c>
      <c r="Q62" s="7">
        <v>13.5</v>
      </c>
      <c r="R62" s="7" t="str">
        <f ca="1">IFERROR(__xludf.DUMMYFUNCTION("IMPORTXML(E62,""/html/body/main/div[3]/div[3]/div[2]/ul/li[7]/span[2]/span"")"),"Loading...")</f>
        <v>Loading...</v>
      </c>
      <c r="S62" s="7" t="str">
        <f ca="1">IFERROR(__xludf.DUMMYFUNCTION("IMPORTXML(E62,""/html/body/main/div[3]/div[3]/div[2]/ul/li[8]/span[2]/span"")"),"Loading...")</f>
        <v>Loading...</v>
      </c>
      <c r="T62" s="4">
        <v>34.6</v>
      </c>
      <c r="U62" s="4">
        <v>22.7</v>
      </c>
      <c r="V62" s="4">
        <v>2.6</v>
      </c>
      <c r="W62" s="4">
        <v>5.7</v>
      </c>
      <c r="X62" s="4">
        <v>519.92999999999995</v>
      </c>
      <c r="Y62" s="7">
        <f t="shared" ca="1" si="4"/>
        <v>1030.77</v>
      </c>
    </row>
    <row r="63" spans="1:25" ht="15" x14ac:dyDescent="0.25">
      <c r="A63" s="4">
        <v>134</v>
      </c>
      <c r="C63" s="12" t="s">
        <v>375</v>
      </c>
      <c r="D63" s="12" t="s">
        <v>376</v>
      </c>
      <c r="E63" s="5" t="str">
        <f t="shared" si="0"/>
        <v>https://www.screener.in/company/AJANTPHARM/consolidated/</v>
      </c>
      <c r="H63" s="6">
        <f t="shared" ca="1" si="1"/>
        <v>0</v>
      </c>
      <c r="I63" s="7" t="str">
        <f ca="1">IFERROR(__xludf.DUMMYFUNCTION("IMPORTXML(E63,""/html/body/main/div[3]/div[3]/div[2]/ul/li[5]/span[2]/span"")"),"Loading...")</f>
        <v>Loading...</v>
      </c>
      <c r="J63" s="7">
        <f ca="1">IFERROR(__xludf.DUMMYFUNCTION("GOOGLEFINANCE(""NSE:""&amp;D63,""marketcap"")"),327456207600)</f>
        <v>327456207600</v>
      </c>
      <c r="K63" s="7"/>
      <c r="L63" s="8">
        <f ca="1">IFERROR(__xludf.DUMMYFUNCTION("GOOGLEFINANCE(""NSE:""&amp;D63,""price"")"),2621)</f>
        <v>2621</v>
      </c>
      <c r="M63" s="9">
        <f t="shared" ca="1" si="2"/>
        <v>2621</v>
      </c>
      <c r="N63" s="10" t="e">
        <f t="shared" ca="1" si="3"/>
        <v>#DIV/0!</v>
      </c>
      <c r="O63" s="7">
        <f ca="1">IFERROR(__xludf.DUMMYFUNCTION("GOOGLEFINANCE(""NSE:""&amp;D63,""pe"")"),35.27)</f>
        <v>35.270000000000003</v>
      </c>
      <c r="P63" s="7">
        <f ca="1">IFERROR(__xludf.DUMMYFUNCTION("GOOGLEFINANCE(""NSE:""&amp;D63,""EPS"")"),74.32)</f>
        <v>74.319999999999993</v>
      </c>
      <c r="Q63" s="7">
        <v>13.5</v>
      </c>
      <c r="R63" s="7" t="str">
        <f ca="1">IFERROR(__xludf.DUMMYFUNCTION("IMPORTXML(E63,""/html/body/main/div[3]/div[3]/div[2]/ul/li[7]/span[2]/span"")"),"Loading...")</f>
        <v>Loading...</v>
      </c>
      <c r="S63" s="7" t="str">
        <f ca="1">IFERROR(__xludf.DUMMYFUNCTION("IMPORTXML(E63,""/html/body/main/div[3]/div[3]/div[2]/ul/li[8]/span[2]/span"")"),"Loading...")</f>
        <v>Loading...</v>
      </c>
      <c r="T63" s="4">
        <v>34.6</v>
      </c>
      <c r="U63" s="4">
        <v>22.7</v>
      </c>
      <c r="V63" s="4">
        <v>2.6</v>
      </c>
      <c r="W63" s="4">
        <v>5.7</v>
      </c>
      <c r="X63" s="4">
        <v>519.92999999999995</v>
      </c>
      <c r="Y63" s="7">
        <f t="shared" ca="1" si="4"/>
        <v>2101.0700000000002</v>
      </c>
    </row>
    <row r="64" spans="1:25" ht="15" x14ac:dyDescent="0.25">
      <c r="A64" s="4">
        <v>126</v>
      </c>
      <c r="C64" s="12" t="s">
        <v>377</v>
      </c>
      <c r="D64" s="12" t="s">
        <v>378</v>
      </c>
      <c r="E64" s="5" t="str">
        <f t="shared" si="0"/>
        <v>https://www.screener.in/company/DEEPAKNTR/consolidated/</v>
      </c>
      <c r="H64" s="6">
        <f t="shared" ca="1" si="1"/>
        <v>0</v>
      </c>
      <c r="I64" s="7" t="str">
        <f ca="1">IFERROR(__xludf.DUMMYFUNCTION("IMPORTXML(E64,""/html/body/main/div[3]/div[3]/div[2]/ul/li[5]/span[2]/span"")"),"Loading...")</f>
        <v>Loading...</v>
      </c>
      <c r="J64" s="7">
        <f ca="1">IFERROR(__xludf.DUMMYFUNCTION("GOOGLEFINANCE(""NSE:""&amp;D64,""marketcap"")"),238687750000)</f>
        <v>238687750000</v>
      </c>
      <c r="K64" s="7"/>
      <c r="L64" s="8">
        <f ca="1">IFERROR(__xludf.DUMMYFUNCTION("GOOGLEFINANCE(""NSE:""&amp;D64,""price"")"),1750)</f>
        <v>1750</v>
      </c>
      <c r="M64" s="9">
        <f t="shared" ca="1" si="2"/>
        <v>1750</v>
      </c>
      <c r="N64" s="10" t="e">
        <f t="shared" ca="1" si="3"/>
        <v>#DIV/0!</v>
      </c>
      <c r="O64" s="7">
        <f ca="1">IFERROR(__xludf.DUMMYFUNCTION("GOOGLEFINANCE(""NSE:""&amp;D64,""pe"")"),39.33)</f>
        <v>39.33</v>
      </c>
      <c r="P64" s="7">
        <f ca="1">IFERROR(__xludf.DUMMYFUNCTION("GOOGLEFINANCE(""NSE:""&amp;D64,""EPS"")"),44.49)</f>
        <v>44.49</v>
      </c>
      <c r="Q64" s="7">
        <v>13.5</v>
      </c>
      <c r="R64" s="7" t="str">
        <f ca="1">IFERROR(__xludf.DUMMYFUNCTION("IMPORTXML(E64,""/html/body/main/div[3]/div[3]/div[2]/ul/li[7]/span[2]/span"")"),"Loading...")</f>
        <v>Loading...</v>
      </c>
      <c r="S64" s="7" t="str">
        <f ca="1">IFERROR(__xludf.DUMMYFUNCTION("IMPORTXML(E64,""/html/body/main/div[3]/div[3]/div[2]/ul/li[8]/span[2]/span"")"),"Loading...")</f>
        <v>Loading...</v>
      </c>
      <c r="T64" s="4">
        <v>34.6</v>
      </c>
      <c r="U64" s="4">
        <v>22.7</v>
      </c>
      <c r="V64" s="4">
        <v>2.6</v>
      </c>
      <c r="W64" s="4">
        <v>5.7</v>
      </c>
      <c r="X64" s="4">
        <v>519.92999999999995</v>
      </c>
      <c r="Y64" s="7">
        <f t="shared" ca="1" si="4"/>
        <v>1230.0700000000002</v>
      </c>
    </row>
    <row r="65" spans="1:25" ht="15" x14ac:dyDescent="0.25">
      <c r="A65" s="4">
        <v>122</v>
      </c>
      <c r="C65" s="12" t="s">
        <v>379</v>
      </c>
      <c r="D65" s="12" t="s">
        <v>380</v>
      </c>
      <c r="E65" s="5" t="str">
        <f t="shared" si="0"/>
        <v>https://www.screener.in/company/360ONE/consolidated/</v>
      </c>
      <c r="H65" s="6">
        <f t="shared" ca="1" si="1"/>
        <v>0</v>
      </c>
      <c r="I65" s="7" t="str">
        <f ca="1">IFERROR(__xludf.DUMMYFUNCTION("IMPORTXML(E65,""/html/body/main/div[3]/div[3]/div[2]/ul/li[5]/span[2]/span"")"),"Loading...")</f>
        <v>Loading...</v>
      </c>
      <c r="J65" s="7">
        <f ca="1">IFERROR(__xludf.DUMMYFUNCTION("GOOGLEFINANCE(""NSE:""&amp;D65,""marketcap"")"),420361737000)</f>
        <v>420361737000</v>
      </c>
      <c r="K65" s="7"/>
      <c r="L65" s="8">
        <f ca="1">IFERROR(__xludf.DUMMYFUNCTION("GOOGLEFINANCE(""NSE:""&amp;D65,""price"")"),1039)</f>
        <v>1039</v>
      </c>
      <c r="M65" s="9">
        <f t="shared" ca="1" si="2"/>
        <v>1039</v>
      </c>
      <c r="N65" s="10" t="e">
        <f t="shared" ca="1" si="3"/>
        <v>#DIV/0!</v>
      </c>
      <c r="O65" s="7">
        <f ca="1">IFERROR(__xludf.DUMMYFUNCTION("GOOGLEFINANCE(""NSE:""&amp;D65,""pe"")"),39.14)</f>
        <v>39.14</v>
      </c>
      <c r="P65" s="7">
        <f ca="1">IFERROR(__xludf.DUMMYFUNCTION("GOOGLEFINANCE(""NSE:""&amp;D65,""EPS"")"),26.55)</f>
        <v>26.55</v>
      </c>
      <c r="Q65" s="7">
        <v>13.5</v>
      </c>
      <c r="R65" s="7" t="str">
        <f ca="1">IFERROR(__xludf.DUMMYFUNCTION("IMPORTXML(E65,""/html/body/main/div[3]/div[3]/div[2]/ul/li[7]/span[2]/span"")"),"Loading...")</f>
        <v>Loading...</v>
      </c>
      <c r="S65" s="7" t="str">
        <f ca="1">IFERROR(__xludf.DUMMYFUNCTION("IMPORTXML(E65,""/html/body/main/div[3]/div[3]/div[2]/ul/li[8]/span[2]/span"")"),"Loading...")</f>
        <v>Loading...</v>
      </c>
      <c r="T65" s="4">
        <v>34.6</v>
      </c>
      <c r="U65" s="4">
        <v>22.7</v>
      </c>
      <c r="V65" s="4">
        <v>2.6</v>
      </c>
      <c r="W65" s="4">
        <v>5.7</v>
      </c>
      <c r="X65" s="4">
        <v>519.92999999999995</v>
      </c>
      <c r="Y65" s="7">
        <f t="shared" ca="1" si="4"/>
        <v>519.07000000000005</v>
      </c>
    </row>
    <row r="66" spans="1:25" ht="15" x14ac:dyDescent="0.25">
      <c r="A66" s="4">
        <v>28</v>
      </c>
      <c r="C66" s="12" t="s">
        <v>381</v>
      </c>
      <c r="D66" s="12" t="s">
        <v>382</v>
      </c>
      <c r="E66" s="5" t="str">
        <f t="shared" si="0"/>
        <v>https://www.screener.in/company/GODREJPROP/consolidated/</v>
      </c>
      <c r="H66" s="6">
        <f t="shared" ca="1" si="1"/>
        <v>0</v>
      </c>
      <c r="I66" s="7" t="str">
        <f ca="1">IFERROR(__xludf.DUMMYFUNCTION("IMPORTXML(E66,""/html/body/main/div[3]/div[3]/div[2]/ul/li[5]/span[2]/span"")"),"Loading...")</f>
        <v>Loading...</v>
      </c>
      <c r="J66" s="7">
        <f ca="1">IFERROR(__xludf.DUMMYFUNCTION("GOOGLEFINANCE(""NSE:""&amp;D66,""marketcap"")"),591719776350)</f>
        <v>591719776350</v>
      </c>
      <c r="K66" s="7"/>
      <c r="L66" s="8">
        <f ca="1">IFERROR(__xludf.DUMMYFUNCTION("GOOGLEFINANCE(""NSE:""&amp;D66,""price"")"),1964.5)</f>
        <v>1964.5</v>
      </c>
      <c r="M66" s="9">
        <f t="shared" ca="1" si="2"/>
        <v>1964.5</v>
      </c>
      <c r="N66" s="10" t="e">
        <f t="shared" ca="1" si="3"/>
        <v>#DIV/0!</v>
      </c>
      <c r="O66" s="7">
        <f ca="1">IFERROR(__xludf.DUMMYFUNCTION("GOOGLEFINANCE(""NSE:""&amp;D66,""pe"")"),39.01)</f>
        <v>39.01</v>
      </c>
      <c r="P66" s="7">
        <f ca="1">IFERROR(__xludf.DUMMYFUNCTION("GOOGLEFINANCE(""NSE:""&amp;D66,""EPS"")"),50.36)</f>
        <v>50.36</v>
      </c>
      <c r="Q66" s="7">
        <v>13.5</v>
      </c>
      <c r="R66" s="7" t="str">
        <f ca="1">IFERROR(__xludf.DUMMYFUNCTION("IMPORTXML(E66,""/html/body/main/div[3]/div[3]/div[2]/ul/li[7]/span[2]/span"")"),"Loading...")</f>
        <v>Loading...</v>
      </c>
      <c r="S66" s="7" t="str">
        <f ca="1">IFERROR(__xludf.DUMMYFUNCTION("IMPORTXML(E66,""/html/body/main/div[3]/div[3]/div[2]/ul/li[8]/span[2]/span"")"),"Loading...")</f>
        <v>Loading...</v>
      </c>
      <c r="T66" s="4">
        <v>34.6</v>
      </c>
      <c r="U66" s="4">
        <v>22.7</v>
      </c>
      <c r="V66" s="4">
        <v>2.6</v>
      </c>
      <c r="W66" s="4">
        <v>5.7</v>
      </c>
      <c r="X66" s="4">
        <v>519.92999999999995</v>
      </c>
      <c r="Y66" s="7">
        <f t="shared" ca="1" si="4"/>
        <v>1444.5700000000002</v>
      </c>
    </row>
    <row r="67" spans="1:25" ht="15" x14ac:dyDescent="0.25">
      <c r="A67" s="4">
        <v>117</v>
      </c>
      <c r="C67" s="12" t="s">
        <v>383</v>
      </c>
      <c r="D67" s="12" t="s">
        <v>384</v>
      </c>
      <c r="E67" s="5" t="str">
        <f t="shared" si="0"/>
        <v>https://www.screener.in/company/EXIDEIND/consolidated/</v>
      </c>
      <c r="H67" s="6">
        <f t="shared" ca="1" si="1"/>
        <v>0</v>
      </c>
      <c r="I67" s="7" t="str">
        <f ca="1">IFERROR(__xludf.DUMMYFUNCTION("IMPORTXML(E67,""/html/body/main/div[3]/div[3]/div[2]/ul/li[5]/span[2]/span"")"),"Loading...")</f>
        <v>Loading...</v>
      </c>
      <c r="J67" s="7">
        <f ca="1">IFERROR(__xludf.DUMMYFUNCTION("GOOGLEFINANCE(""NSE:""&amp;D67,""marketcap"")"),350837500000)</f>
        <v>350837500000</v>
      </c>
      <c r="K67" s="7"/>
      <c r="L67" s="8">
        <f ca="1">IFERROR(__xludf.DUMMYFUNCTION("GOOGLEFINANCE(""NSE:""&amp;D67,""price"")"),413.4)</f>
        <v>413.4</v>
      </c>
      <c r="M67" s="9">
        <f t="shared" ca="1" si="2"/>
        <v>413.4</v>
      </c>
      <c r="N67" s="10" t="e">
        <f t="shared" ca="1" si="3"/>
        <v>#DIV/0!</v>
      </c>
      <c r="O67" s="7">
        <f ca="1">IFERROR(__xludf.DUMMYFUNCTION("GOOGLEFINANCE(""NSE:""&amp;D67,""pe"")"),41.45)</f>
        <v>41.45</v>
      </c>
      <c r="P67" s="7">
        <f ca="1">IFERROR(__xludf.DUMMYFUNCTION("GOOGLEFINANCE(""NSE:""&amp;D67,""EPS"")"),9.97)</f>
        <v>9.9700000000000006</v>
      </c>
      <c r="Q67" s="7">
        <v>13.5</v>
      </c>
      <c r="R67" s="7" t="str">
        <f ca="1">IFERROR(__xludf.DUMMYFUNCTION("IMPORTXML(E67,""/html/body/main/div[3]/div[3]/div[2]/ul/li[7]/span[2]/span"")"),"Loading...")</f>
        <v>Loading...</v>
      </c>
      <c r="S67" s="7" t="str">
        <f ca="1">IFERROR(__xludf.DUMMYFUNCTION("IMPORTXML(E67,""/html/body/main/div[3]/div[3]/div[2]/ul/li[8]/span[2]/span"")"),"Loading...")</f>
        <v>Loading...</v>
      </c>
      <c r="T67" s="4">
        <v>34.6</v>
      </c>
      <c r="U67" s="4">
        <v>22.7</v>
      </c>
      <c r="V67" s="4">
        <v>2.6</v>
      </c>
      <c r="W67" s="4">
        <v>5.7</v>
      </c>
      <c r="X67" s="4">
        <v>519.92999999999995</v>
      </c>
      <c r="Y67" s="7">
        <f t="shared" ca="1" si="4"/>
        <v>-106.52999999999997</v>
      </c>
    </row>
    <row r="68" spans="1:25" ht="15" x14ac:dyDescent="0.25">
      <c r="A68" s="4">
        <v>44</v>
      </c>
      <c r="C68" s="12" t="s">
        <v>385</v>
      </c>
      <c r="D68" s="12" t="s">
        <v>386</v>
      </c>
      <c r="E68" s="5" t="str">
        <f t="shared" si="0"/>
        <v>https://www.screener.in/company/SBICARD/consolidated/</v>
      </c>
      <c r="H68" s="6">
        <f t="shared" ca="1" si="1"/>
        <v>0</v>
      </c>
      <c r="I68" s="7" t="str">
        <f ca="1">IFERROR(__xludf.DUMMYFUNCTION("IMPORTXML(E68,""/html/body/main/div[3]/div[3]/div[2]/ul/li[5]/span[2]/span"")"),"Loading...")</f>
        <v>Loading...</v>
      </c>
      <c r="J68" s="7">
        <f ca="1">IFERROR(__xludf.DUMMYFUNCTION("GOOGLEFINANCE(""NSE:""&amp;D68,""marketcap"")"),753165754781)</f>
        <v>753165754781</v>
      </c>
      <c r="K68" s="7"/>
      <c r="L68" s="8">
        <f ca="1">IFERROR(__xludf.DUMMYFUNCTION("GOOGLEFINANCE(""NSE:""&amp;D68,""price"")"),794)</f>
        <v>794</v>
      </c>
      <c r="M68" s="9">
        <f t="shared" ca="1" si="2"/>
        <v>794</v>
      </c>
      <c r="N68" s="10" t="e">
        <f t="shared" ca="1" si="3"/>
        <v>#DIV/0!</v>
      </c>
      <c r="O68" s="7">
        <f ca="1">IFERROR(__xludf.DUMMYFUNCTION("GOOGLEFINANCE(""NSE:""&amp;D68,""pe"")"),40.26)</f>
        <v>40.26</v>
      </c>
      <c r="P68" s="7">
        <f ca="1">IFERROR(__xludf.DUMMYFUNCTION("GOOGLEFINANCE(""NSE:""&amp;D68,""EPS"")"),19.72)</f>
        <v>19.72</v>
      </c>
      <c r="Q68" s="7">
        <v>13.5</v>
      </c>
      <c r="R68" s="7" t="str">
        <f ca="1">IFERROR(__xludf.DUMMYFUNCTION("IMPORTXML(E68,""/html/body/main/div[3]/div[3]/div[2]/ul/li[7]/span[2]/span"")"),"Loading...")</f>
        <v>Loading...</v>
      </c>
      <c r="S68" s="7" t="str">
        <f ca="1">IFERROR(__xludf.DUMMYFUNCTION("IMPORTXML(E68,""/html/body/main/div[3]/div[3]/div[2]/ul/li[8]/span[2]/span"")"),"Loading...")</f>
        <v>Loading...</v>
      </c>
      <c r="T68" s="4">
        <v>34.6</v>
      </c>
      <c r="U68" s="4">
        <v>22.7</v>
      </c>
      <c r="V68" s="4">
        <v>2.6</v>
      </c>
      <c r="W68" s="4">
        <v>5.7</v>
      </c>
      <c r="X68" s="4">
        <v>519.92999999999995</v>
      </c>
      <c r="Y68" s="7">
        <f t="shared" ca="1" si="4"/>
        <v>274.07000000000005</v>
      </c>
    </row>
    <row r="69" spans="1:25" ht="15" x14ac:dyDescent="0.25">
      <c r="A69" s="4">
        <v>71</v>
      </c>
      <c r="C69" s="12" t="s">
        <v>387</v>
      </c>
      <c r="D69" s="12" t="s">
        <v>388</v>
      </c>
      <c r="E69" s="5" t="str">
        <f t="shared" si="0"/>
        <v>https://www.screener.in/company/LTTS/consolidated/</v>
      </c>
      <c r="H69" s="6">
        <f t="shared" ca="1" si="1"/>
        <v>0</v>
      </c>
      <c r="I69" s="7" t="str">
        <f ca="1">IFERROR(__xludf.DUMMYFUNCTION("IMPORTXML(E69,""/html/body/main/div[3]/div[3]/div[2]/ul/li[5]/span[2]/span"")"),"Loading...")</f>
        <v>Loading...</v>
      </c>
      <c r="J69" s="7">
        <f ca="1">IFERROR(__xludf.DUMMYFUNCTION("GOOGLEFINANCE(""NSE:""&amp;D69,""marketcap"")"),436643676239)</f>
        <v>436643676239</v>
      </c>
      <c r="K69" s="7"/>
      <c r="L69" s="8">
        <f ca="1">IFERROR(__xludf.DUMMYFUNCTION("GOOGLEFINANCE(""NSE:""&amp;D69,""price"")"),4120.1)</f>
        <v>4120.1000000000004</v>
      </c>
      <c r="M69" s="9">
        <f t="shared" ca="1" si="2"/>
        <v>4120.1000000000004</v>
      </c>
      <c r="N69" s="10" t="e">
        <f t="shared" ca="1" si="3"/>
        <v>#DIV/0!</v>
      </c>
      <c r="O69" s="7">
        <f ca="1">IFERROR(__xludf.DUMMYFUNCTION("GOOGLEFINANCE(""NSE:""&amp;D69,""pe"")"),34.45)</f>
        <v>34.450000000000003</v>
      </c>
      <c r="P69" s="7">
        <f ca="1">IFERROR(__xludf.DUMMYFUNCTION("GOOGLEFINANCE(""NSE:""&amp;D69,""EPS"")"),119.59)</f>
        <v>119.59</v>
      </c>
      <c r="Q69" s="7">
        <v>13.5</v>
      </c>
      <c r="R69" s="7" t="str">
        <f ca="1">IFERROR(__xludf.DUMMYFUNCTION("IMPORTXML(E69,""/html/body/main/div[3]/div[3]/div[2]/ul/li[7]/span[2]/span"")"),"Loading...")</f>
        <v>Loading...</v>
      </c>
      <c r="S69" s="7" t="str">
        <f ca="1">IFERROR(__xludf.DUMMYFUNCTION("IMPORTXML(E69,""/html/body/main/div[3]/div[3]/div[2]/ul/li[8]/span[2]/span"")"),"Loading...")</f>
        <v>Loading...</v>
      </c>
      <c r="T69" s="4">
        <v>34.6</v>
      </c>
      <c r="U69" s="4">
        <v>22.7</v>
      </c>
      <c r="V69" s="4">
        <v>2.6</v>
      </c>
      <c r="W69" s="4">
        <v>5.7</v>
      </c>
      <c r="X69" s="4">
        <v>519.92999999999995</v>
      </c>
      <c r="Y69" s="7">
        <f t="shared" ca="1" si="4"/>
        <v>3600.1700000000005</v>
      </c>
    </row>
    <row r="70" spans="1:25" ht="15" x14ac:dyDescent="0.25">
      <c r="A70" s="4">
        <v>96</v>
      </c>
      <c r="C70" s="12" t="s">
        <v>389</v>
      </c>
      <c r="D70" s="12" t="s">
        <v>390</v>
      </c>
      <c r="E70" s="5" t="str">
        <f t="shared" si="0"/>
        <v>https://www.screener.in/company/LLOYDSME/consolidated/</v>
      </c>
      <c r="H70" s="6">
        <f t="shared" ca="1" si="1"/>
        <v>0</v>
      </c>
      <c r="I70" s="7" t="str">
        <f ca="1">IFERROR(__xludf.DUMMYFUNCTION("IMPORTXML(E70,""/html/body/main/div[3]/div[3]/div[2]/ul/li[5]/span[2]/span"")"),"Loading...")</f>
        <v>Loading...</v>
      </c>
      <c r="J70" s="7">
        <f ca="1">IFERROR(__xludf.DUMMYFUNCTION("GOOGLEFINANCE(""NSE:""&amp;D70,""marketcap"")"),676737549337)</f>
        <v>676737549337</v>
      </c>
      <c r="K70" s="7"/>
      <c r="L70" s="8">
        <f ca="1">IFERROR(__xludf.DUMMYFUNCTION("GOOGLEFINANCE(""NSE:""&amp;D70,""price"")"),1292)</f>
        <v>1292</v>
      </c>
      <c r="M70" s="9">
        <f t="shared" ca="1" si="2"/>
        <v>1292</v>
      </c>
      <c r="N70" s="10" t="e">
        <f t="shared" ca="1" si="3"/>
        <v>#DIV/0!</v>
      </c>
      <c r="O70" s="7">
        <f ca="1">IFERROR(__xludf.DUMMYFUNCTION("GOOGLEFINANCE(""NSE:""&amp;D70,""pe"")"),47.29)</f>
        <v>47.29</v>
      </c>
      <c r="P70" s="7">
        <f ca="1">IFERROR(__xludf.DUMMYFUNCTION("GOOGLEFINANCE(""NSE:""&amp;D70,""EPS"")"),27.32)</f>
        <v>27.32</v>
      </c>
      <c r="Q70" s="7">
        <v>13.5</v>
      </c>
      <c r="R70" s="7" t="str">
        <f ca="1">IFERROR(__xludf.DUMMYFUNCTION("IMPORTXML(E70,""/html/body/main/div[3]/div[3]/div[2]/ul/li[7]/span[2]/span"")"),"Loading...")</f>
        <v>Loading...</v>
      </c>
      <c r="S70" s="7" t="str">
        <f ca="1">IFERROR(__xludf.DUMMYFUNCTION("IMPORTXML(E70,""/html/body/main/div[3]/div[3]/div[2]/ul/li[8]/span[2]/span"")"),"Loading...")</f>
        <v>Loading...</v>
      </c>
      <c r="T70" s="4">
        <v>34.6</v>
      </c>
      <c r="U70" s="4">
        <v>22.7</v>
      </c>
      <c r="V70" s="4">
        <v>2.6</v>
      </c>
      <c r="W70" s="4">
        <v>5.7</v>
      </c>
      <c r="X70" s="4">
        <v>519.92999999999995</v>
      </c>
      <c r="Y70" s="7">
        <f t="shared" ca="1" si="4"/>
        <v>772.07</v>
      </c>
    </row>
    <row r="71" spans="1:25" ht="15" x14ac:dyDescent="0.25">
      <c r="A71" s="4">
        <v>107</v>
      </c>
      <c r="C71" s="12" t="s">
        <v>391</v>
      </c>
      <c r="D71" s="12" t="s">
        <v>392</v>
      </c>
      <c r="E71" s="5" t="str">
        <f t="shared" si="0"/>
        <v>https://www.screener.in/company/NAM-INDIA/consolidated/</v>
      </c>
      <c r="H71" s="6">
        <f t="shared" ca="1" si="1"/>
        <v>0</v>
      </c>
      <c r="I71" s="7" t="str">
        <f ca="1">IFERROR(__xludf.DUMMYFUNCTION("IMPORTXML(E71,""/html/body/main/div[3]/div[3]/div[2]/ul/li[5]/span[2]/span"")"),"Loading...")</f>
        <v>Loading...</v>
      </c>
      <c r="J71" s="7">
        <f ca="1">IFERROR(__xludf.DUMMYFUNCTION("GOOGLEFINANCE(""NSE:""&amp;D71,""marketcap"")"),506235870179)</f>
        <v>506235870179</v>
      </c>
      <c r="K71" s="7"/>
      <c r="L71" s="8">
        <f ca="1">IFERROR(__xludf.DUMMYFUNCTION("GOOGLEFINANCE(""NSE:""&amp;D71,""price"")"),800.5)</f>
        <v>800.5</v>
      </c>
      <c r="M71" s="9">
        <f t="shared" ca="1" si="2"/>
        <v>800.5</v>
      </c>
      <c r="N71" s="10" t="e">
        <f t="shared" ca="1" si="3"/>
        <v>#DIV/0!</v>
      </c>
      <c r="O71" s="7">
        <f ca="1">IFERROR(__xludf.DUMMYFUNCTION("GOOGLEFINANCE(""NSE:""&amp;D71,""pe"")"),40.57)</f>
        <v>40.57</v>
      </c>
      <c r="P71" s="7">
        <f ca="1">IFERROR(__xludf.DUMMYFUNCTION("GOOGLEFINANCE(""NSE:""&amp;D71,""EPS"")"),8.55)</f>
        <v>8.5500000000000007</v>
      </c>
      <c r="Q71" s="7">
        <v>13.5</v>
      </c>
      <c r="R71" s="7" t="str">
        <f ca="1">IFERROR(__xludf.DUMMYFUNCTION("IMPORTXML(E71,""/html/body/main/div[3]/div[3]/div[2]/ul/li[7]/span[2]/span"")"),"Loading...")</f>
        <v>Loading...</v>
      </c>
      <c r="S71" s="7" t="str">
        <f ca="1">IFERROR(__xludf.DUMMYFUNCTION("IMPORTXML(E71,""/html/body/main/div[3]/div[3]/div[2]/ul/li[8]/span[2]/span"")"),"Loading...")</f>
        <v>Loading...</v>
      </c>
      <c r="T71" s="4">
        <v>34.6</v>
      </c>
      <c r="U71" s="4">
        <v>22.7</v>
      </c>
      <c r="V71" s="4">
        <v>2.6</v>
      </c>
      <c r="W71" s="4">
        <v>5.7</v>
      </c>
      <c r="X71" s="4">
        <v>519.92999999999995</v>
      </c>
      <c r="Y71" s="7">
        <f t="shared" ca="1" si="4"/>
        <v>280.57000000000005</v>
      </c>
    </row>
    <row r="72" spans="1:25" ht="15" x14ac:dyDescent="0.25">
      <c r="A72" s="4">
        <v>52</v>
      </c>
      <c r="C72" s="12" t="s">
        <v>393</v>
      </c>
      <c r="D72" s="12" t="s">
        <v>394</v>
      </c>
      <c r="E72" s="5" t="str">
        <f t="shared" si="0"/>
        <v>https://www.screener.in/company/SUPREMEIND/consolidated/</v>
      </c>
      <c r="H72" s="6">
        <f t="shared" ca="1" si="1"/>
        <v>0</v>
      </c>
      <c r="I72" s="7" t="str">
        <f ca="1">IFERROR(__xludf.DUMMYFUNCTION("IMPORTXML(E72,""/html/body/main/div[3]/div[3]/div[2]/ul/li[5]/span[2]/span"")"),"Loading...")</f>
        <v>Loading...</v>
      </c>
      <c r="J72" s="7">
        <f ca="1">IFERROR(__xludf.DUMMYFUNCTION("GOOGLEFINANCE(""NSE:""&amp;D72,""marketcap"")"),581490900000)</f>
        <v>581490900000</v>
      </c>
      <c r="K72" s="7"/>
      <c r="L72" s="8">
        <f ca="1">IFERROR(__xludf.DUMMYFUNCTION("GOOGLEFINANCE(""NSE:""&amp;D72,""price"")"),4568)</f>
        <v>4568</v>
      </c>
      <c r="M72" s="9">
        <f t="shared" ca="1" si="2"/>
        <v>4568</v>
      </c>
      <c r="N72" s="10" t="e">
        <f t="shared" ca="1" si="3"/>
        <v>#DIV/0!</v>
      </c>
      <c r="O72" s="7">
        <f ca="1">IFERROR(__xludf.DUMMYFUNCTION("GOOGLEFINANCE(""NSE:""&amp;D72,""pe"")"),65.21)</f>
        <v>65.209999999999994</v>
      </c>
      <c r="P72" s="7">
        <f ca="1">IFERROR(__xludf.DUMMYFUNCTION("GOOGLEFINANCE(""NSE:""&amp;D72,""EPS"")"),70.06)</f>
        <v>70.06</v>
      </c>
      <c r="Q72" s="7">
        <v>13.5</v>
      </c>
      <c r="R72" s="7" t="str">
        <f ca="1">IFERROR(__xludf.DUMMYFUNCTION("IMPORTXML(E72,""/html/body/main/div[3]/div[3]/div[2]/ul/li[7]/span[2]/span"")"),"Loading...")</f>
        <v>Loading...</v>
      </c>
      <c r="S72" s="7" t="str">
        <f ca="1">IFERROR(__xludf.DUMMYFUNCTION("IMPORTXML(E72,""/html/body/main/div[3]/div[3]/div[2]/ul/li[8]/span[2]/span"")"),"Loading...")</f>
        <v>Loading...</v>
      </c>
      <c r="T72" s="4">
        <v>34.6</v>
      </c>
      <c r="U72" s="4">
        <v>22.7</v>
      </c>
      <c r="V72" s="4">
        <v>2.6</v>
      </c>
      <c r="W72" s="4">
        <v>5.7</v>
      </c>
      <c r="X72" s="4">
        <v>519.92999999999995</v>
      </c>
      <c r="Y72" s="7">
        <f t="shared" ca="1" si="4"/>
        <v>4048.07</v>
      </c>
    </row>
    <row r="73" spans="1:25" ht="15" x14ac:dyDescent="0.25">
      <c r="A73" s="4">
        <v>119</v>
      </c>
      <c r="C73" s="12" t="s">
        <v>395</v>
      </c>
      <c r="D73" s="12" t="s">
        <v>396</v>
      </c>
      <c r="E73" s="5" t="str">
        <f t="shared" si="0"/>
        <v>https://www.screener.in/company/TATATECH/consolidated/</v>
      </c>
      <c r="H73" s="6">
        <f t="shared" ca="1" si="1"/>
        <v>0</v>
      </c>
      <c r="I73" s="7" t="str">
        <f ca="1">IFERROR(__xludf.DUMMYFUNCTION("IMPORTXML(E73,""/html/body/main/div[3]/div[3]/div[2]/ul/li[5]/span[2]/span"")"),"Loading...")</f>
        <v>Loading...</v>
      </c>
      <c r="J73" s="7">
        <f ca="1">IFERROR(__xludf.DUMMYFUNCTION("GOOGLEFINANCE(""NSE:""&amp;D73,""marketcap"")"),272711470187)</f>
        <v>272711470187</v>
      </c>
      <c r="K73" s="7"/>
      <c r="L73" s="8">
        <f ca="1">IFERROR(__xludf.DUMMYFUNCTION("GOOGLEFINANCE(""NSE:""&amp;D73,""price"")"),674.9)</f>
        <v>674.9</v>
      </c>
      <c r="M73" s="9">
        <f t="shared" ca="1" si="2"/>
        <v>674.9</v>
      </c>
      <c r="N73" s="10" t="e">
        <f t="shared" ca="1" si="3"/>
        <v>#DIV/0!</v>
      </c>
      <c r="O73" s="7">
        <f ca="1">IFERROR(__xludf.DUMMYFUNCTION("GOOGLEFINANCE(""NSE:""&amp;D73,""pe"")"),40.03)</f>
        <v>40.03</v>
      </c>
      <c r="P73" s="7">
        <f ca="1">IFERROR(__xludf.DUMMYFUNCTION("GOOGLEFINANCE(""NSE:""&amp;D73,""EPS"")"),16.86)</f>
        <v>16.86</v>
      </c>
      <c r="Q73" s="7">
        <v>13.5</v>
      </c>
      <c r="R73" s="7" t="str">
        <f ca="1">IFERROR(__xludf.DUMMYFUNCTION("IMPORTXML(E73,""/html/body/main/div[3]/div[3]/div[2]/ul/li[7]/span[2]/span"")"),"Loading...")</f>
        <v>Loading...</v>
      </c>
      <c r="S73" s="7" t="str">
        <f ca="1">IFERROR(__xludf.DUMMYFUNCTION("IMPORTXML(E73,""/html/body/main/div[3]/div[3]/div[2]/ul/li[8]/span[2]/span"")"),"Loading...")</f>
        <v>Loading...</v>
      </c>
      <c r="T73" s="4">
        <v>34.6</v>
      </c>
      <c r="U73" s="4">
        <v>22.7</v>
      </c>
      <c r="V73" s="4">
        <v>2.6</v>
      </c>
      <c r="W73" s="4">
        <v>5.7</v>
      </c>
      <c r="X73" s="4">
        <v>519.92999999999995</v>
      </c>
      <c r="Y73" s="7">
        <f t="shared" ca="1" si="4"/>
        <v>154.97000000000003</v>
      </c>
    </row>
    <row r="74" spans="1:25" ht="15" x14ac:dyDescent="0.25">
      <c r="A74" s="4">
        <v>47</v>
      </c>
      <c r="C74" s="12" t="s">
        <v>397</v>
      </c>
      <c r="D74" s="12" t="s">
        <v>398</v>
      </c>
      <c r="E74" s="5" t="str">
        <f t="shared" si="0"/>
        <v>https://www.screener.in/company/JSWINFRA/consolidated/</v>
      </c>
      <c r="H74" s="6">
        <f t="shared" ca="1" si="1"/>
        <v>0</v>
      </c>
      <c r="I74" s="7" t="str">
        <f ca="1">IFERROR(__xludf.DUMMYFUNCTION("IMPORTXML(E74,""/html/body/main/div[3]/div[3]/div[2]/ul/li[5]/span[2]/span"")"),"Loading...")</f>
        <v>Loading...</v>
      </c>
      <c r="J74" s="7">
        <f ca="1">IFERROR(__xludf.DUMMYFUNCTION("GOOGLEFINANCE(""NSE:""&amp;D74,""marketcap"")"),621527281135)</f>
        <v>621527281135</v>
      </c>
      <c r="K74" s="7"/>
      <c r="L74" s="8">
        <f ca="1">IFERROR(__xludf.DUMMYFUNCTION("GOOGLEFINANCE(""NSE:""&amp;D74,""price"")"),300.7)</f>
        <v>300.7</v>
      </c>
      <c r="M74" s="9">
        <f t="shared" ca="1" si="2"/>
        <v>300.7</v>
      </c>
      <c r="N74" s="10" t="e">
        <f t="shared" ca="1" si="3"/>
        <v>#DIV/0!</v>
      </c>
      <c r="O74" s="7">
        <f ca="1">IFERROR(__xludf.DUMMYFUNCTION("GOOGLEFINANCE(""NSE:""&amp;D74,""pe"")"),39.42)</f>
        <v>39.42</v>
      </c>
      <c r="P74" s="7">
        <f ca="1">IFERROR(__xludf.DUMMYFUNCTION("GOOGLEFINANCE(""NSE:""&amp;D74,""EPS"")"),7.63)</f>
        <v>7.63</v>
      </c>
      <c r="Q74" s="7">
        <v>13.5</v>
      </c>
      <c r="R74" s="7" t="str">
        <f ca="1">IFERROR(__xludf.DUMMYFUNCTION("IMPORTXML(E74,""/html/body/main/div[3]/div[3]/div[2]/ul/li[7]/span[2]/span"")"),"Loading...")</f>
        <v>Loading...</v>
      </c>
      <c r="S74" s="7" t="str">
        <f ca="1">IFERROR(__xludf.DUMMYFUNCTION("IMPORTXML(E74,""/html/body/main/div[3]/div[3]/div[2]/ul/li[8]/span[2]/span"")"),"Loading...")</f>
        <v>Loading...</v>
      </c>
      <c r="T74" s="4">
        <v>34.6</v>
      </c>
      <c r="U74" s="4">
        <v>22.7</v>
      </c>
      <c r="V74" s="4">
        <v>2.6</v>
      </c>
      <c r="W74" s="4">
        <v>5.7</v>
      </c>
      <c r="X74" s="4">
        <v>519.92999999999995</v>
      </c>
      <c r="Y74" s="7">
        <f t="shared" ca="1" si="4"/>
        <v>-219.22999999999996</v>
      </c>
    </row>
    <row r="75" spans="1:25" ht="15" x14ac:dyDescent="0.25">
      <c r="A75" s="4">
        <v>99</v>
      </c>
      <c r="C75" s="12" t="s">
        <v>399</v>
      </c>
      <c r="D75" s="12" t="s">
        <v>400</v>
      </c>
      <c r="E75" s="5" t="str">
        <f t="shared" si="0"/>
        <v>https://www.screener.in/company/TATAELXSI/consolidated/</v>
      </c>
      <c r="H75" s="6">
        <f t="shared" ca="1" si="1"/>
        <v>0</v>
      </c>
      <c r="I75" s="7" t="str">
        <f ca="1">IFERROR(__xludf.DUMMYFUNCTION("IMPORTXML(E75,""/html/body/main/div[3]/div[3]/div[2]/ul/li[5]/span[2]/span"")"),"Loading...")</f>
        <v>Loading...</v>
      </c>
      <c r="J75" s="7">
        <f ca="1">IFERROR(__xludf.DUMMYFUNCTION("GOOGLEFINANCE(""NSE:""&amp;D75,""marketcap"")"),340895979875)</f>
        <v>340895979875</v>
      </c>
      <c r="K75" s="7"/>
      <c r="L75" s="8">
        <f ca="1">IFERROR(__xludf.DUMMYFUNCTION("GOOGLEFINANCE(""NSE:""&amp;D75,""price"")"),5472.5)</f>
        <v>5472.5</v>
      </c>
      <c r="M75" s="9">
        <f t="shared" ca="1" si="2"/>
        <v>5472.5</v>
      </c>
      <c r="N75" s="10" t="e">
        <f t="shared" ca="1" si="3"/>
        <v>#DIV/0!</v>
      </c>
      <c r="O75" s="7">
        <f ca="1">IFERROR(__xludf.DUMMYFUNCTION("GOOGLEFINANCE(""NSE:""&amp;D75,""pe"")"),45.74)</f>
        <v>45.74</v>
      </c>
      <c r="P75" s="7">
        <f ca="1">IFERROR(__xludf.DUMMYFUNCTION("GOOGLEFINANCE(""NSE:""&amp;D75,""EPS"")"),119.63)</f>
        <v>119.63</v>
      </c>
      <c r="Q75" s="7">
        <v>13.5</v>
      </c>
      <c r="R75" s="7" t="str">
        <f ca="1">IFERROR(__xludf.DUMMYFUNCTION("IMPORTXML(E75,""/html/body/main/div[3]/div[3]/div[2]/ul/li[7]/span[2]/span"")"),"Loading...")</f>
        <v>Loading...</v>
      </c>
      <c r="S75" s="7" t="str">
        <f ca="1">IFERROR(__xludf.DUMMYFUNCTION("IMPORTXML(E75,""/html/body/main/div[3]/div[3]/div[2]/ul/li[8]/span[2]/span"")"),"Loading...")</f>
        <v>Loading...</v>
      </c>
      <c r="T75" s="4">
        <v>34.6</v>
      </c>
      <c r="U75" s="4">
        <v>22.7</v>
      </c>
      <c r="V75" s="4">
        <v>2.6</v>
      </c>
      <c r="W75" s="4">
        <v>5.7</v>
      </c>
      <c r="X75" s="4">
        <v>519.92999999999995</v>
      </c>
      <c r="Y75" s="7">
        <f t="shared" ca="1" si="4"/>
        <v>4952.57</v>
      </c>
    </row>
    <row r="76" spans="1:25" ht="15" x14ac:dyDescent="0.25">
      <c r="A76" s="4">
        <v>89</v>
      </c>
      <c r="C76" s="12" t="s">
        <v>401</v>
      </c>
      <c r="D76" s="12" t="s">
        <v>402</v>
      </c>
      <c r="E76" s="5" t="str">
        <f t="shared" si="0"/>
        <v>https://www.screener.in/company/COCHINSHIP/consolidated/</v>
      </c>
      <c r="H76" s="6">
        <f t="shared" ca="1" si="1"/>
        <v>0</v>
      </c>
      <c r="I76" s="7" t="str">
        <f ca="1">IFERROR(__xludf.DUMMYFUNCTION("IMPORTXML(E76,""/html/body/main/div[3]/div[3]/div[2]/ul/li[5]/span[2]/span"")"),"Loading...")</f>
        <v>Loading...</v>
      </c>
      <c r="J76" s="7">
        <f ca="1">IFERROR(__xludf.DUMMYFUNCTION("GOOGLEFINANCE(""NSE:""&amp;D76,""marketcap"")"),434346365352)</f>
        <v>434346365352</v>
      </c>
      <c r="K76" s="7"/>
      <c r="L76" s="8">
        <f ca="1">IFERROR(__xludf.DUMMYFUNCTION("GOOGLEFINANCE(""NSE:""&amp;D76,""price"")"),1655)</f>
        <v>1655</v>
      </c>
      <c r="M76" s="9">
        <f t="shared" ca="1" si="2"/>
        <v>1655</v>
      </c>
      <c r="N76" s="10" t="e">
        <f t="shared" ca="1" si="3"/>
        <v>#DIV/0!</v>
      </c>
      <c r="O76" s="7">
        <f ca="1">IFERROR(__xludf.DUMMYFUNCTION("GOOGLEFINANCE(""NSE:""&amp;D76,""pe"")"),51.76)</f>
        <v>51.76</v>
      </c>
      <c r="P76" s="7">
        <f ca="1">IFERROR(__xludf.DUMMYFUNCTION("GOOGLEFINANCE(""NSE:""&amp;D76,""EPS"")"),31.97)</f>
        <v>31.97</v>
      </c>
      <c r="Q76" s="7">
        <v>13.5</v>
      </c>
      <c r="R76" s="7" t="str">
        <f ca="1">IFERROR(__xludf.DUMMYFUNCTION("IMPORTXML(E76,""/html/body/main/div[3]/div[3]/div[2]/ul/li[7]/span[2]/span"")"),"Loading...")</f>
        <v>Loading...</v>
      </c>
      <c r="S76" s="7" t="str">
        <f ca="1">IFERROR(__xludf.DUMMYFUNCTION("IMPORTXML(E76,""/html/body/main/div[3]/div[3]/div[2]/ul/li[8]/span[2]/span"")"),"Loading...")</f>
        <v>Loading...</v>
      </c>
      <c r="T76" s="4">
        <v>34.6</v>
      </c>
      <c r="U76" s="4">
        <v>22.7</v>
      </c>
      <c r="V76" s="4">
        <v>2.6</v>
      </c>
      <c r="W76" s="4">
        <v>5.7</v>
      </c>
      <c r="X76" s="4">
        <v>519.92999999999995</v>
      </c>
      <c r="Y76" s="7">
        <f t="shared" ca="1" si="4"/>
        <v>1135.0700000000002</v>
      </c>
    </row>
    <row r="77" spans="1:25" ht="15" x14ac:dyDescent="0.25">
      <c r="A77" s="4">
        <v>38</v>
      </c>
      <c r="C77" s="12" t="s">
        <v>403</v>
      </c>
      <c r="D77" s="12" t="s">
        <v>404</v>
      </c>
      <c r="E77" s="5" t="str">
        <f t="shared" si="0"/>
        <v>https://www.screener.in/company/IRCTC/consolidated/</v>
      </c>
      <c r="H77" s="6">
        <f t="shared" ca="1" si="1"/>
        <v>0</v>
      </c>
      <c r="I77" s="7" t="str">
        <f ca="1">IFERROR(__xludf.DUMMYFUNCTION("IMPORTXML(E77,""/html/body/main/div[3]/div[3]/div[2]/ul/li[5]/span[2]/span"")"),"Loading...")</f>
        <v>Loading...</v>
      </c>
      <c r="J77" s="7">
        <f ca="1">IFERROR(__xludf.DUMMYFUNCTION("GOOGLEFINANCE(""NSE:""&amp;D77,""marketcap"")"),571090111141)</f>
        <v>571090111141</v>
      </c>
      <c r="K77" s="7"/>
      <c r="L77" s="8">
        <f ca="1">IFERROR(__xludf.DUMMYFUNCTION("GOOGLEFINANCE(""NSE:""&amp;D77,""price"")"),714)</f>
        <v>714</v>
      </c>
      <c r="M77" s="9">
        <f t="shared" ca="1" si="2"/>
        <v>714</v>
      </c>
      <c r="N77" s="10" t="e">
        <f t="shared" ca="1" si="3"/>
        <v>#DIV/0!</v>
      </c>
      <c r="O77" s="7">
        <f ca="1">IFERROR(__xludf.DUMMYFUNCTION("GOOGLEFINANCE(""NSE:""&amp;D77,""pe"")"),42.71)</f>
        <v>42.71</v>
      </c>
      <c r="P77" s="7">
        <f ca="1">IFERROR(__xludf.DUMMYFUNCTION("GOOGLEFINANCE(""NSE:""&amp;D77,""EPS"")"),16.72)</f>
        <v>16.72</v>
      </c>
      <c r="Q77" s="7">
        <v>13.5</v>
      </c>
      <c r="R77" s="7" t="str">
        <f ca="1">IFERROR(__xludf.DUMMYFUNCTION("IMPORTXML(E77,""/html/body/main/div[3]/div[3]/div[2]/ul/li[7]/span[2]/span"")"),"Loading...")</f>
        <v>Loading...</v>
      </c>
      <c r="S77" s="7" t="str">
        <f ca="1">IFERROR(__xludf.DUMMYFUNCTION("IMPORTXML(E77,""/html/body/main/div[3]/div[3]/div[2]/ul/li[8]/span[2]/span"")"),"Loading...")</f>
        <v>Loading...</v>
      </c>
      <c r="T77" s="4">
        <v>34.6</v>
      </c>
      <c r="U77" s="4">
        <v>22.7</v>
      </c>
      <c r="V77" s="4">
        <v>2.6</v>
      </c>
      <c r="W77" s="4">
        <v>5.7</v>
      </c>
      <c r="X77" s="4">
        <v>519.92999999999995</v>
      </c>
      <c r="Y77" s="7">
        <f t="shared" ca="1" si="4"/>
        <v>194.07000000000005</v>
      </c>
    </row>
    <row r="78" spans="1:25" ht="15" x14ac:dyDescent="0.25">
      <c r="A78" s="4">
        <v>3</v>
      </c>
      <c r="C78" s="12" t="s">
        <v>405</v>
      </c>
      <c r="D78" s="12" t="s">
        <v>406</v>
      </c>
      <c r="E78" s="5" t="str">
        <f t="shared" si="0"/>
        <v>https://www.screener.in/company/MANKIND/consolidated/</v>
      </c>
      <c r="H78" s="6">
        <f t="shared" ca="1" si="1"/>
        <v>0</v>
      </c>
      <c r="I78" s="7" t="str">
        <f ca="1">IFERROR(__xludf.DUMMYFUNCTION("IMPORTXML(E78,""/html/body/main/div[3]/div[3]/div[2]/ul/li[5]/span[2]/span"")"),"Loading...")</f>
        <v>Loading...</v>
      </c>
      <c r="J78" s="7">
        <f ca="1">IFERROR(__xludf.DUMMYFUNCTION("GOOGLEFINANCE(""NSE:""&amp;D78,""marketcap"")"),1051246601669)</f>
        <v>1051246601669</v>
      </c>
      <c r="K78" s="7"/>
      <c r="L78" s="8">
        <f ca="1">IFERROR(__xludf.DUMMYFUNCTION("GOOGLEFINANCE(""NSE:""&amp;D78,""price"")"),2545)</f>
        <v>2545</v>
      </c>
      <c r="M78" s="9">
        <f t="shared" ca="1" si="2"/>
        <v>2545</v>
      </c>
      <c r="N78" s="10" t="e">
        <f t="shared" ca="1" si="3"/>
        <v>#DIV/0!</v>
      </c>
      <c r="O78" s="7">
        <f ca="1">IFERROR(__xludf.DUMMYFUNCTION("GOOGLEFINANCE(""NSE:""&amp;D78,""pe"")"),54.73)</f>
        <v>54.73</v>
      </c>
      <c r="P78" s="7">
        <f ca="1">IFERROR(__xludf.DUMMYFUNCTION("GOOGLEFINANCE(""NSE:""&amp;D78,""EPS"")"),46.5)</f>
        <v>46.5</v>
      </c>
      <c r="Q78" s="7">
        <v>13.5</v>
      </c>
      <c r="R78" s="7" t="str">
        <f ca="1">IFERROR(__xludf.DUMMYFUNCTION("IMPORTXML(E78,""/html/body/main/div[3]/div[3]/div[2]/ul/li[7]/span[2]/span"")"),"Loading...")</f>
        <v>Loading...</v>
      </c>
      <c r="S78" s="7" t="str">
        <f ca="1">IFERROR(__xludf.DUMMYFUNCTION("IMPORTXML(E78,""/html/body/main/div[3]/div[3]/div[2]/ul/li[8]/span[2]/span"")"),"Loading...")</f>
        <v>Loading...</v>
      </c>
      <c r="T78" s="4">
        <v>34.6</v>
      </c>
      <c r="U78" s="4">
        <v>22.7</v>
      </c>
      <c r="V78" s="4">
        <v>2.6</v>
      </c>
      <c r="W78" s="4">
        <v>5.7</v>
      </c>
      <c r="X78" s="4">
        <v>519.92999999999995</v>
      </c>
      <c r="Y78" s="7">
        <f t="shared" ca="1" si="4"/>
        <v>2025.0700000000002</v>
      </c>
    </row>
    <row r="79" spans="1:25" ht="15" x14ac:dyDescent="0.25">
      <c r="A79" s="4">
        <v>125</v>
      </c>
      <c r="C79" s="12" t="s">
        <v>407</v>
      </c>
      <c r="D79" s="12" t="s">
        <v>408</v>
      </c>
      <c r="E79" s="5" t="str">
        <f t="shared" si="0"/>
        <v>https://www.screener.in/company/KEI/consolidated/</v>
      </c>
      <c r="H79" s="6">
        <f t="shared" ca="1" si="1"/>
        <v>0</v>
      </c>
      <c r="I79" s="7" t="str">
        <f ca="1">IFERROR(__xludf.DUMMYFUNCTION("IMPORTXML(E79,""/html/body/main/div[3]/div[3]/div[2]/ul/li[5]/span[2]/span"")"),"Loading...")</f>
        <v>Loading...</v>
      </c>
      <c r="J79" s="7">
        <f ca="1">IFERROR(__xludf.DUMMYFUNCTION("GOOGLEFINANCE(""NSE:""&amp;D79,""marketcap"")"),385717135387)</f>
        <v>385717135387</v>
      </c>
      <c r="K79" s="7"/>
      <c r="L79" s="8">
        <f ca="1">IFERROR(__xludf.DUMMYFUNCTION("GOOGLEFINANCE(""NSE:""&amp;D79,""price"")"),4036.7)</f>
        <v>4036.7</v>
      </c>
      <c r="M79" s="9">
        <f t="shared" ca="1" si="2"/>
        <v>4036.7</v>
      </c>
      <c r="N79" s="10" t="e">
        <f t="shared" ca="1" si="3"/>
        <v>#DIV/0!</v>
      </c>
      <c r="O79" s="7">
        <f ca="1">IFERROR(__xludf.DUMMYFUNCTION("GOOGLEFINANCE(""NSE:""&amp;D79,""pe"")"),51)</f>
        <v>51</v>
      </c>
      <c r="P79" s="7">
        <f ca="1">IFERROR(__xludf.DUMMYFUNCTION("GOOGLEFINANCE(""NSE:""&amp;D79,""EPS"")"),79.16)</f>
        <v>79.16</v>
      </c>
      <c r="Q79" s="7">
        <v>13.5</v>
      </c>
      <c r="R79" s="7" t="str">
        <f ca="1">IFERROR(__xludf.DUMMYFUNCTION("IMPORTXML(E79,""/html/body/main/div[3]/div[3]/div[2]/ul/li[7]/span[2]/span"")"),"Loading...")</f>
        <v>Loading...</v>
      </c>
      <c r="S79" s="7" t="str">
        <f ca="1">IFERROR(__xludf.DUMMYFUNCTION("IMPORTXML(E79,""/html/body/main/div[3]/div[3]/div[2]/ul/li[8]/span[2]/span"")"),"Loading...")</f>
        <v>Loading...</v>
      </c>
      <c r="T79" s="4">
        <v>34.6</v>
      </c>
      <c r="U79" s="4">
        <v>22.7</v>
      </c>
      <c r="V79" s="4">
        <v>2.6</v>
      </c>
      <c r="W79" s="4">
        <v>5.7</v>
      </c>
      <c r="X79" s="4">
        <v>519.92999999999995</v>
      </c>
      <c r="Y79" s="7">
        <f t="shared" ca="1" si="4"/>
        <v>3516.77</v>
      </c>
    </row>
    <row r="80" spans="1:25" ht="15" x14ac:dyDescent="0.25">
      <c r="A80" s="4">
        <v>21</v>
      </c>
      <c r="C80" s="12" t="s">
        <v>409</v>
      </c>
      <c r="D80" s="12" t="s">
        <v>410</v>
      </c>
      <c r="E80" s="5" t="str">
        <f t="shared" si="0"/>
        <v>https://www.screener.in/company/COLPAL/consolidated/</v>
      </c>
      <c r="H80" s="6">
        <f t="shared" ca="1" si="1"/>
        <v>0</v>
      </c>
      <c r="I80" s="7" t="str">
        <f ca="1">IFERROR(__xludf.DUMMYFUNCTION("IMPORTXML(E80,""/html/body/main/div[3]/div[3]/div[2]/ul/li[5]/span[2]/span"")"),"Loading...")</f>
        <v>Loading...</v>
      </c>
      <c r="J80" s="7">
        <f ca="1">IFERROR(__xludf.DUMMYFUNCTION("GOOGLEFINANCE(""NSE:""&amp;D80,""marketcap"")"),657332067400)</f>
        <v>657332067400</v>
      </c>
      <c r="K80" s="7"/>
      <c r="L80" s="8">
        <f ca="1">IFERROR(__xludf.DUMMYFUNCTION("GOOGLEFINANCE(""NSE:""&amp;D80,""price"")"),2424.5)</f>
        <v>2424.5</v>
      </c>
      <c r="M80" s="9">
        <f t="shared" ca="1" si="2"/>
        <v>2424.5</v>
      </c>
      <c r="N80" s="10" t="e">
        <f t="shared" ca="1" si="3"/>
        <v>#DIV/0!</v>
      </c>
      <c r="O80" s="7">
        <f ca="1">IFERROR(__xludf.DUMMYFUNCTION("GOOGLEFINANCE(""NSE:""&amp;D80,""pe"")"),47.32)</f>
        <v>47.32</v>
      </c>
      <c r="P80" s="7">
        <f ca="1">IFERROR(__xludf.DUMMYFUNCTION("GOOGLEFINANCE(""NSE:""&amp;D80,""EPS"")"),51.24)</f>
        <v>51.24</v>
      </c>
      <c r="Q80" s="7">
        <v>13.5</v>
      </c>
      <c r="R80" s="7" t="str">
        <f ca="1">IFERROR(__xludf.DUMMYFUNCTION("IMPORTXML(E80,""/html/body/main/div[3]/div[3]/div[2]/ul/li[7]/span[2]/span"")"),"Loading...")</f>
        <v>Loading...</v>
      </c>
      <c r="S80" s="7" t="str">
        <f ca="1">IFERROR(__xludf.DUMMYFUNCTION("IMPORTXML(E80,""/html/body/main/div[3]/div[3]/div[2]/ul/li[8]/span[2]/span"")"),"Loading...")</f>
        <v>Loading...</v>
      </c>
      <c r="T80" s="4">
        <v>34.6</v>
      </c>
      <c r="U80" s="4">
        <v>22.7</v>
      </c>
      <c r="V80" s="4">
        <v>2.6</v>
      </c>
      <c r="W80" s="4">
        <v>5.7</v>
      </c>
      <c r="X80" s="4">
        <v>519.92999999999995</v>
      </c>
      <c r="Y80" s="7">
        <f t="shared" ca="1" si="4"/>
        <v>1904.5700000000002</v>
      </c>
    </row>
    <row r="81" spans="1:25" ht="15" x14ac:dyDescent="0.25">
      <c r="A81" s="4">
        <v>133</v>
      </c>
      <c r="C81" s="12" t="s">
        <v>411</v>
      </c>
      <c r="D81" s="12" t="s">
        <v>412</v>
      </c>
      <c r="E81" s="5" t="str">
        <f t="shared" si="0"/>
        <v>https://www.screener.in/company/IPCALAB/consolidated/</v>
      </c>
      <c r="H81" s="6">
        <f t="shared" ca="1" si="1"/>
        <v>0</v>
      </c>
      <c r="I81" s="7" t="str">
        <f ca="1">IFERROR(__xludf.DUMMYFUNCTION("IMPORTXML(E81,""/html/body/main/div[3]/div[3]/div[2]/ul/li[5]/span[2]/span"")"),"Loading...")</f>
        <v>Loading...</v>
      </c>
      <c r="J81" s="7">
        <f ca="1">IFERROR(__xludf.DUMMYFUNCTION("GOOGLEFINANCE(""NSE:""&amp;D81,""marketcap"")"),338644378547)</f>
        <v>338644378547</v>
      </c>
      <c r="K81" s="7"/>
      <c r="L81" s="8">
        <f ca="1">IFERROR(__xludf.DUMMYFUNCTION("GOOGLEFINANCE(""NSE:""&amp;D81,""price"")"),1334.8)</f>
        <v>1334.8</v>
      </c>
      <c r="M81" s="9">
        <f t="shared" ca="1" si="2"/>
        <v>1334.8</v>
      </c>
      <c r="N81" s="10" t="e">
        <f t="shared" ca="1" si="3"/>
        <v>#DIV/0!</v>
      </c>
      <c r="O81" s="7">
        <f ca="1">IFERROR(__xludf.DUMMYFUNCTION("GOOGLEFINANCE(""NSE:""&amp;D81,""pe"")"),43.49)</f>
        <v>43.49</v>
      </c>
      <c r="P81" s="7">
        <f ca="1">IFERROR(__xludf.DUMMYFUNCTION("GOOGLEFINANCE(""NSE:""&amp;D81,""EPS"")"),30.69)</f>
        <v>30.69</v>
      </c>
      <c r="Q81" s="7">
        <v>13.5</v>
      </c>
      <c r="R81" s="7" t="str">
        <f ca="1">IFERROR(__xludf.DUMMYFUNCTION("IMPORTXML(E81,""/html/body/main/div[3]/div[3]/div[2]/ul/li[7]/span[2]/span"")"),"Loading...")</f>
        <v>Loading...</v>
      </c>
      <c r="S81" s="7" t="str">
        <f ca="1">IFERROR(__xludf.DUMMYFUNCTION("IMPORTXML(E81,""/html/body/main/div[3]/div[3]/div[2]/ul/li[8]/span[2]/span"")"),"Loading...")</f>
        <v>Loading...</v>
      </c>
      <c r="T81" s="4">
        <v>34.6</v>
      </c>
      <c r="U81" s="4">
        <v>22.7</v>
      </c>
      <c r="V81" s="4">
        <v>2.6</v>
      </c>
      <c r="W81" s="4">
        <v>5.7</v>
      </c>
      <c r="X81" s="4">
        <v>519.92999999999995</v>
      </c>
      <c r="Y81" s="7">
        <f t="shared" ca="1" si="4"/>
        <v>814.87</v>
      </c>
    </row>
    <row r="82" spans="1:25" ht="15" x14ac:dyDescent="0.25">
      <c r="A82" s="4">
        <v>98</v>
      </c>
      <c r="C82" s="12" t="s">
        <v>413</v>
      </c>
      <c r="D82" s="12" t="s">
        <v>414</v>
      </c>
      <c r="E82" s="5" t="str">
        <f t="shared" si="0"/>
        <v>https://www.screener.in/company/KPITTECH/consolidated/</v>
      </c>
      <c r="H82" s="6">
        <f t="shared" ca="1" si="1"/>
        <v>0</v>
      </c>
      <c r="I82" s="7" t="str">
        <f ca="1">IFERROR(__xludf.DUMMYFUNCTION("IMPORTXML(E82,""/html/body/main/div[3]/div[3]/div[2]/ul/li[5]/span[2]/span"")"),"Loading...")</f>
        <v>Loading...</v>
      </c>
      <c r="J82" s="7">
        <f ca="1">IFERROR(__xludf.DUMMYFUNCTION("GOOGLEFINANCE(""NSE:""&amp;D82,""marketcap"")"),334790627198)</f>
        <v>334790627198</v>
      </c>
      <c r="K82" s="7"/>
      <c r="L82" s="8">
        <f ca="1">IFERROR(__xludf.DUMMYFUNCTION("GOOGLEFINANCE(""NSE:""&amp;D82,""price"")"),1236)</f>
        <v>1236</v>
      </c>
      <c r="M82" s="9">
        <f t="shared" ca="1" si="2"/>
        <v>1236</v>
      </c>
      <c r="N82" s="10" t="e">
        <f t="shared" ca="1" si="3"/>
        <v>#DIV/0!</v>
      </c>
      <c r="O82" s="7">
        <f ca="1">IFERROR(__xludf.DUMMYFUNCTION("GOOGLEFINANCE(""NSE:""&amp;D82,""pe"")"),41.9)</f>
        <v>41.9</v>
      </c>
      <c r="P82" s="7">
        <f ca="1">IFERROR(__xludf.DUMMYFUNCTION("GOOGLEFINANCE(""NSE:""&amp;D82,""EPS"")"),29.5)</f>
        <v>29.5</v>
      </c>
      <c r="Q82" s="7">
        <v>13.5</v>
      </c>
      <c r="R82" s="7" t="str">
        <f ca="1">IFERROR(__xludf.DUMMYFUNCTION("IMPORTXML(E82,""/html/body/main/div[3]/div[3]/div[2]/ul/li[7]/span[2]/span"")"),"Loading...")</f>
        <v>Loading...</v>
      </c>
      <c r="S82" s="7" t="str">
        <f ca="1">IFERROR(__xludf.DUMMYFUNCTION("IMPORTXML(E82,""/html/body/main/div[3]/div[3]/div[2]/ul/li[8]/span[2]/span"")"),"Loading...")</f>
        <v>Loading...</v>
      </c>
      <c r="T82" s="4">
        <v>34.6</v>
      </c>
      <c r="U82" s="4">
        <v>22.7</v>
      </c>
      <c r="V82" s="4">
        <v>2.6</v>
      </c>
      <c r="W82" s="4">
        <v>5.7</v>
      </c>
      <c r="X82" s="4">
        <v>519.92999999999995</v>
      </c>
      <c r="Y82" s="7">
        <f t="shared" ca="1" si="4"/>
        <v>716.07</v>
      </c>
    </row>
    <row r="83" spans="1:25" ht="15" x14ac:dyDescent="0.25">
      <c r="A83" s="4">
        <v>145</v>
      </c>
      <c r="C83" s="12" t="s">
        <v>415</v>
      </c>
      <c r="D83" s="12" t="s">
        <v>416</v>
      </c>
      <c r="E83" s="5" t="str">
        <f t="shared" si="0"/>
        <v>https://www.screener.in/company/JKCEMENT/consolidated/</v>
      </c>
      <c r="H83" s="6">
        <f t="shared" ca="1" si="1"/>
        <v>0</v>
      </c>
      <c r="I83" s="7" t="str">
        <f ca="1">IFERROR(__xludf.DUMMYFUNCTION("IMPORTXML(E83,""/html/body/main/div[3]/div[3]/div[2]/ul/li[5]/span[2]/span"")"),"Loading...")</f>
        <v>Loading...</v>
      </c>
      <c r="J83" s="7">
        <f ca="1">IFERROR(__xludf.DUMMYFUNCTION("GOOGLEFINANCE(""NSE:""&amp;D83,""marketcap"")"),515750086552)</f>
        <v>515750086552</v>
      </c>
      <c r="K83" s="7"/>
      <c r="L83" s="8">
        <f ca="1">IFERROR(__xludf.DUMMYFUNCTION("GOOGLEFINANCE(""NSE:""&amp;D83,""price"")"),6627.5)</f>
        <v>6627.5</v>
      </c>
      <c r="M83" s="9">
        <f t="shared" ca="1" si="2"/>
        <v>6627.5</v>
      </c>
      <c r="N83" s="10" t="e">
        <f t="shared" ca="1" si="3"/>
        <v>#DIV/0!</v>
      </c>
      <c r="O83" s="7">
        <f ca="1">IFERROR(__xludf.DUMMYFUNCTION("GOOGLEFINANCE(""NSE:""&amp;D83,""pe"")"),51.23)</f>
        <v>51.23</v>
      </c>
      <c r="P83" s="7">
        <f ca="1">IFERROR(__xludf.DUMMYFUNCTION("GOOGLEFINANCE(""NSE:""&amp;D83,""EPS"")"),129.37)</f>
        <v>129.37</v>
      </c>
      <c r="Q83" s="7">
        <v>13.5</v>
      </c>
      <c r="R83" s="7" t="str">
        <f ca="1">IFERROR(__xludf.DUMMYFUNCTION("IMPORTXML(E83,""/html/body/main/div[3]/div[3]/div[2]/ul/li[7]/span[2]/span"")"),"Loading...")</f>
        <v>Loading...</v>
      </c>
      <c r="S83" s="7" t="str">
        <f ca="1">IFERROR(__xludf.DUMMYFUNCTION("IMPORTXML(E83,""/html/body/main/div[3]/div[3]/div[2]/ul/li[8]/span[2]/span"")"),"Loading...")</f>
        <v>Loading...</v>
      </c>
      <c r="T83" s="4">
        <v>34.6</v>
      </c>
      <c r="U83" s="4">
        <v>22.7</v>
      </c>
      <c r="V83" s="4">
        <v>2.6</v>
      </c>
      <c r="W83" s="4">
        <v>5.7</v>
      </c>
      <c r="X83" s="4">
        <v>519.92999999999995</v>
      </c>
      <c r="Y83" s="7">
        <f t="shared" ca="1" si="4"/>
        <v>6107.57</v>
      </c>
    </row>
    <row r="84" spans="1:25" ht="15" x14ac:dyDescent="0.25">
      <c r="A84" s="4">
        <v>139</v>
      </c>
      <c r="C84" s="12" t="s">
        <v>417</v>
      </c>
      <c r="D84" s="12" t="s">
        <v>418</v>
      </c>
      <c r="E84" s="5" t="str">
        <f t="shared" si="0"/>
        <v>https://www.screener.in/company/CRISIL/consolidated/</v>
      </c>
      <c r="H84" s="6">
        <f t="shared" ca="1" si="1"/>
        <v>0</v>
      </c>
      <c r="I84" s="7" t="str">
        <f ca="1">IFERROR(__xludf.DUMMYFUNCTION("IMPORTXML(E84,""/html/body/main/div[3]/div[3]/div[2]/ul/li[5]/span[2]/span"")"),"Loading...")</f>
        <v>Loading...</v>
      </c>
      <c r="J84" s="7">
        <f ca="1">IFERROR(__xludf.DUMMYFUNCTION("GOOGLEFINANCE(""NSE:""&amp;D84,""marketcap"")"),366227800000)</f>
        <v>366227800000</v>
      </c>
      <c r="K84" s="7"/>
      <c r="L84" s="8">
        <f ca="1">IFERROR(__xludf.DUMMYFUNCTION("GOOGLEFINANCE(""NSE:""&amp;D84,""price"")"),5006.9)</f>
        <v>5006.8999999999996</v>
      </c>
      <c r="M84" s="9">
        <f t="shared" ca="1" si="2"/>
        <v>5006.8999999999996</v>
      </c>
      <c r="N84" s="10" t="e">
        <f t="shared" ca="1" si="3"/>
        <v>#DIV/0!</v>
      </c>
      <c r="O84" s="7">
        <f ca="1">IFERROR(__xludf.DUMMYFUNCTION("GOOGLEFINANCE(""NSE:""&amp;D84,""pe"")"),50.32)</f>
        <v>50.32</v>
      </c>
      <c r="P84" s="7">
        <f ca="1">IFERROR(__xludf.DUMMYFUNCTION("GOOGLEFINANCE(""NSE:""&amp;D84,""EPS"")"),99.51)</f>
        <v>99.51</v>
      </c>
      <c r="Q84" s="7">
        <v>13.5</v>
      </c>
      <c r="R84" s="7" t="str">
        <f ca="1">IFERROR(__xludf.DUMMYFUNCTION("IMPORTXML(E84,""/html/body/main/div[3]/div[3]/div[2]/ul/li[7]/span[2]/span"")"),"Loading...")</f>
        <v>Loading...</v>
      </c>
      <c r="S84" s="7" t="str">
        <f ca="1">IFERROR(__xludf.DUMMYFUNCTION("IMPORTXML(E84,""/html/body/main/div[3]/div[3]/div[2]/ul/li[8]/span[2]/span"")"),"Loading...")</f>
        <v>Loading...</v>
      </c>
      <c r="T84" s="4">
        <v>34.6</v>
      </c>
      <c r="U84" s="4">
        <v>22.7</v>
      </c>
      <c r="V84" s="4">
        <v>2.6</v>
      </c>
      <c r="W84" s="4">
        <v>5.7</v>
      </c>
      <c r="X84" s="4">
        <v>519.92999999999995</v>
      </c>
      <c r="Y84" s="7">
        <f t="shared" ca="1" si="4"/>
        <v>4486.9699999999993</v>
      </c>
    </row>
    <row r="85" spans="1:25" ht="15" x14ac:dyDescent="0.25">
      <c r="A85" s="4">
        <v>24</v>
      </c>
      <c r="C85" s="12" t="s">
        <v>419</v>
      </c>
      <c r="D85" s="12" t="s">
        <v>420</v>
      </c>
      <c r="E85" s="5" t="str">
        <f t="shared" si="0"/>
        <v>https://www.screener.in/company/MARICO/consolidated/</v>
      </c>
      <c r="H85" s="6">
        <f t="shared" ca="1" si="1"/>
        <v>0</v>
      </c>
      <c r="I85" s="7" t="str">
        <f ca="1">IFERROR(__xludf.DUMMYFUNCTION("IMPORTXML(E85,""/html/body/main/div[3]/div[3]/div[2]/ul/li[5]/span[2]/span"")"),"Loading...")</f>
        <v>Loading...</v>
      </c>
      <c r="J85" s="7">
        <f ca="1">IFERROR(__xludf.DUMMYFUNCTION("GOOGLEFINANCE(""NSE:""&amp;D85,""marketcap"")"),949741252000)</f>
        <v>949741252000</v>
      </c>
      <c r="K85" s="7"/>
      <c r="L85" s="8">
        <f ca="1">IFERROR(__xludf.DUMMYFUNCTION("GOOGLEFINANCE(""NSE:""&amp;D85,""price"")"),731.75)</f>
        <v>731.75</v>
      </c>
      <c r="M85" s="9">
        <f t="shared" ca="1" si="2"/>
        <v>731.75</v>
      </c>
      <c r="N85" s="10" t="e">
        <f t="shared" ca="1" si="3"/>
        <v>#DIV/0!</v>
      </c>
      <c r="O85" s="7">
        <f ca="1">IFERROR(__xludf.DUMMYFUNCTION("GOOGLEFINANCE(""NSE:""&amp;D85,""pe"")"),56.85)</f>
        <v>56.85</v>
      </c>
      <c r="P85" s="7">
        <f ca="1">IFERROR(__xludf.DUMMYFUNCTION("GOOGLEFINANCE(""NSE:""&amp;D85,""EPS"")"),12.87)</f>
        <v>12.87</v>
      </c>
      <c r="Q85" s="7">
        <v>13.5</v>
      </c>
      <c r="R85" s="7" t="str">
        <f ca="1">IFERROR(__xludf.DUMMYFUNCTION("IMPORTXML(E85,""/html/body/main/div[3]/div[3]/div[2]/ul/li[7]/span[2]/span"")"),"Loading...")</f>
        <v>Loading...</v>
      </c>
      <c r="S85" s="7" t="str">
        <f ca="1">IFERROR(__xludf.DUMMYFUNCTION("IMPORTXML(E85,""/html/body/main/div[3]/div[3]/div[2]/ul/li[8]/span[2]/span"")"),"Loading...")</f>
        <v>Loading...</v>
      </c>
      <c r="T85" s="4">
        <v>34.6</v>
      </c>
      <c r="U85" s="4">
        <v>22.7</v>
      </c>
      <c r="V85" s="4">
        <v>2.6</v>
      </c>
      <c r="W85" s="4">
        <v>5.7</v>
      </c>
      <c r="X85" s="4">
        <v>519.92999999999995</v>
      </c>
      <c r="Y85" s="7">
        <f t="shared" ca="1" si="4"/>
        <v>211.82000000000005</v>
      </c>
    </row>
    <row r="86" spans="1:25" ht="15" x14ac:dyDescent="0.25">
      <c r="A86" s="4">
        <v>113</v>
      </c>
      <c r="C86" s="12" t="s">
        <v>421</v>
      </c>
      <c r="D86" s="12" t="s">
        <v>422</v>
      </c>
      <c r="E86" s="5" t="str">
        <f t="shared" si="0"/>
        <v>https://www.screener.in/company/BIOCON/consolidated/</v>
      </c>
      <c r="H86" s="6">
        <f t="shared" ca="1" si="1"/>
        <v>0</v>
      </c>
      <c r="I86" s="7" t="str">
        <f ca="1">IFERROR(__xludf.DUMMYFUNCTION("IMPORTXML(E86,""/html/body/main/div[3]/div[3]/div[2]/ul/li[5]/span[2]/span"")"),"Loading...")</f>
        <v>Loading...</v>
      </c>
      <c r="J86" s="7">
        <f ca="1">IFERROR(__xludf.DUMMYFUNCTION("GOOGLEFINANCE(""NSE:""&amp;D86,""marketcap"")"),435923335372)</f>
        <v>435923335372</v>
      </c>
      <c r="K86" s="7"/>
      <c r="L86" s="8">
        <f ca="1">IFERROR(__xludf.DUMMYFUNCTION("GOOGLEFINANCE(""NSE:""&amp;D86,""price"")"),363.4)</f>
        <v>363.4</v>
      </c>
      <c r="M86" s="9">
        <f t="shared" ca="1" si="2"/>
        <v>363.4</v>
      </c>
      <c r="N86" s="10" t="e">
        <f t="shared" ca="1" si="3"/>
        <v>#DIV/0!</v>
      </c>
      <c r="O86" s="7">
        <f ca="1">IFERROR(__xludf.DUMMYFUNCTION("GOOGLEFINANCE(""NSE:""&amp;D86,""pe"")"),113.21)</f>
        <v>113.21</v>
      </c>
      <c r="P86" s="7">
        <f ca="1">IFERROR(__xludf.DUMMYFUNCTION("GOOGLEFINANCE(""NSE:""&amp;D86,""EPS"")"),3.21)</f>
        <v>3.21</v>
      </c>
      <c r="Q86" s="7">
        <v>13.5</v>
      </c>
      <c r="R86" s="7" t="str">
        <f ca="1">IFERROR(__xludf.DUMMYFUNCTION("IMPORTXML(E86,""/html/body/main/div[3]/div[3]/div[2]/ul/li[7]/span[2]/span"")"),"Loading...")</f>
        <v>Loading...</v>
      </c>
      <c r="S86" s="7" t="str">
        <f ca="1">IFERROR(__xludf.DUMMYFUNCTION("IMPORTXML(E86,""/html/body/main/div[3]/div[3]/div[2]/ul/li[8]/span[2]/span"")"),"Loading...")</f>
        <v>Loading...</v>
      </c>
      <c r="T86" s="4">
        <v>34.6</v>
      </c>
      <c r="U86" s="4">
        <v>22.7</v>
      </c>
      <c r="V86" s="4">
        <v>2.6</v>
      </c>
      <c r="W86" s="4">
        <v>5.7</v>
      </c>
      <c r="X86" s="4">
        <v>519.92999999999995</v>
      </c>
      <c r="Y86" s="7">
        <f t="shared" ca="1" si="4"/>
        <v>-156.52999999999997</v>
      </c>
    </row>
    <row r="87" spans="1:25" ht="15" x14ac:dyDescent="0.25">
      <c r="A87" s="4">
        <v>57</v>
      </c>
      <c r="C87" s="12" t="s">
        <v>423</v>
      </c>
      <c r="D87" s="12" t="s">
        <v>424</v>
      </c>
      <c r="E87" s="5" t="str">
        <f t="shared" si="0"/>
        <v>https://www.screener.in/company/PHOENIXLTD/consolidated/</v>
      </c>
      <c r="H87" s="6">
        <f t="shared" ca="1" si="1"/>
        <v>0</v>
      </c>
      <c r="I87" s="7" t="str">
        <f ca="1">IFERROR(__xludf.DUMMYFUNCTION("IMPORTXML(E87,""/html/body/main/div[3]/div[3]/div[2]/ul/li[5]/span[2]/span"")"),"Loading...")</f>
        <v>Loading...</v>
      </c>
      <c r="J87" s="7">
        <f ca="1">IFERROR(__xludf.DUMMYFUNCTION("GOOGLEFINANCE(""NSE:""&amp;D87,""marketcap"")"),542805700000)</f>
        <v>542805700000</v>
      </c>
      <c r="K87" s="7"/>
      <c r="L87" s="8">
        <f ca="1">IFERROR(__xludf.DUMMYFUNCTION("GOOGLEFINANCE(""NSE:""&amp;D87,""price"")"),1521)</f>
        <v>1521</v>
      </c>
      <c r="M87" s="9">
        <f t="shared" ca="1" si="2"/>
        <v>1521</v>
      </c>
      <c r="N87" s="10" t="e">
        <f t="shared" ca="1" si="3"/>
        <v>#DIV/0!</v>
      </c>
      <c r="O87" s="7">
        <f ca="1">IFERROR(__xludf.DUMMYFUNCTION("GOOGLEFINANCE(""NSE:""&amp;D87,""pe"")"),51.01)</f>
        <v>51.01</v>
      </c>
      <c r="P87" s="7">
        <f ca="1">IFERROR(__xludf.DUMMYFUNCTION("GOOGLEFINANCE(""NSE:""&amp;D87,""EPS"")"),29.82)</f>
        <v>29.82</v>
      </c>
      <c r="Q87" s="7">
        <v>13.5</v>
      </c>
      <c r="R87" s="7" t="str">
        <f ca="1">IFERROR(__xludf.DUMMYFUNCTION("IMPORTXML(E87,""/html/body/main/div[3]/div[3]/div[2]/ul/li[7]/span[2]/span"")"),"Loading...")</f>
        <v>Loading...</v>
      </c>
      <c r="S87" s="7" t="str">
        <f ca="1">IFERROR(__xludf.DUMMYFUNCTION("IMPORTXML(E87,""/html/body/main/div[3]/div[3]/div[2]/ul/li[8]/span[2]/span"")"),"Loading...")</f>
        <v>Loading...</v>
      </c>
      <c r="T87" s="4">
        <v>34.6</v>
      </c>
      <c r="U87" s="4">
        <v>22.7</v>
      </c>
      <c r="V87" s="4">
        <v>2.6</v>
      </c>
      <c r="W87" s="4">
        <v>5.7</v>
      </c>
      <c r="X87" s="4">
        <v>519.92999999999995</v>
      </c>
      <c r="Y87" s="7">
        <f t="shared" ca="1" si="4"/>
        <v>1001.07</v>
      </c>
    </row>
    <row r="88" spans="1:25" ht="15" x14ac:dyDescent="0.25">
      <c r="A88" s="4">
        <v>83</v>
      </c>
      <c r="C88" s="12" t="s">
        <v>425</v>
      </c>
      <c r="D88" s="12" t="s">
        <v>426</v>
      </c>
      <c r="E88" s="5" t="str">
        <f t="shared" si="0"/>
        <v>https://www.screener.in/company/PREMIERENE/consolidated/</v>
      </c>
      <c r="H88" s="6">
        <f t="shared" ca="1" si="1"/>
        <v>0</v>
      </c>
      <c r="I88" s="7" t="str">
        <f ca="1">IFERROR(__xludf.DUMMYFUNCTION("IMPORTXML(E88,""/html/body/main/div[3]/div[3]/div[2]/ul/li[5]/span[2]/span"")"),"Loading...")</f>
        <v>Loading...</v>
      </c>
      <c r="J88" s="7">
        <f ca="1">IFERROR(__xludf.DUMMYFUNCTION("GOOGLEFINANCE(""NSE:""&amp;D88,""marketcap"")"),447919476535)</f>
        <v>447919476535</v>
      </c>
      <c r="K88" s="7"/>
      <c r="L88" s="8">
        <f ca="1">IFERROR(__xludf.DUMMYFUNCTION("GOOGLEFINANCE(""NSE:""&amp;D88,""price"")"),1000.85)</f>
        <v>1000.85</v>
      </c>
      <c r="M88" s="9">
        <f t="shared" ca="1" si="2"/>
        <v>1000.85</v>
      </c>
      <c r="N88" s="10" t="e">
        <f t="shared" ca="1" si="3"/>
        <v>#DIV/0!</v>
      </c>
      <c r="O88" s="7">
        <f ca="1">IFERROR(__xludf.DUMMYFUNCTION("GOOGLEFINANCE(""NSE:""&amp;D88,""pe"")"),41.09)</f>
        <v>41.09</v>
      </c>
      <c r="P88" s="7">
        <f ca="1">IFERROR(__xludf.DUMMYFUNCTION("GOOGLEFINANCE(""NSE:""&amp;D88,""EPS"")"),24.36)</f>
        <v>24.36</v>
      </c>
      <c r="Q88" s="7">
        <v>13.5</v>
      </c>
      <c r="R88" s="7" t="str">
        <f ca="1">IFERROR(__xludf.DUMMYFUNCTION("IMPORTXML(E88,""/html/body/main/div[3]/div[3]/div[2]/ul/li[7]/span[2]/span"")"),"Loading...")</f>
        <v>Loading...</v>
      </c>
      <c r="S88" s="7" t="str">
        <f ca="1">IFERROR(__xludf.DUMMYFUNCTION("IMPORTXML(E88,""/html/body/main/div[3]/div[3]/div[2]/ul/li[8]/span[2]/span"")"),"Loading...")</f>
        <v>Loading...</v>
      </c>
      <c r="T88" s="4">
        <v>34.6</v>
      </c>
      <c r="U88" s="4">
        <v>22.7</v>
      </c>
      <c r="V88" s="4">
        <v>2.6</v>
      </c>
      <c r="W88" s="4">
        <v>5.7</v>
      </c>
      <c r="X88" s="4">
        <v>519.92999999999995</v>
      </c>
      <c r="Y88" s="7">
        <f t="shared" ca="1" si="4"/>
        <v>480.92000000000007</v>
      </c>
    </row>
    <row r="89" spans="1:25" ht="15" x14ac:dyDescent="0.25">
      <c r="A89" s="4">
        <v>55</v>
      </c>
      <c r="C89" s="12" t="s">
        <v>427</v>
      </c>
      <c r="D89" s="12" t="s">
        <v>428</v>
      </c>
      <c r="E89" s="5" t="str">
        <f t="shared" si="0"/>
        <v>https://www.screener.in/company/BERGEPAINT/consolidated/</v>
      </c>
      <c r="H89" s="6">
        <f t="shared" ca="1" si="1"/>
        <v>0</v>
      </c>
      <c r="I89" s="7" t="str">
        <f ca="1">IFERROR(__xludf.DUMMYFUNCTION("IMPORTXML(E89,""/html/body/main/div[3]/div[3]/div[2]/ul/li[5]/span[2]/span"")"),"Loading...")</f>
        <v>Loading...</v>
      </c>
      <c r="J89" s="7">
        <f ca="1">IFERROR(__xludf.DUMMYFUNCTION("GOOGLEFINANCE(""NSE:""&amp;D89,""marketcap"")"),628473920834)</f>
        <v>628473920834</v>
      </c>
      <c r="K89" s="7"/>
      <c r="L89" s="8">
        <f ca="1">IFERROR(__xludf.DUMMYFUNCTION("GOOGLEFINANCE(""NSE:""&amp;D89,""price"")"),543.95)</f>
        <v>543.95000000000005</v>
      </c>
      <c r="M89" s="9">
        <f t="shared" ca="1" si="2"/>
        <v>543.95000000000005</v>
      </c>
      <c r="N89" s="10" t="e">
        <f t="shared" ca="1" si="3"/>
        <v>#DIV/0!</v>
      </c>
      <c r="O89" s="7">
        <f ca="1">IFERROR(__xludf.DUMMYFUNCTION("GOOGLEFINANCE(""NSE:""&amp;D89,""pe"")"),55.61)</f>
        <v>55.61</v>
      </c>
      <c r="P89" s="7">
        <f ca="1">IFERROR(__xludf.DUMMYFUNCTION("GOOGLEFINANCE(""NSE:""&amp;D89,""EPS"")"),9.78)</f>
        <v>9.7799999999999994</v>
      </c>
      <c r="Q89" s="7">
        <v>13.5</v>
      </c>
      <c r="R89" s="7" t="str">
        <f ca="1">IFERROR(__xludf.DUMMYFUNCTION("IMPORTXML(E89,""/html/body/main/div[3]/div[3]/div[2]/ul/li[7]/span[2]/span"")"),"Loading...")</f>
        <v>Loading...</v>
      </c>
      <c r="S89" s="7" t="str">
        <f ca="1">IFERROR(__xludf.DUMMYFUNCTION("IMPORTXML(E89,""/html/body/main/div[3]/div[3]/div[2]/ul/li[8]/span[2]/span"")"),"Loading...")</f>
        <v>Loading...</v>
      </c>
      <c r="T89" s="4">
        <v>34.6</v>
      </c>
      <c r="U89" s="4">
        <v>22.7</v>
      </c>
      <c r="V89" s="4">
        <v>2.6</v>
      </c>
      <c r="W89" s="4">
        <v>5.7</v>
      </c>
      <c r="X89" s="4">
        <v>519.92999999999995</v>
      </c>
      <c r="Y89" s="7">
        <f t="shared" ca="1" si="4"/>
        <v>24.020000000000095</v>
      </c>
    </row>
    <row r="90" spans="1:25" ht="15" x14ac:dyDescent="0.25">
      <c r="A90" s="4">
        <v>118</v>
      </c>
      <c r="C90" s="12" t="s">
        <v>429</v>
      </c>
      <c r="D90" s="12" t="s">
        <v>430</v>
      </c>
      <c r="E90" s="5" t="str">
        <f t="shared" si="0"/>
        <v>https://www.screener.in/company/SONACOMS/consolidated/</v>
      </c>
      <c r="H90" s="6">
        <f t="shared" ca="1" si="1"/>
        <v>0</v>
      </c>
      <c r="I90" s="7" t="str">
        <f ca="1">IFERROR(__xludf.DUMMYFUNCTION("IMPORTXML(E90,""/html/body/main/div[3]/div[3]/div[2]/ul/li[5]/span[2]/span"")"),"Loading...")</f>
        <v>Loading...</v>
      </c>
      <c r="J90" s="7">
        <f ca="1">IFERROR(__xludf.DUMMYFUNCTION("GOOGLEFINANCE(""NSE:""&amp;D90,""marketcap"")"),274637071762)</f>
        <v>274637071762</v>
      </c>
      <c r="K90" s="7"/>
      <c r="L90" s="8">
        <f ca="1">IFERROR(__xludf.DUMMYFUNCTION("GOOGLEFINANCE(""NSE:""&amp;D90,""price"")"),441.2)</f>
        <v>441.2</v>
      </c>
      <c r="M90" s="9">
        <f t="shared" ca="1" si="2"/>
        <v>441.2</v>
      </c>
      <c r="N90" s="10" t="e">
        <f t="shared" ca="1" si="3"/>
        <v>#DIV/0!</v>
      </c>
      <c r="O90" s="7">
        <f ca="1">IFERROR(__xludf.DUMMYFUNCTION("GOOGLEFINANCE(""NSE:""&amp;D90,""pe"")"),46.42)</f>
        <v>46.42</v>
      </c>
      <c r="P90" s="7">
        <f ca="1">IFERROR(__xludf.DUMMYFUNCTION("GOOGLEFINANCE(""NSE:""&amp;D90,""EPS"")"),9.51)</f>
        <v>9.51</v>
      </c>
      <c r="Q90" s="7">
        <v>13.5</v>
      </c>
      <c r="R90" s="7" t="str">
        <f ca="1">IFERROR(__xludf.DUMMYFUNCTION("IMPORTXML(E90,""/html/body/main/div[3]/div[3]/div[2]/ul/li[7]/span[2]/span"")"),"Loading...")</f>
        <v>Loading...</v>
      </c>
      <c r="S90" s="7" t="str">
        <f ca="1">IFERROR(__xludf.DUMMYFUNCTION("IMPORTXML(E90,""/html/body/main/div[3]/div[3]/div[2]/ul/li[8]/span[2]/span"")"),"Loading...")</f>
        <v>Loading...</v>
      </c>
      <c r="T90" s="4">
        <v>34.6</v>
      </c>
      <c r="U90" s="4">
        <v>22.7</v>
      </c>
      <c r="V90" s="4">
        <v>2.6</v>
      </c>
      <c r="W90" s="4">
        <v>5.7</v>
      </c>
      <c r="X90" s="4">
        <v>519.92999999999995</v>
      </c>
      <c r="Y90" s="7">
        <f t="shared" ca="1" si="4"/>
        <v>-78.729999999999961</v>
      </c>
    </row>
    <row r="91" spans="1:25" ht="15" x14ac:dyDescent="0.25">
      <c r="A91" s="4">
        <v>50</v>
      </c>
      <c r="C91" s="12" t="s">
        <v>431</v>
      </c>
      <c r="D91" s="12" t="s">
        <v>432</v>
      </c>
      <c r="E91" s="5" t="str">
        <f t="shared" si="0"/>
        <v>https://www.screener.in/company/BHARTIHEXA/consolidated/</v>
      </c>
      <c r="H91" s="6">
        <f t="shared" ca="1" si="1"/>
        <v>0</v>
      </c>
      <c r="I91" s="7" t="str">
        <f ca="1">IFERROR(__xludf.DUMMYFUNCTION("IMPORTXML(E91,""/html/body/main/div[3]/div[3]/div[2]/ul/li[5]/span[2]/span"")"),"Loading...")</f>
        <v>Loading...</v>
      </c>
      <c r="J91" s="7">
        <f ca="1">IFERROR(__xludf.DUMMYFUNCTION("GOOGLEFINANCE(""NSE:""&amp;D91,""marketcap"")"),875219100000)</f>
        <v>875219100000</v>
      </c>
      <c r="K91" s="7"/>
      <c r="L91" s="8">
        <f ca="1">IFERROR(__xludf.DUMMYFUNCTION("GOOGLEFINANCE(""NSE:""&amp;D91,""price"")"),1748.7)</f>
        <v>1748.7</v>
      </c>
      <c r="M91" s="9">
        <f t="shared" ca="1" si="2"/>
        <v>1748.7</v>
      </c>
      <c r="N91" s="10" t="e">
        <f t="shared" ca="1" si="3"/>
        <v>#DIV/0!</v>
      </c>
      <c r="O91" s="7">
        <f ca="1">IFERROR(__xludf.DUMMYFUNCTION("GOOGLEFINANCE(""NSE:""&amp;D91,""pe"")"),63.63)</f>
        <v>63.63</v>
      </c>
      <c r="P91" s="7">
        <f ca="1">IFERROR(__xludf.DUMMYFUNCTION("GOOGLEFINANCE(""NSE:""&amp;D91,""EPS"")"),27.48)</f>
        <v>27.48</v>
      </c>
      <c r="Q91" s="7">
        <v>13.5</v>
      </c>
      <c r="R91" s="7" t="str">
        <f ca="1">IFERROR(__xludf.DUMMYFUNCTION("IMPORTXML(E91,""/html/body/main/div[3]/div[3]/div[2]/ul/li[7]/span[2]/span"")"),"Loading...")</f>
        <v>Loading...</v>
      </c>
      <c r="S91" s="7" t="str">
        <f ca="1">IFERROR(__xludf.DUMMYFUNCTION("IMPORTXML(E91,""/html/body/main/div[3]/div[3]/div[2]/ul/li[8]/span[2]/span"")"),"Loading...")</f>
        <v>Loading...</v>
      </c>
      <c r="T91" s="4">
        <v>34.6</v>
      </c>
      <c r="U91" s="4">
        <v>22.7</v>
      </c>
      <c r="V91" s="4">
        <v>2.6</v>
      </c>
      <c r="W91" s="4">
        <v>5.7</v>
      </c>
      <c r="X91" s="4">
        <v>519.92999999999995</v>
      </c>
      <c r="Y91" s="7">
        <f t="shared" ca="1" si="4"/>
        <v>1228.77</v>
      </c>
    </row>
    <row r="92" spans="1:25" ht="15" x14ac:dyDescent="0.25">
      <c r="A92" s="4">
        <v>123</v>
      </c>
      <c r="C92" s="12" t="s">
        <v>433</v>
      </c>
      <c r="D92" s="12" t="s">
        <v>434</v>
      </c>
      <c r="E92" s="5" t="str">
        <f t="shared" si="0"/>
        <v>https://www.screener.in/company/3MINDIA/consolidated/</v>
      </c>
      <c r="H92" s="6">
        <f t="shared" ca="1" si="1"/>
        <v>0</v>
      </c>
      <c r="I92" s="7" t="str">
        <f ca="1">IFERROR(__xludf.DUMMYFUNCTION("IMPORTXML(E92,""/html/body/main/div[3]/div[3]/div[2]/ul/li[5]/span[2]/span"")"),"Loading...")</f>
        <v>Loading...</v>
      </c>
      <c r="J92" s="7">
        <f ca="1">IFERROR(__xludf.DUMMYFUNCTION("GOOGLEFINANCE(""NSE:""&amp;D92,""marketcap"")"),342289200000)</f>
        <v>342289200000</v>
      </c>
      <c r="K92" s="7"/>
      <c r="L92" s="8">
        <f ca="1">IFERROR(__xludf.DUMMYFUNCTION("GOOGLEFINANCE(""NSE:""&amp;D92,""price"")"),30395)</f>
        <v>30395</v>
      </c>
      <c r="M92" s="9">
        <f t="shared" ca="1" si="2"/>
        <v>30395</v>
      </c>
      <c r="N92" s="10" t="e">
        <f t="shared" ca="1" si="3"/>
        <v>#DIV/0!</v>
      </c>
      <c r="O92" s="7">
        <f ca="1">IFERROR(__xludf.DUMMYFUNCTION("GOOGLEFINANCE(""NSE:""&amp;D92,""pe"")"),68.95)</f>
        <v>68.95</v>
      </c>
      <c r="P92" s="7">
        <f ca="1">IFERROR(__xludf.DUMMYFUNCTION("GOOGLEFINANCE(""NSE:""&amp;D92,""EPS"")"),440.84)</f>
        <v>440.84</v>
      </c>
      <c r="Q92" s="7">
        <v>13.5</v>
      </c>
      <c r="R92" s="7" t="str">
        <f ca="1">IFERROR(__xludf.DUMMYFUNCTION("IMPORTXML(E92,""/html/body/main/div[3]/div[3]/div[2]/ul/li[7]/span[2]/span"")"),"Loading...")</f>
        <v>Loading...</v>
      </c>
      <c r="S92" s="7" t="str">
        <f ca="1">IFERROR(__xludf.DUMMYFUNCTION("IMPORTXML(E92,""/html/body/main/div[3]/div[3]/div[2]/ul/li[8]/span[2]/span"")"),"Loading...")</f>
        <v>Loading...</v>
      </c>
      <c r="T92" s="4">
        <v>34.6</v>
      </c>
      <c r="U92" s="4">
        <v>22.7</v>
      </c>
      <c r="V92" s="4">
        <v>2.6</v>
      </c>
      <c r="W92" s="4">
        <v>5.7</v>
      </c>
      <c r="X92" s="4">
        <v>519.92999999999995</v>
      </c>
      <c r="Y92" s="7">
        <f t="shared" ca="1" si="4"/>
        <v>29875.07</v>
      </c>
    </row>
    <row r="93" spans="1:25" ht="15" x14ac:dyDescent="0.25">
      <c r="A93" s="4">
        <v>102</v>
      </c>
      <c r="C93" s="12" t="s">
        <v>435</v>
      </c>
      <c r="D93" s="12" t="s">
        <v>436</v>
      </c>
      <c r="E93" s="5" t="str">
        <f t="shared" si="0"/>
        <v>https://www.screener.in/company/GLAXO/consolidated/</v>
      </c>
      <c r="H93" s="6">
        <f t="shared" ca="1" si="1"/>
        <v>0</v>
      </c>
      <c r="I93" s="7" t="str">
        <f ca="1">IFERROR(__xludf.DUMMYFUNCTION("IMPORTXML(E93,""/html/body/main/div[3]/div[3]/div[2]/ul/li[5]/span[2]/span"")"),"Loading...")</f>
        <v>Loading...</v>
      </c>
      <c r="J93" s="7">
        <f ca="1">IFERROR(__xludf.DUMMYFUNCTION("GOOGLEFINANCE(""NSE:""&amp;D93,""marketcap"")"),469305500000)</f>
        <v>469305500000</v>
      </c>
      <c r="K93" s="7"/>
      <c r="L93" s="8">
        <f ca="1">IFERROR(__xludf.DUMMYFUNCTION("GOOGLEFINANCE(""NSE:""&amp;D93,""price"")"),2767.3)</f>
        <v>2767.3</v>
      </c>
      <c r="M93" s="9">
        <f t="shared" ca="1" si="2"/>
        <v>2767.3</v>
      </c>
      <c r="N93" s="10" t="e">
        <f t="shared" ca="1" si="3"/>
        <v>#DIV/0!</v>
      </c>
      <c r="O93" s="7">
        <f ca="1">IFERROR(__xludf.DUMMYFUNCTION("GOOGLEFINANCE(""NSE:""&amp;D93,""pe"")"),49.54)</f>
        <v>49.54</v>
      </c>
      <c r="P93" s="7">
        <f ca="1">IFERROR(__xludf.DUMMYFUNCTION("GOOGLEFINANCE(""NSE:""&amp;D93,""EPS"")"),55.85)</f>
        <v>55.85</v>
      </c>
      <c r="Q93" s="7">
        <v>13.5</v>
      </c>
      <c r="R93" s="7" t="str">
        <f ca="1">IFERROR(__xludf.DUMMYFUNCTION("IMPORTXML(E93,""/html/body/main/div[3]/div[3]/div[2]/ul/li[7]/span[2]/span"")"),"Loading...")</f>
        <v>Loading...</v>
      </c>
      <c r="S93" s="7" t="str">
        <f ca="1">IFERROR(__xludf.DUMMYFUNCTION("IMPORTXML(E93,""/html/body/main/div[3]/div[3]/div[2]/ul/li[8]/span[2]/span"")"),"Loading...")</f>
        <v>Loading...</v>
      </c>
      <c r="T93" s="4">
        <v>34.6</v>
      </c>
      <c r="U93" s="4">
        <v>22.7</v>
      </c>
      <c r="V93" s="4">
        <v>2.6</v>
      </c>
      <c r="W93" s="4">
        <v>5.7</v>
      </c>
      <c r="X93" s="4">
        <v>519.92999999999995</v>
      </c>
      <c r="Y93" s="7">
        <f t="shared" ca="1" si="4"/>
        <v>2247.3700000000003</v>
      </c>
    </row>
    <row r="94" spans="1:25" ht="15" x14ac:dyDescent="0.25">
      <c r="A94" s="4">
        <v>62</v>
      </c>
      <c r="C94" s="12" t="s">
        <v>437</v>
      </c>
      <c r="D94" s="12" t="s">
        <v>438</v>
      </c>
      <c r="E94" s="5" t="str">
        <f t="shared" si="0"/>
        <v>https://www.screener.in/company/SCHAEFFLER/consolidated/</v>
      </c>
      <c r="H94" s="6">
        <f t="shared" ca="1" si="1"/>
        <v>0</v>
      </c>
      <c r="I94" s="7" t="str">
        <f ca="1">IFERROR(__xludf.DUMMYFUNCTION("IMPORTXML(E94,""/html/body/main/div[3]/div[3]/div[2]/ul/li[5]/span[2]/span"")"),"Loading...")</f>
        <v>Loading...</v>
      </c>
      <c r="J94" s="7">
        <f ca="1">IFERROR(__xludf.DUMMYFUNCTION("GOOGLEFINANCE(""NSE:""&amp;D94,""marketcap"")"),590736774900)</f>
        <v>590736774900</v>
      </c>
      <c r="K94" s="7"/>
      <c r="L94" s="8">
        <f ca="1">IFERROR(__xludf.DUMMYFUNCTION("GOOGLEFINANCE(""NSE:""&amp;D94,""price"")"),3798.3)</f>
        <v>3798.3</v>
      </c>
      <c r="M94" s="9">
        <f t="shared" ca="1" si="2"/>
        <v>3798.3</v>
      </c>
      <c r="N94" s="10" t="e">
        <f t="shared" ca="1" si="3"/>
        <v>#DIV/0!</v>
      </c>
      <c r="O94" s="7">
        <f ca="1">IFERROR(__xludf.DUMMYFUNCTION("GOOGLEFINANCE(""NSE:""&amp;D94,""pe"")"),58.65)</f>
        <v>58.65</v>
      </c>
      <c r="P94" s="7">
        <f ca="1">IFERROR(__xludf.DUMMYFUNCTION("GOOGLEFINANCE(""NSE:""&amp;D94,""EPS"")"),64.77)</f>
        <v>64.77</v>
      </c>
      <c r="Q94" s="7">
        <v>13.5</v>
      </c>
      <c r="R94" s="7" t="str">
        <f ca="1">IFERROR(__xludf.DUMMYFUNCTION("IMPORTXML(E94,""/html/body/main/div[3]/div[3]/div[2]/ul/li[7]/span[2]/span"")"),"Loading...")</f>
        <v>Loading...</v>
      </c>
      <c r="S94" s="7" t="str">
        <f ca="1">IFERROR(__xludf.DUMMYFUNCTION("IMPORTXML(E94,""/html/body/main/div[3]/div[3]/div[2]/ul/li[8]/span[2]/span"")"),"Loading...")</f>
        <v>Loading...</v>
      </c>
      <c r="T94" s="4">
        <v>34.6</v>
      </c>
      <c r="U94" s="4">
        <v>22.7</v>
      </c>
      <c r="V94" s="4">
        <v>2.6</v>
      </c>
      <c r="W94" s="4">
        <v>5.7</v>
      </c>
      <c r="X94" s="4">
        <v>519.92999999999995</v>
      </c>
      <c r="Y94" s="7">
        <f t="shared" ca="1" si="4"/>
        <v>3278.3700000000003</v>
      </c>
    </row>
    <row r="95" spans="1:25" ht="15" x14ac:dyDescent="0.25">
      <c r="A95" s="4">
        <v>142</v>
      </c>
      <c r="C95" s="12" t="s">
        <v>439</v>
      </c>
      <c r="D95" s="12" t="s">
        <v>440</v>
      </c>
      <c r="E95" s="5" t="str">
        <f t="shared" si="0"/>
        <v>https://www.screener.in/company/SYNGENE/consolidated/</v>
      </c>
      <c r="H95" s="6">
        <f t="shared" ca="1" si="1"/>
        <v>0</v>
      </c>
      <c r="I95" s="7" t="str">
        <f ca="1">IFERROR(__xludf.DUMMYFUNCTION("IMPORTXML(E95,""/html/body/main/div[3]/div[3]/div[2]/ul/li[5]/span[2]/span"")"),"Loading...")</f>
        <v>Loading...</v>
      </c>
      <c r="J95" s="7">
        <f ca="1">IFERROR(__xludf.DUMMYFUNCTION("GOOGLEFINANCE(""NSE:""&amp;D95,""marketcap"")"),260444500000)</f>
        <v>260444500000</v>
      </c>
      <c r="K95" s="7"/>
      <c r="L95" s="8">
        <f ca="1">IFERROR(__xludf.DUMMYFUNCTION("GOOGLEFINANCE(""NSE:""&amp;D95,""price"")"),647.15)</f>
        <v>647.15</v>
      </c>
      <c r="M95" s="9">
        <f t="shared" ca="1" si="2"/>
        <v>647.15</v>
      </c>
      <c r="N95" s="10" t="e">
        <f t="shared" ca="1" si="3"/>
        <v>#DIV/0!</v>
      </c>
      <c r="O95" s="7">
        <f ca="1">IFERROR(__xludf.DUMMYFUNCTION("GOOGLEFINANCE(""NSE:""&amp;D95,""pe"")"),51.43)</f>
        <v>51.43</v>
      </c>
      <c r="P95" s="7">
        <f ca="1">IFERROR(__xludf.DUMMYFUNCTION("GOOGLEFINANCE(""NSE:""&amp;D95,""EPS"")"),12.58)</f>
        <v>12.58</v>
      </c>
      <c r="Q95" s="7">
        <v>13.5</v>
      </c>
      <c r="R95" s="7" t="str">
        <f ca="1">IFERROR(__xludf.DUMMYFUNCTION("IMPORTXML(E95,""/html/body/main/div[3]/div[3]/div[2]/ul/li[7]/span[2]/span"")"),"Loading...")</f>
        <v>Loading...</v>
      </c>
      <c r="S95" s="7" t="str">
        <f ca="1">IFERROR(__xludf.DUMMYFUNCTION("IMPORTXML(E95,""/html/body/main/div[3]/div[3]/div[2]/ul/li[8]/span[2]/span"")"),"Loading...")</f>
        <v>Loading...</v>
      </c>
      <c r="T95" s="4">
        <v>34.6</v>
      </c>
      <c r="U95" s="4">
        <v>22.7</v>
      </c>
      <c r="V95" s="4">
        <v>2.6</v>
      </c>
      <c r="W95" s="4">
        <v>5.7</v>
      </c>
      <c r="X95" s="4">
        <v>519.92999999999995</v>
      </c>
      <c r="Y95" s="7">
        <f t="shared" ca="1" si="4"/>
        <v>127.22000000000003</v>
      </c>
    </row>
    <row r="96" spans="1:25" ht="15" x14ac:dyDescent="0.25">
      <c r="A96" s="4">
        <v>54</v>
      </c>
      <c r="C96" s="12" t="s">
        <v>441</v>
      </c>
      <c r="D96" s="12" t="s">
        <v>442</v>
      </c>
      <c r="E96" s="5" t="str">
        <f t="shared" si="0"/>
        <v>https://www.screener.in/company/PATANJALI/consolidated/</v>
      </c>
      <c r="H96" s="6">
        <f t="shared" ca="1" si="1"/>
        <v>0</v>
      </c>
      <c r="I96" s="7" t="str">
        <f ca="1">IFERROR(__xludf.DUMMYFUNCTION("IMPORTXML(E96,""/html/body/main/div[3]/div[3]/div[2]/ul/li[5]/span[2]/span"")"),"Loading...")</f>
        <v>Loading...</v>
      </c>
      <c r="J96" s="7">
        <f ca="1">IFERROR(__xludf.DUMMYFUNCTION("GOOGLEFINANCE(""NSE:""&amp;D96,""marketcap"")"),648516229824)</f>
        <v>648516229824</v>
      </c>
      <c r="K96" s="7"/>
      <c r="L96" s="8">
        <f ca="1">IFERROR(__xludf.DUMMYFUNCTION("GOOGLEFINANCE(""NSE:""&amp;D96,""price"")"),1787)</f>
        <v>1787</v>
      </c>
      <c r="M96" s="9">
        <f t="shared" ca="1" si="2"/>
        <v>1787</v>
      </c>
      <c r="N96" s="10" t="e">
        <f t="shared" ca="1" si="3"/>
        <v>#DIV/0!</v>
      </c>
      <c r="O96" s="7">
        <f ca="1">IFERROR(__xludf.DUMMYFUNCTION("GOOGLEFINANCE(""NSE:""&amp;D96,""pe"")"),53.09)</f>
        <v>53.09</v>
      </c>
      <c r="P96" s="7">
        <f ca="1">IFERROR(__xludf.DUMMYFUNCTION("GOOGLEFINANCE(""NSE:""&amp;D96,""EPS"")"),33.66)</f>
        <v>33.659999999999997</v>
      </c>
      <c r="Q96" s="7">
        <v>13.5</v>
      </c>
      <c r="R96" s="7" t="str">
        <f ca="1">IFERROR(__xludf.DUMMYFUNCTION("IMPORTXML(E96,""/html/body/main/div[3]/div[3]/div[2]/ul/li[7]/span[2]/span"")"),"Loading...")</f>
        <v>Loading...</v>
      </c>
      <c r="S96" s="7" t="str">
        <f ca="1">IFERROR(__xludf.DUMMYFUNCTION("IMPORTXML(E96,""/html/body/main/div[3]/div[3]/div[2]/ul/li[8]/span[2]/span"")"),"Loading...")</f>
        <v>Loading...</v>
      </c>
      <c r="T96" s="4">
        <v>34.6</v>
      </c>
      <c r="U96" s="4">
        <v>22.7</v>
      </c>
      <c r="V96" s="4">
        <v>2.6</v>
      </c>
      <c r="W96" s="4">
        <v>5.7</v>
      </c>
      <c r="X96" s="4">
        <v>519.92999999999995</v>
      </c>
      <c r="Y96" s="7">
        <f t="shared" ca="1" si="4"/>
        <v>1267.0700000000002</v>
      </c>
    </row>
    <row r="97" spans="1:25" ht="15" x14ac:dyDescent="0.25">
      <c r="A97" s="4">
        <v>141</v>
      </c>
      <c r="C97" s="12" t="s">
        <v>443</v>
      </c>
      <c r="D97" s="12" t="s">
        <v>444</v>
      </c>
      <c r="E97" s="5" t="str">
        <f t="shared" si="0"/>
        <v>https://www.screener.in/company/DALBHARAT/consolidated/</v>
      </c>
      <c r="H97" s="6">
        <f t="shared" ca="1" si="1"/>
        <v>0</v>
      </c>
      <c r="I97" s="7" t="str">
        <f ca="1">IFERROR(__xludf.DUMMYFUNCTION("IMPORTXML(E97,""/html/body/main/div[3]/div[3]/div[2]/ul/li[5]/span[2]/span"")"),"Loading...")</f>
        <v>Loading...</v>
      </c>
      <c r="J97" s="7">
        <f ca="1">IFERROR(__xludf.DUMMYFUNCTION("GOOGLEFINANCE(""NSE:""&amp;D97,""marketcap"")"),452331036205)</f>
        <v>452331036205</v>
      </c>
      <c r="K97" s="7"/>
      <c r="L97" s="8">
        <f ca="1">IFERROR(__xludf.DUMMYFUNCTION("GOOGLEFINANCE(""NSE:""&amp;D97,""price"")"),2410)</f>
        <v>2410</v>
      </c>
      <c r="M97" s="9">
        <f t="shared" ca="1" si="2"/>
        <v>2410</v>
      </c>
      <c r="N97" s="10" t="e">
        <f t="shared" ca="1" si="3"/>
        <v>#DIV/0!</v>
      </c>
      <c r="O97" s="7">
        <f ca="1">IFERROR(__xludf.DUMMYFUNCTION("GOOGLEFINANCE(""NSE:""&amp;D97,""pe"")"),48.35)</f>
        <v>48.35</v>
      </c>
      <c r="P97" s="7">
        <f ca="1">IFERROR(__xludf.DUMMYFUNCTION("GOOGLEFINANCE(""NSE:""&amp;D97,""EPS"")"),49.85)</f>
        <v>49.85</v>
      </c>
      <c r="Q97" s="7">
        <v>13.5</v>
      </c>
      <c r="R97" s="7" t="str">
        <f ca="1">IFERROR(__xludf.DUMMYFUNCTION("IMPORTXML(E97,""/html/body/main/div[3]/div[3]/div[2]/ul/li[7]/span[2]/span"")"),"Loading...")</f>
        <v>Loading...</v>
      </c>
      <c r="S97" s="7" t="str">
        <f ca="1">IFERROR(__xludf.DUMMYFUNCTION("IMPORTXML(E97,""/html/body/main/div[3]/div[3]/div[2]/ul/li[8]/span[2]/span"")"),"Loading...")</f>
        <v>Loading...</v>
      </c>
      <c r="T97" s="4">
        <v>34.6</v>
      </c>
      <c r="U97" s="4">
        <v>22.7</v>
      </c>
      <c r="V97" s="4">
        <v>2.6</v>
      </c>
      <c r="W97" s="4">
        <v>5.7</v>
      </c>
      <c r="X97" s="4">
        <v>519.92999999999995</v>
      </c>
      <c r="Y97" s="7">
        <f t="shared" ca="1" si="4"/>
        <v>1890.0700000000002</v>
      </c>
    </row>
    <row r="98" spans="1:25" ht="15" x14ac:dyDescent="0.25">
      <c r="A98" s="4">
        <v>41</v>
      </c>
      <c r="C98" s="12" t="s">
        <v>445</v>
      </c>
      <c r="D98" s="12" t="s">
        <v>446</v>
      </c>
      <c r="E98" s="5" t="str">
        <f t="shared" si="0"/>
        <v>https://www.screener.in/company/BHARATFORG/consolidated/</v>
      </c>
      <c r="H98" s="6">
        <f t="shared" ca="1" si="1"/>
        <v>0</v>
      </c>
      <c r="I98" s="7" t="str">
        <f ca="1">IFERROR(__xludf.DUMMYFUNCTION("IMPORTXML(E98,""/html/body/main/div[3]/div[3]/div[2]/ul/li[5]/span[2]/span"")"),"Loading...")</f>
        <v>Loading...</v>
      </c>
      <c r="J98" s="7">
        <f ca="1">IFERROR(__xludf.DUMMYFUNCTION("GOOGLEFINANCE(""NSE:""&amp;D98,""marketcap"")"),545021004000)</f>
        <v>545021004000</v>
      </c>
      <c r="K98" s="7"/>
      <c r="L98" s="8">
        <f ca="1">IFERROR(__xludf.DUMMYFUNCTION("GOOGLEFINANCE(""NSE:""&amp;D98,""price"")"),1140)</f>
        <v>1140</v>
      </c>
      <c r="M98" s="9">
        <f t="shared" ca="1" si="2"/>
        <v>1140</v>
      </c>
      <c r="N98" s="10" t="e">
        <f t="shared" ca="1" si="3"/>
        <v>#DIV/0!</v>
      </c>
      <c r="O98" s="7">
        <f ca="1">IFERROR(__xludf.DUMMYFUNCTION("GOOGLEFINANCE(""NSE:""&amp;D98,""pe"")"),52.79)</f>
        <v>52.79</v>
      </c>
      <c r="P98" s="7">
        <f ca="1">IFERROR(__xludf.DUMMYFUNCTION("GOOGLEFINANCE(""NSE:""&amp;D98,""EPS"")"),21.6)</f>
        <v>21.6</v>
      </c>
      <c r="Q98" s="7">
        <v>13.5</v>
      </c>
      <c r="R98" s="7" t="str">
        <f ca="1">IFERROR(__xludf.DUMMYFUNCTION("IMPORTXML(E98,""/html/body/main/div[3]/div[3]/div[2]/ul/li[7]/span[2]/span"")"),"Loading...")</f>
        <v>Loading...</v>
      </c>
      <c r="S98" s="7" t="str">
        <f ca="1">IFERROR(__xludf.DUMMYFUNCTION("IMPORTXML(E98,""/html/body/main/div[3]/div[3]/div[2]/ul/li[8]/span[2]/span"")"),"Loading...")</f>
        <v>Loading...</v>
      </c>
      <c r="T98" s="4">
        <v>34.6</v>
      </c>
      <c r="U98" s="4">
        <v>22.7</v>
      </c>
      <c r="V98" s="4">
        <v>2.6</v>
      </c>
      <c r="W98" s="4">
        <v>5.7</v>
      </c>
      <c r="X98" s="4">
        <v>519.92999999999995</v>
      </c>
      <c r="Y98" s="7">
        <f t="shared" ca="1" si="4"/>
        <v>620.07000000000005</v>
      </c>
    </row>
    <row r="99" spans="1:25" ht="15" x14ac:dyDescent="0.25">
      <c r="A99" s="4">
        <v>1</v>
      </c>
      <c r="C99" s="12" t="s">
        <v>447</v>
      </c>
      <c r="D99" s="12" t="s">
        <v>448</v>
      </c>
      <c r="E99" s="5" t="str">
        <f t="shared" si="0"/>
        <v>https://www.screener.in/company/INDHOTEL/consolidated/</v>
      </c>
      <c r="H99" s="6">
        <f t="shared" ca="1" si="1"/>
        <v>0</v>
      </c>
      <c r="I99" s="7" t="str">
        <f ca="1">IFERROR(__xludf.DUMMYFUNCTION("IMPORTXML(E99,""/html/body/main/div[3]/div[3]/div[2]/ul/li[5]/span[2]/span"")"),"Loading...")</f>
        <v>Loading...</v>
      </c>
      <c r="J99" s="7">
        <f ca="1">IFERROR(__xludf.DUMMYFUNCTION("GOOGLEFINANCE(""NSE:""&amp;D99,""marketcap"")"),1102804000000)</f>
        <v>1102804000000</v>
      </c>
      <c r="K99" s="7"/>
      <c r="L99" s="8">
        <f ca="1">IFERROR(__xludf.DUMMYFUNCTION("GOOGLEFINANCE(""NSE:""&amp;D99,""price"")"),776.05)</f>
        <v>776.05</v>
      </c>
      <c r="M99" s="9">
        <f t="shared" ca="1" si="2"/>
        <v>776.05</v>
      </c>
      <c r="N99" s="10" t="e">
        <f t="shared" ca="1" si="3"/>
        <v>#DIV/0!</v>
      </c>
      <c r="O99" s="7">
        <f ca="1">IFERROR(__xludf.DUMMYFUNCTION("GOOGLEFINANCE(""NSE:""&amp;D99,""pe"")"),56.52)</f>
        <v>56.52</v>
      </c>
      <c r="P99" s="7">
        <f ca="1">IFERROR(__xludf.DUMMYFUNCTION("GOOGLEFINANCE(""NSE:""&amp;D99,""EPS"")"),13.73)</f>
        <v>13.73</v>
      </c>
      <c r="Q99" s="7">
        <v>13.5</v>
      </c>
      <c r="R99" s="7" t="str">
        <f ca="1">IFERROR(__xludf.DUMMYFUNCTION("IMPORTXML(E99,""/html/body/main/div[3]/div[3]/div[2]/ul/li[7]/span[2]/span"")"),"Loading...")</f>
        <v>Loading...</v>
      </c>
      <c r="S99" s="7" t="str">
        <f ca="1">IFERROR(__xludf.DUMMYFUNCTION("IMPORTXML(E99,""/html/body/main/div[3]/div[3]/div[2]/ul/li[8]/span[2]/span"")"),"Loading...")</f>
        <v>Loading...</v>
      </c>
      <c r="T99" s="4">
        <v>34.6</v>
      </c>
      <c r="U99" s="4">
        <v>22.7</v>
      </c>
      <c r="V99" s="4">
        <v>2.6</v>
      </c>
      <c r="W99" s="4">
        <v>5.7</v>
      </c>
      <c r="X99" s="4">
        <v>519.92999999999995</v>
      </c>
      <c r="Y99" s="7">
        <f t="shared" ca="1" si="4"/>
        <v>256.12</v>
      </c>
    </row>
    <row r="100" spans="1:25" ht="15" x14ac:dyDescent="0.25">
      <c r="A100" s="4">
        <v>109</v>
      </c>
      <c r="C100" s="12" t="s">
        <v>449</v>
      </c>
      <c r="D100" s="12" t="s">
        <v>450</v>
      </c>
      <c r="E100" s="5" t="str">
        <f t="shared" si="0"/>
        <v>https://www.screener.in/company/HONAUT/consolidated/</v>
      </c>
      <c r="H100" s="6">
        <f t="shared" ca="1" si="1"/>
        <v>0</v>
      </c>
      <c r="I100" s="7" t="str">
        <f ca="1">IFERROR(__xludf.DUMMYFUNCTION("IMPORTXML(E100,""/html/body/main/div[3]/div[3]/div[2]/ul/li[5]/span[2]/span"")"),"Loading...")</f>
        <v>Loading...</v>
      </c>
      <c r="J100" s="7">
        <f ca="1">IFERROR(__xludf.DUMMYFUNCTION("GOOGLEFINANCE(""NSE:""&amp;D100,""marketcap"")"),313829858885)</f>
        <v>313829858885</v>
      </c>
      <c r="K100" s="7"/>
      <c r="L100" s="8">
        <f ca="1">IFERROR(__xludf.DUMMYFUNCTION("GOOGLEFINANCE(""NSE:""&amp;D100,""price"")"),35495)</f>
        <v>35495</v>
      </c>
      <c r="M100" s="9">
        <f t="shared" ca="1" si="2"/>
        <v>35495</v>
      </c>
      <c r="N100" s="10" t="e">
        <f t="shared" ca="1" si="3"/>
        <v>#DIV/0!</v>
      </c>
      <c r="O100" s="7">
        <f ca="1">IFERROR(__xludf.DUMMYFUNCTION("GOOGLEFINANCE(""NSE:""&amp;D100,""pe"")"),61.32)</f>
        <v>61.32</v>
      </c>
      <c r="P100" s="7">
        <f ca="1">IFERROR(__xludf.DUMMYFUNCTION("GOOGLEFINANCE(""NSE:""&amp;D100,""EPS"")"),578.8)</f>
        <v>578.79999999999995</v>
      </c>
      <c r="Q100" s="7">
        <v>13.5</v>
      </c>
      <c r="R100" s="7" t="str">
        <f ca="1">IFERROR(__xludf.DUMMYFUNCTION("IMPORTXML(E100,""/html/body/main/div[3]/div[3]/div[2]/ul/li[7]/span[2]/span"")"),"Loading...")</f>
        <v>Loading...</v>
      </c>
      <c r="S100" s="7" t="str">
        <f ca="1">IFERROR(__xludf.DUMMYFUNCTION("IMPORTXML(E100,""/html/body/main/div[3]/div[3]/div[2]/ul/li[8]/span[2]/span"")"),"Loading...")</f>
        <v>Loading...</v>
      </c>
      <c r="T100" s="4">
        <v>34.6</v>
      </c>
      <c r="U100" s="4">
        <v>22.7</v>
      </c>
      <c r="V100" s="4">
        <v>2.6</v>
      </c>
      <c r="W100" s="4">
        <v>5.7</v>
      </c>
      <c r="X100" s="4">
        <v>519.92999999999995</v>
      </c>
      <c r="Y100" s="7">
        <f t="shared" ca="1" si="4"/>
        <v>34975.07</v>
      </c>
    </row>
    <row r="101" spans="1:25" ht="15" x14ac:dyDescent="0.25">
      <c r="A101" s="4">
        <v>77</v>
      </c>
      <c r="C101" s="12" t="s">
        <v>451</v>
      </c>
      <c r="D101" s="12" t="s">
        <v>452</v>
      </c>
      <c r="E101" s="5" t="str">
        <f t="shared" si="0"/>
        <v>https://www.screener.in/company/PGHH/consolidated/</v>
      </c>
      <c r="H101" s="6">
        <f t="shared" ca="1" si="1"/>
        <v>0</v>
      </c>
      <c r="I101" s="7" t="str">
        <f ca="1">IFERROR(__xludf.DUMMYFUNCTION("IMPORTXML(E101,""/html/body/main/div[3]/div[3]/div[2]/ul/li[5]/span[2]/span"")"),"Loading...")</f>
        <v>Loading...</v>
      </c>
      <c r="J101" s="7">
        <f ca="1">IFERROR(__xludf.DUMMYFUNCTION("GOOGLEFINANCE(""NSE:""&amp;D101,""marketcap"")"),437406074480)</f>
        <v>437406074480</v>
      </c>
      <c r="K101" s="7"/>
      <c r="L101" s="8">
        <f ca="1">IFERROR(__xludf.DUMMYFUNCTION("GOOGLEFINANCE(""NSE:""&amp;D101,""price"")"),13415)</f>
        <v>13415</v>
      </c>
      <c r="M101" s="9">
        <f t="shared" ca="1" si="2"/>
        <v>13415</v>
      </c>
      <c r="N101" s="10" t="e">
        <f t="shared" ca="1" si="3"/>
        <v>#DIV/0!</v>
      </c>
      <c r="O101" s="7">
        <f ca="1">IFERROR(__xludf.DUMMYFUNCTION("GOOGLEFINANCE(""NSE:""&amp;D101,""pe"")"),52.55)</f>
        <v>52.55</v>
      </c>
      <c r="P101" s="7">
        <f ca="1">IFERROR(__xludf.DUMMYFUNCTION("GOOGLEFINANCE(""NSE:""&amp;D101,""EPS"")"),255.28)</f>
        <v>255.28</v>
      </c>
      <c r="Q101" s="7">
        <v>13.5</v>
      </c>
      <c r="R101" s="7" t="str">
        <f ca="1">IFERROR(__xludf.DUMMYFUNCTION("IMPORTXML(E101,""/html/body/main/div[3]/div[3]/div[2]/ul/li[7]/span[2]/span"")"),"Loading...")</f>
        <v>Loading...</v>
      </c>
      <c r="S101" s="7" t="str">
        <f ca="1">IFERROR(__xludf.DUMMYFUNCTION("IMPORTXML(E101,""/html/body/main/div[3]/div[3]/div[2]/ul/li[8]/span[2]/span"")"),"Loading...")</f>
        <v>Loading...</v>
      </c>
      <c r="T101" s="4">
        <v>34.6</v>
      </c>
      <c r="U101" s="4">
        <v>22.7</v>
      </c>
      <c r="V101" s="4">
        <v>2.6</v>
      </c>
      <c r="W101" s="4">
        <v>5.7</v>
      </c>
      <c r="X101" s="4">
        <v>519.92999999999995</v>
      </c>
      <c r="Y101" s="7">
        <f t="shared" ca="1" si="4"/>
        <v>12895.07</v>
      </c>
    </row>
    <row r="102" spans="1:25" ht="15" x14ac:dyDescent="0.25">
      <c r="A102" s="4">
        <v>85</v>
      </c>
      <c r="C102" s="12" t="s">
        <v>453</v>
      </c>
      <c r="D102" s="12" t="s">
        <v>454</v>
      </c>
      <c r="E102" s="5" t="str">
        <f t="shared" si="0"/>
        <v>https://www.screener.in/company/BSE/consolidated/</v>
      </c>
      <c r="H102" s="6">
        <f t="shared" ca="1" si="1"/>
        <v>0</v>
      </c>
      <c r="I102" s="7" t="str">
        <f ca="1">IFERROR(__xludf.DUMMYFUNCTION("IMPORTXML(E102,""/html/body/main/div[3]/div[3]/div[2]/ul/li[5]/span[2]/span"")"),"Loading...")</f>
        <v>Loading...</v>
      </c>
      <c r="J102" s="7">
        <f ca="1">IFERROR(__xludf.DUMMYFUNCTION("GOOGLEFINANCE(""NSE:""&amp;D102,""marketcap"")"),942057000000)</f>
        <v>942057000000</v>
      </c>
      <c r="K102" s="7"/>
      <c r="L102" s="8">
        <f ca="1">IFERROR(__xludf.DUMMYFUNCTION("GOOGLEFINANCE(""NSE:""&amp;D102,""price"")"),2323)</f>
        <v>2323</v>
      </c>
      <c r="M102" s="9">
        <f t="shared" ca="1" si="2"/>
        <v>2323</v>
      </c>
      <c r="N102" s="10" t="e">
        <f t="shared" ca="1" si="3"/>
        <v>#DIV/0!</v>
      </c>
      <c r="O102" s="7">
        <f ca="1">IFERROR(__xludf.DUMMYFUNCTION("GOOGLEFINANCE(""NSE:""&amp;D102,""pe"")"),60.26)</f>
        <v>60.26</v>
      </c>
      <c r="P102" s="7">
        <f ca="1">IFERROR(__xludf.DUMMYFUNCTION("GOOGLEFINANCE(""NSE:""&amp;D102,""EPS"")"),38.55)</f>
        <v>38.549999999999997</v>
      </c>
      <c r="Q102" s="7">
        <v>13.5</v>
      </c>
      <c r="R102" s="7" t="str">
        <f ca="1">IFERROR(__xludf.DUMMYFUNCTION("IMPORTXML(E102,""/html/body/main/div[3]/div[3]/div[2]/ul/li[7]/span[2]/span"")"),"Loading...")</f>
        <v>Loading...</v>
      </c>
      <c r="S102" s="7" t="str">
        <f ca="1">IFERROR(__xludf.DUMMYFUNCTION("IMPORTXML(E102,""/html/body/main/div[3]/div[3]/div[2]/ul/li[8]/span[2]/span"")"),"Loading...")</f>
        <v>Loading...</v>
      </c>
      <c r="T102" s="4">
        <v>34.6</v>
      </c>
      <c r="U102" s="4">
        <v>22.7</v>
      </c>
      <c r="V102" s="4">
        <v>2.6</v>
      </c>
      <c r="W102" s="4">
        <v>5.7</v>
      </c>
      <c r="X102" s="4">
        <v>519.92999999999995</v>
      </c>
      <c r="Y102" s="7">
        <f t="shared" ca="1" si="4"/>
        <v>1803.0700000000002</v>
      </c>
    </row>
    <row r="103" spans="1:25" ht="15" x14ac:dyDescent="0.25">
      <c r="A103" s="4">
        <v>64</v>
      </c>
      <c r="C103" s="12" t="s">
        <v>455</v>
      </c>
      <c r="D103" s="12" t="s">
        <v>456</v>
      </c>
      <c r="E103" s="5" t="str">
        <f t="shared" si="0"/>
        <v>https://www.screener.in/company/THERMAX/consolidated/</v>
      </c>
      <c r="H103" s="6">
        <f t="shared" ca="1" si="1"/>
        <v>0</v>
      </c>
      <c r="I103" s="7" t="str">
        <f ca="1">IFERROR(__xludf.DUMMYFUNCTION("IMPORTXML(E103,""/html/body/main/div[3]/div[3]/div[2]/ul/li[5]/span[2]/span"")"),"Loading...")</f>
        <v>Loading...</v>
      </c>
      <c r="J103" s="7">
        <f ca="1">IFERROR(__xludf.DUMMYFUNCTION("GOOGLEFINANCE(""NSE:""&amp;D103,""marketcap"")"),370902600000)</f>
        <v>370902600000</v>
      </c>
      <c r="K103" s="7"/>
      <c r="L103" s="8">
        <f ca="1">IFERROR(__xludf.DUMMYFUNCTION("GOOGLEFINANCE(""NSE:""&amp;D103,""price"")"),3315.1)</f>
        <v>3315.1</v>
      </c>
      <c r="M103" s="9">
        <f t="shared" ca="1" si="2"/>
        <v>3315.1</v>
      </c>
      <c r="N103" s="10" t="e">
        <f t="shared" ca="1" si="3"/>
        <v>#DIV/0!</v>
      </c>
      <c r="O103" s="7">
        <f ca="1">IFERROR(__xludf.DUMMYFUNCTION("GOOGLEFINANCE(""NSE:""&amp;D103,""pe"")"),55.66)</f>
        <v>55.66</v>
      </c>
      <c r="P103" s="7">
        <f ca="1">IFERROR(__xludf.DUMMYFUNCTION("GOOGLEFINANCE(""NSE:""&amp;D103,""EPS"")"),59.56)</f>
        <v>59.56</v>
      </c>
      <c r="Q103" s="7">
        <v>13.5</v>
      </c>
      <c r="R103" s="7" t="str">
        <f ca="1">IFERROR(__xludf.DUMMYFUNCTION("IMPORTXML(E103,""/html/body/main/div[3]/div[3]/div[2]/ul/li[7]/span[2]/span"")"),"Loading...")</f>
        <v>Loading...</v>
      </c>
      <c r="S103" s="7" t="str">
        <f ca="1">IFERROR(__xludf.DUMMYFUNCTION("IMPORTXML(E103,""/html/body/main/div[3]/div[3]/div[2]/ul/li[8]/span[2]/span"")"),"Loading...")</f>
        <v>Loading...</v>
      </c>
      <c r="T103" s="4">
        <v>34.6</v>
      </c>
      <c r="U103" s="4">
        <v>22.7</v>
      </c>
      <c r="V103" s="4">
        <v>2.6</v>
      </c>
      <c r="W103" s="4">
        <v>5.7</v>
      </c>
      <c r="X103" s="4">
        <v>519.92999999999995</v>
      </c>
      <c r="Y103" s="7">
        <f t="shared" ca="1" si="4"/>
        <v>2795.17</v>
      </c>
    </row>
    <row r="104" spans="1:25" ht="15" x14ac:dyDescent="0.25">
      <c r="A104" s="4">
        <v>26</v>
      </c>
      <c r="C104" s="12" t="s">
        <v>457</v>
      </c>
      <c r="D104" s="12" t="s">
        <v>458</v>
      </c>
      <c r="E104" s="5" t="str">
        <f t="shared" si="0"/>
        <v>https://www.screener.in/company/PERSISTENT/consolidated/</v>
      </c>
      <c r="H104" s="6">
        <f t="shared" ca="1" si="1"/>
        <v>0</v>
      </c>
      <c r="I104" s="7" t="str">
        <f ca="1">IFERROR(__xludf.DUMMYFUNCTION("IMPORTXML(E104,""/html/body/main/div[3]/div[3]/div[2]/ul/li[5]/span[2]/span"")"),"Loading...")</f>
        <v>Loading...</v>
      </c>
      <c r="J104" s="7">
        <f ca="1">IFERROR(__xludf.DUMMYFUNCTION("GOOGLEFINANCE(""NSE:""&amp;D104,""marketcap"")"),795328843058)</f>
        <v>795328843058</v>
      </c>
      <c r="K104" s="7"/>
      <c r="L104" s="8">
        <f ca="1">IFERROR(__xludf.DUMMYFUNCTION("GOOGLEFINANCE(""NSE:""&amp;D104,""price"")"),5131)</f>
        <v>5131</v>
      </c>
      <c r="M104" s="9">
        <f t="shared" ca="1" si="2"/>
        <v>5131</v>
      </c>
      <c r="N104" s="10" t="e">
        <f t="shared" ca="1" si="3"/>
        <v>#DIV/0!</v>
      </c>
      <c r="O104" s="7">
        <f ca="1">IFERROR(__xludf.DUMMYFUNCTION("GOOGLEFINANCE(""NSE:""&amp;D104,""pe"")"),52.62)</f>
        <v>52.62</v>
      </c>
      <c r="P104" s="7">
        <f ca="1">IFERROR(__xludf.DUMMYFUNCTION("GOOGLEFINANCE(""NSE:""&amp;D104,""EPS"")"),97.52)</f>
        <v>97.52</v>
      </c>
      <c r="Q104" s="7">
        <v>13.5</v>
      </c>
      <c r="R104" s="7" t="str">
        <f ca="1">IFERROR(__xludf.DUMMYFUNCTION("IMPORTXML(E104,""/html/body/main/div[3]/div[3]/div[2]/ul/li[7]/span[2]/span"")"),"Loading...")</f>
        <v>Loading...</v>
      </c>
      <c r="S104" s="7" t="str">
        <f ca="1">IFERROR(__xludf.DUMMYFUNCTION("IMPORTXML(E104,""/html/body/main/div[3]/div[3]/div[2]/ul/li[8]/span[2]/span"")"),"Loading...")</f>
        <v>Loading...</v>
      </c>
      <c r="T104" s="4">
        <v>34.6</v>
      </c>
      <c r="U104" s="4">
        <v>22.7</v>
      </c>
      <c r="V104" s="4">
        <v>2.6</v>
      </c>
      <c r="W104" s="4">
        <v>5.7</v>
      </c>
      <c r="X104" s="4">
        <v>519.92999999999995</v>
      </c>
      <c r="Y104" s="7">
        <f t="shared" ca="1" si="4"/>
        <v>4611.07</v>
      </c>
    </row>
    <row r="105" spans="1:25" ht="15" x14ac:dyDescent="0.25">
      <c r="A105" s="4">
        <v>104</v>
      </c>
      <c r="C105" s="12" t="s">
        <v>459</v>
      </c>
      <c r="D105" s="12" t="s">
        <v>460</v>
      </c>
      <c r="E105" s="5" t="str">
        <f t="shared" si="0"/>
        <v>https://www.screener.in/company/FORTIS/consolidated/</v>
      </c>
      <c r="H105" s="6">
        <f t="shared" ca="1" si="1"/>
        <v>0</v>
      </c>
      <c r="I105" s="7" t="str">
        <f ca="1">IFERROR(__xludf.DUMMYFUNCTION("IMPORTXML(E105,""/html/body/main/div[3]/div[3]/div[2]/ul/li[5]/span[2]/span"")"),"Loading...")</f>
        <v>Loading...</v>
      </c>
      <c r="J105" s="7">
        <f ca="1">IFERROR(__xludf.DUMMYFUNCTION("GOOGLEFINANCE(""NSE:""&amp;D105,""marketcap"")"),714567936300)</f>
        <v>714567936300</v>
      </c>
      <c r="K105" s="7"/>
      <c r="L105" s="8">
        <f ca="1">IFERROR(__xludf.DUMMYFUNCTION("GOOGLEFINANCE(""NSE:""&amp;D105,""price"")"),946.5)</f>
        <v>946.5</v>
      </c>
      <c r="M105" s="9">
        <f t="shared" ca="1" si="2"/>
        <v>946.5</v>
      </c>
      <c r="N105" s="10" t="e">
        <f t="shared" ca="1" si="3"/>
        <v>#DIV/0!</v>
      </c>
      <c r="O105" s="7">
        <f ca="1">IFERROR(__xludf.DUMMYFUNCTION("GOOGLEFINANCE(""NSE:""&amp;D105,""pe"")"),82.27)</f>
        <v>82.27</v>
      </c>
      <c r="P105" s="7">
        <f ca="1">IFERROR(__xludf.DUMMYFUNCTION("GOOGLEFINANCE(""NSE:""&amp;D105,""EPS"")"),11.51)</f>
        <v>11.51</v>
      </c>
      <c r="Q105" s="7">
        <v>13.5</v>
      </c>
      <c r="R105" s="7" t="str">
        <f ca="1">IFERROR(__xludf.DUMMYFUNCTION("IMPORTXML(E105,""/html/body/main/div[3]/div[3]/div[2]/ul/li[7]/span[2]/span"")"),"Loading...")</f>
        <v>Loading...</v>
      </c>
      <c r="S105" s="7" t="str">
        <f ca="1">IFERROR(__xludf.DUMMYFUNCTION("IMPORTXML(E105,""/html/body/main/div[3]/div[3]/div[2]/ul/li[8]/span[2]/span"")"),"Loading...")</f>
        <v>Loading...</v>
      </c>
      <c r="T105" s="4">
        <v>34.6</v>
      </c>
      <c r="U105" s="4">
        <v>22.7</v>
      </c>
      <c r="V105" s="4">
        <v>2.6</v>
      </c>
      <c r="W105" s="4">
        <v>5.7</v>
      </c>
      <c r="X105" s="4">
        <v>519.92999999999995</v>
      </c>
      <c r="Y105" s="7">
        <f t="shared" ca="1" si="4"/>
        <v>426.57000000000005</v>
      </c>
    </row>
    <row r="106" spans="1:25" ht="15" x14ac:dyDescent="0.25">
      <c r="A106" s="4">
        <v>116</v>
      </c>
      <c r="C106" s="12" t="s">
        <v>461</v>
      </c>
      <c r="D106" s="12" t="s">
        <v>462</v>
      </c>
      <c r="E106" s="5" t="str">
        <f t="shared" si="0"/>
        <v>https://www.screener.in/company/APLAPOLLO/consolidated/</v>
      </c>
      <c r="H106" s="6">
        <f t="shared" ca="1" si="1"/>
        <v>0</v>
      </c>
      <c r="I106" s="7" t="str">
        <f ca="1">IFERROR(__xludf.DUMMYFUNCTION("IMPORTXML(E106,""/html/body/main/div[3]/div[3]/div[2]/ul/li[5]/span[2]/span"")"),"Loading...")</f>
        <v>Loading...</v>
      </c>
      <c r="J106" s="7">
        <f ca="1">IFERROR(__xludf.DUMMYFUNCTION("GOOGLEFINANCE(""NSE:""&amp;D106,""marketcap"")"),462180700000)</f>
        <v>462180700000</v>
      </c>
      <c r="K106" s="7"/>
      <c r="L106" s="8">
        <f ca="1">IFERROR(__xludf.DUMMYFUNCTION("GOOGLEFINANCE(""NSE:""&amp;D106,""price"")"),1668)</f>
        <v>1668</v>
      </c>
      <c r="M106" s="9">
        <f t="shared" ca="1" si="2"/>
        <v>1668</v>
      </c>
      <c r="N106" s="10" t="e">
        <f t="shared" ca="1" si="3"/>
        <v>#DIV/0!</v>
      </c>
      <c r="O106" s="7">
        <f ca="1">IFERROR(__xludf.DUMMYFUNCTION("GOOGLEFINANCE(""NSE:""&amp;D106,""pe"")"),57.8)</f>
        <v>57.8</v>
      </c>
      <c r="P106" s="7">
        <f ca="1">IFERROR(__xludf.DUMMYFUNCTION("GOOGLEFINANCE(""NSE:""&amp;D106,""EPS"")"),28.86)</f>
        <v>28.86</v>
      </c>
      <c r="Q106" s="7">
        <v>13.5</v>
      </c>
      <c r="R106" s="7" t="str">
        <f ca="1">IFERROR(__xludf.DUMMYFUNCTION("IMPORTXML(E106,""/html/body/main/div[3]/div[3]/div[2]/ul/li[7]/span[2]/span"")"),"Loading...")</f>
        <v>Loading...</v>
      </c>
      <c r="S106" s="7" t="str">
        <f ca="1">IFERROR(__xludf.DUMMYFUNCTION("IMPORTXML(E106,""/html/body/main/div[3]/div[3]/div[2]/ul/li[8]/span[2]/span"")"),"Loading...")</f>
        <v>Loading...</v>
      </c>
      <c r="T106" s="4">
        <v>34.6</v>
      </c>
      <c r="U106" s="4">
        <v>22.7</v>
      </c>
      <c r="V106" s="4">
        <v>2.6</v>
      </c>
      <c r="W106" s="4">
        <v>5.7</v>
      </c>
      <c r="X106" s="4">
        <v>519.92999999999995</v>
      </c>
      <c r="Y106" s="7">
        <f t="shared" ca="1" si="4"/>
        <v>1148.0700000000002</v>
      </c>
    </row>
    <row r="107" spans="1:25" ht="15" x14ac:dyDescent="0.25">
      <c r="A107" s="4">
        <v>34</v>
      </c>
      <c r="C107" s="12" t="s">
        <v>463</v>
      </c>
      <c r="D107" s="12" t="s">
        <v>464</v>
      </c>
      <c r="E107" s="5" t="str">
        <f t="shared" si="0"/>
        <v>https://www.screener.in/company/TIINDIA/consolidated/</v>
      </c>
      <c r="H107" s="6">
        <f t="shared" ca="1" si="1"/>
        <v>0</v>
      </c>
      <c r="I107" s="7" t="str">
        <f ca="1">IFERROR(__xludf.DUMMYFUNCTION("IMPORTXML(E107,""/html/body/main/div[3]/div[3]/div[2]/ul/li[5]/span[2]/span"")"),"Loading...")</f>
        <v>Loading...</v>
      </c>
      <c r="J107" s="7">
        <f ca="1">IFERROR(__xludf.DUMMYFUNCTION("GOOGLEFINANCE(""NSE:""&amp;D107,""marketcap"")"),578674800000)</f>
        <v>578674800000</v>
      </c>
      <c r="K107" s="7"/>
      <c r="L107" s="8">
        <f ca="1">IFERROR(__xludf.DUMMYFUNCTION("GOOGLEFINANCE(""NSE:""&amp;D107,""price"")"),2987.7)</f>
        <v>2987.7</v>
      </c>
      <c r="M107" s="9">
        <f t="shared" ca="1" si="2"/>
        <v>2987.7</v>
      </c>
      <c r="N107" s="10" t="e">
        <f t="shared" ca="1" si="3"/>
        <v>#DIV/0!</v>
      </c>
      <c r="O107" s="7">
        <f ca="1">IFERROR(__xludf.DUMMYFUNCTION("GOOGLEFINANCE(""NSE:""&amp;D107,""pe"")"),89.56)</f>
        <v>89.56</v>
      </c>
      <c r="P107" s="7">
        <f ca="1">IFERROR(__xludf.DUMMYFUNCTION("GOOGLEFINANCE(""NSE:""&amp;D107,""EPS"")"),33.36)</f>
        <v>33.36</v>
      </c>
      <c r="Q107" s="7">
        <v>13.5</v>
      </c>
      <c r="R107" s="7" t="str">
        <f ca="1">IFERROR(__xludf.DUMMYFUNCTION("IMPORTXML(E107,""/html/body/main/div[3]/div[3]/div[2]/ul/li[7]/span[2]/span"")"),"Loading...")</f>
        <v>Loading...</v>
      </c>
      <c r="S107" s="7" t="str">
        <f ca="1">IFERROR(__xludf.DUMMYFUNCTION("IMPORTXML(E107,""/html/body/main/div[3]/div[3]/div[2]/ul/li[8]/span[2]/span"")"),"Loading...")</f>
        <v>Loading...</v>
      </c>
      <c r="T107" s="4">
        <v>34.6</v>
      </c>
      <c r="U107" s="4">
        <v>22.7</v>
      </c>
      <c r="V107" s="4">
        <v>2.6</v>
      </c>
      <c r="W107" s="4">
        <v>5.7</v>
      </c>
      <c r="X107" s="4">
        <v>519.92999999999995</v>
      </c>
      <c r="Y107" s="7">
        <f t="shared" ca="1" si="4"/>
        <v>2467.77</v>
      </c>
    </row>
    <row r="108" spans="1:25" ht="15" x14ac:dyDescent="0.25">
      <c r="A108" s="4">
        <v>92</v>
      </c>
      <c r="C108" s="12" t="s">
        <v>465</v>
      </c>
      <c r="D108" s="12" t="s">
        <v>466</v>
      </c>
      <c r="E108" s="5" t="str">
        <f t="shared" si="0"/>
        <v>https://www.screener.in/company/COFORGE/consolidated/</v>
      </c>
      <c r="H108" s="6">
        <f t="shared" ca="1" si="1"/>
        <v>0</v>
      </c>
      <c r="I108" s="7">
        <f ca="1">IFERROR(__xludf.DUMMYFUNCTION("IMPORTXML(E108,""/html/body/main/div[3]/div[3]/div[2]/ul/li[5]/span[2]/span"")"),191)</f>
        <v>191</v>
      </c>
      <c r="J108" s="7">
        <f ca="1">IFERROR(__xludf.DUMMYFUNCTION("GOOGLEFINANCE(""NSE:""&amp;D108,""marketcap"")"),102843729625)</f>
        <v>102843729625</v>
      </c>
      <c r="K108" s="7"/>
      <c r="L108" s="8">
        <f ca="1">IFERROR(__xludf.DUMMYFUNCTION("GOOGLEFINANCE(""NSE:""&amp;D108,""price"")"),1661)</f>
        <v>1661</v>
      </c>
      <c r="M108" s="9">
        <f t="shared" ca="1" si="2"/>
        <v>1661</v>
      </c>
      <c r="N108" s="10" t="e">
        <f t="shared" ca="1" si="3"/>
        <v>#DIV/0!</v>
      </c>
      <c r="O108" s="7">
        <f ca="1">IFERROR(__xludf.DUMMYFUNCTION("GOOGLEFINANCE(""NSE:""&amp;D108,""pe"")"),56.26)</f>
        <v>56.26</v>
      </c>
      <c r="P108" s="7">
        <f ca="1">IFERROR(__xludf.DUMMYFUNCTION("GOOGLEFINANCE(""NSE:""&amp;D108,""EPS"")"),29.53)</f>
        <v>29.53</v>
      </c>
      <c r="Q108" s="7">
        <v>13.5</v>
      </c>
      <c r="R108" s="7" t="str">
        <f ca="1">IFERROR(__xludf.DUMMYFUNCTION("IMPORTXML(E108,""/html/body/main/div[3]/div[3]/div[2]/ul/li[7]/span[2]/span"")"),"Loading...")</f>
        <v>Loading...</v>
      </c>
      <c r="S108" s="7" t="str">
        <f ca="1">IFERROR(__xludf.DUMMYFUNCTION("IMPORTXML(E108,""/html/body/main/div[3]/div[3]/div[2]/ul/li[8]/span[2]/span"")"),"Loading...")</f>
        <v>Loading...</v>
      </c>
      <c r="T108" s="4">
        <v>34.6</v>
      </c>
      <c r="U108" s="4">
        <v>22.7</v>
      </c>
      <c r="V108" s="4">
        <v>2.6</v>
      </c>
      <c r="W108" s="4">
        <v>5.7</v>
      </c>
      <c r="X108" s="4">
        <v>519.92999999999995</v>
      </c>
      <c r="Y108" s="7">
        <f t="shared" ca="1" si="4"/>
        <v>1141.0700000000002</v>
      </c>
    </row>
    <row r="109" spans="1:25" ht="15" x14ac:dyDescent="0.25">
      <c r="A109" s="4">
        <v>66</v>
      </c>
      <c r="C109" s="12" t="s">
        <v>467</v>
      </c>
      <c r="D109" s="12" t="s">
        <v>468</v>
      </c>
      <c r="E109" s="5" t="str">
        <f t="shared" si="0"/>
        <v>https://www.screener.in/company/VOLTAS/consolidated/</v>
      </c>
      <c r="H109" s="6">
        <f t="shared" ca="1" si="1"/>
        <v>0</v>
      </c>
      <c r="I109" s="7" t="str">
        <f ca="1">IFERROR(__xludf.DUMMYFUNCTION("IMPORTXML(E109,""/html/body/main/div[3]/div[3]/div[2]/ul/li[5]/span[2]/span"")"),"Loading...")</f>
        <v>Loading...</v>
      </c>
      <c r="J109" s="7">
        <f ca="1">IFERROR(__xludf.DUMMYFUNCTION("GOOGLEFINANCE(""NSE:""&amp;D109,""marketcap"")"),474091700000)</f>
        <v>474091700000</v>
      </c>
      <c r="K109" s="7"/>
      <c r="L109" s="8">
        <f ca="1">IFERROR(__xludf.DUMMYFUNCTION("GOOGLEFINANCE(""NSE:""&amp;D109,""price"")"),1431.4)</f>
        <v>1431.4</v>
      </c>
      <c r="M109" s="9">
        <f t="shared" ca="1" si="2"/>
        <v>1431.4</v>
      </c>
      <c r="N109" s="10" t="e">
        <f t="shared" ca="1" si="3"/>
        <v>#DIV/0!</v>
      </c>
      <c r="O109" s="7">
        <f ca="1">IFERROR(__xludf.DUMMYFUNCTION("GOOGLEFINANCE(""NSE:""&amp;D109,""pe"")"),73.11)</f>
        <v>73.11</v>
      </c>
      <c r="P109" s="7">
        <f ca="1">IFERROR(__xludf.DUMMYFUNCTION("GOOGLEFINANCE(""NSE:""&amp;D109,""EPS"")"),19.58)</f>
        <v>19.579999999999998</v>
      </c>
      <c r="Q109" s="7">
        <v>13.5</v>
      </c>
      <c r="R109" s="7" t="str">
        <f ca="1">IFERROR(__xludf.DUMMYFUNCTION("IMPORTXML(E109,""/html/body/main/div[3]/div[3]/div[2]/ul/li[7]/span[2]/span"")"),"Loading...")</f>
        <v>Loading...</v>
      </c>
      <c r="S109" s="7" t="str">
        <f ca="1">IFERROR(__xludf.DUMMYFUNCTION("IMPORTXML(E109,""/html/body/main/div[3]/div[3]/div[2]/ul/li[8]/span[2]/span"")"),"Loading...")</f>
        <v>Loading...</v>
      </c>
      <c r="T109" s="4">
        <v>34.6</v>
      </c>
      <c r="U109" s="4">
        <v>22.7</v>
      </c>
      <c r="V109" s="4">
        <v>2.6</v>
      </c>
      <c r="W109" s="4">
        <v>5.7</v>
      </c>
      <c r="X109" s="4">
        <v>519.92999999999995</v>
      </c>
      <c r="Y109" s="7">
        <f t="shared" ca="1" si="4"/>
        <v>911.47000000000014</v>
      </c>
    </row>
    <row r="110" spans="1:25" ht="15" x14ac:dyDescent="0.25">
      <c r="A110" s="4">
        <v>12</v>
      </c>
      <c r="C110" s="12" t="s">
        <v>469</v>
      </c>
      <c r="D110" s="12" t="s">
        <v>470</v>
      </c>
      <c r="E110" s="5" t="str">
        <f t="shared" si="0"/>
        <v>https://www.screener.in/company/SUZLON/consolidated/</v>
      </c>
      <c r="H110" s="6">
        <f t="shared" ca="1" si="1"/>
        <v>0</v>
      </c>
      <c r="I110" s="7" t="str">
        <f ca="1">IFERROR(__xludf.DUMMYFUNCTION("IMPORTXML(E110,""/html/body/main/div[3]/div[3]/div[2]/ul/li[5]/span[2]/span"")"),"Loading...")</f>
        <v>Loading...</v>
      </c>
      <c r="J110" s="7">
        <f ca="1">IFERROR(__xludf.DUMMYFUNCTION("GOOGLEFINANCE(""NSE:""&amp;D110,""marketcap"")"),790542379608)</f>
        <v>790542379608</v>
      </c>
      <c r="K110" s="7"/>
      <c r="L110" s="8">
        <f ca="1">IFERROR(__xludf.DUMMYFUNCTION("GOOGLEFINANCE(""NSE:""&amp;D110,""price"")"),57.93)</f>
        <v>57.93</v>
      </c>
      <c r="M110" s="9">
        <f t="shared" ca="1" si="2"/>
        <v>57.93</v>
      </c>
      <c r="N110" s="10" t="e">
        <f t="shared" ca="1" si="3"/>
        <v>#DIV/0!</v>
      </c>
      <c r="O110" s="7">
        <f ca="1">IFERROR(__xludf.DUMMYFUNCTION("GOOGLEFINANCE(""NSE:""&amp;D110,""pe"")"),37.85)</f>
        <v>37.85</v>
      </c>
      <c r="P110" s="7">
        <f ca="1">IFERROR(__xludf.DUMMYFUNCTION("GOOGLEFINANCE(""NSE:""&amp;D110,""EPS"")"),1.53)</f>
        <v>1.53</v>
      </c>
      <c r="Q110" s="7">
        <v>13.5</v>
      </c>
      <c r="R110" s="7" t="str">
        <f ca="1">IFERROR(__xludf.DUMMYFUNCTION("IMPORTXML(E110,""/html/body/main/div[3]/div[3]/div[2]/ul/li[7]/span[2]/span"")"),"Loading...")</f>
        <v>Loading...</v>
      </c>
      <c r="S110" s="7" t="str">
        <f ca="1">IFERROR(__xludf.DUMMYFUNCTION("IMPORTXML(E110,""/html/body/main/div[3]/div[3]/div[2]/ul/li[8]/span[2]/span"")"),"Loading...")</f>
        <v>Loading...</v>
      </c>
      <c r="T110" s="4">
        <v>34.6</v>
      </c>
      <c r="U110" s="4">
        <v>22.7</v>
      </c>
      <c r="V110" s="4">
        <v>2.6</v>
      </c>
      <c r="W110" s="4">
        <v>5.7</v>
      </c>
      <c r="X110" s="4">
        <v>519.92999999999995</v>
      </c>
      <c r="Y110" s="7">
        <f t="shared" ca="1" si="4"/>
        <v>-461.99999999999994</v>
      </c>
    </row>
    <row r="111" spans="1:25" ht="15" x14ac:dyDescent="0.25">
      <c r="A111" s="4">
        <v>91</v>
      </c>
      <c r="C111" s="12" t="s">
        <v>471</v>
      </c>
      <c r="D111" s="12" t="s">
        <v>472</v>
      </c>
      <c r="E111" s="5" t="str">
        <f t="shared" si="0"/>
        <v>https://www.screener.in/company/PAGEIND/consolidated/</v>
      </c>
      <c r="H111" s="6">
        <f t="shared" ca="1" si="1"/>
        <v>0</v>
      </c>
      <c r="I111" s="7" t="str">
        <f ca="1">IFERROR(__xludf.DUMMYFUNCTION("IMPORTXML(E111,""/html/body/main/div[3]/div[3]/div[2]/ul/li[5]/span[2]/span"")"),"Loading...")</f>
        <v>Loading...</v>
      </c>
      <c r="J111" s="7">
        <f ca="1">IFERROR(__xludf.DUMMYFUNCTION("GOOGLEFINANCE(""NSE:""&amp;D111,""marketcap"")"),493949300000)</f>
        <v>493949300000</v>
      </c>
      <c r="K111" s="7"/>
      <c r="L111" s="8">
        <f ca="1">IFERROR(__xludf.DUMMYFUNCTION("GOOGLEFINANCE(""NSE:""&amp;D111,""price"")"),44270)</f>
        <v>44270</v>
      </c>
      <c r="M111" s="9">
        <f t="shared" ca="1" si="2"/>
        <v>44270</v>
      </c>
      <c r="N111" s="10" t="e">
        <f t="shared" ca="1" si="3"/>
        <v>#DIV/0!</v>
      </c>
      <c r="O111" s="7">
        <f ca="1">IFERROR(__xludf.DUMMYFUNCTION("GOOGLEFINANCE(""NSE:""&amp;D111,""pe"")"),64.57)</f>
        <v>64.569999999999993</v>
      </c>
      <c r="P111" s="7">
        <f ca="1">IFERROR(__xludf.DUMMYFUNCTION("GOOGLEFINANCE(""NSE:""&amp;D111,""EPS"")"),685.6)</f>
        <v>685.6</v>
      </c>
      <c r="Q111" s="7">
        <v>13.5</v>
      </c>
      <c r="R111" s="7" t="str">
        <f ca="1">IFERROR(__xludf.DUMMYFUNCTION("IMPORTXML(E111,""/html/body/main/div[3]/div[3]/div[2]/ul/li[7]/span[2]/span"")"),"Loading...")</f>
        <v>Loading...</v>
      </c>
      <c r="S111" s="7" t="str">
        <f ca="1">IFERROR(__xludf.DUMMYFUNCTION("IMPORTXML(E111,""/html/body/main/div[3]/div[3]/div[2]/ul/li[8]/span[2]/span"")"),"Loading...")</f>
        <v>Loading...</v>
      </c>
      <c r="T111" s="4">
        <v>34.6</v>
      </c>
      <c r="U111" s="4">
        <v>22.7</v>
      </c>
      <c r="V111" s="4">
        <v>2.6</v>
      </c>
      <c r="W111" s="4">
        <v>5.7</v>
      </c>
      <c r="X111" s="4">
        <v>519.92999999999995</v>
      </c>
      <c r="Y111" s="7">
        <f t="shared" ca="1" si="4"/>
        <v>43750.07</v>
      </c>
    </row>
    <row r="112" spans="1:25" ht="15" x14ac:dyDescent="0.25">
      <c r="A112" s="4">
        <v>48</v>
      </c>
      <c r="C112" s="12" t="s">
        <v>473</v>
      </c>
      <c r="D112" s="12" t="s">
        <v>474</v>
      </c>
      <c r="E112" s="5" t="str">
        <f t="shared" si="0"/>
        <v>https://www.screener.in/company/KALYANKJIL/consolidated/</v>
      </c>
      <c r="H112" s="6">
        <f t="shared" ca="1" si="1"/>
        <v>0</v>
      </c>
      <c r="I112" s="7" t="str">
        <f ca="1">IFERROR(__xludf.DUMMYFUNCTION("IMPORTXML(E112,""/html/body/main/div[3]/div[3]/div[2]/ul/li[5]/span[2]/span"")"),"Loading...")</f>
        <v>Loading...</v>
      </c>
      <c r="J112" s="7">
        <f ca="1">IFERROR(__xludf.DUMMYFUNCTION("GOOGLEFINANCE(""NSE:""&amp;D112,""marketcap"")"),518138176500)</f>
        <v>518138176500</v>
      </c>
      <c r="K112" s="7"/>
      <c r="L112" s="8">
        <f ca="1">IFERROR(__xludf.DUMMYFUNCTION("GOOGLEFINANCE(""NSE:""&amp;D112,""price"")"),502.45)</f>
        <v>502.45</v>
      </c>
      <c r="M112" s="9">
        <f t="shared" ca="1" si="2"/>
        <v>502.45</v>
      </c>
      <c r="N112" s="10" t="e">
        <f t="shared" ca="1" si="3"/>
        <v>#DIV/0!</v>
      </c>
      <c r="O112" s="7">
        <f ca="1">IFERROR(__xludf.DUMMYFUNCTION("GOOGLEFINANCE(""NSE:""&amp;D112,""pe"")"),64.67)</f>
        <v>64.67</v>
      </c>
      <c r="P112" s="7">
        <f ca="1">IFERROR(__xludf.DUMMYFUNCTION("GOOGLEFINANCE(""NSE:""&amp;D112,""EPS"")"),7.77)</f>
        <v>7.77</v>
      </c>
      <c r="Q112" s="7">
        <v>13.5</v>
      </c>
      <c r="R112" s="7" t="str">
        <f ca="1">IFERROR(__xludf.DUMMYFUNCTION("IMPORTXML(E112,""/html/body/main/div[3]/div[3]/div[2]/ul/li[7]/span[2]/span"")"),"Loading...")</f>
        <v>Loading...</v>
      </c>
      <c r="S112" s="7" t="str">
        <f ca="1">IFERROR(__xludf.DUMMYFUNCTION("IMPORTXML(E112,""/html/body/main/div[3]/div[3]/div[2]/ul/li[8]/span[2]/span"")"),"Loading...")</f>
        <v>Loading...</v>
      </c>
      <c r="T112" s="4">
        <v>34.6</v>
      </c>
      <c r="U112" s="4">
        <v>22.7</v>
      </c>
      <c r="V112" s="4">
        <v>2.6</v>
      </c>
      <c r="W112" s="4">
        <v>5.7</v>
      </c>
      <c r="X112" s="4">
        <v>519.92999999999995</v>
      </c>
      <c r="Y112" s="7">
        <f t="shared" ca="1" si="4"/>
        <v>-17.479999999999961</v>
      </c>
    </row>
    <row r="113" spans="1:25" ht="15" x14ac:dyDescent="0.25">
      <c r="A113" s="4">
        <v>78</v>
      </c>
      <c r="C113" s="12" t="s">
        <v>475</v>
      </c>
      <c r="D113" s="12" t="s">
        <v>476</v>
      </c>
      <c r="E113" s="5" t="str">
        <f t="shared" si="0"/>
        <v>https://www.screener.in/company/ASTRAL/consolidated/</v>
      </c>
      <c r="H113" s="6">
        <f t="shared" ca="1" si="1"/>
        <v>0</v>
      </c>
      <c r="I113" s="7" t="str">
        <f ca="1">IFERROR(__xludf.DUMMYFUNCTION("IMPORTXML(E113,""/html/body/main/div[3]/div[3]/div[2]/ul/li[5]/span[2]/span"")"),"Loading...")</f>
        <v>Loading...</v>
      </c>
      <c r="J113" s="7">
        <f ca="1">IFERROR(__xludf.DUMMYFUNCTION("GOOGLEFINANCE(""NSE:""&amp;D113,""marketcap"")"),390512673485)</f>
        <v>390512673485</v>
      </c>
      <c r="K113" s="7"/>
      <c r="L113" s="8">
        <f ca="1">IFERROR(__xludf.DUMMYFUNCTION("GOOGLEFINANCE(""NSE:""&amp;D113,""price"")"),1457.7)</f>
        <v>1457.7</v>
      </c>
      <c r="M113" s="9">
        <f t="shared" ca="1" si="2"/>
        <v>1457.7</v>
      </c>
      <c r="N113" s="10" t="e">
        <f t="shared" ca="1" si="3"/>
        <v>#DIV/0!</v>
      </c>
      <c r="O113" s="7">
        <f ca="1">IFERROR(__xludf.DUMMYFUNCTION("GOOGLEFINANCE(""NSE:""&amp;D113,""pe"")"),80.76)</f>
        <v>80.760000000000005</v>
      </c>
      <c r="P113" s="7">
        <f ca="1">IFERROR(__xludf.DUMMYFUNCTION("GOOGLEFINANCE(""NSE:""&amp;D113,""EPS"")"),18.05)</f>
        <v>18.05</v>
      </c>
      <c r="Q113" s="7">
        <v>13.5</v>
      </c>
      <c r="R113" s="7" t="str">
        <f ca="1">IFERROR(__xludf.DUMMYFUNCTION("IMPORTXML(E113,""/html/body/main/div[3]/div[3]/div[2]/ul/li[7]/span[2]/span"")"),"Loading...")</f>
        <v>Loading...</v>
      </c>
      <c r="S113" s="7" t="str">
        <f ca="1">IFERROR(__xludf.DUMMYFUNCTION("IMPORTXML(E113,""/html/body/main/div[3]/div[3]/div[2]/ul/li[8]/span[2]/span"")"),"Loading...")</f>
        <v>Loading...</v>
      </c>
      <c r="T113" s="4">
        <v>34.6</v>
      </c>
      <c r="U113" s="4">
        <v>22.7</v>
      </c>
      <c r="V113" s="4">
        <v>2.6</v>
      </c>
      <c r="W113" s="4">
        <v>5.7</v>
      </c>
      <c r="X113" s="4">
        <v>519.92999999999995</v>
      </c>
      <c r="Y113" s="7">
        <f t="shared" ca="1" si="4"/>
        <v>937.7700000000001</v>
      </c>
    </row>
    <row r="114" spans="1:25" ht="15" x14ac:dyDescent="0.25">
      <c r="A114" s="4">
        <v>2</v>
      </c>
      <c r="C114" s="12" t="s">
        <v>477</v>
      </c>
      <c r="D114" s="12" t="s">
        <v>478</v>
      </c>
      <c r="E114" s="5" t="str">
        <f t="shared" si="0"/>
        <v>https://www.screener.in/company/APOLLOHOSP/consolidated/</v>
      </c>
      <c r="H114" s="6">
        <f t="shared" ca="1" si="1"/>
        <v>0</v>
      </c>
      <c r="I114" s="7" t="str">
        <f ca="1">IFERROR(__xludf.DUMMYFUNCTION("IMPORTXML(E114,""/html/body/main/div[3]/div[3]/div[2]/ul/li[5]/span[2]/span"")"),"Loading...")</f>
        <v>Loading...</v>
      </c>
      <c r="J114" s="7">
        <f ca="1">IFERROR(__xludf.DUMMYFUNCTION("GOOGLEFINANCE(""NSE:""&amp;D114,""marketcap"")"),1122837136092)</f>
        <v>1122837136092</v>
      </c>
      <c r="K114" s="7"/>
      <c r="L114" s="8">
        <f ca="1">IFERROR(__xludf.DUMMYFUNCTION("GOOGLEFINANCE(""NSE:""&amp;D114,""price"")"),7830)</f>
        <v>7830</v>
      </c>
      <c r="M114" s="9">
        <f t="shared" ca="1" si="2"/>
        <v>7830</v>
      </c>
      <c r="N114" s="10" t="e">
        <f t="shared" ca="1" si="3"/>
        <v>#DIV/0!</v>
      </c>
      <c r="O114" s="7">
        <f ca="1">IFERROR(__xludf.DUMMYFUNCTION("GOOGLEFINANCE(""NSE:""&amp;D114,""pe"")"),71.55)</f>
        <v>71.55</v>
      </c>
      <c r="P114" s="7">
        <f ca="1">IFERROR(__xludf.DUMMYFUNCTION("GOOGLEFINANCE(""NSE:""&amp;D114,""EPS"")"),109.43)</f>
        <v>109.43</v>
      </c>
      <c r="Q114" s="7">
        <v>13.5</v>
      </c>
      <c r="R114" s="7" t="str">
        <f ca="1">IFERROR(__xludf.DUMMYFUNCTION("IMPORTXML(E114,""/html/body/main/div[3]/div[3]/div[2]/ul/li[7]/span[2]/span"")"),"Loading...")</f>
        <v>Loading...</v>
      </c>
      <c r="S114" s="7" t="str">
        <f ca="1">IFERROR(__xludf.DUMMYFUNCTION("IMPORTXML(E114,""/html/body/main/div[3]/div[3]/div[2]/ul/li[8]/span[2]/span"")"),"Loading...")</f>
        <v>Loading...</v>
      </c>
      <c r="T114" s="4">
        <v>34.6</v>
      </c>
      <c r="U114" s="4">
        <v>22.7</v>
      </c>
      <c r="V114" s="4">
        <v>2.6</v>
      </c>
      <c r="W114" s="4">
        <v>5.7</v>
      </c>
      <c r="X114" s="4">
        <v>519.92999999999995</v>
      </c>
      <c r="Y114" s="7">
        <f t="shared" ca="1" si="4"/>
        <v>7310.07</v>
      </c>
    </row>
    <row r="115" spans="1:25" ht="15" x14ac:dyDescent="0.25">
      <c r="A115" s="4">
        <v>61</v>
      </c>
      <c r="C115" s="12" t="s">
        <v>479</v>
      </c>
      <c r="D115" s="12" t="s">
        <v>480</v>
      </c>
      <c r="E115" s="5" t="str">
        <f t="shared" si="0"/>
        <v>https://www.screener.in/company/UNOMINDA/consolidated/</v>
      </c>
      <c r="H115" s="6">
        <f t="shared" ca="1" si="1"/>
        <v>0</v>
      </c>
      <c r="I115" s="7" t="str">
        <f ca="1">IFERROR(__xludf.DUMMYFUNCTION("IMPORTXML(E115,""/html/body/main/div[3]/div[3]/div[2]/ul/li[5]/span[2]/span"")"),"Loading...")</f>
        <v>Loading...</v>
      </c>
      <c r="J115" s="7">
        <f ca="1">IFERROR(__xludf.DUMMYFUNCTION("GOOGLEFINANCE(""NSE:""&amp;D115,""marketcap"")"),748914300000)</f>
        <v>748914300000</v>
      </c>
      <c r="K115" s="7"/>
      <c r="L115" s="8">
        <f ca="1">IFERROR(__xludf.DUMMYFUNCTION("GOOGLEFINANCE(""NSE:""&amp;D115,""price"")"),1295.6)</f>
        <v>1295.5999999999999</v>
      </c>
      <c r="M115" s="9">
        <f t="shared" ca="1" si="2"/>
        <v>1295.5999999999999</v>
      </c>
      <c r="N115" s="10" t="e">
        <f t="shared" ca="1" si="3"/>
        <v>#DIV/0!</v>
      </c>
      <c r="O115" s="7">
        <f ca="1">IFERROR(__xludf.DUMMYFUNCTION("GOOGLEFINANCE(""NSE:""&amp;D115,""pe"")"),72.3)</f>
        <v>72.3</v>
      </c>
      <c r="P115" s="7">
        <f ca="1">IFERROR(__xludf.DUMMYFUNCTION("GOOGLEFINANCE(""NSE:""&amp;D115,""EPS"")"),7.29)</f>
        <v>7.29</v>
      </c>
      <c r="Q115" s="7">
        <v>13.5</v>
      </c>
      <c r="R115" s="7" t="str">
        <f ca="1">IFERROR(__xludf.DUMMYFUNCTION("IMPORTXML(E115,""/html/body/main/div[3]/div[3]/div[2]/ul/li[7]/span[2]/span"")"),"Loading...")</f>
        <v>Loading...</v>
      </c>
      <c r="S115" s="7" t="str">
        <f ca="1">IFERROR(__xludf.DUMMYFUNCTION("IMPORTXML(E115,""/html/body/main/div[3]/div[3]/div[2]/ul/li[8]/span[2]/span"")"),"Loading...")</f>
        <v>Loading...</v>
      </c>
      <c r="T115" s="4">
        <v>34.6</v>
      </c>
      <c r="U115" s="4">
        <v>22.7</v>
      </c>
      <c r="V115" s="4">
        <v>2.6</v>
      </c>
      <c r="W115" s="4">
        <v>5.7</v>
      </c>
      <c r="X115" s="4">
        <v>519.92999999999995</v>
      </c>
      <c r="Y115" s="7">
        <f t="shared" ca="1" si="4"/>
        <v>775.67</v>
      </c>
    </row>
    <row r="116" spans="1:25" ht="15" x14ac:dyDescent="0.25">
      <c r="A116" s="4">
        <v>97</v>
      </c>
      <c r="C116" s="12" t="s">
        <v>481</v>
      </c>
      <c r="D116" s="12" t="s">
        <v>482</v>
      </c>
      <c r="E116" s="5" t="str">
        <f t="shared" si="0"/>
        <v>https://www.screener.in/company/BDL/consolidated/</v>
      </c>
      <c r="H116" s="6">
        <f t="shared" ca="1" si="1"/>
        <v>0</v>
      </c>
      <c r="I116" s="7" t="str">
        <f ca="1">IFERROR(__xludf.DUMMYFUNCTION("IMPORTXML(E116,""/html/body/main/div[3]/div[3]/div[2]/ul/li[5]/span[2]/span"")"),"Loading...")</f>
        <v>Loading...</v>
      </c>
      <c r="J116" s="7">
        <f ca="1">IFERROR(__xludf.DUMMYFUNCTION("GOOGLEFINANCE(""NSE:""&amp;D116,""marketcap"")"),529281314892)</f>
        <v>529281314892</v>
      </c>
      <c r="K116" s="7"/>
      <c r="L116" s="8">
        <f ca="1">IFERROR(__xludf.DUMMYFUNCTION("GOOGLEFINANCE(""NSE:""&amp;D116,""price"")"),1450.4)</f>
        <v>1450.4</v>
      </c>
      <c r="M116" s="9">
        <f t="shared" ca="1" si="2"/>
        <v>1450.4</v>
      </c>
      <c r="N116" s="10" t="e">
        <f t="shared" ca="1" si="3"/>
        <v>#DIV/0!</v>
      </c>
      <c r="O116" s="7">
        <f ca="1">IFERROR(__xludf.DUMMYFUNCTION("GOOGLEFINANCE(""NSE:""&amp;D116,""pe"")"),94.79)</f>
        <v>94.79</v>
      </c>
      <c r="P116" s="7">
        <f ca="1">IFERROR(__xludf.DUMMYFUNCTION("GOOGLEFINANCE(""NSE:""&amp;D116,""EPS"")"),15.3)</f>
        <v>15.3</v>
      </c>
      <c r="Q116" s="7">
        <v>13.5</v>
      </c>
      <c r="R116" s="7" t="str">
        <f ca="1">IFERROR(__xludf.DUMMYFUNCTION("IMPORTXML(E116,""/html/body/main/div[3]/div[3]/div[2]/ul/li[7]/span[2]/span"")"),"Loading...")</f>
        <v>Loading...</v>
      </c>
      <c r="S116" s="7" t="str">
        <f ca="1">IFERROR(__xludf.DUMMYFUNCTION("IMPORTXML(E116,""/html/body/main/div[3]/div[3]/div[2]/ul/li[8]/span[2]/span"")"),"Loading...")</f>
        <v>Loading...</v>
      </c>
      <c r="T116" s="4">
        <v>34.6</v>
      </c>
      <c r="U116" s="4">
        <v>22.7</v>
      </c>
      <c r="V116" s="4">
        <v>2.6</v>
      </c>
      <c r="W116" s="4">
        <v>5.7</v>
      </c>
      <c r="X116" s="4">
        <v>519.92999999999995</v>
      </c>
      <c r="Y116" s="7">
        <f t="shared" ca="1" si="4"/>
        <v>930.47000000000014</v>
      </c>
    </row>
    <row r="117" spans="1:25" ht="15" x14ac:dyDescent="0.25">
      <c r="A117" s="4">
        <v>144</v>
      </c>
      <c r="C117" s="12" t="s">
        <v>483</v>
      </c>
      <c r="D117" s="12" t="s">
        <v>484</v>
      </c>
      <c r="E117" s="5" t="str">
        <f t="shared" si="0"/>
        <v>https://www.screener.in/company/METROBRAND/consolidated/</v>
      </c>
      <c r="H117" s="6">
        <f t="shared" ca="1" si="1"/>
        <v>0</v>
      </c>
      <c r="I117" s="7" t="str">
        <f ca="1">IFERROR(__xludf.DUMMYFUNCTION("IMPORTXML(E117,""/html/body/main/div[3]/div[3]/div[2]/ul/li[5]/span[2]/span"")"),"Loading...")</f>
        <v>Loading...</v>
      </c>
      <c r="J117" s="7">
        <f ca="1">IFERROR(__xludf.DUMMYFUNCTION("GOOGLEFINANCE(""NSE:""&amp;D117,""marketcap"")"),334922481000)</f>
        <v>334922481000</v>
      </c>
      <c r="K117" s="7"/>
      <c r="L117" s="8">
        <f ca="1">IFERROR(__xludf.DUMMYFUNCTION("GOOGLEFINANCE(""NSE:""&amp;D117,""price"")"),1230)</f>
        <v>1230</v>
      </c>
      <c r="M117" s="9">
        <f t="shared" ca="1" si="2"/>
        <v>1230</v>
      </c>
      <c r="N117" s="10" t="e">
        <f t="shared" ca="1" si="3"/>
        <v>#DIV/0!</v>
      </c>
      <c r="O117" s="7">
        <f ca="1">IFERROR(__xludf.DUMMYFUNCTION("GOOGLEFINANCE(""NSE:""&amp;D117,""pe"")"),93.93)</f>
        <v>93.93</v>
      </c>
      <c r="P117" s="7">
        <f ca="1">IFERROR(__xludf.DUMMYFUNCTION("GOOGLEFINANCE(""NSE:""&amp;D117,""EPS"")"),13.1)</f>
        <v>13.1</v>
      </c>
      <c r="Q117" s="7">
        <v>13.5</v>
      </c>
      <c r="R117" s="7" t="str">
        <f ca="1">IFERROR(__xludf.DUMMYFUNCTION("IMPORTXML(E117,""/html/body/main/div[3]/div[3]/div[2]/ul/li[7]/span[2]/span"")"),"Loading...")</f>
        <v>Loading...</v>
      </c>
      <c r="S117" s="7" t="str">
        <f ca="1">IFERROR(__xludf.DUMMYFUNCTION("IMPORTXML(E117,""/html/body/main/div[3]/div[3]/div[2]/ul/li[8]/span[2]/span"")"),"Loading...")</f>
        <v>Loading...</v>
      </c>
      <c r="T117" s="4">
        <v>34.6</v>
      </c>
      <c r="U117" s="4">
        <v>22.7</v>
      </c>
      <c r="V117" s="4">
        <v>2.6</v>
      </c>
      <c r="W117" s="4">
        <v>5.7</v>
      </c>
      <c r="X117" s="4">
        <v>519.92999999999995</v>
      </c>
      <c r="Y117" s="7">
        <f t="shared" ca="1" si="4"/>
        <v>710.07</v>
      </c>
    </row>
    <row r="118" spans="1:25" ht="15" x14ac:dyDescent="0.25">
      <c r="A118" s="4">
        <v>39</v>
      </c>
      <c r="C118" s="12" t="s">
        <v>485</v>
      </c>
      <c r="D118" s="12" t="s">
        <v>486</v>
      </c>
      <c r="E118" s="5" t="str">
        <f t="shared" si="0"/>
        <v>https://www.screener.in/company/SRF/consolidated/</v>
      </c>
      <c r="H118" s="6">
        <f t="shared" ca="1" si="1"/>
        <v>0</v>
      </c>
      <c r="I118" s="7" t="str">
        <f ca="1">IFERROR(__xludf.DUMMYFUNCTION("IMPORTXML(E118,""/html/body/main/div[3]/div[3]/div[2]/ul/li[5]/span[2]/span"")"),"Loading...")</f>
        <v>Loading...</v>
      </c>
      <c r="J118" s="7">
        <f ca="1">IFERROR(__xludf.DUMMYFUNCTION("GOOGLEFINANCE(""NSE:""&amp;D118,""marketcap"")"),845344300000)</f>
        <v>845344300000</v>
      </c>
      <c r="K118" s="7"/>
      <c r="L118" s="8">
        <f ca="1">IFERROR(__xludf.DUMMYFUNCTION("GOOGLEFINANCE(""NSE:""&amp;D118,""price"")"),2853.5)</f>
        <v>2853.5</v>
      </c>
      <c r="M118" s="9">
        <f t="shared" ca="1" si="2"/>
        <v>2853.5</v>
      </c>
      <c r="N118" s="10" t="e">
        <f t="shared" ca="1" si="3"/>
        <v>#DIV/0!</v>
      </c>
      <c r="O118" s="7">
        <f ca="1">IFERROR(__xludf.DUMMYFUNCTION("GOOGLEFINANCE(""NSE:""&amp;D118,""pe"")"),59.12)</f>
        <v>59.12</v>
      </c>
      <c r="P118" s="7">
        <f ca="1">IFERROR(__xludf.DUMMYFUNCTION("GOOGLEFINANCE(""NSE:""&amp;D118,""EPS"")"),48.26)</f>
        <v>48.26</v>
      </c>
      <c r="Q118" s="7">
        <v>13.5</v>
      </c>
      <c r="R118" s="7" t="str">
        <f ca="1">IFERROR(__xludf.DUMMYFUNCTION("IMPORTXML(E118,""/html/body/main/div[3]/div[3]/div[2]/ul/li[7]/span[2]/span"")"),"Loading...")</f>
        <v>Loading...</v>
      </c>
      <c r="S118" s="7" t="str">
        <f ca="1">IFERROR(__xludf.DUMMYFUNCTION("IMPORTXML(E118,""/html/body/main/div[3]/div[3]/div[2]/ul/li[8]/span[2]/span"")"),"Loading...")</f>
        <v>Loading...</v>
      </c>
      <c r="T118" s="4">
        <v>34.6</v>
      </c>
      <c r="U118" s="4">
        <v>22.7</v>
      </c>
      <c r="V118" s="4">
        <v>2.6</v>
      </c>
      <c r="W118" s="4">
        <v>5.7</v>
      </c>
      <c r="X118" s="4">
        <v>519.92999999999995</v>
      </c>
      <c r="Y118" s="7">
        <f t="shared" ca="1" si="4"/>
        <v>2333.5700000000002</v>
      </c>
    </row>
    <row r="119" spans="1:25" ht="15" x14ac:dyDescent="0.25">
      <c r="A119" s="4">
        <v>8</v>
      </c>
      <c r="C119" s="12" t="s">
        <v>487</v>
      </c>
      <c r="D119" s="12" t="s">
        <v>488</v>
      </c>
      <c r="E119" s="5" t="str">
        <f t="shared" si="0"/>
        <v>https://www.screener.in/company/SOLARINDS/consolidated/</v>
      </c>
      <c r="H119" s="6">
        <f t="shared" ca="1" si="1"/>
        <v>0</v>
      </c>
      <c r="I119" s="7" t="str">
        <f ca="1">IFERROR(__xludf.DUMMYFUNCTION("IMPORTXML(E119,""/html/body/main/div[3]/div[3]/div[2]/ul/li[5]/span[2]/span"")"),"Loading...")</f>
        <v>Loading...</v>
      </c>
      <c r="J119" s="7">
        <f ca="1">IFERROR(__xludf.DUMMYFUNCTION("GOOGLEFINANCE(""NSE:""&amp;D119,""marketcap"")"),1261974516220)</f>
        <v>1261974516220</v>
      </c>
      <c r="K119" s="7"/>
      <c r="L119" s="8">
        <f ca="1">IFERROR(__xludf.DUMMYFUNCTION("GOOGLEFINANCE(""NSE:""&amp;D119,""price"")"),13946)</f>
        <v>13946</v>
      </c>
      <c r="M119" s="9">
        <f t="shared" ca="1" si="2"/>
        <v>13946</v>
      </c>
      <c r="N119" s="10" t="e">
        <f t="shared" ca="1" si="3"/>
        <v>#DIV/0!</v>
      </c>
      <c r="O119" s="7">
        <f ca="1">IFERROR(__xludf.DUMMYFUNCTION("GOOGLEFINANCE(""NSE:""&amp;D119,""pe"")"),100.03)</f>
        <v>100.03</v>
      </c>
      <c r="P119" s="7">
        <f ca="1">IFERROR(__xludf.DUMMYFUNCTION("GOOGLEFINANCE(""NSE:""&amp;D119,""EPS"")"),139.42)</f>
        <v>139.41999999999999</v>
      </c>
      <c r="Q119" s="7">
        <v>13.5</v>
      </c>
      <c r="R119" s="7" t="str">
        <f ca="1">IFERROR(__xludf.DUMMYFUNCTION("IMPORTXML(E119,""/html/body/main/div[3]/div[3]/div[2]/ul/li[7]/span[2]/span"")"),"Loading...")</f>
        <v>Loading...</v>
      </c>
      <c r="S119" s="7" t="str">
        <f ca="1">IFERROR(__xludf.DUMMYFUNCTION("IMPORTXML(E119,""/html/body/main/div[3]/div[3]/div[2]/ul/li[8]/span[2]/span"")"),"Loading...")</f>
        <v>Loading...</v>
      </c>
      <c r="T119" s="4">
        <v>34.6</v>
      </c>
      <c r="U119" s="4">
        <v>22.7</v>
      </c>
      <c r="V119" s="4">
        <v>2.6</v>
      </c>
      <c r="W119" s="4">
        <v>5.7</v>
      </c>
      <c r="X119" s="4">
        <v>519.92999999999995</v>
      </c>
      <c r="Y119" s="7">
        <f t="shared" ca="1" si="4"/>
        <v>13426.07</v>
      </c>
    </row>
    <row r="120" spans="1:25" ht="15" x14ac:dyDescent="0.25">
      <c r="A120" s="4">
        <v>140</v>
      </c>
      <c r="C120" s="12" t="s">
        <v>489</v>
      </c>
      <c r="D120" s="12" t="s">
        <v>490</v>
      </c>
      <c r="E120" s="5" t="str">
        <f t="shared" si="0"/>
        <v>https://www.screener.in/company/GODREJIND/consolidated/</v>
      </c>
      <c r="H120" s="6">
        <f t="shared" ca="1" si="1"/>
        <v>0</v>
      </c>
      <c r="I120" s="7" t="str">
        <f ca="1">IFERROR(__xludf.DUMMYFUNCTION("IMPORTXML(E120,""/html/body/main/div[3]/div[3]/div[2]/ul/li[5]/span[2]/span"")"),"Loading...")</f>
        <v>Loading...</v>
      </c>
      <c r="J120" s="7">
        <f ca="1">IFERROR(__xludf.DUMMYFUNCTION("GOOGLEFINANCE(""NSE:""&amp;D120,""marketcap"")"),404803700000)</f>
        <v>404803700000</v>
      </c>
      <c r="K120" s="7"/>
      <c r="L120" s="8">
        <f ca="1">IFERROR(__xludf.DUMMYFUNCTION("GOOGLEFINANCE(""NSE:""&amp;D120,""price"")"),1220.4)</f>
        <v>1220.4000000000001</v>
      </c>
      <c r="M120" s="9">
        <f t="shared" ca="1" si="2"/>
        <v>1220.4000000000001</v>
      </c>
      <c r="N120" s="10" t="e">
        <f t="shared" ca="1" si="3"/>
        <v>#DIV/0!</v>
      </c>
      <c r="O120" s="7">
        <f ca="1">IFERROR(__xludf.DUMMYFUNCTION("GOOGLEFINANCE(""NSE:""&amp;D120,""pe"")"),40.77)</f>
        <v>40.770000000000003</v>
      </c>
      <c r="P120" s="7">
        <f ca="1">IFERROR(__xludf.DUMMYFUNCTION("GOOGLEFINANCE(""NSE:""&amp;D120,""EPS"")"),29.93)</f>
        <v>29.93</v>
      </c>
      <c r="Q120" s="7">
        <v>13.5</v>
      </c>
      <c r="R120" s="7" t="str">
        <f ca="1">IFERROR(__xludf.DUMMYFUNCTION("IMPORTXML(E120,""/html/body/main/div[3]/div[3]/div[2]/ul/li[7]/span[2]/span"")"),"Loading...")</f>
        <v>Loading...</v>
      </c>
      <c r="S120" s="7" t="str">
        <f ca="1">IFERROR(__xludf.DUMMYFUNCTION("IMPORTXML(E120,""/html/body/main/div[3]/div[3]/div[2]/ul/li[8]/span[2]/span"")"),"Loading...")</f>
        <v>Loading...</v>
      </c>
      <c r="T120" s="4">
        <v>34.6</v>
      </c>
      <c r="U120" s="4">
        <v>22.7</v>
      </c>
      <c r="V120" s="4">
        <v>2.6</v>
      </c>
      <c r="W120" s="4">
        <v>5.7</v>
      </c>
      <c r="X120" s="4">
        <v>519.92999999999995</v>
      </c>
      <c r="Y120" s="7">
        <f t="shared" ca="1" si="4"/>
        <v>700.47000000000014</v>
      </c>
    </row>
    <row r="121" spans="1:25" ht="15" x14ac:dyDescent="0.25">
      <c r="A121" s="4">
        <v>129</v>
      </c>
      <c r="C121" s="12" t="s">
        <v>491</v>
      </c>
      <c r="D121" s="12" t="s">
        <v>492</v>
      </c>
      <c r="E121" s="5" t="str">
        <f t="shared" si="0"/>
        <v>https://www.screener.in/company/BLUESTARCO/consolidated/</v>
      </c>
      <c r="H121" s="6">
        <f t="shared" ca="1" si="1"/>
        <v>0</v>
      </c>
      <c r="I121" s="7" t="str">
        <f ca="1">IFERROR(__xludf.DUMMYFUNCTION("IMPORTXML(E121,""/html/body/main/div[3]/div[3]/div[2]/ul/li[5]/span[2]/span"")"),"Loading...")</f>
        <v>Loading...</v>
      </c>
      <c r="J121" s="7">
        <f ca="1">IFERROR(__xludf.DUMMYFUNCTION("GOOGLEFINANCE(""NSE:""&amp;D121,""marketcap"")"),399563800000)</f>
        <v>399563800000</v>
      </c>
      <c r="K121" s="7"/>
      <c r="L121" s="8">
        <f ca="1">IFERROR(__xludf.DUMMYFUNCTION("GOOGLEFINANCE(""NSE:""&amp;D121,""price"")"),1942.8)</f>
        <v>1942.8</v>
      </c>
      <c r="M121" s="9">
        <f t="shared" ca="1" si="2"/>
        <v>1942.8</v>
      </c>
      <c r="N121" s="10" t="e">
        <f t="shared" ca="1" si="3"/>
        <v>#DIV/0!</v>
      </c>
      <c r="O121" s="7">
        <f ca="1">IFERROR(__xludf.DUMMYFUNCTION("GOOGLEFINANCE(""NSE:""&amp;D121,""pe"")"),73.5)</f>
        <v>73.5</v>
      </c>
      <c r="P121" s="7">
        <f ca="1">IFERROR(__xludf.DUMMYFUNCTION("GOOGLEFINANCE(""NSE:""&amp;D121,""EPS"")"),26.43)</f>
        <v>26.43</v>
      </c>
      <c r="Q121" s="7">
        <v>13.5</v>
      </c>
      <c r="R121" s="7" t="str">
        <f ca="1">IFERROR(__xludf.DUMMYFUNCTION("IMPORTXML(E121,""/html/body/main/div[3]/div[3]/div[2]/ul/li[7]/span[2]/span"")"),"Loading...")</f>
        <v>Loading...</v>
      </c>
      <c r="S121" s="7" t="str">
        <f ca="1">IFERROR(__xludf.DUMMYFUNCTION("IMPORTXML(E121,""/html/body/main/div[3]/div[3]/div[2]/ul/li[8]/span[2]/span"")"),"Loading...")</f>
        <v>Loading...</v>
      </c>
      <c r="T121" s="4">
        <v>34.6</v>
      </c>
      <c r="U121" s="4">
        <v>22.7</v>
      </c>
      <c r="V121" s="4">
        <v>2.6</v>
      </c>
      <c r="W121" s="4">
        <v>5.7</v>
      </c>
      <c r="X121" s="4">
        <v>519.92999999999995</v>
      </c>
      <c r="Y121" s="7">
        <f t="shared" ca="1" si="4"/>
        <v>1422.87</v>
      </c>
    </row>
    <row r="122" spans="1:25" ht="15" x14ac:dyDescent="0.25">
      <c r="A122" s="4">
        <v>37</v>
      </c>
      <c r="C122" s="12" t="s">
        <v>493</v>
      </c>
      <c r="D122" s="12" t="s">
        <v>494</v>
      </c>
      <c r="E122" s="5" t="str">
        <f t="shared" si="0"/>
        <v>https://www.screener.in/company/PRESTIGE/consolidated/</v>
      </c>
      <c r="H122" s="6">
        <f t="shared" ca="1" si="1"/>
        <v>0</v>
      </c>
      <c r="I122" s="7" t="str">
        <f ca="1">IFERROR(__xludf.DUMMYFUNCTION("IMPORTXML(E122,""/html/body/main/div[3]/div[3]/div[2]/ul/li[5]/span[2]/span"")"),"Loading...")</f>
        <v>Loading...</v>
      </c>
      <c r="J122" s="7">
        <f ca="1">IFERROR(__xludf.DUMMYFUNCTION("GOOGLEFINANCE(""NSE:""&amp;D122,""marketcap"")"),650618000000)</f>
        <v>650618000000</v>
      </c>
      <c r="K122" s="7"/>
      <c r="L122" s="8">
        <f ca="1">IFERROR(__xludf.DUMMYFUNCTION("GOOGLEFINANCE(""NSE:""&amp;D122,""price"")"),1512)</f>
        <v>1512</v>
      </c>
      <c r="M122" s="9">
        <f t="shared" ca="1" si="2"/>
        <v>1512</v>
      </c>
      <c r="N122" s="10" t="e">
        <f t="shared" ca="1" si="3"/>
        <v>#DIV/0!</v>
      </c>
      <c r="O122" s="7">
        <f ca="1">IFERROR(__xludf.DUMMYFUNCTION("GOOGLEFINANCE(""NSE:""&amp;D122,""pe"")"),121.15)</f>
        <v>121.15</v>
      </c>
      <c r="P122" s="7">
        <f ca="1">IFERROR(__xludf.DUMMYFUNCTION("GOOGLEFINANCE(""NSE:""&amp;D122,""EPS"")"),12.48)</f>
        <v>12.48</v>
      </c>
      <c r="Q122" s="7">
        <v>13.5</v>
      </c>
      <c r="R122" s="7" t="str">
        <f ca="1">IFERROR(__xludf.DUMMYFUNCTION("IMPORTXML(E122,""/html/body/main/div[3]/div[3]/div[2]/ul/li[7]/span[2]/span"")"),"Loading...")</f>
        <v>Loading...</v>
      </c>
      <c r="S122" s="7" t="str">
        <f ca="1">IFERROR(__xludf.DUMMYFUNCTION("IMPORTXML(E122,""/html/body/main/div[3]/div[3]/div[2]/ul/li[8]/span[2]/span"")"),"Loading...")</f>
        <v>Loading...</v>
      </c>
      <c r="T122" s="4">
        <v>34.6</v>
      </c>
      <c r="U122" s="4">
        <v>22.7</v>
      </c>
      <c r="V122" s="4">
        <v>2.6</v>
      </c>
      <c r="W122" s="4">
        <v>5.7</v>
      </c>
      <c r="X122" s="4">
        <v>519.92999999999995</v>
      </c>
      <c r="Y122" s="7">
        <f t="shared" ca="1" si="4"/>
        <v>992.07</v>
      </c>
    </row>
    <row r="123" spans="1:25" ht="15" x14ac:dyDescent="0.25">
      <c r="A123" s="4">
        <v>148</v>
      </c>
      <c r="C123" s="12" t="s">
        <v>495</v>
      </c>
      <c r="D123" s="12" t="s">
        <v>496</v>
      </c>
      <c r="E123" s="5" t="str">
        <f t="shared" si="0"/>
        <v>https://www.screener.in/company/IKS/consolidated/</v>
      </c>
      <c r="H123" s="6">
        <f t="shared" ca="1" si="1"/>
        <v>0</v>
      </c>
      <c r="I123" s="7" t="str">
        <f ca="1">IFERROR(__xludf.DUMMYFUNCTION("IMPORTXML(E123,""/html/body/main/div[3]/div[3]/div[2]/ul/li[5]/span[2]/span"")"),"Loading...")</f>
        <v>Loading...</v>
      </c>
      <c r="J123" s="7">
        <f ca="1">IFERROR(__xludf.DUMMYFUNCTION("GOOGLEFINANCE(""NSE:""&amp;D123,""marketcap"")"),264456534600)</f>
        <v>264456534600</v>
      </c>
      <c r="K123" s="7"/>
      <c r="L123" s="8">
        <f ca="1">IFERROR(__xludf.DUMMYFUNCTION("GOOGLEFINANCE(""NSE:""&amp;D123,""price"")"),1582.2)</f>
        <v>1582.2</v>
      </c>
      <c r="M123" s="9">
        <f t="shared" ca="1" si="2"/>
        <v>1582.2</v>
      </c>
      <c r="N123" s="10" t="e">
        <f t="shared" ca="1" si="3"/>
        <v>#DIV/0!</v>
      </c>
      <c r="O123" s="7" t="str">
        <f ca="1">IFERROR(__xludf.DUMMYFUNCTION("GOOGLEFINANCE(""NSE:""&amp;D123,""pe"")"),"#N/A")</f>
        <v>#N/A</v>
      </c>
      <c r="P123" s="7" t="str">
        <f ca="1">IFERROR(__xludf.DUMMYFUNCTION("GOOGLEFINANCE(""NSE:""&amp;D123,""EPS"")"),"#N/A")</f>
        <v>#N/A</v>
      </c>
      <c r="Q123" s="7">
        <v>13.5</v>
      </c>
      <c r="R123" s="7" t="str">
        <f ca="1">IFERROR(__xludf.DUMMYFUNCTION("IMPORTXML(E123,""/html/body/main/div[3]/div[3]/div[2]/ul/li[7]/span[2]/span"")"),"Loading...")</f>
        <v>Loading...</v>
      </c>
      <c r="S123" s="7" t="str">
        <f ca="1">IFERROR(__xludf.DUMMYFUNCTION("IMPORTXML(E123,""/html/body/main/div[3]/div[3]/div[2]/ul/li[8]/span[2]/span"")"),"Loading...")</f>
        <v>Loading...</v>
      </c>
      <c r="T123" s="4">
        <v>34.6</v>
      </c>
      <c r="U123" s="4">
        <v>22.7</v>
      </c>
      <c r="V123" s="4">
        <v>2.6</v>
      </c>
      <c r="W123" s="4">
        <v>5.7</v>
      </c>
      <c r="X123" s="4">
        <v>519.92999999999995</v>
      </c>
      <c r="Y123" s="7">
        <f t="shared" ca="1" si="4"/>
        <v>1062.27</v>
      </c>
    </row>
    <row r="124" spans="1:25" ht="15" x14ac:dyDescent="0.25">
      <c r="A124" s="4">
        <v>15</v>
      </c>
      <c r="C124" s="12" t="s">
        <v>497</v>
      </c>
      <c r="D124" s="12" t="s">
        <v>498</v>
      </c>
      <c r="E124" s="5" t="str">
        <f t="shared" si="0"/>
        <v>https://www.screener.in/company/SHREECEM/consolidated/</v>
      </c>
      <c r="H124" s="6">
        <f t="shared" ca="1" si="1"/>
        <v>0</v>
      </c>
      <c r="I124" s="7" t="str">
        <f ca="1">IFERROR(__xludf.DUMMYFUNCTION("IMPORTXML(E124,""/html/body/main/div[3]/div[3]/div[2]/ul/li[5]/span[2]/span"")"),"Loading...")</f>
        <v>Loading...</v>
      </c>
      <c r="J124" s="7">
        <f ca="1">IFERROR(__xludf.DUMMYFUNCTION("GOOGLEFINANCE(""NSE:""&amp;D124,""marketcap"")"),1083866000000)</f>
        <v>1083866000000</v>
      </c>
      <c r="K124" s="7"/>
      <c r="L124" s="8">
        <f ca="1">IFERROR(__xludf.DUMMYFUNCTION("GOOGLEFINANCE(""NSE:""&amp;D124,""price"")"),29910)</f>
        <v>29910</v>
      </c>
      <c r="M124" s="9">
        <f t="shared" ca="1" si="2"/>
        <v>29910</v>
      </c>
      <c r="N124" s="10" t="e">
        <f t="shared" ca="1" si="3"/>
        <v>#DIV/0!</v>
      </c>
      <c r="O124" s="7">
        <f ca="1">IFERROR(__xludf.DUMMYFUNCTION("GOOGLEFINANCE(""NSE:""&amp;D124,""pe"")"),72.58)</f>
        <v>72.58</v>
      </c>
      <c r="P124" s="7">
        <f ca="1">IFERROR(__xludf.DUMMYFUNCTION("GOOGLEFINANCE(""NSE:""&amp;D124,""EPS"")"),412.07)</f>
        <v>412.07</v>
      </c>
      <c r="Q124" s="7">
        <v>13.5</v>
      </c>
      <c r="R124" s="7" t="str">
        <f ca="1">IFERROR(__xludf.DUMMYFUNCTION("IMPORTXML(E124,""/html/body/main/div[3]/div[3]/div[2]/ul/li[7]/span[2]/span"")"),"Loading...")</f>
        <v>Loading...</v>
      </c>
      <c r="S124" s="7" t="str">
        <f ca="1">IFERROR(__xludf.DUMMYFUNCTION("IMPORTXML(E124,""/html/body/main/div[3]/div[3]/div[2]/ul/li[8]/span[2]/span"")"),"Loading...")</f>
        <v>Loading...</v>
      </c>
      <c r="T124" s="4">
        <v>34.6</v>
      </c>
      <c r="U124" s="4">
        <v>22.7</v>
      </c>
      <c r="V124" s="4">
        <v>2.6</v>
      </c>
      <c r="W124" s="4">
        <v>5.7</v>
      </c>
      <c r="X124" s="4">
        <v>519.92999999999995</v>
      </c>
      <c r="Y124" s="7">
        <f t="shared" ca="1" si="4"/>
        <v>29390.07</v>
      </c>
    </row>
    <row r="125" spans="1:25" ht="15" x14ac:dyDescent="0.25">
      <c r="A125" s="4">
        <v>94</v>
      </c>
      <c r="C125" s="12" t="s">
        <v>499</v>
      </c>
      <c r="D125" s="12" t="s">
        <v>500</v>
      </c>
      <c r="E125" s="5" t="str">
        <f t="shared" si="0"/>
        <v>https://www.screener.in/company/VMM/consolidated/</v>
      </c>
      <c r="H125" s="6">
        <f t="shared" ca="1" si="1"/>
        <v>0</v>
      </c>
      <c r="I125" s="7" t="str">
        <f ca="1">IFERROR(__xludf.DUMMYFUNCTION("IMPORTXML(E125,""/html/body/main/div[3]/div[3]/div[2]/ul/li[5]/span[2]/span"")"),"Loading...")</f>
        <v>Loading...</v>
      </c>
      <c r="J125" s="7">
        <f ca="1">IFERROR(__xludf.DUMMYFUNCTION("GOOGLEFINANCE(""NSE:""&amp;D125,""marketcap"")"),701594399555)</f>
        <v>701594399555</v>
      </c>
      <c r="K125" s="7"/>
      <c r="L125" s="8">
        <f ca="1">IFERROR(__xludf.DUMMYFUNCTION("GOOGLEFINANCE(""NSE:""&amp;D125,""price"")"),152)</f>
        <v>152</v>
      </c>
      <c r="M125" s="9">
        <f t="shared" ca="1" si="2"/>
        <v>152</v>
      </c>
      <c r="N125" s="10" t="e">
        <f t="shared" ca="1" si="3"/>
        <v>#DIV/0!</v>
      </c>
      <c r="O125" s="7">
        <f ca="1">IFERROR(__xludf.DUMMYFUNCTION("GOOGLEFINANCE(""NSE:""&amp;D125,""pe"")"),102.49)</f>
        <v>102.49</v>
      </c>
      <c r="P125" s="7">
        <f ca="1">IFERROR(__xludf.DUMMYFUNCTION("GOOGLEFINANCE(""NSE:""&amp;D125,""EPS"")"),1.48)</f>
        <v>1.48</v>
      </c>
      <c r="Q125" s="7">
        <v>13.5</v>
      </c>
      <c r="R125" s="7">
        <f ca="1">IFERROR(__xludf.DUMMYFUNCTION("IMPORTXML(E125,""/html/body/main/div[3]/div[3]/div[2]/ul/li[7]/span[2]/span"")"),13.1)</f>
        <v>13.1</v>
      </c>
      <c r="S125" s="7" t="str">
        <f ca="1">IFERROR(__xludf.DUMMYFUNCTION("IMPORTXML(E125,""/html/body/main/div[3]/div[3]/div[2]/ul/li[8]/span[2]/span"")"),"Loading...")</f>
        <v>Loading...</v>
      </c>
      <c r="T125" s="4">
        <v>34.6</v>
      </c>
      <c r="U125" s="4">
        <v>22.7</v>
      </c>
      <c r="V125" s="4">
        <v>2.6</v>
      </c>
      <c r="W125" s="4">
        <v>5.7</v>
      </c>
      <c r="X125" s="4">
        <v>519.92999999999995</v>
      </c>
      <c r="Y125" s="7">
        <f t="shared" ca="1" si="4"/>
        <v>-367.92999999999995</v>
      </c>
    </row>
    <row r="126" spans="1:25" ht="15" x14ac:dyDescent="0.25">
      <c r="A126" s="4">
        <v>112</v>
      </c>
      <c r="C126" s="12" t="s">
        <v>501</v>
      </c>
      <c r="D126" s="12" t="s">
        <v>502</v>
      </c>
      <c r="E126" s="5" t="str">
        <f t="shared" si="0"/>
        <v>https://www.screener.in/company/FLUOROCHEM/consolidated/</v>
      </c>
      <c r="H126" s="6">
        <f t="shared" ca="1" si="1"/>
        <v>0</v>
      </c>
      <c r="I126" s="7" t="str">
        <f ca="1">IFERROR(__xludf.DUMMYFUNCTION("IMPORTXML(E126,""/html/body/main/div[3]/div[3]/div[2]/ul/li[5]/span[2]/span"")"),"Loading...")</f>
        <v>Loading...</v>
      </c>
      <c r="J126" s="7">
        <f ca="1">IFERROR(__xludf.DUMMYFUNCTION("GOOGLEFINANCE(""NSE:""&amp;D126,""marketcap"")"),368656264400)</f>
        <v>368656264400</v>
      </c>
      <c r="K126" s="7"/>
      <c r="L126" s="8">
        <f ca="1">IFERROR(__xludf.DUMMYFUNCTION("GOOGLEFINANCE(""NSE:""&amp;D126,""price"")"),3356)</f>
        <v>3356</v>
      </c>
      <c r="M126" s="9">
        <f t="shared" ca="1" si="2"/>
        <v>3356</v>
      </c>
      <c r="N126" s="10" t="e">
        <f t="shared" ca="1" si="3"/>
        <v>#DIV/0!</v>
      </c>
      <c r="O126" s="7">
        <f ca="1">IFERROR(__xludf.DUMMYFUNCTION("GOOGLEFINANCE(""NSE:""&amp;D126,""pe"")"),59.29)</f>
        <v>59.29</v>
      </c>
      <c r="P126" s="7">
        <f ca="1">IFERROR(__xludf.DUMMYFUNCTION("GOOGLEFINANCE(""NSE:""&amp;D126,""EPS"")"),56.6)</f>
        <v>56.6</v>
      </c>
      <c r="Q126" s="7">
        <v>13.5</v>
      </c>
      <c r="R126" s="7" t="str">
        <f ca="1">IFERROR(__xludf.DUMMYFUNCTION("IMPORTXML(E126,""/html/body/main/div[3]/div[3]/div[2]/ul/li[7]/span[2]/span"")"),"Loading...")</f>
        <v>Loading...</v>
      </c>
      <c r="S126" s="7" t="str">
        <f ca="1">IFERROR(__xludf.DUMMYFUNCTION("IMPORTXML(E126,""/html/body/main/div[3]/div[3]/div[2]/ul/li[8]/span[2]/span"")"),"Loading...")</f>
        <v>Loading...</v>
      </c>
      <c r="T126" s="4">
        <v>34.6</v>
      </c>
      <c r="U126" s="4">
        <v>22.7</v>
      </c>
      <c r="V126" s="4">
        <v>2.6</v>
      </c>
      <c r="W126" s="4">
        <v>5.7</v>
      </c>
      <c r="X126" s="4">
        <v>519.92999999999995</v>
      </c>
      <c r="Y126" s="7">
        <f t="shared" ca="1" si="4"/>
        <v>2836.07</v>
      </c>
    </row>
    <row r="127" spans="1:25" ht="15" x14ac:dyDescent="0.25">
      <c r="A127" s="4">
        <v>11</v>
      </c>
      <c r="C127" s="12" t="s">
        <v>503</v>
      </c>
      <c r="D127" s="12" t="s">
        <v>504</v>
      </c>
      <c r="E127" s="5" t="str">
        <f t="shared" si="0"/>
        <v>https://www.screener.in/company/MAXHEALTH/consolidated/</v>
      </c>
      <c r="H127" s="6">
        <f t="shared" ca="1" si="1"/>
        <v>0</v>
      </c>
      <c r="I127" s="7" t="str">
        <f ca="1">IFERROR(__xludf.DUMMYFUNCTION("IMPORTXML(E127,""/html/body/main/div[3]/div[3]/div[2]/ul/li[5]/span[2]/span"")"),"Loading...")</f>
        <v>Loading...</v>
      </c>
      <c r="J127" s="7">
        <f ca="1">IFERROR(__xludf.DUMMYFUNCTION("GOOGLEFINANCE(""NSE:""&amp;D127,""marketcap"")"),1142285065376)</f>
        <v>1142285065376</v>
      </c>
      <c r="K127" s="7"/>
      <c r="L127" s="8">
        <f ca="1">IFERROR(__xludf.DUMMYFUNCTION("GOOGLEFINANCE(""NSE:""&amp;D127,""price"")"),1166)</f>
        <v>1166</v>
      </c>
      <c r="M127" s="9">
        <f t="shared" ca="1" si="2"/>
        <v>1166</v>
      </c>
      <c r="N127" s="10" t="e">
        <f t="shared" ca="1" si="3"/>
        <v>#DIV/0!</v>
      </c>
      <c r="O127" s="7">
        <f ca="1">IFERROR(__xludf.DUMMYFUNCTION("GOOGLEFINANCE(""NSE:""&amp;D127,""pe"")"),99.33)</f>
        <v>99.33</v>
      </c>
      <c r="P127" s="7">
        <f ca="1">IFERROR(__xludf.DUMMYFUNCTION("GOOGLEFINANCE(""NSE:""&amp;D127,""EPS"")"),11.74)</f>
        <v>11.74</v>
      </c>
      <c r="Q127" s="7">
        <v>13.5</v>
      </c>
      <c r="R127" s="7" t="str">
        <f ca="1">IFERROR(__xludf.DUMMYFUNCTION("IMPORTXML(E127,""/html/body/main/div[3]/div[3]/div[2]/ul/li[7]/span[2]/span"")"),"Loading...")</f>
        <v>Loading...</v>
      </c>
      <c r="S127" s="7" t="str">
        <f ca="1">IFERROR(__xludf.DUMMYFUNCTION("IMPORTXML(E127,""/html/body/main/div[3]/div[3]/div[2]/ul/li[8]/span[2]/span"")"),"Loading...")</f>
        <v>Loading...</v>
      </c>
      <c r="T127" s="4">
        <v>34.6</v>
      </c>
      <c r="U127" s="4">
        <v>22.7</v>
      </c>
      <c r="V127" s="4">
        <v>2.6</v>
      </c>
      <c r="W127" s="4">
        <v>5.7</v>
      </c>
      <c r="X127" s="4">
        <v>519.92999999999995</v>
      </c>
      <c r="Y127" s="7">
        <f t="shared" ca="1" si="4"/>
        <v>646.07000000000005</v>
      </c>
    </row>
    <row r="128" spans="1:25" ht="15" x14ac:dyDescent="0.25">
      <c r="A128" s="4">
        <v>147</v>
      </c>
      <c r="C128" s="12" t="s">
        <v>505</v>
      </c>
      <c r="D128" s="12" t="s">
        <v>506</v>
      </c>
      <c r="E128" s="5" t="str">
        <f t="shared" si="0"/>
        <v>https://www.screener.in/company/TATAINVEST/consolidated/</v>
      </c>
      <c r="H128" s="6">
        <f t="shared" ca="1" si="1"/>
        <v>0</v>
      </c>
      <c r="I128" s="7" t="str">
        <f ca="1">IFERROR(__xludf.DUMMYFUNCTION("IMPORTXML(E128,""/html/body/main/div[3]/div[3]/div[2]/ul/li[5]/span[2]/span"")"),"Loading...")</f>
        <v>Loading...</v>
      </c>
      <c r="J128" s="7">
        <f ca="1">IFERROR(__xludf.DUMMYFUNCTION("GOOGLEFINANCE(""NSE:""&amp;D128,""marketcap"")"),341948300000)</f>
        <v>341948300000</v>
      </c>
      <c r="K128" s="7"/>
      <c r="L128" s="8">
        <f ca="1">IFERROR(__xludf.DUMMYFUNCTION("GOOGLEFINANCE(""NSE:""&amp;D128,""price"")"),6757)</f>
        <v>6757</v>
      </c>
      <c r="M128" s="9">
        <f t="shared" ca="1" si="2"/>
        <v>6757</v>
      </c>
      <c r="N128" s="10" t="e">
        <f t="shared" ca="1" si="3"/>
        <v>#DIV/0!</v>
      </c>
      <c r="O128" s="7">
        <f ca="1">IFERROR(__xludf.DUMMYFUNCTION("GOOGLEFINANCE(""NSE:""&amp;D128,""pe"")"),104.43)</f>
        <v>104.43</v>
      </c>
      <c r="P128" s="7">
        <f ca="1">IFERROR(__xludf.DUMMYFUNCTION("GOOGLEFINANCE(""NSE:""&amp;D128,""EPS"")"),64.7)</f>
        <v>64.7</v>
      </c>
      <c r="Q128" s="7">
        <v>13.5</v>
      </c>
      <c r="R128" s="7" t="str">
        <f ca="1">IFERROR(__xludf.DUMMYFUNCTION("IMPORTXML(E128,""/html/body/main/div[3]/div[3]/div[2]/ul/li[7]/span[2]/span"")"),"Loading...")</f>
        <v>Loading...</v>
      </c>
      <c r="S128" s="7" t="str">
        <f ca="1">IFERROR(__xludf.DUMMYFUNCTION("IMPORTXML(E128,""/html/body/main/div[3]/div[3]/div[2]/ul/li[8]/span[2]/span"")"),"Loading...")</f>
        <v>Loading...</v>
      </c>
      <c r="T128" s="4">
        <v>34.6</v>
      </c>
      <c r="U128" s="4">
        <v>22.7</v>
      </c>
      <c r="V128" s="4">
        <v>2.6</v>
      </c>
      <c r="W128" s="4">
        <v>5.7</v>
      </c>
      <c r="X128" s="4">
        <v>519.92999999999995</v>
      </c>
      <c r="Y128" s="7">
        <f t="shared" ca="1" si="4"/>
        <v>6237.07</v>
      </c>
    </row>
    <row r="129" spans="1:25" ht="15" x14ac:dyDescent="0.25">
      <c r="A129" s="4">
        <v>23</v>
      </c>
      <c r="C129" s="12" t="s">
        <v>507</v>
      </c>
      <c r="D129" s="12" t="s">
        <v>508</v>
      </c>
      <c r="E129" s="5" t="str">
        <f t="shared" si="0"/>
        <v>https://www.screener.in/company/DIXON/consolidated/</v>
      </c>
      <c r="H129" s="6">
        <f t="shared" ca="1" si="1"/>
        <v>0</v>
      </c>
      <c r="I129" s="7" t="str">
        <f ca="1">IFERROR(__xludf.DUMMYFUNCTION("IMPORTXML(E129,""/html/body/main/div[3]/div[3]/div[2]/ul/li[5]/span[2]/span"")"),"Loading...")</f>
        <v>Loading...</v>
      </c>
      <c r="J129" s="7">
        <f ca="1">IFERROR(__xludf.DUMMYFUNCTION("GOOGLEFINANCE(""NSE:""&amp;D129,""marketcap"")"),1079624208060)</f>
        <v>1079624208060</v>
      </c>
      <c r="K129" s="7"/>
      <c r="L129" s="8">
        <f ca="1">IFERROR(__xludf.DUMMYFUNCTION("GOOGLEFINANCE(""NSE:""&amp;D129,""price"")"),17841)</f>
        <v>17841</v>
      </c>
      <c r="M129" s="9">
        <f t="shared" ca="1" si="2"/>
        <v>17841</v>
      </c>
      <c r="N129" s="10" t="e">
        <f t="shared" ca="1" si="3"/>
        <v>#DIV/0!</v>
      </c>
      <c r="O129" s="7">
        <f ca="1">IFERROR(__xludf.DUMMYFUNCTION("GOOGLEFINANCE(""NSE:""&amp;D129,""pe"")"),88.75)</f>
        <v>88.75</v>
      </c>
      <c r="P129" s="7">
        <f ca="1">IFERROR(__xludf.DUMMYFUNCTION("GOOGLEFINANCE(""NSE:""&amp;D129,""EPS"")"),201.02)</f>
        <v>201.02</v>
      </c>
      <c r="Q129" s="7">
        <v>13.5</v>
      </c>
      <c r="R129" s="7" t="str">
        <f ca="1">IFERROR(__xludf.DUMMYFUNCTION("IMPORTXML(E129,""/html/body/main/div[3]/div[3]/div[2]/ul/li[7]/span[2]/span"")"),"Loading...")</f>
        <v>Loading...</v>
      </c>
      <c r="S129" s="7" t="str">
        <f ca="1">IFERROR(__xludf.DUMMYFUNCTION("IMPORTXML(E129,""/html/body/main/div[3]/div[3]/div[2]/ul/li[8]/span[2]/span"")"),"Loading...")</f>
        <v>Loading...</v>
      </c>
      <c r="T129" s="4">
        <v>34.6</v>
      </c>
      <c r="U129" s="4">
        <v>22.7</v>
      </c>
      <c r="V129" s="4">
        <v>2.6</v>
      </c>
      <c r="W129" s="4">
        <v>5.7</v>
      </c>
      <c r="X129" s="4">
        <v>519.92999999999995</v>
      </c>
      <c r="Y129" s="7">
        <f t="shared" ca="1" si="4"/>
        <v>17321.07</v>
      </c>
    </row>
    <row r="130" spans="1:25" ht="15" x14ac:dyDescent="0.25">
      <c r="A130" s="4">
        <v>22</v>
      </c>
      <c r="C130" s="12" t="s">
        <v>509</v>
      </c>
      <c r="D130" s="12" t="s">
        <v>510</v>
      </c>
      <c r="E130" s="5" t="str">
        <f t="shared" si="0"/>
        <v>https://www.screener.in/company/ATGL/consolidated/</v>
      </c>
      <c r="H130" s="6">
        <f t="shared" ca="1" si="1"/>
        <v>0</v>
      </c>
      <c r="I130" s="7" t="str">
        <f ca="1">IFERROR(__xludf.DUMMYFUNCTION("IMPORTXML(E130,""/html/body/main/div[3]/div[3]/div[2]/ul/li[5]/span[2]/span"")"),"Loading...")</f>
        <v>Loading...</v>
      </c>
      <c r="J130" s="7">
        <f ca="1">IFERROR(__xludf.DUMMYFUNCTION("GOOGLEFINANCE(""NSE:""&amp;D130,""marketcap"")"),649539054488)</f>
        <v>649539054488</v>
      </c>
      <c r="K130" s="7"/>
      <c r="L130" s="8">
        <f ca="1">IFERROR(__xludf.DUMMYFUNCTION("GOOGLEFINANCE(""NSE:""&amp;D130,""price"")"),591.7)</f>
        <v>591.70000000000005</v>
      </c>
      <c r="M130" s="9">
        <f t="shared" ca="1" si="2"/>
        <v>591.70000000000005</v>
      </c>
      <c r="N130" s="10" t="e">
        <f t="shared" ca="1" si="3"/>
        <v>#DIV/0!</v>
      </c>
      <c r="O130" s="7">
        <f ca="1">IFERROR(__xludf.DUMMYFUNCTION("GOOGLEFINANCE(""NSE:""&amp;D130,""pe"")"),100.46)</f>
        <v>100.46</v>
      </c>
      <c r="P130" s="7">
        <f ca="1">IFERROR(__xludf.DUMMYFUNCTION("GOOGLEFINANCE(""NSE:""&amp;D130,""EPS"")"),5.89)</f>
        <v>5.89</v>
      </c>
      <c r="Q130" s="7">
        <v>13.5</v>
      </c>
      <c r="R130" s="7" t="str">
        <f ca="1">IFERROR(__xludf.DUMMYFUNCTION("IMPORTXML(E130,""/html/body/main/div[3]/div[3]/div[2]/ul/li[7]/span[2]/span"")"),"Loading...")</f>
        <v>Loading...</v>
      </c>
      <c r="S130" s="7" t="str">
        <f ca="1">IFERROR(__xludf.DUMMYFUNCTION("IMPORTXML(E130,""/html/body/main/div[3]/div[3]/div[2]/ul/li[8]/span[2]/span"")"),"Loading...")</f>
        <v>Loading...</v>
      </c>
      <c r="T130" s="4">
        <v>34.6</v>
      </c>
      <c r="U130" s="4">
        <v>22.7</v>
      </c>
      <c r="V130" s="4">
        <v>2.6</v>
      </c>
      <c r="W130" s="4">
        <v>5.7</v>
      </c>
      <c r="X130" s="4">
        <v>519.92999999999995</v>
      </c>
      <c r="Y130" s="7">
        <f t="shared" ca="1" si="4"/>
        <v>71.770000000000095</v>
      </c>
    </row>
    <row r="131" spans="1:25" ht="15" x14ac:dyDescent="0.25">
      <c r="A131" s="4">
        <v>115</v>
      </c>
      <c r="C131" s="12" t="s">
        <v>511</v>
      </c>
      <c r="D131" s="12" t="s">
        <v>512</v>
      </c>
      <c r="E131" s="5" t="str">
        <f t="shared" si="0"/>
        <v>https://www.screener.in/company/JUBLFOOD/consolidated/</v>
      </c>
      <c r="H131" s="6">
        <f t="shared" ca="1" si="1"/>
        <v>0</v>
      </c>
      <c r="I131" s="7" t="str">
        <f ca="1">IFERROR(__xludf.DUMMYFUNCTION("IMPORTXML(E131,""/html/body/main/div[3]/div[3]/div[2]/ul/li[5]/span[2]/span"")"),"Loading...")</f>
        <v>Loading...</v>
      </c>
      <c r="J131" s="7">
        <f ca="1">IFERROR(__xludf.DUMMYFUNCTION("GOOGLEFINANCE(""NSE:""&amp;D131,""marketcap"")"),431733492819)</f>
        <v>431733492819</v>
      </c>
      <c r="K131" s="7"/>
      <c r="L131" s="8">
        <f ca="1">IFERROR(__xludf.DUMMYFUNCTION("GOOGLEFINANCE(""NSE:""&amp;D131,""price"")"),657.25)</f>
        <v>657.25</v>
      </c>
      <c r="M131" s="9">
        <f t="shared" ca="1" si="2"/>
        <v>657.25</v>
      </c>
      <c r="N131" s="10" t="e">
        <f t="shared" ca="1" si="3"/>
        <v>#DIV/0!</v>
      </c>
      <c r="O131" s="7">
        <f ca="1">IFERROR(__xludf.DUMMYFUNCTION("GOOGLEFINANCE(""NSE:""&amp;D131,""pe"")"),175.99)</f>
        <v>175.99</v>
      </c>
      <c r="P131" s="7">
        <f ca="1">IFERROR(__xludf.DUMMYFUNCTION("GOOGLEFINANCE(""NSE:""&amp;D131,""EPS"")"),3.73)</f>
        <v>3.73</v>
      </c>
      <c r="Q131" s="7">
        <v>13.5</v>
      </c>
      <c r="R131" s="7" t="str">
        <f ca="1">IFERROR(__xludf.DUMMYFUNCTION("IMPORTXML(E131,""/html/body/main/div[3]/div[3]/div[2]/ul/li[7]/span[2]/span"")"),"Loading...")</f>
        <v>Loading...</v>
      </c>
      <c r="S131" s="7" t="str">
        <f ca="1">IFERROR(__xludf.DUMMYFUNCTION("IMPORTXML(E131,""/html/body/main/div[3]/div[3]/div[2]/ul/li[8]/span[2]/span"")"),"Loading...")</f>
        <v>Loading...</v>
      </c>
      <c r="T131" s="4">
        <v>34.6</v>
      </c>
      <c r="U131" s="4">
        <v>22.7</v>
      </c>
      <c r="V131" s="4">
        <v>2.6</v>
      </c>
      <c r="W131" s="4">
        <v>5.7</v>
      </c>
      <c r="X131" s="4">
        <v>519.92999999999995</v>
      </c>
      <c r="Y131" s="7">
        <f t="shared" ca="1" si="4"/>
        <v>137.32000000000005</v>
      </c>
    </row>
    <row r="132" spans="1:25" ht="15" x14ac:dyDescent="0.25">
      <c r="A132" s="4">
        <v>146</v>
      </c>
      <c r="C132" s="12" t="s">
        <v>513</v>
      </c>
      <c r="D132" s="12" t="s">
        <v>514</v>
      </c>
      <c r="E132" s="5" t="str">
        <f t="shared" si="0"/>
        <v>https://www.screener.in/company/KAYNES/consolidated/</v>
      </c>
      <c r="H132" s="6">
        <f t="shared" ca="1" si="1"/>
        <v>0</v>
      </c>
      <c r="I132" s="7" t="str">
        <f ca="1">IFERROR(__xludf.DUMMYFUNCTION("IMPORTXML(E132,""/html/body/main/div[3]/div[3]/div[2]/ul/li[5]/span[2]/span"")"),"Loading...")</f>
        <v>Loading...</v>
      </c>
      <c r="J132" s="7">
        <f ca="1">IFERROR(__xludf.DUMMYFUNCTION("GOOGLEFINANCE(""NSE:""&amp;D132,""marketcap"")"),438170543588)</f>
        <v>438170543588</v>
      </c>
      <c r="K132" s="7"/>
      <c r="L132" s="8">
        <f ca="1">IFERROR(__xludf.DUMMYFUNCTION("GOOGLEFINANCE(""NSE:""&amp;D132,""price"")"),6851)</f>
        <v>6851</v>
      </c>
      <c r="M132" s="9">
        <f t="shared" ca="1" si="2"/>
        <v>6851</v>
      </c>
      <c r="N132" s="10" t="e">
        <f t="shared" ca="1" si="3"/>
        <v>#DIV/0!</v>
      </c>
      <c r="O132" s="7">
        <f ca="1">IFERROR(__xludf.DUMMYFUNCTION("GOOGLEFINANCE(""NSE:""&amp;D132,""pe"")"),139.28)</f>
        <v>139.28</v>
      </c>
      <c r="P132" s="7">
        <f ca="1">IFERROR(__xludf.DUMMYFUNCTION("GOOGLEFINANCE(""NSE:""&amp;D132,""EPS"")"),49.19)</f>
        <v>49.19</v>
      </c>
      <c r="Q132" s="7">
        <v>13.5</v>
      </c>
      <c r="R132" s="7" t="str">
        <f ca="1">IFERROR(__xludf.DUMMYFUNCTION("IMPORTXML(E132,""/html/body/main/div[3]/div[3]/div[2]/ul/li[7]/span[2]/span"")"),"Loading...")</f>
        <v>Loading...</v>
      </c>
      <c r="S132" s="7" t="str">
        <f ca="1">IFERROR(__xludf.DUMMYFUNCTION("IMPORTXML(E132,""/html/body/main/div[3]/div[3]/div[2]/ul/li[8]/span[2]/span"")"),"Loading...")</f>
        <v>Loading...</v>
      </c>
      <c r="T132" s="4">
        <v>34.6</v>
      </c>
      <c r="U132" s="4">
        <v>22.7</v>
      </c>
      <c r="V132" s="4">
        <v>2.6</v>
      </c>
      <c r="W132" s="4">
        <v>5.7</v>
      </c>
      <c r="X132" s="4">
        <v>519.92999999999995</v>
      </c>
      <c r="Y132" s="7">
        <f t="shared" ca="1" si="4"/>
        <v>6331.07</v>
      </c>
    </row>
    <row r="133" spans="1:25" ht="15" x14ac:dyDescent="0.25">
      <c r="A133" s="4">
        <v>76</v>
      </c>
      <c r="C133" s="12" t="s">
        <v>515</v>
      </c>
      <c r="D133" s="12" t="s">
        <v>516</v>
      </c>
      <c r="E133" s="5" t="str">
        <f t="shared" si="0"/>
        <v>https://www.screener.in/company/UBL/consolidated/</v>
      </c>
      <c r="H133" s="6">
        <f t="shared" ca="1" si="1"/>
        <v>0</v>
      </c>
      <c r="I133" s="7" t="str">
        <f ca="1">IFERROR(__xludf.DUMMYFUNCTION("IMPORTXML(E133,""/html/body/main/div[3]/div[3]/div[2]/ul/li[5]/span[2]/span"")"),"Loading...")</f>
        <v>Loading...</v>
      </c>
      <c r="J133" s="7">
        <f ca="1">IFERROR(__xludf.DUMMYFUNCTION("GOOGLEFINANCE(""NSE:""&amp;D133,""marketcap"")"),482803712600)</f>
        <v>482803712600</v>
      </c>
      <c r="K133" s="7"/>
      <c r="L133" s="8">
        <f ca="1">IFERROR(__xludf.DUMMYFUNCTION("GOOGLEFINANCE(""NSE:""&amp;D133,""price"")"),1826)</f>
        <v>1826</v>
      </c>
      <c r="M133" s="9">
        <f t="shared" ca="1" si="2"/>
        <v>1826</v>
      </c>
      <c r="N133" s="10" t="e">
        <f t="shared" ca="1" si="3"/>
        <v>#DIV/0!</v>
      </c>
      <c r="O133" s="7">
        <f ca="1">IFERROR(__xludf.DUMMYFUNCTION("GOOGLEFINANCE(""NSE:""&amp;D133,""pe"")"),106.87)</f>
        <v>106.87</v>
      </c>
      <c r="P133" s="7">
        <f ca="1">IFERROR(__xludf.DUMMYFUNCTION("GOOGLEFINANCE(""NSE:""&amp;D133,""EPS"")"),17.09)</f>
        <v>17.09</v>
      </c>
      <c r="Q133" s="7">
        <v>13.5</v>
      </c>
      <c r="R133" s="7" t="str">
        <f ca="1">IFERROR(__xludf.DUMMYFUNCTION("IMPORTXML(E133,""/html/body/main/div[3]/div[3]/div[2]/ul/li[7]/span[2]/span"")"),"Loading...")</f>
        <v>Loading...</v>
      </c>
      <c r="S133" s="7" t="str">
        <f ca="1">IFERROR(__xludf.DUMMYFUNCTION("IMPORTXML(E133,""/html/body/main/div[3]/div[3]/div[2]/ul/li[8]/span[2]/span"")"),"Loading...")</f>
        <v>Loading...</v>
      </c>
      <c r="T133" s="4">
        <v>34.6</v>
      </c>
      <c r="U133" s="4">
        <v>22.7</v>
      </c>
      <c r="V133" s="4">
        <v>2.6</v>
      </c>
      <c r="W133" s="4">
        <v>5.7</v>
      </c>
      <c r="X133" s="4">
        <v>519.92999999999995</v>
      </c>
      <c r="Y133" s="7">
        <f t="shared" ca="1" si="4"/>
        <v>1306.0700000000002</v>
      </c>
    </row>
    <row r="134" spans="1:25" ht="15" x14ac:dyDescent="0.25">
      <c r="A134" s="4">
        <v>53</v>
      </c>
      <c r="C134" s="12" t="s">
        <v>517</v>
      </c>
      <c r="D134" s="12" t="s">
        <v>518</v>
      </c>
      <c r="E134" s="5" t="str">
        <f t="shared" si="0"/>
        <v>https://www.screener.in/company/LINDEINDIA/consolidated/</v>
      </c>
      <c r="H134" s="6">
        <f t="shared" ca="1" si="1"/>
        <v>0</v>
      </c>
      <c r="I134" s="7" t="str">
        <f ca="1">IFERROR(__xludf.DUMMYFUNCTION("IMPORTXML(E134,""/html/body/main/div[3]/div[3]/div[2]/ul/li[5]/span[2]/span"")"),"Loading...")</f>
        <v>Loading...</v>
      </c>
      <c r="J134" s="7">
        <f ca="1">IFERROR(__xludf.DUMMYFUNCTION("GOOGLEFINANCE(""NSE:""&amp;D134,""marketcap"")"),548783220193)</f>
        <v>548783220193</v>
      </c>
      <c r="K134" s="7"/>
      <c r="L134" s="8">
        <f ca="1">IFERROR(__xludf.DUMMYFUNCTION("GOOGLEFINANCE(""NSE:""&amp;D134,""price"")"),6410)</f>
        <v>6410</v>
      </c>
      <c r="M134" s="9">
        <f t="shared" ca="1" si="2"/>
        <v>6410</v>
      </c>
      <c r="N134" s="10" t="e">
        <f t="shared" ca="1" si="3"/>
        <v>#DIV/0!</v>
      </c>
      <c r="O134" s="7">
        <f ca="1">IFERROR(__xludf.DUMMYFUNCTION("GOOGLEFINANCE(""NSE:""&amp;D134,""pe"")"),121.93)</f>
        <v>121.93</v>
      </c>
      <c r="P134" s="7">
        <f ca="1">IFERROR(__xludf.DUMMYFUNCTION("GOOGLEFINANCE(""NSE:""&amp;D134,""EPS"")"),52.57)</f>
        <v>52.57</v>
      </c>
      <c r="Q134" s="7">
        <v>13.5</v>
      </c>
      <c r="R134" s="7" t="str">
        <f ca="1">IFERROR(__xludf.DUMMYFUNCTION("IMPORTXML(E134,""/html/body/main/div[3]/div[3]/div[2]/ul/li[7]/span[2]/span"")"),"Loading...")</f>
        <v>Loading...</v>
      </c>
      <c r="S134" s="7" t="str">
        <f ca="1">IFERROR(__xludf.DUMMYFUNCTION("IMPORTXML(E134,""/html/body/main/div[3]/div[3]/div[2]/ul/li[8]/span[2]/span"")"),"Loading...")</f>
        <v>Loading...</v>
      </c>
      <c r="T134" s="4">
        <v>34.6</v>
      </c>
      <c r="U134" s="4">
        <v>22.7</v>
      </c>
      <c r="V134" s="4">
        <v>2.6</v>
      </c>
      <c r="W134" s="4">
        <v>5.7</v>
      </c>
      <c r="X134" s="4">
        <v>519.92999999999995</v>
      </c>
      <c r="Y134" s="7">
        <f t="shared" ca="1" si="4"/>
        <v>5890.07</v>
      </c>
    </row>
    <row r="135" spans="1:25" ht="15" x14ac:dyDescent="0.25">
      <c r="A135" s="4">
        <v>13</v>
      </c>
      <c r="C135" s="12" t="s">
        <v>519</v>
      </c>
      <c r="D135" s="12" t="s">
        <v>520</v>
      </c>
      <c r="E135" s="5" t="str">
        <f t="shared" si="0"/>
        <v>https://www.screener.in/company/BHEL/consolidated/</v>
      </c>
      <c r="H135" s="6">
        <f t="shared" ca="1" si="1"/>
        <v>0</v>
      </c>
      <c r="I135" s="7" t="str">
        <f ca="1">IFERROR(__xludf.DUMMYFUNCTION("IMPORTXML(E135,""/html/body/main/div[3]/div[3]/div[2]/ul/li[5]/span[2]/span"")"),"Loading...")</f>
        <v>Loading...</v>
      </c>
      <c r="J135" s="7">
        <f ca="1">IFERROR(__xludf.DUMMYFUNCTION("GOOGLEFINANCE(""NSE:""&amp;D135,""marketcap"")"),739189361158)</f>
        <v>739189361158</v>
      </c>
      <c r="K135" s="7"/>
      <c r="L135" s="8">
        <f ca="1">IFERROR(__xludf.DUMMYFUNCTION("GOOGLEFINANCE(""NSE:""&amp;D135,""price"")"),212.9)</f>
        <v>212.9</v>
      </c>
      <c r="M135" s="9">
        <f t="shared" ca="1" si="2"/>
        <v>212.9</v>
      </c>
      <c r="N135" s="10" t="e">
        <f t="shared" ca="1" si="3"/>
        <v>#DIV/0!</v>
      </c>
      <c r="O135" s="7">
        <f ca="1">IFERROR(__xludf.DUMMYFUNCTION("GOOGLEFINANCE(""NSE:""&amp;D135,""pe"")"),188.62)</f>
        <v>188.62</v>
      </c>
      <c r="P135" s="7">
        <f ca="1">IFERROR(__xludf.DUMMYFUNCTION("GOOGLEFINANCE(""NSE:""&amp;D135,""EPS"")"),1.13)</f>
        <v>1.1299999999999999</v>
      </c>
      <c r="Q135" s="7">
        <v>13.5</v>
      </c>
      <c r="R135" s="7" t="str">
        <f ca="1">IFERROR(__xludf.DUMMYFUNCTION("IMPORTXML(E135,""/html/body/main/div[3]/div[3]/div[2]/ul/li[7]/span[2]/span"")"),"Loading...")</f>
        <v>Loading...</v>
      </c>
      <c r="S135" s="7" t="str">
        <f ca="1">IFERROR(__xludf.DUMMYFUNCTION("IMPORTXML(E135,""/html/body/main/div[3]/div[3]/div[2]/ul/li[8]/span[2]/span"")"),"Loading...")</f>
        <v>Loading...</v>
      </c>
      <c r="T135" s="4">
        <v>34.6</v>
      </c>
      <c r="U135" s="4">
        <v>22.7</v>
      </c>
      <c r="V135" s="4">
        <v>2.6</v>
      </c>
      <c r="W135" s="4">
        <v>5.7</v>
      </c>
      <c r="X135" s="4">
        <v>519.92999999999995</v>
      </c>
      <c r="Y135" s="7">
        <f t="shared" ca="1" si="4"/>
        <v>-307.02999999999997</v>
      </c>
    </row>
    <row r="136" spans="1:25" ht="15" x14ac:dyDescent="0.25">
      <c r="A136" s="4">
        <v>124</v>
      </c>
      <c r="C136" s="12" t="s">
        <v>521</v>
      </c>
      <c r="D136" s="12" t="s">
        <v>522</v>
      </c>
      <c r="E136" s="5" t="str">
        <f t="shared" si="0"/>
        <v>https://www.screener.in/company/MFSL/consolidated/</v>
      </c>
      <c r="H136" s="6">
        <f t="shared" ca="1" si="1"/>
        <v>0</v>
      </c>
      <c r="I136" s="7" t="str">
        <f ca="1">IFERROR(__xludf.DUMMYFUNCTION("IMPORTXML(E136,""/html/body/main/div[3]/div[3]/div[2]/ul/li[5]/span[2]/span"")"),"Loading...")</f>
        <v>Loading...</v>
      </c>
      <c r="J136" s="7">
        <f ca="1">IFERROR(__xludf.DUMMYFUNCTION("GOOGLEFINANCE(""NSE:""&amp;D136,""marketcap"")"),544384100000)</f>
        <v>544384100000</v>
      </c>
      <c r="K136" s="7"/>
      <c r="L136" s="8">
        <f ca="1">IFERROR(__xludf.DUMMYFUNCTION("GOOGLEFINANCE(""NSE:""&amp;D136,""price"")"),1576.6)</f>
        <v>1576.6</v>
      </c>
      <c r="M136" s="9">
        <f t="shared" ca="1" si="2"/>
        <v>1576.6</v>
      </c>
      <c r="N136" s="10" t="e">
        <f t="shared" ca="1" si="3"/>
        <v>#DIV/0!</v>
      </c>
      <c r="O136" s="7">
        <f ca="1">IFERROR(__xludf.DUMMYFUNCTION("GOOGLEFINANCE(""NSE:""&amp;D136,""pe"")"),201.25)</f>
        <v>201.25</v>
      </c>
      <c r="P136" s="7">
        <f ca="1">IFERROR(__xludf.DUMMYFUNCTION("GOOGLEFINANCE(""NSE:""&amp;D136,""EPS"")"),7.83)</f>
        <v>7.83</v>
      </c>
      <c r="Q136" s="7">
        <v>13.5</v>
      </c>
      <c r="R136" s="7" t="str">
        <f ca="1">IFERROR(__xludf.DUMMYFUNCTION("IMPORTXML(E136,""/html/body/main/div[3]/div[3]/div[2]/ul/li[7]/span[2]/span"")"),"Loading...")</f>
        <v>Loading...</v>
      </c>
      <c r="S136" s="7" t="str">
        <f ca="1">IFERROR(__xludf.DUMMYFUNCTION("IMPORTXML(E136,""/html/body/main/div[3]/div[3]/div[2]/ul/li[8]/span[2]/span"")"),"Loading...")</f>
        <v>Loading...</v>
      </c>
      <c r="T136" s="4">
        <v>34.6</v>
      </c>
      <c r="U136" s="4">
        <v>22.7</v>
      </c>
      <c r="V136" s="4">
        <v>2.6</v>
      </c>
      <c r="W136" s="4">
        <v>5.7</v>
      </c>
      <c r="X136" s="4">
        <v>519.92999999999995</v>
      </c>
      <c r="Y136" s="7">
        <f t="shared" ca="1" si="4"/>
        <v>1056.67</v>
      </c>
    </row>
    <row r="137" spans="1:25" ht="15" x14ac:dyDescent="0.25">
      <c r="A137" s="4">
        <v>100</v>
      </c>
      <c r="C137" s="12" t="s">
        <v>523</v>
      </c>
      <c r="D137" s="12" t="s">
        <v>524</v>
      </c>
      <c r="E137" s="5" t="str">
        <f t="shared" si="0"/>
        <v>https://www.screener.in/company/GVT&amp;D/consolidated/</v>
      </c>
      <c r="H137" s="6">
        <f t="shared" ca="1" si="1"/>
        <v>0</v>
      </c>
      <c r="I137" s="7" t="str">
        <f ca="1">IFERROR(__xludf.DUMMYFUNCTION("IMPORTXML(E137,""/html/body/main/div[3]/div[3]/div[2]/ul/li[5]/span[2]/span"")"),"Loading...")</f>
        <v>Loading...</v>
      </c>
      <c r="J137" s="7">
        <f ca="1">IFERROR(__xludf.DUMMYFUNCTION("GOOGLEFINANCE(""NSE:""&amp;D137,""marketcap"")"),703846300000)</f>
        <v>703846300000</v>
      </c>
      <c r="K137" s="7"/>
      <c r="L137" s="8">
        <f ca="1">IFERROR(__xludf.DUMMYFUNCTION("GOOGLEFINANCE(""NSE:""&amp;D137,""price"")"),2749.8)</f>
        <v>2749.8</v>
      </c>
      <c r="M137" s="9">
        <f t="shared" ca="1" si="2"/>
        <v>2749.8</v>
      </c>
      <c r="N137" s="10" t="e">
        <f t="shared" ca="1" si="3"/>
        <v>#DIV/0!</v>
      </c>
      <c r="O137" s="7">
        <f ca="1">IFERROR(__xludf.DUMMYFUNCTION("GOOGLEFINANCE(""NSE:""&amp;D137,""pe"")"),158.14)</f>
        <v>158.13999999999999</v>
      </c>
      <c r="P137" s="7">
        <f ca="1">IFERROR(__xludf.DUMMYFUNCTION("GOOGLEFINANCE(""NSE:""&amp;D137,""EPS"")"),11.22)</f>
        <v>11.22</v>
      </c>
      <c r="Q137" s="7">
        <v>13.5</v>
      </c>
      <c r="R137" s="7" t="str">
        <f ca="1">IFERROR(__xludf.DUMMYFUNCTION("IMPORTXML(E137,""/html/body/main/div[3]/div[3]/div[2]/ul/li[7]/span[2]/span"")"),"Loading...")</f>
        <v>Loading...</v>
      </c>
      <c r="S137" s="7" t="str">
        <f ca="1">IFERROR(__xludf.DUMMYFUNCTION("IMPORTXML(E137,""/html/body/main/div[3]/div[3]/div[2]/ul/li[8]/span[2]/span"")"),"Loading...")</f>
        <v>Loading...</v>
      </c>
      <c r="T137" s="4">
        <v>34.6</v>
      </c>
      <c r="U137" s="4">
        <v>22.7</v>
      </c>
      <c r="V137" s="4">
        <v>2.6</v>
      </c>
      <c r="W137" s="4">
        <v>5.7</v>
      </c>
      <c r="X137" s="4">
        <v>519.92999999999995</v>
      </c>
      <c r="Y137" s="7">
        <f t="shared" ca="1" si="4"/>
        <v>2229.8700000000003</v>
      </c>
    </row>
    <row r="138" spans="1:25" ht="15" x14ac:dyDescent="0.25">
      <c r="A138" s="4">
        <v>72</v>
      </c>
      <c r="C138" s="12" t="s">
        <v>525</v>
      </c>
      <c r="D138" s="12" t="s">
        <v>526</v>
      </c>
      <c r="E138" s="5" t="str">
        <f t="shared" si="0"/>
        <v>https://www.screener.in/company/POWERINDIA/consolidated/</v>
      </c>
      <c r="H138" s="6">
        <f t="shared" ca="1" si="1"/>
        <v>0</v>
      </c>
      <c r="I138" s="7" t="str">
        <f ca="1">IFERROR(__xludf.DUMMYFUNCTION("IMPORTXML(E138,""/html/body/main/div[3]/div[3]/div[2]/ul/li[5]/span[2]/span"")"),"Loading...")</f>
        <v>Loading...</v>
      </c>
      <c r="J138" s="7">
        <f ca="1">IFERROR(__xludf.DUMMYFUNCTION("GOOGLEFINANCE(""NSE:""&amp;D138,""marketcap"")"),841125005560)</f>
        <v>841125005560</v>
      </c>
      <c r="K138" s="7"/>
      <c r="L138" s="8">
        <f ca="1">IFERROR(__xludf.DUMMYFUNCTION("GOOGLEFINANCE(""NSE:""&amp;D138,""price"")"),18871)</f>
        <v>18871</v>
      </c>
      <c r="M138" s="9">
        <f t="shared" ca="1" si="2"/>
        <v>18871</v>
      </c>
      <c r="N138" s="10" t="e">
        <f t="shared" ca="1" si="3"/>
        <v>#DIV/0!</v>
      </c>
      <c r="O138" s="7">
        <f ca="1">IFERROR(__xludf.DUMMYFUNCTION("GOOGLEFINANCE(""NSE:""&amp;D138,""pe"")"),161)</f>
        <v>161</v>
      </c>
      <c r="P138" s="7">
        <f ca="1">IFERROR(__xludf.DUMMYFUNCTION("GOOGLEFINANCE(""NSE:""&amp;D138,""EPS"")"),117.21)</f>
        <v>117.21</v>
      </c>
      <c r="Q138" s="7">
        <v>13.5</v>
      </c>
      <c r="R138" s="7" t="str">
        <f ca="1">IFERROR(__xludf.DUMMYFUNCTION("IMPORTXML(E138,""/html/body/main/div[3]/div[3]/div[2]/ul/li[7]/span[2]/span"")"),"Loading...")</f>
        <v>Loading...</v>
      </c>
      <c r="S138" s="7" t="str">
        <f ca="1">IFERROR(__xludf.DUMMYFUNCTION("IMPORTXML(E138,""/html/body/main/div[3]/div[3]/div[2]/ul/li[8]/span[2]/span"")"),"Loading...")</f>
        <v>Loading...</v>
      </c>
      <c r="T138" s="4">
        <v>34.6</v>
      </c>
      <c r="U138" s="4">
        <v>22.7</v>
      </c>
      <c r="V138" s="4">
        <v>2.6</v>
      </c>
      <c r="W138" s="4">
        <v>5.7</v>
      </c>
      <c r="X138" s="4">
        <v>519.92999999999995</v>
      </c>
      <c r="Y138" s="7">
        <f t="shared" ca="1" si="4"/>
        <v>18351.07</v>
      </c>
    </row>
    <row r="139" spans="1:25" ht="15" x14ac:dyDescent="0.25">
      <c r="A139" s="4">
        <v>33</v>
      </c>
      <c r="C139" s="12" t="s">
        <v>527</v>
      </c>
      <c r="D139" s="12" t="s">
        <v>528</v>
      </c>
      <c r="E139" s="5" t="str">
        <f t="shared" si="0"/>
        <v>https://www.screener.in/company/POLICYBZR/consolidated/</v>
      </c>
      <c r="H139" s="6">
        <f t="shared" ca="1" si="1"/>
        <v>0</v>
      </c>
      <c r="I139" s="7" t="str">
        <f ca="1">IFERROR(__xludf.DUMMYFUNCTION("IMPORTXML(E139,""/html/body/main/div[3]/div[3]/div[2]/ul/li[5]/span[2]/span"")"),"Loading...")</f>
        <v>Loading...</v>
      </c>
      <c r="J139" s="7">
        <f ca="1">IFERROR(__xludf.DUMMYFUNCTION("GOOGLEFINANCE(""NSE:""&amp;D139,""marketcap"")"),834648400000)</f>
        <v>834648400000</v>
      </c>
      <c r="K139" s="7"/>
      <c r="L139" s="8">
        <f ca="1">IFERROR(__xludf.DUMMYFUNCTION("GOOGLEFINANCE(""NSE:""&amp;D139,""price"")"),1828.4)</f>
        <v>1828.4</v>
      </c>
      <c r="M139" s="9">
        <f t="shared" ca="1" si="2"/>
        <v>1828.4</v>
      </c>
      <c r="N139" s="10" t="e">
        <f t="shared" ca="1" si="3"/>
        <v>#DIV/0!</v>
      </c>
      <c r="O139" s="7">
        <f ca="1">IFERROR(__xludf.DUMMYFUNCTION("GOOGLEFINANCE(""NSE:""&amp;D139,""pe"")"),224.07)</f>
        <v>224.07</v>
      </c>
      <c r="P139" s="7">
        <f ca="1">IFERROR(__xludf.DUMMYFUNCTION("GOOGLEFINANCE(""NSE:""&amp;D139,""EPS"")"),8.16)</f>
        <v>8.16</v>
      </c>
      <c r="Q139" s="7">
        <v>13.5</v>
      </c>
      <c r="R139" s="7" t="str">
        <f ca="1">IFERROR(__xludf.DUMMYFUNCTION("IMPORTXML(E139,""/html/body/main/div[3]/div[3]/div[2]/ul/li[7]/span[2]/span"")"),"Loading...")</f>
        <v>Loading...</v>
      </c>
      <c r="S139" s="7" t="str">
        <f ca="1">IFERROR(__xludf.DUMMYFUNCTION("IMPORTXML(E139,""/html/body/main/div[3]/div[3]/div[2]/ul/li[8]/span[2]/span"")"),"Loading...")</f>
        <v>Loading...</v>
      </c>
      <c r="T139" s="4">
        <v>34.6</v>
      </c>
      <c r="U139" s="4">
        <v>22.7</v>
      </c>
      <c r="V139" s="4">
        <v>2.6</v>
      </c>
      <c r="W139" s="4">
        <v>5.7</v>
      </c>
      <c r="X139" s="4">
        <v>519.92999999999995</v>
      </c>
      <c r="Y139" s="7">
        <f t="shared" ca="1" si="4"/>
        <v>1308.4700000000003</v>
      </c>
    </row>
    <row r="140" spans="1:25" ht="15" x14ac:dyDescent="0.25">
      <c r="A140" s="4">
        <v>75</v>
      </c>
      <c r="C140" s="12" t="s">
        <v>529</v>
      </c>
      <c r="D140" s="12" t="s">
        <v>530</v>
      </c>
      <c r="E140" s="5" t="str">
        <f t="shared" si="0"/>
        <v>https://www.screener.in/company/NYKAA/consolidated/</v>
      </c>
      <c r="H140" s="6">
        <f t="shared" ca="1" si="1"/>
        <v>0</v>
      </c>
      <c r="I140" s="7" t="str">
        <f ca="1">IFERROR(__xludf.DUMMYFUNCTION("IMPORTXML(E140,""/html/body/main/div[3]/div[3]/div[2]/ul/li[5]/span[2]/span"")"),"Loading...")</f>
        <v>Loading...</v>
      </c>
      <c r="J140" s="7">
        <f ca="1">IFERROR(__xludf.DUMMYFUNCTION("GOOGLEFINANCE(""NSE:""&amp;D140,""marketcap"")"),695269656000)</f>
        <v>695269656000</v>
      </c>
      <c r="K140" s="7"/>
      <c r="L140" s="8">
        <f ca="1">IFERROR(__xludf.DUMMYFUNCTION("GOOGLEFINANCE(""NSE:""&amp;D140,""price"")"),243)</f>
        <v>243</v>
      </c>
      <c r="M140" s="9">
        <f t="shared" ca="1" si="2"/>
        <v>243</v>
      </c>
      <c r="N140" s="10" t="e">
        <f t="shared" ca="1" si="3"/>
        <v>#DIV/0!</v>
      </c>
      <c r="O140" s="7">
        <f ca="1">IFERROR(__xludf.DUMMYFUNCTION("GOOGLEFINANCE(""NSE:""&amp;D140,""pe"")"),865.23)</f>
        <v>865.23</v>
      </c>
      <c r="P140" s="7">
        <f ca="1">IFERROR(__xludf.DUMMYFUNCTION("GOOGLEFINANCE(""NSE:""&amp;D140,""EPS"")"),0.28)</f>
        <v>0.28000000000000003</v>
      </c>
      <c r="Q140" s="7">
        <v>13.5</v>
      </c>
      <c r="R140" s="7" t="str">
        <f ca="1">IFERROR(__xludf.DUMMYFUNCTION("IMPORTXML(E140,""/html/body/main/div[3]/div[3]/div[2]/ul/li[7]/span[2]/span"")"),"Loading...")</f>
        <v>Loading...</v>
      </c>
      <c r="S140" s="7">
        <f ca="1">IFERROR(__xludf.DUMMYFUNCTION("IMPORTXML(E140,""/html/body/main/div[3]/div[3]/div[2]/ul/li[8]/span[2]/span"")"),5.16)</f>
        <v>5.16</v>
      </c>
      <c r="T140" s="4">
        <v>34.6</v>
      </c>
      <c r="U140" s="4">
        <v>22.7</v>
      </c>
      <c r="V140" s="4">
        <v>2.6</v>
      </c>
      <c r="W140" s="4">
        <v>5.7</v>
      </c>
      <c r="X140" s="4">
        <v>519.92999999999995</v>
      </c>
      <c r="Y140" s="7">
        <f t="shared" ca="1" si="4"/>
        <v>-276.92999999999995</v>
      </c>
    </row>
    <row r="141" spans="1:25" ht="15" x14ac:dyDescent="0.25">
      <c r="A141" s="4">
        <v>25</v>
      </c>
      <c r="C141" s="12" t="s">
        <v>531</v>
      </c>
      <c r="D141" s="12" t="s">
        <v>532</v>
      </c>
      <c r="E141" s="5" t="str">
        <f t="shared" si="0"/>
        <v>https://www.screener.in/company/GMRAIRPORT/consolidated/</v>
      </c>
      <c r="H141" s="6">
        <f t="shared" ca="1" si="1"/>
        <v>0</v>
      </c>
      <c r="I141" s="7" t="str">
        <f ca="1">IFERROR(__xludf.DUMMYFUNCTION("IMPORTXML(E141,""/html/body/main/div[3]/div[3]/div[2]/ul/li[5]/span[2]/span"")"),"Loading...")</f>
        <v>Loading...</v>
      </c>
      <c r="J141" s="7">
        <f ca="1">IFERROR(__xludf.DUMMYFUNCTION("GOOGLEFINANCE(""NSE:""&amp;D141,""marketcap"")"),909549669355)</f>
        <v>909549669355</v>
      </c>
      <c r="K141" s="7"/>
      <c r="L141" s="8">
        <f ca="1">IFERROR(__xludf.DUMMYFUNCTION("GOOGLEFINANCE(""NSE:""&amp;D141,""price"")"),86.14)</f>
        <v>86.14</v>
      </c>
      <c r="M141" s="9">
        <f t="shared" ca="1" si="2"/>
        <v>86.14</v>
      </c>
      <c r="N141" s="10" t="e">
        <f t="shared" ca="1" si="3"/>
        <v>#DIV/0!</v>
      </c>
      <c r="O141" s="7" t="str">
        <f ca="1">IFERROR(__xludf.DUMMYFUNCTION("GOOGLEFINANCE(""NSE:""&amp;D141,""pe"")"),"#N/A")</f>
        <v>#N/A</v>
      </c>
      <c r="P141" s="7">
        <f ca="1">IFERROR(__xludf.DUMMYFUNCTION("GOOGLEFINANCE(""NSE:""&amp;D141,""EPS"")"),-1.25)</f>
        <v>-1.25</v>
      </c>
      <c r="Q141" s="7">
        <v>13.5</v>
      </c>
      <c r="R141" s="7" t="str">
        <f ca="1">IFERROR(__xludf.DUMMYFUNCTION("IMPORTXML(E141,""/html/body/main/div[3]/div[3]/div[2]/ul/li[7]/span[2]/span"")"),"Loading...")</f>
        <v>Loading...</v>
      </c>
      <c r="S141" s="7" t="str">
        <f ca="1">IFERROR(__xludf.DUMMYFUNCTION("IMPORTXML(E141,""/html/body/main/div[3]/div[3]/div[2]/ul/li[8]/span[2]/span"")"),"Loading...")</f>
        <v>Loading...</v>
      </c>
      <c r="T141" s="4">
        <v>34.6</v>
      </c>
      <c r="U141" s="4">
        <v>22.7</v>
      </c>
      <c r="V141" s="4">
        <v>2.6</v>
      </c>
      <c r="W141" s="4">
        <v>5.7</v>
      </c>
      <c r="X141" s="4">
        <v>519.92999999999995</v>
      </c>
      <c r="Y141" s="7">
        <f t="shared" ca="1" si="4"/>
        <v>-433.78999999999996</v>
      </c>
    </row>
    <row r="142" spans="1:25" ht="15" x14ac:dyDescent="0.25">
      <c r="A142" s="4">
        <v>29</v>
      </c>
      <c r="C142" s="12" t="s">
        <v>533</v>
      </c>
      <c r="D142" s="12" t="s">
        <v>534</v>
      </c>
      <c r="E142" s="5" t="str">
        <f t="shared" si="0"/>
        <v>https://www.screener.in/company/WAAREEENER/consolidated/</v>
      </c>
      <c r="H142" s="6">
        <f t="shared" ca="1" si="1"/>
        <v>0</v>
      </c>
      <c r="I142" s="7" t="str">
        <f ca="1">IFERROR(__xludf.DUMMYFUNCTION("IMPORTXML(E142,""/html/body/main/div[3]/div[3]/div[2]/ul/li[5]/span[2]/span"")"),"Loading...")</f>
        <v>Loading...</v>
      </c>
      <c r="J142" s="7">
        <f ca="1">IFERROR(__xludf.DUMMYFUNCTION("GOOGLEFINANCE(""NSE:""&amp;D142,""marketcap"")"),924370880885)</f>
        <v>924370880885</v>
      </c>
      <c r="K142" s="7"/>
      <c r="L142" s="8">
        <f ca="1">IFERROR(__xludf.DUMMYFUNCTION("GOOGLEFINANCE(""NSE:""&amp;D142,""price"")"),3219.9)</f>
        <v>3219.9</v>
      </c>
      <c r="M142" s="9">
        <f t="shared" ca="1" si="2"/>
        <v>3219.9</v>
      </c>
      <c r="N142" s="10" t="e">
        <f t="shared" ca="1" si="3"/>
        <v>#DIV/0!</v>
      </c>
      <c r="O142" s="7">
        <f ca="1">IFERROR(__xludf.DUMMYFUNCTION("GOOGLEFINANCE(""NSE:""&amp;D142,""pe"")"),40.56)</f>
        <v>40.56</v>
      </c>
      <c r="P142" s="7">
        <f ca="1">IFERROR(__xludf.DUMMYFUNCTION("GOOGLEFINANCE(""NSE:""&amp;D142,""EPS"")"),79.39)</f>
        <v>79.39</v>
      </c>
      <c r="Q142" s="7">
        <v>13.5</v>
      </c>
      <c r="R142" s="7" t="str">
        <f ca="1">IFERROR(__xludf.DUMMYFUNCTION("IMPORTXML(E142,""/html/body/main/div[3]/div[3]/div[2]/ul/li[7]/span[2]/span"")"),"Loading...")</f>
        <v>Loading...</v>
      </c>
      <c r="S142" s="7" t="str">
        <f ca="1">IFERROR(__xludf.DUMMYFUNCTION("IMPORTXML(E142,""/html/body/main/div[3]/div[3]/div[2]/ul/li[8]/span[2]/span"")"),"Loading...")</f>
        <v>Loading...</v>
      </c>
      <c r="T142" s="4">
        <v>34.6</v>
      </c>
      <c r="U142" s="4">
        <v>22.7</v>
      </c>
      <c r="V142" s="4">
        <v>2.6</v>
      </c>
      <c r="W142" s="4">
        <v>5.7</v>
      </c>
      <c r="X142" s="4">
        <v>519.92999999999995</v>
      </c>
      <c r="Y142" s="7">
        <f t="shared" ca="1" si="4"/>
        <v>2699.9700000000003</v>
      </c>
    </row>
    <row r="143" spans="1:25" ht="15" x14ac:dyDescent="0.25">
      <c r="A143" s="4">
        <v>32</v>
      </c>
      <c r="C143" s="12" t="s">
        <v>535</v>
      </c>
      <c r="D143" s="12" t="s">
        <v>536</v>
      </c>
      <c r="E143" s="5" t="str">
        <f t="shared" si="0"/>
        <v>https://www.screener.in/company/IDEA/consolidated/</v>
      </c>
      <c r="H143" s="6">
        <f t="shared" ca="1" si="1"/>
        <v>0</v>
      </c>
      <c r="I143" s="7" t="str">
        <f ca="1">IFERROR(__xludf.DUMMYFUNCTION("IMPORTXML(E143,""/html/body/main/div[3]/div[3]/div[2]/ul/li[5]/span[2]/span"")"),"Loading...")</f>
        <v>Loading...</v>
      </c>
      <c r="J143" s="7">
        <f ca="1">IFERROR(__xludf.DUMMYFUNCTION("GOOGLEFINANCE(""NSE:""&amp;D143,""marketcap"")"),783218107239)</f>
        <v>783218107239</v>
      </c>
      <c r="K143" s="7"/>
      <c r="L143" s="8">
        <f ca="1">IFERROR(__xludf.DUMMYFUNCTION("GOOGLEFINANCE(""NSE:""&amp;D143,""price"")"),7.25)</f>
        <v>7.25</v>
      </c>
      <c r="M143" s="9">
        <f t="shared" ca="1" si="2"/>
        <v>7.25</v>
      </c>
      <c r="N143" s="10" t="e">
        <f t="shared" ca="1" si="3"/>
        <v>#DIV/0!</v>
      </c>
      <c r="O143" s="7" t="str">
        <f ca="1">IFERROR(__xludf.DUMMYFUNCTION("GOOGLEFINANCE(""NSE:""&amp;D143,""pe"")"),"#N/A")</f>
        <v>#N/A</v>
      </c>
      <c r="P143" s="7">
        <f ca="1">IFERROR(__xludf.DUMMYFUNCTION("GOOGLEFINANCE(""NSE:""&amp;D143,""EPS"")"),-3.62)</f>
        <v>-3.62</v>
      </c>
      <c r="Q143" s="7">
        <v>13.5</v>
      </c>
      <c r="R143" s="7" t="str">
        <f ca="1">IFERROR(__xludf.DUMMYFUNCTION("IMPORTXML(E143,""/html/body/main/div[3]/div[3]/div[2]/ul/li[7]/span[2]/span"")"),"Loading...")</f>
        <v>Loading...</v>
      </c>
      <c r="S143" s="7" t="str">
        <f ca="1">IFERROR(__xludf.DUMMYFUNCTION("IMPORTXML(E143,""/html/body/main/div[3]/div[3]/div[2]/ul/li[8]/span[2]/span"")"),"Loading...")</f>
        <v>Loading...</v>
      </c>
      <c r="T143" s="4">
        <v>34.6</v>
      </c>
      <c r="U143" s="4">
        <v>22.7</v>
      </c>
      <c r="V143" s="4">
        <v>2.6</v>
      </c>
      <c r="W143" s="4">
        <v>5.7</v>
      </c>
      <c r="X143" s="4">
        <v>519.92999999999995</v>
      </c>
      <c r="Y143" s="7">
        <f t="shared" ca="1" si="4"/>
        <v>-512.67999999999995</v>
      </c>
    </row>
    <row r="144" spans="1:25" ht="15" x14ac:dyDescent="0.25">
      <c r="A144" s="4">
        <v>56</v>
      </c>
      <c r="C144" s="12" t="s">
        <v>537</v>
      </c>
      <c r="D144" s="12" t="s">
        <v>538</v>
      </c>
      <c r="E144" s="5" t="str">
        <f t="shared" si="0"/>
        <v>https://www.screener.in/company/FACT/consolidated/</v>
      </c>
      <c r="H144" s="6">
        <f t="shared" ca="1" si="1"/>
        <v>0</v>
      </c>
      <c r="I144" s="7" t="str">
        <f ca="1">IFERROR(__xludf.DUMMYFUNCTION("IMPORTXML(E144,""/html/body/main/div[3]/div[3]/div[2]/ul/li[5]/span[2]/span"")"),"Loading...")</f>
        <v>Loading...</v>
      </c>
      <c r="J144" s="7">
        <f ca="1">IFERROR(__xludf.DUMMYFUNCTION("GOOGLEFINANCE(""NSE:""&amp;D144,""marketcap"")"),640601280000)</f>
        <v>640601280000</v>
      </c>
      <c r="K144" s="7"/>
      <c r="L144" s="8">
        <f ca="1">IFERROR(__xludf.DUMMYFUNCTION("GOOGLEFINANCE(""NSE:""&amp;D144,""price"")"),990)</f>
        <v>990</v>
      </c>
      <c r="M144" s="9">
        <f t="shared" ca="1" si="2"/>
        <v>990</v>
      </c>
      <c r="N144" s="10" t="e">
        <f t="shared" ca="1" si="3"/>
        <v>#DIV/0!</v>
      </c>
      <c r="O144" s="7">
        <f ca="1">IFERROR(__xludf.DUMMYFUNCTION("GOOGLEFINANCE(""NSE:""&amp;D144,""pe"")"),695.49)</f>
        <v>695.49</v>
      </c>
      <c r="P144" s="7">
        <f ca="1">IFERROR(__xludf.DUMMYFUNCTION("GOOGLEFINANCE(""NSE:""&amp;D144,""EPS"")"),1.42)</f>
        <v>1.42</v>
      </c>
      <c r="Q144" s="7">
        <v>13.5</v>
      </c>
      <c r="R144" s="7" t="str">
        <f ca="1">IFERROR(__xludf.DUMMYFUNCTION("IMPORTXML(E144,""/html/body/main/div[3]/div[3]/div[2]/ul/li[7]/span[2]/span"")"),"Loading...")</f>
        <v>Loading...</v>
      </c>
      <c r="S144" s="7" t="str">
        <f ca="1">IFERROR(__xludf.DUMMYFUNCTION("IMPORTXML(E144,""/html/body/main/div[3]/div[3]/div[2]/ul/li[8]/span[2]/span"")"),"Loading...")</f>
        <v>Loading...</v>
      </c>
      <c r="T144" s="4">
        <v>34.6</v>
      </c>
      <c r="U144" s="4">
        <v>22.7</v>
      </c>
      <c r="V144" s="4">
        <v>2.6</v>
      </c>
      <c r="W144" s="4">
        <v>5.7</v>
      </c>
      <c r="X144" s="4">
        <v>519.92999999999995</v>
      </c>
      <c r="Y144" s="7">
        <f t="shared" ca="1" si="4"/>
        <v>470.07000000000005</v>
      </c>
    </row>
    <row r="145" spans="1:25" ht="15" x14ac:dyDescent="0.25">
      <c r="A145" s="4">
        <v>59</v>
      </c>
      <c r="C145" s="41" t="s">
        <v>539</v>
      </c>
      <c r="D145" s="42"/>
      <c r="E145" s="5" t="str">
        <f t="shared" si="0"/>
        <v>https://www.screener.in/company//consolidated/</v>
      </c>
      <c r="H145" s="6" t="e">
        <f t="shared" ca="1" si="1"/>
        <v>#VALUE!</v>
      </c>
      <c r="I145" s="7" t="str">
        <f ca="1">IFERROR(__xludf.DUMMYFUNCTION("IMPORTXML(E145,""/html/body/main/div[3]/div[3]/div[2]/ul/li[5]/span[2]/span"")"),"Loading...")</f>
        <v>Loading...</v>
      </c>
      <c r="J145" s="7" t="str">
        <f ca="1">IFERROR(__xludf.DUMMYFUNCTION("GOOGLEFINANCE(""NSE:""&amp;D145,""marketcap"")"),"#N/A")</f>
        <v>#N/A</v>
      </c>
      <c r="K145" s="7"/>
      <c r="L145" s="8" t="str">
        <f ca="1">IFERROR(__xludf.DUMMYFUNCTION("GOOGLEFINANCE(""NSE:""&amp;D145,""price"")"),"#N/A")</f>
        <v>#N/A</v>
      </c>
      <c r="M145" s="9" t="e">
        <f t="shared" ca="1" si="2"/>
        <v>#VALUE!</v>
      </c>
      <c r="N145" s="10" t="e">
        <f t="shared" ca="1" si="3"/>
        <v>#VALUE!</v>
      </c>
      <c r="O145" s="7" t="str">
        <f ca="1">IFERROR(__xludf.DUMMYFUNCTION("GOOGLEFINANCE(""NSE:""&amp;D145,""pe"")"),"#N/A")</f>
        <v>#N/A</v>
      </c>
      <c r="P145" s="7" t="str">
        <f ca="1">IFERROR(__xludf.DUMMYFUNCTION("GOOGLEFINANCE(""NSE:""&amp;D145,""EPS"")"),"#N/A")</f>
        <v>#N/A</v>
      </c>
      <c r="Q145" s="7">
        <v>13.5</v>
      </c>
      <c r="R145" s="7" t="str">
        <f ca="1">IFERROR(__xludf.DUMMYFUNCTION("IMPORTXML(E145,""/html/body/main/div[3]/div[3]/div[2]/ul/li[7]/span[2]/span"")"),"Loading...")</f>
        <v>Loading...</v>
      </c>
      <c r="S145" s="7" t="str">
        <f ca="1">IFERROR(__xludf.DUMMYFUNCTION("IMPORTXML(E145,""/html/body/main/div[3]/div[3]/div[2]/ul/li[8]/span[2]/span"")"),"Loading...")</f>
        <v>Loading...</v>
      </c>
      <c r="T145" s="4">
        <v>34.6</v>
      </c>
      <c r="U145" s="4">
        <v>22.7</v>
      </c>
      <c r="V145" s="4">
        <v>2.6</v>
      </c>
      <c r="W145" s="4">
        <v>5.7</v>
      </c>
      <c r="X145" s="4">
        <v>519.92999999999995</v>
      </c>
      <c r="Y145" s="7" t="e">
        <f t="shared" ca="1" si="4"/>
        <v>#VALUE!</v>
      </c>
    </row>
    <row r="146" spans="1:25" ht="15" x14ac:dyDescent="0.25">
      <c r="A146" s="4">
        <v>101</v>
      </c>
      <c r="C146" s="12" t="s">
        <v>540</v>
      </c>
      <c r="D146" s="12" t="s">
        <v>541</v>
      </c>
      <c r="E146" s="5" t="str">
        <f t="shared" si="0"/>
        <v>https://www.screener.in/company/GLENMARK/consolidated/</v>
      </c>
      <c r="H146" s="6">
        <f t="shared" ca="1" si="1"/>
        <v>0</v>
      </c>
      <c r="I146" s="7" t="str">
        <f ca="1">IFERROR(__xludf.DUMMYFUNCTION("IMPORTXML(E146,""/html/body/main/div[3]/div[3]/div[2]/ul/li[5]/span[2]/span"")"),"Loading...")</f>
        <v>Loading...</v>
      </c>
      <c r="J146" s="7">
        <f ca="1">IFERROR(__xludf.DUMMYFUNCTION("GOOGLEFINANCE(""NSE:""&amp;D146,""marketcap"")"),579696869580)</f>
        <v>579696869580</v>
      </c>
      <c r="K146" s="7"/>
      <c r="L146" s="8">
        <f ca="1">IFERROR(__xludf.DUMMYFUNCTION("GOOGLEFINANCE(""NSE:""&amp;D146,""price"")"),2054.2)</f>
        <v>2054.1999999999998</v>
      </c>
      <c r="M146" s="9">
        <f t="shared" ca="1" si="2"/>
        <v>2054.1999999999998</v>
      </c>
      <c r="N146" s="10" t="e">
        <f t="shared" ca="1" si="3"/>
        <v>#DIV/0!</v>
      </c>
      <c r="O146" s="7">
        <f ca="1">IFERROR(__xludf.DUMMYFUNCTION("GOOGLEFINANCE(""NSE:""&amp;D146,""pe"")"),76.92)</f>
        <v>76.92</v>
      </c>
      <c r="P146" s="7">
        <f ca="1">IFERROR(__xludf.DUMMYFUNCTION("GOOGLEFINANCE(""NSE:""&amp;D146,""EPS"")"),26.7)</f>
        <v>26.7</v>
      </c>
      <c r="Q146" s="7">
        <v>13.5</v>
      </c>
      <c r="R146" s="7" t="str">
        <f ca="1">IFERROR(__xludf.DUMMYFUNCTION("IMPORTXML(E146,""/html/body/main/div[3]/div[3]/div[2]/ul/li[7]/span[2]/span"")"),"Loading...")</f>
        <v>Loading...</v>
      </c>
      <c r="S146" s="7" t="str">
        <f ca="1">IFERROR(__xludf.DUMMYFUNCTION("IMPORTXML(E146,""/html/body/main/div[3]/div[3]/div[2]/ul/li[8]/span[2]/span"")"),"Loading...")</f>
        <v>Loading...</v>
      </c>
      <c r="T146" s="4">
        <v>34.6</v>
      </c>
      <c r="U146" s="4">
        <v>22.7</v>
      </c>
      <c r="V146" s="4">
        <v>2.6</v>
      </c>
      <c r="W146" s="4">
        <v>5.7</v>
      </c>
      <c r="X146" s="4">
        <v>519.92999999999995</v>
      </c>
      <c r="Y146" s="7">
        <f t="shared" ca="1" si="4"/>
        <v>1534.27</v>
      </c>
    </row>
    <row r="147" spans="1:25" ht="15" x14ac:dyDescent="0.25">
      <c r="A147" s="4">
        <v>105</v>
      </c>
      <c r="C147" s="12" t="s">
        <v>542</v>
      </c>
      <c r="D147" s="12" t="s">
        <v>543</v>
      </c>
      <c r="E147" s="5" t="str">
        <f t="shared" si="0"/>
        <v>https://www.screener.in/company/PAYTM/consolidated/</v>
      </c>
      <c r="H147" s="6">
        <f t="shared" ca="1" si="1"/>
        <v>0</v>
      </c>
      <c r="I147" s="7" t="str">
        <f ca="1">IFERROR(__xludf.DUMMYFUNCTION("IMPORTXML(E147,""/html/body/main/div[3]/div[3]/div[2]/ul/li[5]/span[2]/span"")"),"Loading...")</f>
        <v>Loading...</v>
      </c>
      <c r="J147" s="7">
        <f ca="1">IFERROR(__xludf.DUMMYFUNCTION("GOOGLEFINANCE(""NSE:""&amp;D147,""marketcap"")"),800077602391)</f>
        <v>800077602391</v>
      </c>
      <c r="K147" s="7"/>
      <c r="L147" s="8">
        <f ca="1">IFERROR(__xludf.DUMMYFUNCTION("GOOGLEFINANCE(""NSE:""&amp;D147,""price"")"),1254.6)</f>
        <v>1254.5999999999999</v>
      </c>
      <c r="M147" s="9">
        <f t="shared" ca="1" si="2"/>
        <v>1254.5999999999999</v>
      </c>
      <c r="N147" s="10" t="e">
        <f t="shared" ca="1" si="3"/>
        <v>#DIV/0!</v>
      </c>
      <c r="O147" s="7">
        <f ca="1">IFERROR(__xludf.DUMMYFUNCTION("GOOGLEFINANCE(""NSE:""&amp;D147,""pe"")"),280.83)</f>
        <v>280.83</v>
      </c>
      <c r="P147" s="7">
        <f ca="1">IFERROR(__xludf.DUMMYFUNCTION("GOOGLEFINANCE(""NSE:""&amp;D147,""EPS"")"),4.47)</f>
        <v>4.47</v>
      </c>
      <c r="Q147" s="7">
        <v>13.5</v>
      </c>
      <c r="R147" s="7" t="str">
        <f ca="1">IFERROR(__xludf.DUMMYFUNCTION("IMPORTXML(E147,""/html/body/main/div[3]/div[3]/div[2]/ul/li[7]/span[2]/span"")"),"Loading...")</f>
        <v>Loading...</v>
      </c>
      <c r="S147" s="7" t="str">
        <f ca="1">IFERROR(__xludf.DUMMYFUNCTION("IMPORTXML(E147,""/html/body/main/div[3]/div[3]/div[2]/ul/li[8]/span[2]/span"")"),"Loading...")</f>
        <v>Loading...</v>
      </c>
      <c r="T147" s="4">
        <v>34.6</v>
      </c>
      <c r="U147" s="4">
        <v>22.7</v>
      </c>
      <c r="V147" s="4">
        <v>2.6</v>
      </c>
      <c r="W147" s="4">
        <v>5.7</v>
      </c>
      <c r="X147" s="4">
        <v>519.92999999999995</v>
      </c>
      <c r="Y147" s="7">
        <f t="shared" ca="1" si="4"/>
        <v>734.67</v>
      </c>
    </row>
    <row r="148" spans="1:25" ht="15" x14ac:dyDescent="0.25">
      <c r="A148" s="4">
        <v>108</v>
      </c>
      <c r="C148" s="12" t="s">
        <v>544</v>
      </c>
      <c r="D148" s="12" t="s">
        <v>545</v>
      </c>
      <c r="E148" s="5" t="str">
        <f t="shared" si="0"/>
        <v>https://www.screener.in/company/UPL/consolidated/</v>
      </c>
      <c r="H148" s="6">
        <f t="shared" ca="1" si="1"/>
        <v>0</v>
      </c>
      <c r="I148" s="7" t="str">
        <f ca="1">IFERROR(__xludf.DUMMYFUNCTION("IMPORTXML(E148,""/html/body/main/div[3]/div[3]/div[2]/ul/li[5]/span[2]/span"")"),"Loading...")</f>
        <v>Loading...</v>
      </c>
      <c r="J148" s="7">
        <f ca="1">IFERROR(__xludf.DUMMYFUNCTION("GOOGLEFINANCE(""NSE:""&amp;D148,""marketcap"")"),624711085474)</f>
        <v>624711085474</v>
      </c>
      <c r="K148" s="7"/>
      <c r="L148" s="8">
        <f ca="1">IFERROR(__xludf.DUMMYFUNCTION("GOOGLEFINANCE(""NSE:""&amp;D148,""price"")"),688.7)</f>
        <v>688.7</v>
      </c>
      <c r="M148" s="9">
        <f t="shared" ca="1" si="2"/>
        <v>688.7</v>
      </c>
      <c r="N148" s="10" t="e">
        <f t="shared" ca="1" si="3"/>
        <v>#DIV/0!</v>
      </c>
      <c r="O148" s="7">
        <f ca="1">IFERROR(__xludf.DUMMYFUNCTION("GOOGLEFINANCE(""NSE:""&amp;D148,""pe"")"),54.5)</f>
        <v>54.5</v>
      </c>
      <c r="P148" s="7">
        <f ca="1">IFERROR(__xludf.DUMMYFUNCTION("GOOGLEFINANCE(""NSE:""&amp;D148,""EPS"")"),12.64)</f>
        <v>12.64</v>
      </c>
      <c r="Q148" s="7">
        <v>13.5</v>
      </c>
      <c r="R148" s="7" t="str">
        <f ca="1">IFERROR(__xludf.DUMMYFUNCTION("IMPORTXML(E148,""/html/body/main/div[3]/div[3]/div[2]/ul/li[7]/span[2]/span"")"),"Loading...")</f>
        <v>Loading...</v>
      </c>
      <c r="S148" s="7" t="str">
        <f ca="1">IFERROR(__xludf.DUMMYFUNCTION("IMPORTXML(E148,""/html/body/main/div[3]/div[3]/div[2]/ul/li[8]/span[2]/span"")"),"Loading...")</f>
        <v>Loading...</v>
      </c>
      <c r="T148" s="4">
        <v>34.6</v>
      </c>
      <c r="U148" s="4">
        <v>22.7</v>
      </c>
      <c r="V148" s="4">
        <v>2.6</v>
      </c>
      <c r="W148" s="4">
        <v>5.7</v>
      </c>
      <c r="X148" s="4">
        <v>519.92999999999995</v>
      </c>
      <c r="Y148" s="7">
        <f t="shared" ca="1" si="4"/>
        <v>168.7700000000001</v>
      </c>
    </row>
    <row r="149" spans="1:25" ht="15" x14ac:dyDescent="0.25">
      <c r="A149" s="4">
        <v>111</v>
      </c>
      <c r="C149" s="12" t="s">
        <v>546</v>
      </c>
      <c r="D149" s="12" t="s">
        <v>547</v>
      </c>
      <c r="E149" s="5" t="str">
        <f t="shared" si="0"/>
        <v>https://www.screener.in/company/OLAELEC/consolidated/</v>
      </c>
      <c r="H149" s="6">
        <f t="shared" ca="1" si="1"/>
        <v>0</v>
      </c>
      <c r="I149" s="7" t="str">
        <f ca="1">IFERROR(__xludf.DUMMYFUNCTION("IMPORTXML(E149,""/html/body/main/div[3]/div[3]/div[2]/ul/li[5]/span[2]/span"")"),"Loading...")</f>
        <v>Loading...</v>
      </c>
      <c r="J149" s="7">
        <f ca="1">IFERROR(__xludf.DUMMYFUNCTION("GOOGLEFINANCE(""NSE:""&amp;D149,""marketcap"")"),250220944102)</f>
        <v>250220944102</v>
      </c>
      <c r="K149" s="7"/>
      <c r="L149" s="8">
        <f ca="1">IFERROR(__xludf.DUMMYFUNCTION("GOOGLEFINANCE(""NSE:""&amp;D149,""price"")"),60.21)</f>
        <v>60.21</v>
      </c>
      <c r="M149" s="9">
        <f t="shared" ca="1" si="2"/>
        <v>60.21</v>
      </c>
      <c r="N149" s="10" t="e">
        <f t="shared" ca="1" si="3"/>
        <v>#DIV/0!</v>
      </c>
      <c r="O149" s="7" t="str">
        <f ca="1">IFERROR(__xludf.DUMMYFUNCTION("GOOGLEFINANCE(""NSE:""&amp;D149,""pe"")"),"#N/A")</f>
        <v>#N/A</v>
      </c>
      <c r="P149" s="7">
        <f ca="1">IFERROR(__xludf.DUMMYFUNCTION("GOOGLEFINANCE(""NSE:""&amp;D149,""EPS"")"),-5.43)</f>
        <v>-5.43</v>
      </c>
      <c r="Q149" s="7">
        <v>13.5</v>
      </c>
      <c r="R149" s="7" t="str">
        <f ca="1">IFERROR(__xludf.DUMMYFUNCTION("IMPORTXML(E149,""/html/body/main/div[3]/div[3]/div[2]/ul/li[7]/span[2]/span"")"),"Loading...")</f>
        <v>Loading...</v>
      </c>
      <c r="S149" s="7" t="str">
        <f ca="1">IFERROR(__xludf.DUMMYFUNCTION("IMPORTXML(E149,""/html/body/main/div[3]/div[3]/div[2]/ul/li[8]/span[2]/span"")"),"Loading...")</f>
        <v>Loading...</v>
      </c>
      <c r="T149" s="4">
        <v>34.6</v>
      </c>
      <c r="U149" s="4">
        <v>22.7</v>
      </c>
      <c r="V149" s="4">
        <v>2.6</v>
      </c>
      <c r="W149" s="4">
        <v>5.7</v>
      </c>
      <c r="X149" s="4">
        <v>519.92999999999995</v>
      </c>
      <c r="Y149" s="7">
        <f t="shared" ca="1" si="4"/>
        <v>-459.71999999999997</v>
      </c>
    </row>
    <row r="150" spans="1:25" ht="15" x14ac:dyDescent="0.25">
      <c r="A150" s="4">
        <v>120</v>
      </c>
      <c r="C150" s="12" t="s">
        <v>548</v>
      </c>
      <c r="D150" s="12" t="s">
        <v>549</v>
      </c>
      <c r="E150" s="5" t="str">
        <f t="shared" si="0"/>
        <v>https://www.screener.in/company/LTF/consolidated/</v>
      </c>
      <c r="H150" s="6">
        <f t="shared" ca="1" si="1"/>
        <v>0</v>
      </c>
      <c r="I150" s="7" t="str">
        <f ca="1">IFERROR(__xludf.DUMMYFUNCTION("IMPORTXML(E150,""/html/body/main/div[3]/div[3]/div[2]/ul/li[5]/span[2]/span"")"),"Loading...")</f>
        <v>Loading...</v>
      </c>
      <c r="J150" s="7">
        <f ca="1">IFERROR(__xludf.DUMMYFUNCTION("GOOGLEFINANCE(""NSE:""&amp;D150,""marketcap"")"),576245000000)</f>
        <v>576245000000</v>
      </c>
      <c r="K150" s="7"/>
      <c r="L150" s="8">
        <f ca="1">IFERROR(__xludf.DUMMYFUNCTION("GOOGLEFINANCE(""NSE:""&amp;D150,""price"")"),230.59)</f>
        <v>230.59</v>
      </c>
      <c r="M150" s="9">
        <f t="shared" ca="1" si="2"/>
        <v>230.59</v>
      </c>
      <c r="N150" s="10" t="e">
        <f t="shared" ca="1" si="3"/>
        <v>#DIV/0!</v>
      </c>
      <c r="O150" s="7" t="str">
        <f ca="1">IFERROR(__xludf.DUMMYFUNCTION("GOOGLEFINANCE(""NSE:""&amp;D150,""pe"")"),"#N/A")</f>
        <v>#N/A</v>
      </c>
      <c r="P150" s="7" t="str">
        <f ca="1">IFERROR(__xludf.DUMMYFUNCTION("GOOGLEFINANCE(""NSE:""&amp;D150,""EPS"")"),"#N/A")</f>
        <v>#N/A</v>
      </c>
      <c r="Q150" s="7">
        <v>13.5</v>
      </c>
      <c r="R150" s="7" t="str">
        <f ca="1">IFERROR(__xludf.DUMMYFUNCTION("IMPORTXML(E150,""/html/body/main/div[3]/div[3]/div[2]/ul/li[7]/span[2]/span"")"),"Loading...")</f>
        <v>Loading...</v>
      </c>
      <c r="S150" s="7">
        <f ca="1">IFERROR(__xludf.DUMMYFUNCTION("IMPORTXML(E150,""/html/body/main/div[3]/div[3]/div[2]/ul/li[8]/span[2]/span"")"),10.8)</f>
        <v>10.8</v>
      </c>
      <c r="T150" s="4">
        <v>34.6</v>
      </c>
      <c r="U150" s="4">
        <v>22.7</v>
      </c>
      <c r="V150" s="4">
        <v>2.6</v>
      </c>
      <c r="W150" s="4">
        <v>5.7</v>
      </c>
      <c r="X150" s="4">
        <v>519.92999999999995</v>
      </c>
      <c r="Y150" s="7">
        <f t="shared" ca="1" si="4"/>
        <v>-289.33999999999992</v>
      </c>
    </row>
    <row r="151" spans="1:25" ht="15" x14ac:dyDescent="0.25">
      <c r="A151" s="4">
        <v>150</v>
      </c>
      <c r="C151" s="12" t="s">
        <v>550</v>
      </c>
      <c r="D151" s="12" t="s">
        <v>551</v>
      </c>
      <c r="E151" s="5" t="str">
        <f t="shared" si="0"/>
        <v>https://www.screener.in/company/ABFRL/consolidated/</v>
      </c>
      <c r="H151" s="6">
        <f t="shared" ca="1" si="1"/>
        <v>0</v>
      </c>
      <c r="I151" s="7" t="str">
        <f ca="1">IFERROR(__xludf.DUMMYFUNCTION("IMPORTXML(E151,""/html/body/main/div[3]/div[3]/div[2]/ul/li[5]/span[2]/span"")"),"Loading...")</f>
        <v>Loading...</v>
      </c>
      <c r="J151" s="7">
        <f ca="1">IFERROR(__xludf.DUMMYFUNCTION("GOOGLEFINANCE(""NSE:""&amp;D151,""marketcap"")"),104384989661)</f>
        <v>104384989661</v>
      </c>
      <c r="K151" s="7"/>
      <c r="L151" s="8">
        <f ca="1">IFERROR(__xludf.DUMMYFUNCTION("GOOGLEFINANCE(""NSE:""&amp;D151,""price"")"),86)</f>
        <v>86</v>
      </c>
      <c r="M151" s="9">
        <f t="shared" ca="1" si="2"/>
        <v>86</v>
      </c>
      <c r="N151" s="10" t="e">
        <f t="shared" ca="1" si="3"/>
        <v>#DIV/0!</v>
      </c>
      <c r="O151" s="7" t="str">
        <f ca="1">IFERROR(__xludf.DUMMYFUNCTION("GOOGLEFINANCE(""NSE:""&amp;D151,""pe"")"),"#N/A")</f>
        <v>#N/A</v>
      </c>
      <c r="P151" s="7">
        <f ca="1">IFERROR(__xludf.DUMMYFUNCTION("GOOGLEFINANCE(""NSE:""&amp;D151,""EPS"")"),-4.18)</f>
        <v>-4.18</v>
      </c>
      <c r="Q151" s="7">
        <v>13.5</v>
      </c>
      <c r="R151" s="7" t="str">
        <f ca="1">IFERROR(__xludf.DUMMYFUNCTION("IMPORTXML(E151,""/html/body/main/div[3]/div[3]/div[2]/ul/li[7]/span[2]/span"")"),"Loading...")</f>
        <v>Loading...</v>
      </c>
      <c r="S151" s="7" t="str">
        <f ca="1">IFERROR(__xludf.DUMMYFUNCTION("IMPORTXML(E151,""/html/body/main/div[3]/div[3]/div[2]/ul/li[8]/span[2]/span"")"),"Loading...")</f>
        <v>Loading...</v>
      </c>
      <c r="T151" s="4">
        <v>34.6</v>
      </c>
      <c r="U151" s="4">
        <v>22.7</v>
      </c>
      <c r="V151" s="4">
        <v>2.6</v>
      </c>
      <c r="W151" s="4">
        <v>5.7</v>
      </c>
      <c r="X151" s="4">
        <v>519.92999999999995</v>
      </c>
      <c r="Y151" s="7">
        <f t="shared" ca="1" si="4"/>
        <v>-433.92999999999995</v>
      </c>
    </row>
  </sheetData>
  <mergeCells count="1">
    <mergeCell ref="C145:D14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AK4848"/>
  <sheetViews>
    <sheetView workbookViewId="0">
      <pane ySplit="1" topLeftCell="A2" activePane="bottomLeft" state="frozen"/>
      <selection pane="bottomLeft" activeCell="B3" sqref="B3"/>
    </sheetView>
  </sheetViews>
  <sheetFormatPr defaultColWidth="12.7109375" defaultRowHeight="15.75" customHeight="1" x14ac:dyDescent="0.2"/>
  <sheetData>
    <row r="2" spans="1:25" ht="15.75" customHeight="1" x14ac:dyDescent="0.25">
      <c r="A2" s="4">
        <v>1427</v>
      </c>
      <c r="C2" s="12" t="s">
        <v>552</v>
      </c>
      <c r="D2" s="12" t="s">
        <v>553</v>
      </c>
      <c r="E2" s="5" t="str">
        <f t="shared" ref="E2:E256" si="0">"https://www.screener.in/company/"&amp; D2&amp;"/consolidated/"</f>
        <v>https://www.screener.in/company/NAGAFERT/consolidated/</v>
      </c>
      <c r="F2" s="4">
        <v>443059</v>
      </c>
      <c r="G2" s="4">
        <v>3832241897</v>
      </c>
      <c r="H2" s="6">
        <f t="shared" ref="H2:H256" ca="1" si="1">(G2*L2)/10^7</f>
        <v>2092.404075762</v>
      </c>
      <c r="I2" s="7" t="str">
        <f ca="1">IFERROR(__xludf.DUMMYFUNCTION("IMPORTXML(E2,""/html/body/main/div[3]/div[3]/div[2]/ul/li[5]/span[2]/span"")"),"Loading...")</f>
        <v>Loading...</v>
      </c>
      <c r="J2" s="7">
        <f ca="1">IFERROR(__xludf.DUMMYFUNCTION("GOOGLEFINANCE(""NSE:""&amp;D2,""marketcap"")"),3259519903)</f>
        <v>3259519903</v>
      </c>
      <c r="K2" s="7">
        <v>992.8</v>
      </c>
      <c r="L2" s="8">
        <f ca="1">IFERROR(__xludf.DUMMYFUNCTION("GOOGLEFINANCE(""NSE:""&amp;D2,""price"")"),5.46)</f>
        <v>5.46</v>
      </c>
      <c r="M2" s="9">
        <f t="shared" ref="M2:M256" ca="1" si="2">L2-K2</f>
        <v>-987.33999999999992</v>
      </c>
      <c r="N2" s="10">
        <f t="shared" ref="N2:N256" ca="1" si="3">(M2/K2)*100</f>
        <v>-99.450040290088637</v>
      </c>
      <c r="O2" s="7" t="str">
        <f ca="1">IFERROR(__xludf.DUMMYFUNCTION("GOOGLEFINANCE(""NSE:""&amp;D2,""pe"")"),"#N/A")</f>
        <v>#N/A</v>
      </c>
      <c r="P2" s="7">
        <f ca="1">IFERROR(__xludf.DUMMYFUNCTION("GOOGLEFINANCE(""NSE:""&amp;D2,""EPS"")"),-0.57)</f>
        <v>-0.56999999999999995</v>
      </c>
      <c r="Q2" s="7">
        <v>13.5</v>
      </c>
      <c r="R2" s="7" t="str">
        <f ca="1">IFERROR(__xludf.DUMMYFUNCTION("IMPORTXML(E2,""/html/body/main/div[3]/div[3]/div[2]/ul/li[7]/span[2]/span"")"),"Loading...")</f>
        <v>Loading...</v>
      </c>
      <c r="S2" s="7" t="str">
        <f ca="1">IFERROR(__xludf.DUMMYFUNCTION("IMPORTXML(E2,""/html/body/main/div[3]/div[3]/div[2]/ul/li[8]/span[2]/span"")"),"Loading...")</f>
        <v>Loading...</v>
      </c>
      <c r="T2" s="4">
        <v>34.6</v>
      </c>
      <c r="U2" s="4">
        <v>22.7</v>
      </c>
      <c r="V2" s="4">
        <v>2.6</v>
      </c>
      <c r="W2" s="4">
        <v>5.7</v>
      </c>
      <c r="X2" s="4">
        <v>519.92999999999995</v>
      </c>
      <c r="Y2" s="7">
        <f t="shared" ref="Y2:Y256" ca="1" si="4">L2-X2</f>
        <v>-514.46999999999991</v>
      </c>
    </row>
    <row r="3" spans="1:25" ht="15.75" customHeight="1" x14ac:dyDescent="0.25">
      <c r="A3" s="4">
        <v>1971</v>
      </c>
      <c r="C3" s="12" t="s">
        <v>554</v>
      </c>
      <c r="D3" s="12" t="s">
        <v>555</v>
      </c>
      <c r="E3" s="5" t="str">
        <f t="shared" si="0"/>
        <v>https://www.screener.in/company/MAHAPEXLTD/consolidated/</v>
      </c>
      <c r="F3" s="4">
        <v>443059</v>
      </c>
      <c r="G3" s="4">
        <v>3832241897</v>
      </c>
      <c r="H3" s="6">
        <f t="shared" ca="1" si="1"/>
        <v>38705.643159699997</v>
      </c>
      <c r="I3" s="7">
        <f ca="1">IFERROR(__xludf.DUMMYFUNCTION("IMPORTXML(E3,""/html/body/main/div[3]/div[3]/div[2]/ul/li[5]/span[2]/span"")"),329)</f>
        <v>329</v>
      </c>
      <c r="J3" s="7">
        <f ca="1">IFERROR(__xludf.DUMMYFUNCTION("GOOGLEFINANCE(""NSE:""&amp;D3,""marketcap"")"),1423280890)</f>
        <v>1423280890</v>
      </c>
      <c r="K3" s="7">
        <v>992.8</v>
      </c>
      <c r="L3" s="8">
        <f ca="1">IFERROR(__xludf.DUMMYFUNCTION("GOOGLEFINANCE(""NSE:""&amp;D3,""price"")"),101)</f>
        <v>101</v>
      </c>
      <c r="M3" s="9">
        <f t="shared" ca="1" si="2"/>
        <v>-891.8</v>
      </c>
      <c r="N3" s="10">
        <f t="shared" ca="1" si="3"/>
        <v>-89.826752618855764</v>
      </c>
      <c r="O3" s="7">
        <f ca="1">IFERROR(__xludf.DUMMYFUNCTION("GOOGLEFINANCE(""NSE:""&amp;D3,""pe"")"),4.52)</f>
        <v>4.5199999999999996</v>
      </c>
      <c r="P3" s="7">
        <f ca="1">IFERROR(__xludf.DUMMYFUNCTION("GOOGLEFINANCE(""NSE:""&amp;D3,""EPS"")"),22.35)</f>
        <v>22.35</v>
      </c>
      <c r="Q3" s="7">
        <v>13.5</v>
      </c>
      <c r="R3" s="7" t="str">
        <f ca="1">IFERROR(__xludf.DUMMYFUNCTION("IMPORTXML(E3,""/html/body/main/div[3]/div[3]/div[2]/ul/li[7]/span[2]/span"")"),"Loading...")</f>
        <v>Loading...</v>
      </c>
      <c r="S3" s="7" t="str">
        <f ca="1">IFERROR(__xludf.DUMMYFUNCTION("IMPORTXML(E3,""/html/body/main/div[3]/div[3]/div[2]/ul/li[8]/span[2]/span"")"),"Loading...")</f>
        <v>Loading...</v>
      </c>
      <c r="T3" s="4">
        <v>34.6</v>
      </c>
      <c r="U3" s="4">
        <v>22.7</v>
      </c>
      <c r="V3" s="4">
        <v>2.6</v>
      </c>
      <c r="W3" s="4">
        <v>5.7</v>
      </c>
      <c r="X3" s="4">
        <v>519.92999999999995</v>
      </c>
      <c r="Y3" s="7">
        <f t="shared" ca="1" si="4"/>
        <v>-418.92999999999995</v>
      </c>
    </row>
    <row r="4" spans="1:25" ht="15.75" customHeight="1" x14ac:dyDescent="0.25">
      <c r="A4" s="4">
        <v>1340</v>
      </c>
      <c r="C4" s="12" t="s">
        <v>556</v>
      </c>
      <c r="D4" s="12" t="s">
        <v>557</v>
      </c>
      <c r="E4" s="5" t="str">
        <f t="shared" si="0"/>
        <v>https://www.screener.in/company/CCCL/consolidated/</v>
      </c>
      <c r="F4" s="4">
        <v>443059</v>
      </c>
      <c r="G4" s="4">
        <v>3832241897</v>
      </c>
      <c r="H4" s="6">
        <f t="shared" ca="1" si="1"/>
        <v>7882.9215821290009</v>
      </c>
      <c r="I4" s="7" t="str">
        <f ca="1">IFERROR(__xludf.DUMMYFUNCTION("IMPORTXML(E4,""/html/body/main/div[3]/div[3]/div[2]/ul/li[5]/span[2]/span"")"),"Loading...")</f>
        <v>Loading...</v>
      </c>
      <c r="J4" s="7">
        <f ca="1">IFERROR(__xludf.DUMMYFUNCTION("GOOGLEFINANCE(""NSE:""&amp;D4,""marketcap"")"),9136230070)</f>
        <v>9136230070</v>
      </c>
      <c r="K4" s="7">
        <v>992.8</v>
      </c>
      <c r="L4" s="8">
        <f ca="1">IFERROR(__xludf.DUMMYFUNCTION("GOOGLEFINANCE(""NSE:""&amp;D4,""price"")"),20.57)</f>
        <v>20.57</v>
      </c>
      <c r="M4" s="9">
        <f t="shared" ca="1" si="2"/>
        <v>-972.2299999999999</v>
      </c>
      <c r="N4" s="10">
        <f t="shared" ca="1" si="3"/>
        <v>-97.928082191780817</v>
      </c>
      <c r="O4" s="7">
        <f ca="1">IFERROR(__xludf.DUMMYFUNCTION("GOOGLEFINANCE(""NSE:""&amp;D4,""pe"")"),5.21)</f>
        <v>5.21</v>
      </c>
      <c r="P4" s="7">
        <f ca="1">IFERROR(__xludf.DUMMYFUNCTION("GOOGLEFINANCE(""NSE:""&amp;D4,""EPS"")"),3.94)</f>
        <v>3.94</v>
      </c>
      <c r="Q4" s="7">
        <v>13.5</v>
      </c>
      <c r="R4" s="7" t="str">
        <f ca="1">IFERROR(__xludf.DUMMYFUNCTION("IMPORTXML(E4,""/html/body/main/div[3]/div[3]/div[2]/ul/li[7]/span[2]/span"")"),"Loading...")</f>
        <v>Loading...</v>
      </c>
      <c r="S4" s="7" t="str">
        <f ca="1">IFERROR(__xludf.DUMMYFUNCTION("IMPORTXML(E4,""/html/body/main/div[3]/div[3]/div[2]/ul/li[8]/span[2]/span"")"),"Loading...")</f>
        <v>Loading...</v>
      </c>
      <c r="T4" s="4">
        <v>34.6</v>
      </c>
      <c r="U4" s="4">
        <v>22.7</v>
      </c>
      <c r="V4" s="4">
        <v>2.6</v>
      </c>
      <c r="W4" s="4">
        <v>5.7</v>
      </c>
      <c r="X4" s="4">
        <v>519.92999999999995</v>
      </c>
      <c r="Y4" s="7">
        <f t="shared" ca="1" si="4"/>
        <v>-499.35999999999996</v>
      </c>
    </row>
    <row r="5" spans="1:25" ht="15.75" customHeight="1" x14ac:dyDescent="0.25">
      <c r="A5" s="4">
        <v>2780</v>
      </c>
      <c r="C5" s="12" t="s">
        <v>558</v>
      </c>
      <c r="D5" s="12" t="s">
        <v>559</v>
      </c>
      <c r="E5" s="5" t="str">
        <f t="shared" si="0"/>
        <v>https://www.screener.in/company/DNAMEDIA/consolidated/</v>
      </c>
      <c r="F5" s="4">
        <v>443059</v>
      </c>
      <c r="G5" s="4">
        <v>3832241897</v>
      </c>
      <c r="H5" s="6">
        <f t="shared" ca="1" si="1"/>
        <v>1766.6635145170003</v>
      </c>
      <c r="I5" s="7" t="str">
        <f ca="1">IFERROR(__xludf.DUMMYFUNCTION("IMPORTXML(E5,""/html/body/main/div[3]/div[3]/div[2]/ul/li[5]/span[2]/span"")"),"Loading...")</f>
        <v>Loading...</v>
      </c>
      <c r="J5" s="7">
        <f ca="1">IFERROR(__xludf.DUMMYFUNCTION("GOOGLEFINANCE(""NSE:""&amp;D5,""marketcap"")"),542633895)</f>
        <v>542633895</v>
      </c>
      <c r="K5" s="7">
        <v>992.8</v>
      </c>
      <c r="L5" s="8">
        <f ca="1">IFERROR(__xludf.DUMMYFUNCTION("GOOGLEFINANCE(""NSE:""&amp;D5,""price"")"),4.61)</f>
        <v>4.6100000000000003</v>
      </c>
      <c r="M5" s="9">
        <f t="shared" ca="1" si="2"/>
        <v>-988.18999999999994</v>
      </c>
      <c r="N5" s="10">
        <f t="shared" ca="1" si="3"/>
        <v>-99.535656728444792</v>
      </c>
      <c r="O5" s="7">
        <f ca="1">IFERROR(__xludf.DUMMYFUNCTION("GOOGLEFINANCE(""NSE:""&amp;D5,""pe"")"),5.83)</f>
        <v>5.83</v>
      </c>
      <c r="P5" s="7">
        <f ca="1">IFERROR(__xludf.DUMMYFUNCTION("GOOGLEFINANCE(""NSE:""&amp;D5,""EPS"")"),0.79)</f>
        <v>0.79</v>
      </c>
      <c r="Q5" s="7">
        <v>13.5</v>
      </c>
      <c r="R5" s="7" t="str">
        <f ca="1">IFERROR(__xludf.DUMMYFUNCTION("IMPORTXML(E5,""/html/body/main/div[3]/div[3]/div[2]/ul/li[7]/span[2]/span"")"),"Loading...")</f>
        <v>Loading...</v>
      </c>
      <c r="S5" s="7" t="str">
        <f ca="1">IFERROR(__xludf.DUMMYFUNCTION("IMPORTXML(E5,""/html/body/main/div[3]/div[3]/div[2]/ul/li[8]/span[2]/span"")"),"Loading...")</f>
        <v>Loading...</v>
      </c>
      <c r="T5" s="4">
        <v>34.6</v>
      </c>
      <c r="U5" s="4">
        <v>22.7</v>
      </c>
      <c r="V5" s="4">
        <v>2.6</v>
      </c>
      <c r="W5" s="4">
        <v>5.7</v>
      </c>
      <c r="X5" s="4">
        <v>519.92999999999995</v>
      </c>
      <c r="Y5" s="7">
        <f t="shared" ca="1" si="4"/>
        <v>-515.31999999999994</v>
      </c>
    </row>
    <row r="6" spans="1:25" ht="15.75" customHeight="1" x14ac:dyDescent="0.25">
      <c r="A6" s="4">
        <v>2076</v>
      </c>
      <c r="C6" s="12" t="s">
        <v>560</v>
      </c>
      <c r="D6" s="12" t="s">
        <v>561</v>
      </c>
      <c r="E6" s="5" t="str">
        <f t="shared" si="0"/>
        <v>https://www.screener.in/company/FLEXITUFF/consolidated/</v>
      </c>
      <c r="F6" s="4">
        <v>443059</v>
      </c>
      <c r="G6" s="4">
        <v>3832241897</v>
      </c>
      <c r="H6" s="6">
        <f t="shared" ca="1" si="1"/>
        <v>10117.118608079998</v>
      </c>
      <c r="I6" s="7" t="str">
        <f ca="1">IFERROR(__xludf.DUMMYFUNCTION("IMPORTXML(E6,""/html/body/main/div[3]/div[3]/div[2]/ul/li[5]/span[2]/span"")"),"Loading...")</f>
        <v>Loading...</v>
      </c>
      <c r="J6" s="7">
        <f ca="1">IFERROR(__xludf.DUMMYFUNCTION("GOOGLEFINANCE(""NSE:""&amp;D6,""marketcap"")"),857988200)</f>
        <v>857988200</v>
      </c>
      <c r="K6" s="7">
        <v>992.8</v>
      </c>
      <c r="L6" s="8">
        <f ca="1">IFERROR(__xludf.DUMMYFUNCTION("GOOGLEFINANCE(""NSE:""&amp;D6,""price"")"),26.4)</f>
        <v>26.4</v>
      </c>
      <c r="M6" s="9">
        <f t="shared" ca="1" si="2"/>
        <v>-966.4</v>
      </c>
      <c r="N6" s="10">
        <f t="shared" ca="1" si="3"/>
        <v>-97.340854149879135</v>
      </c>
      <c r="O6" s="7" t="str">
        <f ca="1">IFERROR(__xludf.DUMMYFUNCTION("GOOGLEFINANCE(""NSE:""&amp;D6,""pe"")"),"#N/A")</f>
        <v>#N/A</v>
      </c>
      <c r="P6" s="7">
        <f ca="1">IFERROR(__xludf.DUMMYFUNCTION("GOOGLEFINANCE(""NSE:""&amp;D6,""EPS"")"),-18.12)</f>
        <v>-18.12</v>
      </c>
      <c r="Q6" s="7">
        <v>13.5</v>
      </c>
      <c r="R6" s="7" t="str">
        <f ca="1">IFERROR(__xludf.DUMMYFUNCTION("IMPORTXML(E6,""/html/body/main/div[3]/div[3]/div[2]/ul/li[7]/span[2]/span"")"),"Loading...")</f>
        <v>Loading...</v>
      </c>
      <c r="S6" s="7" t="str">
        <f ca="1">IFERROR(__xludf.DUMMYFUNCTION("IMPORTXML(E6,""/html/body/main/div[3]/div[3]/div[2]/ul/li[8]/span[2]/span"")"),"Loading...")</f>
        <v>Loading...</v>
      </c>
      <c r="T6" s="4">
        <v>34.6</v>
      </c>
      <c r="U6" s="4">
        <v>22.7</v>
      </c>
      <c r="V6" s="4">
        <v>2.6</v>
      </c>
      <c r="W6" s="4">
        <v>5.7</v>
      </c>
      <c r="X6" s="4">
        <v>519.92999999999995</v>
      </c>
      <c r="Y6" s="7">
        <f t="shared" ca="1" si="4"/>
        <v>-493.53</v>
      </c>
    </row>
    <row r="7" spans="1:25" ht="15.75" customHeight="1" x14ac:dyDescent="0.25">
      <c r="A7" s="4">
        <v>368</v>
      </c>
      <c r="C7" s="12" t="s">
        <v>562</v>
      </c>
      <c r="D7" s="12" t="s">
        <v>563</v>
      </c>
      <c r="E7" s="5" t="str">
        <f t="shared" si="0"/>
        <v>https://www.screener.in/company/RTNPOWER/consolidated/</v>
      </c>
      <c r="F7" s="4">
        <v>443059</v>
      </c>
      <c r="G7" s="4">
        <v>3832241897</v>
      </c>
      <c r="H7" s="6">
        <f t="shared" ca="1" si="1"/>
        <v>4786.4701293529997</v>
      </c>
      <c r="I7" s="7" t="str">
        <f ca="1">IFERROR(__xludf.DUMMYFUNCTION("IMPORTXML(E7,""/html/body/main/div[3]/div[3]/div[2]/ul/li[5]/span[2]/span"")"),"Loading...")</f>
        <v>Loading...</v>
      </c>
      <c r="J7" s="7">
        <f ca="1">IFERROR(__xludf.DUMMYFUNCTION("GOOGLEFINANCE(""NSE:""&amp;D7,""marketcap"")"),66907005313)</f>
        <v>66907005313</v>
      </c>
      <c r="K7" s="7">
        <v>992.8</v>
      </c>
      <c r="L7" s="8">
        <f ca="1">IFERROR(__xludf.DUMMYFUNCTION("GOOGLEFINANCE(""NSE:""&amp;D7,""price"")"),12.49)</f>
        <v>12.49</v>
      </c>
      <c r="M7" s="9">
        <f t="shared" ca="1" si="2"/>
        <v>-980.31</v>
      </c>
      <c r="N7" s="10">
        <f t="shared" ca="1" si="3"/>
        <v>-98.741941982272365</v>
      </c>
      <c r="O7" s="7">
        <f ca="1">IFERROR(__xludf.DUMMYFUNCTION("GOOGLEFINANCE(""NSE:""&amp;D7,""pe"")"),57.43)</f>
        <v>57.43</v>
      </c>
      <c r="P7" s="7">
        <f ca="1">IFERROR(__xludf.DUMMYFUNCTION("GOOGLEFINANCE(""NSE:""&amp;D7,""EPS"")"),0.22)</f>
        <v>0.22</v>
      </c>
      <c r="Q7" s="7">
        <v>13.5</v>
      </c>
      <c r="R7" s="7" t="str">
        <f ca="1">IFERROR(__xludf.DUMMYFUNCTION("IMPORTXML(E7,""/html/body/main/div[3]/div[3]/div[2]/ul/li[7]/span[2]/span"")"),"Loading...")</f>
        <v>Loading...</v>
      </c>
      <c r="S7" s="7" t="str">
        <f ca="1">IFERROR(__xludf.DUMMYFUNCTION("IMPORTXML(E7,""/html/body/main/div[3]/div[3]/div[2]/ul/li[8]/span[2]/span"")"),"Loading...")</f>
        <v>Loading...</v>
      </c>
      <c r="T7" s="4">
        <v>34.6</v>
      </c>
      <c r="U7" s="4">
        <v>22.7</v>
      </c>
      <c r="V7" s="4">
        <v>2.6</v>
      </c>
      <c r="W7" s="4">
        <v>5.7</v>
      </c>
      <c r="X7" s="4">
        <v>519.92999999999995</v>
      </c>
      <c r="Y7" s="7">
        <f t="shared" ca="1" si="4"/>
        <v>-507.43999999999994</v>
      </c>
    </row>
    <row r="8" spans="1:25" ht="15.75" customHeight="1" x14ac:dyDescent="0.25">
      <c r="A8" s="4">
        <v>2143</v>
      </c>
      <c r="C8" s="12" t="s">
        <v>564</v>
      </c>
      <c r="D8" s="12" t="s">
        <v>565</v>
      </c>
      <c r="E8" s="5" t="str">
        <f t="shared" si="0"/>
        <v>https://www.screener.in/company/SHEKHAWATI/consolidated/</v>
      </c>
      <c r="F8" s="4">
        <v>443059</v>
      </c>
      <c r="G8" s="4">
        <v>3832241897</v>
      </c>
      <c r="H8" s="6">
        <f t="shared" ca="1" si="1"/>
        <v>8323.6294002840004</v>
      </c>
      <c r="I8" s="7" t="str">
        <f ca="1">IFERROR(__xludf.DUMMYFUNCTION("IMPORTXML(E8,""/html/body/main/div[3]/div[3]/div[2]/ul/li[5]/span[2]/span"")"),"Loading...")</f>
        <v>Loading...</v>
      </c>
      <c r="J8" s="7">
        <f ca="1">IFERROR(__xludf.DUMMYFUNCTION("GOOGLEFINANCE(""NSE:""&amp;D8,""marketcap"")"),748826461)</f>
        <v>748826461</v>
      </c>
      <c r="K8" s="7">
        <v>992.8</v>
      </c>
      <c r="L8" s="8">
        <f ca="1">IFERROR(__xludf.DUMMYFUNCTION("GOOGLEFINANCE(""NSE:""&amp;D8,""price"")"),21.72)</f>
        <v>21.72</v>
      </c>
      <c r="M8" s="9">
        <f t="shared" ca="1" si="2"/>
        <v>-971.07999999999993</v>
      </c>
      <c r="N8" s="10">
        <f t="shared" ca="1" si="3"/>
        <v>-97.812248186946007</v>
      </c>
      <c r="O8" s="7">
        <f ca="1">IFERROR(__xludf.DUMMYFUNCTION("GOOGLEFINANCE(""NSE:""&amp;D8,""pe"")"),11.09)</f>
        <v>11.09</v>
      </c>
      <c r="P8" s="7">
        <f ca="1">IFERROR(__xludf.DUMMYFUNCTION("GOOGLEFINANCE(""NSE:""&amp;D8,""EPS"")"),1.96)</f>
        <v>1.96</v>
      </c>
      <c r="Q8" s="7">
        <v>13.5</v>
      </c>
      <c r="R8" s="7" t="str">
        <f ca="1">IFERROR(__xludf.DUMMYFUNCTION("IMPORTXML(E8,""/html/body/main/div[3]/div[3]/div[2]/ul/li[7]/span[2]/span"")"),"Loading...")</f>
        <v>Loading...</v>
      </c>
      <c r="S8" s="7" t="str">
        <f ca="1">IFERROR(__xludf.DUMMYFUNCTION("IMPORTXML(E8,""/html/body/main/div[3]/div[3]/div[2]/ul/li[8]/span[2]/span"")"),"Loading...")</f>
        <v>Loading...</v>
      </c>
      <c r="T8" s="4">
        <v>34.6</v>
      </c>
      <c r="U8" s="4">
        <v>22.7</v>
      </c>
      <c r="V8" s="4">
        <v>2.6</v>
      </c>
      <c r="W8" s="4">
        <v>5.7</v>
      </c>
      <c r="X8" s="4">
        <v>519.92999999999995</v>
      </c>
      <c r="Y8" s="7">
        <f t="shared" ca="1" si="4"/>
        <v>-498.20999999999992</v>
      </c>
    </row>
    <row r="9" spans="1:25" ht="15.75" customHeight="1" x14ac:dyDescent="0.25">
      <c r="A9" s="4">
        <v>1582</v>
      </c>
      <c r="C9" s="12" t="s">
        <v>566</v>
      </c>
      <c r="D9" s="12" t="s">
        <v>567</v>
      </c>
      <c r="E9" s="5" t="str">
        <f t="shared" si="0"/>
        <v>https://www.screener.in/company/VIPULLTD/consolidated/</v>
      </c>
      <c r="F9" s="4">
        <v>443059</v>
      </c>
      <c r="G9" s="4">
        <v>3832241897</v>
      </c>
      <c r="H9" s="6">
        <f t="shared" ca="1" si="1"/>
        <v>3966.3703633949999</v>
      </c>
      <c r="I9" s="7" t="str">
        <f ca="1">IFERROR(__xludf.DUMMYFUNCTION("IMPORTXML(E9,""/html/body/main/div[3]/div[3]/div[2]/ul/li[5]/span[2]/span"")"),"Loading...")</f>
        <v>Loading...</v>
      </c>
      <c r="J9" s="7">
        <f ca="1">IFERROR(__xludf.DUMMYFUNCTION("GOOGLEFINANCE(""NSE:""&amp;D9,""marketcap"")"),1463159000)</f>
        <v>1463159000</v>
      </c>
      <c r="K9" s="7">
        <v>992.8</v>
      </c>
      <c r="L9" s="8">
        <f ca="1">IFERROR(__xludf.DUMMYFUNCTION("GOOGLEFINANCE(""NSE:""&amp;D9,""price"")"),10.35)</f>
        <v>10.35</v>
      </c>
      <c r="M9" s="9">
        <f t="shared" ca="1" si="2"/>
        <v>-982.44999999999993</v>
      </c>
      <c r="N9" s="10">
        <f t="shared" ca="1" si="3"/>
        <v>-98.957493956486701</v>
      </c>
      <c r="O9" s="7" t="str">
        <f ca="1">IFERROR(__xludf.DUMMYFUNCTION("GOOGLEFINANCE(""NSE:""&amp;D9,""pe"")"),"#N/A")</f>
        <v>#N/A</v>
      </c>
      <c r="P9" s="7">
        <f ca="1">IFERROR(__xludf.DUMMYFUNCTION("GOOGLEFINANCE(""NSE:""&amp;D9,""EPS"")"),-2.22)</f>
        <v>-2.2200000000000002</v>
      </c>
      <c r="Q9" s="7">
        <v>13.5</v>
      </c>
      <c r="R9" s="7" t="str">
        <f ca="1">IFERROR(__xludf.DUMMYFUNCTION("IMPORTXML(E9,""/html/body/main/div[3]/div[3]/div[2]/ul/li[7]/span[2]/span"")"),"Loading...")</f>
        <v>Loading...</v>
      </c>
      <c r="S9" s="7" t="str">
        <f ca="1">IFERROR(__xludf.DUMMYFUNCTION("IMPORTXML(E9,""/html/body/main/div[3]/div[3]/div[2]/ul/li[8]/span[2]/span"")"),"Loading...")</f>
        <v>Loading...</v>
      </c>
      <c r="T9" s="4">
        <v>34.6</v>
      </c>
      <c r="U9" s="4">
        <v>22.7</v>
      </c>
      <c r="V9" s="4">
        <v>2.6</v>
      </c>
      <c r="W9" s="4">
        <v>5.7</v>
      </c>
      <c r="X9" s="4">
        <v>519.92999999999995</v>
      </c>
      <c r="Y9" s="7">
        <f t="shared" ca="1" si="4"/>
        <v>-509.57999999999993</v>
      </c>
    </row>
    <row r="10" spans="1:25" ht="15.75" customHeight="1" x14ac:dyDescent="0.25">
      <c r="A10" s="4">
        <v>630</v>
      </c>
      <c r="C10" s="12" t="s">
        <v>568</v>
      </c>
      <c r="D10" s="12" t="s">
        <v>569</v>
      </c>
      <c r="E10" s="5" t="str">
        <f t="shared" si="0"/>
        <v>https://www.screener.in/company/HMT/consolidated/</v>
      </c>
      <c r="F10" s="4">
        <v>443059</v>
      </c>
      <c r="G10" s="4">
        <v>3832241897</v>
      </c>
      <c r="H10" s="6">
        <f t="shared" ca="1" si="1"/>
        <v>21583.186363904002</v>
      </c>
      <c r="I10" s="7" t="str">
        <f ca="1">IFERROR(__xludf.DUMMYFUNCTION("IMPORTXML(E10,""/html/body/main/div[3]/div[3]/div[2]/ul/li[5]/span[2]/span"")"),"Loading...")</f>
        <v>Loading...</v>
      </c>
      <c r="J10" s="7">
        <f ca="1">IFERROR(__xludf.DUMMYFUNCTION("GOOGLEFINANCE(""NSE:""&amp;D10,""marketcap"")"),68849960000)</f>
        <v>68849960000</v>
      </c>
      <c r="K10" s="7">
        <v>992.8</v>
      </c>
      <c r="L10" s="8">
        <f ca="1">IFERROR(__xludf.DUMMYFUNCTION("GOOGLEFINANCE(""NSE:""&amp;D10,""price"")"),56.32)</f>
        <v>56.32</v>
      </c>
      <c r="M10" s="9">
        <f t="shared" ca="1" si="2"/>
        <v>-936.4799999999999</v>
      </c>
      <c r="N10" s="10">
        <f t="shared" ca="1" si="3"/>
        <v>-94.327155519742135</v>
      </c>
      <c r="O10" s="7" t="str">
        <f ca="1">IFERROR(__xludf.DUMMYFUNCTION("GOOGLEFINANCE(""NSE:""&amp;D10,""pe"")"),"#N/A")</f>
        <v>#N/A</v>
      </c>
      <c r="P10" s="7">
        <f ca="1">IFERROR(__xludf.DUMMYFUNCTION("GOOGLEFINANCE(""NSE:""&amp;D10,""EPS"")"),-3.99)</f>
        <v>-3.99</v>
      </c>
      <c r="Q10" s="7">
        <v>13.5</v>
      </c>
      <c r="R10" s="7" t="str">
        <f ca="1">IFERROR(__xludf.DUMMYFUNCTION("IMPORTXML(E10,""/html/body/main/div[3]/div[3]/div[2]/ul/li[7]/span[2]/span"")"),"Loading...")</f>
        <v>Loading...</v>
      </c>
      <c r="S10" s="7" t="str">
        <f ca="1">IFERROR(__xludf.DUMMYFUNCTION("IMPORTXML(E10,""/html/body/main/div[3]/div[3]/div[2]/ul/li[8]/span[2]/span"")"),"Loading...")</f>
        <v>Loading...</v>
      </c>
      <c r="T10" s="4">
        <v>34.6</v>
      </c>
      <c r="U10" s="4">
        <v>22.7</v>
      </c>
      <c r="V10" s="4">
        <v>2.6</v>
      </c>
      <c r="W10" s="4">
        <v>5.7</v>
      </c>
      <c r="X10" s="4">
        <v>519.92999999999995</v>
      </c>
      <c r="Y10" s="7">
        <f t="shared" ca="1" si="4"/>
        <v>-463.60999999999996</v>
      </c>
    </row>
    <row r="11" spans="1:25" ht="15.75" customHeight="1" x14ac:dyDescent="0.25">
      <c r="A11" s="4">
        <v>3856</v>
      </c>
      <c r="C11" s="12" t="s">
        <v>570</v>
      </c>
      <c r="D11" s="12" t="s">
        <v>571</v>
      </c>
      <c r="E11" s="5" t="str">
        <f t="shared" si="0"/>
        <v>https://www.screener.in/company/BLUECOAST/consolidated/</v>
      </c>
      <c r="F11" s="4">
        <v>443059</v>
      </c>
      <c r="G11" s="4">
        <v>3832241897</v>
      </c>
      <c r="H11" s="6">
        <f t="shared" ca="1" si="1"/>
        <v>23924.686162971</v>
      </c>
      <c r="I11" s="7" t="str">
        <f ca="1">IFERROR(__xludf.DUMMYFUNCTION("IMPORTXML(E11,""/html/body/main/div[3]/div[3]/div[2]/ul/li[5]/span[2]/span"")"),"Loading...")</f>
        <v>Loading...</v>
      </c>
      <c r="J11" s="7">
        <f ca="1">IFERROR(__xludf.DUMMYFUNCTION("GOOGLEFINANCE(""NSE:""&amp;D11,""marketcap"")"),1073325000)</f>
        <v>1073325000</v>
      </c>
      <c r="K11" s="7">
        <v>992.8</v>
      </c>
      <c r="L11" s="8">
        <f ca="1">IFERROR(__xludf.DUMMYFUNCTION("GOOGLEFINANCE(""NSE:""&amp;D11,""price"")"),62.43)</f>
        <v>62.43</v>
      </c>
      <c r="M11" s="9">
        <f t="shared" ca="1" si="2"/>
        <v>-930.37</v>
      </c>
      <c r="N11" s="10">
        <f t="shared" ca="1" si="3"/>
        <v>-93.711724415793725</v>
      </c>
      <c r="O11" s="7">
        <f ca="1">IFERROR(__xludf.DUMMYFUNCTION("GOOGLEFINANCE(""NSE:""&amp;D11,""pe"")"),1)</f>
        <v>1</v>
      </c>
      <c r="P11" s="7">
        <f ca="1">IFERROR(__xludf.DUMMYFUNCTION("GOOGLEFINANCE(""NSE:""&amp;D11,""EPS"")"),62.13)</f>
        <v>62.13</v>
      </c>
      <c r="Q11" s="7">
        <v>13.5</v>
      </c>
      <c r="R11" s="7" t="str">
        <f ca="1">IFERROR(__xludf.DUMMYFUNCTION("IMPORTXML(E11,""/html/body/main/div[3]/div[3]/div[2]/ul/li[7]/span[2]/span"")"),"Loading...")</f>
        <v>Loading...</v>
      </c>
      <c r="S11" s="7" t="str">
        <f ca="1">IFERROR(__xludf.DUMMYFUNCTION("IMPORTXML(E11,""/html/body/main/div[3]/div[3]/div[2]/ul/li[8]/span[2]/span"")"),"Loading...")</f>
        <v>Loading...</v>
      </c>
      <c r="T11" s="4">
        <v>34.6</v>
      </c>
      <c r="U11" s="4">
        <v>22.7</v>
      </c>
      <c r="V11" s="4">
        <v>2.6</v>
      </c>
      <c r="W11" s="4">
        <v>5.7</v>
      </c>
      <c r="X11" s="4">
        <v>519.92999999999995</v>
      </c>
      <c r="Y11" s="7">
        <f t="shared" ca="1" si="4"/>
        <v>-457.49999999999994</v>
      </c>
    </row>
    <row r="12" spans="1:25" ht="15.75" customHeight="1" x14ac:dyDescent="0.25">
      <c r="A12" s="4">
        <v>1248</v>
      </c>
      <c r="C12" s="12" t="s">
        <v>572</v>
      </c>
      <c r="D12" s="12" t="s">
        <v>573</v>
      </c>
      <c r="E12" s="5" t="str">
        <f t="shared" si="0"/>
        <v>https://www.screener.in/company/ESSARSHPNG/consolidated/</v>
      </c>
      <c r="F12" s="4">
        <v>443059</v>
      </c>
      <c r="G12" s="4">
        <v>3832241897</v>
      </c>
      <c r="H12" s="6">
        <f t="shared" ca="1" si="1"/>
        <v>9611.2626776759989</v>
      </c>
      <c r="I12" s="7" t="str">
        <f ca="1">IFERROR(__xludf.DUMMYFUNCTION("IMPORTXML(E12,""/html/body/main/div[3]/div[3]/div[2]/ul/li[5]/span[2]/span"")"),"Loading...")</f>
        <v>Loading...</v>
      </c>
      <c r="J12" s="7">
        <f ca="1">IFERROR(__xludf.DUMMYFUNCTION("GOOGLEFINANCE(""NSE:""&amp;D12,""marketcap"")"),5190958064)</f>
        <v>5190958064</v>
      </c>
      <c r="K12" s="7">
        <v>992.8</v>
      </c>
      <c r="L12" s="8">
        <f ca="1">IFERROR(__xludf.DUMMYFUNCTION("GOOGLEFINANCE(""NSE:""&amp;D12,""price"")"),25.08)</f>
        <v>25.08</v>
      </c>
      <c r="M12" s="9">
        <f t="shared" ca="1" si="2"/>
        <v>-967.71999999999991</v>
      </c>
      <c r="N12" s="10">
        <f t="shared" ca="1" si="3"/>
        <v>-97.47381144238517</v>
      </c>
      <c r="O12" s="7">
        <f ca="1">IFERROR(__xludf.DUMMYFUNCTION("GOOGLEFINANCE(""NSE:""&amp;D12,""pe"")"),0.72)</f>
        <v>0.72</v>
      </c>
      <c r="P12" s="7">
        <f ca="1">IFERROR(__xludf.DUMMYFUNCTION("GOOGLEFINANCE(""NSE:""&amp;D12,""EPS"")"),34.88)</f>
        <v>34.880000000000003</v>
      </c>
      <c r="Q12" s="7">
        <v>13.5</v>
      </c>
      <c r="R12" s="7" t="str">
        <f ca="1">IFERROR(__xludf.DUMMYFUNCTION("IMPORTXML(E12,""/html/body/main/div[3]/div[3]/div[2]/ul/li[7]/span[2]/span"")"),"Loading...")</f>
        <v>Loading...</v>
      </c>
      <c r="S12" s="7" t="str">
        <f ca="1">IFERROR(__xludf.DUMMYFUNCTION("IMPORTXML(E12,""/html/body/main/div[3]/div[3]/div[2]/ul/li[8]/span[2]/span"")"),"Loading...")</f>
        <v>Loading...</v>
      </c>
      <c r="T12" s="4">
        <v>34.6</v>
      </c>
      <c r="U12" s="4">
        <v>22.7</v>
      </c>
      <c r="V12" s="4">
        <v>2.6</v>
      </c>
      <c r="W12" s="4">
        <v>5.7</v>
      </c>
      <c r="X12" s="4">
        <v>519.92999999999995</v>
      </c>
      <c r="Y12" s="7">
        <f t="shared" ca="1" si="4"/>
        <v>-494.84999999999997</v>
      </c>
    </row>
    <row r="13" spans="1:25" ht="15.75" customHeight="1" x14ac:dyDescent="0.25">
      <c r="A13" s="4">
        <v>1212</v>
      </c>
      <c r="C13" s="12" t="s">
        <v>574</v>
      </c>
      <c r="D13" s="12" t="s">
        <v>575</v>
      </c>
      <c r="E13" s="5" t="str">
        <f t="shared" si="0"/>
        <v>https://www.screener.in/company/GVKPIL/consolidated/</v>
      </c>
      <c r="F13" s="4">
        <v>443059</v>
      </c>
      <c r="G13" s="4">
        <v>3832241897</v>
      </c>
      <c r="H13" s="6">
        <f t="shared" ca="1" si="1"/>
        <v>1302.9622449799999</v>
      </c>
      <c r="I13" s="7" t="str">
        <f ca="1">IFERROR(__xludf.DUMMYFUNCTION("IMPORTXML(E13,""/html/body/main/div[3]/div[3]/div[2]/ul/li[5]/span[2]/span"")"),"Loading...")</f>
        <v>Loading...</v>
      </c>
      <c r="J13" s="7">
        <f ca="1">IFERROR(__xludf.DUMMYFUNCTION("GOOGLEFINANCE(""NSE:""&amp;D13,""marketcap"")"),5416690405)</f>
        <v>5416690405</v>
      </c>
      <c r="K13" s="7">
        <v>992.8</v>
      </c>
      <c r="L13" s="8">
        <f ca="1">IFERROR(__xludf.DUMMYFUNCTION("GOOGLEFINANCE(""NSE:""&amp;D13,""price"")"),3.4)</f>
        <v>3.4</v>
      </c>
      <c r="M13" s="9">
        <f t="shared" ca="1" si="2"/>
        <v>-989.4</v>
      </c>
      <c r="N13" s="10">
        <f t="shared" ca="1" si="3"/>
        <v>-99.657534246575338</v>
      </c>
      <c r="O13" s="7" t="str">
        <f ca="1">IFERROR(__xludf.DUMMYFUNCTION("GOOGLEFINANCE(""NSE:""&amp;D13,""pe"")"),"#N/A")</f>
        <v>#N/A</v>
      </c>
      <c r="P13" s="7">
        <f ca="1">IFERROR(__xludf.DUMMYFUNCTION("GOOGLEFINANCE(""NSE:""&amp;D13,""EPS"")"),-1.63)</f>
        <v>-1.63</v>
      </c>
      <c r="Q13" s="7">
        <v>13.5</v>
      </c>
      <c r="R13" s="7" t="str">
        <f ca="1">IFERROR(__xludf.DUMMYFUNCTION("IMPORTXML(E13,""/html/body/main/div[3]/div[3]/div[2]/ul/li[7]/span[2]/span"")"),"Loading...")</f>
        <v>Loading...</v>
      </c>
      <c r="S13" s="7" t="str">
        <f ca="1">IFERROR(__xludf.DUMMYFUNCTION("IMPORTXML(E13,""/html/body/main/div[3]/div[3]/div[2]/ul/li[8]/span[2]/span"")"),"Loading...")</f>
        <v>Loading...</v>
      </c>
      <c r="T13" s="4">
        <v>34.6</v>
      </c>
      <c r="U13" s="4">
        <v>22.7</v>
      </c>
      <c r="V13" s="4">
        <v>2.6</v>
      </c>
      <c r="W13" s="4">
        <v>5.7</v>
      </c>
      <c r="X13" s="4">
        <v>519.92999999999995</v>
      </c>
      <c r="Y13" s="7">
        <f t="shared" ca="1" si="4"/>
        <v>-516.53</v>
      </c>
    </row>
    <row r="14" spans="1:25" ht="15.75" customHeight="1" x14ac:dyDescent="0.25">
      <c r="A14" s="4">
        <v>236</v>
      </c>
      <c r="C14" s="12" t="s">
        <v>576</v>
      </c>
      <c r="D14" s="12" t="s">
        <v>577</v>
      </c>
      <c r="E14" s="5" t="str">
        <f t="shared" si="0"/>
        <v>https://www.screener.in/company/RAYMOND/consolidated/</v>
      </c>
      <c r="F14" s="4">
        <v>443059</v>
      </c>
      <c r="G14" s="4">
        <v>3832241897</v>
      </c>
      <c r="H14" s="6">
        <f t="shared" ca="1" si="1"/>
        <v>235299.65247579999</v>
      </c>
      <c r="I14" s="7" t="str">
        <f ca="1">IFERROR(__xludf.DUMMYFUNCTION("IMPORTXML(E14,""/html/body/main/div[3]/div[3]/div[2]/ul/li[5]/span[2]/span"")"),"Loading...")</f>
        <v>Loading...</v>
      </c>
      <c r="J14" s="7">
        <f ca="1">IFERROR(__xludf.DUMMYFUNCTION("GOOGLEFINANCE(""NSE:""&amp;D14,""marketcap"")"),40862578020)</f>
        <v>40862578020</v>
      </c>
      <c r="K14" s="7">
        <v>992.8</v>
      </c>
      <c r="L14" s="8">
        <f ca="1">IFERROR(__xludf.DUMMYFUNCTION("GOOGLEFINANCE(""NSE:""&amp;D14,""price"")"),614)</f>
        <v>614</v>
      </c>
      <c r="M14" s="9">
        <f t="shared" ca="1" si="2"/>
        <v>-378.79999999999995</v>
      </c>
      <c r="N14" s="10">
        <f t="shared" ca="1" si="3"/>
        <v>-38.154713940370669</v>
      </c>
      <c r="O14" s="7">
        <f ca="1">IFERROR(__xludf.DUMMYFUNCTION("GOOGLEFINANCE(""NSE:""&amp;D14,""pe"")"),0.73)</f>
        <v>0.73</v>
      </c>
      <c r="P14" s="7">
        <f ca="1">IFERROR(__xludf.DUMMYFUNCTION("GOOGLEFINANCE(""NSE:""&amp;D14,""EPS"")"),839.93)</f>
        <v>839.93</v>
      </c>
      <c r="Q14" s="7">
        <v>13.5</v>
      </c>
      <c r="R14" s="7" t="str">
        <f ca="1">IFERROR(__xludf.DUMMYFUNCTION("IMPORTXML(E14,""/html/body/main/div[3]/div[3]/div[2]/ul/li[7]/span[2]/span"")"),"Loading...")</f>
        <v>Loading...</v>
      </c>
      <c r="S14" s="7" t="str">
        <f ca="1">IFERROR(__xludf.DUMMYFUNCTION("IMPORTXML(E14,""/html/body/main/div[3]/div[3]/div[2]/ul/li[8]/span[2]/span"")"),"Loading...")</f>
        <v>Loading...</v>
      </c>
      <c r="T14" s="4">
        <v>34.6</v>
      </c>
      <c r="U14" s="4">
        <v>22.7</v>
      </c>
      <c r="V14" s="4">
        <v>2.6</v>
      </c>
      <c r="W14" s="4">
        <v>5.7</v>
      </c>
      <c r="X14" s="4">
        <v>519.92999999999995</v>
      </c>
      <c r="Y14" s="7">
        <f t="shared" ca="1" si="4"/>
        <v>94.07000000000005</v>
      </c>
    </row>
    <row r="15" spans="1:25" ht="15.75" customHeight="1" x14ac:dyDescent="0.25">
      <c r="A15" s="4">
        <v>2732</v>
      </c>
      <c r="C15" s="12" t="s">
        <v>578</v>
      </c>
      <c r="D15" s="12" t="s">
        <v>579</v>
      </c>
      <c r="E15" s="5" t="str">
        <f t="shared" si="0"/>
        <v>https://www.screener.in/company/FMNL/consolidated/</v>
      </c>
      <c r="F15" s="4">
        <v>443059</v>
      </c>
      <c r="G15" s="4">
        <v>3832241897</v>
      </c>
      <c r="H15" s="6">
        <f t="shared" ca="1" si="1"/>
        <v>5173.5265609500002</v>
      </c>
      <c r="I15" s="7" t="str">
        <f ca="1">IFERROR(__xludf.DUMMYFUNCTION("IMPORTXML(E15,""/html/body/main/div[3]/div[3]/div[2]/ul/li[5]/span[2]/span"")"),"Loading...")</f>
        <v>Loading...</v>
      </c>
      <c r="J15" s="7">
        <f ca="1">IFERROR(__xludf.DUMMYFUNCTION("GOOGLEFINANCE(""NSE:""&amp;D15,""marketcap"")"),816879800)</f>
        <v>816879800</v>
      </c>
      <c r="K15" s="7">
        <v>992.8</v>
      </c>
      <c r="L15" s="8">
        <f ca="1">IFERROR(__xludf.DUMMYFUNCTION("GOOGLEFINANCE(""NSE:""&amp;D15,""price"")"),13.5)</f>
        <v>13.5</v>
      </c>
      <c r="M15" s="9">
        <f t="shared" ca="1" si="2"/>
        <v>-979.3</v>
      </c>
      <c r="N15" s="10">
        <f t="shared" ca="1" si="3"/>
        <v>-98.640209508460913</v>
      </c>
      <c r="O15" s="7" t="str">
        <f ca="1">IFERROR(__xludf.DUMMYFUNCTION("GOOGLEFINANCE(""NSE:""&amp;D15,""pe"")"),"#N/A")</f>
        <v>#N/A</v>
      </c>
      <c r="P15" s="7">
        <f ca="1">IFERROR(__xludf.DUMMYFUNCTION("GOOGLEFINANCE(""NSE:""&amp;D15,""EPS"")"),-2.69)</f>
        <v>-2.69</v>
      </c>
      <c r="Q15" s="7">
        <v>13.5</v>
      </c>
      <c r="R15" s="7" t="str">
        <f ca="1">IFERROR(__xludf.DUMMYFUNCTION("IMPORTXML(E15,""/html/body/main/div[3]/div[3]/div[2]/ul/li[7]/span[2]/span"")"),"Loading...")</f>
        <v>Loading...</v>
      </c>
      <c r="S15" s="7" t="str">
        <f ca="1">IFERROR(__xludf.DUMMYFUNCTION("IMPORTXML(E15,""/html/body/main/div[3]/div[3]/div[2]/ul/li[8]/span[2]/span"")"),"Loading...")</f>
        <v>Loading...</v>
      </c>
      <c r="T15" s="4">
        <v>34.6</v>
      </c>
      <c r="U15" s="4">
        <v>22.7</v>
      </c>
      <c r="V15" s="4">
        <v>2.6</v>
      </c>
      <c r="W15" s="4">
        <v>5.7</v>
      </c>
      <c r="X15" s="4">
        <v>519.92999999999995</v>
      </c>
      <c r="Y15" s="7">
        <f t="shared" ca="1" si="4"/>
        <v>-506.42999999999995</v>
      </c>
    </row>
    <row r="16" spans="1:25" ht="15.75" customHeight="1" x14ac:dyDescent="0.25">
      <c r="A16" s="4">
        <v>2023</v>
      </c>
      <c r="C16" s="12" t="s">
        <v>580</v>
      </c>
      <c r="D16" s="12" t="s">
        <v>581</v>
      </c>
      <c r="E16" s="5" t="str">
        <f t="shared" si="0"/>
        <v>https://www.screener.in/company/GTL/consolidated/</v>
      </c>
      <c r="F16" s="4">
        <v>443059</v>
      </c>
      <c r="G16" s="4">
        <v>3832241897</v>
      </c>
      <c r="H16" s="6">
        <f t="shared" ca="1" si="1"/>
        <v>3640.6298021500002</v>
      </c>
      <c r="I16" s="7" t="str">
        <f ca="1">IFERROR(__xludf.DUMMYFUNCTION("IMPORTXML(E16,""/html/body/main/div[3]/div[3]/div[2]/ul/li[5]/span[2]/span"")"),"Loading...")</f>
        <v>Loading...</v>
      </c>
      <c r="J16" s="7">
        <f ca="1">IFERROR(__xludf.DUMMYFUNCTION("GOOGLEFINANCE(""NSE:""&amp;D16,""marketcap"")"),1494318650)</f>
        <v>1494318650</v>
      </c>
      <c r="K16" s="7">
        <v>992.8</v>
      </c>
      <c r="L16" s="8">
        <f ca="1">IFERROR(__xludf.DUMMYFUNCTION("GOOGLEFINANCE(""NSE:""&amp;D16,""price"")"),9.5)</f>
        <v>9.5</v>
      </c>
      <c r="M16" s="9">
        <f t="shared" ca="1" si="2"/>
        <v>-983.3</v>
      </c>
      <c r="N16" s="10">
        <f t="shared" ca="1" si="3"/>
        <v>-99.04311039484287</v>
      </c>
      <c r="O16" s="7" t="str">
        <f ca="1">IFERROR(__xludf.DUMMYFUNCTION("GOOGLEFINANCE(""NSE:""&amp;D16,""pe"")"),"#N/A")</f>
        <v>#N/A</v>
      </c>
      <c r="P16" s="7">
        <f ca="1">IFERROR(__xludf.DUMMYFUNCTION("GOOGLEFINANCE(""NSE:""&amp;D16,""EPS"")"),-0.34)</f>
        <v>-0.34</v>
      </c>
      <c r="Q16" s="7">
        <v>13.5</v>
      </c>
      <c r="R16" s="7" t="str">
        <f ca="1">IFERROR(__xludf.DUMMYFUNCTION("IMPORTXML(E16,""/html/body/main/div[3]/div[3]/div[2]/ul/li[7]/span[2]/span"")"),"Loading...")</f>
        <v>Loading...</v>
      </c>
      <c r="S16" s="7" t="str">
        <f ca="1">IFERROR(__xludf.DUMMYFUNCTION("IMPORTXML(E16,""/html/body/main/div[3]/div[3]/div[2]/ul/li[8]/span[2]/span"")"),"Loading...")</f>
        <v>Loading...</v>
      </c>
      <c r="T16" s="4">
        <v>34.6</v>
      </c>
      <c r="U16" s="4">
        <v>22.7</v>
      </c>
      <c r="V16" s="4">
        <v>2.6</v>
      </c>
      <c r="W16" s="4">
        <v>5.7</v>
      </c>
      <c r="X16" s="4">
        <v>519.92999999999995</v>
      </c>
      <c r="Y16" s="7">
        <f t="shared" ca="1" si="4"/>
        <v>-510.42999999999995</v>
      </c>
    </row>
    <row r="17" spans="1:25" ht="15.75" customHeight="1" x14ac:dyDescent="0.25">
      <c r="A17" s="4">
        <v>2400</v>
      </c>
      <c r="C17" s="12" t="s">
        <v>582</v>
      </c>
      <c r="D17" s="12" t="s">
        <v>583</v>
      </c>
      <c r="E17" s="5" t="str">
        <f t="shared" si="0"/>
        <v>https://www.screener.in/company/INDSWFTLTD/consolidated/</v>
      </c>
      <c r="F17" s="4">
        <v>443059</v>
      </c>
      <c r="G17" s="4">
        <v>3832241897</v>
      </c>
      <c r="H17" s="6" t="e">
        <f t="shared" ca="1" si="1"/>
        <v>#VALUE!</v>
      </c>
      <c r="I17" s="7" t="str">
        <f ca="1">IFERROR(__xludf.DUMMYFUNCTION("IMPORTXML(E17,""/html/body/main/div[3]/div[3]/div[2]/ul/li[5]/span[2]/span"")"),"Loading...")</f>
        <v>Loading...</v>
      </c>
      <c r="J17" s="7" t="str">
        <f ca="1">IFERROR(__xludf.DUMMYFUNCTION("GOOGLEFINANCE(""NSE:""&amp;D17,""marketcap"")"),"#N/A")</f>
        <v>#N/A</v>
      </c>
      <c r="K17" s="7">
        <v>992.8</v>
      </c>
      <c r="L17" s="8" t="str">
        <f ca="1">IFERROR(__xludf.DUMMYFUNCTION("GOOGLEFINANCE(""NSE:""&amp;D17,""price"")"),"#N/A")</f>
        <v>#N/A</v>
      </c>
      <c r="M17" s="9" t="e">
        <f t="shared" ca="1" si="2"/>
        <v>#VALUE!</v>
      </c>
      <c r="N17" s="10" t="e">
        <f t="shared" ca="1" si="3"/>
        <v>#VALUE!</v>
      </c>
      <c r="O17" s="7" t="str">
        <f ca="1">IFERROR(__xludf.DUMMYFUNCTION("GOOGLEFINANCE(""NSE:""&amp;D17,""pe"")"),"#N/A")</f>
        <v>#N/A</v>
      </c>
      <c r="P17" s="7" t="str">
        <f ca="1">IFERROR(__xludf.DUMMYFUNCTION("GOOGLEFINANCE(""NSE:""&amp;D17,""EPS"")"),"#N/A")</f>
        <v>#N/A</v>
      </c>
      <c r="Q17" s="7">
        <v>13.5</v>
      </c>
      <c r="R17" s="7" t="str">
        <f ca="1">IFERROR(__xludf.DUMMYFUNCTION("IMPORTXML(E17,""/html/body/main/div[3]/div[3]/div[2]/ul/li[7]/span[2]/span"")"),"Loading...")</f>
        <v>Loading...</v>
      </c>
      <c r="S17" s="7" t="str">
        <f ca="1">IFERROR(__xludf.DUMMYFUNCTION("IMPORTXML(E17,""/html/body/main/div[3]/div[3]/div[2]/ul/li[8]/span[2]/span"")"),"Loading...")</f>
        <v>Loading...</v>
      </c>
      <c r="T17" s="4">
        <v>34.6</v>
      </c>
      <c r="U17" s="4">
        <v>22.7</v>
      </c>
      <c r="V17" s="4">
        <v>2.6</v>
      </c>
      <c r="W17" s="4">
        <v>5.7</v>
      </c>
      <c r="X17" s="4">
        <v>519.92999999999995</v>
      </c>
      <c r="Y17" s="7" t="e">
        <f t="shared" ca="1" si="4"/>
        <v>#VALUE!</v>
      </c>
    </row>
    <row r="18" spans="1:25" ht="15.75" customHeight="1" x14ac:dyDescent="0.25">
      <c r="A18" s="4">
        <v>1831</v>
      </c>
      <c r="C18" s="12" t="s">
        <v>584</v>
      </c>
      <c r="D18" s="12" t="s">
        <v>585</v>
      </c>
      <c r="E18" s="5" t="str">
        <f t="shared" si="0"/>
        <v>https://www.screener.in/company/ZEELEARN/consolidated/</v>
      </c>
      <c r="F18" s="4">
        <v>443059</v>
      </c>
      <c r="G18" s="4">
        <v>3832241897</v>
      </c>
      <c r="H18" s="6">
        <f t="shared" ca="1" si="1"/>
        <v>3403.0308045360002</v>
      </c>
      <c r="I18" s="7" t="str">
        <f ca="1">IFERROR(__xludf.DUMMYFUNCTION("IMPORTXML(E18,""/html/body/main/div[3]/div[3]/div[2]/ul/li[5]/span[2]/span"")"),"Loading...")</f>
        <v>Loading...</v>
      </c>
      <c r="J18" s="7">
        <f ca="1">IFERROR(__xludf.DUMMYFUNCTION("GOOGLEFINANCE(""NSE:""&amp;D18,""marketcap"")"),2907581000)</f>
        <v>2907581000</v>
      </c>
      <c r="K18" s="7">
        <v>992.8</v>
      </c>
      <c r="L18" s="8">
        <f ca="1">IFERROR(__xludf.DUMMYFUNCTION("GOOGLEFINANCE(""NSE:""&amp;D18,""price"")"),8.88)</f>
        <v>8.8800000000000008</v>
      </c>
      <c r="M18" s="9">
        <f t="shared" ca="1" si="2"/>
        <v>-983.92</v>
      </c>
      <c r="N18" s="10">
        <f t="shared" ca="1" si="3"/>
        <v>-99.105560032232077</v>
      </c>
      <c r="O18" s="7">
        <f ca="1">IFERROR(__xludf.DUMMYFUNCTION("GOOGLEFINANCE(""NSE:""&amp;D18,""pe"")"),27.19)</f>
        <v>27.19</v>
      </c>
      <c r="P18" s="7">
        <f ca="1">IFERROR(__xludf.DUMMYFUNCTION("GOOGLEFINANCE(""NSE:""&amp;D18,""EPS"")"),0.33)</f>
        <v>0.33</v>
      </c>
      <c r="Q18" s="7">
        <v>13.5</v>
      </c>
      <c r="R18" s="7" t="str">
        <f ca="1">IFERROR(__xludf.DUMMYFUNCTION("IMPORTXML(E18,""/html/body/main/div[3]/div[3]/div[2]/ul/li[7]/span[2]/span"")"),"Loading...")</f>
        <v>Loading...</v>
      </c>
      <c r="S18" s="7" t="str">
        <f ca="1">IFERROR(__xludf.DUMMYFUNCTION("IMPORTXML(E18,""/html/body/main/div[3]/div[3]/div[2]/ul/li[8]/span[2]/span"")"),"Loading...")</f>
        <v>Loading...</v>
      </c>
      <c r="T18" s="4">
        <v>34.6</v>
      </c>
      <c r="U18" s="4">
        <v>22.7</v>
      </c>
      <c r="V18" s="4">
        <v>2.6</v>
      </c>
      <c r="W18" s="4">
        <v>5.7</v>
      </c>
      <c r="X18" s="4">
        <v>519.92999999999995</v>
      </c>
      <c r="Y18" s="7">
        <f t="shared" ca="1" si="4"/>
        <v>-511.04999999999995</v>
      </c>
    </row>
    <row r="19" spans="1:25" ht="15.75" customHeight="1" x14ac:dyDescent="0.25">
      <c r="A19" s="4">
        <v>2336</v>
      </c>
      <c r="C19" s="12" t="s">
        <v>586</v>
      </c>
      <c r="D19" s="12" t="s">
        <v>587</v>
      </c>
      <c r="E19" s="5" t="str">
        <f t="shared" si="0"/>
        <v>https://www.screener.in/company/SOMATEX/consolidated/</v>
      </c>
      <c r="F19" s="4">
        <v>443059</v>
      </c>
      <c r="G19" s="4">
        <v>3832241897</v>
      </c>
      <c r="H19" s="6">
        <f t="shared" ca="1" si="1"/>
        <v>32593.217333984998</v>
      </c>
      <c r="I19" s="7" t="str">
        <f ca="1">IFERROR(__xludf.DUMMYFUNCTION("IMPORTXML(E19,""/html/body/main/div[3]/div[3]/div[2]/ul/li[5]/span[2]/span"")"),"Loading...")</f>
        <v>Loading...</v>
      </c>
      <c r="J19" s="7">
        <f ca="1">IFERROR(__xludf.DUMMYFUNCTION("GOOGLEFINANCE(""NSE:""&amp;D19,""marketcap"")"),2809455900)</f>
        <v>2809455900</v>
      </c>
      <c r="K19" s="7">
        <v>992.8</v>
      </c>
      <c r="L19" s="8">
        <f ca="1">IFERROR(__xludf.DUMMYFUNCTION("GOOGLEFINANCE(""NSE:""&amp;D19,""price"")"),85.05)</f>
        <v>85.05</v>
      </c>
      <c r="M19" s="9">
        <f t="shared" ca="1" si="2"/>
        <v>-907.75</v>
      </c>
      <c r="N19" s="10">
        <f t="shared" ca="1" si="3"/>
        <v>-91.433319903303783</v>
      </c>
      <c r="O19" s="7">
        <f ca="1">IFERROR(__xludf.DUMMYFUNCTION("GOOGLEFINANCE(""NSE:""&amp;D19,""pe"")"),3.92)</f>
        <v>3.92</v>
      </c>
      <c r="P19" s="7">
        <f ca="1">IFERROR(__xludf.DUMMYFUNCTION("GOOGLEFINANCE(""NSE:""&amp;D19,""EPS"")"),21.72)</f>
        <v>21.72</v>
      </c>
      <c r="Q19" s="7">
        <v>13.5</v>
      </c>
      <c r="R19" s="7" t="str">
        <f ca="1">IFERROR(__xludf.DUMMYFUNCTION("IMPORTXML(E19,""/html/body/main/div[3]/div[3]/div[2]/ul/li[7]/span[2]/span"")"),"Loading...")</f>
        <v>Loading...</v>
      </c>
      <c r="S19" s="7" t="str">
        <f ca="1">IFERROR(__xludf.DUMMYFUNCTION("IMPORTXML(E19,""/html/body/main/div[3]/div[3]/div[2]/ul/li[8]/span[2]/span"")"),"Loading...")</f>
        <v>Loading...</v>
      </c>
      <c r="T19" s="4">
        <v>34.6</v>
      </c>
      <c r="U19" s="4">
        <v>22.7</v>
      </c>
      <c r="V19" s="4">
        <v>2.6</v>
      </c>
      <c r="W19" s="4">
        <v>5.7</v>
      </c>
      <c r="X19" s="4">
        <v>519.92999999999995</v>
      </c>
      <c r="Y19" s="7">
        <f t="shared" ca="1" si="4"/>
        <v>-434.87999999999994</v>
      </c>
    </row>
    <row r="20" spans="1:25" ht="15.75" customHeight="1" x14ac:dyDescent="0.25">
      <c r="A20" s="4">
        <v>3259</v>
      </c>
      <c r="C20" s="12" t="s">
        <v>588</v>
      </c>
      <c r="D20" s="12" t="s">
        <v>589</v>
      </c>
      <c r="E20" s="5" t="str">
        <f t="shared" si="0"/>
        <v>https://www.screener.in/company/KAUSHALYA/consolidated/</v>
      </c>
      <c r="F20" s="4">
        <v>443059</v>
      </c>
      <c r="G20" s="4">
        <v>3832241897</v>
      </c>
      <c r="H20" s="6">
        <f t="shared" ca="1" si="1"/>
        <v>635309.06168465992</v>
      </c>
      <c r="I20" s="7" t="str">
        <f ca="1">IFERROR(__xludf.DUMMYFUNCTION("IMPORTXML(E20,""/html/body/main/div[3]/div[3]/div[2]/ul/li[5]/span[2]/span"")"),"Loading...")</f>
        <v>Loading...</v>
      </c>
      <c r="J20" s="7">
        <f ca="1">IFERROR(__xludf.DUMMYFUNCTION("GOOGLEFINANCE(""NSE:""&amp;D20,""marketcap"")"),574106100)</f>
        <v>574106100</v>
      </c>
      <c r="K20" s="7">
        <v>992.8</v>
      </c>
      <c r="L20" s="8">
        <f ca="1">IFERROR(__xludf.DUMMYFUNCTION("GOOGLEFINANCE(""NSE:""&amp;D20,""price"")"),1657.8)</f>
        <v>1657.8</v>
      </c>
      <c r="M20" s="9">
        <f t="shared" ca="1" si="2"/>
        <v>665</v>
      </c>
      <c r="N20" s="10">
        <f t="shared" ca="1" si="3"/>
        <v>66.98227236099919</v>
      </c>
      <c r="O20" s="7">
        <f ca="1">IFERROR(__xludf.DUMMYFUNCTION("GOOGLEFINANCE(""NSE:""&amp;D20,""pe"")"),9.63)</f>
        <v>9.6300000000000008</v>
      </c>
      <c r="P20" s="7">
        <f ca="1">IFERROR(__xludf.DUMMYFUNCTION("GOOGLEFINANCE(""NSE:""&amp;D20,""EPS"")"),172.22)</f>
        <v>172.22</v>
      </c>
      <c r="Q20" s="7">
        <v>13.5</v>
      </c>
      <c r="R20" s="7" t="str">
        <f ca="1">IFERROR(__xludf.DUMMYFUNCTION("IMPORTXML(E20,""/html/body/main/div[3]/div[3]/div[2]/ul/li[7]/span[2]/span"")"),"Loading...")</f>
        <v>Loading...</v>
      </c>
      <c r="S20" s="7" t="str">
        <f ca="1">IFERROR(__xludf.DUMMYFUNCTION("IMPORTXML(E20,""/html/body/main/div[3]/div[3]/div[2]/ul/li[8]/span[2]/span"")"),"Loading...")</f>
        <v>Loading...</v>
      </c>
      <c r="T20" s="4">
        <v>34.6</v>
      </c>
      <c r="U20" s="4">
        <v>22.7</v>
      </c>
      <c r="V20" s="4">
        <v>2.6</v>
      </c>
      <c r="W20" s="4">
        <v>5.7</v>
      </c>
      <c r="X20" s="4">
        <v>519.92999999999995</v>
      </c>
      <c r="Y20" s="7">
        <f t="shared" ca="1" si="4"/>
        <v>1137.8699999999999</v>
      </c>
    </row>
    <row r="21" spans="1:25" ht="15.75" customHeight="1" x14ac:dyDescent="0.25">
      <c r="A21" s="4">
        <v>1343</v>
      </c>
      <c r="C21" s="12" t="s">
        <v>590</v>
      </c>
      <c r="D21" s="12" t="s">
        <v>591</v>
      </c>
      <c r="E21" s="5" t="str">
        <f t="shared" si="0"/>
        <v>https://www.screener.in/company/INDSWFTLAB/consolidated/</v>
      </c>
      <c r="F21" s="4">
        <v>443059</v>
      </c>
      <c r="G21" s="4">
        <v>3832241897</v>
      </c>
      <c r="H21" s="6">
        <f t="shared" ca="1" si="1"/>
        <v>39460.594813408999</v>
      </c>
      <c r="I21" s="7" t="str">
        <f ca="1">IFERROR(__xludf.DUMMYFUNCTION("IMPORTXML(E21,""/html/body/main/div[3]/div[3]/div[2]/ul/li[5]/span[2]/span"")"),"Loading...")</f>
        <v>Loading...</v>
      </c>
      <c r="J21" s="7">
        <f ca="1">IFERROR(__xludf.DUMMYFUNCTION("GOOGLEFINANCE(""NSE:""&amp;D21,""marketcap"")"),7499334000)</f>
        <v>7499334000</v>
      </c>
      <c r="K21" s="7">
        <v>992.8</v>
      </c>
      <c r="L21" s="8">
        <f ca="1">IFERROR(__xludf.DUMMYFUNCTION("GOOGLEFINANCE(""NSE:""&amp;D21,""price"")"),102.97)</f>
        <v>102.97</v>
      </c>
      <c r="M21" s="9">
        <f t="shared" ca="1" si="2"/>
        <v>-889.82999999999993</v>
      </c>
      <c r="N21" s="10">
        <f t="shared" ca="1" si="3"/>
        <v>-89.628323932312654</v>
      </c>
      <c r="O21" s="7">
        <f ca="1">IFERROR(__xludf.DUMMYFUNCTION("GOOGLEFINANCE(""NSE:""&amp;D21,""pe"")"),82.97)</f>
        <v>82.97</v>
      </c>
      <c r="P21" s="7">
        <f ca="1">IFERROR(__xludf.DUMMYFUNCTION("GOOGLEFINANCE(""NSE:""&amp;D21,""EPS"")"),1.24)</f>
        <v>1.24</v>
      </c>
      <c r="Q21" s="7">
        <v>13.5</v>
      </c>
      <c r="R21" s="7" t="str">
        <f ca="1">IFERROR(__xludf.DUMMYFUNCTION("IMPORTXML(E21,""/html/body/main/div[3]/div[3]/div[2]/ul/li[7]/span[2]/span"")"),"Loading...")</f>
        <v>Loading...</v>
      </c>
      <c r="S21" s="7" t="str">
        <f ca="1">IFERROR(__xludf.DUMMYFUNCTION("IMPORTXML(E21,""/html/body/main/div[3]/div[3]/div[2]/ul/li[8]/span[2]/span"")"),"Loading...")</f>
        <v>Loading...</v>
      </c>
      <c r="T21" s="4">
        <v>34.6</v>
      </c>
      <c r="U21" s="4">
        <v>22.7</v>
      </c>
      <c r="V21" s="4">
        <v>2.6</v>
      </c>
      <c r="W21" s="4">
        <v>5.7</v>
      </c>
      <c r="X21" s="4">
        <v>519.92999999999995</v>
      </c>
      <c r="Y21" s="7">
        <f t="shared" ca="1" si="4"/>
        <v>-416.95999999999992</v>
      </c>
    </row>
    <row r="22" spans="1:25" ht="15.75" customHeight="1" x14ac:dyDescent="0.25">
      <c r="A22" s="4">
        <v>2505</v>
      </c>
      <c r="C22" s="12" t="s">
        <v>592</v>
      </c>
      <c r="D22" s="12" t="s">
        <v>593</v>
      </c>
      <c r="E22" s="5" t="str">
        <f t="shared" si="0"/>
        <v>https://www.screener.in/company/21STCENMGM/consolidated/</v>
      </c>
      <c r="F22" s="4">
        <v>443059</v>
      </c>
      <c r="G22" s="4">
        <v>3832241897</v>
      </c>
      <c r="H22" s="6">
        <f t="shared" ca="1" si="1"/>
        <v>20609.796922066002</v>
      </c>
      <c r="I22" s="7" t="str">
        <f ca="1">IFERROR(__xludf.DUMMYFUNCTION("IMPORTXML(E22,""/html/body/main/div[3]/div[3]/div[2]/ul/li[5]/span[2]/span"")"),"Loading...")</f>
        <v>Loading...</v>
      </c>
      <c r="J22" s="7">
        <f ca="1">IFERROR(__xludf.DUMMYFUNCTION("GOOGLEFINANCE(""NSE:""&amp;D22,""marketcap"")"),551985000)</f>
        <v>551985000</v>
      </c>
      <c r="K22" s="7">
        <v>992.8</v>
      </c>
      <c r="L22" s="8">
        <f ca="1">IFERROR(__xludf.DUMMYFUNCTION("GOOGLEFINANCE(""NSE:""&amp;D22,""price"")"),53.78)</f>
        <v>53.78</v>
      </c>
      <c r="M22" s="9">
        <f t="shared" ca="1" si="2"/>
        <v>-939.02</v>
      </c>
      <c r="N22" s="10">
        <f t="shared" ca="1" si="3"/>
        <v>-94.582997582594686</v>
      </c>
      <c r="O22" s="7" t="str">
        <f ca="1">IFERROR(__xludf.DUMMYFUNCTION("GOOGLEFINANCE(""NSE:""&amp;D22,""pe"")"),"#N/A")</f>
        <v>#N/A</v>
      </c>
      <c r="P22" s="7">
        <f ca="1">IFERROR(__xludf.DUMMYFUNCTION("GOOGLEFINANCE(""NSE:""&amp;D22,""EPS"")"),-9.33)</f>
        <v>-9.33</v>
      </c>
      <c r="Q22" s="7">
        <v>13.5</v>
      </c>
      <c r="R22" s="7" t="str">
        <f ca="1">IFERROR(__xludf.DUMMYFUNCTION("IMPORTXML(E22,""/html/body/main/div[3]/div[3]/div[2]/ul/li[7]/span[2]/span"")"),"Loading...")</f>
        <v>Loading...</v>
      </c>
      <c r="S22" s="7" t="str">
        <f ca="1">IFERROR(__xludf.DUMMYFUNCTION("IMPORTXML(E22,""/html/body/main/div[3]/div[3]/div[2]/ul/li[8]/span[2]/span"")"),"Loading...")</f>
        <v>Loading...</v>
      </c>
      <c r="T22" s="4">
        <v>34.6</v>
      </c>
      <c r="U22" s="4">
        <v>22.7</v>
      </c>
      <c r="V22" s="4">
        <v>2.6</v>
      </c>
      <c r="W22" s="4">
        <v>5.7</v>
      </c>
      <c r="X22" s="4">
        <v>519.92999999999995</v>
      </c>
      <c r="Y22" s="7">
        <f t="shared" ca="1" si="4"/>
        <v>-466.15</v>
      </c>
    </row>
    <row r="23" spans="1:25" ht="15.75" customHeight="1" x14ac:dyDescent="0.25">
      <c r="A23" s="4">
        <v>2178</v>
      </c>
      <c r="C23" s="12" t="s">
        <v>594</v>
      </c>
      <c r="D23" s="12" t="s">
        <v>595</v>
      </c>
      <c r="E23" s="5" t="str">
        <f t="shared" si="0"/>
        <v>https://www.screener.in/company/INDIANCARD/consolidated/</v>
      </c>
      <c r="F23" s="4">
        <v>443059</v>
      </c>
      <c r="G23" s="4">
        <v>3832241897</v>
      </c>
      <c r="H23" s="6">
        <f t="shared" ca="1" si="1"/>
        <v>107168.64464960499</v>
      </c>
      <c r="I23" s="7" t="str">
        <f ca="1">IFERROR(__xludf.DUMMYFUNCTION("IMPORTXML(E23,""/html/body/main/div[3]/div[3]/div[2]/ul/li[5]/span[2]/span"")"),"Loading...")</f>
        <v>Loading...</v>
      </c>
      <c r="J23" s="7">
        <f ca="1">IFERROR(__xludf.DUMMYFUNCTION("GOOGLEFINANCE(""NSE:""&amp;D23,""marketcap"")"),1661433892)</f>
        <v>1661433892</v>
      </c>
      <c r="K23" s="7">
        <v>992.8</v>
      </c>
      <c r="L23" s="8">
        <f ca="1">IFERROR(__xludf.DUMMYFUNCTION("GOOGLEFINANCE(""NSE:""&amp;D23,""price"")"),279.65)</f>
        <v>279.64999999999998</v>
      </c>
      <c r="M23" s="9">
        <f t="shared" ca="1" si="2"/>
        <v>-713.15</v>
      </c>
      <c r="N23" s="10">
        <f t="shared" ca="1" si="3"/>
        <v>-71.832191780821915</v>
      </c>
      <c r="O23" s="7">
        <f ca="1">IFERROR(__xludf.DUMMYFUNCTION("GOOGLEFINANCE(""NSE:""&amp;D23,""pe"")"),6.08)</f>
        <v>6.08</v>
      </c>
      <c r="P23" s="7">
        <f ca="1">IFERROR(__xludf.DUMMYFUNCTION("GOOGLEFINANCE(""NSE:""&amp;D23,""EPS"")"),45.98)</f>
        <v>45.98</v>
      </c>
      <c r="Q23" s="7">
        <v>13.5</v>
      </c>
      <c r="R23" s="7" t="str">
        <f ca="1">IFERROR(__xludf.DUMMYFUNCTION("IMPORTXML(E23,""/html/body/main/div[3]/div[3]/div[2]/ul/li[7]/span[2]/span"")"),"Loading...")</f>
        <v>Loading...</v>
      </c>
      <c r="S23" s="7" t="str">
        <f ca="1">IFERROR(__xludf.DUMMYFUNCTION("IMPORTXML(E23,""/html/body/main/div[3]/div[3]/div[2]/ul/li[8]/span[2]/span"")"),"Loading...")</f>
        <v>Loading...</v>
      </c>
      <c r="T23" s="4">
        <v>34.6</v>
      </c>
      <c r="U23" s="4">
        <v>22.7</v>
      </c>
      <c r="V23" s="4">
        <v>2.6</v>
      </c>
      <c r="W23" s="4">
        <v>5.7</v>
      </c>
      <c r="X23" s="4">
        <v>519.92999999999995</v>
      </c>
      <c r="Y23" s="7">
        <f t="shared" ca="1" si="4"/>
        <v>-240.27999999999997</v>
      </c>
    </row>
    <row r="24" spans="1:25" ht="15.75" customHeight="1" x14ac:dyDescent="0.25">
      <c r="A24" s="4">
        <v>1388</v>
      </c>
      <c r="C24" s="12" t="s">
        <v>596</v>
      </c>
      <c r="D24" s="12" t="s">
        <v>597</v>
      </c>
      <c r="E24" s="5" t="str">
        <f t="shared" si="0"/>
        <v>https://www.screener.in/company/MBLINFRA/consolidated/</v>
      </c>
      <c r="F24" s="4">
        <v>443059</v>
      </c>
      <c r="G24" s="4">
        <v>3832241897</v>
      </c>
      <c r="H24" s="6">
        <f t="shared" ca="1" si="1"/>
        <v>15443.934844909998</v>
      </c>
      <c r="I24" s="7" t="str">
        <f ca="1">IFERROR(__xludf.DUMMYFUNCTION("IMPORTXML(E24,""/html/body/main/div[3]/div[3]/div[2]/ul/li[5]/span[2]/span"")"),"Loading...")</f>
        <v>Loading...</v>
      </c>
      <c r="J24" s="7">
        <f ca="1">IFERROR(__xludf.DUMMYFUNCTION("GOOGLEFINANCE(""NSE:""&amp;D24,""marketcap"")"),6214042000)</f>
        <v>6214042000</v>
      </c>
      <c r="K24" s="7">
        <v>992.8</v>
      </c>
      <c r="L24" s="8">
        <f ca="1">IFERROR(__xludf.DUMMYFUNCTION("GOOGLEFINANCE(""NSE:""&amp;D24,""price"")"),40.3)</f>
        <v>40.299999999999997</v>
      </c>
      <c r="M24" s="9">
        <f t="shared" ca="1" si="2"/>
        <v>-952.5</v>
      </c>
      <c r="N24" s="10">
        <f t="shared" ca="1" si="3"/>
        <v>-95.940773569701861</v>
      </c>
      <c r="O24" s="7" t="str">
        <f ca="1">IFERROR(__xludf.DUMMYFUNCTION("GOOGLEFINANCE(""NSE:""&amp;D24,""pe"")"),"#N/A")</f>
        <v>#N/A</v>
      </c>
      <c r="P24" s="7">
        <f ca="1">IFERROR(__xludf.DUMMYFUNCTION("GOOGLEFINANCE(""NSE:""&amp;D24,""EPS"")"),-18.45)</f>
        <v>-18.45</v>
      </c>
      <c r="Q24" s="7">
        <v>13.5</v>
      </c>
      <c r="R24" s="7" t="str">
        <f ca="1">IFERROR(__xludf.DUMMYFUNCTION("IMPORTXML(E24,""/html/body/main/div[3]/div[3]/div[2]/ul/li[7]/span[2]/span"")"),"Loading...")</f>
        <v>Loading...</v>
      </c>
      <c r="S24" s="7" t="str">
        <f ca="1">IFERROR(__xludf.DUMMYFUNCTION("IMPORTXML(E24,""/html/body/main/div[3]/div[3]/div[2]/ul/li[8]/span[2]/span"")"),"Loading...")</f>
        <v>Loading...</v>
      </c>
      <c r="T24" s="4">
        <v>34.6</v>
      </c>
      <c r="U24" s="4">
        <v>22.7</v>
      </c>
      <c r="V24" s="4">
        <v>2.6</v>
      </c>
      <c r="W24" s="4">
        <v>5.7</v>
      </c>
      <c r="X24" s="4">
        <v>519.92999999999995</v>
      </c>
      <c r="Y24" s="7">
        <f t="shared" ca="1" si="4"/>
        <v>-479.62999999999994</v>
      </c>
    </row>
    <row r="25" spans="1:25" ht="15.75" customHeight="1" x14ac:dyDescent="0.25">
      <c r="A25" s="4">
        <v>1259</v>
      </c>
      <c r="C25" s="12" t="s">
        <v>598</v>
      </c>
      <c r="D25" s="12" t="s">
        <v>599</v>
      </c>
      <c r="E25" s="5" t="str">
        <f t="shared" si="0"/>
        <v>https://www.screener.in/company/JPOLYINVST/consolidated/</v>
      </c>
      <c r="F25" s="4">
        <v>443059</v>
      </c>
      <c r="G25" s="4">
        <v>3832241897</v>
      </c>
      <c r="H25" s="6">
        <f t="shared" ca="1" si="1"/>
        <v>358697.84155920002</v>
      </c>
      <c r="I25" s="7" t="str">
        <f ca="1">IFERROR(__xludf.DUMMYFUNCTION("IMPORTXML(E25,""/html/body/main/div[3]/div[3]/div[2]/ul/li[5]/span[2]/span"")"),"Loading...")</f>
        <v>Loading...</v>
      </c>
      <c r="J25" s="7">
        <f ca="1">IFERROR(__xludf.DUMMYFUNCTION("GOOGLEFINANCE(""NSE:""&amp;D25,""marketcap"")"),9909070000)</f>
        <v>9909070000</v>
      </c>
      <c r="K25" s="7">
        <v>992.8</v>
      </c>
      <c r="L25" s="8">
        <f ca="1">IFERROR(__xludf.DUMMYFUNCTION("GOOGLEFINANCE(""NSE:""&amp;D25,""price"")"),936)</f>
        <v>936</v>
      </c>
      <c r="M25" s="9">
        <f t="shared" ca="1" si="2"/>
        <v>-56.799999999999955</v>
      </c>
      <c r="N25" s="10">
        <f t="shared" ca="1" si="3"/>
        <v>-5.7211925866236868</v>
      </c>
      <c r="O25" s="7">
        <f ca="1">IFERROR(__xludf.DUMMYFUNCTION("GOOGLEFINANCE(""NSE:""&amp;D25,""pe"")"),3.25)</f>
        <v>3.25</v>
      </c>
      <c r="P25" s="7">
        <f ca="1">IFERROR(__xludf.DUMMYFUNCTION("GOOGLEFINANCE(""NSE:""&amp;D25,""EPS"")"),287.92)</f>
        <v>287.92</v>
      </c>
      <c r="Q25" s="7">
        <v>13.5</v>
      </c>
      <c r="R25" s="7" t="str">
        <f ca="1">IFERROR(__xludf.DUMMYFUNCTION("IMPORTXML(E25,""/html/body/main/div[3]/div[3]/div[2]/ul/li[7]/span[2]/span"")"),"Loading...")</f>
        <v>Loading...</v>
      </c>
      <c r="S25" s="7" t="str">
        <f ca="1">IFERROR(__xludf.DUMMYFUNCTION("IMPORTXML(E25,""/html/body/main/div[3]/div[3]/div[2]/ul/li[8]/span[2]/span"")"),"Loading...")</f>
        <v>Loading...</v>
      </c>
      <c r="T25" s="4">
        <v>34.6</v>
      </c>
      <c r="U25" s="4">
        <v>22.7</v>
      </c>
      <c r="V25" s="4">
        <v>2.6</v>
      </c>
      <c r="W25" s="4">
        <v>5.7</v>
      </c>
      <c r="X25" s="4">
        <v>519.92999999999995</v>
      </c>
      <c r="Y25" s="7">
        <f t="shared" ca="1" si="4"/>
        <v>416.07000000000005</v>
      </c>
    </row>
    <row r="26" spans="1:25" ht="15.75" customHeight="1" x14ac:dyDescent="0.25">
      <c r="A26" s="4">
        <v>1276</v>
      </c>
      <c r="C26" s="12" t="s">
        <v>600</v>
      </c>
      <c r="D26" s="12" t="s">
        <v>601</v>
      </c>
      <c r="E26" s="5" t="str">
        <f t="shared" si="0"/>
        <v>https://www.screener.in/company/JINDALPHOT/consolidated/</v>
      </c>
      <c r="F26" s="4">
        <v>443059</v>
      </c>
      <c r="G26" s="4">
        <v>3832241897</v>
      </c>
      <c r="H26" s="6">
        <f t="shared" ca="1" si="1"/>
        <v>452281.18868394004</v>
      </c>
      <c r="I26" s="7" t="str">
        <f ca="1">IFERROR(__xludf.DUMMYFUNCTION("IMPORTXML(E26,""/html/body/main/div[3]/div[3]/div[2]/ul/li[5]/span[2]/span"")"),"Loading...")</f>
        <v>Loading...</v>
      </c>
      <c r="J26" s="7">
        <f ca="1">IFERROR(__xludf.DUMMYFUNCTION("GOOGLEFINANCE(""NSE:""&amp;D26,""marketcap"")"),12119190000)</f>
        <v>12119190000</v>
      </c>
      <c r="K26" s="7">
        <v>992.8</v>
      </c>
      <c r="L26" s="8">
        <f ca="1">IFERROR(__xludf.DUMMYFUNCTION("GOOGLEFINANCE(""NSE:""&amp;D26,""price"")"),1180.2)</f>
        <v>1180.2</v>
      </c>
      <c r="M26" s="9">
        <f t="shared" ca="1" si="2"/>
        <v>187.40000000000009</v>
      </c>
      <c r="N26" s="10">
        <f t="shared" ca="1" si="3"/>
        <v>18.875906526994367</v>
      </c>
      <c r="O26" s="7">
        <f ca="1">IFERROR(__xludf.DUMMYFUNCTION("GOOGLEFINANCE(""NSE:""&amp;D26,""pe"")"),5.24)</f>
        <v>5.24</v>
      </c>
      <c r="P26" s="7">
        <f ca="1">IFERROR(__xludf.DUMMYFUNCTION("GOOGLEFINANCE(""NSE:""&amp;D26,""EPS"")"),225.1)</f>
        <v>225.1</v>
      </c>
      <c r="Q26" s="7">
        <v>13.5</v>
      </c>
      <c r="R26" s="7" t="str">
        <f ca="1">IFERROR(__xludf.DUMMYFUNCTION("IMPORTXML(E26,""/html/body/main/div[3]/div[3]/div[2]/ul/li[7]/span[2]/span"")"),"Loading...")</f>
        <v>Loading...</v>
      </c>
      <c r="S26" s="7" t="str">
        <f ca="1">IFERROR(__xludf.DUMMYFUNCTION("IMPORTXML(E26,""/html/body/main/div[3]/div[3]/div[2]/ul/li[8]/span[2]/span"")"),"Loading...")</f>
        <v>Loading...</v>
      </c>
      <c r="T26" s="4">
        <v>34.6</v>
      </c>
      <c r="U26" s="4">
        <v>22.7</v>
      </c>
      <c r="V26" s="4">
        <v>2.6</v>
      </c>
      <c r="W26" s="4">
        <v>5.7</v>
      </c>
      <c r="X26" s="4">
        <v>519.92999999999995</v>
      </c>
      <c r="Y26" s="7">
        <f t="shared" ca="1" si="4"/>
        <v>660.2700000000001</v>
      </c>
    </row>
    <row r="27" spans="1:25" ht="15.75" customHeight="1" x14ac:dyDescent="0.25">
      <c r="A27" s="4">
        <v>1605</v>
      </c>
      <c r="C27" s="12" t="s">
        <v>602</v>
      </c>
      <c r="D27" s="12" t="s">
        <v>603</v>
      </c>
      <c r="E27" s="5" t="str">
        <f t="shared" si="0"/>
        <v>https://www.screener.in/company/SAKHTISUG/consolidated/</v>
      </c>
      <c r="F27" s="4">
        <v>443059</v>
      </c>
      <c r="G27" s="4">
        <v>3832241897</v>
      </c>
      <c r="H27" s="6">
        <f t="shared" ca="1" si="1"/>
        <v>8660.866687220001</v>
      </c>
      <c r="I27" s="7" t="str">
        <f ca="1">IFERROR(__xludf.DUMMYFUNCTION("IMPORTXML(E27,""/html/body/main/div[3]/div[3]/div[2]/ul/li[5]/span[2]/span"")"),"Loading...")</f>
        <v>Loading...</v>
      </c>
      <c r="J27" s="7">
        <f ca="1">IFERROR(__xludf.DUMMYFUNCTION("GOOGLEFINANCE(""NSE:""&amp;D27,""marketcap"")"),2682423000)</f>
        <v>2682423000</v>
      </c>
      <c r="K27" s="7">
        <v>992.8</v>
      </c>
      <c r="L27" s="8">
        <f ca="1">IFERROR(__xludf.DUMMYFUNCTION("GOOGLEFINANCE(""NSE:""&amp;D27,""price"")"),22.6)</f>
        <v>22.6</v>
      </c>
      <c r="M27" s="9">
        <f t="shared" ca="1" si="2"/>
        <v>-970.19999999999993</v>
      </c>
      <c r="N27" s="10">
        <f t="shared" ca="1" si="3"/>
        <v>-97.723609991941984</v>
      </c>
      <c r="O27" s="7">
        <f ca="1">IFERROR(__xludf.DUMMYFUNCTION("GOOGLEFINANCE(""NSE:""&amp;D27,""pe"")"),12.85)</f>
        <v>12.85</v>
      </c>
      <c r="P27" s="7">
        <f ca="1">IFERROR(__xludf.DUMMYFUNCTION("GOOGLEFINANCE(""NSE:""&amp;D27,""EPS"")"),1.76)</f>
        <v>1.76</v>
      </c>
      <c r="Q27" s="7">
        <v>13.5</v>
      </c>
      <c r="R27" s="7" t="str">
        <f ca="1">IFERROR(__xludf.DUMMYFUNCTION("IMPORTXML(E27,""/html/body/main/div[3]/div[3]/div[2]/ul/li[7]/span[2]/span"")"),"Loading...")</f>
        <v>Loading...</v>
      </c>
      <c r="S27" s="7" t="str">
        <f ca="1">IFERROR(__xludf.DUMMYFUNCTION("IMPORTXML(E27,""/html/body/main/div[3]/div[3]/div[2]/ul/li[8]/span[2]/span"")"),"Loading...")</f>
        <v>Loading...</v>
      </c>
      <c r="T27" s="4">
        <v>34.6</v>
      </c>
      <c r="U27" s="4">
        <v>22.7</v>
      </c>
      <c r="V27" s="4">
        <v>2.6</v>
      </c>
      <c r="W27" s="4">
        <v>5.7</v>
      </c>
      <c r="X27" s="4">
        <v>519.92999999999995</v>
      </c>
      <c r="Y27" s="7">
        <f t="shared" ca="1" si="4"/>
        <v>-497.32999999999993</v>
      </c>
    </row>
    <row r="28" spans="1:25" ht="15.75" customHeight="1" x14ac:dyDescent="0.25">
      <c r="A28" s="4">
        <v>3178</v>
      </c>
      <c r="C28" s="12" t="s">
        <v>604</v>
      </c>
      <c r="D28" s="12" t="s">
        <v>605</v>
      </c>
      <c r="E28" s="5" t="str">
        <f t="shared" si="0"/>
        <v>https://www.screener.in/company/NAGREEKCAP/consolidated/</v>
      </c>
      <c r="F28" s="4">
        <v>443059</v>
      </c>
      <c r="G28" s="4">
        <v>3832241897</v>
      </c>
      <c r="H28" s="6">
        <f t="shared" ca="1" si="1"/>
        <v>9829.7004658049991</v>
      </c>
      <c r="I28" s="7" t="str">
        <f ca="1">IFERROR(__xludf.DUMMYFUNCTION("IMPORTXML(E28,""/html/body/main/div[3]/div[3]/div[2]/ul/li[5]/span[2]/span"")"),"Loading...")</f>
        <v>Loading...</v>
      </c>
      <c r="J28" s="7">
        <f ca="1">IFERROR(__xludf.DUMMYFUNCTION("GOOGLEFINANCE(""NSE:""&amp;D28,""marketcap"")"),315634800)</f>
        <v>315634800</v>
      </c>
      <c r="K28" s="7">
        <v>992.8</v>
      </c>
      <c r="L28" s="8">
        <f ca="1">IFERROR(__xludf.DUMMYFUNCTION("GOOGLEFINANCE(""NSE:""&amp;D28,""price"")"),25.65)</f>
        <v>25.65</v>
      </c>
      <c r="M28" s="9">
        <f t="shared" ca="1" si="2"/>
        <v>-967.15</v>
      </c>
      <c r="N28" s="10">
        <f t="shared" ca="1" si="3"/>
        <v>-97.416398066075743</v>
      </c>
      <c r="O28" s="7">
        <f ca="1">IFERROR(__xludf.DUMMYFUNCTION("GOOGLEFINANCE(""NSE:""&amp;D28,""pe"")"),1.82)</f>
        <v>1.82</v>
      </c>
      <c r="P28" s="7">
        <f ca="1">IFERROR(__xludf.DUMMYFUNCTION("GOOGLEFINANCE(""NSE:""&amp;D28,""EPS"")"),14.1)</f>
        <v>14.1</v>
      </c>
      <c r="Q28" s="7">
        <v>13.5</v>
      </c>
      <c r="R28" s="7" t="str">
        <f ca="1">IFERROR(__xludf.DUMMYFUNCTION("IMPORTXML(E28,""/html/body/main/div[3]/div[3]/div[2]/ul/li[7]/span[2]/span"")"),"Loading...")</f>
        <v>Loading...</v>
      </c>
      <c r="S28" s="7" t="str">
        <f ca="1">IFERROR(__xludf.DUMMYFUNCTION("IMPORTXML(E28,""/html/body/main/div[3]/div[3]/div[2]/ul/li[8]/span[2]/span"")"),"Loading...")</f>
        <v>Loading...</v>
      </c>
      <c r="T28" s="4">
        <v>34.6</v>
      </c>
      <c r="U28" s="4">
        <v>22.7</v>
      </c>
      <c r="V28" s="4">
        <v>2.6</v>
      </c>
      <c r="W28" s="4">
        <v>5.7</v>
      </c>
      <c r="X28" s="4">
        <v>519.92999999999995</v>
      </c>
      <c r="Y28" s="7">
        <f t="shared" ca="1" si="4"/>
        <v>-494.28</v>
      </c>
    </row>
    <row r="29" spans="1:25" ht="15" x14ac:dyDescent="0.25">
      <c r="A29" s="4">
        <v>1125</v>
      </c>
      <c r="C29" s="12" t="s">
        <v>606</v>
      </c>
      <c r="D29" s="12" t="s">
        <v>607</v>
      </c>
      <c r="E29" s="5" t="str">
        <f t="shared" si="0"/>
        <v>https://www.screener.in/company/ELECTHERM/consolidated/</v>
      </c>
      <c r="F29" s="4">
        <v>443059</v>
      </c>
      <c r="G29" s="4">
        <v>3832241897</v>
      </c>
      <c r="H29" s="6">
        <f t="shared" ca="1" si="1"/>
        <v>333443.36745797005</v>
      </c>
      <c r="I29" s="7" t="str">
        <f ca="1">IFERROR(__xludf.DUMMYFUNCTION("IMPORTXML(E29,""/html/body/main/div[3]/div[3]/div[2]/ul/li[5]/span[2]/span"")"),"Loading...")</f>
        <v>Loading...</v>
      </c>
      <c r="J29" s="7">
        <f ca="1">IFERROR(__xludf.DUMMYFUNCTION("GOOGLEFINANCE(""NSE:""&amp;D29,""marketcap"")"),11087518669)</f>
        <v>11087518669</v>
      </c>
      <c r="K29" s="7">
        <v>992.8</v>
      </c>
      <c r="L29" s="8">
        <f ca="1">IFERROR(__xludf.DUMMYFUNCTION("GOOGLEFINANCE(""NSE:""&amp;D29,""price"")"),870.1)</f>
        <v>870.1</v>
      </c>
      <c r="M29" s="9">
        <f t="shared" ca="1" si="2"/>
        <v>-122.69999999999993</v>
      </c>
      <c r="N29" s="10">
        <f t="shared" ca="1" si="3"/>
        <v>-12.358984689766311</v>
      </c>
      <c r="O29" s="7">
        <f ca="1">IFERROR(__xludf.DUMMYFUNCTION("GOOGLEFINANCE(""NSE:""&amp;D29,""pe"")"),3.07)</f>
        <v>3.07</v>
      </c>
      <c r="P29" s="7">
        <f ca="1">IFERROR(__xludf.DUMMYFUNCTION("GOOGLEFINANCE(""NSE:""&amp;D29,""EPS"")"),283.28)</f>
        <v>283.27999999999997</v>
      </c>
      <c r="Q29" s="7">
        <v>13.5</v>
      </c>
      <c r="R29" s="7" t="str">
        <f ca="1">IFERROR(__xludf.DUMMYFUNCTION("IMPORTXML(E29,""/html/body/main/div[3]/div[3]/div[2]/ul/li[7]/span[2]/span"")"),"Loading...")</f>
        <v>Loading...</v>
      </c>
      <c r="S29" s="7" t="str">
        <f ca="1">IFERROR(__xludf.DUMMYFUNCTION("IMPORTXML(E29,""/html/body/main/div[3]/div[3]/div[2]/ul/li[8]/span[2]/span"")"),"Loading...")</f>
        <v>Loading...</v>
      </c>
      <c r="T29" s="4">
        <v>34.6</v>
      </c>
      <c r="U29" s="4">
        <v>22.7</v>
      </c>
      <c r="V29" s="4">
        <v>2.6</v>
      </c>
      <c r="W29" s="4">
        <v>5.7</v>
      </c>
      <c r="X29" s="4">
        <v>519.92999999999995</v>
      </c>
      <c r="Y29" s="7">
        <f t="shared" ca="1" si="4"/>
        <v>350.17000000000007</v>
      </c>
    </row>
    <row r="30" spans="1:25" ht="15" x14ac:dyDescent="0.25">
      <c r="A30" s="4">
        <v>1622</v>
      </c>
      <c r="C30" s="12" t="s">
        <v>608</v>
      </c>
      <c r="D30" s="12" t="s">
        <v>609</v>
      </c>
      <c r="E30" s="5" t="str">
        <f t="shared" si="0"/>
        <v>https://www.screener.in/company/NIPPOBATRY/consolidated/</v>
      </c>
      <c r="F30" s="4">
        <v>443059</v>
      </c>
      <c r="G30" s="4">
        <v>3832241897</v>
      </c>
      <c r="H30" s="6">
        <f t="shared" ca="1" si="1"/>
        <v>186630.18038390001</v>
      </c>
      <c r="I30" s="7" t="str">
        <f ca="1">IFERROR(__xludf.DUMMYFUNCTION("IMPORTXML(E30,""/html/body/main/div[3]/div[3]/div[2]/ul/li[5]/span[2]/span"")"),"Loading...")</f>
        <v>Loading...</v>
      </c>
      <c r="J30" s="7">
        <f ca="1">IFERROR(__xludf.DUMMYFUNCTION("GOOGLEFINANCE(""NSE:""&amp;D30,""marketcap"")"),3639552668)</f>
        <v>3639552668</v>
      </c>
      <c r="K30" s="7">
        <v>992.8</v>
      </c>
      <c r="L30" s="8">
        <f ca="1">IFERROR(__xludf.DUMMYFUNCTION("GOOGLEFINANCE(""NSE:""&amp;D30,""price"")"),487)</f>
        <v>487</v>
      </c>
      <c r="M30" s="9">
        <f t="shared" ca="1" si="2"/>
        <v>-505.79999999999995</v>
      </c>
      <c r="N30" s="10">
        <f t="shared" ca="1" si="3"/>
        <v>-50.946817082997576</v>
      </c>
      <c r="O30" s="7" t="str">
        <f ca="1">IFERROR(__xludf.DUMMYFUNCTION("GOOGLEFINANCE(""NSE:""&amp;D30,""pe"")"),"#N/A")</f>
        <v>#N/A</v>
      </c>
      <c r="P30" s="7">
        <f ca="1">IFERROR(__xludf.DUMMYFUNCTION("GOOGLEFINANCE(""NSE:""&amp;D30,""EPS"")"),-11.72)</f>
        <v>-11.72</v>
      </c>
      <c r="Q30" s="7">
        <v>13.5</v>
      </c>
      <c r="R30" s="7" t="str">
        <f ca="1">IFERROR(__xludf.DUMMYFUNCTION("IMPORTXML(E30,""/html/body/main/div[3]/div[3]/div[2]/ul/li[7]/span[2]/span"")"),"Loading...")</f>
        <v>Loading...</v>
      </c>
      <c r="S30" s="7" t="str">
        <f ca="1">IFERROR(__xludf.DUMMYFUNCTION("IMPORTXML(E30,""/html/body/main/div[3]/div[3]/div[2]/ul/li[8]/span[2]/span"")"),"Loading...")</f>
        <v>Loading...</v>
      </c>
      <c r="T30" s="4">
        <v>34.6</v>
      </c>
      <c r="U30" s="4">
        <v>22.7</v>
      </c>
      <c r="V30" s="4">
        <v>2.6</v>
      </c>
      <c r="W30" s="4">
        <v>5.7</v>
      </c>
      <c r="X30" s="4">
        <v>519.92999999999995</v>
      </c>
      <c r="Y30" s="7">
        <f t="shared" ca="1" si="4"/>
        <v>-32.92999999999995</v>
      </c>
    </row>
    <row r="31" spans="1:25" ht="15" x14ac:dyDescent="0.25">
      <c r="A31" s="4">
        <v>1647</v>
      </c>
      <c r="C31" s="12" t="s">
        <v>610</v>
      </c>
      <c r="D31" s="12" t="s">
        <v>611</v>
      </c>
      <c r="E31" s="5" t="str">
        <f t="shared" si="0"/>
        <v>https://www.screener.in/company/BRNL/consolidated/</v>
      </c>
      <c r="F31" s="4">
        <v>443059</v>
      </c>
      <c r="G31" s="4">
        <v>3832241897</v>
      </c>
      <c r="H31" s="6">
        <f t="shared" ca="1" si="1"/>
        <v>7894.4183078200012</v>
      </c>
      <c r="I31" s="7" t="str">
        <f ca="1">IFERROR(__xludf.DUMMYFUNCTION("IMPORTXML(E31,""/html/body/main/div[3]/div[3]/div[2]/ul/li[5]/span[2]/span"")"),"Loading...")</f>
        <v>Loading...</v>
      </c>
      <c r="J31" s="7">
        <f ca="1">IFERROR(__xludf.DUMMYFUNCTION("GOOGLEFINANCE(""NSE:""&amp;D31,""marketcap"")"),1726827167)</f>
        <v>1726827167</v>
      </c>
      <c r="K31" s="7">
        <v>992.8</v>
      </c>
      <c r="L31" s="8">
        <f ca="1">IFERROR(__xludf.DUMMYFUNCTION("GOOGLEFINANCE(""NSE:""&amp;D31,""price"")"),20.6)</f>
        <v>20.6</v>
      </c>
      <c r="M31" s="9">
        <f t="shared" ca="1" si="2"/>
        <v>-972.19999999999993</v>
      </c>
      <c r="N31" s="10">
        <f t="shared" ca="1" si="3"/>
        <v>-97.925060435132963</v>
      </c>
      <c r="O31" s="7">
        <f ca="1">IFERROR(__xludf.DUMMYFUNCTION("GOOGLEFINANCE(""NSE:""&amp;D31,""pe"")"),1.08)</f>
        <v>1.08</v>
      </c>
      <c r="P31" s="7">
        <f ca="1">IFERROR(__xludf.DUMMYFUNCTION("GOOGLEFINANCE(""NSE:""&amp;D31,""EPS"")"),19.1)</f>
        <v>19.100000000000001</v>
      </c>
      <c r="Q31" s="7">
        <v>13.5</v>
      </c>
      <c r="R31" s="7" t="str">
        <f ca="1">IFERROR(__xludf.DUMMYFUNCTION("IMPORTXML(E31,""/html/body/main/div[3]/div[3]/div[2]/ul/li[7]/span[2]/span"")"),"Loading...")</f>
        <v>Loading...</v>
      </c>
      <c r="S31" s="7" t="str">
        <f ca="1">IFERROR(__xludf.DUMMYFUNCTION("IMPORTXML(E31,""/html/body/main/div[3]/div[3]/div[2]/ul/li[8]/span[2]/span"")"),"Loading...")</f>
        <v>Loading...</v>
      </c>
      <c r="T31" s="4">
        <v>34.6</v>
      </c>
      <c r="U31" s="4">
        <v>22.7</v>
      </c>
      <c r="V31" s="4">
        <v>2.6</v>
      </c>
      <c r="W31" s="4">
        <v>5.7</v>
      </c>
      <c r="X31" s="4">
        <v>519.92999999999995</v>
      </c>
      <c r="Y31" s="7">
        <f t="shared" ca="1" si="4"/>
        <v>-499.32999999999993</v>
      </c>
    </row>
    <row r="32" spans="1:25" ht="15" x14ac:dyDescent="0.25">
      <c r="A32" s="4">
        <v>1661</v>
      </c>
      <c r="C32" s="12" t="s">
        <v>612</v>
      </c>
      <c r="D32" s="12" t="s">
        <v>613</v>
      </c>
      <c r="E32" s="5" t="str">
        <f t="shared" si="0"/>
        <v>https://www.screener.in/company/UNIVPHOTO/consolidated/</v>
      </c>
      <c r="F32" s="4">
        <v>443059</v>
      </c>
      <c r="G32" s="4">
        <v>3832241897</v>
      </c>
      <c r="H32" s="6">
        <f t="shared" ca="1" si="1"/>
        <v>98067.070144230005</v>
      </c>
      <c r="I32" s="7" t="str">
        <f ca="1">IFERROR(__xludf.DUMMYFUNCTION("IMPORTXML(E32,""/html/body/main/div[3]/div[3]/div[2]/ul/li[5]/span[2]/span"")"),"Loading...")</f>
        <v>Loading...</v>
      </c>
      <c r="J32" s="7">
        <f ca="1">IFERROR(__xludf.DUMMYFUNCTION("GOOGLEFINANCE(""NSE:""&amp;D32,""marketcap"")"),2801234873)</f>
        <v>2801234873</v>
      </c>
      <c r="K32" s="7">
        <v>992.8</v>
      </c>
      <c r="L32" s="8">
        <f ca="1">IFERROR(__xludf.DUMMYFUNCTION("GOOGLEFINANCE(""NSE:""&amp;D32,""price"")"),255.9)</f>
        <v>255.9</v>
      </c>
      <c r="M32" s="9">
        <f t="shared" ca="1" si="2"/>
        <v>-736.9</v>
      </c>
      <c r="N32" s="10">
        <f t="shared" ca="1" si="3"/>
        <v>-74.224415793714755</v>
      </c>
      <c r="O32" s="7">
        <f ca="1">IFERROR(__xludf.DUMMYFUNCTION("GOOGLEFINANCE(""NSE:""&amp;D32,""pe"")"),3.42)</f>
        <v>3.42</v>
      </c>
      <c r="P32" s="7">
        <f ca="1">IFERROR(__xludf.DUMMYFUNCTION("GOOGLEFINANCE(""NSE:""&amp;D32,""EPS"")"),74.88)</f>
        <v>74.88</v>
      </c>
      <c r="Q32" s="7">
        <v>13.5</v>
      </c>
      <c r="R32" s="7" t="str">
        <f ca="1">IFERROR(__xludf.DUMMYFUNCTION("IMPORTXML(E32,""/html/body/main/div[3]/div[3]/div[2]/ul/li[7]/span[2]/span"")"),"Loading...")</f>
        <v>Loading...</v>
      </c>
      <c r="S32" s="7" t="str">
        <f ca="1">IFERROR(__xludf.DUMMYFUNCTION("IMPORTXML(E32,""/html/body/main/div[3]/div[3]/div[2]/ul/li[8]/span[2]/span"")"),"Loading...")</f>
        <v>Loading...</v>
      </c>
      <c r="T32" s="4">
        <v>34.6</v>
      </c>
      <c r="U32" s="4">
        <v>22.7</v>
      </c>
      <c r="V32" s="4">
        <v>2.6</v>
      </c>
      <c r="W32" s="4">
        <v>5.7</v>
      </c>
      <c r="X32" s="4">
        <v>519.92999999999995</v>
      </c>
      <c r="Y32" s="7">
        <f t="shared" ca="1" si="4"/>
        <v>-264.02999999999997</v>
      </c>
    </row>
    <row r="33" spans="1:25" ht="15" x14ac:dyDescent="0.25">
      <c r="A33" s="4">
        <v>2236</v>
      </c>
      <c r="C33" s="12" t="s">
        <v>614</v>
      </c>
      <c r="D33" s="12" t="s">
        <v>615</v>
      </c>
      <c r="E33" s="5" t="str">
        <f t="shared" si="0"/>
        <v>https://www.screener.in/company/PRAKASHSTL/consolidated/</v>
      </c>
      <c r="F33" s="4">
        <v>443059</v>
      </c>
      <c r="G33" s="4">
        <v>3832241897</v>
      </c>
      <c r="H33" s="6">
        <f t="shared" ca="1" si="1"/>
        <v>2126.8942528349999</v>
      </c>
      <c r="I33" s="7" t="str">
        <f ca="1">IFERROR(__xludf.DUMMYFUNCTION("IMPORTXML(E33,""/html/body/main/div[3]/div[3]/div[2]/ul/li[5]/span[2]/span"")"),"Loading...")</f>
        <v>Loading...</v>
      </c>
      <c r="J33" s="7">
        <f ca="1">IFERROR(__xludf.DUMMYFUNCTION("GOOGLEFINANCE(""NSE:""&amp;D33,""marketcap"")"),957308550)</f>
        <v>957308550</v>
      </c>
      <c r="K33" s="7">
        <v>992.8</v>
      </c>
      <c r="L33" s="8">
        <f ca="1">IFERROR(__xludf.DUMMYFUNCTION("GOOGLEFINANCE(""NSE:""&amp;D33,""price"")"),5.55)</f>
        <v>5.55</v>
      </c>
      <c r="M33" s="9">
        <f t="shared" ca="1" si="2"/>
        <v>-987.25</v>
      </c>
      <c r="N33" s="10">
        <f t="shared" ca="1" si="3"/>
        <v>-99.440975020145046</v>
      </c>
      <c r="O33" s="7">
        <f ca="1">IFERROR(__xludf.DUMMYFUNCTION("GOOGLEFINANCE(""NSE:""&amp;D33,""pe"")"),61.67)</f>
        <v>61.67</v>
      </c>
      <c r="P33" s="7">
        <f ca="1">IFERROR(__xludf.DUMMYFUNCTION("GOOGLEFINANCE(""NSE:""&amp;D33,""EPS"")"),0.09)</f>
        <v>0.09</v>
      </c>
      <c r="Q33" s="7">
        <v>13.5</v>
      </c>
      <c r="R33" s="7" t="str">
        <f ca="1">IFERROR(__xludf.DUMMYFUNCTION("IMPORTXML(E33,""/html/body/main/div[3]/div[3]/div[2]/ul/li[7]/span[2]/span"")"),"Loading...")</f>
        <v>Loading...</v>
      </c>
      <c r="S33" s="7" t="str">
        <f ca="1">IFERROR(__xludf.DUMMYFUNCTION("IMPORTXML(E33,""/html/body/main/div[3]/div[3]/div[2]/ul/li[8]/span[2]/span"")"),"Loading...")</f>
        <v>Loading...</v>
      </c>
      <c r="T33" s="4">
        <v>34.6</v>
      </c>
      <c r="U33" s="4">
        <v>22.7</v>
      </c>
      <c r="V33" s="4">
        <v>2.6</v>
      </c>
      <c r="W33" s="4">
        <v>5.7</v>
      </c>
      <c r="X33" s="4">
        <v>519.92999999999995</v>
      </c>
      <c r="Y33" s="7">
        <f t="shared" ca="1" si="4"/>
        <v>-514.38</v>
      </c>
    </row>
    <row r="34" spans="1:25" ht="15" x14ac:dyDescent="0.25">
      <c r="A34" s="4">
        <v>680</v>
      </c>
      <c r="C34" s="12" t="s">
        <v>616</v>
      </c>
      <c r="D34" s="12" t="s">
        <v>59</v>
      </c>
      <c r="E34" s="5" t="str">
        <f t="shared" si="0"/>
        <v>https://www.screener.in/company/MAITHANALL/consolidated/</v>
      </c>
      <c r="F34" s="4">
        <v>443059</v>
      </c>
      <c r="G34" s="4">
        <v>3832241897</v>
      </c>
      <c r="H34" s="6">
        <f t="shared" ca="1" si="1"/>
        <v>416986.24081256997</v>
      </c>
      <c r="I34" s="7" t="str">
        <f ca="1">IFERROR(__xludf.DUMMYFUNCTION("IMPORTXML(E34,""/html/body/main/div[3]/div[3]/div[2]/ul/li[5]/span[2]/span"")"),"Loading...")</f>
        <v>Loading...</v>
      </c>
      <c r="J34" s="7">
        <f ca="1">IFERROR(__xludf.DUMMYFUNCTION("GOOGLEFINANCE(""NSE:""&amp;D34,""marketcap"")"),31807280000)</f>
        <v>31807280000</v>
      </c>
      <c r="K34" s="7">
        <v>992.8</v>
      </c>
      <c r="L34" s="8">
        <f ca="1">IFERROR(__xludf.DUMMYFUNCTION("GOOGLEFINANCE(""NSE:""&amp;D34,""price"")"),1088.1)</f>
        <v>1088.0999999999999</v>
      </c>
      <c r="M34" s="9">
        <f t="shared" ca="1" si="2"/>
        <v>95.299999999999955</v>
      </c>
      <c r="N34" s="10">
        <f t="shared" ca="1" si="3"/>
        <v>9.5991136180499552</v>
      </c>
      <c r="O34" s="7">
        <f ca="1">IFERROR(__xludf.DUMMYFUNCTION("GOOGLEFINANCE(""NSE:""&amp;D34,""pe"")"),4.46)</f>
        <v>4.46</v>
      </c>
      <c r="P34" s="7">
        <f ca="1">IFERROR(__xludf.DUMMYFUNCTION("GOOGLEFINANCE(""NSE:""&amp;D34,""EPS"")"),243.82)</f>
        <v>243.82</v>
      </c>
      <c r="Q34" s="7">
        <v>13.5</v>
      </c>
      <c r="R34" s="7" t="str">
        <f ca="1">IFERROR(__xludf.DUMMYFUNCTION("IMPORTXML(E34,""/html/body/main/div[3]/div[3]/div[2]/ul/li[7]/span[2]/span"")"),"Loading...")</f>
        <v>Loading...</v>
      </c>
      <c r="S34" s="7" t="str">
        <f ca="1">IFERROR(__xludf.DUMMYFUNCTION("IMPORTXML(E34,""/html/body/main/div[3]/div[3]/div[2]/ul/li[8]/span[2]/span"")"),"Loading...")</f>
        <v>Loading...</v>
      </c>
      <c r="T34" s="4">
        <v>34.6</v>
      </c>
      <c r="U34" s="4">
        <v>22.7</v>
      </c>
      <c r="V34" s="4">
        <v>2.6</v>
      </c>
      <c r="W34" s="4">
        <v>5.7</v>
      </c>
      <c r="X34" s="4">
        <v>519.92999999999995</v>
      </c>
      <c r="Y34" s="7">
        <f t="shared" ca="1" si="4"/>
        <v>568.16999999999996</v>
      </c>
    </row>
    <row r="35" spans="1:25" ht="15" x14ac:dyDescent="0.25">
      <c r="A35" s="4">
        <v>1682</v>
      </c>
      <c r="C35" s="12" t="s">
        <v>617</v>
      </c>
      <c r="D35" s="12" t="s">
        <v>618</v>
      </c>
      <c r="E35" s="5" t="str">
        <f t="shared" si="0"/>
        <v>https://www.screener.in/company/JAYSREETEA/consolidated/</v>
      </c>
      <c r="F35" s="4">
        <v>443059</v>
      </c>
      <c r="G35" s="4">
        <v>3832241897</v>
      </c>
      <c r="H35" s="6">
        <f t="shared" ca="1" si="1"/>
        <v>36946.644128976994</v>
      </c>
      <c r="I35" s="7" t="str">
        <f ca="1">IFERROR(__xludf.DUMMYFUNCTION("IMPORTXML(E35,""/html/body/main/div[3]/div[3]/div[2]/ul/li[5]/span[2]/span"")"),"Loading...")</f>
        <v>Loading...</v>
      </c>
      <c r="J35" s="7">
        <f ca="1">IFERROR(__xludf.DUMMYFUNCTION("GOOGLEFINANCE(""NSE:""&amp;D35,""marketcap"")"),2784367000)</f>
        <v>2784367000</v>
      </c>
      <c r="K35" s="7">
        <v>992.8</v>
      </c>
      <c r="L35" s="8">
        <f ca="1">IFERROR(__xludf.DUMMYFUNCTION("GOOGLEFINANCE(""NSE:""&amp;D35,""price"")"),96.41)</f>
        <v>96.41</v>
      </c>
      <c r="M35" s="9">
        <f t="shared" ca="1" si="2"/>
        <v>-896.39</v>
      </c>
      <c r="N35" s="10">
        <f t="shared" ca="1" si="3"/>
        <v>-90.28908138597906</v>
      </c>
      <c r="O35" s="7">
        <f ca="1">IFERROR(__xludf.DUMMYFUNCTION("GOOGLEFINANCE(""NSE:""&amp;D35,""pe"")"),2.2)</f>
        <v>2.2000000000000002</v>
      </c>
      <c r="P35" s="7">
        <f ca="1">IFERROR(__xludf.DUMMYFUNCTION("GOOGLEFINANCE(""NSE:""&amp;D35,""EPS"")"),43.81)</f>
        <v>43.81</v>
      </c>
      <c r="Q35" s="7">
        <v>13.5</v>
      </c>
      <c r="R35" s="7" t="str">
        <f ca="1">IFERROR(__xludf.DUMMYFUNCTION("IMPORTXML(E35,""/html/body/main/div[3]/div[3]/div[2]/ul/li[7]/span[2]/span"")"),"Loading...")</f>
        <v>Loading...</v>
      </c>
      <c r="S35" s="7" t="str">
        <f ca="1">IFERROR(__xludf.DUMMYFUNCTION("IMPORTXML(E35,""/html/body/main/div[3]/div[3]/div[2]/ul/li[8]/span[2]/span"")"),"Loading...")</f>
        <v>Loading...</v>
      </c>
      <c r="T35" s="4">
        <v>34.6</v>
      </c>
      <c r="U35" s="4">
        <v>22.7</v>
      </c>
      <c r="V35" s="4">
        <v>2.6</v>
      </c>
      <c r="W35" s="4">
        <v>5.7</v>
      </c>
      <c r="X35" s="4">
        <v>519.92999999999995</v>
      </c>
      <c r="Y35" s="7">
        <f t="shared" ca="1" si="4"/>
        <v>-423.52</v>
      </c>
    </row>
    <row r="36" spans="1:25" ht="15" x14ac:dyDescent="0.25">
      <c r="A36" s="4">
        <v>424</v>
      </c>
      <c r="C36" s="12" t="s">
        <v>619</v>
      </c>
      <c r="D36" s="12" t="s">
        <v>620</v>
      </c>
      <c r="E36" s="5" t="str">
        <f t="shared" si="0"/>
        <v>https://www.screener.in/company/ASHOKA/consolidated/</v>
      </c>
      <c r="F36" s="4">
        <v>443059</v>
      </c>
      <c r="G36" s="4">
        <v>3832241897</v>
      </c>
      <c r="H36" s="6">
        <f t="shared" ca="1" si="1"/>
        <v>71279.699284200004</v>
      </c>
      <c r="I36" s="7" t="str">
        <f ca="1">IFERROR(__xludf.DUMMYFUNCTION("IMPORTXML(E36,""/html/body/main/div[3]/div[3]/div[2]/ul/li[5]/span[2]/span"")"),"Loading...")</f>
        <v>Loading...</v>
      </c>
      <c r="J36" s="7">
        <f ca="1">IFERROR(__xludf.DUMMYFUNCTION("GOOGLEFINANCE(""NSE:""&amp;D36,""marketcap"")"),52113460000)</f>
        <v>52113460000</v>
      </c>
      <c r="K36" s="7">
        <v>992.8</v>
      </c>
      <c r="L36" s="8">
        <f ca="1">IFERROR(__xludf.DUMMYFUNCTION("GOOGLEFINANCE(""NSE:""&amp;D36,""price"")"),186)</f>
        <v>186</v>
      </c>
      <c r="M36" s="9">
        <f t="shared" ca="1" si="2"/>
        <v>-806.8</v>
      </c>
      <c r="N36" s="10">
        <f t="shared" ca="1" si="3"/>
        <v>-81.265108783239327</v>
      </c>
      <c r="O36" s="7">
        <f ca="1">IFERROR(__xludf.DUMMYFUNCTION("GOOGLEFINANCE(""NSE:""&amp;D36,""pe"")"),2.96)</f>
        <v>2.96</v>
      </c>
      <c r="P36" s="7">
        <f ca="1">IFERROR(__xludf.DUMMYFUNCTION("GOOGLEFINANCE(""NSE:""&amp;D36,""EPS"")"),62.74)</f>
        <v>62.74</v>
      </c>
      <c r="Q36" s="7">
        <v>13.5</v>
      </c>
      <c r="R36" s="7" t="str">
        <f ca="1">IFERROR(__xludf.DUMMYFUNCTION("IMPORTXML(E36,""/html/body/main/div[3]/div[3]/div[2]/ul/li[7]/span[2]/span"")"),"Loading...")</f>
        <v>Loading...</v>
      </c>
      <c r="S36" s="7" t="str">
        <f ca="1">IFERROR(__xludf.DUMMYFUNCTION("IMPORTXML(E36,""/html/body/main/div[3]/div[3]/div[2]/ul/li[8]/span[2]/span"")"),"Loading...")</f>
        <v>Loading...</v>
      </c>
      <c r="T36" s="4">
        <v>34.6</v>
      </c>
      <c r="U36" s="4">
        <v>22.7</v>
      </c>
      <c r="V36" s="4">
        <v>2.6</v>
      </c>
      <c r="W36" s="4">
        <v>5.7</v>
      </c>
      <c r="X36" s="4">
        <v>519.92999999999995</v>
      </c>
      <c r="Y36" s="7">
        <f t="shared" ca="1" si="4"/>
        <v>-333.92999999999995</v>
      </c>
    </row>
    <row r="37" spans="1:25" ht="15" x14ac:dyDescent="0.25">
      <c r="A37" s="4">
        <v>1606</v>
      </c>
      <c r="C37" s="12" t="s">
        <v>621</v>
      </c>
      <c r="D37" s="12" t="s">
        <v>622</v>
      </c>
      <c r="E37" s="5" t="str">
        <f t="shared" si="0"/>
        <v>https://www.screener.in/company/MAWANASUG/consolidated/</v>
      </c>
      <c r="F37" s="4">
        <v>443059</v>
      </c>
      <c r="G37" s="4">
        <v>3832241897</v>
      </c>
      <c r="H37" s="6">
        <f t="shared" ca="1" si="1"/>
        <v>35532.546868983998</v>
      </c>
      <c r="I37" s="7" t="str">
        <f ca="1">IFERROR(__xludf.DUMMYFUNCTION("IMPORTXML(E37,""/html/body/main/div[3]/div[3]/div[2]/ul/li[5]/span[2]/span"")"),"Loading...")</f>
        <v>Loading...</v>
      </c>
      <c r="J37" s="7">
        <f ca="1">IFERROR(__xludf.DUMMYFUNCTION("GOOGLEFINANCE(""NSE:""&amp;D37,""marketcap"")"),3638260000)</f>
        <v>3638260000</v>
      </c>
      <c r="K37" s="7">
        <v>992.8</v>
      </c>
      <c r="L37" s="8">
        <f ca="1">IFERROR(__xludf.DUMMYFUNCTION("GOOGLEFINANCE(""NSE:""&amp;D37,""price"")"),92.72)</f>
        <v>92.72</v>
      </c>
      <c r="M37" s="9">
        <f t="shared" ca="1" si="2"/>
        <v>-900.07999999999993</v>
      </c>
      <c r="N37" s="10">
        <f t="shared" ca="1" si="3"/>
        <v>-90.660757453666392</v>
      </c>
      <c r="O37" s="7">
        <f ca="1">IFERROR(__xludf.DUMMYFUNCTION("GOOGLEFINANCE(""NSE:""&amp;D37,""pe"")"),3.61)</f>
        <v>3.61</v>
      </c>
      <c r="P37" s="7">
        <f ca="1">IFERROR(__xludf.DUMMYFUNCTION("GOOGLEFINANCE(""NSE:""&amp;D37,""EPS"")"),25.67)</f>
        <v>25.67</v>
      </c>
      <c r="Q37" s="7">
        <v>13.5</v>
      </c>
      <c r="R37" s="7" t="str">
        <f ca="1">IFERROR(__xludf.DUMMYFUNCTION("IMPORTXML(E37,""/html/body/main/div[3]/div[3]/div[2]/ul/li[7]/span[2]/span"")"),"Loading...")</f>
        <v>Loading...</v>
      </c>
      <c r="S37" s="7" t="str">
        <f ca="1">IFERROR(__xludf.DUMMYFUNCTION("IMPORTXML(E37,""/html/body/main/div[3]/div[3]/div[2]/ul/li[8]/span[2]/span"")"),"Loading...")</f>
        <v>Loading...</v>
      </c>
      <c r="T37" s="4">
        <v>34.6</v>
      </c>
      <c r="U37" s="4">
        <v>22.7</v>
      </c>
      <c r="V37" s="4">
        <v>2.6</v>
      </c>
      <c r="W37" s="4">
        <v>5.7</v>
      </c>
      <c r="X37" s="4">
        <v>519.92999999999995</v>
      </c>
      <c r="Y37" s="7">
        <f t="shared" ca="1" si="4"/>
        <v>-427.20999999999992</v>
      </c>
    </row>
    <row r="38" spans="1:25" ht="15" x14ac:dyDescent="0.25">
      <c r="A38" s="4">
        <v>3021</v>
      </c>
      <c r="C38" s="12" t="s">
        <v>623</v>
      </c>
      <c r="D38" s="12" t="s">
        <v>624</v>
      </c>
      <c r="E38" s="5" t="str">
        <f t="shared" si="0"/>
        <v>https://www.screener.in/company/TARAPUR/consolidated/</v>
      </c>
      <c r="F38" s="4">
        <v>443059</v>
      </c>
      <c r="G38" s="4">
        <v>3832241897</v>
      </c>
      <c r="H38" s="6">
        <f t="shared" ca="1" si="1"/>
        <v>9082.4132958899991</v>
      </c>
      <c r="I38" s="7" t="str">
        <f ca="1">IFERROR(__xludf.DUMMYFUNCTION("IMPORTXML(E38,""/html/body/main/div[3]/div[3]/div[2]/ul/li[5]/span[2]/span"")"),"Loading...")</f>
        <v>Loading...</v>
      </c>
      <c r="J38" s="7">
        <f ca="1">IFERROR(__xludf.DUMMYFUNCTION("GOOGLEFINANCE(""NSE:""&amp;D38,""marketcap"")"),456885300)</f>
        <v>456885300</v>
      </c>
      <c r="K38" s="7">
        <v>992.8</v>
      </c>
      <c r="L38" s="8">
        <f ca="1">IFERROR(__xludf.DUMMYFUNCTION("GOOGLEFINANCE(""NSE:""&amp;D38,""price"")"),23.7)</f>
        <v>23.7</v>
      </c>
      <c r="M38" s="9">
        <f t="shared" ca="1" si="2"/>
        <v>-969.09999999999991</v>
      </c>
      <c r="N38" s="10">
        <f t="shared" ca="1" si="3"/>
        <v>-97.612812248186941</v>
      </c>
      <c r="O38" s="7">
        <f ca="1">IFERROR(__xludf.DUMMYFUNCTION("GOOGLEFINANCE(""NSE:""&amp;D38,""pe"")"),27.24)</f>
        <v>27.24</v>
      </c>
      <c r="P38" s="7">
        <f ca="1">IFERROR(__xludf.DUMMYFUNCTION("GOOGLEFINANCE(""NSE:""&amp;D38,""EPS"")"),0.87)</f>
        <v>0.87</v>
      </c>
      <c r="Q38" s="7">
        <v>13.5</v>
      </c>
      <c r="R38" s="7" t="str">
        <f ca="1">IFERROR(__xludf.DUMMYFUNCTION("IMPORTXML(E38,""/html/body/main/div[3]/div[3]/div[2]/ul/li[7]/span[2]/span"")"),"Loading...")</f>
        <v>Loading...</v>
      </c>
      <c r="S38" s="7" t="str">
        <f ca="1">IFERROR(__xludf.DUMMYFUNCTION("IMPORTXML(E38,""/html/body/main/div[3]/div[3]/div[2]/ul/li[8]/span[2]/span"")"),"Loading...")</f>
        <v>Loading...</v>
      </c>
      <c r="T38" s="4">
        <v>34.6</v>
      </c>
      <c r="U38" s="4">
        <v>22.7</v>
      </c>
      <c r="V38" s="4">
        <v>2.6</v>
      </c>
      <c r="W38" s="4">
        <v>5.7</v>
      </c>
      <c r="X38" s="4">
        <v>519.92999999999995</v>
      </c>
      <c r="Y38" s="7">
        <f t="shared" ca="1" si="4"/>
        <v>-496.22999999999996</v>
      </c>
    </row>
    <row r="39" spans="1:25" ht="15" x14ac:dyDescent="0.25">
      <c r="A39" s="4">
        <v>1260</v>
      </c>
      <c r="C39" s="12" t="s">
        <v>625</v>
      </c>
      <c r="D39" s="12" t="s">
        <v>626</v>
      </c>
      <c r="E39" s="5" t="str">
        <f t="shared" si="0"/>
        <v>https://www.screener.in/company/ZUARI/consolidated/</v>
      </c>
      <c r="F39" s="4">
        <v>443059</v>
      </c>
      <c r="G39" s="4">
        <v>3832241897</v>
      </c>
      <c r="H39" s="6">
        <f t="shared" ca="1" si="1"/>
        <v>111154.17622248501</v>
      </c>
      <c r="I39" s="7" t="str">
        <f ca="1">IFERROR(__xludf.DUMMYFUNCTION("IMPORTXML(E39,""/html/body/main/div[3]/div[3]/div[2]/ul/li[5]/span[2]/span"")"),"Loading...")</f>
        <v>Loading...</v>
      </c>
      <c r="J39" s="7">
        <f ca="1">IFERROR(__xludf.DUMMYFUNCTION("GOOGLEFINANCE(""NSE:""&amp;D39,""marketcap"")"),12091173747)</f>
        <v>12091173747</v>
      </c>
      <c r="K39" s="7">
        <v>992.8</v>
      </c>
      <c r="L39" s="8">
        <f ca="1">IFERROR(__xludf.DUMMYFUNCTION("GOOGLEFINANCE(""NSE:""&amp;D39,""price"")"),290.05)</f>
        <v>290.05</v>
      </c>
      <c r="M39" s="9">
        <f t="shared" ca="1" si="2"/>
        <v>-702.75</v>
      </c>
      <c r="N39" s="10">
        <f t="shared" ca="1" si="3"/>
        <v>-70.78464947622885</v>
      </c>
      <c r="O39" s="7">
        <f ca="1">IFERROR(__xludf.DUMMYFUNCTION("GOOGLEFINANCE(""NSE:""&amp;D39,""pe"")"),4.79)</f>
        <v>4.79</v>
      </c>
      <c r="P39" s="7">
        <f ca="1">IFERROR(__xludf.DUMMYFUNCTION("GOOGLEFINANCE(""NSE:""&amp;D39,""EPS"")"),60.53)</f>
        <v>60.53</v>
      </c>
      <c r="Q39" s="7">
        <v>13.5</v>
      </c>
      <c r="R39" s="7" t="str">
        <f ca="1">IFERROR(__xludf.DUMMYFUNCTION("IMPORTXML(E39,""/html/body/main/div[3]/div[3]/div[2]/ul/li[7]/span[2]/span"")"),"Loading...")</f>
        <v>Loading...</v>
      </c>
      <c r="S39" s="7" t="str">
        <f ca="1">IFERROR(__xludf.DUMMYFUNCTION("IMPORTXML(E39,""/html/body/main/div[3]/div[3]/div[2]/ul/li[8]/span[2]/span"")"),"Loading...")</f>
        <v>Loading...</v>
      </c>
      <c r="T39" s="4">
        <v>34.6</v>
      </c>
      <c r="U39" s="4">
        <v>22.7</v>
      </c>
      <c r="V39" s="4">
        <v>2.6</v>
      </c>
      <c r="W39" s="4">
        <v>5.7</v>
      </c>
      <c r="X39" s="4">
        <v>519.92999999999995</v>
      </c>
      <c r="Y39" s="7">
        <f t="shared" ca="1" si="4"/>
        <v>-229.87999999999994</v>
      </c>
    </row>
    <row r="40" spans="1:25" ht="15" x14ac:dyDescent="0.25">
      <c r="A40" s="4">
        <v>787</v>
      </c>
      <c r="C40" s="12" t="s">
        <v>627</v>
      </c>
      <c r="D40" s="12" t="s">
        <v>628</v>
      </c>
      <c r="E40" s="5" t="str">
        <f t="shared" si="0"/>
        <v>https://www.screener.in/company/BFINVEST/consolidated/</v>
      </c>
      <c r="F40" s="4">
        <v>443059</v>
      </c>
      <c r="G40" s="4">
        <v>3832241897</v>
      </c>
      <c r="H40" s="6">
        <f t="shared" ca="1" si="1"/>
        <v>175708.29097745</v>
      </c>
      <c r="I40" s="7" t="str">
        <f ca="1">IFERROR(__xludf.DUMMYFUNCTION("IMPORTXML(E40,""/html/body/main/div[3]/div[3]/div[2]/ul/li[5]/span[2]/span"")"),"Loading...")</f>
        <v>Loading...</v>
      </c>
      <c r="J40" s="7">
        <f ca="1">IFERROR(__xludf.DUMMYFUNCTION("GOOGLEFINANCE(""NSE:""&amp;D40,""marketcap"")"),17328990000)</f>
        <v>17328990000</v>
      </c>
      <c r="K40" s="7">
        <v>992.8</v>
      </c>
      <c r="L40" s="8">
        <f ca="1">IFERROR(__xludf.DUMMYFUNCTION("GOOGLEFINANCE(""NSE:""&amp;D40,""price"")"),458.5)</f>
        <v>458.5</v>
      </c>
      <c r="M40" s="9">
        <f t="shared" ca="1" si="2"/>
        <v>-534.29999999999995</v>
      </c>
      <c r="N40" s="10">
        <f t="shared" ca="1" si="3"/>
        <v>-53.817485898468973</v>
      </c>
      <c r="O40" s="7">
        <f ca="1">IFERROR(__xludf.DUMMYFUNCTION("GOOGLEFINANCE(""NSE:""&amp;D40,""pe"")"),22.11)</f>
        <v>22.11</v>
      </c>
      <c r="P40" s="7">
        <f ca="1">IFERROR(__xludf.DUMMYFUNCTION("GOOGLEFINANCE(""NSE:""&amp;D40,""EPS"")"),20.74)</f>
        <v>20.74</v>
      </c>
      <c r="Q40" s="7">
        <v>13.5</v>
      </c>
      <c r="R40" s="7" t="str">
        <f ca="1">IFERROR(__xludf.DUMMYFUNCTION("IMPORTXML(E40,""/html/body/main/div[3]/div[3]/div[2]/ul/li[7]/span[2]/span"")"),"Loading...")</f>
        <v>Loading...</v>
      </c>
      <c r="S40" s="7" t="str">
        <f ca="1">IFERROR(__xludf.DUMMYFUNCTION("IMPORTXML(E40,""/html/body/main/div[3]/div[3]/div[2]/ul/li[8]/span[2]/span"")"),"Loading...")</f>
        <v>Loading...</v>
      </c>
      <c r="T40" s="4">
        <v>34.6</v>
      </c>
      <c r="U40" s="4">
        <v>22.7</v>
      </c>
      <c r="V40" s="4">
        <v>2.6</v>
      </c>
      <c r="W40" s="4">
        <v>5.7</v>
      </c>
      <c r="X40" s="4">
        <v>519.92999999999995</v>
      </c>
      <c r="Y40" s="7">
        <f t="shared" ca="1" si="4"/>
        <v>-61.42999999999995</v>
      </c>
    </row>
    <row r="41" spans="1:25" ht="15" x14ac:dyDescent="0.25">
      <c r="A41" s="4">
        <v>667</v>
      </c>
      <c r="C41" s="12" t="s">
        <v>629</v>
      </c>
      <c r="D41" s="12" t="s">
        <v>630</v>
      </c>
      <c r="E41" s="5" t="str">
        <f t="shared" si="0"/>
        <v>https://www.screener.in/company/NAVNETEDUL/consolidated/</v>
      </c>
      <c r="F41" s="4">
        <v>443059</v>
      </c>
      <c r="G41" s="4">
        <v>3832241897</v>
      </c>
      <c r="H41" s="6">
        <f t="shared" ca="1" si="1"/>
        <v>59438.071822469996</v>
      </c>
      <c r="I41" s="7" t="str">
        <f ca="1">IFERROR(__xludf.DUMMYFUNCTION("IMPORTXML(E41,""/html/body/main/div[3]/div[3]/div[2]/ul/li[5]/span[2]/span"")"),"Loading...")</f>
        <v>Loading...</v>
      </c>
      <c r="J41" s="7">
        <f ca="1">IFERROR(__xludf.DUMMYFUNCTION("GOOGLEFINANCE(""NSE:""&amp;D41,""marketcap"")"),34310153160)</f>
        <v>34310153160</v>
      </c>
      <c r="K41" s="7">
        <v>992.8</v>
      </c>
      <c r="L41" s="8">
        <f ca="1">IFERROR(__xludf.DUMMYFUNCTION("GOOGLEFINANCE(""NSE:""&amp;D41,""price"")"),155.1)</f>
        <v>155.1</v>
      </c>
      <c r="M41" s="9">
        <f t="shared" ca="1" si="2"/>
        <v>-837.69999999999993</v>
      </c>
      <c r="N41" s="10">
        <f t="shared" ca="1" si="3"/>
        <v>-84.377518130539883</v>
      </c>
      <c r="O41" s="7">
        <f ca="1">IFERROR(__xludf.DUMMYFUNCTION("GOOGLEFINANCE(""NSE:""&amp;D41,""pe"")"),15.99)</f>
        <v>15.99</v>
      </c>
      <c r="P41" s="7">
        <f ca="1">IFERROR(__xludf.DUMMYFUNCTION("GOOGLEFINANCE(""NSE:""&amp;D41,""EPS"")"),9.7)</f>
        <v>9.6999999999999993</v>
      </c>
      <c r="Q41" s="7">
        <v>13.5</v>
      </c>
      <c r="R41" s="7" t="str">
        <f ca="1">IFERROR(__xludf.DUMMYFUNCTION("IMPORTXML(E41,""/html/body/main/div[3]/div[3]/div[2]/ul/li[7]/span[2]/span"")"),"Loading...")</f>
        <v>Loading...</v>
      </c>
      <c r="S41" s="7" t="str">
        <f ca="1">IFERROR(__xludf.DUMMYFUNCTION("IMPORTXML(E41,""/html/body/main/div[3]/div[3]/div[2]/ul/li[8]/span[2]/span"")"),"Loading...")</f>
        <v>Loading...</v>
      </c>
      <c r="T41" s="4">
        <v>34.6</v>
      </c>
      <c r="U41" s="4">
        <v>22.7</v>
      </c>
      <c r="V41" s="4">
        <v>2.6</v>
      </c>
      <c r="W41" s="4">
        <v>5.7</v>
      </c>
      <c r="X41" s="4">
        <v>519.92999999999995</v>
      </c>
      <c r="Y41" s="7">
        <f t="shared" ca="1" si="4"/>
        <v>-364.82999999999993</v>
      </c>
    </row>
    <row r="42" spans="1:25" ht="15" x14ac:dyDescent="0.25">
      <c r="A42" s="4">
        <v>1419</v>
      </c>
      <c r="C42" s="12" t="s">
        <v>631</v>
      </c>
      <c r="D42" s="12" t="s">
        <v>632</v>
      </c>
      <c r="E42" s="5" t="str">
        <f t="shared" si="0"/>
        <v>https://www.screener.in/company/DAVANGERE/consolidated/</v>
      </c>
      <c r="F42" s="4">
        <v>443059</v>
      </c>
      <c r="G42" s="4">
        <v>3832241897</v>
      </c>
      <c r="H42" s="6">
        <f t="shared" ca="1" si="1"/>
        <v>1525.232275006</v>
      </c>
      <c r="I42" s="7" t="str">
        <f ca="1">IFERROR(__xludf.DUMMYFUNCTION("IMPORTXML(E42,""/html/body/main/div[3]/div[3]/div[2]/ul/li[5]/span[2]/span"")"),"Loading...")</f>
        <v>Loading...</v>
      </c>
      <c r="J42" s="7">
        <f ca="1">IFERROR(__xludf.DUMMYFUNCTION("GOOGLEFINANCE(""NSE:""&amp;D42,""marketcap"")"),5691360227)</f>
        <v>5691360227</v>
      </c>
      <c r="K42" s="7">
        <v>992.8</v>
      </c>
      <c r="L42" s="8">
        <f ca="1">IFERROR(__xludf.DUMMYFUNCTION("GOOGLEFINANCE(""NSE:""&amp;D42,""price"")"),3.98)</f>
        <v>3.98</v>
      </c>
      <c r="M42" s="9">
        <f t="shared" ca="1" si="2"/>
        <v>-988.81999999999994</v>
      </c>
      <c r="N42" s="10">
        <f t="shared" ca="1" si="3"/>
        <v>-99.599113618049955</v>
      </c>
      <c r="O42" s="7">
        <f ca="1">IFERROR(__xludf.DUMMYFUNCTION("GOOGLEFINANCE(""NSE:""&amp;D42,""pe"")"),15.49)</f>
        <v>15.49</v>
      </c>
      <c r="P42" s="7">
        <f ca="1">IFERROR(__xludf.DUMMYFUNCTION("GOOGLEFINANCE(""NSE:""&amp;D42,""EPS"")"),0.26)</f>
        <v>0.26</v>
      </c>
      <c r="Q42" s="7">
        <v>13.5</v>
      </c>
      <c r="R42" s="7" t="str">
        <f ca="1">IFERROR(__xludf.DUMMYFUNCTION("IMPORTXML(E42,""/html/body/main/div[3]/div[3]/div[2]/ul/li[7]/span[2]/span"")"),"Loading...")</f>
        <v>Loading...</v>
      </c>
      <c r="S42" s="7" t="str">
        <f ca="1">IFERROR(__xludf.DUMMYFUNCTION("IMPORTXML(E42,""/html/body/main/div[3]/div[3]/div[2]/ul/li[8]/span[2]/span"")"),"Loading...")</f>
        <v>Loading...</v>
      </c>
      <c r="T42" s="4">
        <v>34.6</v>
      </c>
      <c r="U42" s="4">
        <v>22.7</v>
      </c>
      <c r="V42" s="4">
        <v>2.6</v>
      </c>
      <c r="W42" s="4">
        <v>5.7</v>
      </c>
      <c r="X42" s="4">
        <v>519.92999999999995</v>
      </c>
      <c r="Y42" s="7">
        <f t="shared" ca="1" si="4"/>
        <v>-515.94999999999993</v>
      </c>
    </row>
    <row r="43" spans="1:25" ht="15" x14ac:dyDescent="0.25">
      <c r="A43" s="4">
        <v>1178</v>
      </c>
      <c r="C43" s="12" t="s">
        <v>633</v>
      </c>
      <c r="D43" s="12" t="s">
        <v>634</v>
      </c>
      <c r="E43" s="5" t="str">
        <f t="shared" si="0"/>
        <v>https://www.screener.in/company/TREL/consolidated/</v>
      </c>
      <c r="F43" s="4">
        <v>443059</v>
      </c>
      <c r="G43" s="4">
        <v>3832241897</v>
      </c>
      <c r="H43" s="6">
        <f t="shared" ca="1" si="1"/>
        <v>12646.398260100001</v>
      </c>
      <c r="I43" s="7" t="str">
        <f ca="1">IFERROR(__xludf.DUMMYFUNCTION("IMPORTXML(E43,""/html/body/main/div[3]/div[3]/div[2]/ul/li[5]/span[2]/span"")"),"Loading...")</f>
        <v>Loading...</v>
      </c>
      <c r="J43" s="7">
        <f ca="1">IFERROR(__xludf.DUMMYFUNCTION("GOOGLEFINANCE(""NSE:""&amp;D43,""marketcap"")"),8107951500)</f>
        <v>8107951500</v>
      </c>
      <c r="K43" s="7">
        <v>992.8</v>
      </c>
      <c r="L43" s="8">
        <f ca="1">IFERROR(__xludf.DUMMYFUNCTION("GOOGLEFINANCE(""NSE:""&amp;D43,""price"")"),33)</f>
        <v>33</v>
      </c>
      <c r="M43" s="9">
        <f t="shared" ca="1" si="2"/>
        <v>-959.8</v>
      </c>
      <c r="N43" s="10">
        <f t="shared" ca="1" si="3"/>
        <v>-96.676067687348905</v>
      </c>
      <c r="O43" s="7">
        <f ca="1">IFERROR(__xludf.DUMMYFUNCTION("GOOGLEFINANCE(""NSE:""&amp;D43,""pe"")"),14.6)</f>
        <v>14.6</v>
      </c>
      <c r="P43" s="7">
        <f ca="1">IFERROR(__xludf.DUMMYFUNCTION("GOOGLEFINANCE(""NSE:""&amp;D43,""EPS"")"),2.26)</f>
        <v>2.2599999999999998</v>
      </c>
      <c r="Q43" s="7">
        <v>13.5</v>
      </c>
      <c r="R43" s="7" t="str">
        <f ca="1">IFERROR(__xludf.DUMMYFUNCTION("IMPORTXML(E43,""/html/body/main/div[3]/div[3]/div[2]/ul/li[7]/span[2]/span"")"),"Loading...")</f>
        <v>Loading...</v>
      </c>
      <c r="S43" s="7" t="str">
        <f ca="1">IFERROR(__xludf.DUMMYFUNCTION("IMPORTXML(E43,""/html/body/main/div[3]/div[3]/div[2]/ul/li[8]/span[2]/span"")"),"Loading...")</f>
        <v>Loading...</v>
      </c>
      <c r="T43" s="4">
        <v>34.6</v>
      </c>
      <c r="U43" s="4">
        <v>22.7</v>
      </c>
      <c r="V43" s="4">
        <v>2.6</v>
      </c>
      <c r="W43" s="4">
        <v>5.7</v>
      </c>
      <c r="X43" s="4">
        <v>519.92999999999995</v>
      </c>
      <c r="Y43" s="7">
        <f t="shared" ca="1" si="4"/>
        <v>-486.92999999999995</v>
      </c>
    </row>
    <row r="44" spans="1:25" ht="15" x14ac:dyDescent="0.25">
      <c r="A44" s="4">
        <v>2115</v>
      </c>
      <c r="C44" s="12" t="s">
        <v>635</v>
      </c>
      <c r="D44" s="12" t="s">
        <v>636</v>
      </c>
      <c r="E44" s="5" t="str">
        <f t="shared" si="0"/>
        <v>https://www.screener.in/company/KEYFINSERV/consolidated/</v>
      </c>
      <c r="F44" s="4">
        <v>443059</v>
      </c>
      <c r="G44" s="4">
        <v>3832241897</v>
      </c>
      <c r="H44" s="6">
        <f t="shared" ca="1" si="1"/>
        <v>97703.007164014984</v>
      </c>
      <c r="I44" s="7" t="str">
        <f ca="1">IFERROR(__xludf.DUMMYFUNCTION("IMPORTXML(E44,""/html/body/main/div[3]/div[3]/div[2]/ul/li[5]/span[2]/span"")"),"Loading...")</f>
        <v>Loading...</v>
      </c>
      <c r="J44" s="7">
        <f ca="1">IFERROR(__xludf.DUMMYFUNCTION("GOOGLEFINANCE(""NSE:""&amp;D44,""marketcap"")"),1392494000)</f>
        <v>1392494000</v>
      </c>
      <c r="K44" s="7">
        <v>992.8</v>
      </c>
      <c r="L44" s="8">
        <f ca="1">IFERROR(__xludf.DUMMYFUNCTION("GOOGLEFINANCE(""NSE:""&amp;D44,""price"")"),254.95)</f>
        <v>254.95</v>
      </c>
      <c r="M44" s="9">
        <f t="shared" ca="1" si="2"/>
        <v>-737.84999999999991</v>
      </c>
      <c r="N44" s="10">
        <f t="shared" ca="1" si="3"/>
        <v>-74.320104754230456</v>
      </c>
      <c r="O44" s="7">
        <f ca="1">IFERROR(__xludf.DUMMYFUNCTION("GOOGLEFINANCE(""NSE:""&amp;D44,""pe"")"),3.92)</f>
        <v>3.92</v>
      </c>
      <c r="P44" s="7">
        <f ca="1">IFERROR(__xludf.DUMMYFUNCTION("GOOGLEFINANCE(""NSE:""&amp;D44,""EPS"")"),10.26)</f>
        <v>10.26</v>
      </c>
      <c r="Q44" s="7">
        <v>13.5</v>
      </c>
      <c r="R44" s="7" t="str">
        <f ca="1">IFERROR(__xludf.DUMMYFUNCTION("IMPORTXML(E44,""/html/body/main/div[3]/div[3]/div[2]/ul/li[7]/span[2]/span"")"),"Loading...")</f>
        <v>Loading...</v>
      </c>
      <c r="S44" s="7" t="str">
        <f ca="1">IFERROR(__xludf.DUMMYFUNCTION("IMPORTXML(E44,""/html/body/main/div[3]/div[3]/div[2]/ul/li[8]/span[2]/span"")"),"Loading...")</f>
        <v>Loading...</v>
      </c>
      <c r="T44" s="4">
        <v>34.6</v>
      </c>
      <c r="U44" s="4">
        <v>22.7</v>
      </c>
      <c r="V44" s="4">
        <v>2.6</v>
      </c>
      <c r="W44" s="4">
        <v>5.7</v>
      </c>
      <c r="X44" s="4">
        <v>519.92999999999995</v>
      </c>
      <c r="Y44" s="7">
        <f t="shared" ca="1" si="4"/>
        <v>-264.97999999999996</v>
      </c>
    </row>
    <row r="45" spans="1:25" ht="15" x14ac:dyDescent="0.25">
      <c r="A45" s="4">
        <v>93</v>
      </c>
      <c r="C45" s="12" t="s">
        <v>637</v>
      </c>
      <c r="D45" s="12" t="s">
        <v>638</v>
      </c>
      <c r="E45" s="5" t="str">
        <f t="shared" si="0"/>
        <v>https://www.screener.in/company/ASTERDM/consolidated/</v>
      </c>
      <c r="F45" s="4">
        <v>443059</v>
      </c>
      <c r="G45" s="4">
        <v>3832241897</v>
      </c>
      <c r="H45" s="6">
        <f t="shared" ca="1" si="1"/>
        <v>244094.64762941503</v>
      </c>
      <c r="I45" s="7" t="str">
        <f ca="1">IFERROR(__xludf.DUMMYFUNCTION("IMPORTXML(E45,""/html/body/main/div[3]/div[3]/div[2]/ul/li[5]/span[2]/span"")"),"Loading...")</f>
        <v>Loading...</v>
      </c>
      <c r="J45" s="7">
        <f ca="1">IFERROR(__xludf.DUMMYFUNCTION("GOOGLEFINANCE(""NSE:""&amp;D45,""marketcap"")"),317999127000)</f>
        <v>317999127000</v>
      </c>
      <c r="K45" s="7">
        <v>992.8</v>
      </c>
      <c r="L45" s="8">
        <f ca="1">IFERROR(__xludf.DUMMYFUNCTION("GOOGLEFINANCE(""NSE:""&amp;D45,""price"")"),636.95)</f>
        <v>636.95000000000005</v>
      </c>
      <c r="M45" s="9">
        <f t="shared" ca="1" si="2"/>
        <v>-355.84999999999991</v>
      </c>
      <c r="N45" s="10">
        <f t="shared" ca="1" si="3"/>
        <v>-35.843070104754219</v>
      </c>
      <c r="O45" s="7">
        <f ca="1">IFERROR(__xludf.DUMMYFUNCTION("GOOGLEFINANCE(""NSE:""&amp;D45,""pe"")"),103.2)</f>
        <v>103.2</v>
      </c>
      <c r="P45" s="7">
        <f ca="1">IFERROR(__xludf.DUMMYFUNCTION("GOOGLEFINANCE(""NSE:""&amp;D45,""EPS"")"),6.17)</f>
        <v>6.17</v>
      </c>
      <c r="Q45" s="7">
        <v>13.5</v>
      </c>
      <c r="R45" s="7" t="str">
        <f ca="1">IFERROR(__xludf.DUMMYFUNCTION("IMPORTXML(E45,""/html/body/main/div[3]/div[3]/div[2]/ul/li[7]/span[2]/span"")"),"Loading...")</f>
        <v>Loading...</v>
      </c>
      <c r="S45" s="7" t="str">
        <f ca="1">IFERROR(__xludf.DUMMYFUNCTION("IMPORTXML(E45,""/html/body/main/div[3]/div[3]/div[2]/ul/li[8]/span[2]/span"")"),"Loading...")</f>
        <v>Loading...</v>
      </c>
      <c r="T45" s="4">
        <v>34.6</v>
      </c>
      <c r="U45" s="4">
        <v>22.7</v>
      </c>
      <c r="V45" s="4">
        <v>2.6</v>
      </c>
      <c r="W45" s="4">
        <v>5.7</v>
      </c>
      <c r="X45" s="4">
        <v>519.92999999999995</v>
      </c>
      <c r="Y45" s="7">
        <f t="shared" ca="1" si="4"/>
        <v>117.0200000000001</v>
      </c>
    </row>
    <row r="46" spans="1:25" ht="15" x14ac:dyDescent="0.25">
      <c r="A46" s="4">
        <v>1475</v>
      </c>
      <c r="C46" s="12" t="s">
        <v>639</v>
      </c>
      <c r="D46" s="12" t="s">
        <v>640</v>
      </c>
      <c r="E46" s="5" t="str">
        <f t="shared" si="0"/>
        <v>https://www.screener.in/company/ORICONENT/consolidated/</v>
      </c>
      <c r="F46" s="4">
        <v>443059</v>
      </c>
      <c r="G46" s="4">
        <v>3832241897</v>
      </c>
      <c r="H46" s="6">
        <f t="shared" ca="1" si="1"/>
        <v>20816.737984504001</v>
      </c>
      <c r="I46" s="7" t="str">
        <f ca="1">IFERROR(__xludf.DUMMYFUNCTION("IMPORTXML(E46,""/html/body/main/div[3]/div[3]/div[2]/ul/li[5]/span[2]/span"")"),"Loading...")</f>
        <v>Loading...</v>
      </c>
      <c r="J46" s="7">
        <f ca="1">IFERROR(__xludf.DUMMYFUNCTION("GOOGLEFINANCE(""NSE:""&amp;D46,""marketcap"")"),8516697000)</f>
        <v>8516697000</v>
      </c>
      <c r="K46" s="7">
        <v>992.8</v>
      </c>
      <c r="L46" s="8">
        <f ca="1">IFERROR(__xludf.DUMMYFUNCTION("GOOGLEFINANCE(""NSE:""&amp;D46,""price"")"),54.32)</f>
        <v>54.32</v>
      </c>
      <c r="M46" s="9">
        <f t="shared" ca="1" si="2"/>
        <v>-938.4799999999999</v>
      </c>
      <c r="N46" s="10">
        <f t="shared" ca="1" si="3"/>
        <v>-94.528605962933113</v>
      </c>
      <c r="O46" s="7">
        <f ca="1">IFERROR(__xludf.DUMMYFUNCTION("GOOGLEFINANCE(""NSE:""&amp;D46,""pe"")"),5.6)</f>
        <v>5.6</v>
      </c>
      <c r="P46" s="7">
        <f ca="1">IFERROR(__xludf.DUMMYFUNCTION("GOOGLEFINANCE(""NSE:""&amp;D46,""EPS"")"),9.71)</f>
        <v>9.7100000000000009</v>
      </c>
      <c r="Q46" s="7">
        <v>13.5</v>
      </c>
      <c r="R46" s="7" t="str">
        <f ca="1">IFERROR(__xludf.DUMMYFUNCTION("IMPORTXML(E46,""/html/body/main/div[3]/div[3]/div[2]/ul/li[7]/span[2]/span"")"),"Loading...")</f>
        <v>Loading...</v>
      </c>
      <c r="S46" s="7" t="str">
        <f ca="1">IFERROR(__xludf.DUMMYFUNCTION("IMPORTXML(E46,""/html/body/main/div[3]/div[3]/div[2]/ul/li[8]/span[2]/span"")"),"Loading...")</f>
        <v>Loading...</v>
      </c>
      <c r="T46" s="4">
        <v>34.6</v>
      </c>
      <c r="U46" s="4">
        <v>22.7</v>
      </c>
      <c r="V46" s="4">
        <v>2.6</v>
      </c>
      <c r="W46" s="4">
        <v>5.7</v>
      </c>
      <c r="X46" s="4">
        <v>519.92999999999995</v>
      </c>
      <c r="Y46" s="7">
        <f t="shared" ca="1" si="4"/>
        <v>-465.60999999999996</v>
      </c>
    </row>
    <row r="47" spans="1:25" ht="15" x14ac:dyDescent="0.25">
      <c r="A47" s="4">
        <v>3269</v>
      </c>
      <c r="C47" s="12" t="s">
        <v>641</v>
      </c>
      <c r="D47" s="12" t="s">
        <v>642</v>
      </c>
      <c r="E47" s="5" t="str">
        <f t="shared" si="0"/>
        <v>https://www.screener.in/company/ATLASCYCLE/consolidated/</v>
      </c>
      <c r="F47" s="4">
        <v>443059</v>
      </c>
      <c r="G47" s="4">
        <v>3832241897</v>
      </c>
      <c r="H47" s="6">
        <f t="shared" ca="1" si="1"/>
        <v>48596.659495856999</v>
      </c>
      <c r="I47" s="7" t="str">
        <f ca="1">IFERROR(__xludf.DUMMYFUNCTION("IMPORTXML(E47,""/html/body/main/div[3]/div[3]/div[2]/ul/li[5]/span[2]/span"")"),"Loading...")</f>
        <v>Loading...</v>
      </c>
      <c r="J47" s="7">
        <f ca="1">IFERROR(__xludf.DUMMYFUNCTION("GOOGLEFINANCE(""NSE:""&amp;D47,""marketcap"")"),840413294)</f>
        <v>840413294</v>
      </c>
      <c r="K47" s="7">
        <v>992.8</v>
      </c>
      <c r="L47" s="8">
        <f ca="1">IFERROR(__xludf.DUMMYFUNCTION("GOOGLEFINANCE(""NSE:""&amp;D47,""price"")"),126.81)</f>
        <v>126.81</v>
      </c>
      <c r="M47" s="9">
        <f t="shared" ca="1" si="2"/>
        <v>-865.99</v>
      </c>
      <c r="N47" s="10">
        <f t="shared" ca="1" si="3"/>
        <v>-87.227034649476238</v>
      </c>
      <c r="O47" s="7">
        <f ca="1">IFERROR(__xludf.DUMMYFUNCTION("GOOGLEFINANCE(""NSE:""&amp;D47,""pe"")"),9.84)</f>
        <v>9.84</v>
      </c>
      <c r="P47" s="7">
        <f ca="1">IFERROR(__xludf.DUMMYFUNCTION("GOOGLEFINANCE(""NSE:""&amp;D47,""EPS"")"),12.89)</f>
        <v>12.89</v>
      </c>
      <c r="Q47" s="7">
        <v>13.5</v>
      </c>
      <c r="R47" s="7" t="str">
        <f ca="1">IFERROR(__xludf.DUMMYFUNCTION("IMPORTXML(E47,""/html/body/main/div[3]/div[3]/div[2]/ul/li[7]/span[2]/span"")"),"Loading...")</f>
        <v>Loading...</v>
      </c>
      <c r="S47" s="7" t="str">
        <f ca="1">IFERROR(__xludf.DUMMYFUNCTION("IMPORTXML(E47,""/html/body/main/div[3]/div[3]/div[2]/ul/li[8]/span[2]/span"")"),"Loading...")</f>
        <v>Loading...</v>
      </c>
      <c r="T47" s="4">
        <v>34.6</v>
      </c>
      <c r="U47" s="4">
        <v>22.7</v>
      </c>
      <c r="V47" s="4">
        <v>2.6</v>
      </c>
      <c r="W47" s="4">
        <v>5.7</v>
      </c>
      <c r="X47" s="4">
        <v>519.92999999999995</v>
      </c>
      <c r="Y47" s="7">
        <f t="shared" ca="1" si="4"/>
        <v>-393.11999999999995</v>
      </c>
    </row>
    <row r="48" spans="1:25" ht="15" x14ac:dyDescent="0.25">
      <c r="A48" s="4">
        <v>662</v>
      </c>
      <c r="C48" s="12" t="s">
        <v>643</v>
      </c>
      <c r="D48" s="12" t="s">
        <v>644</v>
      </c>
      <c r="E48" s="5" t="str">
        <f t="shared" si="0"/>
        <v>https://www.screener.in/company/SSWL/consolidated/</v>
      </c>
      <c r="F48" s="4">
        <v>443059</v>
      </c>
      <c r="G48" s="4">
        <v>3832241897</v>
      </c>
      <c r="H48" s="6">
        <f t="shared" ca="1" si="1"/>
        <v>85497.316722069998</v>
      </c>
      <c r="I48" s="7" t="str">
        <f ca="1">IFERROR(__xludf.DUMMYFUNCTION("IMPORTXML(E48,""/html/body/main/div[3]/div[3]/div[2]/ul/li[5]/span[2]/span"")"),"Loading...")</f>
        <v>Loading...</v>
      </c>
      <c r="J48" s="7">
        <f ca="1">IFERROR(__xludf.DUMMYFUNCTION("GOOGLEFINANCE(""NSE:""&amp;D48,""marketcap"")"),35370310000)</f>
        <v>35370310000</v>
      </c>
      <c r="K48" s="7">
        <v>992.8</v>
      </c>
      <c r="L48" s="8">
        <f ca="1">IFERROR(__xludf.DUMMYFUNCTION("GOOGLEFINANCE(""NSE:""&amp;D48,""price"")"),223.1)</f>
        <v>223.1</v>
      </c>
      <c r="M48" s="9">
        <f t="shared" ca="1" si="2"/>
        <v>-769.69999999999993</v>
      </c>
      <c r="N48" s="10">
        <f t="shared" ca="1" si="3"/>
        <v>-77.528203062046728</v>
      </c>
      <c r="O48" s="7">
        <f ca="1">IFERROR(__xludf.DUMMYFUNCTION("GOOGLEFINANCE(""NSE:""&amp;D48,""pe"")"),17.4)</f>
        <v>17.399999999999999</v>
      </c>
      <c r="P48" s="7">
        <f ca="1">IFERROR(__xludf.DUMMYFUNCTION("GOOGLEFINANCE(""NSE:""&amp;D48,""EPS"")"),12.82)</f>
        <v>12.82</v>
      </c>
      <c r="Q48" s="7">
        <v>13.5</v>
      </c>
      <c r="R48" s="7" t="str">
        <f ca="1">IFERROR(__xludf.DUMMYFUNCTION("IMPORTXML(E48,""/html/body/main/div[3]/div[3]/div[2]/ul/li[7]/span[2]/span"")"),"Loading...")</f>
        <v>Loading...</v>
      </c>
      <c r="S48" s="7" t="str">
        <f ca="1">IFERROR(__xludf.DUMMYFUNCTION("IMPORTXML(E48,""/html/body/main/div[3]/div[3]/div[2]/ul/li[8]/span[2]/span"")"),"Loading...")</f>
        <v>Loading...</v>
      </c>
      <c r="T48" s="4">
        <v>34.6</v>
      </c>
      <c r="U48" s="4">
        <v>22.7</v>
      </c>
      <c r="V48" s="4">
        <v>2.6</v>
      </c>
      <c r="W48" s="4">
        <v>5.7</v>
      </c>
      <c r="X48" s="4">
        <v>519.92999999999995</v>
      </c>
      <c r="Y48" s="7">
        <f t="shared" ca="1" si="4"/>
        <v>-296.82999999999993</v>
      </c>
    </row>
    <row r="49" spans="1:25" ht="15" x14ac:dyDescent="0.25">
      <c r="A49" s="4">
        <v>127</v>
      </c>
      <c r="C49" s="12" t="s">
        <v>645</v>
      </c>
      <c r="D49" s="12" t="s">
        <v>646</v>
      </c>
      <c r="E49" s="5" t="str">
        <f t="shared" si="0"/>
        <v>https://www.screener.in/company/GESHIP/consolidated/</v>
      </c>
      <c r="F49" s="4">
        <v>443059</v>
      </c>
      <c r="G49" s="4">
        <v>3832241897</v>
      </c>
      <c r="H49" s="6">
        <f t="shared" ca="1" si="1"/>
        <v>371075.98288650997</v>
      </c>
      <c r="I49" s="7" t="str">
        <f ca="1">IFERROR(__xludf.DUMMYFUNCTION("IMPORTXML(E49,""/html/body/main/div[3]/div[3]/div[2]/ul/li[5]/span[2]/span"")"),"Loading...")</f>
        <v>Loading...</v>
      </c>
      <c r="J49" s="7">
        <f ca="1">IFERROR(__xludf.DUMMYFUNCTION("GOOGLEFINANCE(""NSE:""&amp;D49,""marketcap"")"),138648300000)</f>
        <v>138648300000</v>
      </c>
      <c r="K49" s="7">
        <v>992.8</v>
      </c>
      <c r="L49" s="8">
        <f ca="1">IFERROR(__xludf.DUMMYFUNCTION("GOOGLEFINANCE(""NSE:""&amp;D49,""price"")"),968.3)</f>
        <v>968.3</v>
      </c>
      <c r="M49" s="9">
        <f t="shared" ca="1" si="2"/>
        <v>-24.5</v>
      </c>
      <c r="N49" s="10">
        <f t="shared" ca="1" si="3"/>
        <v>-2.4677679290894443</v>
      </c>
      <c r="O49" s="7">
        <f ca="1">IFERROR(__xludf.DUMMYFUNCTION("GOOGLEFINANCE(""NSE:""&amp;D49,""pe"")"),6.8)</f>
        <v>6.8</v>
      </c>
      <c r="P49" s="7">
        <f ca="1">IFERROR(__xludf.DUMMYFUNCTION("GOOGLEFINANCE(""NSE:""&amp;D49,""EPS"")"),142.47)</f>
        <v>142.47</v>
      </c>
      <c r="Q49" s="7">
        <v>13.5</v>
      </c>
      <c r="R49" s="7" t="str">
        <f ca="1">IFERROR(__xludf.DUMMYFUNCTION("IMPORTXML(E49,""/html/body/main/div[3]/div[3]/div[2]/ul/li[7]/span[2]/span"")"),"Loading...")</f>
        <v>Loading...</v>
      </c>
      <c r="S49" s="7" t="str">
        <f ca="1">IFERROR(__xludf.DUMMYFUNCTION("IMPORTXML(E49,""/html/body/main/div[3]/div[3]/div[2]/ul/li[8]/span[2]/span"")"),"Loading...")</f>
        <v>Loading...</v>
      </c>
      <c r="T49" s="4">
        <v>34.6</v>
      </c>
      <c r="U49" s="4">
        <v>22.7</v>
      </c>
      <c r="V49" s="4">
        <v>2.6</v>
      </c>
      <c r="W49" s="4">
        <v>5.7</v>
      </c>
      <c r="X49" s="4">
        <v>519.92999999999995</v>
      </c>
      <c r="Y49" s="7">
        <f t="shared" ca="1" si="4"/>
        <v>448.37</v>
      </c>
    </row>
    <row r="50" spans="1:25" ht="15" x14ac:dyDescent="0.25">
      <c r="A50" s="4">
        <v>2915</v>
      </c>
      <c r="C50" s="12" t="s">
        <v>647</v>
      </c>
      <c r="D50" s="12" t="s">
        <v>648</v>
      </c>
      <c r="E50" s="5" t="str">
        <f t="shared" si="0"/>
        <v>https://www.screener.in/company/ASHOKAMET/consolidated/</v>
      </c>
      <c r="F50" s="4">
        <v>443059</v>
      </c>
      <c r="G50" s="4">
        <v>3832241897</v>
      </c>
      <c r="H50" s="6">
        <f t="shared" ca="1" si="1"/>
        <v>6300.2056786680005</v>
      </c>
      <c r="I50" s="7" t="str">
        <f ca="1">IFERROR(__xludf.DUMMYFUNCTION("IMPORTXML(E50,""/html/body/main/div[3]/div[3]/div[2]/ul/li[5]/span[2]/span"")"),"Loading...")</f>
        <v>Loading...</v>
      </c>
      <c r="J50" s="7">
        <f ca="1">IFERROR(__xludf.DUMMYFUNCTION("GOOGLEFINANCE(""NSE:""&amp;D50,""marketcap"")"),410934253)</f>
        <v>410934253</v>
      </c>
      <c r="K50" s="7">
        <v>992.8</v>
      </c>
      <c r="L50" s="8">
        <f ca="1">IFERROR(__xludf.DUMMYFUNCTION("GOOGLEFINANCE(""NSE:""&amp;D50,""price"")"),16.44)</f>
        <v>16.440000000000001</v>
      </c>
      <c r="M50" s="9">
        <f t="shared" ca="1" si="2"/>
        <v>-976.3599999999999</v>
      </c>
      <c r="N50" s="10">
        <f t="shared" ca="1" si="3"/>
        <v>-98.344077356970189</v>
      </c>
      <c r="O50" s="7">
        <f ca="1">IFERROR(__xludf.DUMMYFUNCTION("GOOGLEFINANCE(""NSE:""&amp;D50,""pe"")"),5.91)</f>
        <v>5.91</v>
      </c>
      <c r="P50" s="7">
        <f ca="1">IFERROR(__xludf.DUMMYFUNCTION("GOOGLEFINANCE(""NSE:""&amp;D50,""EPS"")"),2.78)</f>
        <v>2.78</v>
      </c>
      <c r="Q50" s="7">
        <v>13.5</v>
      </c>
      <c r="R50" s="7" t="str">
        <f ca="1">IFERROR(__xludf.DUMMYFUNCTION("IMPORTXML(E50,""/html/body/main/div[3]/div[3]/div[2]/ul/li[7]/span[2]/span"")"),"Loading...")</f>
        <v>Loading...</v>
      </c>
      <c r="S50" s="7" t="str">
        <f ca="1">IFERROR(__xludf.DUMMYFUNCTION("IMPORTXML(E50,""/html/body/main/div[3]/div[3]/div[2]/ul/li[8]/span[2]/span"")"),"Loading...")</f>
        <v>Loading...</v>
      </c>
      <c r="T50" s="4">
        <v>34.6</v>
      </c>
      <c r="U50" s="4">
        <v>22.7</v>
      </c>
      <c r="V50" s="4">
        <v>2.6</v>
      </c>
      <c r="W50" s="4">
        <v>5.7</v>
      </c>
      <c r="X50" s="4">
        <v>519.92999999999995</v>
      </c>
      <c r="Y50" s="7">
        <f t="shared" ca="1" si="4"/>
        <v>-503.48999999999995</v>
      </c>
    </row>
    <row r="51" spans="1:25" ht="15" x14ac:dyDescent="0.25">
      <c r="A51" s="4">
        <v>692</v>
      </c>
      <c r="C51" s="12" t="s">
        <v>649</v>
      </c>
      <c r="D51" s="12" t="s">
        <v>650</v>
      </c>
      <c r="E51" s="5" t="str">
        <f t="shared" si="0"/>
        <v>https://www.screener.in/company/REPCOHOME/consolidated/</v>
      </c>
      <c r="F51" s="4">
        <v>443059</v>
      </c>
      <c r="G51" s="4">
        <v>3832241897</v>
      </c>
      <c r="H51" s="6">
        <f t="shared" ca="1" si="1"/>
        <v>136044.5873435</v>
      </c>
      <c r="I51" s="7" t="str">
        <f ca="1">IFERROR(__xludf.DUMMYFUNCTION("IMPORTXML(E51,""/html/body/main/div[3]/div[3]/div[2]/ul/li[5]/span[2]/span"")"),"Loading...")</f>
        <v>Loading...</v>
      </c>
      <c r="J51" s="7">
        <f ca="1">IFERROR(__xludf.DUMMYFUNCTION("GOOGLEFINANCE(""NSE:""&amp;D51,""marketcap"")"),22112310000)</f>
        <v>22112310000</v>
      </c>
      <c r="K51" s="7">
        <v>992.8</v>
      </c>
      <c r="L51" s="8">
        <f ca="1">IFERROR(__xludf.DUMMYFUNCTION("GOOGLEFINANCE(""NSE:""&amp;D51,""price"")"),355)</f>
        <v>355</v>
      </c>
      <c r="M51" s="9">
        <f t="shared" ca="1" si="2"/>
        <v>-637.79999999999995</v>
      </c>
      <c r="N51" s="10">
        <f t="shared" ca="1" si="3"/>
        <v>-64.242546333601936</v>
      </c>
      <c r="O51" s="7">
        <f ca="1">IFERROR(__xludf.DUMMYFUNCTION("GOOGLEFINANCE(""NSE:""&amp;D51,""pe"")"),4.79)</f>
        <v>4.79</v>
      </c>
      <c r="P51" s="7">
        <f ca="1">IFERROR(__xludf.DUMMYFUNCTION("GOOGLEFINANCE(""NSE:""&amp;D51,""EPS"")"),74.17)</f>
        <v>74.17</v>
      </c>
      <c r="Q51" s="7">
        <v>13.5</v>
      </c>
      <c r="R51" s="7" t="str">
        <f ca="1">IFERROR(__xludf.DUMMYFUNCTION("IMPORTXML(E51,""/html/body/main/div[3]/div[3]/div[2]/ul/li[7]/span[2]/span"")"),"Loading...")</f>
        <v>Loading...</v>
      </c>
      <c r="S51" s="7" t="str">
        <f ca="1">IFERROR(__xludf.DUMMYFUNCTION("IMPORTXML(E51,""/html/body/main/div[3]/div[3]/div[2]/ul/li[8]/span[2]/span"")"),"Loading...")</f>
        <v>Loading...</v>
      </c>
      <c r="T51" s="4">
        <v>34.6</v>
      </c>
      <c r="U51" s="4">
        <v>22.7</v>
      </c>
      <c r="V51" s="4">
        <v>2.6</v>
      </c>
      <c r="W51" s="4">
        <v>5.7</v>
      </c>
      <c r="X51" s="4">
        <v>519.92999999999995</v>
      </c>
      <c r="Y51" s="7">
        <f t="shared" ca="1" si="4"/>
        <v>-164.92999999999995</v>
      </c>
    </row>
    <row r="52" spans="1:25" ht="15" x14ac:dyDescent="0.25">
      <c r="A52" s="4">
        <v>1064</v>
      </c>
      <c r="C52" s="12" t="s">
        <v>651</v>
      </c>
      <c r="D52" s="12" t="s">
        <v>652</v>
      </c>
      <c r="E52" s="5" t="str">
        <f t="shared" si="0"/>
        <v>https://www.screener.in/company/VHL/consolidated/</v>
      </c>
      <c r="F52" s="4">
        <v>443059</v>
      </c>
      <c r="G52" s="4">
        <v>3832241897</v>
      </c>
      <c r="H52" s="6">
        <f t="shared" ca="1" si="1"/>
        <v>1530405.80156695</v>
      </c>
      <c r="I52" s="7" t="str">
        <f ca="1">IFERROR(__xludf.DUMMYFUNCTION("IMPORTXML(E52,""/html/body/main/div[3]/div[3]/div[2]/ul/li[5]/span[2]/span"")"),"Loading...")</f>
        <v>Loading...</v>
      </c>
      <c r="J52" s="7">
        <f ca="1">IFERROR(__xludf.DUMMYFUNCTION("GOOGLEFINANCE(""NSE:""&amp;D52,""marketcap"")"),12849120000)</f>
        <v>12849120000</v>
      </c>
      <c r="K52" s="7">
        <v>992.8</v>
      </c>
      <c r="L52" s="8">
        <f ca="1">IFERROR(__xludf.DUMMYFUNCTION("GOOGLEFINANCE(""NSE:""&amp;D52,""price"")"),3993.5)</f>
        <v>3993.5</v>
      </c>
      <c r="M52" s="9">
        <f t="shared" ca="1" si="2"/>
        <v>3000.7</v>
      </c>
      <c r="N52" s="10">
        <f t="shared" ca="1" si="3"/>
        <v>302.2461724415794</v>
      </c>
      <c r="O52" s="7">
        <f ca="1">IFERROR(__xludf.DUMMYFUNCTION("GOOGLEFINANCE(""NSE:""&amp;D52,""pe"")"),5.15)</f>
        <v>5.15</v>
      </c>
      <c r="P52" s="7">
        <f ca="1">IFERROR(__xludf.DUMMYFUNCTION("GOOGLEFINANCE(""NSE:""&amp;D52,""EPS"")"),775.34)</f>
        <v>775.34</v>
      </c>
      <c r="Q52" s="7">
        <v>13.5</v>
      </c>
      <c r="R52" s="7" t="str">
        <f ca="1">IFERROR(__xludf.DUMMYFUNCTION("IMPORTXML(E52,""/html/body/main/div[3]/div[3]/div[2]/ul/li[7]/span[2]/span"")"),"Loading...")</f>
        <v>Loading...</v>
      </c>
      <c r="S52" s="7" t="str">
        <f ca="1">IFERROR(__xludf.DUMMYFUNCTION("IMPORTXML(E52,""/html/body/main/div[3]/div[3]/div[2]/ul/li[8]/span[2]/span"")"),"Loading...")</f>
        <v>Loading...</v>
      </c>
      <c r="T52" s="4">
        <v>34.6</v>
      </c>
      <c r="U52" s="4">
        <v>22.7</v>
      </c>
      <c r="V52" s="4">
        <v>2.6</v>
      </c>
      <c r="W52" s="4">
        <v>5.7</v>
      </c>
      <c r="X52" s="4">
        <v>519.92999999999995</v>
      </c>
      <c r="Y52" s="7">
        <f t="shared" ca="1" si="4"/>
        <v>3473.57</v>
      </c>
    </row>
    <row r="53" spans="1:25" ht="15" x14ac:dyDescent="0.25">
      <c r="A53" s="4">
        <v>364</v>
      </c>
      <c r="C53" s="12" t="s">
        <v>653</v>
      </c>
      <c r="D53" s="12" t="s">
        <v>654</v>
      </c>
      <c r="E53" s="5" t="str">
        <f t="shared" si="0"/>
        <v>https://www.screener.in/company/GMRP&amp;UI/consolidated/</v>
      </c>
      <c r="F53" s="4">
        <v>443059</v>
      </c>
      <c r="G53" s="4">
        <v>3832241897</v>
      </c>
      <c r="H53" s="6">
        <f t="shared" ca="1" si="1"/>
        <v>42438.246767377997</v>
      </c>
      <c r="I53" s="7" t="str">
        <f ca="1">IFERROR(__xludf.DUMMYFUNCTION("IMPORTXML(E53,""/html/body/main/div[3]/div[3]/div[2]/ul/li[5]/span[2]/span"")"),"Loading...")</f>
        <v>Loading...</v>
      </c>
      <c r="J53" s="7">
        <f ca="1">IFERROR(__xludf.DUMMYFUNCTION("GOOGLEFINANCE(""NSE:""&amp;D53,""marketcap"")"),79160948186)</f>
        <v>79160948186</v>
      </c>
      <c r="K53" s="7">
        <v>992.8</v>
      </c>
      <c r="L53" s="8">
        <f ca="1">IFERROR(__xludf.DUMMYFUNCTION("GOOGLEFINANCE(""NSE:""&amp;D53,""price"")"),110.74)</f>
        <v>110.74</v>
      </c>
      <c r="M53" s="9">
        <f t="shared" ca="1" si="2"/>
        <v>-882.06</v>
      </c>
      <c r="N53" s="10">
        <f t="shared" ca="1" si="3"/>
        <v>-88.845688960515716</v>
      </c>
      <c r="O53" s="7">
        <f ca="1">IFERROR(__xludf.DUMMYFUNCTION("GOOGLEFINANCE(""NSE:""&amp;D53,""pe"")"),41.95)</f>
        <v>41.95</v>
      </c>
      <c r="P53" s="7">
        <f ca="1">IFERROR(__xludf.DUMMYFUNCTION("GOOGLEFINANCE(""NSE:""&amp;D53,""EPS"")"),2.64)</f>
        <v>2.64</v>
      </c>
      <c r="Q53" s="7">
        <v>13.5</v>
      </c>
      <c r="R53" s="7" t="str">
        <f ca="1">IFERROR(__xludf.DUMMYFUNCTION("IMPORTXML(E53,""/html/body/main/div[3]/div[3]/div[2]/ul/li[7]/span[2]/span"")"),"Loading...")</f>
        <v>Loading...</v>
      </c>
      <c r="S53" s="7" t="str">
        <f ca="1">IFERROR(__xludf.DUMMYFUNCTION("IMPORTXML(E53,""/html/body/main/div[3]/div[3]/div[2]/ul/li[8]/span[2]/span"")"),"Loading...")</f>
        <v>Loading...</v>
      </c>
      <c r="T53" s="4">
        <v>34.6</v>
      </c>
      <c r="U53" s="4">
        <v>22.7</v>
      </c>
      <c r="V53" s="4">
        <v>2.6</v>
      </c>
      <c r="W53" s="4">
        <v>5.7</v>
      </c>
      <c r="X53" s="4">
        <v>519.92999999999995</v>
      </c>
      <c r="Y53" s="7">
        <f t="shared" ca="1" si="4"/>
        <v>-409.18999999999994</v>
      </c>
    </row>
    <row r="54" spans="1:25" ht="15" x14ac:dyDescent="0.25">
      <c r="A54" s="4">
        <v>3721</v>
      </c>
      <c r="C54" s="12" t="s">
        <v>655</v>
      </c>
      <c r="D54" s="12" t="s">
        <v>656</v>
      </c>
      <c r="E54" s="5" t="str">
        <f t="shared" si="0"/>
        <v>https://www.screener.in/company/RADAAN/consolidated/</v>
      </c>
      <c r="F54" s="4">
        <v>443059</v>
      </c>
      <c r="G54" s="4">
        <v>3832241897</v>
      </c>
      <c r="H54" s="6">
        <f t="shared" ca="1" si="1"/>
        <v>1337.452422053</v>
      </c>
      <c r="I54" s="7" t="str">
        <f ca="1">IFERROR(__xludf.DUMMYFUNCTION("IMPORTXML(E54,""/html/body/main/div[3]/div[3]/div[2]/ul/li[5]/span[2]/span"")"),"Loading...")</f>
        <v>Loading...</v>
      </c>
      <c r="J54" s="7">
        <f ca="1">IFERROR(__xludf.DUMMYFUNCTION("GOOGLEFINANCE(""NSE:""&amp;D54,""marketcap"")"),189023810)</f>
        <v>189023810</v>
      </c>
      <c r="K54" s="7">
        <v>992.8</v>
      </c>
      <c r="L54" s="8">
        <f ca="1">IFERROR(__xludf.DUMMYFUNCTION("GOOGLEFINANCE(""NSE:""&amp;D54,""price"")"),3.49)</f>
        <v>3.49</v>
      </c>
      <c r="M54" s="9">
        <f t="shared" ca="1" si="2"/>
        <v>-989.31</v>
      </c>
      <c r="N54" s="10">
        <f t="shared" ca="1" si="3"/>
        <v>-99.648468976631747</v>
      </c>
      <c r="O54" s="7" t="str">
        <f ca="1">IFERROR(__xludf.DUMMYFUNCTION("GOOGLEFINANCE(""NSE:""&amp;D54,""pe"")"),"#N/A")</f>
        <v>#N/A</v>
      </c>
      <c r="P54" s="7">
        <f ca="1">IFERROR(__xludf.DUMMYFUNCTION("GOOGLEFINANCE(""NSE:""&amp;D54,""EPS"")"),-0.31)</f>
        <v>-0.31</v>
      </c>
      <c r="Q54" s="7">
        <v>13.5</v>
      </c>
      <c r="R54" s="7" t="str">
        <f ca="1">IFERROR(__xludf.DUMMYFUNCTION("IMPORTXML(E54,""/html/body/main/div[3]/div[3]/div[2]/ul/li[7]/span[2]/span"")"),"Loading...")</f>
        <v>Loading...</v>
      </c>
      <c r="S54" s="7" t="str">
        <f ca="1">IFERROR(__xludf.DUMMYFUNCTION("IMPORTXML(E54,""/html/body/main/div[3]/div[3]/div[2]/ul/li[8]/span[2]/span"")"),"Loading...")</f>
        <v>Loading...</v>
      </c>
      <c r="T54" s="4">
        <v>34.6</v>
      </c>
      <c r="U54" s="4">
        <v>22.7</v>
      </c>
      <c r="V54" s="4">
        <v>2.6</v>
      </c>
      <c r="W54" s="4">
        <v>5.7</v>
      </c>
      <c r="X54" s="4">
        <v>519.92999999999995</v>
      </c>
      <c r="Y54" s="7">
        <f t="shared" ca="1" si="4"/>
        <v>-516.43999999999994</v>
      </c>
    </row>
    <row r="55" spans="1:25" ht="15" x14ac:dyDescent="0.25">
      <c r="A55" s="4">
        <v>1381</v>
      </c>
      <c r="C55" s="12" t="s">
        <v>657</v>
      </c>
      <c r="D55" s="12" t="s">
        <v>658</v>
      </c>
      <c r="E55" s="5" t="str">
        <f t="shared" si="0"/>
        <v>https://www.screener.in/company/ASHIMASYN/consolidated/</v>
      </c>
      <c r="F55" s="4">
        <v>443059</v>
      </c>
      <c r="G55" s="4">
        <v>3832241897</v>
      </c>
      <c r="H55" s="6">
        <f t="shared" ca="1" si="1"/>
        <v>9331.5090191950021</v>
      </c>
      <c r="I55" s="7" t="str">
        <f ca="1">IFERROR(__xludf.DUMMYFUNCTION("IMPORTXML(E55,""/html/body/main/div[3]/div[3]/div[2]/ul/li[5]/span[2]/span"")"),"Loading...")</f>
        <v>Loading...</v>
      </c>
      <c r="J55" s="7">
        <f ca="1">IFERROR(__xludf.DUMMYFUNCTION("GOOGLEFINANCE(""NSE:""&amp;D55,""marketcap"")"),4651590000)</f>
        <v>4651590000</v>
      </c>
      <c r="K55" s="7">
        <v>992.8</v>
      </c>
      <c r="L55" s="8">
        <f ca="1">IFERROR(__xludf.DUMMYFUNCTION("GOOGLEFINANCE(""NSE:""&amp;D55,""price"")"),24.35)</f>
        <v>24.35</v>
      </c>
      <c r="M55" s="9">
        <f t="shared" ca="1" si="2"/>
        <v>-968.44999999999993</v>
      </c>
      <c r="N55" s="10">
        <f t="shared" ca="1" si="3"/>
        <v>-97.54734085414988</v>
      </c>
      <c r="O55" s="7" t="str">
        <f ca="1">IFERROR(__xludf.DUMMYFUNCTION("GOOGLEFINANCE(""NSE:""&amp;D55,""pe"")"),"#N/A")</f>
        <v>#N/A</v>
      </c>
      <c r="P55" s="7">
        <f ca="1">IFERROR(__xludf.DUMMYFUNCTION("GOOGLEFINANCE(""NSE:""&amp;D55,""EPS"")"),-1.18)</f>
        <v>-1.18</v>
      </c>
      <c r="Q55" s="7">
        <v>13.5</v>
      </c>
      <c r="R55" s="7" t="str">
        <f ca="1">IFERROR(__xludf.DUMMYFUNCTION("IMPORTXML(E55,""/html/body/main/div[3]/div[3]/div[2]/ul/li[7]/span[2]/span"")"),"Loading...")</f>
        <v>Loading...</v>
      </c>
      <c r="S55" s="7" t="str">
        <f ca="1">IFERROR(__xludf.DUMMYFUNCTION("IMPORTXML(E55,""/html/body/main/div[3]/div[3]/div[2]/ul/li[8]/span[2]/span"")"),"Loading...")</f>
        <v>Loading...</v>
      </c>
      <c r="T55" s="4">
        <v>34.6</v>
      </c>
      <c r="U55" s="4">
        <v>22.7</v>
      </c>
      <c r="V55" s="4">
        <v>2.6</v>
      </c>
      <c r="W55" s="4">
        <v>5.7</v>
      </c>
      <c r="X55" s="4">
        <v>519.92999999999995</v>
      </c>
      <c r="Y55" s="7">
        <f t="shared" ca="1" si="4"/>
        <v>-495.57999999999993</v>
      </c>
    </row>
    <row r="56" spans="1:25" ht="15" x14ac:dyDescent="0.25">
      <c r="A56" s="4">
        <v>1096</v>
      </c>
      <c r="C56" s="12" t="s">
        <v>659</v>
      </c>
      <c r="D56" s="12" t="s">
        <v>660</v>
      </c>
      <c r="E56" s="5" t="str">
        <f t="shared" si="0"/>
        <v>https://www.screener.in/company/VLSFINANCE/consolidated/</v>
      </c>
      <c r="F56" s="4">
        <v>443059</v>
      </c>
      <c r="G56" s="4">
        <v>3832241897</v>
      </c>
      <c r="H56" s="6">
        <f t="shared" ca="1" si="1"/>
        <v>85309.536869117001</v>
      </c>
      <c r="I56" s="7" t="str">
        <f ca="1">IFERROR(__xludf.DUMMYFUNCTION("IMPORTXML(E56,""/html/body/main/div[3]/div[3]/div[2]/ul/li[5]/span[2]/span"")"),"Loading...")</f>
        <v>Loading...</v>
      </c>
      <c r="J56" s="7">
        <f ca="1">IFERROR(__xludf.DUMMYFUNCTION("GOOGLEFINANCE(""NSE:""&amp;D56,""marketcap"")"),7586665000)</f>
        <v>7586665000</v>
      </c>
      <c r="K56" s="7">
        <v>992.8</v>
      </c>
      <c r="L56" s="8">
        <f ca="1">IFERROR(__xludf.DUMMYFUNCTION("GOOGLEFINANCE(""NSE:""&amp;D56,""price"")"),222.61)</f>
        <v>222.61</v>
      </c>
      <c r="M56" s="9">
        <f t="shared" ca="1" si="2"/>
        <v>-770.18999999999994</v>
      </c>
      <c r="N56" s="10">
        <f t="shared" ca="1" si="3"/>
        <v>-77.57755842062852</v>
      </c>
      <c r="O56" s="7">
        <f ca="1">IFERROR(__xludf.DUMMYFUNCTION("GOOGLEFINANCE(""NSE:""&amp;D56,""pe"")"),31.18)</f>
        <v>31.18</v>
      </c>
      <c r="P56" s="7">
        <f ca="1">IFERROR(__xludf.DUMMYFUNCTION("GOOGLEFINANCE(""NSE:""&amp;D56,""EPS"")"),7.14)</f>
        <v>7.14</v>
      </c>
      <c r="Q56" s="7">
        <v>13.5</v>
      </c>
      <c r="R56" s="7" t="str">
        <f ca="1">IFERROR(__xludf.DUMMYFUNCTION("IMPORTXML(E56,""/html/body/main/div[3]/div[3]/div[2]/ul/li[7]/span[2]/span"")"),"Loading...")</f>
        <v>Loading...</v>
      </c>
      <c r="S56" s="7" t="str">
        <f ca="1">IFERROR(__xludf.DUMMYFUNCTION("IMPORTXML(E56,""/html/body/main/div[3]/div[3]/div[2]/ul/li[8]/span[2]/span"")"),"Loading...")</f>
        <v>Loading...</v>
      </c>
      <c r="T56" s="4">
        <v>34.6</v>
      </c>
      <c r="U56" s="4">
        <v>22.7</v>
      </c>
      <c r="V56" s="4">
        <v>2.6</v>
      </c>
      <c r="W56" s="4">
        <v>5.7</v>
      </c>
      <c r="X56" s="4">
        <v>519.92999999999995</v>
      </c>
      <c r="Y56" s="7">
        <f t="shared" ca="1" si="4"/>
        <v>-297.31999999999994</v>
      </c>
    </row>
    <row r="57" spans="1:25" ht="15" x14ac:dyDescent="0.25">
      <c r="A57" s="4">
        <v>246</v>
      </c>
      <c r="C57" s="12" t="s">
        <v>661</v>
      </c>
      <c r="D57" s="12" t="s">
        <v>662</v>
      </c>
      <c r="E57" s="5" t="str">
        <f t="shared" si="0"/>
        <v>https://www.screener.in/company/J&amp;KBANK/consolidated/</v>
      </c>
      <c r="F57" s="4">
        <v>443059</v>
      </c>
      <c r="G57" s="4">
        <v>3832241897</v>
      </c>
      <c r="H57" s="6">
        <f t="shared" ca="1" si="1"/>
        <v>38782.28799764</v>
      </c>
      <c r="I57" s="7" t="str">
        <f ca="1">IFERROR(__xludf.DUMMYFUNCTION("IMPORTXML(E57,""/html/body/main/div[3]/div[3]/div[2]/ul/li[5]/span[2]/span"")"),"Loading...")</f>
        <v>Loading...</v>
      </c>
      <c r="J57" s="7">
        <f ca="1">IFERROR(__xludf.DUMMYFUNCTION("GOOGLEFINANCE(""NSE:""&amp;D57,""marketcap"")"),111439615039)</f>
        <v>111439615039</v>
      </c>
      <c r="K57" s="7">
        <v>992.8</v>
      </c>
      <c r="L57" s="8">
        <f ca="1">IFERROR(__xludf.DUMMYFUNCTION("GOOGLEFINANCE(""NSE:""&amp;D57,""price"")"),101.2)</f>
        <v>101.2</v>
      </c>
      <c r="M57" s="9">
        <f t="shared" ca="1" si="2"/>
        <v>-891.59999999999991</v>
      </c>
      <c r="N57" s="10">
        <f t="shared" ca="1" si="3"/>
        <v>-89.806607574536656</v>
      </c>
      <c r="O57" s="7">
        <f ca="1">IFERROR(__xludf.DUMMYFUNCTION("GOOGLEFINANCE(""NSE:""&amp;D57,""pe"")"),5.19)</f>
        <v>5.19</v>
      </c>
      <c r="P57" s="7">
        <f ca="1">IFERROR(__xludf.DUMMYFUNCTION("GOOGLEFINANCE(""NSE:""&amp;D57,""EPS"")"),19.51)</f>
        <v>19.510000000000002</v>
      </c>
      <c r="Q57" s="7">
        <v>13.5</v>
      </c>
      <c r="R57" s="7" t="str">
        <f ca="1">IFERROR(__xludf.DUMMYFUNCTION("IMPORTXML(E57,""/html/body/main/div[3]/div[3]/div[2]/ul/li[7]/span[2]/span"")"),"Loading...")</f>
        <v>Loading...</v>
      </c>
      <c r="S57" s="7" t="str">
        <f ca="1">IFERROR(__xludf.DUMMYFUNCTION("IMPORTXML(E57,""/html/body/main/div[3]/div[3]/div[2]/ul/li[8]/span[2]/span"")"),"Loading...")</f>
        <v>Loading...</v>
      </c>
      <c r="T57" s="4">
        <v>34.6</v>
      </c>
      <c r="U57" s="4">
        <v>22.7</v>
      </c>
      <c r="V57" s="4">
        <v>2.6</v>
      </c>
      <c r="W57" s="4">
        <v>5.7</v>
      </c>
      <c r="X57" s="4">
        <v>519.92999999999995</v>
      </c>
      <c r="Y57" s="7">
        <f t="shared" ca="1" si="4"/>
        <v>-418.72999999999996</v>
      </c>
    </row>
    <row r="58" spans="1:25" ht="15" x14ac:dyDescent="0.25">
      <c r="A58" s="4">
        <v>1129</v>
      </c>
      <c r="C58" s="12" t="s">
        <v>663</v>
      </c>
      <c r="D58" s="12" t="s">
        <v>664</v>
      </c>
      <c r="E58" s="5" t="str">
        <f t="shared" si="0"/>
        <v>https://www.screener.in/company/GICHSGFIN/consolidated/</v>
      </c>
      <c r="F58" s="4">
        <v>443059</v>
      </c>
      <c r="G58" s="4">
        <v>3832241897</v>
      </c>
      <c r="H58" s="6">
        <f t="shared" ca="1" si="1"/>
        <v>65945.218563575996</v>
      </c>
      <c r="I58" s="7" t="str">
        <f ca="1">IFERROR(__xludf.DUMMYFUNCTION("IMPORTXML(E58,""/html/body/main/div[3]/div[3]/div[2]/ul/li[5]/span[2]/span"")"),"Loading...")</f>
        <v>Loading...</v>
      </c>
      <c r="J58" s="7">
        <f ca="1">IFERROR(__xludf.DUMMYFUNCTION("GOOGLEFINANCE(""NSE:""&amp;D58,""marketcap"")"),9273692000)</f>
        <v>9273692000</v>
      </c>
      <c r="K58" s="7">
        <v>992.8</v>
      </c>
      <c r="L58" s="8">
        <f ca="1">IFERROR(__xludf.DUMMYFUNCTION("GOOGLEFINANCE(""NSE:""&amp;D58,""price"")"),172.08)</f>
        <v>172.08</v>
      </c>
      <c r="M58" s="9">
        <f t="shared" ca="1" si="2"/>
        <v>-820.71999999999991</v>
      </c>
      <c r="N58" s="10">
        <f t="shared" ca="1" si="3"/>
        <v>-82.667203867848499</v>
      </c>
      <c r="O58" s="7">
        <f ca="1">IFERROR(__xludf.DUMMYFUNCTION("GOOGLEFINANCE(""NSE:""&amp;D58,""pe"")"),7.19)</f>
        <v>7.19</v>
      </c>
      <c r="P58" s="7">
        <f ca="1">IFERROR(__xludf.DUMMYFUNCTION("GOOGLEFINANCE(""NSE:""&amp;D58,""EPS"")"),23.93)</f>
        <v>23.93</v>
      </c>
      <c r="Q58" s="7">
        <v>13.5</v>
      </c>
      <c r="R58" s="7" t="str">
        <f ca="1">IFERROR(__xludf.DUMMYFUNCTION("IMPORTXML(E58,""/html/body/main/div[3]/div[3]/div[2]/ul/li[7]/span[2]/span"")"),"Loading...")</f>
        <v>Loading...</v>
      </c>
      <c r="S58" s="7" t="str">
        <f ca="1">IFERROR(__xludf.DUMMYFUNCTION("IMPORTXML(E58,""/html/body/main/div[3]/div[3]/div[2]/ul/li[8]/span[2]/span"")"),"Loading...")</f>
        <v>Loading...</v>
      </c>
      <c r="T58" s="4">
        <v>34.6</v>
      </c>
      <c r="U58" s="4">
        <v>22.7</v>
      </c>
      <c r="V58" s="4">
        <v>2.6</v>
      </c>
      <c r="W58" s="4">
        <v>5.7</v>
      </c>
      <c r="X58" s="4">
        <v>519.92999999999995</v>
      </c>
      <c r="Y58" s="7">
        <f t="shared" ca="1" si="4"/>
        <v>-347.84999999999991</v>
      </c>
    </row>
    <row r="59" spans="1:25" ht="15" x14ac:dyDescent="0.25">
      <c r="A59" s="4">
        <v>438</v>
      </c>
      <c r="C59" s="12" t="s">
        <v>665</v>
      </c>
      <c r="D59" s="12" t="s">
        <v>45</v>
      </c>
      <c r="E59" s="5" t="str">
        <f t="shared" si="0"/>
        <v>https://www.screener.in/company/SOUTHBANK/consolidated/</v>
      </c>
      <c r="F59" s="4">
        <v>443059</v>
      </c>
      <c r="G59" s="4">
        <v>3832241897</v>
      </c>
      <c r="H59" s="6">
        <f t="shared" ca="1" si="1"/>
        <v>10971.708551111</v>
      </c>
      <c r="I59" s="7" t="str">
        <f ca="1">IFERROR(__xludf.DUMMYFUNCTION("IMPORTXML(E59,""/html/body/main/div[3]/div[3]/div[2]/ul/li[5]/span[2]/span"")"),"Loading...")</f>
        <v>Loading...</v>
      </c>
      <c r="J59" s="7">
        <f ca="1">IFERROR(__xludf.DUMMYFUNCTION("GOOGLEFINANCE(""NSE:""&amp;D59,""marketcap"")"),74809744240)</f>
        <v>74809744240</v>
      </c>
      <c r="K59" s="7">
        <v>992.8</v>
      </c>
      <c r="L59" s="8">
        <f ca="1">IFERROR(__xludf.DUMMYFUNCTION("GOOGLEFINANCE(""NSE:""&amp;D59,""price"")"),28.63)</f>
        <v>28.63</v>
      </c>
      <c r="M59" s="9">
        <f t="shared" ca="1" si="2"/>
        <v>-964.17</v>
      </c>
      <c r="N59" s="10">
        <f t="shared" ca="1" si="3"/>
        <v>-97.116236905721195</v>
      </c>
      <c r="O59" s="7">
        <f ca="1">IFERROR(__xludf.DUMMYFUNCTION("GOOGLEFINANCE(""NSE:""&amp;D59,""pe"")"),5.63)</f>
        <v>5.63</v>
      </c>
      <c r="P59" s="7">
        <f ca="1">IFERROR(__xludf.DUMMYFUNCTION("GOOGLEFINANCE(""NSE:""&amp;D59,""EPS"")"),5.09)</f>
        <v>5.09</v>
      </c>
      <c r="Q59" s="7">
        <v>13.5</v>
      </c>
      <c r="R59" s="7" t="str">
        <f ca="1">IFERROR(__xludf.DUMMYFUNCTION("IMPORTXML(E59,""/html/body/main/div[3]/div[3]/div[2]/ul/li[7]/span[2]/span"")"),"Loading...")</f>
        <v>Loading...</v>
      </c>
      <c r="S59" s="7" t="str">
        <f ca="1">IFERROR(__xludf.DUMMYFUNCTION("IMPORTXML(E59,""/html/body/main/div[3]/div[3]/div[2]/ul/li[8]/span[2]/span"")"),"Loading...")</f>
        <v>Loading...</v>
      </c>
      <c r="T59" s="4">
        <v>34.6</v>
      </c>
      <c r="U59" s="4">
        <v>22.7</v>
      </c>
      <c r="V59" s="4">
        <v>2.6</v>
      </c>
      <c r="W59" s="4">
        <v>5.7</v>
      </c>
      <c r="X59" s="4">
        <v>519.92999999999995</v>
      </c>
      <c r="Y59" s="7">
        <f t="shared" ca="1" si="4"/>
        <v>-491.29999999999995</v>
      </c>
    </row>
    <row r="60" spans="1:25" ht="15" x14ac:dyDescent="0.25">
      <c r="A60" s="4">
        <v>540</v>
      </c>
      <c r="C60" s="12" t="s">
        <v>666</v>
      </c>
      <c r="D60" s="12" t="s">
        <v>667</v>
      </c>
      <c r="E60" s="5" t="str">
        <f t="shared" si="0"/>
        <v>https://www.screener.in/company/GATEWAY/consolidated/</v>
      </c>
      <c r="F60" s="4">
        <v>443059</v>
      </c>
      <c r="G60" s="4">
        <v>3832241897</v>
      </c>
      <c r="H60" s="6">
        <f t="shared" ca="1" si="1"/>
        <v>24679.637816680002</v>
      </c>
      <c r="I60" s="7" t="str">
        <f ca="1">IFERROR(__xludf.DUMMYFUNCTION("IMPORTXML(E60,""/html/body/main/div[3]/div[3]/div[2]/ul/li[5]/span[2]/span"")"),"Loading...")</f>
        <v>Loading...</v>
      </c>
      <c r="J60" s="7">
        <f ca="1">IFERROR(__xludf.DUMMYFUNCTION("GOOGLEFINANCE(""NSE:""&amp;D60,""marketcap"")"),32177067922)</f>
        <v>32177067922</v>
      </c>
      <c r="K60" s="7">
        <v>992.8</v>
      </c>
      <c r="L60" s="8">
        <f ca="1">IFERROR(__xludf.DUMMYFUNCTION("GOOGLEFINANCE(""NSE:""&amp;D60,""price"")"),64.4)</f>
        <v>64.400000000000006</v>
      </c>
      <c r="M60" s="9">
        <f t="shared" ca="1" si="2"/>
        <v>-928.4</v>
      </c>
      <c r="N60" s="10">
        <f t="shared" ca="1" si="3"/>
        <v>-93.513295729250615</v>
      </c>
      <c r="O60" s="7">
        <f ca="1">IFERROR(__xludf.DUMMYFUNCTION("GOOGLEFINANCE(""NSE:""&amp;D60,""pe"")"),8.43)</f>
        <v>8.43</v>
      </c>
      <c r="P60" s="7">
        <f ca="1">IFERROR(__xludf.DUMMYFUNCTION("GOOGLEFINANCE(""NSE:""&amp;D60,""EPS"")"),7.64)</f>
        <v>7.64</v>
      </c>
      <c r="Q60" s="7">
        <v>13.5</v>
      </c>
      <c r="R60" s="7" t="str">
        <f ca="1">IFERROR(__xludf.DUMMYFUNCTION("IMPORTXML(E60,""/html/body/main/div[3]/div[3]/div[2]/ul/li[7]/span[2]/span"")"),"Loading...")</f>
        <v>Loading...</v>
      </c>
      <c r="S60" s="7" t="str">
        <f ca="1">IFERROR(__xludf.DUMMYFUNCTION("IMPORTXML(E60,""/html/body/main/div[3]/div[3]/div[2]/ul/li[8]/span[2]/span"")"),"Loading...")</f>
        <v>Loading...</v>
      </c>
      <c r="T60" s="4">
        <v>34.6</v>
      </c>
      <c r="U60" s="4">
        <v>22.7</v>
      </c>
      <c r="V60" s="4">
        <v>2.6</v>
      </c>
      <c r="W60" s="4">
        <v>5.7</v>
      </c>
      <c r="X60" s="4">
        <v>519.92999999999995</v>
      </c>
      <c r="Y60" s="7">
        <f t="shared" ca="1" si="4"/>
        <v>-455.53</v>
      </c>
    </row>
    <row r="61" spans="1:25" ht="15" x14ac:dyDescent="0.25">
      <c r="A61" s="4">
        <v>358</v>
      </c>
      <c r="C61" s="12" t="s">
        <v>668</v>
      </c>
      <c r="D61" s="12" t="s">
        <v>47</v>
      </c>
      <c r="E61" s="5" t="str">
        <f t="shared" si="0"/>
        <v>https://www.screener.in/company/KTKBANK/consolidated/</v>
      </c>
      <c r="F61" s="4">
        <v>443059</v>
      </c>
      <c r="G61" s="4">
        <v>3832241897</v>
      </c>
      <c r="H61" s="6">
        <f t="shared" ca="1" si="1"/>
        <v>66719.33142676999</v>
      </c>
      <c r="I61" s="7" t="str">
        <f ca="1">IFERROR(__xludf.DUMMYFUNCTION("IMPORTXML(E61,""/html/body/main/div[3]/div[3]/div[2]/ul/li[5]/span[2]/span"")"),"Loading...")</f>
        <v>Loading...</v>
      </c>
      <c r="J61" s="7">
        <f ca="1">IFERROR(__xludf.DUMMYFUNCTION("GOOGLEFINANCE(""NSE:""&amp;D61,""marketcap"")"),65767600465)</f>
        <v>65767600465</v>
      </c>
      <c r="K61" s="7">
        <v>992.8</v>
      </c>
      <c r="L61" s="8">
        <f ca="1">IFERROR(__xludf.DUMMYFUNCTION("GOOGLEFINANCE(""NSE:""&amp;D61,""price"")"),174.1)</f>
        <v>174.1</v>
      </c>
      <c r="M61" s="9">
        <f t="shared" ca="1" si="2"/>
        <v>-818.69999999999993</v>
      </c>
      <c r="N61" s="10">
        <f t="shared" ca="1" si="3"/>
        <v>-82.463738920225623</v>
      </c>
      <c r="O61" s="7">
        <f ca="1">IFERROR(__xludf.DUMMYFUNCTION("GOOGLEFINANCE(""NSE:""&amp;D61,""pe"")"),5.66)</f>
        <v>5.66</v>
      </c>
      <c r="P61" s="7">
        <f ca="1">IFERROR(__xludf.DUMMYFUNCTION("GOOGLEFINANCE(""NSE:""&amp;D61,""EPS"")"),30.76)</f>
        <v>30.76</v>
      </c>
      <c r="Q61" s="7">
        <v>13.5</v>
      </c>
      <c r="R61" s="7" t="str">
        <f ca="1">IFERROR(__xludf.DUMMYFUNCTION("IMPORTXML(E61,""/html/body/main/div[3]/div[3]/div[2]/ul/li[7]/span[2]/span"")"),"Loading...")</f>
        <v>Loading...</v>
      </c>
      <c r="S61" s="7" t="str">
        <f ca="1">IFERROR(__xludf.DUMMYFUNCTION("IMPORTXML(E61,""/html/body/main/div[3]/div[3]/div[2]/ul/li[8]/span[2]/span"")"),"Loading...")</f>
        <v>Loading...</v>
      </c>
      <c r="T61" s="4">
        <v>34.6</v>
      </c>
      <c r="U61" s="4">
        <v>22.7</v>
      </c>
      <c r="V61" s="4">
        <v>2.6</v>
      </c>
      <c r="W61" s="4">
        <v>5.7</v>
      </c>
      <c r="X61" s="4">
        <v>519.92999999999995</v>
      </c>
      <c r="Y61" s="7">
        <f t="shared" ca="1" si="4"/>
        <v>-345.82999999999993</v>
      </c>
    </row>
    <row r="62" spans="1:25" ht="15" x14ac:dyDescent="0.25">
      <c r="A62" s="4">
        <v>1721</v>
      </c>
      <c r="C62" s="12" t="s">
        <v>669</v>
      </c>
      <c r="D62" s="12" t="s">
        <v>670</v>
      </c>
      <c r="E62" s="5" t="str">
        <f t="shared" si="0"/>
        <v>https://www.screener.in/company/STARPAPER/consolidated/</v>
      </c>
      <c r="F62" s="4">
        <v>443059</v>
      </c>
      <c r="G62" s="4">
        <v>3832241897</v>
      </c>
      <c r="H62" s="6">
        <f t="shared" ca="1" si="1"/>
        <v>67409.134968230006</v>
      </c>
      <c r="I62" s="7" t="str">
        <f ca="1">IFERROR(__xludf.DUMMYFUNCTION("IMPORTXML(E62,""/html/body/main/div[3]/div[3]/div[2]/ul/li[5]/span[2]/span"")"),"Loading...")</f>
        <v>Loading...</v>
      </c>
      <c r="J62" s="7">
        <f ca="1">IFERROR(__xludf.DUMMYFUNCTION("GOOGLEFINANCE(""NSE:""&amp;D62,""marketcap"")"),2744572000)</f>
        <v>2744572000</v>
      </c>
      <c r="K62" s="7">
        <v>992.8</v>
      </c>
      <c r="L62" s="8">
        <f ca="1">IFERROR(__xludf.DUMMYFUNCTION("GOOGLEFINANCE(""NSE:""&amp;D62,""price"")"),175.9)</f>
        <v>175.9</v>
      </c>
      <c r="M62" s="9">
        <f t="shared" ca="1" si="2"/>
        <v>-816.9</v>
      </c>
      <c r="N62" s="10">
        <f t="shared" ca="1" si="3"/>
        <v>-82.282433521353752</v>
      </c>
      <c r="O62" s="7">
        <f ca="1">IFERROR(__xludf.DUMMYFUNCTION("GOOGLEFINANCE(""NSE:""&amp;D62,""pe"")"),6.86)</f>
        <v>6.86</v>
      </c>
      <c r="P62" s="7">
        <f ca="1">IFERROR(__xludf.DUMMYFUNCTION("GOOGLEFINANCE(""NSE:""&amp;D62,""EPS"")"),25.66)</f>
        <v>25.66</v>
      </c>
      <c r="Q62" s="7">
        <v>13.5</v>
      </c>
      <c r="R62" s="7" t="str">
        <f ca="1">IFERROR(__xludf.DUMMYFUNCTION("IMPORTXML(E62,""/html/body/main/div[3]/div[3]/div[2]/ul/li[7]/span[2]/span"")"),"Loading...")</f>
        <v>Loading...</v>
      </c>
      <c r="S62" s="7" t="str">
        <f ca="1">IFERROR(__xludf.DUMMYFUNCTION("IMPORTXML(E62,""/html/body/main/div[3]/div[3]/div[2]/ul/li[8]/span[2]/span"")"),"Loading...")</f>
        <v>Loading...</v>
      </c>
      <c r="T62" s="4">
        <v>34.6</v>
      </c>
      <c r="U62" s="4">
        <v>22.7</v>
      </c>
      <c r="V62" s="4">
        <v>2.6</v>
      </c>
      <c r="W62" s="4">
        <v>5.7</v>
      </c>
      <c r="X62" s="4">
        <v>519.92999999999995</v>
      </c>
      <c r="Y62" s="7">
        <f t="shared" ca="1" si="4"/>
        <v>-344.03</v>
      </c>
    </row>
    <row r="63" spans="1:25" ht="15" x14ac:dyDescent="0.25">
      <c r="A63" s="4">
        <v>312</v>
      </c>
      <c r="C63" s="12" t="s">
        <v>671</v>
      </c>
      <c r="D63" s="12" t="s">
        <v>672</v>
      </c>
      <c r="E63" s="5" t="str">
        <f t="shared" si="0"/>
        <v>https://www.screener.in/company/KNRCON/consolidated/</v>
      </c>
      <c r="F63" s="4">
        <v>443059</v>
      </c>
      <c r="G63" s="4">
        <v>3832241897</v>
      </c>
      <c r="H63" s="6">
        <f t="shared" ca="1" si="1"/>
        <v>76449.393603253004</v>
      </c>
      <c r="I63" s="7" t="str">
        <f ca="1">IFERROR(__xludf.DUMMYFUNCTION("IMPORTXML(E63,""/html/body/main/div[3]/div[3]/div[2]/ul/li[5]/span[2]/span"")"),"Loading...")</f>
        <v>Loading...</v>
      </c>
      <c r="J63" s="7">
        <f ca="1">IFERROR(__xludf.DUMMYFUNCTION("GOOGLEFINANCE(""NSE:""&amp;D63,""marketcap"")"),56103471949)</f>
        <v>56103471949</v>
      </c>
      <c r="K63" s="7">
        <v>992.8</v>
      </c>
      <c r="L63" s="8">
        <f ca="1">IFERROR(__xludf.DUMMYFUNCTION("GOOGLEFINANCE(""NSE:""&amp;D63,""price"")"),199.49)</f>
        <v>199.49</v>
      </c>
      <c r="M63" s="9">
        <f t="shared" ca="1" si="2"/>
        <v>-793.31</v>
      </c>
      <c r="N63" s="10">
        <f t="shared" ca="1" si="3"/>
        <v>-79.906325543916196</v>
      </c>
      <c r="O63" s="7">
        <f ca="1">IFERROR(__xludf.DUMMYFUNCTION("GOOGLEFINANCE(""NSE:""&amp;D63,""pe"")"),5.89)</f>
        <v>5.89</v>
      </c>
      <c r="P63" s="7">
        <f ca="1">IFERROR(__xludf.DUMMYFUNCTION("GOOGLEFINANCE(""NSE:""&amp;D63,""EPS"")"),33.88)</f>
        <v>33.880000000000003</v>
      </c>
      <c r="Q63" s="7">
        <v>13.5</v>
      </c>
      <c r="R63" s="7" t="str">
        <f ca="1">IFERROR(__xludf.DUMMYFUNCTION("IMPORTXML(E63,""/html/body/main/div[3]/div[3]/div[2]/ul/li[7]/span[2]/span"")"),"Loading...")</f>
        <v>Loading...</v>
      </c>
      <c r="S63" s="7" t="str">
        <f ca="1">IFERROR(__xludf.DUMMYFUNCTION("IMPORTXML(E63,""/html/body/main/div[3]/div[3]/div[2]/ul/li[8]/span[2]/span"")"),"Loading...")</f>
        <v>Loading...</v>
      </c>
      <c r="T63" s="4">
        <v>34.6</v>
      </c>
      <c r="U63" s="4">
        <v>22.7</v>
      </c>
      <c r="V63" s="4">
        <v>2.6</v>
      </c>
      <c r="W63" s="4">
        <v>5.7</v>
      </c>
      <c r="X63" s="4">
        <v>519.92999999999995</v>
      </c>
      <c r="Y63" s="7">
        <f t="shared" ca="1" si="4"/>
        <v>-320.43999999999994</v>
      </c>
    </row>
    <row r="64" spans="1:25" ht="15" x14ac:dyDescent="0.25">
      <c r="A64" s="4">
        <v>1867</v>
      </c>
      <c r="C64" s="12" t="s">
        <v>673</v>
      </c>
      <c r="D64" s="12" t="s">
        <v>674</v>
      </c>
      <c r="E64" s="5" t="str">
        <f t="shared" si="0"/>
        <v>https://www.screener.in/company/OMAXAUTO/consolidated/</v>
      </c>
      <c r="F64" s="4">
        <v>443059</v>
      </c>
      <c r="G64" s="4">
        <v>3832241897</v>
      </c>
      <c r="H64" s="6">
        <f t="shared" ca="1" si="1"/>
        <v>55567.507506499998</v>
      </c>
      <c r="I64" s="7" t="str">
        <f ca="1">IFERROR(__xludf.DUMMYFUNCTION("IMPORTXML(E64,""/html/body/main/div[3]/div[3]/div[2]/ul/li[5]/span[2]/span"")"),"Loading...")</f>
        <v>Loading...</v>
      </c>
      <c r="J64" s="7">
        <f ca="1">IFERROR(__xludf.DUMMYFUNCTION("GOOGLEFINANCE(""NSE:""&amp;D64,""marketcap"")"),3090078180)</f>
        <v>3090078180</v>
      </c>
      <c r="K64" s="7">
        <v>992.8</v>
      </c>
      <c r="L64" s="8">
        <f ca="1">IFERROR(__xludf.DUMMYFUNCTION("GOOGLEFINANCE(""NSE:""&amp;D64,""price"")"),145)</f>
        <v>145</v>
      </c>
      <c r="M64" s="9">
        <f t="shared" ca="1" si="2"/>
        <v>-847.8</v>
      </c>
      <c r="N64" s="10">
        <f t="shared" ca="1" si="3"/>
        <v>-85.394842868654308</v>
      </c>
      <c r="O64" s="7">
        <f ca="1">IFERROR(__xludf.DUMMYFUNCTION("GOOGLEFINANCE(""NSE:""&amp;D64,""pe"")"),11.9)</f>
        <v>11.9</v>
      </c>
      <c r="P64" s="7">
        <f ca="1">IFERROR(__xludf.DUMMYFUNCTION("GOOGLEFINANCE(""NSE:""&amp;D64,""EPS"")"),12.18)</f>
        <v>12.18</v>
      </c>
      <c r="Q64" s="7">
        <v>13.5</v>
      </c>
      <c r="R64" s="7" t="str">
        <f ca="1">IFERROR(__xludf.DUMMYFUNCTION("IMPORTXML(E64,""/html/body/main/div[3]/div[3]/div[2]/ul/li[7]/span[2]/span"")"),"Loading...")</f>
        <v>Loading...</v>
      </c>
      <c r="S64" s="7" t="str">
        <f ca="1">IFERROR(__xludf.DUMMYFUNCTION("IMPORTXML(E64,""/html/body/main/div[3]/div[3]/div[2]/ul/li[8]/span[2]/span"")"),"Loading...")</f>
        <v>Loading...</v>
      </c>
      <c r="T64" s="4">
        <v>34.6</v>
      </c>
      <c r="U64" s="4">
        <v>22.7</v>
      </c>
      <c r="V64" s="4">
        <v>2.6</v>
      </c>
      <c r="W64" s="4">
        <v>5.7</v>
      </c>
      <c r="X64" s="4">
        <v>519.92999999999995</v>
      </c>
      <c r="Y64" s="7">
        <f t="shared" ca="1" si="4"/>
        <v>-374.92999999999995</v>
      </c>
    </row>
    <row r="65" spans="1:25" ht="15" x14ac:dyDescent="0.25">
      <c r="A65" s="4">
        <v>564</v>
      </c>
      <c r="C65" s="12" t="s">
        <v>675</v>
      </c>
      <c r="D65" s="12" t="s">
        <v>676</v>
      </c>
      <c r="E65" s="5" t="str">
        <f t="shared" si="0"/>
        <v>https://www.screener.in/company/BOMDYEING/consolidated/</v>
      </c>
      <c r="F65" s="4">
        <v>443059</v>
      </c>
      <c r="G65" s="4">
        <v>3832241897</v>
      </c>
      <c r="H65" s="6">
        <f t="shared" ca="1" si="1"/>
        <v>67926.487624325004</v>
      </c>
      <c r="I65" s="7" t="str">
        <f ca="1">IFERROR(__xludf.DUMMYFUNCTION("IMPORTXML(E65,""/html/body/main/div[3]/div[3]/div[2]/ul/li[5]/span[2]/span"")"),"Loading...")</f>
        <v>Loading...</v>
      </c>
      <c r="J65" s="7">
        <f ca="1">IFERROR(__xludf.DUMMYFUNCTION("GOOGLEFINANCE(""NSE:""&amp;D65,""marketcap"")"),36604180000)</f>
        <v>36604180000</v>
      </c>
      <c r="K65" s="7">
        <v>992.8</v>
      </c>
      <c r="L65" s="8">
        <f ca="1">IFERROR(__xludf.DUMMYFUNCTION("GOOGLEFINANCE(""NSE:""&amp;D65,""price"")"),177.25)</f>
        <v>177.25</v>
      </c>
      <c r="M65" s="9">
        <f t="shared" ca="1" si="2"/>
        <v>-815.55</v>
      </c>
      <c r="N65" s="10">
        <f t="shared" ca="1" si="3"/>
        <v>-82.146454472199835</v>
      </c>
      <c r="O65" s="7">
        <f ca="1">IFERROR(__xludf.DUMMYFUNCTION("GOOGLEFINANCE(""NSE:""&amp;D65,""pe"")"),7.5)</f>
        <v>7.5</v>
      </c>
      <c r="P65" s="7">
        <f ca="1">IFERROR(__xludf.DUMMYFUNCTION("GOOGLEFINANCE(""NSE:""&amp;D65,""EPS"")"),23.65)</f>
        <v>23.65</v>
      </c>
      <c r="Q65" s="7">
        <v>13.5</v>
      </c>
      <c r="R65" s="7" t="str">
        <f ca="1">IFERROR(__xludf.DUMMYFUNCTION("IMPORTXML(E65,""/html/body/main/div[3]/div[3]/div[2]/ul/li[7]/span[2]/span"")"),"Loading...")</f>
        <v>Loading...</v>
      </c>
      <c r="S65" s="7" t="str">
        <f ca="1">IFERROR(__xludf.DUMMYFUNCTION("IMPORTXML(E65,""/html/body/main/div[3]/div[3]/div[2]/ul/li[8]/span[2]/span"")"),"Loading...")</f>
        <v>Loading...</v>
      </c>
      <c r="T65" s="4">
        <v>34.6</v>
      </c>
      <c r="U65" s="4">
        <v>22.7</v>
      </c>
      <c r="V65" s="4">
        <v>2.6</v>
      </c>
      <c r="W65" s="4">
        <v>5.7</v>
      </c>
      <c r="X65" s="4">
        <v>519.92999999999995</v>
      </c>
      <c r="Y65" s="7">
        <f t="shared" ca="1" si="4"/>
        <v>-342.67999999999995</v>
      </c>
    </row>
    <row r="66" spans="1:25" ht="15" x14ac:dyDescent="0.25">
      <c r="A66" s="4">
        <v>1489</v>
      </c>
      <c r="C66" s="12" t="s">
        <v>677</v>
      </c>
      <c r="D66" s="12" t="s">
        <v>678</v>
      </c>
      <c r="E66" s="5" t="str">
        <f t="shared" si="0"/>
        <v>https://www.screener.in/company/INTLCONV/consolidated/</v>
      </c>
      <c r="F66" s="4">
        <v>443059</v>
      </c>
      <c r="G66" s="4">
        <v>3832241897</v>
      </c>
      <c r="H66" s="6">
        <f t="shared" ca="1" si="1"/>
        <v>36942.811887080003</v>
      </c>
      <c r="I66" s="7" t="str">
        <f ca="1">IFERROR(__xludf.DUMMYFUNCTION("IMPORTXML(E66,""/html/body/main/div[3]/div[3]/div[2]/ul/li[5]/span[2]/span"")"),"Loading...")</f>
        <v>Loading...</v>
      </c>
      <c r="J66" s="7">
        <f ca="1">IFERROR(__xludf.DUMMYFUNCTION("GOOGLEFINANCE(""NSE:""&amp;D66,""marketcap"")"),6109734732)</f>
        <v>6109734732</v>
      </c>
      <c r="K66" s="7">
        <v>992.8</v>
      </c>
      <c r="L66" s="8">
        <f ca="1">IFERROR(__xludf.DUMMYFUNCTION("GOOGLEFINANCE(""NSE:""&amp;D66,""price"")"),96.4)</f>
        <v>96.4</v>
      </c>
      <c r="M66" s="9">
        <f t="shared" ca="1" si="2"/>
        <v>-896.4</v>
      </c>
      <c r="N66" s="10">
        <f t="shared" ca="1" si="3"/>
        <v>-90.290088638195016</v>
      </c>
      <c r="O66" s="7">
        <f ca="1">IFERROR(__xludf.DUMMYFUNCTION("GOOGLEFINANCE(""NSE:""&amp;D66,""pe"")"),5.46)</f>
        <v>5.46</v>
      </c>
      <c r="P66" s="7">
        <f ca="1">IFERROR(__xludf.DUMMYFUNCTION("GOOGLEFINANCE(""NSE:""&amp;D66,""EPS"")"),17.67)</f>
        <v>17.670000000000002</v>
      </c>
      <c r="Q66" s="7">
        <v>13.5</v>
      </c>
      <c r="R66" s="7" t="str">
        <f ca="1">IFERROR(__xludf.DUMMYFUNCTION("IMPORTXML(E66,""/html/body/main/div[3]/div[3]/div[2]/ul/li[7]/span[2]/span"")"),"Loading...")</f>
        <v>Loading...</v>
      </c>
      <c r="S66" s="7" t="str">
        <f ca="1">IFERROR(__xludf.DUMMYFUNCTION("IMPORTXML(E66,""/html/body/main/div[3]/div[3]/div[2]/ul/li[8]/span[2]/span"")"),"Loading...")</f>
        <v>Loading...</v>
      </c>
      <c r="T66" s="4">
        <v>34.6</v>
      </c>
      <c r="U66" s="4">
        <v>22.7</v>
      </c>
      <c r="V66" s="4">
        <v>2.6</v>
      </c>
      <c r="W66" s="4">
        <v>5.7</v>
      </c>
      <c r="X66" s="4">
        <v>519.92999999999995</v>
      </c>
      <c r="Y66" s="7">
        <f t="shared" ca="1" si="4"/>
        <v>-423.53</v>
      </c>
    </row>
    <row r="67" spans="1:25" ht="15" x14ac:dyDescent="0.25">
      <c r="A67" s="4">
        <v>1718</v>
      </c>
      <c r="C67" s="12" t="s">
        <v>679</v>
      </c>
      <c r="D67" s="12" t="s">
        <v>680</v>
      </c>
      <c r="E67" s="5" t="str">
        <f t="shared" si="0"/>
        <v>https://www.screener.in/company/SHREYANIND/consolidated/</v>
      </c>
      <c r="F67" s="4">
        <v>443059</v>
      </c>
      <c r="G67" s="4">
        <v>3832241897</v>
      </c>
      <c r="H67" s="6">
        <f t="shared" ca="1" si="1"/>
        <v>90824.132958899994</v>
      </c>
      <c r="I67" s="7" t="str">
        <f ca="1">IFERROR(__xludf.DUMMYFUNCTION("IMPORTXML(E67,""/html/body/main/div[3]/div[3]/div[2]/ul/li[5]/span[2]/span"")"),"Loading...")</f>
        <v>Loading...</v>
      </c>
      <c r="J67" s="7">
        <f ca="1">IFERROR(__xludf.DUMMYFUNCTION("GOOGLEFINANCE(""NSE:""&amp;D67,""marketcap"")"),3284874510)</f>
        <v>3284874510</v>
      </c>
      <c r="K67" s="7">
        <v>992.8</v>
      </c>
      <c r="L67" s="8">
        <f ca="1">IFERROR(__xludf.DUMMYFUNCTION("GOOGLEFINANCE(""NSE:""&amp;D67,""price"")"),237)</f>
        <v>237</v>
      </c>
      <c r="M67" s="9">
        <f t="shared" ca="1" si="2"/>
        <v>-755.8</v>
      </c>
      <c r="N67" s="10">
        <f t="shared" ca="1" si="3"/>
        <v>-76.128122481869454</v>
      </c>
      <c r="O67" s="7">
        <f ca="1">IFERROR(__xludf.DUMMYFUNCTION("GOOGLEFINANCE(""NSE:""&amp;D67,""pe"")"),6.08)</f>
        <v>6.08</v>
      </c>
      <c r="P67" s="7">
        <f ca="1">IFERROR(__xludf.DUMMYFUNCTION("GOOGLEFINANCE(""NSE:""&amp;D67,""EPS"")"),38.98)</f>
        <v>38.979999999999997</v>
      </c>
      <c r="Q67" s="7">
        <v>13.5</v>
      </c>
      <c r="R67" s="7" t="str">
        <f ca="1">IFERROR(__xludf.DUMMYFUNCTION("IMPORTXML(E67,""/html/body/main/div[3]/div[3]/div[2]/ul/li[7]/span[2]/span"")"),"Loading...")</f>
        <v>Loading...</v>
      </c>
      <c r="S67" s="7" t="str">
        <f ca="1">IFERROR(__xludf.DUMMYFUNCTION("IMPORTXML(E67,""/html/body/main/div[3]/div[3]/div[2]/ul/li[8]/span[2]/span"")"),"Loading...")</f>
        <v>Loading...</v>
      </c>
      <c r="T67" s="4">
        <v>34.6</v>
      </c>
      <c r="U67" s="4">
        <v>22.7</v>
      </c>
      <c r="V67" s="4">
        <v>2.6</v>
      </c>
      <c r="W67" s="4">
        <v>5.7</v>
      </c>
      <c r="X67" s="4">
        <v>519.92999999999995</v>
      </c>
      <c r="Y67" s="7">
        <f t="shared" ca="1" si="4"/>
        <v>-282.92999999999995</v>
      </c>
    </row>
    <row r="68" spans="1:25" ht="15" x14ac:dyDescent="0.25">
      <c r="A68" s="4">
        <v>1392</v>
      </c>
      <c r="C68" s="12" t="s">
        <v>681</v>
      </c>
      <c r="D68" s="12" t="s">
        <v>682</v>
      </c>
      <c r="E68" s="5" t="str">
        <f t="shared" si="0"/>
        <v>https://www.screener.in/company/CONSOFINVT/consolidated/</v>
      </c>
      <c r="F68" s="4">
        <v>443059</v>
      </c>
      <c r="G68" s="4">
        <v>3832241897</v>
      </c>
      <c r="H68" s="6">
        <f t="shared" ca="1" si="1"/>
        <v>75207.747228624998</v>
      </c>
      <c r="I68" s="7" t="str">
        <f ca="1">IFERROR(__xludf.DUMMYFUNCTION("IMPORTXML(E68,""/html/body/main/div[3]/div[3]/div[2]/ul/li[5]/span[2]/span"")"),"Loading...")</f>
        <v>Loading...</v>
      </c>
      <c r="J68" s="7">
        <f ca="1">IFERROR(__xludf.DUMMYFUNCTION("GOOGLEFINANCE(""NSE:""&amp;D68,""marketcap"")"),6298792000)</f>
        <v>6298792000</v>
      </c>
      <c r="K68" s="7">
        <v>992.8</v>
      </c>
      <c r="L68" s="8">
        <f ca="1">IFERROR(__xludf.DUMMYFUNCTION("GOOGLEFINANCE(""NSE:""&amp;D68,""price"")"),196.25)</f>
        <v>196.25</v>
      </c>
      <c r="M68" s="9">
        <f t="shared" ca="1" si="2"/>
        <v>-796.55</v>
      </c>
      <c r="N68" s="10">
        <f t="shared" ca="1" si="3"/>
        <v>-80.232675261885575</v>
      </c>
      <c r="O68" s="7">
        <f ca="1">IFERROR(__xludf.DUMMYFUNCTION("GOOGLEFINANCE(""NSE:""&amp;D68,""pe"")"),6.47)</f>
        <v>6.47</v>
      </c>
      <c r="P68" s="7">
        <f ca="1">IFERROR(__xludf.DUMMYFUNCTION("GOOGLEFINANCE(""NSE:""&amp;D68,""EPS"")"),30.31)</f>
        <v>30.31</v>
      </c>
      <c r="Q68" s="7">
        <v>13.5</v>
      </c>
      <c r="R68" s="7" t="str">
        <f ca="1">IFERROR(__xludf.DUMMYFUNCTION("IMPORTXML(E68,""/html/body/main/div[3]/div[3]/div[2]/ul/li[7]/span[2]/span"")"),"Loading...")</f>
        <v>Loading...</v>
      </c>
      <c r="S68" s="7" t="str">
        <f ca="1">IFERROR(__xludf.DUMMYFUNCTION("IMPORTXML(E68,""/html/body/main/div[3]/div[3]/div[2]/ul/li[8]/span[2]/span"")"),"Loading...")</f>
        <v>Loading...</v>
      </c>
      <c r="T68" s="4">
        <v>34.6</v>
      </c>
      <c r="U68" s="4">
        <v>22.7</v>
      </c>
      <c r="V68" s="4">
        <v>2.6</v>
      </c>
      <c r="W68" s="4">
        <v>5.7</v>
      </c>
      <c r="X68" s="4">
        <v>519.92999999999995</v>
      </c>
      <c r="Y68" s="7">
        <f t="shared" ca="1" si="4"/>
        <v>-323.67999999999995</v>
      </c>
    </row>
    <row r="69" spans="1:25" ht="15" x14ac:dyDescent="0.25">
      <c r="A69" s="4">
        <v>888</v>
      </c>
      <c r="C69" s="12" t="s">
        <v>683</v>
      </c>
      <c r="D69" s="12" t="s">
        <v>684</v>
      </c>
      <c r="E69" s="5" t="str">
        <f t="shared" si="0"/>
        <v>https://www.screener.in/company/SATIN/consolidated/</v>
      </c>
      <c r="F69" s="4">
        <v>443059</v>
      </c>
      <c r="G69" s="4">
        <v>3832241897</v>
      </c>
      <c r="H69" s="6">
        <f t="shared" ca="1" si="1"/>
        <v>56721.012317496999</v>
      </c>
      <c r="I69" s="7" t="str">
        <f ca="1">IFERROR(__xludf.DUMMYFUNCTION("IMPORTXML(E69,""/html/body/main/div[3]/div[3]/div[2]/ul/li[5]/span[2]/span"")"),"Loading...")</f>
        <v>Loading...</v>
      </c>
      <c r="J69" s="7">
        <f ca="1">IFERROR(__xludf.DUMMYFUNCTION("GOOGLEFINANCE(""NSE:""&amp;D69,""marketcap"")"),16340781664)</f>
        <v>16340781664</v>
      </c>
      <c r="K69" s="7">
        <v>992.8</v>
      </c>
      <c r="L69" s="8">
        <f ca="1">IFERROR(__xludf.DUMMYFUNCTION("GOOGLEFINANCE(""NSE:""&amp;D69,""price"")"),148.01)</f>
        <v>148.01</v>
      </c>
      <c r="M69" s="9">
        <f t="shared" ca="1" si="2"/>
        <v>-844.79</v>
      </c>
      <c r="N69" s="10">
        <f t="shared" ca="1" si="3"/>
        <v>-85.091659951651906</v>
      </c>
      <c r="O69" s="7">
        <f ca="1">IFERROR(__xludf.DUMMYFUNCTION("GOOGLEFINANCE(""NSE:""&amp;D69,""pe"")"),12.93)</f>
        <v>12.93</v>
      </c>
      <c r="P69" s="7">
        <f ca="1">IFERROR(__xludf.DUMMYFUNCTION("GOOGLEFINANCE(""NSE:""&amp;D69,""EPS"")"),11.45)</f>
        <v>11.45</v>
      </c>
      <c r="Q69" s="7">
        <v>13.5</v>
      </c>
      <c r="R69" s="7" t="str">
        <f ca="1">IFERROR(__xludf.DUMMYFUNCTION("IMPORTXML(E69,""/html/body/main/div[3]/div[3]/div[2]/ul/li[7]/span[2]/span"")"),"Loading...")</f>
        <v>Loading...</v>
      </c>
      <c r="S69" s="7" t="str">
        <f ca="1">IFERROR(__xludf.DUMMYFUNCTION("IMPORTXML(E69,""/html/body/main/div[3]/div[3]/div[2]/ul/li[8]/span[2]/span"")"),"Loading...")</f>
        <v>Loading...</v>
      </c>
      <c r="T69" s="4">
        <v>34.6</v>
      </c>
      <c r="U69" s="4">
        <v>22.7</v>
      </c>
      <c r="V69" s="4">
        <v>2.6</v>
      </c>
      <c r="W69" s="4">
        <v>5.7</v>
      </c>
      <c r="X69" s="4">
        <v>519.92999999999995</v>
      </c>
      <c r="Y69" s="7">
        <f t="shared" ca="1" si="4"/>
        <v>-371.91999999999996</v>
      </c>
    </row>
    <row r="70" spans="1:25" ht="15" x14ac:dyDescent="0.25">
      <c r="A70" s="4">
        <v>784</v>
      </c>
      <c r="C70" s="12" t="s">
        <v>685</v>
      </c>
      <c r="D70" s="12" t="s">
        <v>686</v>
      </c>
      <c r="E70" s="5" t="str">
        <f t="shared" si="0"/>
        <v>https://www.screener.in/company/DOLATALGO/consolidated/</v>
      </c>
      <c r="F70" s="4">
        <v>443059</v>
      </c>
      <c r="G70" s="4">
        <v>3832241897</v>
      </c>
      <c r="H70" s="6">
        <f t="shared" ca="1" si="1"/>
        <v>31236.603702447002</v>
      </c>
      <c r="I70" s="7" t="str">
        <f ca="1">IFERROR(__xludf.DUMMYFUNCTION("IMPORTXML(E70,""/html/body/main/div[3]/div[3]/div[2]/ul/li[5]/span[2]/span"")"),"Loading...")</f>
        <v>Loading...</v>
      </c>
      <c r="J70" s="7">
        <f ca="1">IFERROR(__xludf.DUMMYFUNCTION("GOOGLEFINANCE(""NSE:""&amp;D70,""marketcap"")"),14345760375)</f>
        <v>14345760375</v>
      </c>
      <c r="K70" s="7">
        <v>992.8</v>
      </c>
      <c r="L70" s="8">
        <f ca="1">IFERROR(__xludf.DUMMYFUNCTION("GOOGLEFINANCE(""NSE:""&amp;D70,""price"")"),81.51)</f>
        <v>81.510000000000005</v>
      </c>
      <c r="M70" s="9">
        <f t="shared" ca="1" si="2"/>
        <v>-911.29</v>
      </c>
      <c r="N70" s="10">
        <f t="shared" ca="1" si="3"/>
        <v>-91.789887187751816</v>
      </c>
      <c r="O70" s="7">
        <f ca="1">IFERROR(__xludf.DUMMYFUNCTION("GOOGLEFINANCE(""NSE:""&amp;D70,""pe"")"),7.87)</f>
        <v>7.87</v>
      </c>
      <c r="P70" s="7">
        <f ca="1">IFERROR(__xludf.DUMMYFUNCTION("GOOGLEFINANCE(""NSE:""&amp;D70,""EPS"")"),10.36)</f>
        <v>10.36</v>
      </c>
      <c r="Q70" s="7">
        <v>13.5</v>
      </c>
      <c r="R70" s="7" t="str">
        <f ca="1">IFERROR(__xludf.DUMMYFUNCTION("IMPORTXML(E70,""/html/body/main/div[3]/div[3]/div[2]/ul/li[7]/span[2]/span"")"),"Loading...")</f>
        <v>Loading...</v>
      </c>
      <c r="S70" s="7" t="str">
        <f ca="1">IFERROR(__xludf.DUMMYFUNCTION("IMPORTXML(E70,""/html/body/main/div[3]/div[3]/div[2]/ul/li[8]/span[2]/span"")"),"Loading...")</f>
        <v>Loading...</v>
      </c>
      <c r="T70" s="4">
        <v>34.6</v>
      </c>
      <c r="U70" s="4">
        <v>22.7</v>
      </c>
      <c r="V70" s="4">
        <v>2.6</v>
      </c>
      <c r="W70" s="4">
        <v>5.7</v>
      </c>
      <c r="X70" s="4">
        <v>519.92999999999995</v>
      </c>
      <c r="Y70" s="7">
        <f t="shared" ca="1" si="4"/>
        <v>-438.41999999999996</v>
      </c>
    </row>
    <row r="71" spans="1:25" ht="15" x14ac:dyDescent="0.25">
      <c r="A71" s="4">
        <v>404</v>
      </c>
      <c r="C71" s="12" t="s">
        <v>687</v>
      </c>
      <c r="D71" s="12" t="s">
        <v>688</v>
      </c>
      <c r="E71" s="5" t="str">
        <f t="shared" si="0"/>
        <v>https://www.screener.in/company/TMB/consolidated/</v>
      </c>
      <c r="F71" s="4">
        <v>443059</v>
      </c>
      <c r="G71" s="4">
        <v>3832241897</v>
      </c>
      <c r="H71" s="6">
        <f t="shared" ca="1" si="1"/>
        <v>162678.66852765001</v>
      </c>
      <c r="I71" s="7" t="str">
        <f ca="1">IFERROR(__xludf.DUMMYFUNCTION("IMPORTXML(E71,""/html/body/main/div[3]/div[3]/div[2]/ul/li[5]/span[2]/span"")"),"Loading...")</f>
        <v>Loading...</v>
      </c>
      <c r="J71" s="7">
        <f ca="1">IFERROR(__xludf.DUMMYFUNCTION("GOOGLEFINANCE(""NSE:""&amp;D71,""marketcap"")"),67220169300)</f>
        <v>67220169300</v>
      </c>
      <c r="K71" s="7">
        <v>992.8</v>
      </c>
      <c r="L71" s="8">
        <f ca="1">IFERROR(__xludf.DUMMYFUNCTION("GOOGLEFINANCE(""NSE:""&amp;D71,""price"")"),424.5)</f>
        <v>424.5</v>
      </c>
      <c r="M71" s="9">
        <f t="shared" ca="1" si="2"/>
        <v>-568.29999999999995</v>
      </c>
      <c r="N71" s="10">
        <f t="shared" ca="1" si="3"/>
        <v>-57.242143432715551</v>
      </c>
      <c r="O71" s="7">
        <f ca="1">IFERROR(__xludf.DUMMYFUNCTION("GOOGLEFINANCE(""NSE:""&amp;D71,""pe"")"),5.6)</f>
        <v>5.6</v>
      </c>
      <c r="P71" s="7">
        <f ca="1">IFERROR(__xludf.DUMMYFUNCTION("GOOGLEFINANCE(""NSE:""&amp;D71,""EPS"")"),75.79)</f>
        <v>75.790000000000006</v>
      </c>
      <c r="Q71" s="7">
        <v>13.5</v>
      </c>
      <c r="R71" s="7" t="str">
        <f ca="1">IFERROR(__xludf.DUMMYFUNCTION("IMPORTXML(E71,""/html/body/main/div[3]/div[3]/div[2]/ul/li[7]/span[2]/span"")"),"Loading...")</f>
        <v>Loading...</v>
      </c>
      <c r="S71" s="7" t="str">
        <f ca="1">IFERROR(__xludf.DUMMYFUNCTION("IMPORTXML(E71,""/html/body/main/div[3]/div[3]/div[2]/ul/li[8]/span[2]/span"")"),"Loading...")</f>
        <v>Loading...</v>
      </c>
      <c r="T71" s="4">
        <v>34.6</v>
      </c>
      <c r="U71" s="4">
        <v>22.7</v>
      </c>
      <c r="V71" s="4">
        <v>2.6</v>
      </c>
      <c r="W71" s="4">
        <v>5.7</v>
      </c>
      <c r="X71" s="4">
        <v>519.92999999999995</v>
      </c>
      <c r="Y71" s="7">
        <f t="shared" ca="1" si="4"/>
        <v>-95.42999999999995</v>
      </c>
    </row>
    <row r="72" spans="1:25" ht="15" x14ac:dyDescent="0.25">
      <c r="A72" s="4">
        <v>606</v>
      </c>
      <c r="C72" s="12" t="s">
        <v>689</v>
      </c>
      <c r="D72" s="12" t="s">
        <v>690</v>
      </c>
      <c r="E72" s="5" t="str">
        <f t="shared" si="0"/>
        <v>https://www.screener.in/company/DCBBANK/consolidated/</v>
      </c>
      <c r="F72" s="4">
        <v>443059</v>
      </c>
      <c r="G72" s="4">
        <v>3832241897</v>
      </c>
      <c r="H72" s="6">
        <f t="shared" ca="1" si="1"/>
        <v>47880.030261118001</v>
      </c>
      <c r="I72" s="7" t="str">
        <f ca="1">IFERROR(__xludf.DUMMYFUNCTION("IMPORTXML(E72,""/html/body/main/div[3]/div[3]/div[2]/ul/li[5]/span[2]/span"")"),"Loading...")</f>
        <v>Loading...</v>
      </c>
      <c r="J72" s="7">
        <f ca="1">IFERROR(__xludf.DUMMYFUNCTION("GOOGLEFINANCE(""NSE:""&amp;D72,""marketcap"")"),39375528939)</f>
        <v>39375528939</v>
      </c>
      <c r="K72" s="7">
        <v>992.8</v>
      </c>
      <c r="L72" s="8">
        <f ca="1">IFERROR(__xludf.DUMMYFUNCTION("GOOGLEFINANCE(""NSE:""&amp;D72,""price"")"),124.94)</f>
        <v>124.94</v>
      </c>
      <c r="M72" s="9">
        <f t="shared" ca="1" si="2"/>
        <v>-867.8599999999999</v>
      </c>
      <c r="N72" s="10">
        <f t="shared" ca="1" si="3"/>
        <v>-87.415390813859787</v>
      </c>
      <c r="O72" s="7">
        <f ca="1">IFERROR(__xludf.DUMMYFUNCTION("GOOGLEFINANCE(""NSE:""&amp;D72,""pe"")"),6.16)</f>
        <v>6.16</v>
      </c>
      <c r="P72" s="7">
        <f ca="1">IFERROR(__xludf.DUMMYFUNCTION("GOOGLEFINANCE(""NSE:""&amp;D72,""EPS"")"),20.29)</f>
        <v>20.29</v>
      </c>
      <c r="Q72" s="7">
        <v>13.5</v>
      </c>
      <c r="R72" s="7" t="str">
        <f ca="1">IFERROR(__xludf.DUMMYFUNCTION("IMPORTXML(E72,""/html/body/main/div[3]/div[3]/div[2]/ul/li[7]/span[2]/span"")"),"Loading...")</f>
        <v>Loading...</v>
      </c>
      <c r="S72" s="7" t="str">
        <f ca="1">IFERROR(__xludf.DUMMYFUNCTION("IMPORTXML(E72,""/html/body/main/div[3]/div[3]/div[2]/ul/li[8]/span[2]/span"")"),"Loading...")</f>
        <v>Loading...</v>
      </c>
      <c r="T72" s="4">
        <v>34.6</v>
      </c>
      <c r="U72" s="4">
        <v>22.7</v>
      </c>
      <c r="V72" s="4">
        <v>2.6</v>
      </c>
      <c r="W72" s="4">
        <v>5.7</v>
      </c>
      <c r="X72" s="4">
        <v>519.92999999999995</v>
      </c>
      <c r="Y72" s="7">
        <f t="shared" ca="1" si="4"/>
        <v>-394.98999999999995</v>
      </c>
    </row>
    <row r="73" spans="1:25" ht="15" x14ac:dyDescent="0.25">
      <c r="A73" s="4">
        <v>989</v>
      </c>
      <c r="C73" s="12" t="s">
        <v>691</v>
      </c>
      <c r="D73" s="12" t="s">
        <v>692</v>
      </c>
      <c r="E73" s="5" t="str">
        <f t="shared" si="0"/>
        <v>https://www.screener.in/company/SMCGLOBAL/consolidated/</v>
      </c>
      <c r="F73" s="4">
        <v>443059</v>
      </c>
      <c r="G73" s="4">
        <v>3832241897</v>
      </c>
      <c r="H73" s="6">
        <f t="shared" ca="1" si="1"/>
        <v>53229.839949330002</v>
      </c>
      <c r="I73" s="7" t="str">
        <f ca="1">IFERROR(__xludf.DUMMYFUNCTION("IMPORTXML(E73,""/html/body/main/div[3]/div[3]/div[2]/ul/li[5]/span[2]/span"")"),"Loading...")</f>
        <v>Loading...</v>
      </c>
      <c r="J73" s="7">
        <f ca="1">IFERROR(__xludf.DUMMYFUNCTION("GOOGLEFINANCE(""NSE:""&amp;D73,""marketcap"")"),14542815470)</f>
        <v>14542815470</v>
      </c>
      <c r="K73" s="7">
        <v>992.8</v>
      </c>
      <c r="L73" s="8">
        <f ca="1">IFERROR(__xludf.DUMMYFUNCTION("GOOGLEFINANCE(""NSE:""&amp;D73,""price"")"),138.9)</f>
        <v>138.9</v>
      </c>
      <c r="M73" s="9">
        <f t="shared" ca="1" si="2"/>
        <v>-853.9</v>
      </c>
      <c r="N73" s="10">
        <f t="shared" ca="1" si="3"/>
        <v>-86.00926672038679</v>
      </c>
      <c r="O73" s="7">
        <f ca="1">IFERROR(__xludf.DUMMYFUNCTION("GOOGLEFINANCE(""NSE:""&amp;D73,""pe"")"),11.88)</f>
        <v>11.88</v>
      </c>
      <c r="P73" s="7">
        <f ca="1">IFERROR(__xludf.DUMMYFUNCTION("GOOGLEFINANCE(""NSE:""&amp;D73,""EPS"")"),11.7)</f>
        <v>11.7</v>
      </c>
      <c r="Q73" s="7">
        <v>13.5</v>
      </c>
      <c r="R73" s="7" t="str">
        <f ca="1">IFERROR(__xludf.DUMMYFUNCTION("IMPORTXML(E73,""/html/body/main/div[3]/div[3]/div[2]/ul/li[7]/span[2]/span"")"),"Loading...")</f>
        <v>Loading...</v>
      </c>
      <c r="S73" s="7" t="str">
        <f ca="1">IFERROR(__xludf.DUMMYFUNCTION("IMPORTXML(E73,""/html/body/main/div[3]/div[3]/div[2]/ul/li[8]/span[2]/span"")"),"Loading...")</f>
        <v>Loading...</v>
      </c>
      <c r="T73" s="4">
        <v>34.6</v>
      </c>
      <c r="U73" s="4">
        <v>22.7</v>
      </c>
      <c r="V73" s="4">
        <v>2.6</v>
      </c>
      <c r="W73" s="4">
        <v>5.7</v>
      </c>
      <c r="X73" s="4">
        <v>519.92999999999995</v>
      </c>
      <c r="Y73" s="7">
        <f t="shared" ca="1" si="4"/>
        <v>-381.03</v>
      </c>
    </row>
    <row r="74" spans="1:25" ht="15" x14ac:dyDescent="0.25">
      <c r="A74" s="4">
        <v>1070</v>
      </c>
      <c r="C74" s="12" t="s">
        <v>693</v>
      </c>
      <c r="D74" s="12" t="s">
        <v>694</v>
      </c>
      <c r="E74" s="5" t="str">
        <f t="shared" si="0"/>
        <v>https://www.screener.in/company/CAPITALSFB/consolidated/</v>
      </c>
      <c r="F74" s="4">
        <v>443059</v>
      </c>
      <c r="G74" s="4">
        <v>3832241897</v>
      </c>
      <c r="H74" s="6">
        <f t="shared" ca="1" si="1"/>
        <v>115542.09319455001</v>
      </c>
      <c r="I74" s="7" t="str">
        <f ca="1">IFERROR(__xludf.DUMMYFUNCTION("IMPORTXML(E74,""/html/body/main/div[3]/div[3]/div[2]/ul/li[5]/span[2]/span"")"),"Loading...")</f>
        <v>Loading...</v>
      </c>
      <c r="J74" s="7">
        <f ca="1">IFERROR(__xludf.DUMMYFUNCTION("GOOGLEFINANCE(""NSE:""&amp;D74,""marketcap"")"),13714920000)</f>
        <v>13714920000</v>
      </c>
      <c r="K74" s="7">
        <v>992.8</v>
      </c>
      <c r="L74" s="8">
        <f ca="1">IFERROR(__xludf.DUMMYFUNCTION("GOOGLEFINANCE(""NSE:""&amp;D74,""price"")"),301.5)</f>
        <v>301.5</v>
      </c>
      <c r="M74" s="9">
        <f t="shared" ca="1" si="2"/>
        <v>-691.3</v>
      </c>
      <c r="N74" s="10">
        <f t="shared" ca="1" si="3"/>
        <v>-69.631345688960508</v>
      </c>
      <c r="O74" s="7">
        <f ca="1">IFERROR(__xludf.DUMMYFUNCTION("GOOGLEFINANCE(""NSE:""&amp;D74,""pe"")"),10.23)</f>
        <v>10.23</v>
      </c>
      <c r="P74" s="7">
        <f ca="1">IFERROR(__xludf.DUMMYFUNCTION("GOOGLEFINANCE(""NSE:""&amp;D74,""EPS"")"),29.47)</f>
        <v>29.47</v>
      </c>
      <c r="Q74" s="7">
        <v>13.5</v>
      </c>
      <c r="R74" s="7" t="str">
        <f ca="1">IFERROR(__xludf.DUMMYFUNCTION("IMPORTXML(E74,""/html/body/main/div[3]/div[3]/div[2]/ul/li[7]/span[2]/span"")"),"Loading...")</f>
        <v>Loading...</v>
      </c>
      <c r="S74" s="7" t="str">
        <f ca="1">IFERROR(__xludf.DUMMYFUNCTION("IMPORTXML(E74,""/html/body/main/div[3]/div[3]/div[2]/ul/li[8]/span[2]/span"")"),"Loading...")</f>
        <v>Loading...</v>
      </c>
      <c r="T74" s="4">
        <v>34.6</v>
      </c>
      <c r="U74" s="4">
        <v>22.7</v>
      </c>
      <c r="V74" s="4">
        <v>2.6</v>
      </c>
      <c r="W74" s="4">
        <v>5.7</v>
      </c>
      <c r="X74" s="4">
        <v>519.92999999999995</v>
      </c>
      <c r="Y74" s="7">
        <f t="shared" ca="1" si="4"/>
        <v>-218.42999999999995</v>
      </c>
    </row>
    <row r="75" spans="1:25" ht="15" x14ac:dyDescent="0.25">
      <c r="A75" s="4">
        <v>946</v>
      </c>
      <c r="C75" s="12" t="s">
        <v>695</v>
      </c>
      <c r="D75" s="12" t="s">
        <v>696</v>
      </c>
      <c r="E75" s="5" t="str">
        <f t="shared" si="0"/>
        <v>https://www.screener.in/company/SURYODAY/consolidated/</v>
      </c>
      <c r="F75" s="4">
        <v>443059</v>
      </c>
      <c r="G75" s="4">
        <v>3832241897</v>
      </c>
      <c r="H75" s="6">
        <f t="shared" ca="1" si="1"/>
        <v>46772.512352884994</v>
      </c>
      <c r="I75" s="7" t="str">
        <f ca="1">IFERROR(__xludf.DUMMYFUNCTION("IMPORTXML(E75,""/html/body/main/div[3]/div[3]/div[2]/ul/li[5]/span[2]/span"")"),"Loading...")</f>
        <v>Loading...</v>
      </c>
      <c r="J75" s="7">
        <f ca="1">IFERROR(__xludf.DUMMYFUNCTION("GOOGLEFINANCE(""NSE:""&amp;D75,""marketcap"")"),13020275682)</f>
        <v>13020275682</v>
      </c>
      <c r="K75" s="7">
        <v>992.8</v>
      </c>
      <c r="L75" s="8">
        <f ca="1">IFERROR(__xludf.DUMMYFUNCTION("GOOGLEFINANCE(""NSE:""&amp;D75,""price"")"),122.05)</f>
        <v>122.05</v>
      </c>
      <c r="M75" s="9">
        <f t="shared" ca="1" si="2"/>
        <v>-870.75</v>
      </c>
      <c r="N75" s="10">
        <f t="shared" ca="1" si="3"/>
        <v>-87.706486704270759</v>
      </c>
      <c r="O75" s="7">
        <f ca="1">IFERROR(__xludf.DUMMYFUNCTION("GOOGLEFINANCE(""NSE:""&amp;D75,""pe"")"),16.25)</f>
        <v>16.25</v>
      </c>
      <c r="P75" s="7">
        <f ca="1">IFERROR(__xludf.DUMMYFUNCTION("GOOGLEFINANCE(""NSE:""&amp;D75,""EPS"")"),7.51)</f>
        <v>7.51</v>
      </c>
      <c r="Q75" s="7">
        <v>13.5</v>
      </c>
      <c r="R75" s="7" t="str">
        <f ca="1">IFERROR(__xludf.DUMMYFUNCTION("IMPORTXML(E75,""/html/body/main/div[3]/div[3]/div[2]/ul/li[7]/span[2]/span"")"),"Loading...")</f>
        <v>Loading...</v>
      </c>
      <c r="S75" s="7" t="str">
        <f ca="1">IFERROR(__xludf.DUMMYFUNCTION("IMPORTXML(E75,""/html/body/main/div[3]/div[3]/div[2]/ul/li[8]/span[2]/span"")"),"Loading...")</f>
        <v>Loading...</v>
      </c>
      <c r="T75" s="4">
        <v>34.6</v>
      </c>
      <c r="U75" s="4">
        <v>22.7</v>
      </c>
      <c r="V75" s="4">
        <v>2.6</v>
      </c>
      <c r="W75" s="4">
        <v>5.7</v>
      </c>
      <c r="X75" s="4">
        <v>519.92999999999995</v>
      </c>
      <c r="Y75" s="7">
        <f t="shared" ca="1" si="4"/>
        <v>-397.87999999999994</v>
      </c>
    </row>
    <row r="76" spans="1:25" ht="15" x14ac:dyDescent="0.25">
      <c r="A76" s="4">
        <v>975</v>
      </c>
      <c r="C76" s="12" t="s">
        <v>697</v>
      </c>
      <c r="D76" s="12" t="s">
        <v>698</v>
      </c>
      <c r="E76" s="5" t="str">
        <f t="shared" si="0"/>
        <v>https://www.screener.in/company/MADRASFERT/consolidated/</v>
      </c>
      <c r="F76" s="4">
        <v>443059</v>
      </c>
      <c r="G76" s="4">
        <v>3832241897</v>
      </c>
      <c r="H76" s="6">
        <f t="shared" ca="1" si="1"/>
        <v>35429.076337765</v>
      </c>
      <c r="I76" s="7" t="str">
        <f ca="1">IFERROR(__xludf.DUMMYFUNCTION("IMPORTXML(E76,""/html/body/main/div[3]/div[3]/div[2]/ul/li[5]/span[2]/span"")"),"Loading...")</f>
        <v>Loading...</v>
      </c>
      <c r="J76" s="7">
        <f ca="1">IFERROR(__xludf.DUMMYFUNCTION("GOOGLEFINANCE(""NSE:""&amp;D76,""marketcap"")"),14911250762)</f>
        <v>14911250762</v>
      </c>
      <c r="K76" s="7">
        <v>992.8</v>
      </c>
      <c r="L76" s="8">
        <f ca="1">IFERROR(__xludf.DUMMYFUNCTION("GOOGLEFINANCE(""NSE:""&amp;D76,""price"")"),92.45)</f>
        <v>92.45</v>
      </c>
      <c r="M76" s="9">
        <f t="shared" ca="1" si="2"/>
        <v>-900.34999999999991</v>
      </c>
      <c r="N76" s="10">
        <f t="shared" ca="1" si="3"/>
        <v>-90.687953263497178</v>
      </c>
      <c r="O76" s="7">
        <f ca="1">IFERROR(__xludf.DUMMYFUNCTION("GOOGLEFINANCE(""NSE:""&amp;D76,""pe"")"),21.97)</f>
        <v>21.97</v>
      </c>
      <c r="P76" s="7">
        <f ca="1">IFERROR(__xludf.DUMMYFUNCTION("GOOGLEFINANCE(""NSE:""&amp;D76,""EPS"")"),4.21)</f>
        <v>4.21</v>
      </c>
      <c r="Q76" s="7">
        <v>13.5</v>
      </c>
      <c r="R76" s="7" t="str">
        <f ca="1">IFERROR(__xludf.DUMMYFUNCTION("IMPORTXML(E76,""/html/body/main/div[3]/div[3]/div[2]/ul/li[7]/span[2]/span"")"),"Loading...")</f>
        <v>Loading...</v>
      </c>
      <c r="S76" s="7" t="str">
        <f ca="1">IFERROR(__xludf.DUMMYFUNCTION("IMPORTXML(E76,""/html/body/main/div[3]/div[3]/div[2]/ul/li[8]/span[2]/span"")"),"Loading...")</f>
        <v>Loading...</v>
      </c>
      <c r="T76" s="4">
        <v>34.6</v>
      </c>
      <c r="U76" s="4">
        <v>22.7</v>
      </c>
      <c r="V76" s="4">
        <v>2.6</v>
      </c>
      <c r="W76" s="4">
        <v>5.7</v>
      </c>
      <c r="X76" s="4">
        <v>519.92999999999995</v>
      </c>
      <c r="Y76" s="7">
        <f t="shared" ca="1" si="4"/>
        <v>-427.47999999999996</v>
      </c>
    </row>
    <row r="77" spans="1:25" ht="15" x14ac:dyDescent="0.25">
      <c r="A77" s="4">
        <v>1159</v>
      </c>
      <c r="C77" s="12" t="s">
        <v>699</v>
      </c>
      <c r="D77" s="12" t="s">
        <v>700</v>
      </c>
      <c r="E77" s="5" t="str">
        <f t="shared" si="0"/>
        <v>https://www.screener.in/company/SATIA/consolidated/</v>
      </c>
      <c r="F77" s="4">
        <v>443059</v>
      </c>
      <c r="G77" s="4">
        <v>3832241897</v>
      </c>
      <c r="H77" s="6">
        <f t="shared" ca="1" si="1"/>
        <v>31746.291874748003</v>
      </c>
      <c r="I77" s="7" t="str">
        <f ca="1">IFERROR(__xludf.DUMMYFUNCTION("IMPORTXML(E77,""/html/body/main/div[3]/div[3]/div[2]/ul/li[5]/span[2]/span"")"),"Loading...")</f>
        <v>Loading...</v>
      </c>
      <c r="J77" s="7">
        <f ca="1">IFERROR(__xludf.DUMMYFUNCTION("GOOGLEFINANCE(""NSE:""&amp;D77,""marketcap"")"),8229000000)</f>
        <v>8229000000</v>
      </c>
      <c r="K77" s="7">
        <v>992.8</v>
      </c>
      <c r="L77" s="8">
        <f ca="1">IFERROR(__xludf.DUMMYFUNCTION("GOOGLEFINANCE(""NSE:""&amp;D77,""price"")"),82.84)</f>
        <v>82.84</v>
      </c>
      <c r="M77" s="9">
        <f t="shared" ca="1" si="2"/>
        <v>-909.95999999999992</v>
      </c>
      <c r="N77" s="10">
        <f t="shared" ca="1" si="3"/>
        <v>-91.655922643029811</v>
      </c>
      <c r="O77" s="7">
        <f ca="1">IFERROR(__xludf.DUMMYFUNCTION("GOOGLEFINANCE(""NSE:""&amp;D77,""pe"")"),8.36)</f>
        <v>8.36</v>
      </c>
      <c r="P77" s="7">
        <f ca="1">IFERROR(__xludf.DUMMYFUNCTION("GOOGLEFINANCE(""NSE:""&amp;D77,""EPS"")"),9.91)</f>
        <v>9.91</v>
      </c>
      <c r="Q77" s="7">
        <v>13.5</v>
      </c>
      <c r="R77" s="7" t="str">
        <f ca="1">IFERROR(__xludf.DUMMYFUNCTION("IMPORTXML(E77,""/html/body/main/div[3]/div[3]/div[2]/ul/li[7]/span[2]/span"")"),"Loading...")</f>
        <v>Loading...</v>
      </c>
      <c r="S77" s="7" t="str">
        <f ca="1">IFERROR(__xludf.DUMMYFUNCTION("IMPORTXML(E77,""/html/body/main/div[3]/div[3]/div[2]/ul/li[8]/span[2]/span"")"),"Loading...")</f>
        <v>Loading...</v>
      </c>
      <c r="T77" s="4">
        <v>34.6</v>
      </c>
      <c r="U77" s="4">
        <v>22.7</v>
      </c>
      <c r="V77" s="4">
        <v>2.6</v>
      </c>
      <c r="W77" s="4">
        <v>5.7</v>
      </c>
      <c r="X77" s="4">
        <v>519.92999999999995</v>
      </c>
      <c r="Y77" s="7">
        <f t="shared" ca="1" si="4"/>
        <v>-437.08999999999992</v>
      </c>
    </row>
    <row r="78" spans="1:25" ht="15" x14ac:dyDescent="0.25">
      <c r="A78" s="4">
        <v>189</v>
      </c>
      <c r="C78" s="12" t="s">
        <v>701</v>
      </c>
      <c r="D78" s="12" t="s">
        <v>702</v>
      </c>
      <c r="E78" s="5" t="str">
        <f t="shared" si="0"/>
        <v>https://www.screener.in/company/RPOWER/consolidated/</v>
      </c>
      <c r="F78" s="4">
        <v>443059</v>
      </c>
      <c r="G78" s="4">
        <v>3832241897</v>
      </c>
      <c r="H78" s="6">
        <f t="shared" ca="1" si="1"/>
        <v>17919.563110372001</v>
      </c>
      <c r="I78" s="7" t="str">
        <f ca="1">IFERROR(__xludf.DUMMYFUNCTION("IMPORTXML(E78,""/html/body/main/div[3]/div[3]/div[2]/ul/li[5]/span[2]/span"")"),"Loading...")</f>
        <v>Loading...</v>
      </c>
      <c r="J78" s="7">
        <f ca="1">IFERROR(__xludf.DUMMYFUNCTION("GOOGLEFINANCE(""NSE:""&amp;D78,""marketcap"")"),194175737982)</f>
        <v>194175737982</v>
      </c>
      <c r="K78" s="7">
        <v>992.8</v>
      </c>
      <c r="L78" s="8">
        <f ca="1">IFERROR(__xludf.DUMMYFUNCTION("GOOGLEFINANCE(""NSE:""&amp;D78,""price"")"),46.76)</f>
        <v>46.76</v>
      </c>
      <c r="M78" s="9">
        <f t="shared" ca="1" si="2"/>
        <v>-946.04</v>
      </c>
      <c r="N78" s="10">
        <f t="shared" ca="1" si="3"/>
        <v>-95.290088638195002</v>
      </c>
      <c r="O78" s="7">
        <f ca="1">IFERROR(__xludf.DUMMYFUNCTION("GOOGLEFINANCE(""NSE:""&amp;D78,""pe"")"),6.08)</f>
        <v>6.08</v>
      </c>
      <c r="P78" s="7">
        <f ca="1">IFERROR(__xludf.DUMMYFUNCTION("GOOGLEFINANCE(""NSE:""&amp;D78,""EPS"")"),7.69)</f>
        <v>7.69</v>
      </c>
      <c r="Q78" s="7">
        <v>13.5</v>
      </c>
      <c r="R78" s="7" t="str">
        <f ca="1">IFERROR(__xludf.DUMMYFUNCTION("IMPORTXML(E78,""/html/body/main/div[3]/div[3]/div[2]/ul/li[7]/span[2]/span"")"),"Loading...")</f>
        <v>Loading...</v>
      </c>
      <c r="S78" s="7" t="str">
        <f ca="1">IFERROR(__xludf.DUMMYFUNCTION("IMPORTXML(E78,""/html/body/main/div[3]/div[3]/div[2]/ul/li[8]/span[2]/span"")"),"Loading...")</f>
        <v>Loading...</v>
      </c>
      <c r="T78" s="4">
        <v>34.6</v>
      </c>
      <c r="U78" s="4">
        <v>22.7</v>
      </c>
      <c r="V78" s="4">
        <v>2.6</v>
      </c>
      <c r="W78" s="4">
        <v>5.7</v>
      </c>
      <c r="X78" s="4">
        <v>519.92999999999995</v>
      </c>
      <c r="Y78" s="7">
        <f t="shared" ca="1" si="4"/>
        <v>-473.16999999999996</v>
      </c>
    </row>
    <row r="79" spans="1:25" ht="15" x14ac:dyDescent="0.25">
      <c r="A79" s="4">
        <v>1655</v>
      </c>
      <c r="C79" s="12" t="s">
        <v>703</v>
      </c>
      <c r="D79" s="12" t="s">
        <v>704</v>
      </c>
      <c r="E79" s="5" t="str">
        <f t="shared" si="0"/>
        <v>https://www.screener.in/company/RUCHIRA/consolidated/</v>
      </c>
      <c r="F79" s="4">
        <v>443059</v>
      </c>
      <c r="G79" s="4">
        <v>3832241897</v>
      </c>
      <c r="H79" s="6">
        <f t="shared" ca="1" si="1"/>
        <v>59246.459727619993</v>
      </c>
      <c r="I79" s="7" t="str">
        <f ca="1">IFERROR(__xludf.DUMMYFUNCTION("IMPORTXML(E79,""/html/body/main/div[3]/div[3]/div[2]/ul/li[5]/span[2]/span"")"),"Loading...")</f>
        <v>Loading...</v>
      </c>
      <c r="J79" s="7">
        <f ca="1">IFERROR(__xludf.DUMMYFUNCTION("GOOGLEFINANCE(""NSE:""&amp;D79,""marketcap"")"),4614034090)</f>
        <v>4614034090</v>
      </c>
      <c r="K79" s="7">
        <v>992.8</v>
      </c>
      <c r="L79" s="8">
        <f ca="1">IFERROR(__xludf.DUMMYFUNCTION("GOOGLEFINANCE(""NSE:""&amp;D79,""price"")"),154.6)</f>
        <v>154.6</v>
      </c>
      <c r="M79" s="9">
        <f t="shared" ca="1" si="2"/>
        <v>-838.19999999999993</v>
      </c>
      <c r="N79" s="10">
        <f t="shared" ca="1" si="3"/>
        <v>-84.427880741337617</v>
      </c>
      <c r="O79" s="7">
        <f ca="1">IFERROR(__xludf.DUMMYFUNCTION("GOOGLEFINANCE(""NSE:""&amp;D79,""pe"")"),6.63)</f>
        <v>6.63</v>
      </c>
      <c r="P79" s="7">
        <f ca="1">IFERROR(__xludf.DUMMYFUNCTION("GOOGLEFINANCE(""NSE:""&amp;D79,""EPS"")"),23.3)</f>
        <v>23.3</v>
      </c>
      <c r="Q79" s="7">
        <v>13.5</v>
      </c>
      <c r="R79" s="7" t="str">
        <f ca="1">IFERROR(__xludf.DUMMYFUNCTION("IMPORTXML(E79,""/html/body/main/div[3]/div[3]/div[2]/ul/li[7]/span[2]/span"")"),"Loading...")</f>
        <v>Loading...</v>
      </c>
      <c r="S79" s="7" t="str">
        <f ca="1">IFERROR(__xludf.DUMMYFUNCTION("IMPORTXML(E79,""/html/body/main/div[3]/div[3]/div[2]/ul/li[8]/span[2]/span"")"),"Loading...")</f>
        <v>Loading...</v>
      </c>
      <c r="T79" s="4">
        <v>34.6</v>
      </c>
      <c r="U79" s="4">
        <v>22.7</v>
      </c>
      <c r="V79" s="4">
        <v>2.6</v>
      </c>
      <c r="W79" s="4">
        <v>5.7</v>
      </c>
      <c r="X79" s="4">
        <v>519.92999999999995</v>
      </c>
      <c r="Y79" s="7">
        <f t="shared" ca="1" si="4"/>
        <v>-365.32999999999993</v>
      </c>
    </row>
    <row r="80" spans="1:25" ht="15" x14ac:dyDescent="0.25">
      <c r="A80" s="4">
        <v>273</v>
      </c>
      <c r="C80" s="12" t="s">
        <v>705</v>
      </c>
      <c r="D80" s="12" t="s">
        <v>706</v>
      </c>
      <c r="E80" s="5" t="str">
        <f t="shared" si="0"/>
        <v>https://www.screener.in/company/PNCINFRA/consolidated/</v>
      </c>
      <c r="F80" s="4">
        <v>443059</v>
      </c>
      <c r="G80" s="4">
        <v>3832241897</v>
      </c>
      <c r="H80" s="6">
        <f t="shared" ca="1" si="1"/>
        <v>119240.20662515498</v>
      </c>
      <c r="I80" s="7" t="str">
        <f ca="1">IFERROR(__xludf.DUMMYFUNCTION("IMPORTXML(E80,""/html/body/main/div[3]/div[3]/div[2]/ul/li[5]/span[2]/span"")"),"Loading...")</f>
        <v>Loading...</v>
      </c>
      <c r="J80" s="7">
        <f ca="1">IFERROR(__xludf.DUMMYFUNCTION("GOOGLEFINANCE(""NSE:""&amp;D80,""marketcap"")"),80309590000)</f>
        <v>80309590000</v>
      </c>
      <c r="K80" s="7">
        <v>992.8</v>
      </c>
      <c r="L80" s="8">
        <f ca="1">IFERROR(__xludf.DUMMYFUNCTION("GOOGLEFINANCE(""NSE:""&amp;D80,""price"")"),311.15)</f>
        <v>311.14999999999998</v>
      </c>
      <c r="M80" s="9">
        <f t="shared" ca="1" si="2"/>
        <v>-681.65</v>
      </c>
      <c r="N80" s="10">
        <f t="shared" ca="1" si="3"/>
        <v>-68.659347300564065</v>
      </c>
      <c r="O80" s="7">
        <f ca="1">IFERROR(__xludf.DUMMYFUNCTION("GOOGLEFINANCE(""NSE:""&amp;D80,""pe"")"),11.89)</f>
        <v>11.89</v>
      </c>
      <c r="P80" s="7">
        <f ca="1">IFERROR(__xludf.DUMMYFUNCTION("GOOGLEFINANCE(""NSE:""&amp;D80,""EPS"")"),26.17)</f>
        <v>26.17</v>
      </c>
      <c r="Q80" s="7">
        <v>13.5</v>
      </c>
      <c r="R80" s="7" t="str">
        <f ca="1">IFERROR(__xludf.DUMMYFUNCTION("IMPORTXML(E80,""/html/body/main/div[3]/div[3]/div[2]/ul/li[7]/span[2]/span"")"),"Loading...")</f>
        <v>Loading...</v>
      </c>
      <c r="S80" s="7" t="str">
        <f ca="1">IFERROR(__xludf.DUMMYFUNCTION("IMPORTXML(E80,""/html/body/main/div[3]/div[3]/div[2]/ul/li[8]/span[2]/span"")"),"Loading...")</f>
        <v>Loading...</v>
      </c>
      <c r="T80" s="4">
        <v>34.6</v>
      </c>
      <c r="U80" s="4">
        <v>22.7</v>
      </c>
      <c r="V80" s="4">
        <v>2.6</v>
      </c>
      <c r="W80" s="4">
        <v>5.7</v>
      </c>
      <c r="X80" s="4">
        <v>519.92999999999995</v>
      </c>
      <c r="Y80" s="7">
        <f t="shared" ca="1" si="4"/>
        <v>-208.77999999999997</v>
      </c>
    </row>
    <row r="81" spans="1:25" ht="15" x14ac:dyDescent="0.25">
      <c r="A81" s="4">
        <v>2094</v>
      </c>
      <c r="C81" s="12" t="s">
        <v>707</v>
      </c>
      <c r="D81" s="12" t="s">
        <v>708</v>
      </c>
      <c r="E81" s="5" t="str">
        <f t="shared" si="0"/>
        <v>https://www.screener.in/company/VAISHALI/consolidated/</v>
      </c>
      <c r="F81" s="4">
        <v>443059</v>
      </c>
      <c r="G81" s="4">
        <v>3832241897</v>
      </c>
      <c r="H81" s="6">
        <f t="shared" ca="1" si="1"/>
        <v>4625.5159696789997</v>
      </c>
      <c r="I81" s="7" t="str">
        <f ca="1">IFERROR(__xludf.DUMMYFUNCTION("IMPORTXML(E81,""/html/body/main/div[3]/div[3]/div[2]/ul/li[5]/span[2]/span"")"),"Loading...")</f>
        <v>Loading...</v>
      </c>
      <c r="J81" s="7">
        <f ca="1">IFERROR(__xludf.DUMMYFUNCTION("GOOGLEFINANCE(""NSE:""&amp;D81,""marketcap"")"),1574677507)</f>
        <v>1574677507</v>
      </c>
      <c r="K81" s="7">
        <v>992.8</v>
      </c>
      <c r="L81" s="8">
        <f ca="1">IFERROR(__xludf.DUMMYFUNCTION("GOOGLEFINANCE(""NSE:""&amp;D81,""price"")"),12.07)</f>
        <v>12.07</v>
      </c>
      <c r="M81" s="9">
        <f t="shared" ca="1" si="2"/>
        <v>-980.7299999999999</v>
      </c>
      <c r="N81" s="10">
        <f t="shared" ca="1" si="3"/>
        <v>-98.784246575342465</v>
      </c>
      <c r="O81" s="7" t="str">
        <f ca="1">IFERROR(__xludf.DUMMYFUNCTION("GOOGLEFINANCE(""NSE:""&amp;D81,""pe"")"),"#N/A")</f>
        <v>#N/A</v>
      </c>
      <c r="P81" s="7">
        <f ca="1">IFERROR(__xludf.DUMMYFUNCTION("GOOGLEFINANCE(""NSE:""&amp;D81,""EPS"")"),-0.01)</f>
        <v>-0.01</v>
      </c>
      <c r="Q81" s="7">
        <v>13.5</v>
      </c>
      <c r="R81" s="7" t="str">
        <f ca="1">IFERROR(__xludf.DUMMYFUNCTION("IMPORTXML(E81,""/html/body/main/div[3]/div[3]/div[2]/ul/li[7]/span[2]/span"")"),"Loading...")</f>
        <v>Loading...</v>
      </c>
      <c r="S81" s="7" t="str">
        <f ca="1">IFERROR(__xludf.DUMMYFUNCTION("IMPORTXML(E81,""/html/body/main/div[3]/div[3]/div[2]/ul/li[8]/span[2]/span"")"),"Loading...")</f>
        <v>Loading...</v>
      </c>
      <c r="T81" s="4">
        <v>34.6</v>
      </c>
      <c r="U81" s="4">
        <v>22.7</v>
      </c>
      <c r="V81" s="4">
        <v>2.6</v>
      </c>
      <c r="W81" s="4">
        <v>5.7</v>
      </c>
      <c r="X81" s="4">
        <v>519.92999999999995</v>
      </c>
      <c r="Y81" s="7">
        <f t="shared" ca="1" si="4"/>
        <v>-507.85999999999996</v>
      </c>
    </row>
    <row r="82" spans="1:25" ht="15" x14ac:dyDescent="0.25">
      <c r="A82" s="4">
        <v>2532</v>
      </c>
      <c r="C82" s="12" t="s">
        <v>709</v>
      </c>
      <c r="D82" s="12" t="s">
        <v>710</v>
      </c>
      <c r="E82" s="5" t="str">
        <f t="shared" si="0"/>
        <v>https://www.screener.in/company/SIMBHALS/consolidated/</v>
      </c>
      <c r="F82" s="4">
        <v>443059</v>
      </c>
      <c r="G82" s="4">
        <v>3832241897</v>
      </c>
      <c r="H82" s="6">
        <f t="shared" ca="1" si="1"/>
        <v>5652.5567980750002</v>
      </c>
      <c r="I82" s="7" t="str">
        <f ca="1">IFERROR(__xludf.DUMMYFUNCTION("IMPORTXML(E82,""/html/body/main/div[3]/div[3]/div[2]/ul/li[5]/span[2]/span"")"),"Loading...")</f>
        <v>Loading...</v>
      </c>
      <c r="J82" s="7">
        <f ca="1">IFERROR(__xludf.DUMMYFUNCTION("GOOGLEFINANCE(""NSE:""&amp;D82,""marketcap"")"),608865397)</f>
        <v>608865397</v>
      </c>
      <c r="K82" s="7">
        <v>992.8</v>
      </c>
      <c r="L82" s="8">
        <f ca="1">IFERROR(__xludf.DUMMYFUNCTION("GOOGLEFINANCE(""NSE:""&amp;D82,""price"")"),14.75)</f>
        <v>14.75</v>
      </c>
      <c r="M82" s="9">
        <f t="shared" ca="1" si="2"/>
        <v>-978.05</v>
      </c>
      <c r="N82" s="10">
        <f t="shared" ca="1" si="3"/>
        <v>-98.514302981466557</v>
      </c>
      <c r="O82" s="7">
        <f ca="1">IFERROR(__xludf.DUMMYFUNCTION("GOOGLEFINANCE(""NSE:""&amp;D82,""pe"")"),2.54)</f>
        <v>2.54</v>
      </c>
      <c r="P82" s="7">
        <f ca="1">IFERROR(__xludf.DUMMYFUNCTION("GOOGLEFINANCE(""NSE:""&amp;D82,""EPS"")"),5.81)</f>
        <v>5.81</v>
      </c>
      <c r="Q82" s="7">
        <v>13.5</v>
      </c>
      <c r="R82" s="7" t="str">
        <f ca="1">IFERROR(__xludf.DUMMYFUNCTION("IMPORTXML(E82,""/html/body/main/div[3]/div[3]/div[2]/ul/li[7]/span[2]/span"")"),"Loading...")</f>
        <v>Loading...</v>
      </c>
      <c r="S82" s="7" t="str">
        <f ca="1">IFERROR(__xludf.DUMMYFUNCTION("IMPORTXML(E82,""/html/body/main/div[3]/div[3]/div[2]/ul/li[8]/span[2]/span"")"),"Loading...")</f>
        <v>Loading...</v>
      </c>
      <c r="T82" s="4">
        <v>34.6</v>
      </c>
      <c r="U82" s="4">
        <v>22.7</v>
      </c>
      <c r="V82" s="4">
        <v>2.6</v>
      </c>
      <c r="W82" s="4">
        <v>5.7</v>
      </c>
      <c r="X82" s="4">
        <v>519.92999999999995</v>
      </c>
      <c r="Y82" s="7">
        <f t="shared" ca="1" si="4"/>
        <v>-505.17999999999995</v>
      </c>
    </row>
    <row r="83" spans="1:25" ht="15" x14ac:dyDescent="0.25">
      <c r="A83" s="4">
        <v>3927</v>
      </c>
      <c r="C83" s="12" t="s">
        <v>711</v>
      </c>
      <c r="D83" s="12" t="s">
        <v>712</v>
      </c>
      <c r="E83" s="5" t="str">
        <f t="shared" si="0"/>
        <v>https://www.screener.in/company/KALYANI/consolidated/</v>
      </c>
      <c r="F83" s="4">
        <v>443059</v>
      </c>
      <c r="G83" s="4">
        <v>3832241897</v>
      </c>
      <c r="H83" s="6">
        <f t="shared" ca="1" si="1"/>
        <v>52919.428355673001</v>
      </c>
      <c r="I83" s="7" t="str">
        <f ca="1">IFERROR(__xludf.DUMMYFUNCTION("IMPORTXML(E83,""/html/body/main/div[3]/div[3]/div[2]/ul/li[5]/span[2]/span"")"),"Loading...")</f>
        <v>Loading...</v>
      </c>
      <c r="J83" s="7">
        <f ca="1">IFERROR(__xludf.DUMMYFUNCTION("GOOGLEFINANCE(""NSE:""&amp;D83,""marketcap"")"),138090000)</f>
        <v>138090000</v>
      </c>
      <c r="K83" s="7">
        <v>992.8</v>
      </c>
      <c r="L83" s="8">
        <f ca="1">IFERROR(__xludf.DUMMYFUNCTION("GOOGLEFINANCE(""NSE:""&amp;D83,""price"")"),138.09)</f>
        <v>138.09</v>
      </c>
      <c r="M83" s="9">
        <f t="shared" ca="1" si="2"/>
        <v>-854.70999999999992</v>
      </c>
      <c r="N83" s="10">
        <f t="shared" ca="1" si="3"/>
        <v>-86.090854149879121</v>
      </c>
      <c r="O83" s="7">
        <f ca="1">IFERROR(__xludf.DUMMYFUNCTION("GOOGLEFINANCE(""NSE:""&amp;D83,""pe"")"),3.82)</f>
        <v>3.82</v>
      </c>
      <c r="P83" s="7">
        <f ca="1">IFERROR(__xludf.DUMMYFUNCTION("GOOGLEFINANCE(""NSE:""&amp;D83,""EPS"")"),36.15)</f>
        <v>36.15</v>
      </c>
      <c r="Q83" s="7">
        <v>13.5</v>
      </c>
      <c r="R83" s="7" t="str">
        <f ca="1">IFERROR(__xludf.DUMMYFUNCTION("IMPORTXML(E83,""/html/body/main/div[3]/div[3]/div[2]/ul/li[7]/span[2]/span"")"),"Loading...")</f>
        <v>Loading...</v>
      </c>
      <c r="S83" s="7" t="str">
        <f ca="1">IFERROR(__xludf.DUMMYFUNCTION("IMPORTXML(E83,""/html/body/main/div[3]/div[3]/div[2]/ul/li[8]/span[2]/span"")"),"Loading...")</f>
        <v>Loading...</v>
      </c>
      <c r="T83" s="4">
        <v>34.6</v>
      </c>
      <c r="U83" s="4">
        <v>22.7</v>
      </c>
      <c r="V83" s="4">
        <v>2.6</v>
      </c>
      <c r="W83" s="4">
        <v>5.7</v>
      </c>
      <c r="X83" s="4">
        <v>519.92999999999995</v>
      </c>
      <c r="Y83" s="7">
        <f t="shared" ca="1" si="4"/>
        <v>-381.83999999999992</v>
      </c>
    </row>
    <row r="84" spans="1:25" ht="15" x14ac:dyDescent="0.25">
      <c r="A84" s="4">
        <v>2564</v>
      </c>
      <c r="C84" s="12" t="s">
        <v>713</v>
      </c>
      <c r="D84" s="12" t="s">
        <v>714</v>
      </c>
      <c r="E84" s="5" t="str">
        <f t="shared" si="0"/>
        <v>https://www.screener.in/company/DIL/consolidated/</v>
      </c>
      <c r="F84" s="4">
        <v>443059</v>
      </c>
      <c r="G84" s="4">
        <v>3832241897</v>
      </c>
      <c r="H84" s="6">
        <f t="shared" ca="1" si="1"/>
        <v>720.46147663599993</v>
      </c>
      <c r="I84" s="7" t="str">
        <f ca="1">IFERROR(__xludf.DUMMYFUNCTION("IMPORTXML(E84,""/html/body/main/div[3]/div[3]/div[2]/ul/li[5]/span[2]/span"")"),"Loading...")</f>
        <v>Loading...</v>
      </c>
      <c r="J84" s="7">
        <f ca="1">IFERROR(__xludf.DUMMYFUNCTION("GOOGLEFINANCE(""NSE:""&amp;D84,""marketcap"")"),307571300)</f>
        <v>307571300</v>
      </c>
      <c r="K84" s="7">
        <v>992.8</v>
      </c>
      <c r="L84" s="8">
        <f ca="1">IFERROR(__xludf.DUMMYFUNCTION("GOOGLEFINANCE(""NSE:""&amp;D84,""price"")"),1.88)</f>
        <v>1.88</v>
      </c>
      <c r="M84" s="9">
        <f t="shared" ca="1" si="2"/>
        <v>-990.92</v>
      </c>
      <c r="N84" s="10">
        <f t="shared" ca="1" si="3"/>
        <v>-99.810636583400481</v>
      </c>
      <c r="O84" s="7" t="str">
        <f ca="1">IFERROR(__xludf.DUMMYFUNCTION("GOOGLEFINANCE(""NSE:""&amp;D84,""pe"")"),"#N/A")</f>
        <v>#N/A</v>
      </c>
      <c r="P84" s="7">
        <f ca="1">IFERROR(__xludf.DUMMYFUNCTION("GOOGLEFINANCE(""NSE:""&amp;D84,""EPS"")"),-1.48)</f>
        <v>-1.48</v>
      </c>
      <c r="Q84" s="7">
        <v>13.5</v>
      </c>
      <c r="R84" s="7" t="str">
        <f ca="1">IFERROR(__xludf.DUMMYFUNCTION("IMPORTXML(E84,""/html/body/main/div[3]/div[3]/div[2]/ul/li[7]/span[2]/span"")"),"Loading...")</f>
        <v>Loading...</v>
      </c>
      <c r="S84" s="7" t="str">
        <f ca="1">IFERROR(__xludf.DUMMYFUNCTION("IMPORTXML(E84,""/html/body/main/div[3]/div[3]/div[2]/ul/li[8]/span[2]/span"")"),"Loading...")</f>
        <v>Loading...</v>
      </c>
      <c r="T84" s="4">
        <v>34.6</v>
      </c>
      <c r="U84" s="4">
        <v>22.7</v>
      </c>
      <c r="V84" s="4">
        <v>2.6</v>
      </c>
      <c r="W84" s="4">
        <v>5.7</v>
      </c>
      <c r="X84" s="4">
        <v>519.92999999999995</v>
      </c>
      <c r="Y84" s="7">
        <f t="shared" ca="1" si="4"/>
        <v>-518.04999999999995</v>
      </c>
    </row>
    <row r="85" spans="1:25" ht="15" x14ac:dyDescent="0.25">
      <c r="A85" s="4">
        <v>1120</v>
      </c>
      <c r="C85" s="12" t="s">
        <v>715</v>
      </c>
      <c r="D85" s="12" t="s">
        <v>716</v>
      </c>
      <c r="E85" s="5" t="str">
        <f t="shared" si="0"/>
        <v>https://www.screener.in/company/SANDESH/consolidated/</v>
      </c>
      <c r="F85" s="4">
        <v>443059</v>
      </c>
      <c r="G85" s="4">
        <v>3832241897</v>
      </c>
      <c r="H85" s="6">
        <f t="shared" ca="1" si="1"/>
        <v>470216.0807619</v>
      </c>
      <c r="I85" s="7" t="str">
        <f ca="1">IFERROR(__xludf.DUMMYFUNCTION("IMPORTXML(E85,""/html/body/main/div[3]/div[3]/div[2]/ul/li[5]/span[2]/span"")"),"Loading...")</f>
        <v>Loading...</v>
      </c>
      <c r="J85" s="7">
        <f ca="1">IFERROR(__xludf.DUMMYFUNCTION("GOOGLEFINANCE(""NSE:""&amp;D85,""marketcap"")"),9271784000)</f>
        <v>9271784000</v>
      </c>
      <c r="K85" s="7">
        <v>992.8</v>
      </c>
      <c r="L85" s="8">
        <f ca="1">IFERROR(__xludf.DUMMYFUNCTION("GOOGLEFINANCE(""NSE:""&amp;D85,""price"")"),1227)</f>
        <v>1227</v>
      </c>
      <c r="M85" s="9">
        <f t="shared" ca="1" si="2"/>
        <v>234.20000000000005</v>
      </c>
      <c r="N85" s="10">
        <f t="shared" ca="1" si="3"/>
        <v>23.589846897663179</v>
      </c>
      <c r="O85" s="7">
        <f ca="1">IFERROR(__xludf.DUMMYFUNCTION("GOOGLEFINANCE(""NSE:""&amp;D85,""pe"")"),10.97)</f>
        <v>10.97</v>
      </c>
      <c r="P85" s="7">
        <f ca="1">IFERROR(__xludf.DUMMYFUNCTION("GOOGLEFINANCE(""NSE:""&amp;D85,""EPS"")"),111.87)</f>
        <v>111.87</v>
      </c>
      <c r="Q85" s="7">
        <v>13.5</v>
      </c>
      <c r="R85" s="7" t="str">
        <f ca="1">IFERROR(__xludf.DUMMYFUNCTION("IMPORTXML(E85,""/html/body/main/div[3]/div[3]/div[2]/ul/li[7]/span[2]/span"")"),"Loading...")</f>
        <v>Loading...</v>
      </c>
      <c r="S85" s="7" t="str">
        <f ca="1">IFERROR(__xludf.DUMMYFUNCTION("IMPORTXML(E85,""/html/body/main/div[3]/div[3]/div[2]/ul/li[8]/span[2]/span"")"),"Loading...")</f>
        <v>Loading...</v>
      </c>
      <c r="T85" s="4">
        <v>34.6</v>
      </c>
      <c r="U85" s="4">
        <v>22.7</v>
      </c>
      <c r="V85" s="4">
        <v>2.6</v>
      </c>
      <c r="W85" s="4">
        <v>5.7</v>
      </c>
      <c r="X85" s="4">
        <v>519.92999999999995</v>
      </c>
      <c r="Y85" s="7">
        <f t="shared" ca="1" si="4"/>
        <v>707.07</v>
      </c>
    </row>
    <row r="86" spans="1:25" ht="15" x14ac:dyDescent="0.25">
      <c r="A86" s="4">
        <v>3069</v>
      </c>
      <c r="C86" s="12" t="s">
        <v>717</v>
      </c>
      <c r="D86" s="12" t="s">
        <v>718</v>
      </c>
      <c r="E86" s="5" t="str">
        <f t="shared" si="0"/>
        <v>https://www.screener.in/company/KHAITANLTD/consolidated/</v>
      </c>
      <c r="F86" s="4">
        <v>443059</v>
      </c>
      <c r="G86" s="4">
        <v>3832241897</v>
      </c>
      <c r="H86" s="6">
        <f t="shared" ca="1" si="1"/>
        <v>45124.648337175</v>
      </c>
      <c r="I86" s="7" t="str">
        <f ca="1">IFERROR(__xludf.DUMMYFUNCTION("IMPORTXML(E86,""/html/body/main/div[3]/div[3]/div[2]/ul/li[5]/span[2]/span"")"),"Loading...")</f>
        <v>Loading...</v>
      </c>
      <c r="J86" s="7">
        <f ca="1">IFERROR(__xludf.DUMMYFUNCTION("GOOGLEFINANCE(""NSE:""&amp;D86,""marketcap"")"),559312500)</f>
        <v>559312500</v>
      </c>
      <c r="K86" s="7">
        <v>992.8</v>
      </c>
      <c r="L86" s="8">
        <f ca="1">IFERROR(__xludf.DUMMYFUNCTION("GOOGLEFINANCE(""NSE:""&amp;D86,""price"")"),117.75)</f>
        <v>117.75</v>
      </c>
      <c r="M86" s="9">
        <f t="shared" ca="1" si="2"/>
        <v>-875.05</v>
      </c>
      <c r="N86" s="10">
        <f t="shared" ca="1" si="3"/>
        <v>-88.139605157131342</v>
      </c>
      <c r="O86" s="7">
        <f ca="1">IFERROR(__xludf.DUMMYFUNCTION("GOOGLEFINANCE(""NSE:""&amp;D86,""pe"")"),8.66)</f>
        <v>8.66</v>
      </c>
      <c r="P86" s="7">
        <f ca="1">IFERROR(__xludf.DUMMYFUNCTION("GOOGLEFINANCE(""NSE:""&amp;D86,""EPS"")"),13.59)</f>
        <v>13.59</v>
      </c>
      <c r="Q86" s="7">
        <v>13.5</v>
      </c>
      <c r="R86" s="7" t="str">
        <f ca="1">IFERROR(__xludf.DUMMYFUNCTION("IMPORTXML(E86,""/html/body/main/div[3]/div[3]/div[2]/ul/li[7]/span[2]/span"")"),"Loading...")</f>
        <v>Loading...</v>
      </c>
      <c r="S86" s="7" t="str">
        <f ca="1">IFERROR(__xludf.DUMMYFUNCTION("IMPORTXML(E86,""/html/body/main/div[3]/div[3]/div[2]/ul/li[8]/span[2]/span"")"),"Loading...")</f>
        <v>Loading...</v>
      </c>
      <c r="T86" s="4">
        <v>34.6</v>
      </c>
      <c r="U86" s="4">
        <v>22.7</v>
      </c>
      <c r="V86" s="4">
        <v>2.6</v>
      </c>
      <c r="W86" s="4">
        <v>5.7</v>
      </c>
      <c r="X86" s="4">
        <v>519.92999999999995</v>
      </c>
      <c r="Y86" s="7">
        <f t="shared" ca="1" si="4"/>
        <v>-402.17999999999995</v>
      </c>
    </row>
    <row r="87" spans="1:25" ht="15" x14ac:dyDescent="0.25">
      <c r="A87" s="4">
        <v>855</v>
      </c>
      <c r="C87" s="12" t="s">
        <v>719</v>
      </c>
      <c r="D87" s="12" t="s">
        <v>720</v>
      </c>
      <c r="E87" s="5" t="str">
        <f t="shared" si="0"/>
        <v>https://www.screener.in/company/PNBGILTS/consolidated/</v>
      </c>
      <c r="F87" s="4">
        <v>443059</v>
      </c>
      <c r="G87" s="4">
        <v>3832241897</v>
      </c>
      <c r="H87" s="6">
        <f t="shared" ca="1" si="1"/>
        <v>37555.970590600002</v>
      </c>
      <c r="I87" s="7" t="str">
        <f ca="1">IFERROR(__xludf.DUMMYFUNCTION("IMPORTXML(E87,""/html/body/main/div[3]/div[3]/div[2]/ul/li[5]/span[2]/span"")"),"Loading...")</f>
        <v>Loading...</v>
      </c>
      <c r="J87" s="7">
        <f ca="1">IFERROR(__xludf.DUMMYFUNCTION("GOOGLEFINANCE(""NSE:""&amp;D87,""marketcap"")"),17583390000)</f>
        <v>17583390000</v>
      </c>
      <c r="K87" s="7">
        <v>992.8</v>
      </c>
      <c r="L87" s="8">
        <f ca="1">IFERROR(__xludf.DUMMYFUNCTION("GOOGLEFINANCE(""NSE:""&amp;D87,""price"")"),98)</f>
        <v>98</v>
      </c>
      <c r="M87" s="9">
        <f t="shared" ca="1" si="2"/>
        <v>-894.8</v>
      </c>
      <c r="N87" s="10">
        <f t="shared" ca="1" si="3"/>
        <v>-90.128928283642225</v>
      </c>
      <c r="O87" s="7">
        <f ca="1">IFERROR(__xludf.DUMMYFUNCTION("GOOGLEFINANCE(""NSE:""&amp;D87,""pe"")"),5.19)</f>
        <v>5.19</v>
      </c>
      <c r="P87" s="7">
        <f ca="1">IFERROR(__xludf.DUMMYFUNCTION("GOOGLEFINANCE(""NSE:""&amp;D87,""EPS"")"),18.86)</f>
        <v>18.86</v>
      </c>
      <c r="Q87" s="7">
        <v>13.5</v>
      </c>
      <c r="R87" s="7" t="str">
        <f ca="1">IFERROR(__xludf.DUMMYFUNCTION("IMPORTXML(E87,""/html/body/main/div[3]/div[3]/div[2]/ul/li[7]/span[2]/span"")"),"Loading...")</f>
        <v>Loading...</v>
      </c>
      <c r="S87" s="7" t="str">
        <f ca="1">IFERROR(__xludf.DUMMYFUNCTION("IMPORTXML(E87,""/html/body/main/div[3]/div[3]/div[2]/ul/li[8]/span[2]/span"")"),"Loading...")</f>
        <v>Loading...</v>
      </c>
      <c r="T87" s="4">
        <v>34.6</v>
      </c>
      <c r="U87" s="4">
        <v>22.7</v>
      </c>
      <c r="V87" s="4">
        <v>2.6</v>
      </c>
      <c r="W87" s="4">
        <v>5.7</v>
      </c>
      <c r="X87" s="4">
        <v>519.92999999999995</v>
      </c>
      <c r="Y87" s="7">
        <f t="shared" ca="1" si="4"/>
        <v>-421.92999999999995</v>
      </c>
    </row>
    <row r="88" spans="1:25" ht="15" x14ac:dyDescent="0.25">
      <c r="A88" s="4">
        <v>49</v>
      </c>
      <c r="C88" s="12" t="s">
        <v>721</v>
      </c>
      <c r="D88" s="12" t="s">
        <v>722</v>
      </c>
      <c r="E88" s="5" t="str">
        <f t="shared" si="0"/>
        <v>https://www.screener.in/company/AIIL/consolidated/</v>
      </c>
      <c r="F88" s="4">
        <v>443059</v>
      </c>
      <c r="G88" s="4">
        <v>3832241897</v>
      </c>
      <c r="H88" s="6">
        <f t="shared" ca="1" si="1"/>
        <v>1179908.95766733</v>
      </c>
      <c r="I88" s="7" t="str">
        <f ca="1">IFERROR(__xludf.DUMMYFUNCTION("IMPORTXML(E88,""/html/body/main/div[3]/div[3]/div[2]/ul/li[5]/span[2]/span"")"),"Loading...")</f>
        <v>Loading...</v>
      </c>
      <c r="J88" s="7">
        <f ca="1">IFERROR(__xludf.DUMMYFUNCTION("GOOGLEFINANCE(""NSE:""&amp;D88,""marketcap"")"),524513294153)</f>
        <v>524513294153</v>
      </c>
      <c r="K88" s="7">
        <v>992.8</v>
      </c>
      <c r="L88" s="8">
        <f ca="1">IFERROR(__xludf.DUMMYFUNCTION("GOOGLEFINANCE(""NSE:""&amp;D88,""price"")"),3078.9)</f>
        <v>3078.9</v>
      </c>
      <c r="M88" s="9">
        <f t="shared" ca="1" si="2"/>
        <v>2086.1000000000004</v>
      </c>
      <c r="N88" s="10">
        <f t="shared" ca="1" si="3"/>
        <v>210.12288477034656</v>
      </c>
      <c r="O88" s="7">
        <f ca="1">IFERROR(__xludf.DUMMYFUNCTION("GOOGLEFINANCE(""NSE:""&amp;D88,""pe"")"),12.79)</f>
        <v>12.79</v>
      </c>
      <c r="P88" s="7">
        <f ca="1">IFERROR(__xludf.DUMMYFUNCTION("GOOGLEFINANCE(""NSE:""&amp;D88,""EPS"")"),240.69)</f>
        <v>240.69</v>
      </c>
      <c r="Q88" s="7">
        <v>13.5</v>
      </c>
      <c r="R88" s="7" t="str">
        <f ca="1">IFERROR(__xludf.DUMMYFUNCTION("IMPORTXML(E88,""/html/body/main/div[3]/div[3]/div[2]/ul/li[7]/span[2]/span"")"),"Loading...")</f>
        <v>Loading...</v>
      </c>
      <c r="S88" s="7" t="str">
        <f ca="1">IFERROR(__xludf.DUMMYFUNCTION("IMPORTXML(E88,""/html/body/main/div[3]/div[3]/div[2]/ul/li[8]/span[2]/span"")"),"Loading...")</f>
        <v>Loading...</v>
      </c>
      <c r="T88" s="4">
        <v>34.6</v>
      </c>
      <c r="U88" s="4">
        <v>22.7</v>
      </c>
      <c r="V88" s="4">
        <v>2.6</v>
      </c>
      <c r="W88" s="4">
        <v>5.7</v>
      </c>
      <c r="X88" s="4">
        <v>519.92999999999995</v>
      </c>
      <c r="Y88" s="7">
        <f t="shared" ca="1" si="4"/>
        <v>2558.9700000000003</v>
      </c>
    </row>
    <row r="89" spans="1:25" ht="15" x14ac:dyDescent="0.25">
      <c r="A89" s="4">
        <v>2977</v>
      </c>
      <c r="C89" s="12" t="s">
        <v>723</v>
      </c>
      <c r="D89" s="12" t="s">
        <v>724</v>
      </c>
      <c r="E89" s="5" t="str">
        <f t="shared" si="0"/>
        <v>https://www.screener.in/company/BINANIIND/consolidated/</v>
      </c>
      <c r="F89" s="4">
        <v>443059</v>
      </c>
      <c r="G89" s="4">
        <v>3832241897</v>
      </c>
      <c r="H89" s="6" t="e">
        <f t="shared" ca="1" si="1"/>
        <v>#VALUE!</v>
      </c>
      <c r="I89" s="7" t="str">
        <f ca="1">IFERROR(__xludf.DUMMYFUNCTION("IMPORTXML(E89,""/html/body/main/div[3]/div[3]/div[2]/ul/li[5]/span[2]/span"")"),"Loading...")</f>
        <v>Loading...</v>
      </c>
      <c r="J89" s="7" t="str">
        <f ca="1">IFERROR(__xludf.DUMMYFUNCTION("GOOGLEFINANCE(""NSE:""&amp;D89,""marketcap"")"),"#N/A")</f>
        <v>#N/A</v>
      </c>
      <c r="K89" s="7">
        <v>992.8</v>
      </c>
      <c r="L89" s="8" t="str">
        <f ca="1">IFERROR(__xludf.DUMMYFUNCTION("GOOGLEFINANCE(""NSE:""&amp;D89,""price"")"),"#N/A")</f>
        <v>#N/A</v>
      </c>
      <c r="M89" s="9" t="e">
        <f t="shared" ca="1" si="2"/>
        <v>#VALUE!</v>
      </c>
      <c r="N89" s="10" t="e">
        <f t="shared" ca="1" si="3"/>
        <v>#VALUE!</v>
      </c>
      <c r="O89" s="7" t="str">
        <f ca="1">IFERROR(__xludf.DUMMYFUNCTION("GOOGLEFINANCE(""NSE:""&amp;D89,""pe"")"),"#N/A")</f>
        <v>#N/A</v>
      </c>
      <c r="P89" s="7" t="str">
        <f ca="1">IFERROR(__xludf.DUMMYFUNCTION("GOOGLEFINANCE(""NSE:""&amp;D89,""EPS"")"),"#N/A")</f>
        <v>#N/A</v>
      </c>
      <c r="Q89" s="7">
        <v>13.5</v>
      </c>
      <c r="R89" s="7" t="str">
        <f ca="1">IFERROR(__xludf.DUMMYFUNCTION("IMPORTXML(E89,""/html/body/main/div[3]/div[3]/div[2]/ul/li[7]/span[2]/span"")"),"Loading...")</f>
        <v>Loading...</v>
      </c>
      <c r="S89" s="7" t="str">
        <f ca="1">IFERROR(__xludf.DUMMYFUNCTION("IMPORTXML(E89,""/html/body/main/div[3]/div[3]/div[2]/ul/li[8]/span[2]/span"")"),"Loading...")</f>
        <v>Loading...</v>
      </c>
      <c r="T89" s="4">
        <v>34.6</v>
      </c>
      <c r="U89" s="4">
        <v>22.7</v>
      </c>
      <c r="V89" s="4">
        <v>2.6</v>
      </c>
      <c r="W89" s="4">
        <v>5.7</v>
      </c>
      <c r="X89" s="4">
        <v>519.92999999999995</v>
      </c>
      <c r="Y89" s="7" t="e">
        <f t="shared" ca="1" si="4"/>
        <v>#VALUE!</v>
      </c>
    </row>
    <row r="90" spans="1:25" ht="15" x14ac:dyDescent="0.25">
      <c r="A90" s="4">
        <v>2397</v>
      </c>
      <c r="C90" s="12" t="s">
        <v>725</v>
      </c>
      <c r="D90" s="12" t="s">
        <v>726</v>
      </c>
      <c r="E90" s="5" t="str">
        <f t="shared" si="0"/>
        <v>https://www.screener.in/company/SKIL/consolidated/</v>
      </c>
      <c r="F90" s="4">
        <v>443059</v>
      </c>
      <c r="G90" s="4">
        <v>3832241897</v>
      </c>
      <c r="H90" s="6">
        <f t="shared" ca="1" si="1"/>
        <v>685.971299563</v>
      </c>
      <c r="I90" s="7" t="str">
        <f ca="1">IFERROR(__xludf.DUMMYFUNCTION("IMPORTXML(E90,""/html/body/main/div[3]/div[3]/div[2]/ul/li[5]/span[2]/span"")"),"Loading...")</f>
        <v>Loading...</v>
      </c>
      <c r="J90" s="7">
        <f ca="1">IFERROR(__xludf.DUMMYFUNCTION("GOOGLEFINANCE(""NSE:""&amp;D90,""marketcap"")"),352549254)</f>
        <v>352549254</v>
      </c>
      <c r="K90" s="7">
        <v>992.8</v>
      </c>
      <c r="L90" s="8">
        <f ca="1">IFERROR(__xludf.DUMMYFUNCTION("GOOGLEFINANCE(""NSE:""&amp;D90,""price"")"),1.79)</f>
        <v>1.79</v>
      </c>
      <c r="M90" s="9">
        <f t="shared" ca="1" si="2"/>
        <v>-991.01</v>
      </c>
      <c r="N90" s="10">
        <f t="shared" ca="1" si="3"/>
        <v>-99.819701853344071</v>
      </c>
      <c r="O90" s="7" t="str">
        <f ca="1">IFERROR(__xludf.DUMMYFUNCTION("GOOGLEFINANCE(""NSE:""&amp;D90,""pe"")"),"#N/A")</f>
        <v>#N/A</v>
      </c>
      <c r="P90" s="7" t="str">
        <f ca="1">IFERROR(__xludf.DUMMYFUNCTION("GOOGLEFINANCE(""NSE:""&amp;D90,""EPS"")"),"#N/A")</f>
        <v>#N/A</v>
      </c>
      <c r="Q90" s="7">
        <v>13.5</v>
      </c>
      <c r="R90" s="7" t="str">
        <f ca="1">IFERROR(__xludf.DUMMYFUNCTION("IMPORTXML(E90,""/html/body/main/div[3]/div[3]/div[2]/ul/li[7]/span[2]/span"")"),"Loading...")</f>
        <v>Loading...</v>
      </c>
      <c r="S90" s="7" t="str">
        <f ca="1">IFERROR(__xludf.DUMMYFUNCTION("IMPORTXML(E90,""/html/body/main/div[3]/div[3]/div[2]/ul/li[8]/span[2]/span"")"),"Loading...")</f>
        <v>Loading...</v>
      </c>
      <c r="T90" s="4">
        <v>34.6</v>
      </c>
      <c r="U90" s="4">
        <v>22.7</v>
      </c>
      <c r="V90" s="4">
        <v>2.6</v>
      </c>
      <c r="W90" s="4">
        <v>5.7</v>
      </c>
      <c r="X90" s="4">
        <v>519.92999999999995</v>
      </c>
      <c r="Y90" s="7">
        <f t="shared" ca="1" si="4"/>
        <v>-518.14</v>
      </c>
    </row>
    <row r="91" spans="1:25" ht="15" x14ac:dyDescent="0.25">
      <c r="A91" s="4">
        <v>2741</v>
      </c>
      <c r="C91" s="12" t="s">
        <v>727</v>
      </c>
      <c r="D91" s="12" t="s">
        <v>728</v>
      </c>
      <c r="E91" s="5" t="str">
        <f t="shared" si="0"/>
        <v>https://www.screener.in/company/LFIC/consolidated/</v>
      </c>
      <c r="F91" s="4">
        <v>443059</v>
      </c>
      <c r="G91" s="4">
        <v>3832241897</v>
      </c>
      <c r="H91" s="6">
        <f t="shared" ca="1" si="1"/>
        <v>80017.210809360011</v>
      </c>
      <c r="I91" s="7" t="str">
        <f ca="1">IFERROR(__xludf.DUMMYFUNCTION("IMPORTXML(E91,""/html/body/main/div[3]/div[3]/div[2]/ul/li[5]/span[2]/span"")"),"Loading...")</f>
        <v>Loading...</v>
      </c>
      <c r="J91" s="7">
        <f ca="1">IFERROR(__xludf.DUMMYFUNCTION("GOOGLEFINANCE(""NSE:""&amp;D91,""marketcap"")"),629430000)</f>
        <v>629430000</v>
      </c>
      <c r="K91" s="7">
        <v>992.8</v>
      </c>
      <c r="L91" s="8">
        <f ca="1">IFERROR(__xludf.DUMMYFUNCTION("GOOGLEFINANCE(""NSE:""&amp;D91,""price"")"),208.8)</f>
        <v>208.8</v>
      </c>
      <c r="M91" s="9">
        <f t="shared" ca="1" si="2"/>
        <v>-784</v>
      </c>
      <c r="N91" s="10">
        <f t="shared" ca="1" si="3"/>
        <v>-78.968573730862218</v>
      </c>
      <c r="O91" s="7">
        <f ca="1">IFERROR(__xludf.DUMMYFUNCTION("GOOGLEFINANCE(""NSE:""&amp;D91,""pe"")"),24.56)</f>
        <v>24.56</v>
      </c>
      <c r="P91" s="7">
        <f ca="1">IFERROR(__xludf.DUMMYFUNCTION("GOOGLEFINANCE(""NSE:""&amp;D91,""EPS"")"),8.5)</f>
        <v>8.5</v>
      </c>
      <c r="Q91" s="7">
        <v>13.5</v>
      </c>
      <c r="R91" s="7" t="str">
        <f ca="1">IFERROR(__xludf.DUMMYFUNCTION("IMPORTXML(E91,""/html/body/main/div[3]/div[3]/div[2]/ul/li[7]/span[2]/span"")"),"Loading...")</f>
        <v>Loading...</v>
      </c>
      <c r="S91" s="7" t="str">
        <f ca="1">IFERROR(__xludf.DUMMYFUNCTION("IMPORTXML(E91,""/html/body/main/div[3]/div[3]/div[2]/ul/li[8]/span[2]/span"")"),"Loading...")</f>
        <v>Loading...</v>
      </c>
      <c r="T91" s="4">
        <v>34.6</v>
      </c>
      <c r="U91" s="4">
        <v>22.7</v>
      </c>
      <c r="V91" s="4">
        <v>2.6</v>
      </c>
      <c r="W91" s="4">
        <v>5.7</v>
      </c>
      <c r="X91" s="4">
        <v>519.92999999999995</v>
      </c>
      <c r="Y91" s="7">
        <f t="shared" ca="1" si="4"/>
        <v>-311.12999999999994</v>
      </c>
    </row>
    <row r="92" spans="1:25" ht="15" x14ac:dyDescent="0.25">
      <c r="A92" s="4">
        <v>843</v>
      </c>
      <c r="C92" s="12" t="s">
        <v>729</v>
      </c>
      <c r="D92" s="12" t="s">
        <v>730</v>
      </c>
      <c r="E92" s="5" t="str">
        <f t="shared" si="0"/>
        <v>https://www.screener.in/company/TIL/consolidated/</v>
      </c>
      <c r="F92" s="4">
        <v>443059</v>
      </c>
      <c r="G92" s="4">
        <v>3832241897</v>
      </c>
      <c r="H92" s="6">
        <f t="shared" ca="1" si="1"/>
        <v>108835.66987480001</v>
      </c>
      <c r="I92" s="7" t="str">
        <f ca="1">IFERROR(__xludf.DUMMYFUNCTION("IMPORTXML(E92,""/html/body/main/div[3]/div[3]/div[2]/ul/li[5]/span[2]/span"")"),"Loading...")</f>
        <v>Loading...</v>
      </c>
      <c r="J92" s="7">
        <f ca="1">IFERROR(__xludf.DUMMYFUNCTION("GOOGLEFINANCE(""NSE:""&amp;D92,""marketcap"")"),18788440000)</f>
        <v>18788440000</v>
      </c>
      <c r="K92" s="7">
        <v>992.8</v>
      </c>
      <c r="L92" s="8">
        <f ca="1">IFERROR(__xludf.DUMMYFUNCTION("GOOGLEFINANCE(""NSE:""&amp;D92,""price"")"),284)</f>
        <v>284</v>
      </c>
      <c r="M92" s="9">
        <f t="shared" ca="1" si="2"/>
        <v>-708.8</v>
      </c>
      <c r="N92" s="10">
        <f t="shared" ca="1" si="3"/>
        <v>-71.394037066881538</v>
      </c>
      <c r="O92" s="7" t="str">
        <f ca="1">IFERROR(__xludf.DUMMYFUNCTION("GOOGLEFINANCE(""NSE:""&amp;D92,""pe"")"),"#N/A")</f>
        <v>#N/A</v>
      </c>
      <c r="P92" s="7">
        <f ca="1">IFERROR(__xludf.DUMMYFUNCTION("GOOGLEFINANCE(""NSE:""&amp;D92,""EPS"")"),-0.36)</f>
        <v>-0.36</v>
      </c>
      <c r="Q92" s="7">
        <v>13.5</v>
      </c>
      <c r="R92" s="7" t="str">
        <f ca="1">IFERROR(__xludf.DUMMYFUNCTION("IMPORTXML(E92,""/html/body/main/div[3]/div[3]/div[2]/ul/li[7]/span[2]/span"")"),"Loading...")</f>
        <v>Loading...</v>
      </c>
      <c r="S92" s="7" t="str">
        <f ca="1">IFERROR(__xludf.DUMMYFUNCTION("IMPORTXML(E92,""/html/body/main/div[3]/div[3]/div[2]/ul/li[8]/span[2]/span"")"),"Loading...")</f>
        <v>Loading...</v>
      </c>
      <c r="T92" s="4">
        <v>34.6</v>
      </c>
      <c r="U92" s="4">
        <v>22.7</v>
      </c>
      <c r="V92" s="4">
        <v>2.6</v>
      </c>
      <c r="W92" s="4">
        <v>5.7</v>
      </c>
      <c r="X92" s="4">
        <v>519.92999999999995</v>
      </c>
      <c r="Y92" s="7">
        <f t="shared" ca="1" si="4"/>
        <v>-235.92999999999995</v>
      </c>
    </row>
    <row r="93" spans="1:25" ht="15" x14ac:dyDescent="0.25">
      <c r="A93" s="4">
        <v>2401</v>
      </c>
      <c r="C93" s="12" t="s">
        <v>731</v>
      </c>
      <c r="D93" s="12" t="s">
        <v>732</v>
      </c>
      <c r="E93" s="5" t="str">
        <f t="shared" si="0"/>
        <v>https://www.screener.in/company/GROBTEA/consolidated/</v>
      </c>
      <c r="F93" s="4">
        <v>443059</v>
      </c>
      <c r="G93" s="4">
        <v>3832241897</v>
      </c>
      <c r="H93" s="6">
        <f t="shared" ca="1" si="1"/>
        <v>395870.58796009998</v>
      </c>
      <c r="I93" s="7" t="str">
        <f ca="1">IFERROR(__xludf.DUMMYFUNCTION("IMPORTXML(E93,""/html/body/main/div[3]/div[3]/div[2]/ul/li[5]/span[2]/span"")"),"Loading...")</f>
        <v>Loading...</v>
      </c>
      <c r="J93" s="7">
        <f ca="1">IFERROR(__xludf.DUMMYFUNCTION("GOOGLEFINANCE(""NSE:""&amp;D93,""marketcap"")"),1200685857)</f>
        <v>1200685857</v>
      </c>
      <c r="K93" s="7">
        <v>992.8</v>
      </c>
      <c r="L93" s="8">
        <f ca="1">IFERROR(__xludf.DUMMYFUNCTION("GOOGLEFINANCE(""NSE:""&amp;D93,""price"")"),1033)</f>
        <v>1033</v>
      </c>
      <c r="M93" s="9">
        <f t="shared" ca="1" si="2"/>
        <v>40.200000000000045</v>
      </c>
      <c r="N93" s="10">
        <f t="shared" ca="1" si="3"/>
        <v>4.049153908138603</v>
      </c>
      <c r="O93" s="7">
        <f ca="1">IFERROR(__xludf.DUMMYFUNCTION("GOOGLEFINANCE(""NSE:""&amp;D93,""pe"")"),19.16)</f>
        <v>19.16</v>
      </c>
      <c r="P93" s="7">
        <f ca="1">IFERROR(__xludf.DUMMYFUNCTION("GOOGLEFINANCE(""NSE:""&amp;D93,""EPS"")"),53.91)</f>
        <v>53.91</v>
      </c>
      <c r="Q93" s="7">
        <v>13.5</v>
      </c>
      <c r="R93" s="7" t="str">
        <f ca="1">IFERROR(__xludf.DUMMYFUNCTION("IMPORTXML(E93,""/html/body/main/div[3]/div[3]/div[2]/ul/li[7]/span[2]/span"")"),"Loading...")</f>
        <v>Loading...</v>
      </c>
      <c r="S93" s="7" t="str">
        <f ca="1">IFERROR(__xludf.DUMMYFUNCTION("IMPORTXML(E93,""/html/body/main/div[3]/div[3]/div[2]/ul/li[8]/span[2]/span"")"),"Loading...")</f>
        <v>Loading...</v>
      </c>
      <c r="T93" s="4">
        <v>34.6</v>
      </c>
      <c r="U93" s="4">
        <v>22.7</v>
      </c>
      <c r="V93" s="4">
        <v>2.6</v>
      </c>
      <c r="W93" s="4">
        <v>5.7</v>
      </c>
      <c r="X93" s="4">
        <v>519.92999999999995</v>
      </c>
      <c r="Y93" s="7">
        <f t="shared" ca="1" si="4"/>
        <v>513.07000000000005</v>
      </c>
    </row>
    <row r="94" spans="1:25" ht="15" x14ac:dyDescent="0.25">
      <c r="A94" s="4">
        <v>862</v>
      </c>
      <c r="C94" s="12" t="s">
        <v>733</v>
      </c>
      <c r="D94" s="12" t="s">
        <v>734</v>
      </c>
      <c r="E94" s="5" t="str">
        <f t="shared" si="0"/>
        <v>https://www.screener.in/company/COSMOFIRST/consolidated/</v>
      </c>
      <c r="F94" s="4">
        <v>443059</v>
      </c>
      <c r="G94" s="4">
        <v>3832241897</v>
      </c>
      <c r="H94" s="6">
        <f t="shared" ca="1" si="1"/>
        <v>370577.7914399</v>
      </c>
      <c r="I94" s="7" t="str">
        <f ca="1">IFERROR(__xludf.DUMMYFUNCTION("IMPORTXML(E94,""/html/body/main/div[3]/div[3]/div[2]/ul/li[5]/span[2]/span"")"),"Loading...")</f>
        <v>Loading...</v>
      </c>
      <c r="J94" s="7">
        <f ca="1">IFERROR(__xludf.DUMMYFUNCTION("GOOGLEFINANCE(""NSE:""&amp;D94,""marketcap"")"),24867200000)</f>
        <v>24867200000</v>
      </c>
      <c r="K94" s="7">
        <v>992.8</v>
      </c>
      <c r="L94" s="8">
        <f ca="1">IFERROR(__xludf.DUMMYFUNCTION("GOOGLEFINANCE(""NSE:""&amp;D94,""price"")"),967)</f>
        <v>967</v>
      </c>
      <c r="M94" s="9">
        <f t="shared" ca="1" si="2"/>
        <v>-25.799999999999955</v>
      </c>
      <c r="N94" s="10">
        <f t="shared" ca="1" si="3"/>
        <v>-2.598710717163573</v>
      </c>
      <c r="O94" s="7">
        <f ca="1">IFERROR(__xludf.DUMMYFUNCTION("GOOGLEFINANCE(""NSE:""&amp;D94,""pe"")"),6.67)</f>
        <v>6.67</v>
      </c>
      <c r="P94" s="7">
        <f ca="1">IFERROR(__xludf.DUMMYFUNCTION("GOOGLEFINANCE(""NSE:""&amp;D94,""EPS"")"),146.6)</f>
        <v>146.6</v>
      </c>
      <c r="Q94" s="7">
        <v>13.5</v>
      </c>
      <c r="R94" s="7" t="str">
        <f ca="1">IFERROR(__xludf.DUMMYFUNCTION("IMPORTXML(E94,""/html/body/main/div[3]/div[3]/div[2]/ul/li[7]/span[2]/span"")"),"Loading...")</f>
        <v>Loading...</v>
      </c>
      <c r="S94" s="7" t="str">
        <f ca="1">IFERROR(__xludf.DUMMYFUNCTION("IMPORTXML(E94,""/html/body/main/div[3]/div[3]/div[2]/ul/li[8]/span[2]/span"")"),"Loading...")</f>
        <v>Loading...</v>
      </c>
      <c r="T94" s="4">
        <v>34.6</v>
      </c>
      <c r="U94" s="4">
        <v>22.7</v>
      </c>
      <c r="V94" s="4">
        <v>2.6</v>
      </c>
      <c r="W94" s="4">
        <v>5.7</v>
      </c>
      <c r="X94" s="4">
        <v>519.92999999999995</v>
      </c>
      <c r="Y94" s="7">
        <f t="shared" ca="1" si="4"/>
        <v>447.07000000000005</v>
      </c>
    </row>
    <row r="95" spans="1:25" ht="15" x14ac:dyDescent="0.25">
      <c r="A95" s="4">
        <v>3036</v>
      </c>
      <c r="C95" s="12" t="s">
        <v>735</v>
      </c>
      <c r="D95" s="12" t="s">
        <v>736</v>
      </c>
      <c r="E95" s="5" t="str">
        <f t="shared" si="0"/>
        <v>https://www.screener.in/company/LIBAS/consolidated/</v>
      </c>
      <c r="F95" s="4">
        <v>443059</v>
      </c>
      <c r="G95" s="4">
        <v>3832241897</v>
      </c>
      <c r="H95" s="6">
        <f t="shared" ca="1" si="1"/>
        <v>4560.3678574300002</v>
      </c>
      <c r="I95" s="7" t="str">
        <f ca="1">IFERROR(__xludf.DUMMYFUNCTION("IMPORTXML(E95,""/html/body/main/div[3]/div[3]/div[2]/ul/li[5]/span[2]/span"")"),"Loading...")</f>
        <v>Loading...</v>
      </c>
      <c r="J95" s="7">
        <f ca="1">IFERROR(__xludf.DUMMYFUNCTION("GOOGLEFINANCE(""NSE:""&amp;D95,""marketcap"")"),316134900)</f>
        <v>316134900</v>
      </c>
      <c r="K95" s="7">
        <v>992.8</v>
      </c>
      <c r="L95" s="8">
        <f ca="1">IFERROR(__xludf.DUMMYFUNCTION("GOOGLEFINANCE(""NSE:""&amp;D95,""price"")"),11.9)</f>
        <v>11.9</v>
      </c>
      <c r="M95" s="9">
        <f t="shared" ca="1" si="2"/>
        <v>-980.9</v>
      </c>
      <c r="N95" s="10">
        <f t="shared" ca="1" si="3"/>
        <v>-98.801369863013704</v>
      </c>
      <c r="O95" s="7">
        <f ca="1">IFERROR(__xludf.DUMMYFUNCTION("GOOGLEFINANCE(""NSE:""&amp;D95,""pe"")"),238)</f>
        <v>238</v>
      </c>
      <c r="P95" s="7">
        <f ca="1">IFERROR(__xludf.DUMMYFUNCTION("GOOGLEFINANCE(""NSE:""&amp;D95,""EPS"")"),0.05)</f>
        <v>0.05</v>
      </c>
      <c r="Q95" s="7">
        <v>13.5</v>
      </c>
      <c r="R95" s="7" t="str">
        <f ca="1">IFERROR(__xludf.DUMMYFUNCTION("IMPORTXML(E95,""/html/body/main/div[3]/div[3]/div[2]/ul/li[7]/span[2]/span"")"),"Loading...")</f>
        <v>Loading...</v>
      </c>
      <c r="S95" s="7" t="str">
        <f ca="1">IFERROR(__xludf.DUMMYFUNCTION("IMPORTXML(E95,""/html/body/main/div[3]/div[3]/div[2]/ul/li[8]/span[2]/span"")"),"Loading...")</f>
        <v>Loading...</v>
      </c>
      <c r="T95" s="4">
        <v>34.6</v>
      </c>
      <c r="U95" s="4">
        <v>22.7</v>
      </c>
      <c r="V95" s="4">
        <v>2.6</v>
      </c>
      <c r="W95" s="4">
        <v>5.7</v>
      </c>
      <c r="X95" s="4">
        <v>519.92999999999995</v>
      </c>
      <c r="Y95" s="7">
        <f t="shared" ca="1" si="4"/>
        <v>-508.03</v>
      </c>
    </row>
    <row r="96" spans="1:25" ht="15" x14ac:dyDescent="0.25">
      <c r="A96" s="4">
        <v>384</v>
      </c>
      <c r="C96" s="12" t="s">
        <v>737</v>
      </c>
      <c r="D96" s="12" t="s">
        <v>738</v>
      </c>
      <c r="E96" s="5" t="str">
        <f t="shared" si="0"/>
        <v>https://www.screener.in/company/UJJIVANSFB/consolidated/</v>
      </c>
      <c r="F96" s="4">
        <v>443059</v>
      </c>
      <c r="G96" s="4">
        <v>3832241897</v>
      </c>
      <c r="H96" s="6">
        <f t="shared" ca="1" si="1"/>
        <v>16333.014965013999</v>
      </c>
      <c r="I96" s="7" t="str">
        <f ca="1">IFERROR(__xludf.DUMMYFUNCTION("IMPORTXML(E96,""/html/body/main/div[3]/div[3]/div[2]/ul/li[5]/span[2]/span"")"),"Loading...")</f>
        <v>Loading...</v>
      </c>
      <c r="J96" s="7">
        <f ca="1">IFERROR(__xludf.DUMMYFUNCTION("GOOGLEFINANCE(""NSE:""&amp;D96,""marketcap"")"),82523825331)</f>
        <v>82523825331</v>
      </c>
      <c r="K96" s="7">
        <v>992.8</v>
      </c>
      <c r="L96" s="8">
        <f ca="1">IFERROR(__xludf.DUMMYFUNCTION("GOOGLEFINANCE(""NSE:""&amp;D96,""price"")"),42.62)</f>
        <v>42.62</v>
      </c>
      <c r="M96" s="9">
        <f t="shared" ca="1" si="2"/>
        <v>-950.18</v>
      </c>
      <c r="N96" s="10">
        <f t="shared" ca="1" si="3"/>
        <v>-95.70709105560033</v>
      </c>
      <c r="O96" s="7">
        <f ca="1">IFERROR(__xludf.DUMMYFUNCTION("GOOGLEFINANCE(""NSE:""&amp;D96,""pe"")"),15.74)</f>
        <v>15.74</v>
      </c>
      <c r="P96" s="7">
        <f ca="1">IFERROR(__xludf.DUMMYFUNCTION("GOOGLEFINANCE(""NSE:""&amp;D96,""EPS"")"),2.71)</f>
        <v>2.71</v>
      </c>
      <c r="Q96" s="7">
        <v>13.5</v>
      </c>
      <c r="R96" s="7" t="str">
        <f ca="1">IFERROR(__xludf.DUMMYFUNCTION("IMPORTXML(E96,""/html/body/main/div[3]/div[3]/div[2]/ul/li[7]/span[2]/span"")"),"Loading...")</f>
        <v>Loading...</v>
      </c>
      <c r="S96" s="7" t="str">
        <f ca="1">IFERROR(__xludf.DUMMYFUNCTION("IMPORTXML(E96,""/html/body/main/div[3]/div[3]/div[2]/ul/li[8]/span[2]/span"")"),"Loading...")</f>
        <v>Loading...</v>
      </c>
      <c r="T96" s="4">
        <v>34.6</v>
      </c>
      <c r="U96" s="4">
        <v>22.7</v>
      </c>
      <c r="V96" s="4">
        <v>2.6</v>
      </c>
      <c r="W96" s="4">
        <v>5.7</v>
      </c>
      <c r="X96" s="4">
        <v>519.92999999999995</v>
      </c>
      <c r="Y96" s="7">
        <f t="shared" ca="1" si="4"/>
        <v>-477.30999999999995</v>
      </c>
    </row>
    <row r="97" spans="1:25" ht="15" x14ac:dyDescent="0.25">
      <c r="A97" s="4">
        <v>2125</v>
      </c>
      <c r="C97" s="12" t="s">
        <v>739</v>
      </c>
      <c r="D97" s="12" t="s">
        <v>740</v>
      </c>
      <c r="E97" s="5" t="str">
        <f t="shared" si="0"/>
        <v>https://www.screener.in/company/DCM/consolidated/</v>
      </c>
      <c r="F97" s="4">
        <v>443059</v>
      </c>
      <c r="G97" s="4">
        <v>3832241897</v>
      </c>
      <c r="H97" s="6">
        <f t="shared" ca="1" si="1"/>
        <v>38322.418969999999</v>
      </c>
      <c r="I97" s="7" t="str">
        <f ca="1">IFERROR(__xludf.DUMMYFUNCTION("IMPORTXML(E97,""/html/body/main/div[3]/div[3]/div[2]/ul/li[5]/span[2]/span"")"),"Loading...")</f>
        <v>Loading...</v>
      </c>
      <c r="J97" s="7">
        <f ca="1">IFERROR(__xludf.DUMMYFUNCTION("GOOGLEFINANCE(""NSE:""&amp;D97,""marketcap"")"),1866841000)</f>
        <v>1866841000</v>
      </c>
      <c r="K97" s="7">
        <v>992.8</v>
      </c>
      <c r="L97" s="8">
        <f ca="1">IFERROR(__xludf.DUMMYFUNCTION("GOOGLEFINANCE(""NSE:""&amp;D97,""price"")"),100)</f>
        <v>100</v>
      </c>
      <c r="M97" s="9">
        <f t="shared" ca="1" si="2"/>
        <v>-892.8</v>
      </c>
      <c r="N97" s="10">
        <f t="shared" ca="1" si="3"/>
        <v>-89.927477840451246</v>
      </c>
      <c r="O97" s="7">
        <f ca="1">IFERROR(__xludf.DUMMYFUNCTION("GOOGLEFINANCE(""NSE:""&amp;D97,""pe"")"),7.34)</f>
        <v>7.34</v>
      </c>
      <c r="P97" s="7">
        <f ca="1">IFERROR(__xludf.DUMMYFUNCTION("GOOGLEFINANCE(""NSE:""&amp;D97,""EPS"")"),13.62)</f>
        <v>13.62</v>
      </c>
      <c r="Q97" s="7">
        <v>13.5</v>
      </c>
      <c r="R97" s="7" t="str">
        <f ca="1">IFERROR(__xludf.DUMMYFUNCTION("IMPORTXML(E97,""/html/body/main/div[3]/div[3]/div[2]/ul/li[7]/span[2]/span"")"),"Loading...")</f>
        <v>Loading...</v>
      </c>
      <c r="S97" s="7" t="str">
        <f ca="1">IFERROR(__xludf.DUMMYFUNCTION("IMPORTXML(E97,""/html/body/main/div[3]/div[3]/div[2]/ul/li[8]/span[2]/span"")"),"Loading...")</f>
        <v>Loading...</v>
      </c>
      <c r="T97" s="4">
        <v>34.6</v>
      </c>
      <c r="U97" s="4">
        <v>22.7</v>
      </c>
      <c r="V97" s="4">
        <v>2.6</v>
      </c>
      <c r="W97" s="4">
        <v>5.7</v>
      </c>
      <c r="X97" s="4">
        <v>519.92999999999995</v>
      </c>
      <c r="Y97" s="7">
        <f t="shared" ca="1" si="4"/>
        <v>-419.92999999999995</v>
      </c>
    </row>
    <row r="98" spans="1:25" ht="15" x14ac:dyDescent="0.25">
      <c r="A98" s="4">
        <v>245</v>
      </c>
      <c r="C98" s="12" t="s">
        <v>741</v>
      </c>
      <c r="D98" s="12" t="s">
        <v>742</v>
      </c>
      <c r="E98" s="5" t="str">
        <f t="shared" si="0"/>
        <v>https://www.screener.in/company/SAMMAANCAP/consolidated/</v>
      </c>
      <c r="F98" s="4">
        <v>443059</v>
      </c>
      <c r="G98" s="4">
        <v>3832241897</v>
      </c>
      <c r="H98" s="6">
        <f t="shared" ca="1" si="1"/>
        <v>52865.776969114995</v>
      </c>
      <c r="I98" s="7" t="str">
        <f ca="1">IFERROR(__xludf.DUMMYFUNCTION("IMPORTXML(E98,""/html/body/main/div[3]/div[3]/div[2]/ul/li[5]/span[2]/span"")"),"Loading...")</f>
        <v>Loading...</v>
      </c>
      <c r="J98" s="7">
        <f ca="1">IFERROR(__xludf.DUMMYFUNCTION("GOOGLEFINANCE(""NSE:""&amp;D98,""marketcap"")"),112571300000)</f>
        <v>112571300000</v>
      </c>
      <c r="K98" s="7">
        <v>992.8</v>
      </c>
      <c r="L98" s="8">
        <f ca="1">IFERROR(__xludf.DUMMYFUNCTION("GOOGLEFINANCE(""NSE:""&amp;D98,""price"")"),137.95)</f>
        <v>137.94999999999999</v>
      </c>
      <c r="M98" s="9">
        <f t="shared" ca="1" si="2"/>
        <v>-854.84999999999991</v>
      </c>
      <c r="N98" s="10">
        <f t="shared" ca="1" si="3"/>
        <v>-86.104955680902492</v>
      </c>
      <c r="O98" s="7">
        <f ca="1">IFERROR(__xludf.DUMMYFUNCTION("GOOGLEFINANCE(""NSE:""&amp;D98,""pe"")"),6.98)</f>
        <v>6.98</v>
      </c>
      <c r="P98" s="7">
        <f ca="1">IFERROR(__xludf.DUMMYFUNCTION("GOOGLEFINANCE(""NSE:""&amp;D98,""EPS"")"),23.59)</f>
        <v>23.59</v>
      </c>
      <c r="Q98" s="7">
        <v>13.5</v>
      </c>
      <c r="R98" s="7" t="str">
        <f ca="1">IFERROR(__xludf.DUMMYFUNCTION("IMPORTXML(E98,""/html/body/main/div[3]/div[3]/div[2]/ul/li[7]/span[2]/span"")"),"Loading...")</f>
        <v>Loading...</v>
      </c>
      <c r="S98" s="7" t="str">
        <f ca="1">IFERROR(__xludf.DUMMYFUNCTION("IMPORTXML(E98,""/html/body/main/div[3]/div[3]/div[2]/ul/li[8]/span[2]/span"")"),"Loading...")</f>
        <v>Loading...</v>
      </c>
      <c r="T98" s="4">
        <v>34.6</v>
      </c>
      <c r="U98" s="4">
        <v>22.7</v>
      </c>
      <c r="V98" s="4">
        <v>2.6</v>
      </c>
      <c r="W98" s="4">
        <v>5.7</v>
      </c>
      <c r="X98" s="4">
        <v>519.92999999999995</v>
      </c>
      <c r="Y98" s="7">
        <f t="shared" ca="1" si="4"/>
        <v>-381.97999999999996</v>
      </c>
    </row>
    <row r="99" spans="1:25" ht="15" x14ac:dyDescent="0.25">
      <c r="A99" s="4">
        <v>494</v>
      </c>
      <c r="C99" s="12" t="s">
        <v>743</v>
      </c>
      <c r="D99" s="12" t="s">
        <v>744</v>
      </c>
      <c r="E99" s="5" t="str">
        <f t="shared" si="0"/>
        <v>https://www.screener.in/company/JSFB/consolidated/</v>
      </c>
      <c r="F99" s="4">
        <v>443059</v>
      </c>
      <c r="G99" s="4">
        <v>3832241897</v>
      </c>
      <c r="H99" s="6">
        <f t="shared" ca="1" si="1"/>
        <v>187588.24085815001</v>
      </c>
      <c r="I99" s="7" t="str">
        <f ca="1">IFERROR(__xludf.DUMMYFUNCTION("IMPORTXML(E99,""/html/body/main/div[3]/div[3]/div[2]/ul/li[5]/span[2]/span"")"),"Loading...")</f>
        <v>Loading...</v>
      </c>
      <c r="J99" s="7">
        <f ca="1">IFERROR(__xludf.DUMMYFUNCTION("GOOGLEFINANCE(""NSE:""&amp;D99,""marketcap"")"),51539964000)</f>
        <v>51539964000</v>
      </c>
      <c r="K99" s="7">
        <v>992.8</v>
      </c>
      <c r="L99" s="8">
        <f ca="1">IFERROR(__xludf.DUMMYFUNCTION("GOOGLEFINANCE(""NSE:""&amp;D99,""price"")"),489.5)</f>
        <v>489.5</v>
      </c>
      <c r="M99" s="9">
        <f t="shared" ca="1" si="2"/>
        <v>-503.29999999999995</v>
      </c>
      <c r="N99" s="10">
        <f t="shared" ca="1" si="3"/>
        <v>-50.695004029008864</v>
      </c>
      <c r="O99" s="7">
        <f ca="1">IFERROR(__xludf.DUMMYFUNCTION("GOOGLEFINANCE(""NSE:""&amp;D99,""pe"")"),11.93)</f>
        <v>11.93</v>
      </c>
      <c r="P99" s="7">
        <f ca="1">IFERROR(__xludf.DUMMYFUNCTION("GOOGLEFINANCE(""NSE:""&amp;D99,""EPS"")"),41.03)</f>
        <v>41.03</v>
      </c>
      <c r="Q99" s="7">
        <v>13.5</v>
      </c>
      <c r="R99" s="7" t="str">
        <f ca="1">IFERROR(__xludf.DUMMYFUNCTION("IMPORTXML(E99,""/html/body/main/div[3]/div[3]/div[2]/ul/li[7]/span[2]/span"")"),"Loading...")</f>
        <v>Loading...</v>
      </c>
      <c r="S99" s="7" t="str">
        <f ca="1">IFERROR(__xludf.DUMMYFUNCTION("IMPORTXML(E99,""/html/body/main/div[3]/div[3]/div[2]/ul/li[8]/span[2]/span"")"),"Loading...")</f>
        <v>Loading...</v>
      </c>
      <c r="T99" s="4">
        <v>34.6</v>
      </c>
      <c r="U99" s="4">
        <v>22.7</v>
      </c>
      <c r="V99" s="4">
        <v>2.6</v>
      </c>
      <c r="W99" s="4">
        <v>5.7</v>
      </c>
      <c r="X99" s="4">
        <v>519.92999999999995</v>
      </c>
      <c r="Y99" s="7">
        <f t="shared" ca="1" si="4"/>
        <v>-30.42999999999995</v>
      </c>
    </row>
    <row r="100" spans="1:25" ht="15" x14ac:dyDescent="0.25">
      <c r="A100" s="4">
        <v>1050</v>
      </c>
      <c r="C100" s="12" t="s">
        <v>745</v>
      </c>
      <c r="D100" s="12" t="s">
        <v>746</v>
      </c>
      <c r="E100" s="5" t="str">
        <f t="shared" si="0"/>
        <v>https://www.screener.in/company/VASCONEQ/consolidated/</v>
      </c>
      <c r="F100" s="4">
        <v>443059</v>
      </c>
      <c r="G100" s="4">
        <v>3832241897</v>
      </c>
      <c r="H100" s="6">
        <f t="shared" ca="1" si="1"/>
        <v>21613.844299079999</v>
      </c>
      <c r="I100" s="7" t="str">
        <f ca="1">IFERROR(__xludf.DUMMYFUNCTION("IMPORTXML(E100,""/html/body/main/div[3]/div[3]/div[2]/ul/li[5]/span[2]/span"")"),"Loading...")</f>
        <v>Loading...</v>
      </c>
      <c r="J100" s="7">
        <f ca="1">IFERROR(__xludf.DUMMYFUNCTION("GOOGLEFINANCE(""NSE:""&amp;D100,""marketcap"")"),12762587145)</f>
        <v>12762587145</v>
      </c>
      <c r="K100" s="7">
        <v>992.8</v>
      </c>
      <c r="L100" s="8">
        <f ca="1">IFERROR(__xludf.DUMMYFUNCTION("GOOGLEFINANCE(""NSE:""&amp;D100,""price"")"),56.4)</f>
        <v>56.4</v>
      </c>
      <c r="M100" s="9">
        <f t="shared" ca="1" si="2"/>
        <v>-936.4</v>
      </c>
      <c r="N100" s="10">
        <f t="shared" ca="1" si="3"/>
        <v>-94.3190975020145</v>
      </c>
      <c r="O100" s="7">
        <f ca="1">IFERROR(__xludf.DUMMYFUNCTION("GOOGLEFINANCE(""NSE:""&amp;D100,""pe"")"),8.85)</f>
        <v>8.85</v>
      </c>
      <c r="P100" s="7">
        <f ca="1">IFERROR(__xludf.DUMMYFUNCTION("GOOGLEFINANCE(""NSE:""&amp;D100,""EPS"")"),6.37)</f>
        <v>6.37</v>
      </c>
      <c r="Q100" s="7">
        <v>13.5</v>
      </c>
      <c r="R100" s="7" t="str">
        <f ca="1">IFERROR(__xludf.DUMMYFUNCTION("IMPORTXML(E100,""/html/body/main/div[3]/div[3]/div[2]/ul/li[7]/span[2]/span"")"),"Loading...")</f>
        <v>Loading...</v>
      </c>
      <c r="S100" s="7" t="str">
        <f ca="1">IFERROR(__xludf.DUMMYFUNCTION("IMPORTXML(E100,""/html/body/main/div[3]/div[3]/div[2]/ul/li[8]/span[2]/span"")"),"Loading...")</f>
        <v>Loading...</v>
      </c>
      <c r="T100" s="4">
        <v>34.6</v>
      </c>
      <c r="U100" s="4">
        <v>22.7</v>
      </c>
      <c r="V100" s="4">
        <v>2.6</v>
      </c>
      <c r="W100" s="4">
        <v>5.7</v>
      </c>
      <c r="X100" s="4">
        <v>519.92999999999995</v>
      </c>
      <c r="Y100" s="7">
        <f t="shared" ca="1" si="4"/>
        <v>-463.53</v>
      </c>
    </row>
    <row r="101" spans="1:25" ht="15" x14ac:dyDescent="0.25">
      <c r="A101" s="4">
        <v>481</v>
      </c>
      <c r="C101" s="12" t="s">
        <v>747</v>
      </c>
      <c r="D101" s="12" t="s">
        <v>748</v>
      </c>
      <c r="E101" s="5" t="str">
        <f t="shared" si="0"/>
        <v>https://www.screener.in/company/PTC/consolidated/</v>
      </c>
      <c r="F101" s="4">
        <v>443059</v>
      </c>
      <c r="G101" s="4">
        <v>3832241897</v>
      </c>
      <c r="H101" s="6">
        <f t="shared" ca="1" si="1"/>
        <v>67336.322372187002</v>
      </c>
      <c r="I101" s="7">
        <f ca="1">IFERROR(__xludf.DUMMYFUNCTION("IMPORTXML(E101,""/html/body/main/div[3]/div[3]/div[2]/ul/li[5]/span[2]/span"")"),196)</f>
        <v>196</v>
      </c>
      <c r="J101" s="7">
        <f ca="1">IFERROR(__xludf.DUMMYFUNCTION("GOOGLEFINANCE(""NSE:""&amp;D101,""marketcap"")"),52103323624)</f>
        <v>52103323624</v>
      </c>
      <c r="K101" s="7">
        <v>992.8</v>
      </c>
      <c r="L101" s="8">
        <f ca="1">IFERROR(__xludf.DUMMYFUNCTION("GOOGLEFINANCE(""NSE:""&amp;D101,""price"")"),175.71)</f>
        <v>175.71</v>
      </c>
      <c r="M101" s="9">
        <f t="shared" ca="1" si="2"/>
        <v>-817.08999999999992</v>
      </c>
      <c r="N101" s="10">
        <f t="shared" ca="1" si="3"/>
        <v>-82.30157131345689</v>
      </c>
      <c r="O101" s="7">
        <f ca="1">IFERROR(__xludf.DUMMYFUNCTION("GOOGLEFINANCE(""NSE:""&amp;D101,""pe"")"),5.65)</f>
        <v>5.65</v>
      </c>
      <c r="P101" s="7">
        <f ca="1">IFERROR(__xludf.DUMMYFUNCTION("GOOGLEFINANCE(""NSE:""&amp;D101,""EPS"")"),31.12)</f>
        <v>31.12</v>
      </c>
      <c r="Q101" s="7">
        <v>13.5</v>
      </c>
      <c r="R101" s="7" t="str">
        <f ca="1">IFERROR(__xludf.DUMMYFUNCTION("IMPORTXML(E101,""/html/body/main/div[3]/div[3]/div[2]/ul/li[7]/span[2]/span"")"),"Loading...")</f>
        <v>Loading...</v>
      </c>
      <c r="S101" s="7" t="str">
        <f ca="1">IFERROR(__xludf.DUMMYFUNCTION("IMPORTXML(E101,""/html/body/main/div[3]/div[3]/div[2]/ul/li[8]/span[2]/span"")"),"Loading...")</f>
        <v>Loading...</v>
      </c>
      <c r="T101" s="4">
        <v>34.6</v>
      </c>
      <c r="U101" s="4">
        <v>22.7</v>
      </c>
      <c r="V101" s="4">
        <v>2.6</v>
      </c>
      <c r="W101" s="4">
        <v>5.7</v>
      </c>
      <c r="X101" s="4">
        <v>519.92999999999995</v>
      </c>
      <c r="Y101" s="7">
        <f t="shared" ca="1" si="4"/>
        <v>-344.21999999999991</v>
      </c>
    </row>
    <row r="102" spans="1:25" ht="15" x14ac:dyDescent="0.25">
      <c r="A102" s="4">
        <v>143</v>
      </c>
      <c r="C102" s="12" t="s">
        <v>749</v>
      </c>
      <c r="D102" s="12" t="s">
        <v>750</v>
      </c>
      <c r="E102" s="5" t="str">
        <f t="shared" si="0"/>
        <v>https://www.screener.in/company/BSOFT/consolidated/</v>
      </c>
      <c r="F102" s="4">
        <v>443059</v>
      </c>
      <c r="G102" s="4">
        <v>3832241897</v>
      </c>
      <c r="H102" s="6">
        <f t="shared" ca="1" si="1"/>
        <v>143996.48927977501</v>
      </c>
      <c r="I102" s="7" t="str">
        <f ca="1">IFERROR(__xludf.DUMMYFUNCTION("IMPORTXML(E102,""/html/body/main/div[3]/div[3]/div[2]/ul/li[5]/span[2]/span"")"),"Loading...")</f>
        <v>Loading...</v>
      </c>
      <c r="J102" s="7">
        <f ca="1">IFERROR(__xludf.DUMMYFUNCTION("GOOGLEFINANCE(""NSE:""&amp;D102,""marketcap"")"),103449205783)</f>
        <v>103449205783</v>
      </c>
      <c r="K102" s="7">
        <v>992.8</v>
      </c>
      <c r="L102" s="8">
        <f ca="1">IFERROR(__xludf.DUMMYFUNCTION("GOOGLEFINANCE(""NSE:""&amp;D102,""price"")"),375.75)</f>
        <v>375.75</v>
      </c>
      <c r="M102" s="9">
        <f t="shared" ca="1" si="2"/>
        <v>-617.04999999999995</v>
      </c>
      <c r="N102" s="10">
        <f t="shared" ca="1" si="3"/>
        <v>-62.152497985495572</v>
      </c>
      <c r="O102" s="7">
        <f ca="1">IFERROR(__xludf.DUMMYFUNCTION("GOOGLEFINANCE(""NSE:""&amp;D102,""pe"")"),7.19)</f>
        <v>7.19</v>
      </c>
      <c r="P102" s="7">
        <f ca="1">IFERROR(__xludf.DUMMYFUNCTION("GOOGLEFINANCE(""NSE:""&amp;D102,""EPS"")"),15.01)</f>
        <v>15.01</v>
      </c>
      <c r="Q102" s="7">
        <v>13.5</v>
      </c>
      <c r="R102" s="7" t="str">
        <f ca="1">IFERROR(__xludf.DUMMYFUNCTION("IMPORTXML(E102,""/html/body/main/div[3]/div[3]/div[2]/ul/li[7]/span[2]/span"")"),"Loading...")</f>
        <v>Loading...</v>
      </c>
      <c r="S102" s="7" t="str">
        <f ca="1">IFERROR(__xludf.DUMMYFUNCTION("IMPORTXML(E102,""/html/body/main/div[3]/div[3]/div[2]/ul/li[8]/span[2]/span"")"),"Loading...")</f>
        <v>Loading...</v>
      </c>
      <c r="T102" s="4">
        <v>34.6</v>
      </c>
      <c r="U102" s="4">
        <v>22.7</v>
      </c>
      <c r="V102" s="4">
        <v>2.6</v>
      </c>
      <c r="W102" s="4">
        <v>5.7</v>
      </c>
      <c r="X102" s="4">
        <v>519.92999999999995</v>
      </c>
      <c r="Y102" s="7">
        <f t="shared" ca="1" si="4"/>
        <v>-144.17999999999995</v>
      </c>
    </row>
    <row r="103" spans="1:25" ht="15" x14ac:dyDescent="0.25">
      <c r="A103" s="4">
        <v>811</v>
      </c>
      <c r="C103" s="12" t="s">
        <v>751</v>
      </c>
      <c r="D103" s="12" t="s">
        <v>752</v>
      </c>
      <c r="E103" s="5" t="str">
        <f t="shared" si="0"/>
        <v>https://www.screener.in/company/DEN/consolidated/</v>
      </c>
      <c r="F103" s="4">
        <v>443059</v>
      </c>
      <c r="G103" s="4">
        <v>3832241897</v>
      </c>
      <c r="H103" s="6">
        <f t="shared" ca="1" si="1"/>
        <v>13776.909619715003</v>
      </c>
      <c r="I103" s="7" t="str">
        <f ca="1">IFERROR(__xludf.DUMMYFUNCTION("IMPORTXML(E103,""/html/body/main/div[3]/div[3]/div[2]/ul/li[5]/span[2]/span"")"),"Loading...")</f>
        <v>Loading...</v>
      </c>
      <c r="J103" s="7">
        <f ca="1">IFERROR(__xludf.DUMMYFUNCTION("GOOGLEFINANCE(""NSE:""&amp;D103,""marketcap"")"),17187156453)</f>
        <v>17187156453</v>
      </c>
      <c r="K103" s="7">
        <v>992.8</v>
      </c>
      <c r="L103" s="8">
        <f ca="1">IFERROR(__xludf.DUMMYFUNCTION("GOOGLEFINANCE(""NSE:""&amp;D103,""price"")"),35.95)</f>
        <v>35.950000000000003</v>
      </c>
      <c r="M103" s="9">
        <f t="shared" ca="1" si="2"/>
        <v>-956.84999999999991</v>
      </c>
      <c r="N103" s="10">
        <f t="shared" ca="1" si="3"/>
        <v>-96.378928283642225</v>
      </c>
      <c r="O103" s="7">
        <f ca="1">IFERROR(__xludf.DUMMYFUNCTION("GOOGLEFINANCE(""NSE:""&amp;D103,""pe"")"),8.19)</f>
        <v>8.19</v>
      </c>
      <c r="P103" s="7">
        <f ca="1">IFERROR(__xludf.DUMMYFUNCTION("GOOGLEFINANCE(""NSE:""&amp;D103,""EPS"")"),4.39)</f>
        <v>4.3899999999999997</v>
      </c>
      <c r="Q103" s="7">
        <v>13.5</v>
      </c>
      <c r="R103" s="7" t="str">
        <f ca="1">IFERROR(__xludf.DUMMYFUNCTION("IMPORTXML(E103,""/html/body/main/div[3]/div[3]/div[2]/ul/li[7]/span[2]/span"")"),"Loading...")</f>
        <v>Loading...</v>
      </c>
      <c r="S103" s="7" t="str">
        <f ca="1">IFERROR(__xludf.DUMMYFUNCTION("IMPORTXML(E103,""/html/body/main/div[3]/div[3]/div[2]/ul/li[8]/span[2]/span"")"),"Loading...")</f>
        <v>Loading...</v>
      </c>
      <c r="T103" s="4">
        <v>34.6</v>
      </c>
      <c r="U103" s="4">
        <v>22.7</v>
      </c>
      <c r="V103" s="4">
        <v>2.6</v>
      </c>
      <c r="W103" s="4">
        <v>5.7</v>
      </c>
      <c r="X103" s="4">
        <v>519.92999999999995</v>
      </c>
      <c r="Y103" s="7">
        <f t="shared" ca="1" si="4"/>
        <v>-483.97999999999996</v>
      </c>
    </row>
    <row r="104" spans="1:25" ht="15" x14ac:dyDescent="0.25">
      <c r="A104" s="4">
        <v>2005</v>
      </c>
      <c r="C104" s="12" t="s">
        <v>753</v>
      </c>
      <c r="D104" s="12" t="s">
        <v>754</v>
      </c>
      <c r="E104" s="5" t="str">
        <f t="shared" si="0"/>
        <v>https://www.screener.in/company/CORALFINAC/consolidated/</v>
      </c>
      <c r="F104" s="4">
        <v>443059</v>
      </c>
      <c r="G104" s="4">
        <v>3832241897</v>
      </c>
      <c r="H104" s="6">
        <f t="shared" ca="1" si="1"/>
        <v>16325.350481220001</v>
      </c>
      <c r="I104" s="7" t="str">
        <f ca="1">IFERROR(__xludf.DUMMYFUNCTION("IMPORTXML(E104,""/html/body/main/div[3]/div[3]/div[2]/ul/li[5]/span[2]/span"")"),"Loading...")</f>
        <v>Loading...</v>
      </c>
      <c r="J104" s="7">
        <f ca="1">IFERROR(__xludf.DUMMYFUNCTION("GOOGLEFINANCE(""NSE:""&amp;D104,""marketcap"")"),1729369000)</f>
        <v>1729369000</v>
      </c>
      <c r="K104" s="7">
        <v>992.8</v>
      </c>
      <c r="L104" s="8">
        <f ca="1">IFERROR(__xludf.DUMMYFUNCTION("GOOGLEFINANCE(""NSE:""&amp;D104,""price"")"),42.6)</f>
        <v>42.6</v>
      </c>
      <c r="M104" s="9">
        <f t="shared" ca="1" si="2"/>
        <v>-950.19999999999993</v>
      </c>
      <c r="N104" s="10">
        <f t="shared" ca="1" si="3"/>
        <v>-95.709105560032228</v>
      </c>
      <c r="O104" s="7">
        <f ca="1">IFERROR(__xludf.DUMMYFUNCTION("GOOGLEFINANCE(""NSE:""&amp;D104,""pe"")"),11.36)</f>
        <v>11.36</v>
      </c>
      <c r="P104" s="7">
        <f ca="1">IFERROR(__xludf.DUMMYFUNCTION("GOOGLEFINANCE(""NSE:""&amp;D104,""EPS"")"),3.75)</f>
        <v>3.75</v>
      </c>
      <c r="Q104" s="7">
        <v>13.5</v>
      </c>
      <c r="R104" s="7" t="str">
        <f ca="1">IFERROR(__xludf.DUMMYFUNCTION("IMPORTXML(E104,""/html/body/main/div[3]/div[3]/div[2]/ul/li[7]/span[2]/span"")"),"Loading...")</f>
        <v>Loading...</v>
      </c>
      <c r="S104" s="7" t="str">
        <f ca="1">IFERROR(__xludf.DUMMYFUNCTION("IMPORTXML(E104,""/html/body/main/div[3]/div[3]/div[2]/ul/li[8]/span[2]/span"")"),"Loading...")</f>
        <v>Loading...</v>
      </c>
      <c r="T104" s="4">
        <v>34.6</v>
      </c>
      <c r="U104" s="4">
        <v>22.7</v>
      </c>
      <c r="V104" s="4">
        <v>2.6</v>
      </c>
      <c r="W104" s="4">
        <v>5.7</v>
      </c>
      <c r="X104" s="4">
        <v>519.92999999999995</v>
      </c>
      <c r="Y104" s="7">
        <f t="shared" ca="1" si="4"/>
        <v>-477.32999999999993</v>
      </c>
    </row>
    <row r="105" spans="1:25" ht="15" x14ac:dyDescent="0.25">
      <c r="A105" s="4">
        <v>595</v>
      </c>
      <c r="C105" s="12" t="s">
        <v>755</v>
      </c>
      <c r="D105" s="12" t="s">
        <v>756</v>
      </c>
      <c r="E105" s="5" t="str">
        <f t="shared" si="0"/>
        <v>https://www.screener.in/company/WSTCSTPAPR/consolidated/</v>
      </c>
      <c r="F105" s="4">
        <v>443059</v>
      </c>
      <c r="G105" s="4">
        <v>3832241897</v>
      </c>
      <c r="H105" s="6">
        <f t="shared" ca="1" si="1"/>
        <v>194639.56594862998</v>
      </c>
      <c r="I105" s="7" t="str">
        <f ca="1">IFERROR(__xludf.DUMMYFUNCTION("IMPORTXML(E105,""/html/body/main/div[3]/div[3]/div[2]/ul/li[5]/span[2]/span"")"),"Loading...")</f>
        <v>Loading...</v>
      </c>
      <c r="J105" s="7">
        <f ca="1">IFERROR(__xludf.DUMMYFUNCTION("GOOGLEFINANCE(""NSE:""&amp;D105,""marketcap"")"),33546235906)</f>
        <v>33546235906</v>
      </c>
      <c r="K105" s="7">
        <v>992.8</v>
      </c>
      <c r="L105" s="8">
        <f ca="1">IFERROR(__xludf.DUMMYFUNCTION("GOOGLEFINANCE(""NSE:""&amp;D105,""price"")"),507.9)</f>
        <v>507.9</v>
      </c>
      <c r="M105" s="9">
        <f t="shared" ca="1" si="2"/>
        <v>-484.9</v>
      </c>
      <c r="N105" s="10">
        <f t="shared" ca="1" si="3"/>
        <v>-48.841659951651891</v>
      </c>
      <c r="O105" s="7">
        <f ca="1">IFERROR(__xludf.DUMMYFUNCTION("GOOGLEFINANCE(""NSE:""&amp;D105,""pe"")"),13.33)</f>
        <v>13.33</v>
      </c>
      <c r="P105" s="7">
        <f ca="1">IFERROR(__xludf.DUMMYFUNCTION("GOOGLEFINANCE(""NSE:""&amp;D105,""EPS"")"),38.11)</f>
        <v>38.11</v>
      </c>
      <c r="Q105" s="7">
        <v>13.5</v>
      </c>
      <c r="R105" s="7" t="str">
        <f ca="1">IFERROR(__xludf.DUMMYFUNCTION("IMPORTXML(E105,""/html/body/main/div[3]/div[3]/div[2]/ul/li[7]/span[2]/span"")"),"Loading...")</f>
        <v>Loading...</v>
      </c>
      <c r="S105" s="7" t="str">
        <f ca="1">IFERROR(__xludf.DUMMYFUNCTION("IMPORTXML(E105,""/html/body/main/div[3]/div[3]/div[2]/ul/li[8]/span[2]/span"")"),"Loading...")</f>
        <v>Loading...</v>
      </c>
      <c r="T105" s="4">
        <v>34.6</v>
      </c>
      <c r="U105" s="4">
        <v>22.7</v>
      </c>
      <c r="V105" s="4">
        <v>2.6</v>
      </c>
      <c r="W105" s="4">
        <v>5.7</v>
      </c>
      <c r="X105" s="4">
        <v>519.92999999999995</v>
      </c>
      <c r="Y105" s="7">
        <f t="shared" ca="1" si="4"/>
        <v>-12.029999999999973</v>
      </c>
    </row>
    <row r="106" spans="1:25" ht="15" x14ac:dyDescent="0.25">
      <c r="A106" s="4">
        <v>2285</v>
      </c>
      <c r="C106" s="12" t="s">
        <v>757</v>
      </c>
      <c r="D106" s="12" t="s">
        <v>758</v>
      </c>
      <c r="E106" s="5" t="str">
        <f t="shared" si="0"/>
        <v>https://www.screener.in/company/GLOBE/consolidated/</v>
      </c>
      <c r="F106" s="4">
        <v>443059</v>
      </c>
      <c r="G106" s="4">
        <v>3832241897</v>
      </c>
      <c r="H106" s="6">
        <f t="shared" ca="1" si="1"/>
        <v>850.75770113400006</v>
      </c>
      <c r="I106" s="7" t="str">
        <f ca="1">IFERROR(__xludf.DUMMYFUNCTION("IMPORTXML(E106,""/html/body/main/div[3]/div[3]/div[2]/ul/li[5]/span[2]/span"")"),"Loading...")</f>
        <v>Loading...</v>
      </c>
      <c r="J106" s="7">
        <f ca="1">IFERROR(__xludf.DUMMYFUNCTION("GOOGLEFINANCE(""NSE:""&amp;D106,""marketcap"")"),999929304)</f>
        <v>999929304</v>
      </c>
      <c r="K106" s="7">
        <v>992.8</v>
      </c>
      <c r="L106" s="8">
        <f ca="1">IFERROR(__xludf.DUMMYFUNCTION("GOOGLEFINANCE(""NSE:""&amp;D106,""price"")"),2.22)</f>
        <v>2.2200000000000002</v>
      </c>
      <c r="M106" s="9">
        <f t="shared" ca="1" si="2"/>
        <v>-990.57999999999993</v>
      </c>
      <c r="N106" s="10">
        <f t="shared" ca="1" si="3"/>
        <v>-99.776390008058016</v>
      </c>
      <c r="O106" s="7">
        <f ca="1">IFERROR(__xludf.DUMMYFUNCTION("GOOGLEFINANCE(""NSE:""&amp;D106,""pe"")"),7.67)</f>
        <v>7.67</v>
      </c>
      <c r="P106" s="7">
        <f ca="1">IFERROR(__xludf.DUMMYFUNCTION("GOOGLEFINANCE(""NSE:""&amp;D106,""EPS"")"),0.29)</f>
        <v>0.28999999999999998</v>
      </c>
      <c r="Q106" s="7">
        <v>13.5</v>
      </c>
      <c r="R106" s="7" t="str">
        <f ca="1">IFERROR(__xludf.DUMMYFUNCTION("IMPORTXML(E106,""/html/body/main/div[3]/div[3]/div[2]/ul/li[7]/span[2]/span"")"),"Loading...")</f>
        <v>Loading...</v>
      </c>
      <c r="S106" s="7">
        <f ca="1">IFERROR(__xludf.DUMMYFUNCTION("IMPORTXML(E106,""/html/body/main/div[3]/div[3]/div[2]/ul/li[8]/span[2]/span"")"),6.97)</f>
        <v>6.97</v>
      </c>
      <c r="T106" s="4">
        <v>34.6</v>
      </c>
      <c r="U106" s="4">
        <v>22.7</v>
      </c>
      <c r="V106" s="4">
        <v>2.6</v>
      </c>
      <c r="W106" s="4">
        <v>5.7</v>
      </c>
      <c r="X106" s="4">
        <v>519.92999999999995</v>
      </c>
      <c r="Y106" s="7">
        <f t="shared" ca="1" si="4"/>
        <v>-517.70999999999992</v>
      </c>
    </row>
    <row r="107" spans="1:25" ht="15" x14ac:dyDescent="0.25">
      <c r="A107" s="4">
        <v>1223</v>
      </c>
      <c r="C107" s="12" t="s">
        <v>759</v>
      </c>
      <c r="D107" s="12" t="s">
        <v>760</v>
      </c>
      <c r="E107" s="5" t="str">
        <f t="shared" si="0"/>
        <v>https://www.screener.in/company/GFLLIMITED/consolidated/</v>
      </c>
      <c r="F107" s="4">
        <v>443059</v>
      </c>
      <c r="G107" s="4">
        <v>3832241897</v>
      </c>
      <c r="H107" s="6">
        <f t="shared" ca="1" si="1"/>
        <v>22993.451381999999</v>
      </c>
      <c r="I107" s="7" t="str">
        <f ca="1">IFERROR(__xludf.DUMMYFUNCTION("IMPORTXML(E107,""/html/body/main/div[3]/div[3]/div[2]/ul/li[5]/span[2]/span"")"),"Loading...")</f>
        <v>Loading...</v>
      </c>
      <c r="J107" s="7">
        <f ca="1">IFERROR(__xludf.DUMMYFUNCTION("GOOGLEFINANCE(""NSE:""&amp;D107,""marketcap"")"),6572326000)</f>
        <v>6572326000</v>
      </c>
      <c r="K107" s="7">
        <v>992.8</v>
      </c>
      <c r="L107" s="8">
        <f ca="1">IFERROR(__xludf.DUMMYFUNCTION("GOOGLEFINANCE(""NSE:""&amp;D107,""price"")"),60)</f>
        <v>60</v>
      </c>
      <c r="M107" s="9">
        <f t="shared" ca="1" si="2"/>
        <v>-932.8</v>
      </c>
      <c r="N107" s="10">
        <f t="shared" ca="1" si="3"/>
        <v>-93.956486704270745</v>
      </c>
      <c r="O107" s="7">
        <f ca="1">IFERROR(__xludf.DUMMYFUNCTION("GOOGLEFINANCE(""NSE:""&amp;D107,""pe"")"),7.33)</f>
        <v>7.33</v>
      </c>
      <c r="P107" s="7">
        <f ca="1">IFERROR(__xludf.DUMMYFUNCTION("GOOGLEFINANCE(""NSE:""&amp;D107,""EPS"")"),122.81)</f>
        <v>122.81</v>
      </c>
      <c r="Q107" s="7">
        <v>13.5</v>
      </c>
      <c r="R107" s="7" t="str">
        <f ca="1">IFERROR(__xludf.DUMMYFUNCTION("IMPORTXML(E107,""/html/body/main/div[3]/div[3]/div[2]/ul/li[7]/span[2]/span"")"),"Loading...")</f>
        <v>Loading...</v>
      </c>
      <c r="S107" s="7" t="str">
        <f ca="1">IFERROR(__xludf.DUMMYFUNCTION("IMPORTXML(E107,""/html/body/main/div[3]/div[3]/div[2]/ul/li[8]/span[2]/span"")"),"Loading...")</f>
        <v>Loading...</v>
      </c>
      <c r="T107" s="4">
        <v>34.6</v>
      </c>
      <c r="U107" s="4">
        <v>22.7</v>
      </c>
      <c r="V107" s="4">
        <v>2.6</v>
      </c>
      <c r="W107" s="4">
        <v>5.7</v>
      </c>
      <c r="X107" s="4">
        <v>519.92999999999995</v>
      </c>
      <c r="Y107" s="7">
        <f t="shared" ca="1" si="4"/>
        <v>-459.92999999999995</v>
      </c>
    </row>
    <row r="108" spans="1:25" ht="15" x14ac:dyDescent="0.25">
      <c r="A108" s="4">
        <v>1447</v>
      </c>
      <c r="C108" s="12" t="s">
        <v>761</v>
      </c>
      <c r="D108" s="12" t="s">
        <v>762</v>
      </c>
      <c r="E108" s="5" t="str">
        <f t="shared" si="0"/>
        <v>https://www.screener.in/company/MANAKSIA/consolidated/</v>
      </c>
      <c r="F108" s="4">
        <v>443059</v>
      </c>
      <c r="G108" s="4">
        <v>3832241897</v>
      </c>
      <c r="H108" s="6">
        <f t="shared" ca="1" si="1"/>
        <v>26829.525520897005</v>
      </c>
      <c r="I108" s="7" t="str">
        <f ca="1">IFERROR(__xludf.DUMMYFUNCTION("IMPORTXML(E108,""/html/body/main/div[3]/div[3]/div[2]/ul/li[5]/span[2]/span"")"),"Loading...")</f>
        <v>Loading...</v>
      </c>
      <c r="J108" s="7">
        <f ca="1">IFERROR(__xludf.DUMMYFUNCTION("GOOGLEFINANCE(""NSE:""&amp;D108,""marketcap"")"),4613610845)</f>
        <v>4613610845</v>
      </c>
      <c r="K108" s="7">
        <v>992.8</v>
      </c>
      <c r="L108" s="8">
        <f ca="1">IFERROR(__xludf.DUMMYFUNCTION("GOOGLEFINANCE(""NSE:""&amp;D108,""price"")"),70.01)</f>
        <v>70.010000000000005</v>
      </c>
      <c r="M108" s="9">
        <f t="shared" ca="1" si="2"/>
        <v>-922.79</v>
      </c>
      <c r="N108" s="10">
        <f t="shared" ca="1" si="3"/>
        <v>-92.948227236099925</v>
      </c>
      <c r="O108" s="7">
        <f ca="1">IFERROR(__xludf.DUMMYFUNCTION("GOOGLEFINANCE(""NSE:""&amp;D108,""pe"")"),8.51)</f>
        <v>8.51</v>
      </c>
      <c r="P108" s="7">
        <f ca="1">IFERROR(__xludf.DUMMYFUNCTION("GOOGLEFINANCE(""NSE:""&amp;D108,""EPS"")"),8.23)</f>
        <v>8.23</v>
      </c>
      <c r="Q108" s="7">
        <v>13.5</v>
      </c>
      <c r="R108" s="7" t="str">
        <f ca="1">IFERROR(__xludf.DUMMYFUNCTION("IMPORTXML(E108,""/html/body/main/div[3]/div[3]/div[2]/ul/li[7]/span[2]/span"")"),"Loading...")</f>
        <v>Loading...</v>
      </c>
      <c r="S108" s="7" t="str">
        <f ca="1">IFERROR(__xludf.DUMMYFUNCTION("IMPORTXML(E108,""/html/body/main/div[3]/div[3]/div[2]/ul/li[8]/span[2]/span"")"),"Loading...")</f>
        <v>Loading...</v>
      </c>
      <c r="T108" s="4">
        <v>34.6</v>
      </c>
      <c r="U108" s="4">
        <v>22.7</v>
      </c>
      <c r="V108" s="4">
        <v>2.6</v>
      </c>
      <c r="W108" s="4">
        <v>5.7</v>
      </c>
      <c r="X108" s="4">
        <v>519.92999999999995</v>
      </c>
      <c r="Y108" s="7">
        <f t="shared" ca="1" si="4"/>
        <v>-449.91999999999996</v>
      </c>
    </row>
    <row r="109" spans="1:25" ht="15" x14ac:dyDescent="0.25">
      <c r="A109" s="4">
        <v>1883</v>
      </c>
      <c r="C109" s="12" t="s">
        <v>763</v>
      </c>
      <c r="D109" s="12" t="s">
        <v>764</v>
      </c>
      <c r="E109" s="5" t="str">
        <f t="shared" si="0"/>
        <v>https://www.screener.in/company/OCCL/consolidated/</v>
      </c>
      <c r="F109" s="4">
        <v>443059</v>
      </c>
      <c r="G109" s="4">
        <v>3832241897</v>
      </c>
      <c r="H109" s="6" t="e">
        <f t="shared" ca="1" si="1"/>
        <v>#VALUE!</v>
      </c>
      <c r="I109" s="7" t="str">
        <f ca="1">IFERROR(__xludf.DUMMYFUNCTION("IMPORTXML(E109,""/html/body/main/div[3]/div[3]/div[2]/ul/li[5]/span[2]/span"")"),"Loading...")</f>
        <v>Loading...</v>
      </c>
      <c r="J109" s="7" t="str">
        <f ca="1">IFERROR(__xludf.DUMMYFUNCTION("GOOGLEFINANCE(""NSE:""&amp;D109,""marketcap"")"),"#N/A")</f>
        <v>#N/A</v>
      </c>
      <c r="K109" s="7">
        <v>992.8</v>
      </c>
      <c r="L109" s="8" t="str">
        <f ca="1">IFERROR(__xludf.DUMMYFUNCTION("GOOGLEFINANCE(""NSE:""&amp;D109,""price"")"),"#N/A")</f>
        <v>#N/A</v>
      </c>
      <c r="M109" s="9" t="e">
        <f t="shared" ca="1" si="2"/>
        <v>#VALUE!</v>
      </c>
      <c r="N109" s="10" t="e">
        <f t="shared" ca="1" si="3"/>
        <v>#VALUE!</v>
      </c>
      <c r="O109" s="7" t="str">
        <f ca="1">IFERROR(__xludf.DUMMYFUNCTION("GOOGLEFINANCE(""NSE:""&amp;D109,""pe"")"),"#N/A")</f>
        <v>#N/A</v>
      </c>
      <c r="P109" s="7" t="str">
        <f ca="1">IFERROR(__xludf.DUMMYFUNCTION("GOOGLEFINANCE(""NSE:""&amp;D109,""EPS"")"),"#N/A")</f>
        <v>#N/A</v>
      </c>
      <c r="Q109" s="7">
        <v>13.5</v>
      </c>
      <c r="R109" s="7" t="str">
        <f ca="1">IFERROR(__xludf.DUMMYFUNCTION("IMPORTXML(E109,""/html/body/main/div[3]/div[3]/div[2]/ul/li[7]/span[2]/span"")"),"Loading...")</f>
        <v>Loading...</v>
      </c>
      <c r="S109" s="7" t="str">
        <f ca="1">IFERROR(__xludf.DUMMYFUNCTION("IMPORTXML(E109,""/html/body/main/div[3]/div[3]/div[2]/ul/li[8]/span[2]/span"")"),"Loading...")</f>
        <v>Loading...</v>
      </c>
      <c r="T109" s="4">
        <v>34.6</v>
      </c>
      <c r="U109" s="4">
        <v>22.7</v>
      </c>
      <c r="V109" s="4">
        <v>2.6</v>
      </c>
      <c r="W109" s="4">
        <v>5.7</v>
      </c>
      <c r="X109" s="4">
        <v>519.92999999999995</v>
      </c>
      <c r="Y109" s="7" t="e">
        <f t="shared" ca="1" si="4"/>
        <v>#VALUE!</v>
      </c>
    </row>
    <row r="110" spans="1:25" ht="15" x14ac:dyDescent="0.25">
      <c r="A110" s="4">
        <v>1145</v>
      </c>
      <c r="C110" s="12" t="s">
        <v>765</v>
      </c>
      <c r="D110" s="12" t="s">
        <v>766</v>
      </c>
      <c r="E110" s="5" t="str">
        <f t="shared" si="0"/>
        <v>https://www.screener.in/company/DHUNINV/consolidated/</v>
      </c>
      <c r="F110" s="4">
        <v>443059</v>
      </c>
      <c r="G110" s="4">
        <v>3832241897</v>
      </c>
      <c r="H110" s="6">
        <f t="shared" ca="1" si="1"/>
        <v>542300.55084446992</v>
      </c>
      <c r="I110" s="7" t="str">
        <f ca="1">IFERROR(__xludf.DUMMYFUNCTION("IMPORTXML(E110,""/html/body/main/div[3]/div[3]/div[2]/ul/li[5]/span[2]/span"")"),"Loading...")</f>
        <v>Loading...</v>
      </c>
      <c r="J110" s="7">
        <f ca="1">IFERROR(__xludf.DUMMYFUNCTION("GOOGLEFINANCE(""NSE:""&amp;D110,""marketcap"")"),8635434000)</f>
        <v>8635434000</v>
      </c>
      <c r="K110" s="7">
        <v>992.8</v>
      </c>
      <c r="L110" s="8">
        <f ca="1">IFERROR(__xludf.DUMMYFUNCTION("GOOGLEFINANCE(""NSE:""&amp;D110,""price"")"),1415.1)</f>
        <v>1415.1</v>
      </c>
      <c r="M110" s="9">
        <f t="shared" ca="1" si="2"/>
        <v>422.29999999999995</v>
      </c>
      <c r="N110" s="10">
        <f t="shared" ca="1" si="3"/>
        <v>42.536261079774377</v>
      </c>
      <c r="O110" s="7">
        <f ca="1">IFERROR(__xludf.DUMMYFUNCTION("GOOGLEFINANCE(""NSE:""&amp;D110,""pe"")"),8.89)</f>
        <v>8.89</v>
      </c>
      <c r="P110" s="7">
        <f ca="1">IFERROR(__xludf.DUMMYFUNCTION("GOOGLEFINANCE(""NSE:""&amp;D110,""EPS"")"),159.26)</f>
        <v>159.26</v>
      </c>
      <c r="Q110" s="7">
        <v>13.5</v>
      </c>
      <c r="R110" s="7" t="str">
        <f ca="1">IFERROR(__xludf.DUMMYFUNCTION("IMPORTXML(E110,""/html/body/main/div[3]/div[3]/div[2]/ul/li[7]/span[2]/span"")"),"Loading...")</f>
        <v>Loading...</v>
      </c>
      <c r="S110" s="7" t="str">
        <f ca="1">IFERROR(__xludf.DUMMYFUNCTION("IMPORTXML(E110,""/html/body/main/div[3]/div[3]/div[2]/ul/li[8]/span[2]/span"")"),"Loading...")</f>
        <v>Loading...</v>
      </c>
      <c r="T110" s="4">
        <v>34.6</v>
      </c>
      <c r="U110" s="4">
        <v>22.7</v>
      </c>
      <c r="V110" s="4">
        <v>2.6</v>
      </c>
      <c r="W110" s="4">
        <v>5.7</v>
      </c>
      <c r="X110" s="4">
        <v>519.92999999999995</v>
      </c>
      <c r="Y110" s="7">
        <f t="shared" ca="1" si="4"/>
        <v>895.17</v>
      </c>
    </row>
    <row r="111" spans="1:25" ht="15" x14ac:dyDescent="0.25">
      <c r="A111" s="4">
        <v>1954</v>
      </c>
      <c r="C111" s="12" t="s">
        <v>767</v>
      </c>
      <c r="D111" s="12" t="s">
        <v>768</v>
      </c>
      <c r="E111" s="5" t="str">
        <f t="shared" si="0"/>
        <v>https://www.screener.in/company/JMA/consolidated/</v>
      </c>
      <c r="F111" s="4">
        <v>443059</v>
      </c>
      <c r="G111" s="4">
        <v>3832241897</v>
      </c>
      <c r="H111" s="6">
        <f t="shared" ca="1" si="1"/>
        <v>35260.457694297002</v>
      </c>
      <c r="I111" s="7" t="str">
        <f ca="1">IFERROR(__xludf.DUMMYFUNCTION("IMPORTXML(E111,""/html/body/main/div[3]/div[3]/div[2]/ul/li[5]/span[2]/span"")"),"Loading...")</f>
        <v>Loading...</v>
      </c>
      <c r="J111" s="7">
        <f ca="1">IFERROR(__xludf.DUMMYFUNCTION("GOOGLEFINANCE(""NSE:""&amp;D111,""marketcap"")"),2101604139)</f>
        <v>2101604139</v>
      </c>
      <c r="K111" s="7">
        <v>992.8</v>
      </c>
      <c r="L111" s="8">
        <f ca="1">IFERROR(__xludf.DUMMYFUNCTION("GOOGLEFINANCE(""NSE:""&amp;D111,""price"")"),92.01)</f>
        <v>92.01</v>
      </c>
      <c r="M111" s="9">
        <f t="shared" ca="1" si="2"/>
        <v>-900.79</v>
      </c>
      <c r="N111" s="10">
        <f t="shared" ca="1" si="3"/>
        <v>-90.732272360999204</v>
      </c>
      <c r="O111" s="7">
        <f ca="1">IFERROR(__xludf.DUMMYFUNCTION("GOOGLEFINANCE(""NSE:""&amp;D111,""pe"")"),8.02)</f>
        <v>8.02</v>
      </c>
      <c r="P111" s="7">
        <f ca="1">IFERROR(__xludf.DUMMYFUNCTION("GOOGLEFINANCE(""NSE:""&amp;D111,""EPS"")"),11.47)</f>
        <v>11.47</v>
      </c>
      <c r="Q111" s="7">
        <v>13.5</v>
      </c>
      <c r="R111" s="7" t="str">
        <f ca="1">IFERROR(__xludf.DUMMYFUNCTION("IMPORTXML(E111,""/html/body/main/div[3]/div[3]/div[2]/ul/li[7]/span[2]/span"")"),"Loading...")</f>
        <v>Loading...</v>
      </c>
      <c r="S111" s="7" t="str">
        <f ca="1">IFERROR(__xludf.DUMMYFUNCTION("IMPORTXML(E111,""/html/body/main/div[3]/div[3]/div[2]/ul/li[8]/span[2]/span"")"),"Loading...")</f>
        <v>Loading...</v>
      </c>
      <c r="T111" s="4">
        <v>34.6</v>
      </c>
      <c r="U111" s="4">
        <v>22.7</v>
      </c>
      <c r="V111" s="4">
        <v>2.6</v>
      </c>
      <c r="W111" s="4">
        <v>5.7</v>
      </c>
      <c r="X111" s="4">
        <v>519.92999999999995</v>
      </c>
      <c r="Y111" s="7">
        <f t="shared" ca="1" si="4"/>
        <v>-427.91999999999996</v>
      </c>
    </row>
    <row r="112" spans="1:25" ht="15" x14ac:dyDescent="0.25">
      <c r="A112" s="4">
        <v>627</v>
      </c>
      <c r="C112" s="12" t="s">
        <v>769</v>
      </c>
      <c r="D112" s="12" t="s">
        <v>770</v>
      </c>
      <c r="E112" s="5" t="str">
        <f t="shared" si="0"/>
        <v>https://www.screener.in/company/MUTHOOTMF/consolidated/</v>
      </c>
      <c r="F112" s="4">
        <v>443059</v>
      </c>
      <c r="G112" s="4">
        <v>3832241897</v>
      </c>
      <c r="H112" s="6">
        <f t="shared" ca="1" si="1"/>
        <v>65378.046762819999</v>
      </c>
      <c r="I112" s="7" t="str">
        <f ca="1">IFERROR(__xludf.DUMMYFUNCTION("IMPORTXML(E112,""/html/body/main/div[3]/div[3]/div[2]/ul/li[5]/span[2]/span"")"),"Loading...")</f>
        <v>Loading...</v>
      </c>
      <c r="J112" s="7">
        <f ca="1">IFERROR(__xludf.DUMMYFUNCTION("GOOGLEFINANCE(""NSE:""&amp;D112,""marketcap"")"),28561115115)</f>
        <v>28561115115</v>
      </c>
      <c r="K112" s="7">
        <v>992.8</v>
      </c>
      <c r="L112" s="8">
        <f ca="1">IFERROR(__xludf.DUMMYFUNCTION("GOOGLEFINANCE(""NSE:""&amp;D112,""price"")"),170.6)</f>
        <v>170.6</v>
      </c>
      <c r="M112" s="9">
        <f t="shared" ca="1" si="2"/>
        <v>-822.19999999999993</v>
      </c>
      <c r="N112" s="10">
        <f t="shared" ca="1" si="3"/>
        <v>-82.816277195809832</v>
      </c>
      <c r="O112" s="7" t="str">
        <f ca="1">IFERROR(__xludf.DUMMYFUNCTION("GOOGLEFINANCE(""NSE:""&amp;D112,""pe"")"),"#N/A")</f>
        <v>#N/A</v>
      </c>
      <c r="P112" s="7">
        <f ca="1">IFERROR(__xludf.DUMMYFUNCTION("GOOGLEFINANCE(""NSE:""&amp;D112,""EPS"")"),-21.09)</f>
        <v>-21.09</v>
      </c>
      <c r="Q112" s="7">
        <v>13.5</v>
      </c>
      <c r="R112" s="7" t="str">
        <f ca="1">IFERROR(__xludf.DUMMYFUNCTION("IMPORTXML(E112,""/html/body/main/div[3]/div[3]/div[2]/ul/li[7]/span[2]/span"")"),"Loading...")</f>
        <v>Loading...</v>
      </c>
      <c r="S112" s="7" t="str">
        <f ca="1">IFERROR(__xludf.DUMMYFUNCTION("IMPORTXML(E112,""/html/body/main/div[3]/div[3]/div[2]/ul/li[8]/span[2]/span"")"),"Loading...")</f>
        <v>Loading...</v>
      </c>
      <c r="T112" s="4">
        <v>34.6</v>
      </c>
      <c r="U112" s="4">
        <v>22.7</v>
      </c>
      <c r="V112" s="4">
        <v>2.6</v>
      </c>
      <c r="W112" s="4">
        <v>5.7</v>
      </c>
      <c r="X112" s="4">
        <v>519.92999999999995</v>
      </c>
      <c r="Y112" s="7">
        <f t="shared" ca="1" si="4"/>
        <v>-349.32999999999993</v>
      </c>
    </row>
    <row r="113" spans="1:25" ht="15" x14ac:dyDescent="0.25">
      <c r="A113" s="4">
        <v>243</v>
      </c>
      <c r="C113" s="12" t="s">
        <v>771</v>
      </c>
      <c r="D113" s="12" t="s">
        <v>772</v>
      </c>
      <c r="E113" s="5" t="str">
        <f t="shared" si="0"/>
        <v>https://www.screener.in/company/SCI/consolidated/</v>
      </c>
      <c r="F113" s="4">
        <v>443059</v>
      </c>
      <c r="G113" s="4">
        <v>3832241897</v>
      </c>
      <c r="H113" s="6">
        <f t="shared" ca="1" si="1"/>
        <v>80342.951370605006</v>
      </c>
      <c r="I113" s="7" t="str">
        <f ca="1">IFERROR(__xludf.DUMMYFUNCTION("IMPORTXML(E113,""/html/body/main/div[3]/div[3]/div[2]/ul/li[5]/span[2]/span"")"),"Loading...")</f>
        <v>Loading...</v>
      </c>
      <c r="J113" s="7">
        <f ca="1">IFERROR(__xludf.DUMMYFUNCTION("GOOGLEFINANCE(""NSE:""&amp;D113,""marketcap"")"),97476651685)</f>
        <v>97476651685</v>
      </c>
      <c r="K113" s="7">
        <v>992.8</v>
      </c>
      <c r="L113" s="8">
        <f ca="1">IFERROR(__xludf.DUMMYFUNCTION("GOOGLEFINANCE(""NSE:""&amp;D113,""price"")"),209.65)</f>
        <v>209.65</v>
      </c>
      <c r="M113" s="9">
        <f t="shared" ca="1" si="2"/>
        <v>-783.15</v>
      </c>
      <c r="N113" s="10">
        <f t="shared" ca="1" si="3"/>
        <v>-78.882957292506035</v>
      </c>
      <c r="O113" s="7">
        <f ca="1">IFERROR(__xludf.DUMMYFUNCTION("GOOGLEFINANCE(""NSE:""&amp;D113,""pe"")"),10.78)</f>
        <v>10.78</v>
      </c>
      <c r="P113" s="7">
        <f ca="1">IFERROR(__xludf.DUMMYFUNCTION("GOOGLEFINANCE(""NSE:""&amp;D113,""EPS"")"),19.45)</f>
        <v>19.45</v>
      </c>
      <c r="Q113" s="7">
        <v>13.5</v>
      </c>
      <c r="R113" s="7" t="str">
        <f ca="1">IFERROR(__xludf.DUMMYFUNCTION("IMPORTXML(E113,""/html/body/main/div[3]/div[3]/div[2]/ul/li[7]/span[2]/span"")"),"Loading...")</f>
        <v>Loading...</v>
      </c>
      <c r="S113" s="7" t="str">
        <f ca="1">IFERROR(__xludf.DUMMYFUNCTION("IMPORTXML(E113,""/html/body/main/div[3]/div[3]/div[2]/ul/li[8]/span[2]/span"")"),"Loading...")</f>
        <v>Loading...</v>
      </c>
      <c r="T113" s="4">
        <v>34.6</v>
      </c>
      <c r="U113" s="4">
        <v>22.7</v>
      </c>
      <c r="V113" s="4">
        <v>2.6</v>
      </c>
      <c r="W113" s="4">
        <v>5.7</v>
      </c>
      <c r="X113" s="4">
        <v>519.92999999999995</v>
      </c>
      <c r="Y113" s="7">
        <f t="shared" ca="1" si="4"/>
        <v>-310.27999999999997</v>
      </c>
    </row>
    <row r="114" spans="1:25" ht="15" x14ac:dyDescent="0.25">
      <c r="A114" s="4">
        <v>1128</v>
      </c>
      <c r="C114" s="12" t="s">
        <v>773</v>
      </c>
      <c r="D114" s="12" t="s">
        <v>774</v>
      </c>
      <c r="E114" s="5" t="str">
        <f t="shared" si="0"/>
        <v>https://www.screener.in/company/KUANTUM/consolidated/</v>
      </c>
      <c r="F114" s="4">
        <v>443059</v>
      </c>
      <c r="G114" s="4">
        <v>3832241897</v>
      </c>
      <c r="H114" s="6">
        <f t="shared" ca="1" si="1"/>
        <v>41848.081515240003</v>
      </c>
      <c r="I114" s="7" t="str">
        <f ca="1">IFERROR(__xludf.DUMMYFUNCTION("IMPORTXML(E114,""/html/body/main/div[3]/div[3]/div[2]/ul/li[5]/span[2]/span"")"),"Loading...")</f>
        <v>Loading...</v>
      </c>
      <c r="J114" s="7">
        <f ca="1">IFERROR(__xludf.DUMMYFUNCTION("GOOGLEFINANCE(""NSE:""&amp;D114,""marketcap"")"),9529187037)</f>
        <v>9529187037</v>
      </c>
      <c r="K114" s="7">
        <v>992.8</v>
      </c>
      <c r="L114" s="8">
        <f ca="1">IFERROR(__xludf.DUMMYFUNCTION("GOOGLEFINANCE(""NSE:""&amp;D114,""price"")"),109.2)</f>
        <v>109.2</v>
      </c>
      <c r="M114" s="9">
        <f t="shared" ca="1" si="2"/>
        <v>-883.59999999999991</v>
      </c>
      <c r="N114" s="10">
        <f t="shared" ca="1" si="3"/>
        <v>-89.000805801772771</v>
      </c>
      <c r="O114" s="7">
        <f ca="1">IFERROR(__xludf.DUMMYFUNCTION("GOOGLEFINANCE(""NSE:""&amp;D114,""pe"")"),10.71)</f>
        <v>10.71</v>
      </c>
      <c r="P114" s="7">
        <f ca="1">IFERROR(__xludf.DUMMYFUNCTION("GOOGLEFINANCE(""NSE:""&amp;D114,""EPS"")"),10.2)</f>
        <v>10.199999999999999</v>
      </c>
      <c r="Q114" s="7">
        <v>13.5</v>
      </c>
      <c r="R114" s="7" t="str">
        <f ca="1">IFERROR(__xludf.DUMMYFUNCTION("IMPORTXML(E114,""/html/body/main/div[3]/div[3]/div[2]/ul/li[7]/span[2]/span"")"),"Loading...")</f>
        <v>Loading...</v>
      </c>
      <c r="S114" s="7" t="str">
        <f ca="1">IFERROR(__xludf.DUMMYFUNCTION("IMPORTXML(E114,""/html/body/main/div[3]/div[3]/div[2]/ul/li[8]/span[2]/span"")"),"Loading...")</f>
        <v>Loading...</v>
      </c>
      <c r="T114" s="4">
        <v>34.6</v>
      </c>
      <c r="U114" s="4">
        <v>22.7</v>
      </c>
      <c r="V114" s="4">
        <v>2.6</v>
      </c>
      <c r="W114" s="4">
        <v>5.7</v>
      </c>
      <c r="X114" s="4">
        <v>519.92999999999995</v>
      </c>
      <c r="Y114" s="7">
        <f t="shared" ca="1" si="4"/>
        <v>-410.72999999999996</v>
      </c>
    </row>
    <row r="115" spans="1:25" ht="15" x14ac:dyDescent="0.25">
      <c r="A115" s="4">
        <v>1442</v>
      </c>
      <c r="C115" s="12" t="s">
        <v>775</v>
      </c>
      <c r="D115" s="12" t="s">
        <v>776</v>
      </c>
      <c r="E115" s="5" t="str">
        <f t="shared" si="0"/>
        <v>https://www.screener.in/company/AVG/consolidated/</v>
      </c>
      <c r="F115" s="4">
        <v>443059</v>
      </c>
      <c r="G115" s="4">
        <v>3832241897</v>
      </c>
      <c r="H115" s="6">
        <f t="shared" ca="1" si="1"/>
        <v>86417.05477735</v>
      </c>
      <c r="I115" s="7" t="str">
        <f ca="1">IFERROR(__xludf.DUMMYFUNCTION("IMPORTXML(E115,""/html/body/main/div[3]/div[3]/div[2]/ul/li[5]/span[2]/span"")"),"Loading...")</f>
        <v>Loading...</v>
      </c>
      <c r="J115" s="7">
        <f ca="1">IFERROR(__xludf.DUMMYFUNCTION("GOOGLEFINANCE(""NSE:""&amp;D115,""marketcap"")"),3350270193)</f>
        <v>3350270193</v>
      </c>
      <c r="K115" s="7">
        <v>992.8</v>
      </c>
      <c r="L115" s="8">
        <f ca="1">IFERROR(__xludf.DUMMYFUNCTION("GOOGLEFINANCE(""NSE:""&amp;D115,""price"")"),225.5)</f>
        <v>225.5</v>
      </c>
      <c r="M115" s="9">
        <f t="shared" ca="1" si="2"/>
        <v>-767.3</v>
      </c>
      <c r="N115" s="10">
        <f t="shared" ca="1" si="3"/>
        <v>-77.286462530217577</v>
      </c>
      <c r="O115" s="7">
        <f ca="1">IFERROR(__xludf.DUMMYFUNCTION("GOOGLEFINANCE(""NSE:""&amp;D115,""pe"")"),15.56)</f>
        <v>15.56</v>
      </c>
      <c r="P115" s="7">
        <f ca="1">IFERROR(__xludf.DUMMYFUNCTION("GOOGLEFINANCE(""NSE:""&amp;D115,""EPS"")"),14.49)</f>
        <v>14.49</v>
      </c>
      <c r="Q115" s="7">
        <v>13.5</v>
      </c>
      <c r="R115" s="7" t="str">
        <f ca="1">IFERROR(__xludf.DUMMYFUNCTION("IMPORTXML(E115,""/html/body/main/div[3]/div[3]/div[2]/ul/li[7]/span[2]/span"")"),"Loading...")</f>
        <v>Loading...</v>
      </c>
      <c r="S115" s="7" t="str">
        <f ca="1">IFERROR(__xludf.DUMMYFUNCTION("IMPORTXML(E115,""/html/body/main/div[3]/div[3]/div[2]/ul/li[8]/span[2]/span"")"),"Loading...")</f>
        <v>Loading...</v>
      </c>
      <c r="T115" s="4">
        <v>34.6</v>
      </c>
      <c r="U115" s="4">
        <v>22.7</v>
      </c>
      <c r="V115" s="4">
        <v>2.6</v>
      </c>
      <c r="W115" s="4">
        <v>5.7</v>
      </c>
      <c r="X115" s="4">
        <v>519.92999999999995</v>
      </c>
      <c r="Y115" s="7">
        <f t="shared" ca="1" si="4"/>
        <v>-294.42999999999995</v>
      </c>
    </row>
    <row r="116" spans="1:25" ht="15" x14ac:dyDescent="0.25">
      <c r="A116" s="4">
        <v>1819</v>
      </c>
      <c r="C116" s="12" t="s">
        <v>777</v>
      </c>
      <c r="D116" s="12" t="s">
        <v>778</v>
      </c>
      <c r="E116" s="5" t="str">
        <f t="shared" si="0"/>
        <v>https://www.screener.in/company/MAGNUM/consolidated/</v>
      </c>
      <c r="F116" s="4">
        <v>443059</v>
      </c>
      <c r="G116" s="4">
        <v>3832241897</v>
      </c>
      <c r="H116" s="6">
        <f t="shared" ca="1" si="1"/>
        <v>9408.1538571350011</v>
      </c>
      <c r="I116" s="7" t="str">
        <f ca="1">IFERROR(__xludf.DUMMYFUNCTION("IMPORTXML(E116,""/html/body/main/div[3]/div[3]/div[2]/ul/li[5]/span[2]/span"")"),"Loading...")</f>
        <v>Loading...</v>
      </c>
      <c r="J116" s="7">
        <f ca="1">IFERROR(__xludf.DUMMYFUNCTION("GOOGLEFINANCE(""NSE:""&amp;D116,""marketcap"")"),1633718000)</f>
        <v>1633718000</v>
      </c>
      <c r="K116" s="7">
        <v>992.8</v>
      </c>
      <c r="L116" s="8">
        <f ca="1">IFERROR(__xludf.DUMMYFUNCTION("GOOGLEFINANCE(""NSE:""&amp;D116,""price"")"),24.55)</f>
        <v>24.55</v>
      </c>
      <c r="M116" s="9">
        <f t="shared" ca="1" si="2"/>
        <v>-968.25</v>
      </c>
      <c r="N116" s="10">
        <f t="shared" ca="1" si="3"/>
        <v>-97.527195809830786</v>
      </c>
      <c r="O116" s="7">
        <f ca="1">IFERROR(__xludf.DUMMYFUNCTION("GOOGLEFINANCE(""NSE:""&amp;D116,""pe"")"),27.28)</f>
        <v>27.28</v>
      </c>
      <c r="P116" s="7">
        <f ca="1">IFERROR(__xludf.DUMMYFUNCTION("GOOGLEFINANCE(""NSE:""&amp;D116,""EPS"")"),0.9)</f>
        <v>0.9</v>
      </c>
      <c r="Q116" s="7">
        <v>13.5</v>
      </c>
      <c r="R116" s="7" t="str">
        <f ca="1">IFERROR(__xludf.DUMMYFUNCTION("IMPORTXML(E116,""/html/body/main/div[3]/div[3]/div[2]/ul/li[7]/span[2]/span"")"),"Loading...")</f>
        <v>Loading...</v>
      </c>
      <c r="S116" s="7" t="str">
        <f ca="1">IFERROR(__xludf.DUMMYFUNCTION("IMPORTXML(E116,""/html/body/main/div[3]/div[3]/div[2]/ul/li[8]/span[2]/span"")"),"Loading...")</f>
        <v>Loading...</v>
      </c>
      <c r="T116" s="4">
        <v>34.6</v>
      </c>
      <c r="U116" s="4">
        <v>22.7</v>
      </c>
      <c r="V116" s="4">
        <v>2.6</v>
      </c>
      <c r="W116" s="4">
        <v>5.7</v>
      </c>
      <c r="X116" s="4">
        <v>519.92999999999995</v>
      </c>
      <c r="Y116" s="7">
        <f t="shared" ca="1" si="4"/>
        <v>-495.37999999999994</v>
      </c>
    </row>
    <row r="117" spans="1:25" ht="15" x14ac:dyDescent="0.25">
      <c r="A117" s="4">
        <v>2260</v>
      </c>
      <c r="C117" s="12" t="s">
        <v>779</v>
      </c>
      <c r="D117" s="12" t="s">
        <v>780</v>
      </c>
      <c r="E117" s="5" t="str">
        <f t="shared" si="0"/>
        <v>https://www.screener.in/company/STEELCITY/consolidated/</v>
      </c>
      <c r="F117" s="4">
        <v>443059</v>
      </c>
      <c r="G117" s="4">
        <v>3832241897</v>
      </c>
      <c r="H117" s="6">
        <f t="shared" ca="1" si="1"/>
        <v>40545.119270259995</v>
      </c>
      <c r="I117" s="7" t="str">
        <f ca="1">IFERROR(__xludf.DUMMYFUNCTION("IMPORTXML(E117,""/html/body/main/div[3]/div[3]/div[2]/ul/li[5]/span[2]/span"")"),"Loading...")</f>
        <v>Loading...</v>
      </c>
      <c r="J117" s="7">
        <f ca="1">IFERROR(__xludf.DUMMYFUNCTION("GOOGLEFINANCE(""NSE:""&amp;D117,""marketcap"")"),1588511000)</f>
        <v>1588511000</v>
      </c>
      <c r="K117" s="7">
        <v>992.8</v>
      </c>
      <c r="L117" s="8">
        <f ca="1">IFERROR(__xludf.DUMMYFUNCTION("GOOGLEFINANCE(""NSE:""&amp;D117,""price"")"),105.8)</f>
        <v>105.8</v>
      </c>
      <c r="M117" s="9">
        <f t="shared" ca="1" si="2"/>
        <v>-887</v>
      </c>
      <c r="N117" s="10">
        <f t="shared" ca="1" si="3"/>
        <v>-89.343271555197418</v>
      </c>
      <c r="O117" s="7">
        <f ca="1">IFERROR(__xludf.DUMMYFUNCTION("GOOGLEFINANCE(""NSE:""&amp;D117,""pe"")"),9.41)</f>
        <v>9.41</v>
      </c>
      <c r="P117" s="7">
        <f ca="1">IFERROR(__xludf.DUMMYFUNCTION("GOOGLEFINANCE(""NSE:""&amp;D117,""EPS"")"),11.24)</f>
        <v>11.24</v>
      </c>
      <c r="Q117" s="7">
        <v>13.5</v>
      </c>
      <c r="R117" s="7" t="str">
        <f ca="1">IFERROR(__xludf.DUMMYFUNCTION("IMPORTXML(E117,""/html/body/main/div[3]/div[3]/div[2]/ul/li[7]/span[2]/span"")"),"Loading...")</f>
        <v>Loading...</v>
      </c>
      <c r="S117" s="7" t="str">
        <f ca="1">IFERROR(__xludf.DUMMYFUNCTION("IMPORTXML(E117,""/html/body/main/div[3]/div[3]/div[2]/ul/li[8]/span[2]/span"")"),"Loading...")</f>
        <v>Loading...</v>
      </c>
      <c r="T117" s="4">
        <v>34.6</v>
      </c>
      <c r="U117" s="4">
        <v>22.7</v>
      </c>
      <c r="V117" s="4">
        <v>2.6</v>
      </c>
      <c r="W117" s="4">
        <v>5.7</v>
      </c>
      <c r="X117" s="4">
        <v>519.92999999999995</v>
      </c>
      <c r="Y117" s="7">
        <f t="shared" ca="1" si="4"/>
        <v>-414.12999999999994</v>
      </c>
    </row>
    <row r="118" spans="1:25" ht="15" x14ac:dyDescent="0.25">
      <c r="A118" s="4">
        <v>1858</v>
      </c>
      <c r="C118" s="12" t="s">
        <v>781</v>
      </c>
      <c r="D118" s="12" t="s">
        <v>782</v>
      </c>
      <c r="E118" s="5" t="str">
        <f t="shared" si="0"/>
        <v>https://www.screener.in/company/RKEC/consolidated/</v>
      </c>
      <c r="F118" s="4">
        <v>443059</v>
      </c>
      <c r="G118" s="4">
        <v>3832241897</v>
      </c>
      <c r="H118" s="6">
        <f t="shared" ca="1" si="1"/>
        <v>28320.267618830007</v>
      </c>
      <c r="I118" s="7" t="str">
        <f ca="1">IFERROR(__xludf.DUMMYFUNCTION("IMPORTXML(E118,""/html/body/main/div[3]/div[3]/div[2]/ul/li[5]/span[2]/span"")"),"Loading...")</f>
        <v>Loading...</v>
      </c>
      <c r="J118" s="7">
        <f ca="1">IFERROR(__xludf.DUMMYFUNCTION("GOOGLEFINANCE(""NSE:""&amp;D118,""marketcap"")"),1908142379)</f>
        <v>1908142379</v>
      </c>
      <c r="K118" s="7">
        <v>992.8</v>
      </c>
      <c r="L118" s="8">
        <f ca="1">IFERROR(__xludf.DUMMYFUNCTION("GOOGLEFINANCE(""NSE:""&amp;D118,""price"")"),73.9)</f>
        <v>73.900000000000006</v>
      </c>
      <c r="M118" s="9">
        <f t="shared" ca="1" si="2"/>
        <v>-918.9</v>
      </c>
      <c r="N118" s="10">
        <f t="shared" ca="1" si="3"/>
        <v>-92.556406124093471</v>
      </c>
      <c r="O118" s="7">
        <f ca="1">IFERROR(__xludf.DUMMYFUNCTION("GOOGLEFINANCE(""NSE:""&amp;D118,""pe"")"),9.81)</f>
        <v>9.81</v>
      </c>
      <c r="P118" s="7">
        <f ca="1">IFERROR(__xludf.DUMMYFUNCTION("GOOGLEFINANCE(""NSE:""&amp;D118,""EPS"")"),7.53)</f>
        <v>7.53</v>
      </c>
      <c r="Q118" s="7">
        <v>13.5</v>
      </c>
      <c r="R118" s="7" t="str">
        <f ca="1">IFERROR(__xludf.DUMMYFUNCTION("IMPORTXML(E118,""/html/body/main/div[3]/div[3]/div[2]/ul/li[7]/span[2]/span"")"),"Loading...")</f>
        <v>Loading...</v>
      </c>
      <c r="S118" s="7" t="str">
        <f ca="1">IFERROR(__xludf.DUMMYFUNCTION("IMPORTXML(E118,""/html/body/main/div[3]/div[3]/div[2]/ul/li[8]/span[2]/span"")"),"Loading...")</f>
        <v>Loading...</v>
      </c>
      <c r="T118" s="4">
        <v>34.6</v>
      </c>
      <c r="U118" s="4">
        <v>22.7</v>
      </c>
      <c r="V118" s="4">
        <v>2.6</v>
      </c>
      <c r="W118" s="4">
        <v>5.7</v>
      </c>
      <c r="X118" s="4">
        <v>519.92999999999995</v>
      </c>
      <c r="Y118" s="7">
        <f t="shared" ca="1" si="4"/>
        <v>-446.03</v>
      </c>
    </row>
    <row r="119" spans="1:25" ht="15" x14ac:dyDescent="0.25">
      <c r="A119" s="4">
        <v>56</v>
      </c>
      <c r="C119" s="12" t="s">
        <v>783</v>
      </c>
      <c r="D119" s="12" t="s">
        <v>49</v>
      </c>
      <c r="E119" s="5" t="str">
        <f t="shared" si="0"/>
        <v>https://www.screener.in/company/NATCOPHARM/consolidated/</v>
      </c>
      <c r="F119" s="4">
        <v>443059</v>
      </c>
      <c r="G119" s="4">
        <v>3832241897</v>
      </c>
      <c r="H119" s="6">
        <f t="shared" ca="1" si="1"/>
        <v>326775.26655719004</v>
      </c>
      <c r="I119" s="7" t="str">
        <f ca="1">IFERROR(__xludf.DUMMYFUNCTION("IMPORTXML(E119,""/html/body/main/div[3]/div[3]/div[2]/ul/li[5]/span[2]/span"")"),"Loading...")</f>
        <v>Loading...</v>
      </c>
      <c r="J119" s="7">
        <f ca="1">IFERROR(__xludf.DUMMYFUNCTION("GOOGLEFINANCE(""NSE:""&amp;D119,""marketcap"")"),152872540274)</f>
        <v>152872540274</v>
      </c>
      <c r="K119" s="7">
        <v>992.8</v>
      </c>
      <c r="L119" s="8">
        <f ca="1">IFERROR(__xludf.DUMMYFUNCTION("GOOGLEFINANCE(""NSE:""&amp;D119,""price"")"),852.7)</f>
        <v>852.7</v>
      </c>
      <c r="M119" s="9">
        <f t="shared" ca="1" si="2"/>
        <v>-140.09999999999991</v>
      </c>
      <c r="N119" s="10">
        <f t="shared" ca="1" si="3"/>
        <v>-14.111603545527792</v>
      </c>
      <c r="O119" s="7">
        <f ca="1">IFERROR(__xludf.DUMMYFUNCTION("GOOGLEFINANCE(""NSE:""&amp;D119,""pe"")"),9)</f>
        <v>9</v>
      </c>
      <c r="P119" s="7">
        <f ca="1">IFERROR(__xludf.DUMMYFUNCTION("GOOGLEFINANCE(""NSE:""&amp;D119,""EPS"")"),94.78)</f>
        <v>94.78</v>
      </c>
      <c r="Q119" s="7">
        <v>13.5</v>
      </c>
      <c r="R119" s="7" t="str">
        <f ca="1">IFERROR(__xludf.DUMMYFUNCTION("IMPORTXML(E119,""/html/body/main/div[3]/div[3]/div[2]/ul/li[7]/span[2]/span"")"),"Loading...")</f>
        <v>Loading...</v>
      </c>
      <c r="S119" s="7" t="str">
        <f ca="1">IFERROR(__xludf.DUMMYFUNCTION("IMPORTXML(E119,""/html/body/main/div[3]/div[3]/div[2]/ul/li[8]/span[2]/span"")"),"Loading...")</f>
        <v>Loading...</v>
      </c>
      <c r="T119" s="4">
        <v>34.6</v>
      </c>
      <c r="U119" s="4">
        <v>22.7</v>
      </c>
      <c r="V119" s="4">
        <v>2.6</v>
      </c>
      <c r="W119" s="4">
        <v>5.7</v>
      </c>
      <c r="X119" s="4">
        <v>519.92999999999995</v>
      </c>
      <c r="Y119" s="7">
        <f t="shared" ca="1" si="4"/>
        <v>332.7700000000001</v>
      </c>
    </row>
    <row r="120" spans="1:25" ht="15" x14ac:dyDescent="0.25">
      <c r="A120" s="4">
        <v>677</v>
      </c>
      <c r="C120" s="12" t="s">
        <v>784</v>
      </c>
      <c r="D120" s="12" t="s">
        <v>785</v>
      </c>
      <c r="E120" s="5" t="str">
        <f t="shared" si="0"/>
        <v>https://www.screener.in/company/PRAKASH/consolidated/</v>
      </c>
      <c r="F120" s="4">
        <v>443059</v>
      </c>
      <c r="G120" s="4">
        <v>3832241897</v>
      </c>
      <c r="H120" s="6">
        <f t="shared" ca="1" si="1"/>
        <v>61699.094541699997</v>
      </c>
      <c r="I120" s="7" t="str">
        <f ca="1">IFERROR(__xludf.DUMMYFUNCTION("IMPORTXML(E120,""/html/body/main/div[3]/div[3]/div[2]/ul/li[5]/span[2]/span"")"),"Loading...")</f>
        <v>Loading...</v>
      </c>
      <c r="J120" s="7">
        <f ca="1">IFERROR(__xludf.DUMMYFUNCTION("GOOGLEFINANCE(""NSE:""&amp;D120,""marketcap"")"),28832169800)</f>
        <v>28832169800</v>
      </c>
      <c r="K120" s="7">
        <v>992.8</v>
      </c>
      <c r="L120" s="8">
        <f ca="1">IFERROR(__xludf.DUMMYFUNCTION("GOOGLEFINANCE(""NSE:""&amp;D120,""price"")"),161)</f>
        <v>161</v>
      </c>
      <c r="M120" s="9">
        <f t="shared" ca="1" si="2"/>
        <v>-831.8</v>
      </c>
      <c r="N120" s="10">
        <f t="shared" ca="1" si="3"/>
        <v>-83.783239323126509</v>
      </c>
      <c r="O120" s="7">
        <f ca="1">IFERROR(__xludf.DUMMYFUNCTION("GOOGLEFINANCE(""NSE:""&amp;D120,""pe"")"),8.09)</f>
        <v>8.09</v>
      </c>
      <c r="P120" s="7">
        <f ca="1">IFERROR(__xludf.DUMMYFUNCTION("GOOGLEFINANCE(""NSE:""&amp;D120,""EPS"")"),19.9)</f>
        <v>19.899999999999999</v>
      </c>
      <c r="Q120" s="7">
        <v>13.5</v>
      </c>
      <c r="R120" s="7" t="str">
        <f ca="1">IFERROR(__xludf.DUMMYFUNCTION("IMPORTXML(E120,""/html/body/main/div[3]/div[3]/div[2]/ul/li[7]/span[2]/span"")"),"Loading...")</f>
        <v>Loading...</v>
      </c>
      <c r="S120" s="7" t="str">
        <f ca="1">IFERROR(__xludf.DUMMYFUNCTION("IMPORTXML(E120,""/html/body/main/div[3]/div[3]/div[2]/ul/li[8]/span[2]/span"")"),"Loading...")</f>
        <v>Loading...</v>
      </c>
      <c r="T120" s="4">
        <v>34.6</v>
      </c>
      <c r="U120" s="4">
        <v>22.7</v>
      </c>
      <c r="V120" s="4">
        <v>2.6</v>
      </c>
      <c r="W120" s="4">
        <v>5.7</v>
      </c>
      <c r="X120" s="4">
        <v>519.92999999999995</v>
      </c>
      <c r="Y120" s="7">
        <f t="shared" ca="1" si="4"/>
        <v>-358.92999999999995</v>
      </c>
    </row>
    <row r="121" spans="1:25" ht="15" x14ac:dyDescent="0.25">
      <c r="A121" s="4">
        <v>501</v>
      </c>
      <c r="C121" s="12" t="s">
        <v>786</v>
      </c>
      <c r="D121" s="12" t="s">
        <v>787</v>
      </c>
      <c r="E121" s="5" t="str">
        <f t="shared" si="0"/>
        <v>https://www.screener.in/company/MSTCLTD/consolidated/</v>
      </c>
      <c r="F121" s="4">
        <v>443059</v>
      </c>
      <c r="G121" s="4">
        <v>3832241897</v>
      </c>
      <c r="H121" s="6">
        <f t="shared" ca="1" si="1"/>
        <v>192665.96137167499</v>
      </c>
      <c r="I121" s="7" t="str">
        <f ca="1">IFERROR(__xludf.DUMMYFUNCTION("IMPORTXML(E121,""/html/body/main/div[3]/div[3]/div[2]/ul/li[5]/span[2]/span"")"),"Loading...")</f>
        <v>Loading...</v>
      </c>
      <c r="J121" s="7">
        <f ca="1">IFERROR(__xludf.DUMMYFUNCTION("GOOGLEFINANCE(""NSE:""&amp;D121,""marketcap"")"),35460900056)</f>
        <v>35460900056</v>
      </c>
      <c r="K121" s="7">
        <v>992.8</v>
      </c>
      <c r="L121" s="8">
        <f ca="1">IFERROR(__xludf.DUMMYFUNCTION("GOOGLEFINANCE(""NSE:""&amp;D121,""price"")"),502.75)</f>
        <v>502.75</v>
      </c>
      <c r="M121" s="9">
        <f t="shared" ca="1" si="2"/>
        <v>-490.04999999999995</v>
      </c>
      <c r="N121" s="10">
        <f t="shared" ca="1" si="3"/>
        <v>-49.360394842868658</v>
      </c>
      <c r="O121" s="7">
        <f ca="1">IFERROR(__xludf.DUMMYFUNCTION("GOOGLEFINANCE(""NSE:""&amp;D121,""pe"")"),8.33)</f>
        <v>8.33</v>
      </c>
      <c r="P121" s="7">
        <f ca="1">IFERROR(__xludf.DUMMYFUNCTION("GOOGLEFINANCE(""NSE:""&amp;D121,""EPS"")"),60.38)</f>
        <v>60.38</v>
      </c>
      <c r="Q121" s="7">
        <v>13.5</v>
      </c>
      <c r="R121" s="7" t="str">
        <f ca="1">IFERROR(__xludf.DUMMYFUNCTION("IMPORTXML(E121,""/html/body/main/div[3]/div[3]/div[2]/ul/li[7]/span[2]/span"")"),"Loading...")</f>
        <v>Loading...</v>
      </c>
      <c r="S121" s="7" t="str">
        <f ca="1">IFERROR(__xludf.DUMMYFUNCTION("IMPORTXML(E121,""/html/body/main/div[3]/div[3]/div[2]/ul/li[8]/span[2]/span"")"),"Loading...")</f>
        <v>Loading...</v>
      </c>
      <c r="T121" s="4">
        <v>34.6</v>
      </c>
      <c r="U121" s="4">
        <v>22.7</v>
      </c>
      <c r="V121" s="4">
        <v>2.6</v>
      </c>
      <c r="W121" s="4">
        <v>5.7</v>
      </c>
      <c r="X121" s="4">
        <v>519.92999999999995</v>
      </c>
      <c r="Y121" s="7">
        <f t="shared" ca="1" si="4"/>
        <v>-17.17999999999995</v>
      </c>
    </row>
    <row r="122" spans="1:25" ht="15" x14ac:dyDescent="0.25">
      <c r="A122" s="4">
        <v>1433</v>
      </c>
      <c r="C122" s="12" t="s">
        <v>788</v>
      </c>
      <c r="D122" s="12" t="s">
        <v>789</v>
      </c>
      <c r="E122" s="5" t="str">
        <f t="shared" si="0"/>
        <v>https://www.screener.in/company/IZMO/consolidated/</v>
      </c>
      <c r="F122" s="4">
        <v>443059</v>
      </c>
      <c r="G122" s="4">
        <v>3832241897</v>
      </c>
      <c r="H122" s="6">
        <f t="shared" ca="1" si="1"/>
        <v>287360.65864654502</v>
      </c>
      <c r="I122" s="7" t="str">
        <f ca="1">IFERROR(__xludf.DUMMYFUNCTION("IMPORTXML(E122,""/html/body/main/div[3]/div[3]/div[2]/ul/li[5]/span[2]/span"")"),"Loading...")</f>
        <v>Loading...</v>
      </c>
      <c r="J122" s="7">
        <f ca="1">IFERROR(__xludf.DUMMYFUNCTION("GOOGLEFINANCE(""NSE:""&amp;D122,""marketcap"")"),11167475271)</f>
        <v>11167475271</v>
      </c>
      <c r="K122" s="7">
        <v>992.8</v>
      </c>
      <c r="L122" s="8">
        <f ca="1">IFERROR(__xludf.DUMMYFUNCTION("GOOGLEFINANCE(""NSE:""&amp;D122,""price"")"),749.85)</f>
        <v>749.85</v>
      </c>
      <c r="M122" s="9">
        <f t="shared" ca="1" si="2"/>
        <v>-242.94999999999993</v>
      </c>
      <c r="N122" s="10">
        <f t="shared" ca="1" si="3"/>
        <v>-24.471192586623687</v>
      </c>
      <c r="O122" s="7">
        <f ca="1">IFERROR(__xludf.DUMMYFUNCTION("GOOGLEFINANCE(""NSE:""&amp;D122,""pe"")"),22.14)</f>
        <v>22.14</v>
      </c>
      <c r="P122" s="7">
        <f ca="1">IFERROR(__xludf.DUMMYFUNCTION("GOOGLEFINANCE(""NSE:""&amp;D122,""EPS"")"),33.87)</f>
        <v>33.869999999999997</v>
      </c>
      <c r="Q122" s="7">
        <v>13.5</v>
      </c>
      <c r="R122" s="7" t="str">
        <f ca="1">IFERROR(__xludf.DUMMYFUNCTION("IMPORTXML(E122,""/html/body/main/div[3]/div[3]/div[2]/ul/li[7]/span[2]/span"")"),"Loading...")</f>
        <v>Loading...</v>
      </c>
      <c r="S122" s="7" t="str">
        <f ca="1">IFERROR(__xludf.DUMMYFUNCTION("IMPORTXML(E122,""/html/body/main/div[3]/div[3]/div[2]/ul/li[8]/span[2]/span"")"),"Loading...")</f>
        <v>Loading...</v>
      </c>
      <c r="T122" s="4">
        <v>34.6</v>
      </c>
      <c r="U122" s="4">
        <v>22.7</v>
      </c>
      <c r="V122" s="4">
        <v>2.6</v>
      </c>
      <c r="W122" s="4">
        <v>5.7</v>
      </c>
      <c r="X122" s="4">
        <v>519.92999999999995</v>
      </c>
      <c r="Y122" s="7">
        <f t="shared" ca="1" si="4"/>
        <v>229.92000000000007</v>
      </c>
    </row>
    <row r="123" spans="1:25" ht="15" x14ac:dyDescent="0.25">
      <c r="A123" s="4">
        <v>1653</v>
      </c>
      <c r="C123" s="12" t="s">
        <v>790</v>
      </c>
      <c r="D123" s="12" t="s">
        <v>791</v>
      </c>
      <c r="E123" s="5" t="str">
        <f t="shared" si="0"/>
        <v>https://www.screener.in/company/NATHBIOGEN/consolidated/</v>
      </c>
      <c r="F123" s="4">
        <v>443059</v>
      </c>
      <c r="G123" s="4">
        <v>3832241897</v>
      </c>
      <c r="H123" s="6">
        <f t="shared" ca="1" si="1"/>
        <v>64807.042720167003</v>
      </c>
      <c r="I123" s="7" t="str">
        <f ca="1">IFERROR(__xludf.DUMMYFUNCTION("IMPORTXML(E123,""/html/body/main/div[3]/div[3]/div[2]/ul/li[5]/span[2]/span"")"),"Loading...")</f>
        <v>Loading...</v>
      </c>
      <c r="J123" s="7">
        <f ca="1">IFERROR(__xludf.DUMMYFUNCTION("GOOGLEFINANCE(""NSE:""&amp;D123,""marketcap"")"),3232903861)</f>
        <v>3232903861</v>
      </c>
      <c r="K123" s="7">
        <v>992.8</v>
      </c>
      <c r="L123" s="8">
        <f ca="1">IFERROR(__xludf.DUMMYFUNCTION("GOOGLEFINANCE(""NSE:""&amp;D123,""price"")"),169.11)</f>
        <v>169.11</v>
      </c>
      <c r="M123" s="9">
        <f t="shared" ca="1" si="2"/>
        <v>-823.68999999999994</v>
      </c>
      <c r="N123" s="10">
        <f t="shared" ca="1" si="3"/>
        <v>-82.966357775987106</v>
      </c>
      <c r="O123" s="7">
        <f ca="1">IFERROR(__xludf.DUMMYFUNCTION("GOOGLEFINANCE(""NSE:""&amp;D123,""pe"")"),7.6)</f>
        <v>7.6</v>
      </c>
      <c r="P123" s="7">
        <f ca="1">IFERROR(__xludf.DUMMYFUNCTION("GOOGLEFINANCE(""NSE:""&amp;D123,""EPS"")"),22.24)</f>
        <v>22.24</v>
      </c>
      <c r="Q123" s="7">
        <v>13.5</v>
      </c>
      <c r="R123" s="7" t="str">
        <f ca="1">IFERROR(__xludf.DUMMYFUNCTION("IMPORTXML(E123,""/html/body/main/div[3]/div[3]/div[2]/ul/li[7]/span[2]/span"")"),"Loading...")</f>
        <v>Loading...</v>
      </c>
      <c r="S123" s="7" t="str">
        <f ca="1">IFERROR(__xludf.DUMMYFUNCTION("IMPORTXML(E123,""/html/body/main/div[3]/div[3]/div[2]/ul/li[8]/span[2]/span"")"),"Loading...")</f>
        <v>Loading...</v>
      </c>
      <c r="T123" s="4">
        <v>34.6</v>
      </c>
      <c r="U123" s="4">
        <v>22.7</v>
      </c>
      <c r="V123" s="4">
        <v>2.6</v>
      </c>
      <c r="W123" s="4">
        <v>5.7</v>
      </c>
      <c r="X123" s="4">
        <v>519.92999999999995</v>
      </c>
      <c r="Y123" s="7">
        <f t="shared" ca="1" si="4"/>
        <v>-350.81999999999994</v>
      </c>
    </row>
    <row r="124" spans="1:25" ht="15" x14ac:dyDescent="0.25">
      <c r="A124" s="4">
        <v>643</v>
      </c>
      <c r="C124" s="12" t="s">
        <v>792</v>
      </c>
      <c r="D124" s="12" t="s">
        <v>793</v>
      </c>
      <c r="E124" s="5" t="str">
        <f t="shared" si="0"/>
        <v>https://www.screener.in/company/ALEMBICLTD/consolidated/</v>
      </c>
      <c r="F124" s="4">
        <v>443059</v>
      </c>
      <c r="G124" s="4">
        <v>3832241897</v>
      </c>
      <c r="H124" s="6">
        <f t="shared" ca="1" si="1"/>
        <v>39931.960566740003</v>
      </c>
      <c r="I124" s="7" t="str">
        <f ca="1">IFERROR(__xludf.DUMMYFUNCTION("IMPORTXML(E124,""/html/body/main/div[3]/div[3]/div[2]/ul/li[5]/span[2]/span"")"),"Loading...")</f>
        <v>Loading...</v>
      </c>
      <c r="J124" s="7">
        <f ca="1">IFERROR(__xludf.DUMMYFUNCTION("GOOGLEFINANCE(""NSE:""&amp;D124,""marketcap"")"),26782340000)</f>
        <v>26782340000</v>
      </c>
      <c r="K124" s="7">
        <v>992.8</v>
      </c>
      <c r="L124" s="8">
        <f ca="1">IFERROR(__xludf.DUMMYFUNCTION("GOOGLEFINANCE(""NSE:""&amp;D124,""price"")"),104.2)</f>
        <v>104.2</v>
      </c>
      <c r="M124" s="9">
        <f t="shared" ca="1" si="2"/>
        <v>-888.59999999999991</v>
      </c>
      <c r="N124" s="10">
        <f t="shared" ca="1" si="3"/>
        <v>-89.504431909750195</v>
      </c>
      <c r="O124" s="7">
        <f ca="1">IFERROR(__xludf.DUMMYFUNCTION("GOOGLEFINANCE(""NSE:""&amp;D124,""pe"")"),8.45)</f>
        <v>8.4499999999999993</v>
      </c>
      <c r="P124" s="7">
        <f ca="1">IFERROR(__xludf.DUMMYFUNCTION("GOOGLEFINANCE(""NSE:""&amp;D124,""EPS"")"),12.33)</f>
        <v>12.33</v>
      </c>
      <c r="Q124" s="7">
        <v>13.5</v>
      </c>
      <c r="R124" s="7" t="str">
        <f ca="1">IFERROR(__xludf.DUMMYFUNCTION("IMPORTXML(E124,""/html/body/main/div[3]/div[3]/div[2]/ul/li[7]/span[2]/span"")"),"Loading...")</f>
        <v>Loading...</v>
      </c>
      <c r="S124" s="7" t="str">
        <f ca="1">IFERROR(__xludf.DUMMYFUNCTION("IMPORTXML(E124,""/html/body/main/div[3]/div[3]/div[2]/ul/li[8]/span[2]/span"")"),"Loading...")</f>
        <v>Loading...</v>
      </c>
      <c r="T124" s="4">
        <v>34.6</v>
      </c>
      <c r="U124" s="4">
        <v>22.7</v>
      </c>
      <c r="V124" s="4">
        <v>2.6</v>
      </c>
      <c r="W124" s="4">
        <v>5.7</v>
      </c>
      <c r="X124" s="4">
        <v>519.92999999999995</v>
      </c>
      <c r="Y124" s="7">
        <f t="shared" ca="1" si="4"/>
        <v>-415.72999999999996</v>
      </c>
    </row>
    <row r="125" spans="1:25" ht="15" x14ac:dyDescent="0.25">
      <c r="A125" s="4">
        <v>1810</v>
      </c>
      <c r="C125" s="12" t="s">
        <v>794</v>
      </c>
      <c r="D125" s="12" t="s">
        <v>795</v>
      </c>
      <c r="E125" s="5" t="str">
        <f t="shared" si="0"/>
        <v>https://www.screener.in/company/PAR/consolidated/</v>
      </c>
      <c r="F125" s="4">
        <v>443059</v>
      </c>
      <c r="G125" s="4">
        <v>3832241897</v>
      </c>
      <c r="H125" s="6">
        <f t="shared" ca="1" si="1"/>
        <v>37575.131800085001</v>
      </c>
      <c r="I125" s="7" t="str">
        <f ca="1">IFERROR(__xludf.DUMMYFUNCTION("IMPORTXML(E125,""/html/body/main/div[3]/div[3]/div[2]/ul/li[5]/span[2]/span"")"),"Loading...")</f>
        <v>Loading...</v>
      </c>
      <c r="J125" s="7">
        <f ca="1">IFERROR(__xludf.DUMMYFUNCTION("GOOGLEFINANCE(""NSE:""&amp;D125,""marketcap"")"),1206469009)</f>
        <v>1206469009</v>
      </c>
      <c r="K125" s="7">
        <v>992.8</v>
      </c>
      <c r="L125" s="8">
        <f ca="1">IFERROR(__xludf.DUMMYFUNCTION("GOOGLEFINANCE(""NSE:""&amp;D125,""price"")"),98.05)</f>
        <v>98.05</v>
      </c>
      <c r="M125" s="9">
        <f t="shared" ca="1" si="2"/>
        <v>-894.75</v>
      </c>
      <c r="N125" s="10">
        <f t="shared" ca="1" si="3"/>
        <v>-90.123892022562458</v>
      </c>
      <c r="O125" s="7">
        <f ca="1">IFERROR(__xludf.DUMMYFUNCTION("GOOGLEFINANCE(""NSE:""&amp;D125,""pe"")"),8.53)</f>
        <v>8.5299999999999994</v>
      </c>
      <c r="P125" s="7">
        <f ca="1">IFERROR(__xludf.DUMMYFUNCTION("GOOGLEFINANCE(""NSE:""&amp;D125,""EPS"")"),11.5)</f>
        <v>11.5</v>
      </c>
      <c r="Q125" s="7">
        <v>13.5</v>
      </c>
      <c r="R125" s="7" t="str">
        <f ca="1">IFERROR(__xludf.DUMMYFUNCTION("IMPORTXML(E125,""/html/body/main/div[3]/div[3]/div[2]/ul/li[7]/span[2]/span"")"),"Loading...")</f>
        <v>Loading...</v>
      </c>
      <c r="S125" s="7" t="str">
        <f ca="1">IFERROR(__xludf.DUMMYFUNCTION("IMPORTXML(E125,""/html/body/main/div[3]/div[3]/div[2]/ul/li[8]/span[2]/span"")"),"Loading...")</f>
        <v>Loading...</v>
      </c>
      <c r="T125" s="4">
        <v>34.6</v>
      </c>
      <c r="U125" s="4">
        <v>22.7</v>
      </c>
      <c r="V125" s="4">
        <v>2.6</v>
      </c>
      <c r="W125" s="4">
        <v>5.7</v>
      </c>
      <c r="X125" s="4">
        <v>519.92999999999995</v>
      </c>
      <c r="Y125" s="7">
        <f t="shared" ca="1" si="4"/>
        <v>-421.87999999999994</v>
      </c>
    </row>
    <row r="126" spans="1:25" ht="15" x14ac:dyDescent="0.25">
      <c r="A126" s="4">
        <v>250</v>
      </c>
      <c r="C126" s="12" t="s">
        <v>796</v>
      </c>
      <c r="D126" s="12" t="s">
        <v>797</v>
      </c>
      <c r="E126" s="5" t="str">
        <f t="shared" si="0"/>
        <v>https://www.screener.in/company/ELECTCAST/consolidated/</v>
      </c>
      <c r="F126" s="4">
        <v>443059</v>
      </c>
      <c r="G126" s="4">
        <v>3832241897</v>
      </c>
      <c r="H126" s="6">
        <f t="shared" ca="1" si="1"/>
        <v>37555.970590600002</v>
      </c>
      <c r="I126" s="7" t="str">
        <f ca="1">IFERROR(__xludf.DUMMYFUNCTION("IMPORTXML(E126,""/html/body/main/div[3]/div[3]/div[2]/ul/li[5]/span[2]/span"")"),"Loading...")</f>
        <v>Loading...</v>
      </c>
      <c r="J126" s="7">
        <f ca="1">IFERROR(__xludf.DUMMYFUNCTION("GOOGLEFINANCE(""NSE:""&amp;D126,""marketcap"")"),60582081000)</f>
        <v>60582081000</v>
      </c>
      <c r="K126" s="7">
        <v>992.8</v>
      </c>
      <c r="L126" s="8">
        <f ca="1">IFERROR(__xludf.DUMMYFUNCTION("GOOGLEFINANCE(""NSE:""&amp;D126,""price"")"),98)</f>
        <v>98</v>
      </c>
      <c r="M126" s="9">
        <f t="shared" ca="1" si="2"/>
        <v>-894.8</v>
      </c>
      <c r="N126" s="10">
        <f t="shared" ca="1" si="3"/>
        <v>-90.128928283642225</v>
      </c>
      <c r="O126" s="7">
        <f ca="1">IFERROR(__xludf.DUMMYFUNCTION("GOOGLEFINANCE(""NSE:""&amp;D126,""pe"")"),10.57)</f>
        <v>10.57</v>
      </c>
      <c r="P126" s="7">
        <f ca="1">IFERROR(__xludf.DUMMYFUNCTION("GOOGLEFINANCE(""NSE:""&amp;D126,""EPS"")"),9.27)</f>
        <v>9.27</v>
      </c>
      <c r="Q126" s="7">
        <v>13.5</v>
      </c>
      <c r="R126" s="7" t="str">
        <f ca="1">IFERROR(__xludf.DUMMYFUNCTION("IMPORTXML(E126,""/html/body/main/div[3]/div[3]/div[2]/ul/li[7]/span[2]/span"")"),"Loading...")</f>
        <v>Loading...</v>
      </c>
      <c r="S126" s="7" t="str">
        <f ca="1">IFERROR(__xludf.DUMMYFUNCTION("IMPORTXML(E126,""/html/body/main/div[3]/div[3]/div[2]/ul/li[8]/span[2]/span"")"),"Loading...")</f>
        <v>Loading...</v>
      </c>
      <c r="T126" s="4">
        <v>34.6</v>
      </c>
      <c r="U126" s="4">
        <v>22.7</v>
      </c>
      <c r="V126" s="4">
        <v>2.6</v>
      </c>
      <c r="W126" s="4">
        <v>5.7</v>
      </c>
      <c r="X126" s="4">
        <v>519.92999999999995</v>
      </c>
      <c r="Y126" s="7">
        <f t="shared" ca="1" si="4"/>
        <v>-421.92999999999995</v>
      </c>
    </row>
    <row r="127" spans="1:25" ht="15" x14ac:dyDescent="0.25">
      <c r="A127" s="4">
        <v>747</v>
      </c>
      <c r="C127" s="12" t="s">
        <v>798</v>
      </c>
      <c r="D127" s="12" t="s">
        <v>799</v>
      </c>
      <c r="E127" s="5" t="str">
        <f t="shared" si="0"/>
        <v>https://www.screener.in/company/VINDHYATEL/consolidated/</v>
      </c>
      <c r="F127" s="4">
        <v>443059</v>
      </c>
      <c r="G127" s="4">
        <v>3832241897</v>
      </c>
      <c r="H127" s="6">
        <f t="shared" ca="1" si="1"/>
        <v>575219.50873969996</v>
      </c>
      <c r="I127" s="7" t="str">
        <f ca="1">IFERROR(__xludf.DUMMYFUNCTION("IMPORTXML(E127,""/html/body/main/div[3]/div[3]/div[2]/ul/li[5]/span[2]/span"")"),"Loading...")</f>
        <v>Loading...</v>
      </c>
      <c r="J127" s="7">
        <f ca="1">IFERROR(__xludf.DUMMYFUNCTION("GOOGLEFINANCE(""NSE:""&amp;D127,""marketcap"")"),17845030000)</f>
        <v>17845030000</v>
      </c>
      <c r="K127" s="7">
        <v>992.8</v>
      </c>
      <c r="L127" s="8">
        <f ca="1">IFERROR(__xludf.DUMMYFUNCTION("GOOGLEFINANCE(""NSE:""&amp;D127,""price"")"),1501)</f>
        <v>1501</v>
      </c>
      <c r="M127" s="9">
        <f t="shared" ca="1" si="2"/>
        <v>508.20000000000005</v>
      </c>
      <c r="N127" s="10">
        <f t="shared" ca="1" si="3"/>
        <v>51.188557614826756</v>
      </c>
      <c r="O127" s="7">
        <f ca="1">IFERROR(__xludf.DUMMYFUNCTION("GOOGLEFINANCE(""NSE:""&amp;D127,""pe"")"),7.67)</f>
        <v>7.67</v>
      </c>
      <c r="P127" s="7">
        <f ca="1">IFERROR(__xludf.DUMMYFUNCTION("GOOGLEFINANCE(""NSE:""&amp;D127,""EPS"")"),195.79)</f>
        <v>195.79</v>
      </c>
      <c r="Q127" s="7">
        <v>13.5</v>
      </c>
      <c r="R127" s="7" t="str">
        <f ca="1">IFERROR(__xludf.DUMMYFUNCTION("IMPORTXML(E127,""/html/body/main/div[3]/div[3]/div[2]/ul/li[7]/span[2]/span"")"),"Loading...")</f>
        <v>Loading...</v>
      </c>
      <c r="S127" s="7" t="str">
        <f ca="1">IFERROR(__xludf.DUMMYFUNCTION("IMPORTXML(E127,""/html/body/main/div[3]/div[3]/div[2]/ul/li[8]/span[2]/span"")"),"Loading...")</f>
        <v>Loading...</v>
      </c>
      <c r="T127" s="4">
        <v>34.6</v>
      </c>
      <c r="U127" s="4">
        <v>22.7</v>
      </c>
      <c r="V127" s="4">
        <v>2.6</v>
      </c>
      <c r="W127" s="4">
        <v>5.7</v>
      </c>
      <c r="X127" s="4">
        <v>519.92999999999995</v>
      </c>
      <c r="Y127" s="7">
        <f t="shared" ca="1" si="4"/>
        <v>981.07</v>
      </c>
    </row>
    <row r="128" spans="1:25" ht="15" x14ac:dyDescent="0.25">
      <c r="A128" s="4">
        <v>757</v>
      </c>
      <c r="C128" s="12" t="s">
        <v>800</v>
      </c>
      <c r="D128" s="12" t="s">
        <v>801</v>
      </c>
      <c r="E128" s="5" t="str">
        <f t="shared" si="0"/>
        <v>https://www.screener.in/company/RANEHOLDIN/consolidated/</v>
      </c>
      <c r="F128" s="4">
        <v>443059</v>
      </c>
      <c r="G128" s="4">
        <v>3832241897</v>
      </c>
      <c r="H128" s="6">
        <f t="shared" ca="1" si="1"/>
        <v>574797.96213103004</v>
      </c>
      <c r="I128" s="7" t="str">
        <f ca="1">IFERROR(__xludf.DUMMYFUNCTION("IMPORTXML(E128,""/html/body/main/div[3]/div[3]/div[2]/ul/li[5]/span[2]/span"")"),"Loading...")</f>
        <v>Loading...</v>
      </c>
      <c r="J128" s="7">
        <f ca="1">IFERROR(__xludf.DUMMYFUNCTION("GOOGLEFINANCE(""NSE:""&amp;D128,""marketcap"")"),21415272568)</f>
        <v>21415272568</v>
      </c>
      <c r="K128" s="7">
        <v>992.8</v>
      </c>
      <c r="L128" s="8">
        <f ca="1">IFERROR(__xludf.DUMMYFUNCTION("GOOGLEFINANCE(""NSE:""&amp;D128,""price"")"),1499.9)</f>
        <v>1499.9</v>
      </c>
      <c r="M128" s="9">
        <f t="shared" ca="1" si="2"/>
        <v>507.10000000000014</v>
      </c>
      <c r="N128" s="10">
        <f t="shared" ca="1" si="3"/>
        <v>51.077759871071734</v>
      </c>
      <c r="O128" s="7">
        <f ca="1">IFERROR(__xludf.DUMMYFUNCTION("GOOGLEFINANCE(""NSE:""&amp;D128,""pe"")"),8.75)</f>
        <v>8.75</v>
      </c>
      <c r="P128" s="7">
        <f ca="1">IFERROR(__xludf.DUMMYFUNCTION("GOOGLEFINANCE(""NSE:""&amp;D128,""EPS"")"),171.51)</f>
        <v>171.51</v>
      </c>
      <c r="Q128" s="7">
        <v>13.5</v>
      </c>
      <c r="R128" s="7" t="str">
        <f ca="1">IFERROR(__xludf.DUMMYFUNCTION("IMPORTXML(E128,""/html/body/main/div[3]/div[3]/div[2]/ul/li[7]/span[2]/span"")"),"Loading...")</f>
        <v>Loading...</v>
      </c>
      <c r="S128" s="7" t="str">
        <f ca="1">IFERROR(__xludf.DUMMYFUNCTION("IMPORTXML(E128,""/html/body/main/div[3]/div[3]/div[2]/ul/li[8]/span[2]/span"")"),"Loading...")</f>
        <v>Loading...</v>
      </c>
      <c r="T128" s="4">
        <v>34.6</v>
      </c>
      <c r="U128" s="4">
        <v>22.7</v>
      </c>
      <c r="V128" s="4">
        <v>2.6</v>
      </c>
      <c r="W128" s="4">
        <v>5.7</v>
      </c>
      <c r="X128" s="4">
        <v>519.92999999999995</v>
      </c>
      <c r="Y128" s="7">
        <f t="shared" ca="1" si="4"/>
        <v>979.97000000000014</v>
      </c>
    </row>
    <row r="129" spans="1:25" ht="15" x14ac:dyDescent="0.25">
      <c r="A129" s="4">
        <v>2095</v>
      </c>
      <c r="C129" s="12" t="s">
        <v>802</v>
      </c>
      <c r="D129" s="12" t="s">
        <v>803</v>
      </c>
      <c r="E129" s="5" t="str">
        <f t="shared" si="0"/>
        <v>https://www.screener.in/company/RHFL/consolidated/</v>
      </c>
      <c r="F129" s="4">
        <v>443059</v>
      </c>
      <c r="G129" s="4">
        <v>3832241897</v>
      </c>
      <c r="H129" s="6">
        <f t="shared" ca="1" si="1"/>
        <v>1831.811626766</v>
      </c>
      <c r="I129" s="7" t="str">
        <f ca="1">IFERROR(__xludf.DUMMYFUNCTION("IMPORTXML(E129,""/html/body/main/div[3]/div[3]/div[2]/ul/li[5]/span[2]/span"")"),"Loading...")</f>
        <v>Loading...</v>
      </c>
      <c r="J129" s="7">
        <f ca="1">IFERROR(__xludf.DUMMYFUNCTION("GOOGLEFINANCE(""NSE:""&amp;D129,""marketcap"")"),2318580687)</f>
        <v>2318580687</v>
      </c>
      <c r="K129" s="7">
        <v>992.8</v>
      </c>
      <c r="L129" s="8">
        <f ca="1">IFERROR(__xludf.DUMMYFUNCTION("GOOGLEFINANCE(""NSE:""&amp;D129,""price"")"),4.78)</f>
        <v>4.78</v>
      </c>
      <c r="M129" s="9">
        <f t="shared" ca="1" si="2"/>
        <v>-988.02</v>
      </c>
      <c r="N129" s="10">
        <f t="shared" ca="1" si="3"/>
        <v>-99.518533440773567</v>
      </c>
      <c r="O129" s="7">
        <f ca="1">IFERROR(__xludf.DUMMYFUNCTION("GOOGLEFINANCE(""NSE:""&amp;D129,""pe"")"),9.56)</f>
        <v>9.56</v>
      </c>
      <c r="P129" s="7">
        <f ca="1">IFERROR(__xludf.DUMMYFUNCTION("GOOGLEFINANCE(""NSE:""&amp;D129,""EPS"")"),0.5)</f>
        <v>0.5</v>
      </c>
      <c r="Q129" s="7">
        <v>13.5</v>
      </c>
      <c r="R129" s="7" t="str">
        <f ca="1">IFERROR(__xludf.DUMMYFUNCTION("IMPORTXML(E129,""/html/body/main/div[3]/div[3]/div[2]/ul/li[7]/span[2]/span"")"),"Loading...")</f>
        <v>Loading...</v>
      </c>
      <c r="S129" s="7" t="str">
        <f ca="1">IFERROR(__xludf.DUMMYFUNCTION("IMPORTXML(E129,""/html/body/main/div[3]/div[3]/div[2]/ul/li[8]/span[2]/span"")"),"Loading...")</f>
        <v>Loading...</v>
      </c>
      <c r="T129" s="4">
        <v>34.6</v>
      </c>
      <c r="U129" s="4">
        <v>22.7</v>
      </c>
      <c r="V129" s="4">
        <v>2.6</v>
      </c>
      <c r="W129" s="4">
        <v>5.7</v>
      </c>
      <c r="X129" s="4">
        <v>519.92999999999995</v>
      </c>
      <c r="Y129" s="7">
        <f t="shared" ca="1" si="4"/>
        <v>-515.15</v>
      </c>
    </row>
    <row r="130" spans="1:25" ht="15" x14ac:dyDescent="0.25">
      <c r="A130" s="4">
        <v>1746</v>
      </c>
      <c r="C130" s="12" t="s">
        <v>804</v>
      </c>
      <c r="D130" s="12" t="s">
        <v>805</v>
      </c>
      <c r="E130" s="5" t="str">
        <f t="shared" si="0"/>
        <v>https://www.screener.in/company/KMSUGAR/consolidated/</v>
      </c>
      <c r="F130" s="4">
        <v>443059</v>
      </c>
      <c r="G130" s="4">
        <v>3832241897</v>
      </c>
      <c r="H130" s="6">
        <f t="shared" ca="1" si="1"/>
        <v>11105.837017505999</v>
      </c>
      <c r="I130" s="7" t="str">
        <f ca="1">IFERROR(__xludf.DUMMYFUNCTION("IMPORTXML(E130,""/html/body/main/div[3]/div[3]/div[2]/ul/li[5]/span[2]/span"")"),"Loading...")</f>
        <v>Loading...</v>
      </c>
      <c r="J130" s="7">
        <f ca="1">IFERROR(__xludf.DUMMYFUNCTION("GOOGLEFINANCE(""NSE:""&amp;D130,""marketcap"")"),2640405000)</f>
        <v>2640405000</v>
      </c>
      <c r="K130" s="7">
        <v>992.8</v>
      </c>
      <c r="L130" s="8">
        <f ca="1">IFERROR(__xludf.DUMMYFUNCTION("GOOGLEFINANCE(""NSE:""&amp;D130,""price"")"),28.98)</f>
        <v>28.98</v>
      </c>
      <c r="M130" s="9">
        <f t="shared" ca="1" si="2"/>
        <v>-963.81999999999994</v>
      </c>
      <c r="N130" s="10">
        <f t="shared" ca="1" si="3"/>
        <v>-97.080983078162774</v>
      </c>
      <c r="O130" s="7">
        <f ca="1">IFERROR(__xludf.DUMMYFUNCTION("GOOGLEFINANCE(""NSE:""&amp;D130,""pe"")"),6.4)</f>
        <v>6.4</v>
      </c>
      <c r="P130" s="7">
        <f ca="1">IFERROR(__xludf.DUMMYFUNCTION("GOOGLEFINANCE(""NSE:""&amp;D130,""EPS"")"),4.53)</f>
        <v>4.53</v>
      </c>
      <c r="Q130" s="7">
        <v>13.5</v>
      </c>
      <c r="R130" s="7" t="str">
        <f ca="1">IFERROR(__xludf.DUMMYFUNCTION("IMPORTXML(E130,""/html/body/main/div[3]/div[3]/div[2]/ul/li[7]/span[2]/span"")"),"Loading...")</f>
        <v>Loading...</v>
      </c>
      <c r="S130" s="7" t="str">
        <f ca="1">IFERROR(__xludf.DUMMYFUNCTION("IMPORTXML(E130,""/html/body/main/div[3]/div[3]/div[2]/ul/li[8]/span[2]/span"")"),"Loading...")</f>
        <v>Loading...</v>
      </c>
      <c r="T130" s="4">
        <v>34.6</v>
      </c>
      <c r="U130" s="4">
        <v>22.7</v>
      </c>
      <c r="V130" s="4">
        <v>2.6</v>
      </c>
      <c r="W130" s="4">
        <v>5.7</v>
      </c>
      <c r="X130" s="4">
        <v>519.92999999999995</v>
      </c>
      <c r="Y130" s="7">
        <f t="shared" ca="1" si="4"/>
        <v>-490.94999999999993</v>
      </c>
    </row>
    <row r="131" spans="1:25" ht="15" x14ac:dyDescent="0.25">
      <c r="A131" s="4">
        <v>596</v>
      </c>
      <c r="C131" s="12" t="s">
        <v>806</v>
      </c>
      <c r="D131" s="12" t="s">
        <v>807</v>
      </c>
      <c r="E131" s="5" t="str">
        <f t="shared" si="0"/>
        <v>https://www.screener.in/company/IMFA/consolidated/</v>
      </c>
      <c r="F131" s="4">
        <v>443059</v>
      </c>
      <c r="G131" s="4">
        <v>3832241897</v>
      </c>
      <c r="H131" s="6">
        <f t="shared" ca="1" si="1"/>
        <v>371995.72094179003</v>
      </c>
      <c r="I131" s="7" t="str">
        <f ca="1">IFERROR(__xludf.DUMMYFUNCTION("IMPORTXML(E131,""/html/body/main/div[3]/div[3]/div[2]/ul/li[5]/span[2]/span"")"),"Loading...")</f>
        <v>Loading...</v>
      </c>
      <c r="J131" s="7">
        <f ca="1">IFERROR(__xludf.DUMMYFUNCTION("GOOGLEFINANCE(""NSE:""&amp;D131,""marketcap"")"),52573175421)</f>
        <v>52573175421</v>
      </c>
      <c r="K131" s="7">
        <v>992.8</v>
      </c>
      <c r="L131" s="8">
        <f ca="1">IFERROR(__xludf.DUMMYFUNCTION("GOOGLEFINANCE(""NSE:""&amp;D131,""price"")"),970.7)</f>
        <v>970.7</v>
      </c>
      <c r="M131" s="9">
        <f t="shared" ca="1" si="2"/>
        <v>-22.099999999999909</v>
      </c>
      <c r="N131" s="10">
        <f t="shared" ca="1" si="3"/>
        <v>-2.2260273972602649</v>
      </c>
      <c r="O131" s="7">
        <f ca="1">IFERROR(__xludf.DUMMYFUNCTION("GOOGLEFINANCE(""NSE:""&amp;D131,""pe"")"),14.63)</f>
        <v>14.63</v>
      </c>
      <c r="P131" s="7">
        <f ca="1">IFERROR(__xludf.DUMMYFUNCTION("GOOGLEFINANCE(""NSE:""&amp;D131,""EPS"")"),66.34)</f>
        <v>66.34</v>
      </c>
      <c r="Q131" s="7">
        <v>13.5</v>
      </c>
      <c r="R131" s="7" t="str">
        <f ca="1">IFERROR(__xludf.DUMMYFUNCTION("IMPORTXML(E131,""/html/body/main/div[3]/div[3]/div[2]/ul/li[7]/span[2]/span"")"),"Loading...")</f>
        <v>Loading...</v>
      </c>
      <c r="S131" s="7" t="str">
        <f ca="1">IFERROR(__xludf.DUMMYFUNCTION("IMPORTXML(E131,""/html/body/main/div[3]/div[3]/div[2]/ul/li[8]/span[2]/span"")"),"Loading...")</f>
        <v>Loading...</v>
      </c>
      <c r="T131" s="4">
        <v>34.6</v>
      </c>
      <c r="U131" s="4">
        <v>22.7</v>
      </c>
      <c r="V131" s="4">
        <v>2.6</v>
      </c>
      <c r="W131" s="4">
        <v>5.7</v>
      </c>
      <c r="X131" s="4">
        <v>519.92999999999995</v>
      </c>
      <c r="Y131" s="7">
        <f t="shared" ca="1" si="4"/>
        <v>450.7700000000001</v>
      </c>
    </row>
    <row r="132" spans="1:25" ht="15" x14ac:dyDescent="0.25">
      <c r="A132" s="4">
        <v>1467</v>
      </c>
      <c r="C132" s="12" t="s">
        <v>808</v>
      </c>
      <c r="D132" s="12" t="s">
        <v>809</v>
      </c>
      <c r="E132" s="5" t="str">
        <f t="shared" si="0"/>
        <v>https://www.screener.in/company/EMKAY/consolidated/</v>
      </c>
      <c r="F132" s="4">
        <v>443059</v>
      </c>
      <c r="G132" s="4">
        <v>3832241897</v>
      </c>
      <c r="H132" s="6">
        <f t="shared" ca="1" si="1"/>
        <v>84309.321733999997</v>
      </c>
      <c r="I132" s="7" t="str">
        <f ca="1">IFERROR(__xludf.DUMMYFUNCTION("IMPORTXML(E132,""/html/body/main/div[3]/div[3]/div[2]/ul/li[5]/span[2]/span"")"),"Loading...")</f>
        <v>Loading...</v>
      </c>
      <c r="J132" s="7">
        <f ca="1">IFERROR(__xludf.DUMMYFUNCTION("GOOGLEFINANCE(""NSE:""&amp;D132,""marketcap"")"),5627603000)</f>
        <v>5627603000</v>
      </c>
      <c r="K132" s="7">
        <v>992.8</v>
      </c>
      <c r="L132" s="8">
        <f ca="1">IFERROR(__xludf.DUMMYFUNCTION("GOOGLEFINANCE(""NSE:""&amp;D132,""price"")"),220)</f>
        <v>220</v>
      </c>
      <c r="M132" s="9">
        <f t="shared" ca="1" si="2"/>
        <v>-772.8</v>
      </c>
      <c r="N132" s="10">
        <f t="shared" ca="1" si="3"/>
        <v>-77.84045124899275</v>
      </c>
      <c r="O132" s="7">
        <f ca="1">IFERROR(__xludf.DUMMYFUNCTION("GOOGLEFINANCE(""NSE:""&amp;D132,""pe"")"),11.88)</f>
        <v>11.88</v>
      </c>
      <c r="P132" s="7">
        <f ca="1">IFERROR(__xludf.DUMMYFUNCTION("GOOGLEFINANCE(""NSE:""&amp;D132,""EPS"")"),18.52)</f>
        <v>18.52</v>
      </c>
      <c r="Q132" s="7">
        <v>13.5</v>
      </c>
      <c r="R132" s="7" t="str">
        <f ca="1">IFERROR(__xludf.DUMMYFUNCTION("IMPORTXML(E132,""/html/body/main/div[3]/div[3]/div[2]/ul/li[7]/span[2]/span"")"),"Loading...")</f>
        <v>Loading...</v>
      </c>
      <c r="S132" s="7" t="str">
        <f ca="1">IFERROR(__xludf.DUMMYFUNCTION("IMPORTXML(E132,""/html/body/main/div[3]/div[3]/div[2]/ul/li[8]/span[2]/span"")"),"Loading...")</f>
        <v>Loading...</v>
      </c>
      <c r="T132" s="4">
        <v>34.6</v>
      </c>
      <c r="U132" s="4">
        <v>22.7</v>
      </c>
      <c r="V132" s="4">
        <v>2.6</v>
      </c>
      <c r="W132" s="4">
        <v>5.7</v>
      </c>
      <c r="X132" s="4">
        <v>519.92999999999995</v>
      </c>
      <c r="Y132" s="7">
        <f t="shared" ca="1" si="4"/>
        <v>-299.92999999999995</v>
      </c>
    </row>
    <row r="133" spans="1:25" ht="15" x14ac:dyDescent="0.25">
      <c r="A133" s="4">
        <v>1699</v>
      </c>
      <c r="C133" s="12" t="s">
        <v>810</v>
      </c>
      <c r="D133" s="12" t="s">
        <v>811</v>
      </c>
      <c r="E133" s="5" t="str">
        <f t="shared" si="0"/>
        <v>https://www.screener.in/company/TRIGYN/consolidated/</v>
      </c>
      <c r="F133" s="4">
        <v>443059</v>
      </c>
      <c r="G133" s="4">
        <v>3832241897</v>
      </c>
      <c r="H133" s="6">
        <f t="shared" ca="1" si="1"/>
        <v>28435.234875740003</v>
      </c>
      <c r="I133" s="7" t="str">
        <f ca="1">IFERROR(__xludf.DUMMYFUNCTION("IMPORTXML(E133,""/html/body/main/div[3]/div[3]/div[2]/ul/li[5]/span[2]/span"")"),"Loading...")</f>
        <v>Loading...</v>
      </c>
      <c r="J133" s="7">
        <f ca="1">IFERROR(__xludf.DUMMYFUNCTION("GOOGLEFINANCE(""NSE:""&amp;D133,""marketcap"")"),2319067651)</f>
        <v>2319067651</v>
      </c>
      <c r="K133" s="7">
        <v>992.8</v>
      </c>
      <c r="L133" s="8">
        <f ca="1">IFERROR(__xludf.DUMMYFUNCTION("GOOGLEFINANCE(""NSE:""&amp;D133,""price"")"),74.2)</f>
        <v>74.2</v>
      </c>
      <c r="M133" s="9">
        <f t="shared" ca="1" si="2"/>
        <v>-918.59999999999991</v>
      </c>
      <c r="N133" s="10">
        <f t="shared" ca="1" si="3"/>
        <v>-92.526188557614816</v>
      </c>
      <c r="O133" s="7" t="str">
        <f ca="1">IFERROR(__xludf.DUMMYFUNCTION("GOOGLEFINANCE(""NSE:""&amp;D133,""pe"")"),"#N/A")</f>
        <v>#N/A</v>
      </c>
      <c r="P133" s="7">
        <f ca="1">IFERROR(__xludf.DUMMYFUNCTION("GOOGLEFINANCE(""NSE:""&amp;D133,""EPS"")"),-0.15)</f>
        <v>-0.15</v>
      </c>
      <c r="Q133" s="7">
        <v>13.5</v>
      </c>
      <c r="R133" s="7" t="str">
        <f ca="1">IFERROR(__xludf.DUMMYFUNCTION("IMPORTXML(E133,""/html/body/main/div[3]/div[3]/div[2]/ul/li[7]/span[2]/span"")"),"Loading...")</f>
        <v>Loading...</v>
      </c>
      <c r="S133" s="7" t="str">
        <f ca="1">IFERROR(__xludf.DUMMYFUNCTION("IMPORTXML(E133,""/html/body/main/div[3]/div[3]/div[2]/ul/li[8]/span[2]/span"")"),"Loading...")</f>
        <v>Loading...</v>
      </c>
      <c r="T133" s="4">
        <v>34.6</v>
      </c>
      <c r="U133" s="4">
        <v>22.7</v>
      </c>
      <c r="V133" s="4">
        <v>2.6</v>
      </c>
      <c r="W133" s="4">
        <v>5.7</v>
      </c>
      <c r="X133" s="4">
        <v>519.92999999999995</v>
      </c>
      <c r="Y133" s="7">
        <f t="shared" ca="1" si="4"/>
        <v>-445.72999999999996</v>
      </c>
    </row>
    <row r="134" spans="1:25" ht="15" x14ac:dyDescent="0.25">
      <c r="A134" s="4">
        <v>1492</v>
      </c>
      <c r="C134" s="12" t="s">
        <v>812</v>
      </c>
      <c r="D134" s="12" t="s">
        <v>813</v>
      </c>
      <c r="E134" s="5" t="str">
        <f t="shared" si="0"/>
        <v>https://www.screener.in/company/KCPSUGIND/consolidated/</v>
      </c>
      <c r="F134" s="4">
        <v>443059</v>
      </c>
      <c r="G134" s="4">
        <v>3832241897</v>
      </c>
      <c r="H134" s="6">
        <f t="shared" ca="1" si="1"/>
        <v>13018.125724108999</v>
      </c>
      <c r="I134" s="7" t="str">
        <f ca="1">IFERROR(__xludf.DUMMYFUNCTION("IMPORTXML(E134,""/html/body/main/div[3]/div[3]/div[2]/ul/li[5]/span[2]/span"")"),"Loading...")</f>
        <v>Loading...</v>
      </c>
      <c r="J134" s="7">
        <f ca="1">IFERROR(__xludf.DUMMYFUNCTION("GOOGLEFINANCE(""NSE:""&amp;D134,""marketcap"")"),3826746449)</f>
        <v>3826746449</v>
      </c>
      <c r="K134" s="7">
        <v>992.8</v>
      </c>
      <c r="L134" s="8">
        <f ca="1">IFERROR(__xludf.DUMMYFUNCTION("GOOGLEFINANCE(""NSE:""&amp;D134,""price"")"),33.97)</f>
        <v>33.97</v>
      </c>
      <c r="M134" s="9">
        <f t="shared" ca="1" si="2"/>
        <v>-958.82999999999993</v>
      </c>
      <c r="N134" s="10">
        <f t="shared" ca="1" si="3"/>
        <v>-96.578364222401291</v>
      </c>
      <c r="O134" s="7" t="str">
        <f ca="1">IFERROR(__xludf.DUMMYFUNCTION("GOOGLEFINANCE(""NSE:""&amp;D134,""pe"")"),"#N/A")</f>
        <v>#N/A</v>
      </c>
      <c r="P134" s="7">
        <f ca="1">IFERROR(__xludf.DUMMYFUNCTION("GOOGLEFINANCE(""NSE:""&amp;D134,""EPS"")"),-1.81)</f>
        <v>-1.81</v>
      </c>
      <c r="Q134" s="7">
        <v>13.5</v>
      </c>
      <c r="R134" s="7" t="str">
        <f ca="1">IFERROR(__xludf.DUMMYFUNCTION("IMPORTXML(E134,""/html/body/main/div[3]/div[3]/div[2]/ul/li[7]/span[2]/span"")"),"Loading...")</f>
        <v>Loading...</v>
      </c>
      <c r="S134" s="7" t="str">
        <f ca="1">IFERROR(__xludf.DUMMYFUNCTION("IMPORTXML(E134,""/html/body/main/div[3]/div[3]/div[2]/ul/li[8]/span[2]/span"")"),"Loading...")</f>
        <v>Loading...</v>
      </c>
      <c r="T134" s="4">
        <v>34.6</v>
      </c>
      <c r="U134" s="4">
        <v>22.7</v>
      </c>
      <c r="V134" s="4">
        <v>2.6</v>
      </c>
      <c r="W134" s="4">
        <v>5.7</v>
      </c>
      <c r="X134" s="4">
        <v>519.92999999999995</v>
      </c>
      <c r="Y134" s="7">
        <f t="shared" ca="1" si="4"/>
        <v>-485.95999999999992</v>
      </c>
    </row>
    <row r="135" spans="1:25" ht="15" x14ac:dyDescent="0.25">
      <c r="A135" s="4">
        <v>220</v>
      </c>
      <c r="C135" s="12" t="s">
        <v>814</v>
      </c>
      <c r="D135" s="12" t="s">
        <v>815</v>
      </c>
      <c r="E135" s="5" t="str">
        <f t="shared" si="0"/>
        <v>https://www.screener.in/company/JPPOWER/consolidated/</v>
      </c>
      <c r="F135" s="4">
        <v>443059</v>
      </c>
      <c r="G135" s="4">
        <v>3832241897</v>
      </c>
      <c r="H135" s="6">
        <f t="shared" ca="1" si="1"/>
        <v>7308.0852975790012</v>
      </c>
      <c r="I135" s="7" t="str">
        <f ca="1">IFERROR(__xludf.DUMMYFUNCTION("IMPORTXML(E135,""/html/body/main/div[3]/div[3]/div[2]/ul/li[5]/span[2]/span"")"),"Loading...")</f>
        <v>Loading...</v>
      </c>
      <c r="J135" s="7">
        <f ca="1">IFERROR(__xludf.DUMMYFUNCTION("GOOGLEFINANCE(""NSE:""&amp;D135,""marketcap"")"),130597924877)</f>
        <v>130597924877</v>
      </c>
      <c r="K135" s="7">
        <v>992.8</v>
      </c>
      <c r="L135" s="8">
        <f ca="1">IFERROR(__xludf.DUMMYFUNCTION("GOOGLEFINANCE(""NSE:""&amp;D135,""price"")"),19.07)</f>
        <v>19.07</v>
      </c>
      <c r="M135" s="9">
        <f t="shared" ca="1" si="2"/>
        <v>-973.7299999999999</v>
      </c>
      <c r="N135" s="10">
        <f t="shared" ca="1" si="3"/>
        <v>-98.079170024174047</v>
      </c>
      <c r="O135" s="7">
        <f ca="1">IFERROR(__xludf.DUMMYFUNCTION("GOOGLEFINANCE(""NSE:""&amp;D135,""pe"")"),6.78)</f>
        <v>6.78</v>
      </c>
      <c r="P135" s="7">
        <f ca="1">IFERROR(__xludf.DUMMYFUNCTION("GOOGLEFINANCE(""NSE:""&amp;D135,""EPS"")"),2.81)</f>
        <v>2.81</v>
      </c>
      <c r="Q135" s="7">
        <v>13.5</v>
      </c>
      <c r="R135" s="7" t="str">
        <f ca="1">IFERROR(__xludf.DUMMYFUNCTION("IMPORTXML(E135,""/html/body/main/div[3]/div[3]/div[2]/ul/li[7]/span[2]/span"")"),"Loading...")</f>
        <v>Loading...</v>
      </c>
      <c r="S135" s="7" t="str">
        <f ca="1">IFERROR(__xludf.DUMMYFUNCTION("IMPORTXML(E135,""/html/body/main/div[3]/div[3]/div[2]/ul/li[8]/span[2]/span"")"),"Loading...")</f>
        <v>Loading...</v>
      </c>
      <c r="T135" s="4">
        <v>34.6</v>
      </c>
      <c r="U135" s="4">
        <v>22.7</v>
      </c>
      <c r="V135" s="4">
        <v>2.6</v>
      </c>
      <c r="W135" s="4">
        <v>5.7</v>
      </c>
      <c r="X135" s="4">
        <v>519.92999999999995</v>
      </c>
      <c r="Y135" s="7">
        <f t="shared" ca="1" si="4"/>
        <v>-500.85999999999996</v>
      </c>
    </row>
    <row r="136" spans="1:25" ht="15" x14ac:dyDescent="0.25">
      <c r="A136" s="4">
        <v>1897</v>
      </c>
      <c r="C136" s="12" t="s">
        <v>816</v>
      </c>
      <c r="D136" s="12" t="s">
        <v>817</v>
      </c>
      <c r="E136" s="5" t="str">
        <f t="shared" si="0"/>
        <v>https://www.screener.in/company/AHLEAST/consolidated/</v>
      </c>
      <c r="F136" s="4">
        <v>443059</v>
      </c>
      <c r="G136" s="4">
        <v>3832241897</v>
      </c>
      <c r="H136" s="6">
        <f t="shared" ca="1" si="1"/>
        <v>59104.666777430997</v>
      </c>
      <c r="I136" s="7" t="str">
        <f ca="1">IFERROR(__xludf.DUMMYFUNCTION("IMPORTXML(E136,""/html/body/main/div[3]/div[3]/div[2]/ul/li[5]/span[2]/span"")"),"Loading...")</f>
        <v>Loading...</v>
      </c>
      <c r="J136" s="7">
        <f ca="1">IFERROR(__xludf.DUMMYFUNCTION("GOOGLEFINANCE(""NSE:""&amp;D136,""marketcap"")"),2703384000)</f>
        <v>2703384000</v>
      </c>
      <c r="K136" s="7">
        <v>992.8</v>
      </c>
      <c r="L136" s="8">
        <f ca="1">IFERROR(__xludf.DUMMYFUNCTION("GOOGLEFINANCE(""NSE:""&amp;D136,""price"")"),154.23)</f>
        <v>154.22999999999999</v>
      </c>
      <c r="M136" s="9">
        <f t="shared" ca="1" si="2"/>
        <v>-838.56999999999994</v>
      </c>
      <c r="N136" s="10">
        <f t="shared" ca="1" si="3"/>
        <v>-84.465149073327964</v>
      </c>
      <c r="O136" s="7">
        <f ca="1">IFERROR(__xludf.DUMMYFUNCTION("GOOGLEFINANCE(""NSE:""&amp;D136,""pe"")"),23.46)</f>
        <v>23.46</v>
      </c>
      <c r="P136" s="7">
        <f ca="1">IFERROR(__xludf.DUMMYFUNCTION("GOOGLEFINANCE(""NSE:""&amp;D136,""EPS"")"),6.57)</f>
        <v>6.57</v>
      </c>
      <c r="Q136" s="7">
        <v>13.5</v>
      </c>
      <c r="R136" s="7" t="str">
        <f ca="1">IFERROR(__xludf.DUMMYFUNCTION("IMPORTXML(E136,""/html/body/main/div[3]/div[3]/div[2]/ul/li[7]/span[2]/span"")"),"Loading...")</f>
        <v>Loading...</v>
      </c>
      <c r="S136" s="7" t="str">
        <f ca="1">IFERROR(__xludf.DUMMYFUNCTION("IMPORTXML(E136,""/html/body/main/div[3]/div[3]/div[2]/ul/li[8]/span[2]/span"")"),"Loading...")</f>
        <v>Loading...</v>
      </c>
      <c r="T136" s="4">
        <v>34.6</v>
      </c>
      <c r="U136" s="4">
        <v>22.7</v>
      </c>
      <c r="V136" s="4">
        <v>2.6</v>
      </c>
      <c r="W136" s="4">
        <v>5.7</v>
      </c>
      <c r="X136" s="4">
        <v>519.92999999999995</v>
      </c>
      <c r="Y136" s="7">
        <f t="shared" ca="1" si="4"/>
        <v>-365.69999999999993</v>
      </c>
    </row>
    <row r="137" spans="1:25" ht="15" x14ac:dyDescent="0.25">
      <c r="A137" s="4">
        <v>174</v>
      </c>
      <c r="C137" s="12" t="s">
        <v>818</v>
      </c>
      <c r="D137" s="12" t="s">
        <v>819</v>
      </c>
      <c r="E137" s="5" t="str">
        <f t="shared" si="0"/>
        <v>https://www.screener.in/company/GRINFRA/consolidated/</v>
      </c>
      <c r="F137" s="4">
        <v>443059</v>
      </c>
      <c r="G137" s="4">
        <v>3832241897</v>
      </c>
      <c r="H137" s="6">
        <f t="shared" ca="1" si="1"/>
        <v>494359.20471299998</v>
      </c>
      <c r="I137" s="7" t="str">
        <f ca="1">IFERROR(__xludf.DUMMYFUNCTION("IMPORTXML(E137,""/html/body/main/div[3]/div[3]/div[2]/ul/li[5]/span[2]/span"")"),"Loading...")</f>
        <v>Loading...</v>
      </c>
      <c r="J137" s="7">
        <f ca="1">IFERROR(__xludf.DUMMYFUNCTION("GOOGLEFINANCE(""NSE:""&amp;D137,""marketcap"")"),124821032100)</f>
        <v>124821032100</v>
      </c>
      <c r="K137" s="7">
        <v>992.8</v>
      </c>
      <c r="L137" s="8">
        <f ca="1">IFERROR(__xludf.DUMMYFUNCTION("GOOGLEFINANCE(""NSE:""&amp;D137,""price"")"),1290)</f>
        <v>1290</v>
      </c>
      <c r="M137" s="9">
        <f t="shared" ca="1" si="2"/>
        <v>297.20000000000005</v>
      </c>
      <c r="N137" s="10">
        <f t="shared" ca="1" si="3"/>
        <v>29.935535858178895</v>
      </c>
      <c r="O137" s="7">
        <f ca="1">IFERROR(__xludf.DUMMYFUNCTION("GOOGLEFINANCE(""NSE:""&amp;D137,""pe"")"),11.32)</f>
        <v>11.32</v>
      </c>
      <c r="P137" s="7">
        <f ca="1">IFERROR(__xludf.DUMMYFUNCTION("GOOGLEFINANCE(""NSE:""&amp;D137,""EPS"")"),113.96)</f>
        <v>113.96</v>
      </c>
      <c r="Q137" s="7">
        <v>13.5</v>
      </c>
      <c r="R137" s="7" t="str">
        <f ca="1">IFERROR(__xludf.DUMMYFUNCTION("IMPORTXML(E137,""/html/body/main/div[3]/div[3]/div[2]/ul/li[7]/span[2]/span"")"),"Loading...")</f>
        <v>Loading...</v>
      </c>
      <c r="S137" s="7" t="str">
        <f ca="1">IFERROR(__xludf.DUMMYFUNCTION("IMPORTXML(E137,""/html/body/main/div[3]/div[3]/div[2]/ul/li[8]/span[2]/span"")"),"Loading...")</f>
        <v>Loading...</v>
      </c>
      <c r="T137" s="4">
        <v>34.6</v>
      </c>
      <c r="U137" s="4">
        <v>22.7</v>
      </c>
      <c r="V137" s="4">
        <v>2.6</v>
      </c>
      <c r="W137" s="4">
        <v>5.7</v>
      </c>
      <c r="X137" s="4">
        <v>519.92999999999995</v>
      </c>
      <c r="Y137" s="7">
        <f t="shared" ca="1" si="4"/>
        <v>770.07</v>
      </c>
    </row>
    <row r="138" spans="1:25" ht="15" x14ac:dyDescent="0.25">
      <c r="A138" s="4">
        <v>1486</v>
      </c>
      <c r="C138" s="12" t="s">
        <v>820</v>
      </c>
      <c r="D138" s="12" t="s">
        <v>821</v>
      </c>
      <c r="E138" s="5" t="str">
        <f t="shared" si="0"/>
        <v>https://www.screener.in/company/MUTHOOTCAP/consolidated/</v>
      </c>
      <c r="F138" s="4">
        <v>443059</v>
      </c>
      <c r="G138" s="4">
        <v>3832241897</v>
      </c>
      <c r="H138" s="6">
        <f t="shared" ca="1" si="1"/>
        <v>106229.74538483999</v>
      </c>
      <c r="I138" s="7" t="str">
        <f ca="1">IFERROR(__xludf.DUMMYFUNCTION("IMPORTXML(E138,""/html/body/main/div[3]/div[3]/div[2]/ul/li[5]/span[2]/span"")"),"Loading...")</f>
        <v>Loading...</v>
      </c>
      <c r="J138" s="7">
        <f ca="1">IFERROR(__xludf.DUMMYFUNCTION("GOOGLEFINANCE(""NSE:""&amp;D138,""marketcap"")"),4561716571)</f>
        <v>4561716571</v>
      </c>
      <c r="K138" s="7">
        <v>992.8</v>
      </c>
      <c r="L138" s="8">
        <f ca="1">IFERROR(__xludf.DUMMYFUNCTION("GOOGLEFINANCE(""NSE:""&amp;D138,""price"")"),277.2)</f>
        <v>277.2</v>
      </c>
      <c r="M138" s="9">
        <f t="shared" ca="1" si="2"/>
        <v>-715.59999999999991</v>
      </c>
      <c r="N138" s="10">
        <f t="shared" ca="1" si="3"/>
        <v>-72.078968573730862</v>
      </c>
      <c r="O138" s="7">
        <f ca="1">IFERROR(__xludf.DUMMYFUNCTION("GOOGLEFINANCE(""NSE:""&amp;D138,""pe"")"),15.06)</f>
        <v>15.06</v>
      </c>
      <c r="P138" s="7">
        <f ca="1">IFERROR(__xludf.DUMMYFUNCTION("GOOGLEFINANCE(""NSE:""&amp;D138,""EPS"")"),18.4)</f>
        <v>18.399999999999999</v>
      </c>
      <c r="Q138" s="7">
        <v>13.5</v>
      </c>
      <c r="R138" s="7" t="str">
        <f ca="1">IFERROR(__xludf.DUMMYFUNCTION("IMPORTXML(E138,""/html/body/main/div[3]/div[3]/div[2]/ul/li[7]/span[2]/span"")"),"Loading...")</f>
        <v>Loading...</v>
      </c>
      <c r="S138" s="7" t="str">
        <f ca="1">IFERROR(__xludf.DUMMYFUNCTION("IMPORTXML(E138,""/html/body/main/div[3]/div[3]/div[2]/ul/li[8]/span[2]/span"")"),"Loading...")</f>
        <v>Loading...</v>
      </c>
      <c r="T138" s="4">
        <v>34.6</v>
      </c>
      <c r="U138" s="4">
        <v>22.7</v>
      </c>
      <c r="V138" s="4">
        <v>2.6</v>
      </c>
      <c r="W138" s="4">
        <v>5.7</v>
      </c>
      <c r="X138" s="4">
        <v>519.92999999999995</v>
      </c>
      <c r="Y138" s="7">
        <f t="shared" ca="1" si="4"/>
        <v>-242.72999999999996</v>
      </c>
    </row>
    <row r="139" spans="1:25" ht="15" x14ac:dyDescent="0.25">
      <c r="A139" s="4">
        <v>1708</v>
      </c>
      <c r="C139" s="12" t="s">
        <v>822</v>
      </c>
      <c r="D139" s="12" t="s">
        <v>823</v>
      </c>
      <c r="E139" s="5" t="str">
        <f t="shared" si="0"/>
        <v>https://www.screener.in/company/GULFPETRO/consolidated/</v>
      </c>
      <c r="F139" s="4">
        <v>443059</v>
      </c>
      <c r="G139" s="4">
        <v>3832241897</v>
      </c>
      <c r="H139" s="6">
        <f t="shared" ca="1" si="1"/>
        <v>15903.803872549999</v>
      </c>
      <c r="I139" s="7" t="str">
        <f ca="1">IFERROR(__xludf.DUMMYFUNCTION("IMPORTXML(E139,""/html/body/main/div[3]/div[3]/div[2]/ul/li[5]/span[2]/span"")"),"Loading...")</f>
        <v>Loading...</v>
      </c>
      <c r="J139" s="7">
        <f ca="1">IFERROR(__xludf.DUMMYFUNCTION("GOOGLEFINANCE(""NSE:""&amp;D139,""marketcap"")"),2101624388)</f>
        <v>2101624388</v>
      </c>
      <c r="K139" s="7">
        <v>992.8</v>
      </c>
      <c r="L139" s="8">
        <f ca="1">IFERROR(__xludf.DUMMYFUNCTION("GOOGLEFINANCE(""NSE:""&amp;D139,""price"")"),41.5)</f>
        <v>41.5</v>
      </c>
      <c r="M139" s="9">
        <f t="shared" ca="1" si="2"/>
        <v>-951.3</v>
      </c>
      <c r="N139" s="10">
        <f t="shared" ca="1" si="3"/>
        <v>-95.819903303787271</v>
      </c>
      <c r="O139" s="7">
        <f ca="1">IFERROR(__xludf.DUMMYFUNCTION("GOOGLEFINANCE(""NSE:""&amp;D139,""pe"")"),7.96)</f>
        <v>7.96</v>
      </c>
      <c r="P139" s="7">
        <f ca="1">IFERROR(__xludf.DUMMYFUNCTION("GOOGLEFINANCE(""NSE:""&amp;D139,""EPS"")"),5.21)</f>
        <v>5.21</v>
      </c>
      <c r="Q139" s="7">
        <v>13.5</v>
      </c>
      <c r="R139" s="7" t="str">
        <f ca="1">IFERROR(__xludf.DUMMYFUNCTION("IMPORTXML(E139,""/html/body/main/div[3]/div[3]/div[2]/ul/li[7]/span[2]/span"")"),"Loading...")</f>
        <v>Loading...</v>
      </c>
      <c r="S139" s="7" t="str">
        <f ca="1">IFERROR(__xludf.DUMMYFUNCTION("IMPORTXML(E139,""/html/body/main/div[3]/div[3]/div[2]/ul/li[8]/span[2]/span"")"),"Loading...")</f>
        <v>Loading...</v>
      </c>
      <c r="T139" s="4">
        <v>34.6</v>
      </c>
      <c r="U139" s="4">
        <v>22.7</v>
      </c>
      <c r="V139" s="4">
        <v>2.6</v>
      </c>
      <c r="W139" s="4">
        <v>5.7</v>
      </c>
      <c r="X139" s="4">
        <v>519.92999999999995</v>
      </c>
      <c r="Y139" s="7">
        <f t="shared" ca="1" si="4"/>
        <v>-478.42999999999995</v>
      </c>
    </row>
    <row r="140" spans="1:25" ht="15" x14ac:dyDescent="0.25">
      <c r="A140" s="4">
        <v>134</v>
      </c>
      <c r="C140" s="12" t="s">
        <v>824</v>
      </c>
      <c r="D140" s="12" t="s">
        <v>825</v>
      </c>
      <c r="E140" s="5" t="str">
        <f t="shared" si="0"/>
        <v>https://www.screener.in/company/KARURVYSYA/consolidated/</v>
      </c>
      <c r="F140" s="4">
        <v>443059</v>
      </c>
      <c r="G140" s="4">
        <v>3832241897</v>
      </c>
      <c r="H140" s="6">
        <f t="shared" ca="1" si="1"/>
        <v>79250.762429960014</v>
      </c>
      <c r="I140" s="7" t="str">
        <f ca="1">IFERROR(__xludf.DUMMYFUNCTION("IMPORTXML(E140,""/html/body/main/div[3]/div[3]/div[2]/ul/li[5]/span[2]/span"")"),"Loading...")</f>
        <v>Loading...</v>
      </c>
      <c r="J140" s="7">
        <f ca="1">IFERROR(__xludf.DUMMYFUNCTION("GOOGLEFINANCE(""NSE:""&amp;D140,""marketcap"")"),199844243589)</f>
        <v>199844243589</v>
      </c>
      <c r="K140" s="7">
        <v>992.8</v>
      </c>
      <c r="L140" s="8">
        <f ca="1">IFERROR(__xludf.DUMMYFUNCTION("GOOGLEFINANCE(""NSE:""&amp;D140,""price"")"),206.8)</f>
        <v>206.8</v>
      </c>
      <c r="M140" s="9">
        <f t="shared" ca="1" si="2"/>
        <v>-786</v>
      </c>
      <c r="N140" s="10">
        <f t="shared" ca="1" si="3"/>
        <v>-79.170024174053182</v>
      </c>
      <c r="O140" s="7">
        <f ca="1">IFERROR(__xludf.DUMMYFUNCTION("GOOGLEFINANCE(""NSE:""&amp;D140,""pe"")"),9.97)</f>
        <v>9.9700000000000006</v>
      </c>
      <c r="P140" s="7">
        <f ca="1">IFERROR(__xludf.DUMMYFUNCTION("GOOGLEFINANCE(""NSE:""&amp;D140,""EPS"")"),20.74)</f>
        <v>20.74</v>
      </c>
      <c r="Q140" s="7">
        <v>13.5</v>
      </c>
      <c r="R140" s="7" t="str">
        <f ca="1">IFERROR(__xludf.DUMMYFUNCTION("IMPORTXML(E140,""/html/body/main/div[3]/div[3]/div[2]/ul/li[7]/span[2]/span"")"),"Loading...")</f>
        <v>Loading...</v>
      </c>
      <c r="S140" s="7" t="str">
        <f ca="1">IFERROR(__xludf.DUMMYFUNCTION("IMPORTXML(E140,""/html/body/main/div[3]/div[3]/div[2]/ul/li[8]/span[2]/span"")"),"Loading...")</f>
        <v>Loading...</v>
      </c>
      <c r="T140" s="4">
        <v>34.6</v>
      </c>
      <c r="U140" s="4">
        <v>22.7</v>
      </c>
      <c r="V140" s="4">
        <v>2.6</v>
      </c>
      <c r="W140" s="4">
        <v>5.7</v>
      </c>
      <c r="X140" s="4">
        <v>519.92999999999995</v>
      </c>
      <c r="Y140" s="7">
        <f t="shared" ca="1" si="4"/>
        <v>-313.12999999999994</v>
      </c>
    </row>
    <row r="141" spans="1:25" ht="15" x14ac:dyDescent="0.25">
      <c r="A141" s="4">
        <v>95</v>
      </c>
      <c r="C141" s="12" t="s">
        <v>826</v>
      </c>
      <c r="D141" s="12" t="s">
        <v>827</v>
      </c>
      <c r="E141" s="5" t="str">
        <f t="shared" si="0"/>
        <v>https://www.screener.in/company/JINDALSAW/consolidated/</v>
      </c>
      <c r="F141" s="4">
        <v>443059</v>
      </c>
      <c r="G141" s="4">
        <v>3832241897</v>
      </c>
      <c r="H141" s="6">
        <f t="shared" ca="1" si="1"/>
        <v>76989.739710730006</v>
      </c>
      <c r="I141" s="7" t="str">
        <f ca="1">IFERROR(__xludf.DUMMYFUNCTION("IMPORTXML(E141,""/html/body/main/div[3]/div[3]/div[2]/ul/li[5]/span[2]/span"")"),"Loading...")</f>
        <v>Loading...</v>
      </c>
      <c r="J141" s="7">
        <f ca="1">IFERROR(__xludf.DUMMYFUNCTION("GOOGLEFINANCE(""NSE:""&amp;D141,""marketcap"")"),127917863391)</f>
        <v>127917863391</v>
      </c>
      <c r="K141" s="7">
        <v>992.8</v>
      </c>
      <c r="L141" s="8">
        <f ca="1">IFERROR(__xludf.DUMMYFUNCTION("GOOGLEFINANCE(""NSE:""&amp;D141,""price"")"),200.9)</f>
        <v>200.9</v>
      </c>
      <c r="M141" s="9">
        <f t="shared" ca="1" si="2"/>
        <v>-791.9</v>
      </c>
      <c r="N141" s="10">
        <f t="shared" ca="1" si="3"/>
        <v>-79.764302981466557</v>
      </c>
      <c r="O141" s="7">
        <f ca="1">IFERROR(__xludf.DUMMYFUNCTION("GOOGLEFINANCE(""NSE:""&amp;D141,""pe"")"),7.46)</f>
        <v>7.46</v>
      </c>
      <c r="P141" s="7">
        <f ca="1">IFERROR(__xludf.DUMMYFUNCTION("GOOGLEFINANCE(""NSE:""&amp;D141,""EPS"")"),26.94)</f>
        <v>26.94</v>
      </c>
      <c r="Q141" s="7">
        <v>13.5</v>
      </c>
      <c r="R141" s="7" t="str">
        <f ca="1">IFERROR(__xludf.DUMMYFUNCTION("IMPORTXML(E141,""/html/body/main/div[3]/div[3]/div[2]/ul/li[7]/span[2]/span"")"),"Loading...")</f>
        <v>Loading...</v>
      </c>
      <c r="S141" s="7" t="str">
        <f ca="1">IFERROR(__xludf.DUMMYFUNCTION("IMPORTXML(E141,""/html/body/main/div[3]/div[3]/div[2]/ul/li[8]/span[2]/span"")"),"Loading...")</f>
        <v>Loading...</v>
      </c>
      <c r="T141" s="4">
        <v>34.6</v>
      </c>
      <c r="U141" s="4">
        <v>22.7</v>
      </c>
      <c r="V141" s="4">
        <v>2.6</v>
      </c>
      <c r="W141" s="4">
        <v>5.7</v>
      </c>
      <c r="X141" s="4">
        <v>519.92999999999995</v>
      </c>
      <c r="Y141" s="7">
        <f t="shared" ca="1" si="4"/>
        <v>-319.02999999999997</v>
      </c>
    </row>
    <row r="142" spans="1:25" ht="15" x14ac:dyDescent="0.25">
      <c r="A142" s="4">
        <v>1112</v>
      </c>
      <c r="C142" s="12" t="s">
        <v>828</v>
      </c>
      <c r="D142" s="12" t="s">
        <v>829</v>
      </c>
      <c r="E142" s="5" t="str">
        <f t="shared" si="0"/>
        <v>https://www.screener.in/company/PDMJEPAPER/consolidated/</v>
      </c>
      <c r="F142" s="4">
        <v>443059</v>
      </c>
      <c r="G142" s="4">
        <v>3832241897</v>
      </c>
      <c r="H142" s="6">
        <f t="shared" ca="1" si="1"/>
        <v>49742.499823060003</v>
      </c>
      <c r="I142" s="7" t="str">
        <f ca="1">IFERROR(__xludf.DUMMYFUNCTION("IMPORTXML(E142,""/html/body/main/div[3]/div[3]/div[2]/ul/li[5]/span[2]/span"")"),"Loading...")</f>
        <v>Loading...</v>
      </c>
      <c r="J142" s="7">
        <f ca="1">IFERROR(__xludf.DUMMYFUNCTION("GOOGLEFINANCE(""NSE:""&amp;D142,""marketcap"")"),12324511587)</f>
        <v>12324511587</v>
      </c>
      <c r="K142" s="7">
        <v>992.8</v>
      </c>
      <c r="L142" s="8">
        <f ca="1">IFERROR(__xludf.DUMMYFUNCTION("GOOGLEFINANCE(""NSE:""&amp;D142,""price"")"),129.8)</f>
        <v>129.80000000000001</v>
      </c>
      <c r="M142" s="9">
        <f t="shared" ca="1" si="2"/>
        <v>-863</v>
      </c>
      <c r="N142" s="10">
        <f t="shared" ca="1" si="3"/>
        <v>-86.925866236905719</v>
      </c>
      <c r="O142" s="7">
        <f ca="1">IFERROR(__xludf.DUMMYFUNCTION("GOOGLEFINANCE(""NSE:""&amp;D142,""pe"")"),11.81)</f>
        <v>11.81</v>
      </c>
      <c r="P142" s="7">
        <f ca="1">IFERROR(__xludf.DUMMYFUNCTION("GOOGLEFINANCE(""NSE:""&amp;D142,""EPS"")"),11)</f>
        <v>11</v>
      </c>
      <c r="Q142" s="7">
        <v>13.5</v>
      </c>
      <c r="R142" s="7" t="str">
        <f ca="1">IFERROR(__xludf.DUMMYFUNCTION("IMPORTXML(E142,""/html/body/main/div[3]/div[3]/div[2]/ul/li[7]/span[2]/span"")"),"Loading...")</f>
        <v>Loading...</v>
      </c>
      <c r="S142" s="7" t="str">
        <f ca="1">IFERROR(__xludf.DUMMYFUNCTION("IMPORTXML(E142,""/html/body/main/div[3]/div[3]/div[2]/ul/li[8]/span[2]/span"")"),"Loading...")</f>
        <v>Loading...</v>
      </c>
      <c r="T142" s="4">
        <v>34.6</v>
      </c>
      <c r="U142" s="4">
        <v>22.7</v>
      </c>
      <c r="V142" s="4">
        <v>2.6</v>
      </c>
      <c r="W142" s="4">
        <v>5.7</v>
      </c>
      <c r="X142" s="4">
        <v>519.92999999999995</v>
      </c>
      <c r="Y142" s="7">
        <f t="shared" ca="1" si="4"/>
        <v>-390.12999999999994</v>
      </c>
    </row>
    <row r="143" spans="1:25" ht="15" x14ac:dyDescent="0.25">
      <c r="A143" s="4">
        <v>1608</v>
      </c>
      <c r="C143" s="12" t="s">
        <v>830</v>
      </c>
      <c r="D143" s="12" t="s">
        <v>831</v>
      </c>
      <c r="E143" s="5" t="str">
        <f t="shared" si="0"/>
        <v>https://www.screener.in/company/ROSSELLIND/consolidated/</v>
      </c>
      <c r="F143" s="4">
        <v>443059</v>
      </c>
      <c r="G143" s="4">
        <v>3832241897</v>
      </c>
      <c r="H143" s="6">
        <f t="shared" ca="1" si="1"/>
        <v>25254.47410123</v>
      </c>
      <c r="I143" s="7" t="str">
        <f ca="1">IFERROR(__xludf.DUMMYFUNCTION("IMPORTXML(E143,""/html/body/main/div[3]/div[3]/div[2]/ul/li[5]/span[2]/span"")"),"Loading...")</f>
        <v>Loading...</v>
      </c>
      <c r="J143" s="7">
        <f ca="1">IFERROR(__xludf.DUMMYFUNCTION("GOOGLEFINANCE(""NSE:""&amp;D143,""marketcap"")"),2489336305)</f>
        <v>2489336305</v>
      </c>
      <c r="K143" s="7">
        <v>992.8</v>
      </c>
      <c r="L143" s="8">
        <f ca="1">IFERROR(__xludf.DUMMYFUNCTION("GOOGLEFINANCE(""NSE:""&amp;D143,""price"")"),65.9)</f>
        <v>65.900000000000006</v>
      </c>
      <c r="M143" s="9">
        <f t="shared" ca="1" si="2"/>
        <v>-926.9</v>
      </c>
      <c r="N143" s="10">
        <f t="shared" ca="1" si="3"/>
        <v>-93.36220789685737</v>
      </c>
      <c r="O143" s="7">
        <f ca="1">IFERROR(__xludf.DUMMYFUNCTION("GOOGLEFINANCE(""NSE:""&amp;D143,""pe"")"),12.23)</f>
        <v>12.23</v>
      </c>
      <c r="P143" s="7">
        <f ca="1">IFERROR(__xludf.DUMMYFUNCTION("GOOGLEFINANCE(""NSE:""&amp;D143,""EPS"")"),5.39)</f>
        <v>5.39</v>
      </c>
      <c r="Q143" s="7">
        <v>13.5</v>
      </c>
      <c r="R143" s="7" t="str">
        <f ca="1">IFERROR(__xludf.DUMMYFUNCTION("IMPORTXML(E143,""/html/body/main/div[3]/div[3]/div[2]/ul/li[7]/span[2]/span"")"),"Loading...")</f>
        <v>Loading...</v>
      </c>
      <c r="S143" s="7" t="str">
        <f ca="1">IFERROR(__xludf.DUMMYFUNCTION("IMPORTXML(E143,""/html/body/main/div[3]/div[3]/div[2]/ul/li[8]/span[2]/span"")"),"Loading...")</f>
        <v>Loading...</v>
      </c>
      <c r="T143" s="4">
        <v>34.6</v>
      </c>
      <c r="U143" s="4">
        <v>22.7</v>
      </c>
      <c r="V143" s="4">
        <v>2.6</v>
      </c>
      <c r="W143" s="4">
        <v>5.7</v>
      </c>
      <c r="X143" s="4">
        <v>519.92999999999995</v>
      </c>
      <c r="Y143" s="7">
        <f t="shared" ca="1" si="4"/>
        <v>-454.03</v>
      </c>
    </row>
    <row r="144" spans="1:25" ht="15" x14ac:dyDescent="0.25">
      <c r="A144" s="4">
        <v>1245</v>
      </c>
      <c r="C144" s="12" t="s">
        <v>832</v>
      </c>
      <c r="D144" s="12" t="s">
        <v>833</v>
      </c>
      <c r="E144" s="5" t="str">
        <f t="shared" si="0"/>
        <v>https://www.screener.in/company/CSLFINANCE/consolidated/</v>
      </c>
      <c r="F144" s="4">
        <v>443059</v>
      </c>
      <c r="G144" s="4">
        <v>3832241897</v>
      </c>
      <c r="H144" s="6">
        <f t="shared" ca="1" si="1"/>
        <v>111518.2392027</v>
      </c>
      <c r="I144" s="7" t="str">
        <f ca="1">IFERROR(__xludf.DUMMYFUNCTION("IMPORTXML(E144,""/html/body/main/div[3]/div[3]/div[2]/ul/li[5]/span[2]/span"")"),"Loading...")</f>
        <v>Loading...</v>
      </c>
      <c r="J144" s="7">
        <f ca="1">IFERROR(__xludf.DUMMYFUNCTION("GOOGLEFINANCE(""NSE:""&amp;D144,""marketcap"")"),6543856680)</f>
        <v>6543856680</v>
      </c>
      <c r="K144" s="7">
        <v>992.8</v>
      </c>
      <c r="L144" s="8">
        <f ca="1">IFERROR(__xludf.DUMMYFUNCTION("GOOGLEFINANCE(""NSE:""&amp;D144,""price"")"),291)</f>
        <v>291</v>
      </c>
      <c r="M144" s="9">
        <f t="shared" ca="1" si="2"/>
        <v>-701.8</v>
      </c>
      <c r="N144" s="10">
        <f t="shared" ca="1" si="3"/>
        <v>-70.688960515713134</v>
      </c>
      <c r="O144" s="7">
        <f ca="1">IFERROR(__xludf.DUMMYFUNCTION("GOOGLEFINANCE(""NSE:""&amp;D144,""pe"")"),8.93)</f>
        <v>8.93</v>
      </c>
      <c r="P144" s="7">
        <f ca="1">IFERROR(__xludf.DUMMYFUNCTION("GOOGLEFINANCE(""NSE:""&amp;D144,""EPS"")"),32.57)</f>
        <v>32.57</v>
      </c>
      <c r="Q144" s="7">
        <v>13.5</v>
      </c>
      <c r="R144" s="7" t="str">
        <f ca="1">IFERROR(__xludf.DUMMYFUNCTION("IMPORTXML(E144,""/html/body/main/div[3]/div[3]/div[2]/ul/li[7]/span[2]/span"")"),"Loading...")</f>
        <v>Loading...</v>
      </c>
      <c r="S144" s="7" t="str">
        <f ca="1">IFERROR(__xludf.DUMMYFUNCTION("IMPORTXML(E144,""/html/body/main/div[3]/div[3]/div[2]/ul/li[8]/span[2]/span"")"),"Loading...")</f>
        <v>Loading...</v>
      </c>
      <c r="T144" s="4">
        <v>34.6</v>
      </c>
      <c r="U144" s="4">
        <v>22.7</v>
      </c>
      <c r="V144" s="4">
        <v>2.6</v>
      </c>
      <c r="W144" s="4">
        <v>5.7</v>
      </c>
      <c r="X144" s="4">
        <v>519.92999999999995</v>
      </c>
      <c r="Y144" s="7">
        <f t="shared" ca="1" si="4"/>
        <v>-228.92999999999995</v>
      </c>
    </row>
    <row r="145" spans="1:25" ht="15" x14ac:dyDescent="0.25">
      <c r="A145" s="4">
        <v>846</v>
      </c>
      <c r="C145" s="12" t="s">
        <v>834</v>
      </c>
      <c r="D145" s="12" t="s">
        <v>835</v>
      </c>
      <c r="E145" s="5" t="str">
        <f t="shared" si="0"/>
        <v>https://www.screener.in/company/JITFINFRA/consolidated/</v>
      </c>
      <c r="F145" s="4">
        <v>443059</v>
      </c>
      <c r="G145" s="4">
        <v>3832241897</v>
      </c>
      <c r="H145" s="6">
        <f t="shared" ca="1" si="1"/>
        <v>155799.79432253502</v>
      </c>
      <c r="I145" s="7" t="str">
        <f ca="1">IFERROR(__xludf.DUMMYFUNCTION("IMPORTXML(E145,""/html/body/main/div[3]/div[3]/div[2]/ul/li[5]/span[2]/span"")"),"Loading...")</f>
        <v>Loading...</v>
      </c>
      <c r="J145" s="7">
        <f ca="1">IFERROR(__xludf.DUMMYFUNCTION("GOOGLEFINANCE(""NSE:""&amp;D145,""marketcap"")"),10449840000)</f>
        <v>10449840000</v>
      </c>
      <c r="K145" s="7">
        <v>992.8</v>
      </c>
      <c r="L145" s="8">
        <f ca="1">IFERROR(__xludf.DUMMYFUNCTION("GOOGLEFINANCE(""NSE:""&amp;D145,""price"")"),406.55)</f>
        <v>406.55</v>
      </c>
      <c r="M145" s="9">
        <f t="shared" ca="1" si="2"/>
        <v>-586.25</v>
      </c>
      <c r="N145" s="10">
        <f t="shared" ca="1" si="3"/>
        <v>-59.050161160354556</v>
      </c>
      <c r="O145" s="7">
        <f ca="1">IFERROR(__xludf.DUMMYFUNCTION("GOOGLEFINANCE(""NSE:""&amp;D145,""pe"")"),10.59)</f>
        <v>10.59</v>
      </c>
      <c r="P145" s="7">
        <f ca="1">IFERROR(__xludf.DUMMYFUNCTION("GOOGLEFINANCE(""NSE:""&amp;D145,""EPS"")"),38.39)</f>
        <v>38.39</v>
      </c>
      <c r="Q145" s="7">
        <v>13.5</v>
      </c>
      <c r="R145" s="7" t="str">
        <f ca="1">IFERROR(__xludf.DUMMYFUNCTION("IMPORTXML(E145,""/html/body/main/div[3]/div[3]/div[2]/ul/li[7]/span[2]/span"")"),"Loading...")</f>
        <v>Loading...</v>
      </c>
      <c r="S145" s="7" t="str">
        <f ca="1">IFERROR(__xludf.DUMMYFUNCTION("IMPORTXML(E145,""/html/body/main/div[3]/div[3]/div[2]/ul/li[8]/span[2]/span"")"),"Loading...")</f>
        <v>Loading...</v>
      </c>
      <c r="T145" s="4">
        <v>34.6</v>
      </c>
      <c r="U145" s="4">
        <v>22.7</v>
      </c>
      <c r="V145" s="4">
        <v>2.6</v>
      </c>
      <c r="W145" s="4">
        <v>5.7</v>
      </c>
      <c r="X145" s="4">
        <v>519.92999999999995</v>
      </c>
      <c r="Y145" s="7">
        <f t="shared" ca="1" si="4"/>
        <v>-113.37999999999994</v>
      </c>
    </row>
    <row r="146" spans="1:25" ht="15" x14ac:dyDescent="0.25">
      <c r="A146" s="4">
        <v>1686</v>
      </c>
      <c r="C146" s="12" t="s">
        <v>836</v>
      </c>
      <c r="D146" s="12" t="s">
        <v>837</v>
      </c>
      <c r="E146" s="5" t="str">
        <f t="shared" si="0"/>
        <v>https://www.screener.in/company/GLOBAL/consolidated/</v>
      </c>
      <c r="F146" s="4">
        <v>443059</v>
      </c>
      <c r="G146" s="4">
        <v>3832241897</v>
      </c>
      <c r="H146" s="6">
        <f t="shared" ca="1" si="1"/>
        <v>24602.992978740003</v>
      </c>
      <c r="I146" s="7" t="str">
        <f ca="1">IFERROR(__xludf.DUMMYFUNCTION("IMPORTXML(E146,""/html/body/main/div[3]/div[3]/div[2]/ul/li[5]/span[2]/span"")"),"Loading...")</f>
        <v>Loading...</v>
      </c>
      <c r="J146" s="7">
        <f ca="1">IFERROR(__xludf.DUMMYFUNCTION("GOOGLEFINANCE(""NSE:""&amp;D146,""marketcap"")"),3267876144)</f>
        <v>3267876144</v>
      </c>
      <c r="K146" s="7">
        <v>992.8</v>
      </c>
      <c r="L146" s="8">
        <f ca="1">IFERROR(__xludf.DUMMYFUNCTION("GOOGLEFINANCE(""NSE:""&amp;D146,""price"")"),64.2)</f>
        <v>64.2</v>
      </c>
      <c r="M146" s="9">
        <f t="shared" ca="1" si="2"/>
        <v>-928.59999999999991</v>
      </c>
      <c r="N146" s="10">
        <f t="shared" ca="1" si="3"/>
        <v>-93.533440773569694</v>
      </c>
      <c r="O146" s="7">
        <f ca="1">IFERROR(__xludf.DUMMYFUNCTION("GOOGLEFINANCE(""NSE:""&amp;D146,""pe"")"),12.93)</f>
        <v>12.93</v>
      </c>
      <c r="P146" s="7">
        <f ca="1">IFERROR(__xludf.DUMMYFUNCTION("GOOGLEFINANCE(""NSE:""&amp;D146,""EPS"")"),4.97)</f>
        <v>4.97</v>
      </c>
      <c r="Q146" s="7">
        <v>13.5</v>
      </c>
      <c r="R146" s="7" t="str">
        <f ca="1">IFERROR(__xludf.DUMMYFUNCTION("IMPORTXML(E146,""/html/body/main/div[3]/div[3]/div[2]/ul/li[7]/span[2]/span"")"),"Loading...")</f>
        <v>Loading...</v>
      </c>
      <c r="S146" s="7" t="str">
        <f ca="1">IFERROR(__xludf.DUMMYFUNCTION("IMPORTXML(E146,""/html/body/main/div[3]/div[3]/div[2]/ul/li[8]/span[2]/span"")"),"Loading...")</f>
        <v>Loading...</v>
      </c>
      <c r="T146" s="4">
        <v>34.6</v>
      </c>
      <c r="U146" s="4">
        <v>22.7</v>
      </c>
      <c r="V146" s="4">
        <v>2.6</v>
      </c>
      <c r="W146" s="4">
        <v>5.7</v>
      </c>
      <c r="X146" s="4">
        <v>519.92999999999995</v>
      </c>
      <c r="Y146" s="7">
        <f t="shared" ca="1" si="4"/>
        <v>-455.72999999999996</v>
      </c>
    </row>
    <row r="147" spans="1:25" ht="15" x14ac:dyDescent="0.25">
      <c r="A147" s="4">
        <v>2725</v>
      </c>
      <c r="C147" s="12" t="s">
        <v>838</v>
      </c>
      <c r="D147" s="12" t="s">
        <v>839</v>
      </c>
      <c r="E147" s="5" t="str">
        <f t="shared" si="0"/>
        <v>https://www.screener.in/company/JETFREIGHT/consolidated/</v>
      </c>
      <c r="F147" s="4">
        <v>443059</v>
      </c>
      <c r="G147" s="4">
        <v>3832241897</v>
      </c>
      <c r="H147" s="6">
        <f t="shared" ca="1" si="1"/>
        <v>5096.8817230100003</v>
      </c>
      <c r="I147" s="7" t="str">
        <f ca="1">IFERROR(__xludf.DUMMYFUNCTION("IMPORTXML(E147,""/html/body/main/div[3]/div[3]/div[2]/ul/li[5]/span[2]/span"")"),"Loading...")</f>
        <v>Loading...</v>
      </c>
      <c r="J147" s="7">
        <f ca="1">IFERROR(__xludf.DUMMYFUNCTION("GOOGLEFINANCE(""NSE:""&amp;D147,""marketcap"")"),617170282)</f>
        <v>617170282</v>
      </c>
      <c r="K147" s="7">
        <v>992.8</v>
      </c>
      <c r="L147" s="8">
        <f ca="1">IFERROR(__xludf.DUMMYFUNCTION("GOOGLEFINANCE(""NSE:""&amp;D147,""price"")"),13.3)</f>
        <v>13.3</v>
      </c>
      <c r="M147" s="9">
        <f t="shared" ca="1" si="2"/>
        <v>-979.5</v>
      </c>
      <c r="N147" s="10">
        <f t="shared" ca="1" si="3"/>
        <v>-98.660354552780021</v>
      </c>
      <c r="O147" s="7">
        <f ca="1">IFERROR(__xludf.DUMMYFUNCTION("GOOGLEFINANCE(""NSE:""&amp;D147,""pe"")"),13.59)</f>
        <v>13.59</v>
      </c>
      <c r="P147" s="7">
        <f ca="1">IFERROR(__xludf.DUMMYFUNCTION("GOOGLEFINANCE(""NSE:""&amp;D147,""EPS"")"),0.98)</f>
        <v>0.98</v>
      </c>
      <c r="Q147" s="7">
        <v>13.5</v>
      </c>
      <c r="R147" s="7" t="str">
        <f ca="1">IFERROR(__xludf.DUMMYFUNCTION("IMPORTXML(E147,""/html/body/main/div[3]/div[3]/div[2]/ul/li[7]/span[2]/span"")"),"Loading...")</f>
        <v>Loading...</v>
      </c>
      <c r="S147" s="7" t="str">
        <f ca="1">IFERROR(__xludf.DUMMYFUNCTION("IMPORTXML(E147,""/html/body/main/div[3]/div[3]/div[2]/ul/li[8]/span[2]/span"")"),"Loading...")</f>
        <v>Loading...</v>
      </c>
      <c r="T147" s="4">
        <v>34.6</v>
      </c>
      <c r="U147" s="4">
        <v>22.7</v>
      </c>
      <c r="V147" s="4">
        <v>2.6</v>
      </c>
      <c r="W147" s="4">
        <v>5.7</v>
      </c>
      <c r="X147" s="4">
        <v>519.92999999999995</v>
      </c>
      <c r="Y147" s="7">
        <f t="shared" ca="1" si="4"/>
        <v>-506.62999999999994</v>
      </c>
    </row>
    <row r="148" spans="1:25" ht="15" x14ac:dyDescent="0.25">
      <c r="A148" s="4">
        <v>1167</v>
      </c>
      <c r="C148" s="12" t="s">
        <v>840</v>
      </c>
      <c r="D148" s="12" t="s">
        <v>841</v>
      </c>
      <c r="E148" s="5" t="str">
        <f t="shared" si="0"/>
        <v>https://www.screener.in/company/MAGADSUGAR/consolidated/</v>
      </c>
      <c r="F148" s="4">
        <v>443059</v>
      </c>
      <c r="G148" s="4">
        <v>3832241897</v>
      </c>
      <c r="H148" s="6">
        <f t="shared" ca="1" si="1"/>
        <v>217709.66216857001</v>
      </c>
      <c r="I148" s="7" t="str">
        <f ca="1">IFERROR(__xludf.DUMMYFUNCTION("IMPORTXML(E148,""/html/body/main/div[3]/div[3]/div[2]/ul/li[5]/span[2]/span"")"),"Loading...")</f>
        <v>Loading...</v>
      </c>
      <c r="J148" s="7">
        <f ca="1">IFERROR(__xludf.DUMMYFUNCTION("GOOGLEFINANCE(""NSE:""&amp;D148,""marketcap"")"),8005448977)</f>
        <v>8005448977</v>
      </c>
      <c r="K148" s="7">
        <v>992.8</v>
      </c>
      <c r="L148" s="8">
        <f ca="1">IFERROR(__xludf.DUMMYFUNCTION("GOOGLEFINANCE(""NSE:""&amp;D148,""price"")"),568.1)</f>
        <v>568.1</v>
      </c>
      <c r="M148" s="9">
        <f t="shared" ca="1" si="2"/>
        <v>-424.69999999999993</v>
      </c>
      <c r="N148" s="10">
        <f t="shared" ca="1" si="3"/>
        <v>-42.778001611603536</v>
      </c>
      <c r="O148" s="7">
        <f ca="1">IFERROR(__xludf.DUMMYFUNCTION("GOOGLEFINANCE(""NSE:""&amp;D148,""pe"")"),8.15)</f>
        <v>8.15</v>
      </c>
      <c r="P148" s="7">
        <f ca="1">IFERROR(__xludf.DUMMYFUNCTION("GOOGLEFINANCE(""NSE:""&amp;D148,""EPS"")"),69.74)</f>
        <v>69.739999999999995</v>
      </c>
      <c r="Q148" s="7">
        <v>13.5</v>
      </c>
      <c r="R148" s="7" t="str">
        <f ca="1">IFERROR(__xludf.DUMMYFUNCTION("IMPORTXML(E148,""/html/body/main/div[3]/div[3]/div[2]/ul/li[7]/span[2]/span"")"),"Loading...")</f>
        <v>Loading...</v>
      </c>
      <c r="S148" s="7" t="str">
        <f ca="1">IFERROR(__xludf.DUMMYFUNCTION("IMPORTXML(E148,""/html/body/main/div[3]/div[3]/div[2]/ul/li[8]/span[2]/span"")"),"Loading...")</f>
        <v>Loading...</v>
      </c>
      <c r="T148" s="4">
        <v>34.6</v>
      </c>
      <c r="U148" s="4">
        <v>22.7</v>
      </c>
      <c r="V148" s="4">
        <v>2.6</v>
      </c>
      <c r="W148" s="4">
        <v>5.7</v>
      </c>
      <c r="X148" s="4">
        <v>519.92999999999995</v>
      </c>
      <c r="Y148" s="7">
        <f t="shared" ca="1" si="4"/>
        <v>48.170000000000073</v>
      </c>
    </row>
    <row r="149" spans="1:25" ht="15" x14ac:dyDescent="0.25">
      <c r="A149" s="4">
        <v>372</v>
      </c>
      <c r="C149" s="12" t="s">
        <v>842</v>
      </c>
      <c r="D149" s="12" t="s">
        <v>843</v>
      </c>
      <c r="E149" s="5" t="str">
        <f t="shared" si="0"/>
        <v>https://www.screener.in/company/JKPAPER/consolidated/</v>
      </c>
      <c r="F149" s="4">
        <v>443059</v>
      </c>
      <c r="G149" s="4">
        <v>3832241897</v>
      </c>
      <c r="H149" s="6">
        <f t="shared" ca="1" si="1"/>
        <v>152734.000804935</v>
      </c>
      <c r="I149" s="7" t="str">
        <f ca="1">IFERROR(__xludf.DUMMYFUNCTION("IMPORTXML(E149,""/html/body/main/div[3]/div[3]/div[2]/ul/li[5]/span[2]/span"")"),"Loading...")</f>
        <v>Loading...</v>
      </c>
      <c r="J149" s="7">
        <f ca="1">IFERROR(__xludf.DUMMYFUNCTION("GOOGLEFINANCE(""NSE:""&amp;D149,""marketcap"")"),67871030461)</f>
        <v>67871030461</v>
      </c>
      <c r="K149" s="7">
        <v>992.8</v>
      </c>
      <c r="L149" s="8">
        <f ca="1">IFERROR(__xludf.DUMMYFUNCTION("GOOGLEFINANCE(""NSE:""&amp;D149,""price"")"),398.55)</f>
        <v>398.55</v>
      </c>
      <c r="M149" s="9">
        <f t="shared" ca="1" si="2"/>
        <v>-594.25</v>
      </c>
      <c r="N149" s="10">
        <f t="shared" ca="1" si="3"/>
        <v>-59.855962933118455</v>
      </c>
      <c r="O149" s="7">
        <f ca="1">IFERROR(__xludf.DUMMYFUNCTION("GOOGLEFINANCE(""NSE:""&amp;D149,""pe"")"),19.53)</f>
        <v>19.53</v>
      </c>
      <c r="P149" s="7">
        <f ca="1">IFERROR(__xludf.DUMMYFUNCTION("GOOGLEFINANCE(""NSE:""&amp;D149,""EPS"")"),20.41)</f>
        <v>20.41</v>
      </c>
      <c r="Q149" s="7">
        <v>13.5</v>
      </c>
      <c r="R149" s="7" t="str">
        <f ca="1">IFERROR(__xludf.DUMMYFUNCTION("IMPORTXML(E149,""/html/body/main/div[3]/div[3]/div[2]/ul/li[7]/span[2]/span"")"),"Loading...")</f>
        <v>Loading...</v>
      </c>
      <c r="S149" s="7" t="str">
        <f ca="1">IFERROR(__xludf.DUMMYFUNCTION("IMPORTXML(E149,""/html/body/main/div[3]/div[3]/div[2]/ul/li[8]/span[2]/span"")"),"Loading...")</f>
        <v>Loading...</v>
      </c>
      <c r="T149" s="4">
        <v>34.6</v>
      </c>
      <c r="U149" s="4">
        <v>22.7</v>
      </c>
      <c r="V149" s="4">
        <v>2.6</v>
      </c>
      <c r="W149" s="4">
        <v>5.7</v>
      </c>
      <c r="X149" s="4">
        <v>519.92999999999995</v>
      </c>
      <c r="Y149" s="7">
        <f t="shared" ca="1" si="4"/>
        <v>-121.37999999999994</v>
      </c>
    </row>
    <row r="150" spans="1:25" ht="15" x14ac:dyDescent="0.25">
      <c r="A150" s="4">
        <v>313</v>
      </c>
      <c r="C150" s="12" t="s">
        <v>844</v>
      </c>
      <c r="D150" s="12" t="s">
        <v>845</v>
      </c>
      <c r="E150" s="5" t="str">
        <f t="shared" si="0"/>
        <v>https://www.screener.in/company/IIFLCAPS/consolidated/</v>
      </c>
      <c r="F150" s="4">
        <v>443059</v>
      </c>
      <c r="G150" s="4">
        <v>3832241897</v>
      </c>
      <c r="H150" s="6">
        <f t="shared" ca="1" si="1"/>
        <v>114488.226672875</v>
      </c>
      <c r="I150" s="7" t="str">
        <f ca="1">IFERROR(__xludf.DUMMYFUNCTION("IMPORTXML(E150,""/html/body/main/div[3]/div[3]/div[2]/ul/li[5]/span[2]/span"")"),"Loading...")</f>
        <v>Loading...</v>
      </c>
      <c r="J150" s="7">
        <f ca="1">IFERROR(__xludf.DUMMYFUNCTION("GOOGLEFINANCE(""NSE:""&amp;D150,""marketcap"")"),92760091750)</f>
        <v>92760091750</v>
      </c>
      <c r="K150" s="7">
        <v>992.8</v>
      </c>
      <c r="L150" s="8">
        <f ca="1">IFERROR(__xludf.DUMMYFUNCTION("GOOGLEFINANCE(""NSE:""&amp;D150,""price"")"),298.75)</f>
        <v>298.75</v>
      </c>
      <c r="M150" s="9">
        <f t="shared" ca="1" si="2"/>
        <v>-694.05</v>
      </c>
      <c r="N150" s="10">
        <f t="shared" ca="1" si="3"/>
        <v>-69.908340048348109</v>
      </c>
      <c r="O150" s="7">
        <f ca="1">IFERROR(__xludf.DUMMYFUNCTION("GOOGLEFINANCE(""NSE:""&amp;D150,""pe"")"),13.74)</f>
        <v>13.74</v>
      </c>
      <c r="P150" s="7">
        <f ca="1">IFERROR(__xludf.DUMMYFUNCTION("GOOGLEFINANCE(""NSE:""&amp;D150,""EPS"")"),21.75)</f>
        <v>21.75</v>
      </c>
      <c r="Q150" s="7">
        <v>13.5</v>
      </c>
      <c r="R150" s="7" t="str">
        <f ca="1">IFERROR(__xludf.DUMMYFUNCTION("IMPORTXML(E150,""/html/body/main/div[3]/div[3]/div[2]/ul/li[7]/span[2]/span"")"),"Loading...")</f>
        <v>Loading...</v>
      </c>
      <c r="S150" s="7" t="str">
        <f ca="1">IFERROR(__xludf.DUMMYFUNCTION("IMPORTXML(E150,""/html/body/main/div[3]/div[3]/div[2]/ul/li[8]/span[2]/span"")"),"Loading...")</f>
        <v>Loading...</v>
      </c>
      <c r="T150" s="4">
        <v>34.6</v>
      </c>
      <c r="U150" s="4">
        <v>22.7</v>
      </c>
      <c r="V150" s="4">
        <v>2.6</v>
      </c>
      <c r="W150" s="4">
        <v>5.7</v>
      </c>
      <c r="X150" s="4">
        <v>519.92999999999995</v>
      </c>
      <c r="Y150" s="7">
        <f t="shared" ca="1" si="4"/>
        <v>-221.17999999999995</v>
      </c>
    </row>
    <row r="151" spans="1:25" ht="15" x14ac:dyDescent="0.25">
      <c r="A151" s="4">
        <v>490</v>
      </c>
      <c r="C151" s="12" t="s">
        <v>846</v>
      </c>
      <c r="D151" s="12" t="s">
        <v>847</v>
      </c>
      <c r="E151" s="5" t="str">
        <f t="shared" si="0"/>
        <v>https://www.screener.in/company/CSBBANK/consolidated/</v>
      </c>
      <c r="F151" s="4">
        <v>443059</v>
      </c>
      <c r="G151" s="4">
        <v>3832241897</v>
      </c>
      <c r="H151" s="6">
        <f t="shared" ca="1" si="1"/>
        <v>137079.29265568999</v>
      </c>
      <c r="I151" s="7" t="str">
        <f ca="1">IFERROR(__xludf.DUMMYFUNCTION("IMPORTXML(E151,""/html/body/main/div[3]/div[3]/div[2]/ul/li[5]/span[2]/span"")"),"Loading...")</f>
        <v>Loading...</v>
      </c>
      <c r="J151" s="7">
        <f ca="1">IFERROR(__xludf.DUMMYFUNCTION("GOOGLEFINANCE(""NSE:""&amp;D151,""marketcap"")"),60569736537)</f>
        <v>60569736537</v>
      </c>
      <c r="K151" s="7">
        <v>992.8</v>
      </c>
      <c r="L151" s="8">
        <f ca="1">IFERROR(__xludf.DUMMYFUNCTION("GOOGLEFINANCE(""NSE:""&amp;D151,""price"")"),357.7)</f>
        <v>357.7</v>
      </c>
      <c r="M151" s="9">
        <f t="shared" ca="1" si="2"/>
        <v>-635.09999999999991</v>
      </c>
      <c r="N151" s="10">
        <f t="shared" ca="1" si="3"/>
        <v>-63.970588235294116</v>
      </c>
      <c r="O151" s="7">
        <f ca="1">IFERROR(__xludf.DUMMYFUNCTION("GOOGLEFINANCE(""NSE:""&amp;D151,""pe"")"),10.36)</f>
        <v>10.36</v>
      </c>
      <c r="P151" s="7">
        <f ca="1">IFERROR(__xludf.DUMMYFUNCTION("GOOGLEFINANCE(""NSE:""&amp;D151,""EPS"")"),34.54)</f>
        <v>34.54</v>
      </c>
      <c r="Q151" s="7">
        <v>13.5</v>
      </c>
      <c r="R151" s="7" t="str">
        <f ca="1">IFERROR(__xludf.DUMMYFUNCTION("IMPORTXML(E151,""/html/body/main/div[3]/div[3]/div[2]/ul/li[7]/span[2]/span"")"),"Loading...")</f>
        <v>Loading...</v>
      </c>
      <c r="S151" s="7" t="str">
        <f ca="1">IFERROR(__xludf.DUMMYFUNCTION("IMPORTXML(E151,""/html/body/main/div[3]/div[3]/div[2]/ul/li[8]/span[2]/span"")"),"Loading...")</f>
        <v>Loading...</v>
      </c>
      <c r="T151" s="4">
        <v>34.6</v>
      </c>
      <c r="U151" s="4">
        <v>22.7</v>
      </c>
      <c r="V151" s="4">
        <v>2.6</v>
      </c>
      <c r="W151" s="4">
        <v>5.7</v>
      </c>
      <c r="X151" s="4">
        <v>519.92999999999995</v>
      </c>
      <c r="Y151" s="7">
        <f t="shared" ca="1" si="4"/>
        <v>-162.22999999999996</v>
      </c>
    </row>
    <row r="152" spans="1:25" ht="15" x14ac:dyDescent="0.25">
      <c r="A152" s="4">
        <v>1625</v>
      </c>
      <c r="C152" s="12" t="s">
        <v>848</v>
      </c>
      <c r="D152" s="12" t="s">
        <v>849</v>
      </c>
      <c r="E152" s="5" t="str">
        <f t="shared" si="0"/>
        <v>https://www.screener.in/company/NDGL/consolidated/</v>
      </c>
      <c r="F152" s="4">
        <v>443059</v>
      </c>
      <c r="G152" s="4">
        <v>3832241897</v>
      </c>
      <c r="H152" s="6">
        <f t="shared" ca="1" si="1"/>
        <v>1449468.8527023101</v>
      </c>
      <c r="I152" s="7" t="str">
        <f ca="1">IFERROR(__xludf.DUMMYFUNCTION("IMPORTXML(E152,""/html/body/main/div[3]/div[3]/div[2]/ul/li[5]/span[2]/span"")"),"Loading...")</f>
        <v>Loading...</v>
      </c>
      <c r="J152" s="7">
        <f ca="1">IFERROR(__xludf.DUMMYFUNCTION("GOOGLEFINANCE(""NSE:""&amp;D152,""marketcap"")"),3837700000)</f>
        <v>3837700000</v>
      </c>
      <c r="K152" s="7">
        <v>992.8</v>
      </c>
      <c r="L152" s="8">
        <f ca="1">IFERROR(__xludf.DUMMYFUNCTION("GOOGLEFINANCE(""NSE:""&amp;D152,""price"")"),3782.3)</f>
        <v>3782.3</v>
      </c>
      <c r="M152" s="9">
        <f t="shared" ca="1" si="2"/>
        <v>2789.5</v>
      </c>
      <c r="N152" s="10">
        <f t="shared" ca="1" si="3"/>
        <v>280.97300564061243</v>
      </c>
      <c r="O152" s="7">
        <f ca="1">IFERROR(__xludf.DUMMYFUNCTION("GOOGLEFINANCE(""NSE:""&amp;D152,""pe"")"),8.5)</f>
        <v>8.5</v>
      </c>
      <c r="P152" s="7">
        <f ca="1">IFERROR(__xludf.DUMMYFUNCTION("GOOGLEFINANCE(""NSE:""&amp;D152,""EPS"")"),445.14)</f>
        <v>445.14</v>
      </c>
      <c r="Q152" s="7">
        <v>13.5</v>
      </c>
      <c r="R152" s="7" t="str">
        <f ca="1">IFERROR(__xludf.DUMMYFUNCTION("IMPORTXML(E152,""/html/body/main/div[3]/div[3]/div[2]/ul/li[7]/span[2]/span"")"),"Loading...")</f>
        <v>Loading...</v>
      </c>
      <c r="S152" s="7" t="str">
        <f ca="1">IFERROR(__xludf.DUMMYFUNCTION("IMPORTXML(E152,""/html/body/main/div[3]/div[3]/div[2]/ul/li[8]/span[2]/span"")"),"Loading...")</f>
        <v>Loading...</v>
      </c>
      <c r="T152" s="4">
        <v>34.6</v>
      </c>
      <c r="U152" s="4">
        <v>22.7</v>
      </c>
      <c r="V152" s="4">
        <v>2.6</v>
      </c>
      <c r="W152" s="4">
        <v>5.7</v>
      </c>
      <c r="X152" s="4">
        <v>519.92999999999995</v>
      </c>
      <c r="Y152" s="7">
        <f t="shared" ca="1" si="4"/>
        <v>3262.3700000000003</v>
      </c>
    </row>
    <row r="153" spans="1:25" ht="15" x14ac:dyDescent="0.25">
      <c r="A153" s="4">
        <v>1983</v>
      </c>
      <c r="C153" s="12" t="s">
        <v>850</v>
      </c>
      <c r="D153" s="12" t="s">
        <v>851</v>
      </c>
      <c r="E153" s="5" t="str">
        <f t="shared" si="0"/>
        <v>https://www.screener.in/company/ALPA/consolidated/</v>
      </c>
      <c r="F153" s="4">
        <v>443059</v>
      </c>
      <c r="G153" s="4">
        <v>3832241897</v>
      </c>
      <c r="H153" s="6">
        <f t="shared" ca="1" si="1"/>
        <v>36237.679378032</v>
      </c>
      <c r="I153" s="7" t="str">
        <f ca="1">IFERROR(__xludf.DUMMYFUNCTION("IMPORTXML(E153,""/html/body/main/div[3]/div[3]/div[2]/ul/li[5]/span[2]/span"")"),"Loading...")</f>
        <v>Loading...</v>
      </c>
      <c r="J153" s="7">
        <f ca="1">IFERROR(__xludf.DUMMYFUNCTION("GOOGLEFINANCE(""NSE:""&amp;D153,""marketcap"")"),2003263070)</f>
        <v>2003263070</v>
      </c>
      <c r="K153" s="7">
        <v>992.8</v>
      </c>
      <c r="L153" s="8">
        <f ca="1">IFERROR(__xludf.DUMMYFUNCTION("GOOGLEFINANCE(""NSE:""&amp;D153,""price"")"),94.56)</f>
        <v>94.56</v>
      </c>
      <c r="M153" s="9">
        <f t="shared" ca="1" si="2"/>
        <v>-898.24</v>
      </c>
      <c r="N153" s="10">
        <f t="shared" ca="1" si="3"/>
        <v>-90.475423045930697</v>
      </c>
      <c r="O153" s="7">
        <f ca="1">IFERROR(__xludf.DUMMYFUNCTION("GOOGLEFINANCE(""NSE:""&amp;D153,""pe"")"),7.55)</f>
        <v>7.55</v>
      </c>
      <c r="P153" s="7">
        <f ca="1">IFERROR(__xludf.DUMMYFUNCTION("GOOGLEFINANCE(""NSE:""&amp;D153,""EPS"")"),12.53)</f>
        <v>12.53</v>
      </c>
      <c r="Q153" s="7">
        <v>13.5</v>
      </c>
      <c r="R153" s="7" t="str">
        <f ca="1">IFERROR(__xludf.DUMMYFUNCTION("IMPORTXML(E153,""/html/body/main/div[3]/div[3]/div[2]/ul/li[7]/span[2]/span"")"),"Loading...")</f>
        <v>Loading...</v>
      </c>
      <c r="S153" s="7" t="str">
        <f ca="1">IFERROR(__xludf.DUMMYFUNCTION("IMPORTXML(E153,""/html/body/main/div[3]/div[3]/div[2]/ul/li[8]/span[2]/span"")"),"Loading...")</f>
        <v>Loading...</v>
      </c>
      <c r="T153" s="4">
        <v>34.6</v>
      </c>
      <c r="U153" s="4">
        <v>22.7</v>
      </c>
      <c r="V153" s="4">
        <v>2.6</v>
      </c>
      <c r="W153" s="4">
        <v>5.7</v>
      </c>
      <c r="X153" s="4">
        <v>519.92999999999995</v>
      </c>
      <c r="Y153" s="7">
        <f t="shared" ca="1" si="4"/>
        <v>-425.36999999999995</v>
      </c>
    </row>
    <row r="154" spans="1:25" ht="15" x14ac:dyDescent="0.25">
      <c r="A154" s="4">
        <v>1355</v>
      </c>
      <c r="C154" s="12" t="s">
        <v>852</v>
      </c>
      <c r="D154" s="12" t="s">
        <v>853</v>
      </c>
      <c r="E154" s="5" t="str">
        <f t="shared" si="0"/>
        <v>https://www.screener.in/company/RPPINFRA/consolidated/</v>
      </c>
      <c r="F154" s="4">
        <v>443059</v>
      </c>
      <c r="G154" s="4">
        <v>3832241897</v>
      </c>
      <c r="H154" s="6">
        <f t="shared" ca="1" si="1"/>
        <v>54988.838980053006</v>
      </c>
      <c r="I154" s="7" t="str">
        <f ca="1">IFERROR(__xludf.DUMMYFUNCTION("IMPORTXML(E154,""/html/body/main/div[3]/div[3]/div[2]/ul/li[5]/span[2]/span"")"),"Loading...")</f>
        <v>Loading...</v>
      </c>
      <c r="J154" s="7">
        <f ca="1">IFERROR(__xludf.DUMMYFUNCTION("GOOGLEFINANCE(""NSE:""&amp;D154,""marketcap"")"),7150053531)</f>
        <v>7150053531</v>
      </c>
      <c r="K154" s="7">
        <v>992.8</v>
      </c>
      <c r="L154" s="8">
        <f ca="1">IFERROR(__xludf.DUMMYFUNCTION("GOOGLEFINANCE(""NSE:""&amp;D154,""price"")"),143.49)</f>
        <v>143.49</v>
      </c>
      <c r="M154" s="9">
        <f t="shared" ca="1" si="2"/>
        <v>-849.31</v>
      </c>
      <c r="N154" s="10">
        <f t="shared" ca="1" si="3"/>
        <v>-85.546937953263495</v>
      </c>
      <c r="O154" s="7">
        <f ca="1">IFERROR(__xludf.DUMMYFUNCTION("GOOGLEFINANCE(""NSE:""&amp;D154,""pe"")"),10.67)</f>
        <v>10.67</v>
      </c>
      <c r="P154" s="7">
        <f ca="1">IFERROR(__xludf.DUMMYFUNCTION("GOOGLEFINANCE(""NSE:""&amp;D154,""EPS"")"),13.45)</f>
        <v>13.45</v>
      </c>
      <c r="Q154" s="7">
        <v>13.5</v>
      </c>
      <c r="R154" s="7" t="str">
        <f ca="1">IFERROR(__xludf.DUMMYFUNCTION("IMPORTXML(E154,""/html/body/main/div[3]/div[3]/div[2]/ul/li[7]/span[2]/span"")"),"Loading...")</f>
        <v>Loading...</v>
      </c>
      <c r="S154" s="7" t="str">
        <f ca="1">IFERROR(__xludf.DUMMYFUNCTION("IMPORTXML(E154,""/html/body/main/div[3]/div[3]/div[2]/ul/li[8]/span[2]/span"")"),"Loading...")</f>
        <v>Loading...</v>
      </c>
      <c r="T154" s="4">
        <v>34.6</v>
      </c>
      <c r="U154" s="4">
        <v>22.7</v>
      </c>
      <c r="V154" s="4">
        <v>2.6</v>
      </c>
      <c r="W154" s="4">
        <v>5.7</v>
      </c>
      <c r="X154" s="4">
        <v>519.92999999999995</v>
      </c>
      <c r="Y154" s="7">
        <f t="shared" ca="1" si="4"/>
        <v>-376.43999999999994</v>
      </c>
    </row>
    <row r="155" spans="1:25" ht="15" x14ac:dyDescent="0.25">
      <c r="A155" s="4">
        <v>2309</v>
      </c>
      <c r="C155" s="12" t="s">
        <v>854</v>
      </c>
      <c r="D155" s="12" t="s">
        <v>855</v>
      </c>
      <c r="E155" s="5" t="str">
        <f t="shared" si="0"/>
        <v>https://www.screener.in/company/FIBERWEB/consolidated/</v>
      </c>
      <c r="F155" s="4">
        <v>443059</v>
      </c>
      <c r="G155" s="4">
        <v>3832241897</v>
      </c>
      <c r="H155" s="6">
        <f t="shared" ca="1" si="1"/>
        <v>16861.864346800001</v>
      </c>
      <c r="I155" s="7" t="str">
        <f ca="1">IFERROR(__xludf.DUMMYFUNCTION("IMPORTXML(E155,""/html/body/main/div[3]/div[3]/div[2]/ul/li[5]/span[2]/span"")"),"Loading...")</f>
        <v>Loading...</v>
      </c>
      <c r="J155" s="7">
        <f ca="1">IFERROR(__xludf.DUMMYFUNCTION("GOOGLEFINANCE(""NSE:""&amp;D155,""marketcap"")"),1266835240)</f>
        <v>1266835240</v>
      </c>
      <c r="K155" s="7">
        <v>992.8</v>
      </c>
      <c r="L155" s="8">
        <f ca="1">IFERROR(__xludf.DUMMYFUNCTION("GOOGLEFINANCE(""NSE:""&amp;D155,""price"")"),44)</f>
        <v>44</v>
      </c>
      <c r="M155" s="9">
        <f t="shared" ca="1" si="2"/>
        <v>-948.8</v>
      </c>
      <c r="N155" s="10">
        <f t="shared" ca="1" si="3"/>
        <v>-95.568090249798558</v>
      </c>
      <c r="O155" s="7">
        <f ca="1">IFERROR(__xludf.DUMMYFUNCTION("GOOGLEFINANCE(""NSE:""&amp;D155,""pe"")"),7.38)</f>
        <v>7.38</v>
      </c>
      <c r="P155" s="7">
        <f ca="1">IFERROR(__xludf.DUMMYFUNCTION("GOOGLEFINANCE(""NSE:""&amp;D155,""EPS"")"),5.96)</f>
        <v>5.96</v>
      </c>
      <c r="Q155" s="7">
        <v>13.5</v>
      </c>
      <c r="R155" s="7" t="str">
        <f ca="1">IFERROR(__xludf.DUMMYFUNCTION("IMPORTXML(E155,""/html/body/main/div[3]/div[3]/div[2]/ul/li[7]/span[2]/span"")"),"Loading...")</f>
        <v>Loading...</v>
      </c>
      <c r="S155" s="7" t="str">
        <f ca="1">IFERROR(__xludf.DUMMYFUNCTION("IMPORTXML(E155,""/html/body/main/div[3]/div[3]/div[2]/ul/li[8]/span[2]/span"")"),"Loading...")</f>
        <v>Loading...</v>
      </c>
      <c r="T155" s="4">
        <v>34.6</v>
      </c>
      <c r="U155" s="4">
        <v>22.7</v>
      </c>
      <c r="V155" s="4">
        <v>2.6</v>
      </c>
      <c r="W155" s="4">
        <v>5.7</v>
      </c>
      <c r="X155" s="4">
        <v>519.92999999999995</v>
      </c>
      <c r="Y155" s="7">
        <f t="shared" ca="1" si="4"/>
        <v>-475.92999999999995</v>
      </c>
    </row>
    <row r="156" spans="1:25" ht="15" x14ac:dyDescent="0.25">
      <c r="A156" s="4">
        <v>901</v>
      </c>
      <c r="C156" s="12" t="s">
        <v>856</v>
      </c>
      <c r="D156" s="12" t="s">
        <v>857</v>
      </c>
      <c r="E156" s="5" t="str">
        <f t="shared" si="0"/>
        <v>https://www.screener.in/company/JAGRAN/consolidated/</v>
      </c>
      <c r="F156" s="4">
        <v>443059</v>
      </c>
      <c r="G156" s="4">
        <v>3832241897</v>
      </c>
      <c r="H156" s="6">
        <f t="shared" ca="1" si="1"/>
        <v>27481.006643386998</v>
      </c>
      <c r="I156" s="7" t="str">
        <f ca="1">IFERROR(__xludf.DUMMYFUNCTION("IMPORTXML(E156,""/html/body/main/div[3]/div[3]/div[2]/ul/li[5]/span[2]/span"")"),"Loading...")</f>
        <v>Loading...</v>
      </c>
      <c r="J156" s="7">
        <f ca="1">IFERROR(__xludf.DUMMYFUNCTION("GOOGLEFINANCE(""NSE:""&amp;D156,""marketcap"")"),15623220000)</f>
        <v>15623220000</v>
      </c>
      <c r="K156" s="7">
        <v>992.8</v>
      </c>
      <c r="L156" s="8">
        <f ca="1">IFERROR(__xludf.DUMMYFUNCTION("GOOGLEFINANCE(""NSE:""&amp;D156,""price"")"),71.71)</f>
        <v>71.709999999999994</v>
      </c>
      <c r="M156" s="9">
        <f t="shared" ca="1" si="2"/>
        <v>-921.08999999999992</v>
      </c>
      <c r="N156" s="10">
        <f t="shared" ca="1" si="3"/>
        <v>-92.776994359387587</v>
      </c>
      <c r="O156" s="7">
        <f ca="1">IFERROR(__xludf.DUMMYFUNCTION("GOOGLEFINANCE(""NSE:""&amp;D156,""pe"")"),9.94)</f>
        <v>9.94</v>
      </c>
      <c r="P156" s="7">
        <f ca="1">IFERROR(__xludf.DUMMYFUNCTION("GOOGLEFINANCE(""NSE:""&amp;D156,""EPS"")"),7.21)</f>
        <v>7.21</v>
      </c>
      <c r="Q156" s="7">
        <v>13.5</v>
      </c>
      <c r="R156" s="7" t="str">
        <f ca="1">IFERROR(__xludf.DUMMYFUNCTION("IMPORTXML(E156,""/html/body/main/div[3]/div[3]/div[2]/ul/li[7]/span[2]/span"")"),"Loading...")</f>
        <v>Loading...</v>
      </c>
      <c r="S156" s="7" t="str">
        <f ca="1">IFERROR(__xludf.DUMMYFUNCTION("IMPORTXML(E156,""/html/body/main/div[3]/div[3]/div[2]/ul/li[8]/span[2]/span"")"),"Loading...")</f>
        <v>Loading...</v>
      </c>
      <c r="T156" s="4">
        <v>34.6</v>
      </c>
      <c r="U156" s="4">
        <v>22.7</v>
      </c>
      <c r="V156" s="4">
        <v>2.6</v>
      </c>
      <c r="W156" s="4">
        <v>5.7</v>
      </c>
      <c r="X156" s="4">
        <v>519.92999999999995</v>
      </c>
      <c r="Y156" s="7">
        <f t="shared" ca="1" si="4"/>
        <v>-448.21999999999997</v>
      </c>
    </row>
    <row r="157" spans="1:25" ht="15" x14ac:dyDescent="0.25">
      <c r="A157" s="4">
        <v>2510</v>
      </c>
      <c r="C157" s="12" t="s">
        <v>858</v>
      </c>
      <c r="D157" s="12" t="s">
        <v>859</v>
      </c>
      <c r="E157" s="5" t="str">
        <f t="shared" si="0"/>
        <v>https://www.screener.in/company/MOKSH/consolidated/</v>
      </c>
      <c r="F157" s="4">
        <v>443059</v>
      </c>
      <c r="G157" s="4">
        <v>3832241897</v>
      </c>
      <c r="H157" s="6">
        <f t="shared" ca="1" si="1"/>
        <v>5326.81623683</v>
      </c>
      <c r="I157" s="7" t="str">
        <f ca="1">IFERROR(__xludf.DUMMYFUNCTION("IMPORTXML(E157,""/html/body/main/div[3]/div[3]/div[2]/ul/li[5]/span[2]/span"")"),"Loading...")</f>
        <v>Loading...</v>
      </c>
      <c r="J157" s="7">
        <f ca="1">IFERROR(__xludf.DUMMYFUNCTION("GOOGLEFINANCE(""NSE:""&amp;D157,""marketcap"")"),1164110790)</f>
        <v>1164110790</v>
      </c>
      <c r="K157" s="7">
        <v>992.8</v>
      </c>
      <c r="L157" s="8">
        <f ca="1">IFERROR(__xludf.DUMMYFUNCTION("GOOGLEFINANCE(""NSE:""&amp;D157,""price"")"),13.9)</f>
        <v>13.9</v>
      </c>
      <c r="M157" s="9">
        <f t="shared" ca="1" si="2"/>
        <v>-978.9</v>
      </c>
      <c r="N157" s="10">
        <f t="shared" ca="1" si="3"/>
        <v>-98.599919419822726</v>
      </c>
      <c r="O157" s="7">
        <f ca="1">IFERROR(__xludf.DUMMYFUNCTION("GOOGLEFINANCE(""NSE:""&amp;D157,""pe"")"),10.73)</f>
        <v>10.73</v>
      </c>
      <c r="P157" s="7">
        <f ca="1">IFERROR(__xludf.DUMMYFUNCTION("GOOGLEFINANCE(""NSE:""&amp;D157,""EPS"")"),1.29)</f>
        <v>1.29</v>
      </c>
      <c r="Q157" s="7">
        <v>13.5</v>
      </c>
      <c r="R157" s="7" t="str">
        <f ca="1">IFERROR(__xludf.DUMMYFUNCTION("IMPORTXML(E157,""/html/body/main/div[3]/div[3]/div[2]/ul/li[7]/span[2]/span"")"),"#N/A")</f>
        <v>#N/A</v>
      </c>
      <c r="S157" s="7" t="str">
        <f ca="1">IFERROR(__xludf.DUMMYFUNCTION("IMPORTXML(E157,""/html/body/main/div[3]/div[3]/div[2]/ul/li[8]/span[2]/span"")"),"Loading...")</f>
        <v>Loading...</v>
      </c>
      <c r="T157" s="4">
        <v>34.6</v>
      </c>
      <c r="U157" s="4">
        <v>22.7</v>
      </c>
      <c r="V157" s="4">
        <v>2.6</v>
      </c>
      <c r="W157" s="4">
        <v>5.7</v>
      </c>
      <c r="X157" s="4">
        <v>519.92999999999995</v>
      </c>
      <c r="Y157" s="7">
        <f t="shared" ca="1" si="4"/>
        <v>-506.03</v>
      </c>
    </row>
    <row r="158" spans="1:25" ht="15" x14ac:dyDescent="0.25">
      <c r="A158" s="4">
        <v>763</v>
      </c>
      <c r="C158" s="12" t="s">
        <v>860</v>
      </c>
      <c r="D158" s="12" t="s">
        <v>861</v>
      </c>
      <c r="E158" s="5" t="str">
        <f t="shared" si="0"/>
        <v>https://www.screener.in/company/RPTECH/consolidated/</v>
      </c>
      <c r="F158" s="4">
        <v>443059</v>
      </c>
      <c r="G158" s="4">
        <v>3832241897</v>
      </c>
      <c r="H158" s="6">
        <f t="shared" ca="1" si="1"/>
        <v>113664.29466502002</v>
      </c>
      <c r="I158" s="7" t="str">
        <f ca="1">IFERROR(__xludf.DUMMYFUNCTION("IMPORTXML(E158,""/html/body/main/div[3]/div[3]/div[2]/ul/li[5]/span[2]/span"")"),"Loading...")</f>
        <v>Loading...</v>
      </c>
      <c r="J158" s="7">
        <f ca="1">IFERROR(__xludf.DUMMYFUNCTION("GOOGLEFINANCE(""NSE:""&amp;D158,""marketcap"")"),19545845490)</f>
        <v>19545845490</v>
      </c>
      <c r="K158" s="7">
        <v>992.8</v>
      </c>
      <c r="L158" s="8">
        <f ca="1">IFERROR(__xludf.DUMMYFUNCTION("GOOGLEFINANCE(""NSE:""&amp;D158,""price"")"),296.6)</f>
        <v>296.60000000000002</v>
      </c>
      <c r="M158" s="9">
        <f t="shared" ca="1" si="2"/>
        <v>-696.19999999999993</v>
      </c>
      <c r="N158" s="10">
        <f t="shared" ca="1" si="3"/>
        <v>-70.1248992747784</v>
      </c>
      <c r="O158" s="7">
        <f ca="1">IFERROR(__xludf.DUMMYFUNCTION("GOOGLEFINANCE(""NSE:""&amp;D158,""pe"")"),9.13)</f>
        <v>9.1300000000000008</v>
      </c>
      <c r="P158" s="7">
        <f ca="1">IFERROR(__xludf.DUMMYFUNCTION("GOOGLEFINANCE(""NSE:""&amp;D158,""EPS"")"),32.49)</f>
        <v>32.49</v>
      </c>
      <c r="Q158" s="7">
        <v>13.5</v>
      </c>
      <c r="R158" s="7" t="str">
        <f ca="1">IFERROR(__xludf.DUMMYFUNCTION("IMPORTXML(E158,""/html/body/main/div[3]/div[3]/div[2]/ul/li[7]/span[2]/span"")"),"Loading...")</f>
        <v>Loading...</v>
      </c>
      <c r="S158" s="7" t="str">
        <f ca="1">IFERROR(__xludf.DUMMYFUNCTION("IMPORTXML(E158,""/html/body/main/div[3]/div[3]/div[2]/ul/li[8]/span[2]/span"")"),"Loading...")</f>
        <v>Loading...</v>
      </c>
      <c r="T158" s="4">
        <v>34.6</v>
      </c>
      <c r="U158" s="4">
        <v>22.7</v>
      </c>
      <c r="V158" s="4">
        <v>2.6</v>
      </c>
      <c r="W158" s="4">
        <v>5.7</v>
      </c>
      <c r="X158" s="4">
        <v>519.92999999999995</v>
      </c>
      <c r="Y158" s="7">
        <f t="shared" ca="1" si="4"/>
        <v>-223.32999999999993</v>
      </c>
    </row>
    <row r="159" spans="1:25" ht="15" x14ac:dyDescent="0.25">
      <c r="A159" s="4">
        <v>477</v>
      </c>
      <c r="C159" s="12" t="s">
        <v>862</v>
      </c>
      <c r="D159" s="12" t="s">
        <v>863</v>
      </c>
      <c r="E159" s="5" t="str">
        <f t="shared" si="0"/>
        <v>https://www.screener.in/company/DBCORP/consolidated/</v>
      </c>
      <c r="F159" s="4">
        <v>443059</v>
      </c>
      <c r="G159" s="4">
        <v>3832241897</v>
      </c>
      <c r="H159" s="6">
        <f t="shared" ca="1" si="1"/>
        <v>105022.589187285</v>
      </c>
      <c r="I159" s="7" t="str">
        <f ca="1">IFERROR(__xludf.DUMMYFUNCTION("IMPORTXML(E159,""/html/body/main/div[3]/div[3]/div[2]/ul/li[5]/span[2]/span"")"),"Loading...")</f>
        <v>Loading...</v>
      </c>
      <c r="J159" s="7">
        <f ca="1">IFERROR(__xludf.DUMMYFUNCTION("GOOGLEFINANCE(""NSE:""&amp;D159,""marketcap"")"),48917740000)</f>
        <v>48917740000</v>
      </c>
      <c r="K159" s="7">
        <v>992.8</v>
      </c>
      <c r="L159" s="8">
        <f ca="1">IFERROR(__xludf.DUMMYFUNCTION("GOOGLEFINANCE(""NSE:""&amp;D159,""price"")"),274.05)</f>
        <v>274.05</v>
      </c>
      <c r="M159" s="9">
        <f t="shared" ca="1" si="2"/>
        <v>-718.75</v>
      </c>
      <c r="N159" s="10">
        <f t="shared" ca="1" si="3"/>
        <v>-72.39625302175665</v>
      </c>
      <c r="O159" s="7">
        <f ca="1">IFERROR(__xludf.DUMMYFUNCTION("GOOGLEFINANCE(""NSE:""&amp;D159,""pe"")"),14.64)</f>
        <v>14.64</v>
      </c>
      <c r="P159" s="7">
        <f ca="1">IFERROR(__xludf.DUMMYFUNCTION("GOOGLEFINANCE(""NSE:""&amp;D159,""EPS"")"),18.72)</f>
        <v>18.72</v>
      </c>
      <c r="Q159" s="7">
        <v>13.5</v>
      </c>
      <c r="R159" s="7" t="str">
        <f ca="1">IFERROR(__xludf.DUMMYFUNCTION("IMPORTXML(E159,""/html/body/main/div[3]/div[3]/div[2]/ul/li[7]/span[2]/span"")"),"Loading...")</f>
        <v>Loading...</v>
      </c>
      <c r="S159" s="7" t="str">
        <f ca="1">IFERROR(__xludf.DUMMYFUNCTION("IMPORTXML(E159,""/html/body/main/div[3]/div[3]/div[2]/ul/li[8]/span[2]/span"")"),"Loading...")</f>
        <v>Loading...</v>
      </c>
      <c r="T159" s="4">
        <v>34.6</v>
      </c>
      <c r="U159" s="4">
        <v>22.7</v>
      </c>
      <c r="V159" s="4">
        <v>2.6</v>
      </c>
      <c r="W159" s="4">
        <v>5.7</v>
      </c>
      <c r="X159" s="4">
        <v>519.92999999999995</v>
      </c>
      <c r="Y159" s="7">
        <f t="shared" ca="1" si="4"/>
        <v>-245.87999999999994</v>
      </c>
    </row>
    <row r="160" spans="1:25" ht="15" x14ac:dyDescent="0.25">
      <c r="A160" s="4">
        <v>1649</v>
      </c>
      <c r="C160" s="12" t="s">
        <v>864</v>
      </c>
      <c r="D160" s="12" t="s">
        <v>865</v>
      </c>
      <c r="E160" s="5" t="str">
        <f t="shared" si="0"/>
        <v>https://www.screener.in/company/PONNIERODE/consolidated/</v>
      </c>
      <c r="F160" s="4">
        <v>443059</v>
      </c>
      <c r="G160" s="4">
        <v>3832241897</v>
      </c>
      <c r="H160" s="6">
        <f t="shared" ca="1" si="1"/>
        <v>113434.3601512</v>
      </c>
      <c r="I160" s="7" t="str">
        <f ca="1">IFERROR(__xludf.DUMMYFUNCTION("IMPORTXML(E160,""/html/body/main/div[3]/div[3]/div[2]/ul/li[5]/span[2]/span"")"),"Loading...")</f>
        <v>Loading...</v>
      </c>
      <c r="J160" s="7">
        <f ca="1">IFERROR(__xludf.DUMMYFUNCTION("GOOGLEFINANCE(""NSE:""&amp;D160,""marketcap"")"),2554590000)</f>
        <v>2554590000</v>
      </c>
      <c r="K160" s="7">
        <v>992.8</v>
      </c>
      <c r="L160" s="8">
        <f ca="1">IFERROR(__xludf.DUMMYFUNCTION("GOOGLEFINANCE(""NSE:""&amp;D160,""price"")"),296)</f>
        <v>296</v>
      </c>
      <c r="M160" s="9">
        <f t="shared" ca="1" si="2"/>
        <v>-696.8</v>
      </c>
      <c r="N160" s="10">
        <f t="shared" ca="1" si="3"/>
        <v>-70.185334407735695</v>
      </c>
      <c r="O160" s="7">
        <f ca="1">IFERROR(__xludf.DUMMYFUNCTION("GOOGLEFINANCE(""NSE:""&amp;D160,""pe"")"),16.12)</f>
        <v>16.12</v>
      </c>
      <c r="P160" s="7">
        <f ca="1">IFERROR(__xludf.DUMMYFUNCTION("GOOGLEFINANCE(""NSE:""&amp;D160,""EPS"")"),18.36)</f>
        <v>18.36</v>
      </c>
      <c r="Q160" s="7">
        <v>13.5</v>
      </c>
      <c r="R160" s="7" t="str">
        <f ca="1">IFERROR(__xludf.DUMMYFUNCTION("IMPORTXML(E160,""/html/body/main/div[3]/div[3]/div[2]/ul/li[7]/span[2]/span"")"),"Loading...")</f>
        <v>Loading...</v>
      </c>
      <c r="S160" s="7" t="str">
        <f ca="1">IFERROR(__xludf.DUMMYFUNCTION("IMPORTXML(E160,""/html/body/main/div[3]/div[3]/div[2]/ul/li[8]/span[2]/span"")"),"Loading...")</f>
        <v>Loading...</v>
      </c>
      <c r="T160" s="4">
        <v>34.6</v>
      </c>
      <c r="U160" s="4">
        <v>22.7</v>
      </c>
      <c r="V160" s="4">
        <v>2.6</v>
      </c>
      <c r="W160" s="4">
        <v>5.7</v>
      </c>
      <c r="X160" s="4">
        <v>519.92999999999995</v>
      </c>
      <c r="Y160" s="7">
        <f t="shared" ca="1" si="4"/>
        <v>-223.92999999999995</v>
      </c>
    </row>
    <row r="161" spans="1:25" ht="15" x14ac:dyDescent="0.25">
      <c r="A161" s="4">
        <v>11</v>
      </c>
      <c r="C161" s="12" t="s">
        <v>866</v>
      </c>
      <c r="D161" s="12" t="s">
        <v>867</v>
      </c>
      <c r="E161" s="5" t="str">
        <f t="shared" si="0"/>
        <v>https://www.screener.in/company/BANDHANBNK/consolidated/</v>
      </c>
      <c r="F161" s="4">
        <v>443059</v>
      </c>
      <c r="G161" s="4">
        <v>3832241897</v>
      </c>
      <c r="H161" s="6">
        <f t="shared" ca="1" si="1"/>
        <v>62599.671387494993</v>
      </c>
      <c r="I161" s="7" t="str">
        <f ca="1">IFERROR(__xludf.DUMMYFUNCTION("IMPORTXML(E161,""/html/body/main/div[3]/div[3]/div[2]/ul/li[5]/span[2]/span"")"),"Loading...")</f>
        <v>Loading...</v>
      </c>
      <c r="J161" s="7">
        <f ca="1">IFERROR(__xludf.DUMMYFUNCTION("GOOGLEFINANCE(""NSE:""&amp;D161,""marketcap"")"),263133304371)</f>
        <v>263133304371</v>
      </c>
      <c r="K161" s="7">
        <v>992.8</v>
      </c>
      <c r="L161" s="8">
        <f ca="1">IFERROR(__xludf.DUMMYFUNCTION("GOOGLEFINANCE(""NSE:""&amp;D161,""price"")"),163.35)</f>
        <v>163.35</v>
      </c>
      <c r="M161" s="9">
        <f t="shared" ca="1" si="2"/>
        <v>-829.44999999999993</v>
      </c>
      <c r="N161" s="10">
        <f t="shared" ca="1" si="3"/>
        <v>-83.546535052377109</v>
      </c>
      <c r="O161" s="7">
        <f ca="1">IFERROR(__xludf.DUMMYFUNCTION("GOOGLEFINANCE(""NSE:""&amp;D161,""pe"")"),12.81)</f>
        <v>12.81</v>
      </c>
      <c r="P161" s="7">
        <f ca="1">IFERROR(__xludf.DUMMYFUNCTION("GOOGLEFINANCE(""NSE:""&amp;D161,""EPS"")"),12.75)</f>
        <v>12.75</v>
      </c>
      <c r="Q161" s="7">
        <v>13.5</v>
      </c>
      <c r="R161" s="7" t="str">
        <f ca="1">IFERROR(__xludf.DUMMYFUNCTION("IMPORTXML(E161,""/html/body/main/div[3]/div[3]/div[2]/ul/li[7]/span[2]/span"")"),"Loading...")</f>
        <v>Loading...</v>
      </c>
      <c r="S161" s="7" t="str">
        <f ca="1">IFERROR(__xludf.DUMMYFUNCTION("IMPORTXML(E161,""/html/body/main/div[3]/div[3]/div[2]/ul/li[8]/span[2]/span"")"),"Loading...")</f>
        <v>Loading...</v>
      </c>
      <c r="T161" s="4">
        <v>34.6</v>
      </c>
      <c r="U161" s="4">
        <v>22.7</v>
      </c>
      <c r="V161" s="4">
        <v>2.6</v>
      </c>
      <c r="W161" s="4">
        <v>5.7</v>
      </c>
      <c r="X161" s="4">
        <v>519.92999999999995</v>
      </c>
      <c r="Y161" s="7">
        <f t="shared" ca="1" si="4"/>
        <v>-356.57999999999993</v>
      </c>
    </row>
    <row r="162" spans="1:25" ht="15" x14ac:dyDescent="0.25">
      <c r="A162" s="4">
        <v>1199</v>
      </c>
      <c r="C162" s="12" t="s">
        <v>868</v>
      </c>
      <c r="D162" s="12" t="s">
        <v>869</v>
      </c>
      <c r="E162" s="5" t="str">
        <f t="shared" si="0"/>
        <v>https://www.screener.in/company/ARIHANTCAP/consolidated/</v>
      </c>
      <c r="F162" s="4">
        <v>443059</v>
      </c>
      <c r="G162" s="4">
        <v>3832241897</v>
      </c>
      <c r="H162" s="6">
        <f t="shared" ca="1" si="1"/>
        <v>40112.075935898996</v>
      </c>
      <c r="I162" s="7" t="str">
        <f ca="1">IFERROR(__xludf.DUMMYFUNCTION("IMPORTXML(E162,""/html/body/main/div[3]/div[3]/div[2]/ul/li[5]/span[2]/span"")"),"Loading...")</f>
        <v>Loading...</v>
      </c>
      <c r="J162" s="7">
        <f ca="1">IFERROR(__xludf.DUMMYFUNCTION("GOOGLEFINANCE(""NSE:""&amp;D162,""marketcap"")"),10843399371)</f>
        <v>10843399371</v>
      </c>
      <c r="K162" s="7">
        <v>992.8</v>
      </c>
      <c r="L162" s="8">
        <f ca="1">IFERROR(__xludf.DUMMYFUNCTION("GOOGLEFINANCE(""NSE:""&amp;D162,""price"")"),104.67)</f>
        <v>104.67</v>
      </c>
      <c r="M162" s="9">
        <f t="shared" ca="1" si="2"/>
        <v>-888.13</v>
      </c>
      <c r="N162" s="10">
        <f t="shared" ca="1" si="3"/>
        <v>-89.45709105560033</v>
      </c>
      <c r="O162" s="7">
        <f ca="1">IFERROR(__xludf.DUMMYFUNCTION("GOOGLEFINANCE(""NSE:""&amp;D162,""pe"")"),21.76)</f>
        <v>21.76</v>
      </c>
      <c r="P162" s="7">
        <f ca="1">IFERROR(__xludf.DUMMYFUNCTION("GOOGLEFINANCE(""NSE:""&amp;D162,""EPS"")"),4.81)</f>
        <v>4.8099999999999996</v>
      </c>
      <c r="Q162" s="7">
        <v>13.5</v>
      </c>
      <c r="R162" s="7" t="str">
        <f ca="1">IFERROR(__xludf.DUMMYFUNCTION("IMPORTXML(E162,""/html/body/main/div[3]/div[3]/div[2]/ul/li[7]/span[2]/span"")"),"Loading...")</f>
        <v>Loading...</v>
      </c>
      <c r="S162" s="7" t="str">
        <f ca="1">IFERROR(__xludf.DUMMYFUNCTION("IMPORTXML(E162,""/html/body/main/div[3]/div[3]/div[2]/ul/li[8]/span[2]/span"")"),"Loading...")</f>
        <v>Loading...</v>
      </c>
      <c r="T162" s="4">
        <v>34.6</v>
      </c>
      <c r="U162" s="4">
        <v>22.7</v>
      </c>
      <c r="V162" s="4">
        <v>2.6</v>
      </c>
      <c r="W162" s="4">
        <v>5.7</v>
      </c>
      <c r="X162" s="4">
        <v>519.92999999999995</v>
      </c>
      <c r="Y162" s="7">
        <f t="shared" ca="1" si="4"/>
        <v>-415.25999999999993</v>
      </c>
    </row>
    <row r="163" spans="1:25" ht="15" x14ac:dyDescent="0.25">
      <c r="A163" s="4">
        <v>3157</v>
      </c>
      <c r="C163" s="12" t="s">
        <v>870</v>
      </c>
      <c r="D163" s="12" t="s">
        <v>871</v>
      </c>
      <c r="E163" s="5" t="str">
        <f t="shared" si="0"/>
        <v>https://www.screener.in/company/HYBRIDFIN/consolidated/</v>
      </c>
      <c r="F163" s="4">
        <v>443059</v>
      </c>
      <c r="G163" s="4">
        <v>3832241897</v>
      </c>
      <c r="H163" s="6">
        <f t="shared" ca="1" si="1"/>
        <v>5759.8595711909993</v>
      </c>
      <c r="I163" s="7" t="str">
        <f ca="1">IFERROR(__xludf.DUMMYFUNCTION("IMPORTXML(E163,""/html/body/main/div[3]/div[3]/div[2]/ul/li[5]/span[2]/span"")"),"Loading...")</f>
        <v>Loading...</v>
      </c>
      <c r="J163" s="7">
        <f ca="1">IFERROR(__xludf.DUMMYFUNCTION("GOOGLEFINANCE(""NSE:""&amp;D163,""marketcap"")"),442427130)</f>
        <v>442427130</v>
      </c>
      <c r="K163" s="7">
        <v>992.8</v>
      </c>
      <c r="L163" s="8">
        <f ca="1">IFERROR(__xludf.DUMMYFUNCTION("GOOGLEFINANCE(""NSE:""&amp;D163,""price"")"),15.03)</f>
        <v>15.03</v>
      </c>
      <c r="M163" s="9">
        <f t="shared" ca="1" si="2"/>
        <v>-977.77</v>
      </c>
      <c r="N163" s="10">
        <f t="shared" ca="1" si="3"/>
        <v>-98.486099919419829</v>
      </c>
      <c r="O163" s="7">
        <f ca="1">IFERROR(__xludf.DUMMYFUNCTION("GOOGLEFINANCE(""NSE:""&amp;D163,""pe"")"),13.62)</f>
        <v>13.62</v>
      </c>
      <c r="P163" s="7">
        <f ca="1">IFERROR(__xludf.DUMMYFUNCTION("GOOGLEFINANCE(""NSE:""&amp;D163,""EPS"")"),1.1)</f>
        <v>1.1000000000000001</v>
      </c>
      <c r="Q163" s="7">
        <v>13.5</v>
      </c>
      <c r="R163" s="7" t="str">
        <f ca="1">IFERROR(__xludf.DUMMYFUNCTION("IMPORTXML(E163,""/html/body/main/div[3]/div[3]/div[2]/ul/li[7]/span[2]/span"")"),"Loading...")</f>
        <v>Loading...</v>
      </c>
      <c r="S163" s="7" t="str">
        <f ca="1">IFERROR(__xludf.DUMMYFUNCTION("IMPORTXML(E163,""/html/body/main/div[3]/div[3]/div[2]/ul/li[8]/span[2]/span"")"),"Loading...")</f>
        <v>Loading...</v>
      </c>
      <c r="T163" s="4">
        <v>34.6</v>
      </c>
      <c r="U163" s="4">
        <v>22.7</v>
      </c>
      <c r="V163" s="4">
        <v>2.6</v>
      </c>
      <c r="W163" s="4">
        <v>5.7</v>
      </c>
      <c r="X163" s="4">
        <v>519.92999999999995</v>
      </c>
      <c r="Y163" s="7">
        <f t="shared" ca="1" si="4"/>
        <v>-504.9</v>
      </c>
    </row>
    <row r="164" spans="1:25" ht="15" x14ac:dyDescent="0.25">
      <c r="A164" s="4">
        <v>641</v>
      </c>
      <c r="C164" s="12" t="s">
        <v>872</v>
      </c>
      <c r="D164" s="12" t="s">
        <v>873</v>
      </c>
      <c r="E164" s="5" t="str">
        <f t="shared" si="0"/>
        <v>https://www.screener.in/company/DALMIASUG/consolidated/</v>
      </c>
      <c r="F164" s="4">
        <v>443059</v>
      </c>
      <c r="G164" s="4">
        <v>3832241897</v>
      </c>
      <c r="H164" s="6">
        <f t="shared" ca="1" si="1"/>
        <v>146200.02837054999</v>
      </c>
      <c r="I164" s="7" t="str">
        <f ca="1">IFERROR(__xludf.DUMMYFUNCTION("IMPORTXML(E164,""/html/body/main/div[3]/div[3]/div[2]/ul/li[5]/span[2]/span"")"),"Loading...")</f>
        <v>Loading...</v>
      </c>
      <c r="J164" s="7">
        <f ca="1">IFERROR(__xludf.DUMMYFUNCTION("GOOGLEFINANCE(""NSE:""&amp;D164,""marketcap"")"),30777170000)</f>
        <v>30777170000</v>
      </c>
      <c r="K164" s="7">
        <v>992.8</v>
      </c>
      <c r="L164" s="8">
        <f ca="1">IFERROR(__xludf.DUMMYFUNCTION("GOOGLEFINANCE(""NSE:""&amp;D164,""price"")"),381.5)</f>
        <v>381.5</v>
      </c>
      <c r="M164" s="9">
        <f t="shared" ca="1" si="2"/>
        <v>-611.29999999999995</v>
      </c>
      <c r="N164" s="10">
        <f t="shared" ca="1" si="3"/>
        <v>-61.57332796132151</v>
      </c>
      <c r="O164" s="7">
        <f ca="1">IFERROR(__xludf.DUMMYFUNCTION("GOOGLEFINANCE(""NSE:""&amp;D164,""pe"")"),8.34)</f>
        <v>8.34</v>
      </c>
      <c r="P164" s="7">
        <f ca="1">IFERROR(__xludf.DUMMYFUNCTION("GOOGLEFINANCE(""NSE:""&amp;D164,""EPS"")"),45.77)</f>
        <v>45.77</v>
      </c>
      <c r="Q164" s="7">
        <v>13.5</v>
      </c>
      <c r="R164" s="7" t="str">
        <f ca="1">IFERROR(__xludf.DUMMYFUNCTION("IMPORTXML(E164,""/html/body/main/div[3]/div[3]/div[2]/ul/li[7]/span[2]/span"")"),"Loading...")</f>
        <v>Loading...</v>
      </c>
      <c r="S164" s="7" t="str">
        <f ca="1">IFERROR(__xludf.DUMMYFUNCTION("IMPORTXML(E164,""/html/body/main/div[3]/div[3]/div[2]/ul/li[8]/span[2]/span"")"),"Loading...")</f>
        <v>Loading...</v>
      </c>
      <c r="T164" s="4">
        <v>34.6</v>
      </c>
      <c r="U164" s="4">
        <v>22.7</v>
      </c>
      <c r="V164" s="4">
        <v>2.6</v>
      </c>
      <c r="W164" s="4">
        <v>5.7</v>
      </c>
      <c r="X164" s="4">
        <v>519.92999999999995</v>
      </c>
      <c r="Y164" s="7">
        <f t="shared" ca="1" si="4"/>
        <v>-138.42999999999995</v>
      </c>
    </row>
    <row r="165" spans="1:25" ht="15" x14ac:dyDescent="0.25">
      <c r="A165" s="4">
        <v>2341</v>
      </c>
      <c r="C165" s="12" t="s">
        <v>874</v>
      </c>
      <c r="D165" s="12" t="s">
        <v>875</v>
      </c>
      <c r="E165" s="5" t="str">
        <f t="shared" si="0"/>
        <v>https://www.screener.in/company/AHLADA/consolidated/</v>
      </c>
      <c r="F165" s="4">
        <v>443059</v>
      </c>
      <c r="G165" s="4">
        <v>3832241897</v>
      </c>
      <c r="H165" s="6">
        <f t="shared" ca="1" si="1"/>
        <v>22265.32542157</v>
      </c>
      <c r="I165" s="7" t="str">
        <f ca="1">IFERROR(__xludf.DUMMYFUNCTION("IMPORTXML(E165,""/html/body/main/div[3]/div[3]/div[2]/ul/li[5]/span[2]/span"")"),"Loading...")</f>
        <v>Loading...</v>
      </c>
      <c r="J165" s="7">
        <f ca="1">IFERROR(__xludf.DUMMYFUNCTION("GOOGLEFINANCE(""NSE:""&amp;D165,""marketcap"")"),750709499)</f>
        <v>750709499</v>
      </c>
      <c r="K165" s="7">
        <v>992.8</v>
      </c>
      <c r="L165" s="8">
        <f ca="1">IFERROR(__xludf.DUMMYFUNCTION("GOOGLEFINANCE(""NSE:""&amp;D165,""price"")"),58.1)</f>
        <v>58.1</v>
      </c>
      <c r="M165" s="9">
        <f t="shared" ca="1" si="2"/>
        <v>-934.69999999999993</v>
      </c>
      <c r="N165" s="10">
        <f t="shared" ca="1" si="3"/>
        <v>-94.147864625302162</v>
      </c>
      <c r="O165" s="7">
        <f ca="1">IFERROR(__xludf.DUMMYFUNCTION("GOOGLEFINANCE(""NSE:""&amp;D165,""pe"")"),31.07)</f>
        <v>31.07</v>
      </c>
      <c r="P165" s="7">
        <f ca="1">IFERROR(__xludf.DUMMYFUNCTION("GOOGLEFINANCE(""NSE:""&amp;D165,""EPS"")"),1.87)</f>
        <v>1.87</v>
      </c>
      <c r="Q165" s="7">
        <v>13.5</v>
      </c>
      <c r="R165" s="7" t="str">
        <f ca="1">IFERROR(__xludf.DUMMYFUNCTION("IMPORTXML(E165,""/html/body/main/div[3]/div[3]/div[2]/ul/li[7]/span[2]/span"")"),"Loading...")</f>
        <v>Loading...</v>
      </c>
      <c r="S165" s="7" t="str">
        <f ca="1">IFERROR(__xludf.DUMMYFUNCTION("IMPORTXML(E165,""/html/body/main/div[3]/div[3]/div[2]/ul/li[8]/span[2]/span"")"),"Loading...")</f>
        <v>Loading...</v>
      </c>
      <c r="T165" s="4">
        <v>34.6</v>
      </c>
      <c r="U165" s="4">
        <v>22.7</v>
      </c>
      <c r="V165" s="4">
        <v>2.6</v>
      </c>
      <c r="W165" s="4">
        <v>5.7</v>
      </c>
      <c r="X165" s="4">
        <v>519.92999999999995</v>
      </c>
      <c r="Y165" s="7">
        <f t="shared" ca="1" si="4"/>
        <v>-461.82999999999993</v>
      </c>
    </row>
    <row r="166" spans="1:25" ht="15" x14ac:dyDescent="0.25">
      <c r="A166" s="4">
        <v>916</v>
      </c>
      <c r="C166" s="12" t="s">
        <v>876</v>
      </c>
      <c r="D166" s="12" t="s">
        <v>877</v>
      </c>
      <c r="E166" s="5" t="str">
        <f t="shared" si="0"/>
        <v>https://www.screener.in/company/GMBREW/consolidated/</v>
      </c>
      <c r="F166" s="4">
        <v>443059</v>
      </c>
      <c r="G166" s="4">
        <v>3832241897</v>
      </c>
      <c r="H166" s="6">
        <f t="shared" ca="1" si="1"/>
        <v>264424.69089299999</v>
      </c>
      <c r="I166" s="7" t="str">
        <f ca="1">IFERROR(__xludf.DUMMYFUNCTION("IMPORTXML(E166,""/html/body/main/div[3]/div[3]/div[2]/ul/li[5]/span[2]/span"")"),"Loading...")</f>
        <v>Loading...</v>
      </c>
      <c r="J166" s="7">
        <f ca="1">IFERROR(__xludf.DUMMYFUNCTION("GOOGLEFINANCE(""NSE:""&amp;D166,""marketcap"")"),15797500000)</f>
        <v>15797500000</v>
      </c>
      <c r="K166" s="7">
        <v>992.8</v>
      </c>
      <c r="L166" s="8">
        <f ca="1">IFERROR(__xludf.DUMMYFUNCTION("GOOGLEFINANCE(""NSE:""&amp;D166,""price"")"),690)</f>
        <v>690</v>
      </c>
      <c r="M166" s="9">
        <f t="shared" ca="1" si="2"/>
        <v>-302.79999999999995</v>
      </c>
      <c r="N166" s="10">
        <f t="shared" ca="1" si="3"/>
        <v>-30.499597099113611</v>
      </c>
      <c r="O166" s="7">
        <f ca="1">IFERROR(__xludf.DUMMYFUNCTION("GOOGLEFINANCE(""NSE:""&amp;D166,""pe"")"),12.13)</f>
        <v>12.13</v>
      </c>
      <c r="P166" s="7">
        <f ca="1">IFERROR(__xludf.DUMMYFUNCTION("GOOGLEFINANCE(""NSE:""&amp;D166,""EPS"")"),56.89)</f>
        <v>56.89</v>
      </c>
      <c r="Q166" s="7">
        <v>13.5</v>
      </c>
      <c r="R166" s="7" t="str">
        <f ca="1">IFERROR(__xludf.DUMMYFUNCTION("IMPORTXML(E166,""/html/body/main/div[3]/div[3]/div[2]/ul/li[7]/span[2]/span"")"),"Loading...")</f>
        <v>Loading...</v>
      </c>
      <c r="S166" s="7" t="str">
        <f ca="1">IFERROR(__xludf.DUMMYFUNCTION("IMPORTXML(E166,""/html/body/main/div[3]/div[3]/div[2]/ul/li[8]/span[2]/span"")"),"Loading...")</f>
        <v>Loading...</v>
      </c>
      <c r="T166" s="4">
        <v>34.6</v>
      </c>
      <c r="U166" s="4">
        <v>22.7</v>
      </c>
      <c r="V166" s="4">
        <v>2.6</v>
      </c>
      <c r="W166" s="4">
        <v>5.7</v>
      </c>
      <c r="X166" s="4">
        <v>519.92999999999995</v>
      </c>
      <c r="Y166" s="7">
        <f t="shared" ca="1" si="4"/>
        <v>170.07000000000005</v>
      </c>
    </row>
    <row r="167" spans="1:25" ht="15" x14ac:dyDescent="0.25">
      <c r="A167" s="4">
        <v>2812</v>
      </c>
      <c r="C167" s="12" t="s">
        <v>878</v>
      </c>
      <c r="D167" s="12" t="s">
        <v>879</v>
      </c>
      <c r="E167" s="5" t="str">
        <f t="shared" si="0"/>
        <v>https://www.screener.in/company/JAIPURKURT/consolidated/</v>
      </c>
      <c r="F167" s="4">
        <v>443059</v>
      </c>
      <c r="G167" s="4">
        <v>3832241897</v>
      </c>
      <c r="H167" s="6">
        <f t="shared" ca="1" si="1"/>
        <v>14754.13130345</v>
      </c>
      <c r="I167" s="7" t="str">
        <f ca="1">IFERROR(__xludf.DUMMYFUNCTION("IMPORTXML(E167,""/html/body/main/div[3]/div[3]/div[2]/ul/li[5]/span[2]/span"")"),"Loading...")</f>
        <v>Loading...</v>
      </c>
      <c r="J167" s="7">
        <f ca="1">IFERROR(__xludf.DUMMYFUNCTION("GOOGLEFINANCE(""NSE:""&amp;D167,""marketcap"")"),863754300)</f>
        <v>863754300</v>
      </c>
      <c r="K167" s="7">
        <v>992.8</v>
      </c>
      <c r="L167" s="8">
        <f ca="1">IFERROR(__xludf.DUMMYFUNCTION("GOOGLEFINANCE(""NSE:""&amp;D167,""price"")"),38.5)</f>
        <v>38.5</v>
      </c>
      <c r="M167" s="9">
        <f t="shared" ca="1" si="2"/>
        <v>-954.3</v>
      </c>
      <c r="N167" s="10">
        <f t="shared" ca="1" si="3"/>
        <v>-96.122078968573732</v>
      </c>
      <c r="O167" s="7">
        <f ca="1">IFERROR(__xludf.DUMMYFUNCTION("GOOGLEFINANCE(""NSE:""&amp;D167,""pe"")"),19.74)</f>
        <v>19.739999999999998</v>
      </c>
      <c r="P167" s="7">
        <f ca="1">IFERROR(__xludf.DUMMYFUNCTION("GOOGLEFINANCE(""NSE:""&amp;D167,""EPS"")"),1.95)</f>
        <v>1.95</v>
      </c>
      <c r="Q167" s="7">
        <v>13.5</v>
      </c>
      <c r="R167" s="7" t="str">
        <f ca="1">IFERROR(__xludf.DUMMYFUNCTION("IMPORTXML(E167,""/html/body/main/div[3]/div[3]/div[2]/ul/li[7]/span[2]/span"")"),"Loading...")</f>
        <v>Loading...</v>
      </c>
      <c r="S167" s="7" t="str">
        <f ca="1">IFERROR(__xludf.DUMMYFUNCTION("IMPORTXML(E167,""/html/body/main/div[3]/div[3]/div[2]/ul/li[8]/span[2]/span"")"),"Loading...")</f>
        <v>Loading...</v>
      </c>
      <c r="T167" s="4">
        <v>34.6</v>
      </c>
      <c r="U167" s="4">
        <v>22.7</v>
      </c>
      <c r="V167" s="4">
        <v>2.6</v>
      </c>
      <c r="W167" s="4">
        <v>5.7</v>
      </c>
      <c r="X167" s="4">
        <v>519.92999999999995</v>
      </c>
      <c r="Y167" s="7">
        <f t="shared" ca="1" si="4"/>
        <v>-481.42999999999995</v>
      </c>
    </row>
    <row r="168" spans="1:25" ht="15" x14ac:dyDescent="0.25">
      <c r="A168" s="4">
        <v>1142</v>
      </c>
      <c r="C168" s="12" t="s">
        <v>880</v>
      </c>
      <c r="D168" s="12" t="s">
        <v>881</v>
      </c>
      <c r="E168" s="5" t="str">
        <f t="shared" si="0"/>
        <v>https://www.screener.in/company/MVGJL/consolidated/</v>
      </c>
      <c r="F168" s="4">
        <v>443059</v>
      </c>
      <c r="G168" s="4">
        <v>3832241897</v>
      </c>
      <c r="H168" s="6">
        <f t="shared" ca="1" si="1"/>
        <v>75498.997612797</v>
      </c>
      <c r="I168" s="7" t="str">
        <f ca="1">IFERROR(__xludf.DUMMYFUNCTION("IMPORTXML(E168,""/html/body/main/div[3]/div[3]/div[2]/ul/li[5]/span[2]/span"")"),"Loading...")</f>
        <v>Loading...</v>
      </c>
      <c r="J168" s="7">
        <f ca="1">IFERROR(__xludf.DUMMYFUNCTION("GOOGLEFINANCE(""NSE:""&amp;D168,""marketcap"")"),9623431915)</f>
        <v>9623431915</v>
      </c>
      <c r="K168" s="7">
        <v>992.8</v>
      </c>
      <c r="L168" s="8">
        <f ca="1">IFERROR(__xludf.DUMMYFUNCTION("GOOGLEFINANCE(""NSE:""&amp;D168,""price"")"),197.01)</f>
        <v>197.01</v>
      </c>
      <c r="M168" s="9">
        <f t="shared" ca="1" si="2"/>
        <v>-795.79</v>
      </c>
      <c r="N168" s="10">
        <f t="shared" ca="1" si="3"/>
        <v>-80.156124093472997</v>
      </c>
      <c r="O168" s="7">
        <f ca="1">IFERROR(__xludf.DUMMYFUNCTION("GOOGLEFINANCE(""NSE:""&amp;D168,""pe"")"),9.69)</f>
        <v>9.69</v>
      </c>
      <c r="P168" s="7">
        <f ca="1">IFERROR(__xludf.DUMMYFUNCTION("GOOGLEFINANCE(""NSE:""&amp;D168,""EPS"")"),20.33)</f>
        <v>20.329999999999998</v>
      </c>
      <c r="Q168" s="7">
        <v>13.5</v>
      </c>
      <c r="R168" s="7" t="str">
        <f ca="1">IFERROR(__xludf.DUMMYFUNCTION("IMPORTXML(E168,""/html/body/main/div[3]/div[3]/div[2]/ul/li[7]/span[2]/span"")"),"Loading...")</f>
        <v>Loading...</v>
      </c>
      <c r="S168" s="7" t="str">
        <f ca="1">IFERROR(__xludf.DUMMYFUNCTION("IMPORTXML(E168,""/html/body/main/div[3]/div[3]/div[2]/ul/li[8]/span[2]/span"")"),"Loading...")</f>
        <v>Loading...</v>
      </c>
      <c r="T168" s="4">
        <v>34.6</v>
      </c>
      <c r="U168" s="4">
        <v>22.7</v>
      </c>
      <c r="V168" s="4">
        <v>2.6</v>
      </c>
      <c r="W168" s="4">
        <v>5.7</v>
      </c>
      <c r="X168" s="4">
        <v>519.92999999999995</v>
      </c>
      <c r="Y168" s="7">
        <f t="shared" ca="1" si="4"/>
        <v>-322.91999999999996</v>
      </c>
    </row>
    <row r="169" spans="1:25" ht="15" x14ac:dyDescent="0.25">
      <c r="A169" s="4">
        <v>1397</v>
      </c>
      <c r="C169" s="12" t="s">
        <v>882</v>
      </c>
      <c r="D169" s="12" t="s">
        <v>883</v>
      </c>
      <c r="E169" s="5" t="str">
        <f t="shared" si="0"/>
        <v>https://www.screener.in/company/NRAIL/consolidated/</v>
      </c>
      <c r="F169" s="4">
        <v>443059</v>
      </c>
      <c r="G169" s="4">
        <v>3832241897</v>
      </c>
      <c r="H169" s="6">
        <f t="shared" ca="1" si="1"/>
        <v>149457.433983</v>
      </c>
      <c r="I169" s="7" t="str">
        <f ca="1">IFERROR(__xludf.DUMMYFUNCTION("IMPORTXML(E169,""/html/body/main/div[3]/div[3]/div[2]/ul/li[5]/span[2]/span"")"),"Loading...")</f>
        <v>Loading...</v>
      </c>
      <c r="J169" s="7">
        <f ca="1">IFERROR(__xludf.DUMMYFUNCTION("GOOGLEFINANCE(""NSE:""&amp;D169,""marketcap"")"),6634045000)</f>
        <v>6634045000</v>
      </c>
      <c r="K169" s="7">
        <v>992.8</v>
      </c>
      <c r="L169" s="8">
        <f ca="1">IFERROR(__xludf.DUMMYFUNCTION("GOOGLEFINANCE(""NSE:""&amp;D169,""price"")"),390)</f>
        <v>390</v>
      </c>
      <c r="M169" s="9">
        <f t="shared" ca="1" si="2"/>
        <v>-602.79999999999995</v>
      </c>
      <c r="N169" s="10">
        <f t="shared" ca="1" si="3"/>
        <v>-60.717163577759869</v>
      </c>
      <c r="O169" s="7">
        <f ca="1">IFERROR(__xludf.DUMMYFUNCTION("GOOGLEFINANCE(""NSE:""&amp;D169,""pe"")"),21.56)</f>
        <v>21.56</v>
      </c>
      <c r="P169" s="7">
        <f ca="1">IFERROR(__xludf.DUMMYFUNCTION("GOOGLEFINANCE(""NSE:""&amp;D169,""EPS"")"),18.09)</f>
        <v>18.09</v>
      </c>
      <c r="Q169" s="7">
        <v>13.5</v>
      </c>
      <c r="R169" s="7" t="str">
        <f ca="1">IFERROR(__xludf.DUMMYFUNCTION("IMPORTXML(E169,""/html/body/main/div[3]/div[3]/div[2]/ul/li[7]/span[2]/span"")"),"Loading...")</f>
        <v>Loading...</v>
      </c>
      <c r="S169" s="7" t="str">
        <f ca="1">IFERROR(__xludf.DUMMYFUNCTION("IMPORTXML(E169,""/html/body/main/div[3]/div[3]/div[2]/ul/li[8]/span[2]/span"")"),"Loading...")</f>
        <v>Loading...</v>
      </c>
      <c r="T169" s="4">
        <v>34.6</v>
      </c>
      <c r="U169" s="4">
        <v>22.7</v>
      </c>
      <c r="V169" s="4">
        <v>2.6</v>
      </c>
      <c r="W169" s="4">
        <v>5.7</v>
      </c>
      <c r="X169" s="4">
        <v>519.92999999999995</v>
      </c>
      <c r="Y169" s="7">
        <f t="shared" ca="1" si="4"/>
        <v>-129.92999999999995</v>
      </c>
    </row>
    <row r="170" spans="1:25" ht="15" x14ac:dyDescent="0.25">
      <c r="A170" s="4">
        <v>1401</v>
      </c>
      <c r="C170" s="12" t="s">
        <v>884</v>
      </c>
      <c r="D170" s="12" t="s">
        <v>885</v>
      </c>
      <c r="E170" s="5" t="str">
        <f t="shared" si="0"/>
        <v>https://www.screener.in/company/RSSOFTWARE/consolidated/</v>
      </c>
      <c r="F170" s="4">
        <v>443059</v>
      </c>
      <c r="G170" s="4">
        <v>3832241897</v>
      </c>
      <c r="H170" s="6">
        <f t="shared" ca="1" si="1"/>
        <v>28573.195584032001</v>
      </c>
      <c r="I170" s="7" t="str">
        <f ca="1">IFERROR(__xludf.DUMMYFUNCTION("IMPORTXML(E170,""/html/body/main/div[3]/div[3]/div[2]/ul/li[5]/span[2]/span"")"),"Loading...")</f>
        <v>Loading...</v>
      </c>
      <c r="J170" s="7">
        <f ca="1">IFERROR(__xludf.DUMMYFUNCTION("GOOGLEFINANCE(""NSE:""&amp;D170,""marketcap"")"),1925974954)</f>
        <v>1925974954</v>
      </c>
      <c r="K170" s="7">
        <v>992.8</v>
      </c>
      <c r="L170" s="8">
        <f ca="1">IFERROR(__xludf.DUMMYFUNCTION("GOOGLEFINANCE(""NSE:""&amp;D170,""price"")"),74.56)</f>
        <v>74.56</v>
      </c>
      <c r="M170" s="9">
        <f t="shared" ca="1" si="2"/>
        <v>-918.24</v>
      </c>
      <c r="N170" s="10">
        <f t="shared" ca="1" si="3"/>
        <v>-92.489927477840467</v>
      </c>
      <c r="O170" s="7">
        <f ca="1">IFERROR(__xludf.DUMMYFUNCTION("GOOGLEFINANCE(""NSE:""&amp;D170,""pe"")"),245.98)</f>
        <v>245.98</v>
      </c>
      <c r="P170" s="7">
        <f ca="1">IFERROR(__xludf.DUMMYFUNCTION("GOOGLEFINANCE(""NSE:""&amp;D170,""EPS"")"),0.3)</f>
        <v>0.3</v>
      </c>
      <c r="Q170" s="7">
        <v>13.5</v>
      </c>
      <c r="R170" s="7" t="str">
        <f ca="1">IFERROR(__xludf.DUMMYFUNCTION("IMPORTXML(E170,""/html/body/main/div[3]/div[3]/div[2]/ul/li[7]/span[2]/span"")"),"Loading...")</f>
        <v>Loading...</v>
      </c>
      <c r="S170" s="7" t="str">
        <f ca="1">IFERROR(__xludf.DUMMYFUNCTION("IMPORTXML(E170,""/html/body/main/div[3]/div[3]/div[2]/ul/li[8]/span[2]/span"")"),"Loading...")</f>
        <v>Loading...</v>
      </c>
      <c r="T170" s="4">
        <v>34.6</v>
      </c>
      <c r="U170" s="4">
        <v>22.7</v>
      </c>
      <c r="V170" s="4">
        <v>2.6</v>
      </c>
      <c r="W170" s="4">
        <v>5.7</v>
      </c>
      <c r="X170" s="4">
        <v>519.92999999999995</v>
      </c>
      <c r="Y170" s="7">
        <f t="shared" ca="1" si="4"/>
        <v>-445.36999999999995</v>
      </c>
    </row>
    <row r="171" spans="1:25" ht="15" x14ac:dyDescent="0.25">
      <c r="A171" s="4">
        <v>1311</v>
      </c>
      <c r="C171" s="12" t="s">
        <v>886</v>
      </c>
      <c r="D171" s="12" t="s">
        <v>887</v>
      </c>
      <c r="E171" s="5" t="str">
        <f t="shared" si="0"/>
        <v>https://www.screener.in/company/CHEVIOT/consolidated/</v>
      </c>
      <c r="F171" s="4">
        <v>443059</v>
      </c>
      <c r="G171" s="4">
        <v>3832241897</v>
      </c>
      <c r="H171" s="6">
        <f t="shared" ca="1" si="1"/>
        <v>456036.78574299999</v>
      </c>
      <c r="I171" s="7" t="str">
        <f ca="1">IFERROR(__xludf.DUMMYFUNCTION("IMPORTXML(E171,""/html/body/main/div[3]/div[3]/div[2]/ul/li[5]/span[2]/span"")"),"Loading...")</f>
        <v>Loading...</v>
      </c>
      <c r="J171" s="7">
        <f ca="1">IFERROR(__xludf.DUMMYFUNCTION("GOOGLEFINANCE(""NSE:""&amp;D171,""marketcap"")"),6951831250)</f>
        <v>6951831250</v>
      </c>
      <c r="K171" s="7">
        <v>992.8</v>
      </c>
      <c r="L171" s="8">
        <f ca="1">IFERROR(__xludf.DUMMYFUNCTION("GOOGLEFINANCE(""NSE:""&amp;D171,""price"")"),1190)</f>
        <v>1190</v>
      </c>
      <c r="M171" s="9">
        <f t="shared" ca="1" si="2"/>
        <v>197.20000000000005</v>
      </c>
      <c r="N171" s="10">
        <f t="shared" ca="1" si="3"/>
        <v>19.863013698630141</v>
      </c>
      <c r="O171" s="7">
        <f ca="1">IFERROR(__xludf.DUMMYFUNCTION("GOOGLEFINANCE(""NSE:""&amp;D171,""pe"")"),11.65)</f>
        <v>11.65</v>
      </c>
      <c r="P171" s="7">
        <f ca="1">IFERROR(__xludf.DUMMYFUNCTION("GOOGLEFINANCE(""NSE:""&amp;D171,""EPS"")"),102.19)</f>
        <v>102.19</v>
      </c>
      <c r="Q171" s="7">
        <v>13.5</v>
      </c>
      <c r="R171" s="7" t="str">
        <f ca="1">IFERROR(__xludf.DUMMYFUNCTION("IMPORTXML(E171,""/html/body/main/div[3]/div[3]/div[2]/ul/li[7]/span[2]/span"")"),"Loading...")</f>
        <v>Loading...</v>
      </c>
      <c r="S171" s="7" t="str">
        <f ca="1">IFERROR(__xludf.DUMMYFUNCTION("IMPORTXML(E171,""/html/body/main/div[3]/div[3]/div[2]/ul/li[8]/span[2]/span"")"),"Loading...")</f>
        <v>Loading...</v>
      </c>
      <c r="T171" s="4">
        <v>34.6</v>
      </c>
      <c r="U171" s="4">
        <v>22.7</v>
      </c>
      <c r="V171" s="4">
        <v>2.6</v>
      </c>
      <c r="W171" s="4">
        <v>5.7</v>
      </c>
      <c r="X171" s="4">
        <v>519.92999999999995</v>
      </c>
      <c r="Y171" s="7">
        <f t="shared" ca="1" si="4"/>
        <v>670.07</v>
      </c>
    </row>
    <row r="172" spans="1:25" ht="15" x14ac:dyDescent="0.25">
      <c r="A172" s="4">
        <v>253</v>
      </c>
      <c r="C172" s="12" t="s">
        <v>888</v>
      </c>
      <c r="D172" s="12" t="s">
        <v>889</v>
      </c>
      <c r="E172" s="5" t="str">
        <f t="shared" si="0"/>
        <v>https://www.screener.in/company/CANFINHOME/consolidated/</v>
      </c>
      <c r="F172" s="4">
        <v>443059</v>
      </c>
      <c r="G172" s="4">
        <v>3832241897</v>
      </c>
      <c r="H172" s="6">
        <f t="shared" ca="1" si="1"/>
        <v>287456.46469397005</v>
      </c>
      <c r="I172" s="7" t="str">
        <f ca="1">IFERROR(__xludf.DUMMYFUNCTION("IMPORTXML(E172,""/html/body/main/div[3]/div[3]/div[2]/ul/li[5]/span[2]/span"")"),"Loading...")</f>
        <v>Loading...</v>
      </c>
      <c r="J172" s="7">
        <f ca="1">IFERROR(__xludf.DUMMYFUNCTION("GOOGLEFINANCE(""NSE:""&amp;D172,""marketcap"")"),100471400000)</f>
        <v>100471400000</v>
      </c>
      <c r="K172" s="7">
        <v>992.8</v>
      </c>
      <c r="L172" s="8">
        <f ca="1">IFERROR(__xludf.DUMMYFUNCTION("GOOGLEFINANCE(""NSE:""&amp;D172,""price"")"),750.1)</f>
        <v>750.1</v>
      </c>
      <c r="M172" s="9">
        <f t="shared" ca="1" si="2"/>
        <v>-242.69999999999993</v>
      </c>
      <c r="N172" s="10">
        <f t="shared" ca="1" si="3"/>
        <v>-24.446011281224813</v>
      </c>
      <c r="O172" s="7">
        <f ca="1">IFERROR(__xludf.DUMMYFUNCTION("GOOGLEFINANCE(""NSE:""&amp;D172,""pe"")"),11.33)</f>
        <v>11.33</v>
      </c>
      <c r="P172" s="7">
        <f ca="1">IFERROR(__xludf.DUMMYFUNCTION("GOOGLEFINANCE(""NSE:""&amp;D172,""EPS"")"),66.18)</f>
        <v>66.180000000000007</v>
      </c>
      <c r="Q172" s="7">
        <v>13.5</v>
      </c>
      <c r="R172" s="7" t="str">
        <f ca="1">IFERROR(__xludf.DUMMYFUNCTION("IMPORTXML(E172,""/html/body/main/div[3]/div[3]/div[2]/ul/li[7]/span[2]/span"")"),"Loading...")</f>
        <v>Loading...</v>
      </c>
      <c r="S172" s="7" t="str">
        <f ca="1">IFERROR(__xludf.DUMMYFUNCTION("IMPORTXML(E172,""/html/body/main/div[3]/div[3]/div[2]/ul/li[8]/span[2]/span"")"),"Loading...")</f>
        <v>Loading...</v>
      </c>
      <c r="T172" s="4">
        <v>34.6</v>
      </c>
      <c r="U172" s="4">
        <v>22.7</v>
      </c>
      <c r="V172" s="4">
        <v>2.6</v>
      </c>
      <c r="W172" s="4">
        <v>5.7</v>
      </c>
      <c r="X172" s="4">
        <v>519.92999999999995</v>
      </c>
      <c r="Y172" s="7">
        <f t="shared" ca="1" si="4"/>
        <v>230.17000000000007</v>
      </c>
    </row>
    <row r="173" spans="1:25" ht="15" x14ac:dyDescent="0.25">
      <c r="A173" s="4">
        <v>232</v>
      </c>
      <c r="C173" s="12" t="s">
        <v>890</v>
      </c>
      <c r="D173" s="12" t="s">
        <v>891</v>
      </c>
      <c r="E173" s="5" t="str">
        <f t="shared" si="0"/>
        <v>https://www.screener.in/company/RBLBANK/consolidated/</v>
      </c>
      <c r="F173" s="4">
        <v>443059</v>
      </c>
      <c r="G173" s="4">
        <v>3832241897</v>
      </c>
      <c r="H173" s="6">
        <f t="shared" ca="1" si="1"/>
        <v>106153.10054689999</v>
      </c>
      <c r="I173" s="7" t="str">
        <f ca="1">IFERROR(__xludf.DUMMYFUNCTION("IMPORTXML(E173,""/html/body/main/div[3]/div[3]/div[2]/ul/li[5]/span[2]/span"")"),"Loading...")</f>
        <v>Loading...</v>
      </c>
      <c r="J173" s="7">
        <f ca="1">IFERROR(__xludf.DUMMYFUNCTION("GOOGLEFINANCE(""NSE:""&amp;D173,""marketcap"")"),169220903454)</f>
        <v>169220903454</v>
      </c>
      <c r="K173" s="7">
        <v>992.8</v>
      </c>
      <c r="L173" s="8">
        <f ca="1">IFERROR(__xludf.DUMMYFUNCTION("GOOGLEFINANCE(""NSE:""&amp;D173,""price"")"),277)</f>
        <v>277</v>
      </c>
      <c r="M173" s="9">
        <f t="shared" ca="1" si="2"/>
        <v>-715.8</v>
      </c>
      <c r="N173" s="10">
        <f t="shared" ca="1" si="3"/>
        <v>-72.099113618049955</v>
      </c>
      <c r="O173" s="7">
        <f ca="1">IFERROR(__xludf.DUMMYFUNCTION("GOOGLEFINANCE(""NSE:""&amp;D173,""pe"")"),29.24)</f>
        <v>29.24</v>
      </c>
      <c r="P173" s="7">
        <f ca="1">IFERROR(__xludf.DUMMYFUNCTION("GOOGLEFINANCE(""NSE:""&amp;D173,""EPS"")"),9.47)</f>
        <v>9.4700000000000006</v>
      </c>
      <c r="Q173" s="7">
        <v>13.5</v>
      </c>
      <c r="R173" s="7" t="str">
        <f ca="1">IFERROR(__xludf.DUMMYFUNCTION("IMPORTXML(E173,""/html/body/main/div[3]/div[3]/div[2]/ul/li[7]/span[2]/span"")"),"Loading...")</f>
        <v>Loading...</v>
      </c>
      <c r="S173" s="7" t="str">
        <f ca="1">IFERROR(__xludf.DUMMYFUNCTION("IMPORTXML(E173,""/html/body/main/div[3]/div[3]/div[2]/ul/li[8]/span[2]/span"")"),"Loading...")</f>
        <v>Loading...</v>
      </c>
      <c r="T173" s="4">
        <v>34.6</v>
      </c>
      <c r="U173" s="4">
        <v>22.7</v>
      </c>
      <c r="V173" s="4">
        <v>2.6</v>
      </c>
      <c r="W173" s="4">
        <v>5.7</v>
      </c>
      <c r="X173" s="4">
        <v>519.92999999999995</v>
      </c>
      <c r="Y173" s="7">
        <f t="shared" ca="1" si="4"/>
        <v>-242.92999999999995</v>
      </c>
    </row>
    <row r="174" spans="1:25" ht="15" x14ac:dyDescent="0.25">
      <c r="A174" s="4">
        <v>459</v>
      </c>
      <c r="C174" s="12" t="s">
        <v>892</v>
      </c>
      <c r="D174" s="12" t="s">
        <v>893</v>
      </c>
      <c r="E174" s="5" t="str">
        <f t="shared" si="0"/>
        <v>https://www.screener.in/company/SHAREINDIA/consolidated/</v>
      </c>
      <c r="F174" s="4">
        <v>443059</v>
      </c>
      <c r="G174" s="4">
        <v>3832241897</v>
      </c>
      <c r="H174" s="6">
        <f t="shared" ca="1" si="1"/>
        <v>56904.959928553006</v>
      </c>
      <c r="I174" s="7" t="str">
        <f ca="1">IFERROR(__xludf.DUMMYFUNCTION("IMPORTXML(E174,""/html/body/main/div[3]/div[3]/div[2]/ul/li[5]/span[2]/span"")"),"Loading...")</f>
        <v>Loading...</v>
      </c>
      <c r="J174" s="7">
        <f ca="1">IFERROR(__xludf.DUMMYFUNCTION("GOOGLEFINANCE(""NSE:""&amp;D174,""marketcap"")"),32495956506)</f>
        <v>32495956506</v>
      </c>
      <c r="K174" s="7">
        <v>992.8</v>
      </c>
      <c r="L174" s="8">
        <f ca="1">IFERROR(__xludf.DUMMYFUNCTION("GOOGLEFINANCE(""NSE:""&amp;D174,""price"")"),148.49)</f>
        <v>148.49</v>
      </c>
      <c r="M174" s="9">
        <f t="shared" ca="1" si="2"/>
        <v>-844.31</v>
      </c>
      <c r="N174" s="10">
        <f t="shared" ca="1" si="3"/>
        <v>-85.04331184528607</v>
      </c>
      <c r="O174" s="7">
        <f ca="1">IFERROR(__xludf.DUMMYFUNCTION("GOOGLEFINANCE(""NSE:""&amp;D174,""pe"")"),10.69)</f>
        <v>10.69</v>
      </c>
      <c r="P174" s="7">
        <f ca="1">IFERROR(__xludf.DUMMYFUNCTION("GOOGLEFINANCE(""NSE:""&amp;D174,""EPS"")"),13.89)</f>
        <v>13.89</v>
      </c>
      <c r="Q174" s="7">
        <v>13.5</v>
      </c>
      <c r="R174" s="7" t="str">
        <f ca="1">IFERROR(__xludf.DUMMYFUNCTION("IMPORTXML(E174,""/html/body/main/div[3]/div[3]/div[2]/ul/li[7]/span[2]/span"")"),"Loading...")</f>
        <v>Loading...</v>
      </c>
      <c r="S174" s="7" t="str">
        <f ca="1">IFERROR(__xludf.DUMMYFUNCTION("IMPORTXML(E174,""/html/body/main/div[3]/div[3]/div[2]/ul/li[8]/span[2]/span"")"),"Loading...")</f>
        <v>Loading...</v>
      </c>
      <c r="T174" s="4">
        <v>34.6</v>
      </c>
      <c r="U174" s="4">
        <v>22.7</v>
      </c>
      <c r="V174" s="4">
        <v>2.6</v>
      </c>
      <c r="W174" s="4">
        <v>5.7</v>
      </c>
      <c r="X174" s="4">
        <v>519.92999999999995</v>
      </c>
      <c r="Y174" s="7">
        <f t="shared" ca="1" si="4"/>
        <v>-371.43999999999994</v>
      </c>
    </row>
    <row r="175" spans="1:25" ht="15" x14ac:dyDescent="0.25">
      <c r="A175" s="4">
        <v>2277</v>
      </c>
      <c r="C175" s="12" t="s">
        <v>894</v>
      </c>
      <c r="D175" s="12" t="s">
        <v>895</v>
      </c>
      <c r="E175" s="5" t="str">
        <f t="shared" si="0"/>
        <v>https://www.screener.in/company/AUSOMENT/consolidated/</v>
      </c>
      <c r="F175" s="4">
        <v>443059</v>
      </c>
      <c r="G175" s="4">
        <v>3832241897</v>
      </c>
      <c r="H175" s="6">
        <f t="shared" ca="1" si="1"/>
        <v>39970.282985710001</v>
      </c>
      <c r="I175" s="7">
        <f ca="1">IFERROR(__xludf.DUMMYFUNCTION("IMPORTXML(E175,""/html/body/main/div[3]/div[3]/div[2]/ul/li[5]/span[2]/span"")"),105)</f>
        <v>105</v>
      </c>
      <c r="J175" s="7">
        <f ca="1">IFERROR(__xludf.DUMMYFUNCTION("GOOGLEFINANCE(""NSE:""&amp;D175,""marketcap"")"),1413584490)</f>
        <v>1413584490</v>
      </c>
      <c r="K175" s="7">
        <v>992.8</v>
      </c>
      <c r="L175" s="8">
        <f ca="1">IFERROR(__xludf.DUMMYFUNCTION("GOOGLEFINANCE(""NSE:""&amp;D175,""price"")"),104.3)</f>
        <v>104.3</v>
      </c>
      <c r="M175" s="9">
        <f t="shared" ca="1" si="2"/>
        <v>-888.5</v>
      </c>
      <c r="N175" s="10">
        <f t="shared" ca="1" si="3"/>
        <v>-89.494359387590663</v>
      </c>
      <c r="O175" s="7">
        <f ca="1">IFERROR(__xludf.DUMMYFUNCTION("GOOGLEFINANCE(""NSE:""&amp;D175,""pe"")"),5.09)</f>
        <v>5.09</v>
      </c>
      <c r="P175" s="7">
        <f ca="1">IFERROR(__xludf.DUMMYFUNCTION("GOOGLEFINANCE(""NSE:""&amp;D175,""EPS"")"),20.49)</f>
        <v>20.49</v>
      </c>
      <c r="Q175" s="7">
        <v>13.5</v>
      </c>
      <c r="R175" s="7" t="str">
        <f ca="1">IFERROR(__xludf.DUMMYFUNCTION("IMPORTXML(E175,""/html/body/main/div[3]/div[3]/div[2]/ul/li[7]/span[2]/span"")"),"Loading...")</f>
        <v>Loading...</v>
      </c>
      <c r="S175" s="7" t="str">
        <f ca="1">IFERROR(__xludf.DUMMYFUNCTION("IMPORTXML(E175,""/html/body/main/div[3]/div[3]/div[2]/ul/li[8]/span[2]/span"")"),"Loading...")</f>
        <v>Loading...</v>
      </c>
      <c r="T175" s="4">
        <v>34.6</v>
      </c>
      <c r="U175" s="4">
        <v>22.7</v>
      </c>
      <c r="V175" s="4">
        <v>2.6</v>
      </c>
      <c r="W175" s="4">
        <v>5.7</v>
      </c>
      <c r="X175" s="4">
        <v>519.92999999999995</v>
      </c>
      <c r="Y175" s="7">
        <f t="shared" ca="1" si="4"/>
        <v>-415.62999999999994</v>
      </c>
    </row>
    <row r="176" spans="1:25" ht="15" x14ac:dyDescent="0.25">
      <c r="A176" s="4">
        <v>2015</v>
      </c>
      <c r="C176" s="12" t="s">
        <v>896</v>
      </c>
      <c r="D176" s="12" t="s">
        <v>897</v>
      </c>
      <c r="E176" s="5" t="str">
        <f t="shared" si="0"/>
        <v>https://www.screener.in/company/HINDNATGLS/consolidated/</v>
      </c>
      <c r="F176" s="4">
        <v>443059</v>
      </c>
      <c r="G176" s="4">
        <v>3832241897</v>
      </c>
      <c r="H176" s="6">
        <f t="shared" ca="1" si="1"/>
        <v>3387.7018369480002</v>
      </c>
      <c r="I176" s="7" t="str">
        <f ca="1">IFERROR(__xludf.DUMMYFUNCTION("IMPORTXML(E176,""/html/body/main/div[3]/div[3]/div[2]/ul/li[5]/span[2]/span"")"),"Loading...")</f>
        <v>Loading...</v>
      </c>
      <c r="J176" s="7">
        <f ca="1">IFERROR(__xludf.DUMMYFUNCTION("GOOGLEFINANCE(""NSE:""&amp;D176,""marketcap"")"),791653500)</f>
        <v>791653500</v>
      </c>
      <c r="K176" s="7">
        <v>992.8</v>
      </c>
      <c r="L176" s="8">
        <f ca="1">IFERROR(__xludf.DUMMYFUNCTION("GOOGLEFINANCE(""NSE:""&amp;D176,""price"")"),8.84)</f>
        <v>8.84</v>
      </c>
      <c r="M176" s="9">
        <f t="shared" ca="1" si="2"/>
        <v>-983.95999999999992</v>
      </c>
      <c r="N176" s="10">
        <f t="shared" ca="1" si="3"/>
        <v>-99.109589041095887</v>
      </c>
      <c r="O176" s="7" t="str">
        <f ca="1">IFERROR(__xludf.DUMMYFUNCTION("GOOGLEFINANCE(""NSE:""&amp;D176,""pe"")"),"#N/A")</f>
        <v>#N/A</v>
      </c>
      <c r="P176" s="7">
        <f ca="1">IFERROR(__xludf.DUMMYFUNCTION("GOOGLEFINANCE(""NSE:""&amp;D176,""EPS"")"),-2.06)</f>
        <v>-2.06</v>
      </c>
      <c r="Q176" s="7">
        <v>13.5</v>
      </c>
      <c r="R176" s="7" t="str">
        <f ca="1">IFERROR(__xludf.DUMMYFUNCTION("IMPORTXML(E176,""/html/body/main/div[3]/div[3]/div[2]/ul/li[7]/span[2]/span"")"),"Loading...")</f>
        <v>Loading...</v>
      </c>
      <c r="S176" s="7" t="str">
        <f ca="1">IFERROR(__xludf.DUMMYFUNCTION("IMPORTXML(E176,""/html/body/main/div[3]/div[3]/div[2]/ul/li[8]/span[2]/span"")"),"Loading...")</f>
        <v>Loading...</v>
      </c>
      <c r="T176" s="4">
        <v>34.6</v>
      </c>
      <c r="U176" s="4">
        <v>22.7</v>
      </c>
      <c r="V176" s="4">
        <v>2.6</v>
      </c>
      <c r="W176" s="4">
        <v>5.7</v>
      </c>
      <c r="X176" s="4">
        <v>519.92999999999995</v>
      </c>
      <c r="Y176" s="7">
        <f t="shared" ca="1" si="4"/>
        <v>-511.09</v>
      </c>
    </row>
    <row r="177" spans="1:25" ht="15" x14ac:dyDescent="0.25">
      <c r="A177" s="4">
        <v>850</v>
      </c>
      <c r="C177" s="12" t="s">
        <v>898</v>
      </c>
      <c r="D177" s="12" t="s">
        <v>899</v>
      </c>
      <c r="E177" s="5" t="str">
        <f t="shared" si="0"/>
        <v>https://www.screener.in/company/AHL/consolidated/</v>
      </c>
      <c r="F177" s="4">
        <v>443059</v>
      </c>
      <c r="G177" s="4">
        <v>3832241897</v>
      </c>
      <c r="H177" s="6" t="e">
        <f t="shared" ca="1" si="1"/>
        <v>#VALUE!</v>
      </c>
      <c r="I177" s="7" t="str">
        <f ca="1">IFERROR(__xludf.DUMMYFUNCTION("IMPORTXML(E177,""/html/body/main/div[3]/div[3]/div[2]/ul/li[5]/span[2]/span"")"),"Loading...")</f>
        <v>Loading...</v>
      </c>
      <c r="J177" s="7" t="str">
        <f ca="1">IFERROR(__xludf.DUMMYFUNCTION("GOOGLEFINANCE(""NSE:""&amp;D177,""marketcap"")"),"#N/A")</f>
        <v>#N/A</v>
      </c>
      <c r="K177" s="7">
        <v>992.8</v>
      </c>
      <c r="L177" s="8" t="str">
        <f ca="1">IFERROR(__xludf.DUMMYFUNCTION("GOOGLEFINANCE(""NSE:""&amp;D177,""price"")"),"#N/A")</f>
        <v>#N/A</v>
      </c>
      <c r="M177" s="9" t="e">
        <f t="shared" ca="1" si="2"/>
        <v>#VALUE!</v>
      </c>
      <c r="N177" s="10" t="e">
        <f t="shared" ca="1" si="3"/>
        <v>#VALUE!</v>
      </c>
      <c r="O177" s="7" t="str">
        <f ca="1">IFERROR(__xludf.DUMMYFUNCTION("GOOGLEFINANCE(""NSE:""&amp;D177,""pe"")"),"#N/A")</f>
        <v>#N/A</v>
      </c>
      <c r="P177" s="7" t="str">
        <f ca="1">IFERROR(__xludf.DUMMYFUNCTION("GOOGLEFINANCE(""NSE:""&amp;D177,""EPS"")"),"#N/A")</f>
        <v>#N/A</v>
      </c>
      <c r="Q177" s="7">
        <v>13.5</v>
      </c>
      <c r="R177" s="7" t="str">
        <f ca="1">IFERROR(__xludf.DUMMYFUNCTION("IMPORTXML(E177,""/html/body/main/div[3]/div[3]/div[2]/ul/li[7]/span[2]/span"")"),"Loading...")</f>
        <v>Loading...</v>
      </c>
      <c r="S177" s="7" t="str">
        <f ca="1">IFERROR(__xludf.DUMMYFUNCTION("IMPORTXML(E177,""/html/body/main/div[3]/div[3]/div[2]/ul/li[8]/span[2]/span"")"),"Loading...")</f>
        <v>Loading...</v>
      </c>
      <c r="T177" s="4">
        <v>34.6</v>
      </c>
      <c r="U177" s="4">
        <v>22.7</v>
      </c>
      <c r="V177" s="4">
        <v>2.6</v>
      </c>
      <c r="W177" s="4">
        <v>5.7</v>
      </c>
      <c r="X177" s="4">
        <v>519.92999999999995</v>
      </c>
      <c r="Y177" s="7" t="e">
        <f t="shared" ca="1" si="4"/>
        <v>#VALUE!</v>
      </c>
    </row>
    <row r="178" spans="1:25" ht="15" x14ac:dyDescent="0.25">
      <c r="A178" s="4">
        <v>1993</v>
      </c>
      <c r="C178" s="12" t="s">
        <v>900</v>
      </c>
      <c r="D178" s="12" t="s">
        <v>901</v>
      </c>
      <c r="E178" s="5" t="str">
        <f t="shared" si="0"/>
        <v>https://www.screener.in/company/UNITEDTEA/consolidated/</v>
      </c>
      <c r="F178" s="4">
        <v>443059</v>
      </c>
      <c r="G178" s="4">
        <v>3832241897</v>
      </c>
      <c r="H178" s="6">
        <f t="shared" ca="1" si="1"/>
        <v>179751.30617878502</v>
      </c>
      <c r="I178" s="7" t="str">
        <f ca="1">IFERROR(__xludf.DUMMYFUNCTION("IMPORTXML(E178,""/html/body/main/div[3]/div[3]/div[2]/ul/li[5]/span[2]/span"")"),"Loading...")</f>
        <v>Loading...</v>
      </c>
      <c r="J178" s="7">
        <f ca="1">IFERROR(__xludf.DUMMYFUNCTION("GOOGLEFINANCE(""NSE:""&amp;D178,""marketcap"")"),2357130000)</f>
        <v>2357130000</v>
      </c>
      <c r="K178" s="7">
        <v>992.8</v>
      </c>
      <c r="L178" s="8">
        <f ca="1">IFERROR(__xludf.DUMMYFUNCTION("GOOGLEFINANCE(""NSE:""&amp;D178,""price"")"),469.05)</f>
        <v>469.05</v>
      </c>
      <c r="M178" s="9">
        <f t="shared" ca="1" si="2"/>
        <v>-523.75</v>
      </c>
      <c r="N178" s="10">
        <f t="shared" ca="1" si="3"/>
        <v>-52.754834810636588</v>
      </c>
      <c r="O178" s="7">
        <f ca="1">IFERROR(__xludf.DUMMYFUNCTION("GOOGLEFINANCE(""NSE:""&amp;D178,""pe"")"),10.28)</f>
        <v>10.28</v>
      </c>
      <c r="P178" s="7">
        <f ca="1">IFERROR(__xludf.DUMMYFUNCTION("GOOGLEFINANCE(""NSE:""&amp;D178,""EPS"")"),45.64)</f>
        <v>45.64</v>
      </c>
      <c r="Q178" s="7">
        <v>13.5</v>
      </c>
      <c r="R178" s="7" t="str">
        <f ca="1">IFERROR(__xludf.DUMMYFUNCTION("IMPORTXML(E178,""/html/body/main/div[3]/div[3]/div[2]/ul/li[7]/span[2]/span"")"),"Loading...")</f>
        <v>Loading...</v>
      </c>
      <c r="S178" s="7" t="str">
        <f ca="1">IFERROR(__xludf.DUMMYFUNCTION("IMPORTXML(E178,""/html/body/main/div[3]/div[3]/div[2]/ul/li[8]/span[2]/span"")"),"Loading...")</f>
        <v>Loading...</v>
      </c>
      <c r="T178" s="4">
        <v>34.6</v>
      </c>
      <c r="U178" s="4">
        <v>22.7</v>
      </c>
      <c r="V178" s="4">
        <v>2.6</v>
      </c>
      <c r="W178" s="4">
        <v>5.7</v>
      </c>
      <c r="X178" s="4">
        <v>519.92999999999995</v>
      </c>
      <c r="Y178" s="7">
        <f t="shared" ca="1" si="4"/>
        <v>-50.879999999999939</v>
      </c>
    </row>
    <row r="179" spans="1:25" ht="15" x14ac:dyDescent="0.25">
      <c r="A179" s="4">
        <v>471</v>
      </c>
      <c r="C179" s="12" t="s">
        <v>902</v>
      </c>
      <c r="D179" s="12" t="s">
        <v>903</v>
      </c>
      <c r="E179" s="5" t="str">
        <f t="shared" si="0"/>
        <v>https://www.screener.in/company/GHCL/consolidated/</v>
      </c>
      <c r="F179" s="4">
        <v>443059</v>
      </c>
      <c r="G179" s="4">
        <v>3832241897</v>
      </c>
      <c r="H179" s="6">
        <f t="shared" ca="1" si="1"/>
        <v>213379.22882495998</v>
      </c>
      <c r="I179" s="7" t="str">
        <f ca="1">IFERROR(__xludf.DUMMYFUNCTION("IMPORTXML(E179,""/html/body/main/div[3]/div[3]/div[2]/ul/li[5]/span[2]/span"")"),"Loading...")</f>
        <v>Loading...</v>
      </c>
      <c r="J179" s="7">
        <f ca="1">IFERROR(__xludf.DUMMYFUNCTION("GOOGLEFINANCE(""NSE:""&amp;D179,""marketcap"")"),53464120000)</f>
        <v>53464120000</v>
      </c>
      <c r="K179" s="7">
        <v>992.8</v>
      </c>
      <c r="L179" s="8">
        <f ca="1">IFERROR(__xludf.DUMMYFUNCTION("GOOGLEFINANCE(""NSE:""&amp;D179,""price"")"),556.8)</f>
        <v>556.79999999999995</v>
      </c>
      <c r="M179" s="9">
        <f t="shared" ca="1" si="2"/>
        <v>-436</v>
      </c>
      <c r="N179" s="10">
        <f t="shared" ca="1" si="3"/>
        <v>-43.916196615632558</v>
      </c>
      <c r="O179" s="7">
        <f ca="1">IFERROR(__xludf.DUMMYFUNCTION("GOOGLEFINANCE(""NSE:""&amp;D179,""pe"")"),8.62)</f>
        <v>8.6199999999999992</v>
      </c>
      <c r="P179" s="7">
        <f ca="1">IFERROR(__xludf.DUMMYFUNCTION("GOOGLEFINANCE(""NSE:""&amp;D179,""EPS"")"),64.63)</f>
        <v>64.63</v>
      </c>
      <c r="Q179" s="7">
        <v>13.5</v>
      </c>
      <c r="R179" s="7" t="str">
        <f ca="1">IFERROR(__xludf.DUMMYFUNCTION("IMPORTXML(E179,""/html/body/main/div[3]/div[3]/div[2]/ul/li[7]/span[2]/span"")"),"Loading...")</f>
        <v>Loading...</v>
      </c>
      <c r="S179" s="7" t="str">
        <f ca="1">IFERROR(__xludf.DUMMYFUNCTION("IMPORTXML(E179,""/html/body/main/div[3]/div[3]/div[2]/ul/li[8]/span[2]/span"")"),"Loading...")</f>
        <v>Loading...</v>
      </c>
      <c r="T179" s="4">
        <v>34.6</v>
      </c>
      <c r="U179" s="4">
        <v>22.7</v>
      </c>
      <c r="V179" s="4">
        <v>2.6</v>
      </c>
      <c r="W179" s="4">
        <v>5.7</v>
      </c>
      <c r="X179" s="4">
        <v>519.92999999999995</v>
      </c>
      <c r="Y179" s="7">
        <f t="shared" ca="1" si="4"/>
        <v>36.870000000000005</v>
      </c>
    </row>
    <row r="180" spans="1:25" ht="15" x14ac:dyDescent="0.25">
      <c r="A180" s="4">
        <v>1692</v>
      </c>
      <c r="C180" s="12" t="s">
        <v>904</v>
      </c>
      <c r="D180" s="12" t="s">
        <v>905</v>
      </c>
      <c r="E180" s="5" t="str">
        <f t="shared" si="0"/>
        <v>https://www.screener.in/company/ARIES/consolidated/</v>
      </c>
      <c r="F180" s="4">
        <v>443059</v>
      </c>
      <c r="G180" s="4">
        <v>3832241897</v>
      </c>
      <c r="H180" s="6">
        <f t="shared" ca="1" si="1"/>
        <v>158348.23518403998</v>
      </c>
      <c r="I180" s="7" t="str">
        <f ca="1">IFERROR(__xludf.DUMMYFUNCTION("IMPORTXML(E180,""/html/body/main/div[3]/div[3]/div[2]/ul/li[5]/span[2]/span"")"),"Loading...")</f>
        <v>Loading...</v>
      </c>
      <c r="J180" s="7">
        <f ca="1">IFERROR(__xludf.DUMMYFUNCTION("GOOGLEFINANCE(""NSE:""&amp;D180,""marketcap"")"),5380622827)</f>
        <v>5380622827</v>
      </c>
      <c r="K180" s="7">
        <v>992.8</v>
      </c>
      <c r="L180" s="8">
        <f ca="1">IFERROR(__xludf.DUMMYFUNCTION("GOOGLEFINANCE(""NSE:""&amp;D180,""price"")"),413.2)</f>
        <v>413.2</v>
      </c>
      <c r="M180" s="9">
        <f t="shared" ca="1" si="2"/>
        <v>-579.59999999999991</v>
      </c>
      <c r="N180" s="10">
        <f t="shared" ca="1" si="3"/>
        <v>-58.380338436744552</v>
      </c>
      <c r="O180" s="7">
        <f ca="1">IFERROR(__xludf.DUMMYFUNCTION("GOOGLEFINANCE(""NSE:""&amp;D180,""pe"")"),14.61)</f>
        <v>14.61</v>
      </c>
      <c r="P180" s="7">
        <f ca="1">IFERROR(__xludf.DUMMYFUNCTION("GOOGLEFINANCE(""NSE:""&amp;D180,""EPS"")"),28.29)</f>
        <v>28.29</v>
      </c>
      <c r="Q180" s="7">
        <v>13.5</v>
      </c>
      <c r="R180" s="7" t="str">
        <f ca="1">IFERROR(__xludf.DUMMYFUNCTION("IMPORTXML(E180,""/html/body/main/div[3]/div[3]/div[2]/ul/li[7]/span[2]/span"")"),"Loading...")</f>
        <v>Loading...</v>
      </c>
      <c r="S180" s="7" t="str">
        <f ca="1">IFERROR(__xludf.DUMMYFUNCTION("IMPORTXML(E180,""/html/body/main/div[3]/div[3]/div[2]/ul/li[8]/span[2]/span"")"),"Loading...")</f>
        <v>Loading...</v>
      </c>
      <c r="T180" s="4">
        <v>34.6</v>
      </c>
      <c r="U180" s="4">
        <v>22.7</v>
      </c>
      <c r="V180" s="4">
        <v>2.6</v>
      </c>
      <c r="W180" s="4">
        <v>5.7</v>
      </c>
      <c r="X180" s="4">
        <v>519.92999999999995</v>
      </c>
      <c r="Y180" s="7">
        <f t="shared" ca="1" si="4"/>
        <v>-106.72999999999996</v>
      </c>
    </row>
    <row r="181" spans="1:25" ht="15" x14ac:dyDescent="0.25">
      <c r="A181" s="4">
        <v>1759</v>
      </c>
      <c r="C181" s="12" t="s">
        <v>906</v>
      </c>
      <c r="D181" s="12" t="s">
        <v>907</v>
      </c>
      <c r="E181" s="5" t="str">
        <f t="shared" si="0"/>
        <v>https://www.screener.in/company/RANASUG/consolidated/</v>
      </c>
      <c r="F181" s="4">
        <v>443059</v>
      </c>
      <c r="G181" s="4">
        <v>3832241897</v>
      </c>
      <c r="H181" s="6">
        <f t="shared" ca="1" si="1"/>
        <v>5633.3955885899995</v>
      </c>
      <c r="I181" s="7" t="str">
        <f ca="1">IFERROR(__xludf.DUMMYFUNCTION("IMPORTXML(E181,""/html/body/main/div[3]/div[3]/div[2]/ul/li[5]/span[2]/span"")"),"Loading...")</f>
        <v>Loading...</v>
      </c>
      <c r="J181" s="7">
        <f ca="1">IFERROR(__xludf.DUMMYFUNCTION("GOOGLEFINANCE(""NSE:""&amp;D181,""marketcap"")"),2268196476)</f>
        <v>2268196476</v>
      </c>
      <c r="K181" s="7">
        <v>992.8</v>
      </c>
      <c r="L181" s="8">
        <f ca="1">IFERROR(__xludf.DUMMYFUNCTION("GOOGLEFINANCE(""NSE:""&amp;D181,""price"")"),14.7)</f>
        <v>14.7</v>
      </c>
      <c r="M181" s="9">
        <f t="shared" ca="1" si="2"/>
        <v>-978.09999999999991</v>
      </c>
      <c r="N181" s="10">
        <f t="shared" ca="1" si="3"/>
        <v>-98.519339242546337</v>
      </c>
      <c r="O181" s="7">
        <f ca="1">IFERROR(__xludf.DUMMYFUNCTION("GOOGLEFINANCE(""NSE:""&amp;D181,""pe"")"),6.15)</f>
        <v>6.15</v>
      </c>
      <c r="P181" s="7">
        <f ca="1">IFERROR(__xludf.DUMMYFUNCTION("GOOGLEFINANCE(""NSE:""&amp;D181,""EPS"")"),2.39)</f>
        <v>2.39</v>
      </c>
      <c r="Q181" s="7">
        <v>13.5</v>
      </c>
      <c r="R181" s="7" t="str">
        <f ca="1">IFERROR(__xludf.DUMMYFUNCTION("IMPORTXML(E181,""/html/body/main/div[3]/div[3]/div[2]/ul/li[7]/span[2]/span"")"),"Loading...")</f>
        <v>Loading...</v>
      </c>
      <c r="S181" s="7" t="str">
        <f ca="1">IFERROR(__xludf.DUMMYFUNCTION("IMPORTXML(E181,""/html/body/main/div[3]/div[3]/div[2]/ul/li[8]/span[2]/span"")"),"Loading...")</f>
        <v>Loading...</v>
      </c>
      <c r="T181" s="4">
        <v>34.6</v>
      </c>
      <c r="U181" s="4">
        <v>22.7</v>
      </c>
      <c r="V181" s="4">
        <v>2.6</v>
      </c>
      <c r="W181" s="4">
        <v>5.7</v>
      </c>
      <c r="X181" s="4">
        <v>519.92999999999995</v>
      </c>
      <c r="Y181" s="7">
        <f t="shared" ca="1" si="4"/>
        <v>-505.22999999999996</v>
      </c>
    </row>
    <row r="182" spans="1:25" ht="15" x14ac:dyDescent="0.25">
      <c r="A182" s="4">
        <v>2976</v>
      </c>
      <c r="C182" s="12" t="s">
        <v>908</v>
      </c>
      <c r="D182" s="12" t="s">
        <v>909</v>
      </c>
      <c r="E182" s="5" t="str">
        <f t="shared" si="0"/>
        <v>https://www.screener.in/company/NARMADA/consolidated/</v>
      </c>
      <c r="F182" s="4">
        <v>443059</v>
      </c>
      <c r="G182" s="4">
        <v>3832241897</v>
      </c>
      <c r="H182" s="6">
        <f t="shared" ca="1" si="1"/>
        <v>8507.5770113399994</v>
      </c>
      <c r="I182" s="7" t="str">
        <f ca="1">IFERROR(__xludf.DUMMYFUNCTION("IMPORTXML(E182,""/html/body/main/div[3]/div[3]/div[2]/ul/li[5]/span[2]/span"")"),"Loading...")</f>
        <v>Loading...</v>
      </c>
      <c r="J182" s="7">
        <f ca="1">IFERROR(__xludf.DUMMYFUNCTION("GOOGLEFINANCE(""NSE:""&amp;D182,""marketcap"")"),842567400)</f>
        <v>842567400</v>
      </c>
      <c r="K182" s="7">
        <v>992.8</v>
      </c>
      <c r="L182" s="8">
        <f ca="1">IFERROR(__xludf.DUMMYFUNCTION("GOOGLEFINANCE(""NSE:""&amp;D182,""price"")"),22.2)</f>
        <v>22.2</v>
      </c>
      <c r="M182" s="9">
        <f t="shared" ca="1" si="2"/>
        <v>-970.59999999999991</v>
      </c>
      <c r="N182" s="10">
        <f t="shared" ca="1" si="3"/>
        <v>-97.763900080580171</v>
      </c>
      <c r="O182" s="7">
        <f ca="1">IFERROR(__xludf.DUMMYFUNCTION("GOOGLEFINANCE(""NSE:""&amp;D182,""pe"")"),17.19)</f>
        <v>17.190000000000001</v>
      </c>
      <c r="P182" s="7">
        <f ca="1">IFERROR(__xludf.DUMMYFUNCTION("GOOGLEFINANCE(""NSE:""&amp;D182,""EPS"")"),1.29)</f>
        <v>1.29</v>
      </c>
      <c r="Q182" s="7">
        <v>13.5</v>
      </c>
      <c r="R182" s="7" t="str">
        <f ca="1">IFERROR(__xludf.DUMMYFUNCTION("IMPORTXML(E182,""/html/body/main/div[3]/div[3]/div[2]/ul/li[7]/span[2]/span"")"),"Loading...")</f>
        <v>Loading...</v>
      </c>
      <c r="S182" s="7" t="str">
        <f ca="1">IFERROR(__xludf.DUMMYFUNCTION("IMPORTXML(E182,""/html/body/main/div[3]/div[3]/div[2]/ul/li[8]/span[2]/span"")"),"Loading...")</f>
        <v>Loading...</v>
      </c>
      <c r="T182" s="4">
        <v>34.6</v>
      </c>
      <c r="U182" s="4">
        <v>22.7</v>
      </c>
      <c r="V182" s="4">
        <v>2.6</v>
      </c>
      <c r="W182" s="4">
        <v>5.7</v>
      </c>
      <c r="X182" s="4">
        <v>519.92999999999995</v>
      </c>
      <c r="Y182" s="7">
        <f t="shared" ca="1" si="4"/>
        <v>-497.72999999999996</v>
      </c>
    </row>
    <row r="183" spans="1:25" ht="15" x14ac:dyDescent="0.25">
      <c r="A183" s="4">
        <v>2200</v>
      </c>
      <c r="C183" s="12" t="s">
        <v>910</v>
      </c>
      <c r="D183" s="12" t="s">
        <v>911</v>
      </c>
      <c r="E183" s="5" t="str">
        <f t="shared" si="0"/>
        <v>https://www.screener.in/company/ACCURACY/consolidated/</v>
      </c>
      <c r="F183" s="4">
        <v>443059</v>
      </c>
      <c r="G183" s="4">
        <v>3832241897</v>
      </c>
      <c r="H183" s="6">
        <f t="shared" ca="1" si="1"/>
        <v>2682.5693279000002</v>
      </c>
      <c r="I183" s="7" t="str">
        <f ca="1">IFERROR(__xludf.DUMMYFUNCTION("IMPORTXML(E183,""/html/body/main/div[3]/div[3]/div[2]/ul/li[5]/span[2]/span"")"),"Loading...")</f>
        <v>Loading...</v>
      </c>
      <c r="J183" s="7">
        <f ca="1">IFERROR(__xludf.DUMMYFUNCTION("GOOGLEFINANCE(""NSE:""&amp;D183,""marketcap"")"),1053919300)</f>
        <v>1053919300</v>
      </c>
      <c r="K183" s="7">
        <v>992.8</v>
      </c>
      <c r="L183" s="8">
        <f ca="1">IFERROR(__xludf.DUMMYFUNCTION("GOOGLEFINANCE(""NSE:""&amp;D183,""price"")"),7)</f>
        <v>7</v>
      </c>
      <c r="M183" s="9">
        <f t="shared" ca="1" si="2"/>
        <v>-985.8</v>
      </c>
      <c r="N183" s="10">
        <f t="shared" ca="1" si="3"/>
        <v>-99.294923448831582</v>
      </c>
      <c r="O183" s="7">
        <f ca="1">IFERROR(__xludf.DUMMYFUNCTION("GOOGLEFINANCE(""NSE:""&amp;D183,""pe"")"),41.18)</f>
        <v>41.18</v>
      </c>
      <c r="P183" s="7">
        <f ca="1">IFERROR(__xludf.DUMMYFUNCTION("GOOGLEFINANCE(""NSE:""&amp;D183,""EPS"")"),0.17)</f>
        <v>0.17</v>
      </c>
      <c r="Q183" s="7">
        <v>13.5</v>
      </c>
      <c r="R183" s="7">
        <f ca="1">IFERROR(__xludf.DUMMYFUNCTION("IMPORTXML(E183,""/html/body/main/div[3]/div[3]/div[2]/ul/li[7]/span[2]/span"")"),7.97)</f>
        <v>7.97</v>
      </c>
      <c r="S183" s="7" t="str">
        <f ca="1">IFERROR(__xludf.DUMMYFUNCTION("IMPORTXML(E183,""/html/body/main/div[3]/div[3]/div[2]/ul/li[8]/span[2]/span"")"),"Loading...")</f>
        <v>Loading...</v>
      </c>
      <c r="T183" s="4">
        <v>34.6</v>
      </c>
      <c r="U183" s="4">
        <v>22.7</v>
      </c>
      <c r="V183" s="4">
        <v>2.6</v>
      </c>
      <c r="W183" s="4">
        <v>5.7</v>
      </c>
      <c r="X183" s="4">
        <v>519.92999999999995</v>
      </c>
      <c r="Y183" s="7">
        <f t="shared" ca="1" si="4"/>
        <v>-512.92999999999995</v>
      </c>
    </row>
    <row r="184" spans="1:25" ht="15" x14ac:dyDescent="0.25">
      <c r="A184" s="4">
        <v>1365</v>
      </c>
      <c r="C184" s="12" t="s">
        <v>912</v>
      </c>
      <c r="D184" s="12" t="s">
        <v>913</v>
      </c>
      <c r="E184" s="5" t="str">
        <f t="shared" si="0"/>
        <v>https://www.screener.in/company/RVTH/consolidated/</v>
      </c>
      <c r="F184" s="4">
        <v>443059</v>
      </c>
      <c r="G184" s="4">
        <v>3832241897</v>
      </c>
      <c r="H184" s="6">
        <f t="shared" ca="1" si="1"/>
        <v>328806.35476259998</v>
      </c>
      <c r="I184" s="7" t="str">
        <f ca="1">IFERROR(__xludf.DUMMYFUNCTION("IMPORTXML(E184,""/html/body/main/div[3]/div[3]/div[2]/ul/li[5]/span[2]/span"")"),"Loading...")</f>
        <v>Loading...</v>
      </c>
      <c r="J184" s="7">
        <f ca="1">IFERROR(__xludf.DUMMYFUNCTION("GOOGLEFINANCE(""NSE:""&amp;D184,""marketcap"")"),2628739019)</f>
        <v>2628739019</v>
      </c>
      <c r="K184" s="7">
        <v>992.8</v>
      </c>
      <c r="L184" s="8">
        <f ca="1">IFERROR(__xludf.DUMMYFUNCTION("GOOGLEFINANCE(""NSE:""&amp;D184,""price"")"),858)</f>
        <v>858</v>
      </c>
      <c r="M184" s="9">
        <f t="shared" ca="1" si="2"/>
        <v>-134.79999999999995</v>
      </c>
      <c r="N184" s="10">
        <f t="shared" ca="1" si="3"/>
        <v>-13.577759871071713</v>
      </c>
      <c r="O184" s="7">
        <f ca="1">IFERROR(__xludf.DUMMYFUNCTION("GOOGLEFINANCE(""NSE:""&amp;D184,""pe"")"),20.52)</f>
        <v>20.52</v>
      </c>
      <c r="P184" s="7">
        <f ca="1">IFERROR(__xludf.DUMMYFUNCTION("GOOGLEFINANCE(""NSE:""&amp;D184,""EPS"")"),41.81)</f>
        <v>41.81</v>
      </c>
      <c r="Q184" s="7">
        <v>13.5</v>
      </c>
      <c r="R184" s="7">
        <f ca="1">IFERROR(__xludf.DUMMYFUNCTION("IMPORTXML(E184,""/html/body/main/div[3]/div[3]/div[2]/ul/li[7]/span[2]/span"")"),25.7)</f>
        <v>25.7</v>
      </c>
      <c r="S184" s="7" t="str">
        <f ca="1">IFERROR(__xludf.DUMMYFUNCTION("IMPORTXML(E184,""/html/body/main/div[3]/div[3]/div[2]/ul/li[8]/span[2]/span"")"),"Loading...")</f>
        <v>Loading...</v>
      </c>
      <c r="T184" s="4">
        <v>34.6</v>
      </c>
      <c r="U184" s="4">
        <v>22.7</v>
      </c>
      <c r="V184" s="4">
        <v>2.6</v>
      </c>
      <c r="W184" s="4">
        <v>5.7</v>
      </c>
      <c r="X184" s="4">
        <v>519.92999999999995</v>
      </c>
      <c r="Y184" s="7">
        <f t="shared" ca="1" si="4"/>
        <v>338.07000000000005</v>
      </c>
    </row>
    <row r="185" spans="1:25" ht="15" x14ac:dyDescent="0.25">
      <c r="A185" s="4">
        <v>412</v>
      </c>
      <c r="C185" s="12" t="s">
        <v>914</v>
      </c>
      <c r="D185" s="12" t="s">
        <v>915</v>
      </c>
      <c r="E185" s="5" t="str">
        <f t="shared" si="0"/>
        <v>https://www.screener.in/company/SUNDARMHLD/consolidated/</v>
      </c>
      <c r="F185" s="4">
        <v>443059</v>
      </c>
      <c r="G185" s="4">
        <v>3832241897</v>
      </c>
      <c r="H185" s="6">
        <f t="shared" ca="1" si="1"/>
        <v>186706.82522184</v>
      </c>
      <c r="I185" s="7" t="str">
        <f ca="1">IFERROR(__xludf.DUMMYFUNCTION("IMPORTXML(E185,""/html/body/main/div[3]/div[3]/div[2]/ul/li[5]/span[2]/span"")"),"Loading...")</f>
        <v>Loading...</v>
      </c>
      <c r="J185" s="7">
        <f ca="1">IFERROR(__xludf.DUMMYFUNCTION("GOOGLEFINANCE(""NSE:""&amp;D185,""marketcap"")"),108208925351)</f>
        <v>108208925351</v>
      </c>
      <c r="K185" s="7">
        <v>992.8</v>
      </c>
      <c r="L185" s="8">
        <f ca="1">IFERROR(__xludf.DUMMYFUNCTION("GOOGLEFINANCE(""NSE:""&amp;D185,""price"")"),487.2)</f>
        <v>487.2</v>
      </c>
      <c r="M185" s="9">
        <f t="shared" ca="1" si="2"/>
        <v>-505.59999999999997</v>
      </c>
      <c r="N185" s="10">
        <f t="shared" ca="1" si="3"/>
        <v>-50.92667203867849</v>
      </c>
      <c r="O185" s="7">
        <f ca="1">IFERROR(__xludf.DUMMYFUNCTION("GOOGLEFINANCE(""NSE:""&amp;D185,""pe"")"),23.58)</f>
        <v>23.58</v>
      </c>
      <c r="P185" s="7">
        <f ca="1">IFERROR(__xludf.DUMMYFUNCTION("GOOGLEFINANCE(""NSE:""&amp;D185,""EPS"")"),20.66)</f>
        <v>20.66</v>
      </c>
      <c r="Q185" s="7">
        <v>13.5</v>
      </c>
      <c r="R185" s="7" t="str">
        <f ca="1">IFERROR(__xludf.DUMMYFUNCTION("IMPORTXML(E185,""/html/body/main/div[3]/div[3]/div[2]/ul/li[7]/span[2]/span"")"),"Loading...")</f>
        <v>Loading...</v>
      </c>
      <c r="S185" s="7" t="str">
        <f ca="1">IFERROR(__xludf.DUMMYFUNCTION("IMPORTXML(E185,""/html/body/main/div[3]/div[3]/div[2]/ul/li[8]/span[2]/span"")"),"Loading...")</f>
        <v>Loading...</v>
      </c>
      <c r="T185" s="4">
        <v>34.6</v>
      </c>
      <c r="U185" s="4">
        <v>22.7</v>
      </c>
      <c r="V185" s="4">
        <v>2.6</v>
      </c>
      <c r="W185" s="4">
        <v>5.7</v>
      </c>
      <c r="X185" s="4">
        <v>519.92999999999995</v>
      </c>
      <c r="Y185" s="7">
        <f t="shared" ca="1" si="4"/>
        <v>-32.729999999999961</v>
      </c>
    </row>
    <row r="186" spans="1:25" ht="15" x14ac:dyDescent="0.25">
      <c r="A186" s="4">
        <v>2152</v>
      </c>
      <c r="C186" s="12" t="s">
        <v>916</v>
      </c>
      <c r="D186" s="12" t="s">
        <v>917</v>
      </c>
      <c r="E186" s="5" t="str">
        <f t="shared" si="0"/>
        <v>https://www.screener.in/company/SPLIL/consolidated/</v>
      </c>
      <c r="F186" s="4">
        <v>443059</v>
      </c>
      <c r="G186" s="4">
        <v>3832241897</v>
      </c>
      <c r="H186" s="6">
        <f t="shared" ca="1" si="1"/>
        <v>14754.13130345</v>
      </c>
      <c r="I186" s="7" t="str">
        <f ca="1">IFERROR(__xludf.DUMMYFUNCTION("IMPORTXML(E186,""/html/body/main/div[3]/div[3]/div[2]/ul/li[5]/span[2]/span"")"),"Loading...")</f>
        <v>Loading...</v>
      </c>
      <c r="J186" s="7">
        <f ca="1">IFERROR(__xludf.DUMMYFUNCTION("GOOGLEFINANCE(""NSE:""&amp;D186,""marketcap"")"),1113600000)</f>
        <v>1113600000</v>
      </c>
      <c r="K186" s="7">
        <v>992.8</v>
      </c>
      <c r="L186" s="8">
        <f ca="1">IFERROR(__xludf.DUMMYFUNCTION("GOOGLEFINANCE(""NSE:""&amp;D186,""price"")"),38.5)</f>
        <v>38.5</v>
      </c>
      <c r="M186" s="9">
        <f t="shared" ca="1" si="2"/>
        <v>-954.3</v>
      </c>
      <c r="N186" s="10">
        <f t="shared" ca="1" si="3"/>
        <v>-96.122078968573732</v>
      </c>
      <c r="O186" s="7">
        <f ca="1">IFERROR(__xludf.DUMMYFUNCTION("GOOGLEFINANCE(""NSE:""&amp;D186,""pe"")"),13.8)</f>
        <v>13.8</v>
      </c>
      <c r="P186" s="7">
        <f ca="1">IFERROR(__xludf.DUMMYFUNCTION("GOOGLEFINANCE(""NSE:""&amp;D186,""EPS"")"),2.79)</f>
        <v>2.79</v>
      </c>
      <c r="Q186" s="7">
        <v>13.5</v>
      </c>
      <c r="R186" s="7" t="str">
        <f ca="1">IFERROR(__xludf.DUMMYFUNCTION("IMPORTXML(E186,""/html/body/main/div[3]/div[3]/div[2]/ul/li[7]/span[2]/span"")"),"Loading...")</f>
        <v>Loading...</v>
      </c>
      <c r="S186" s="7" t="str">
        <f ca="1">IFERROR(__xludf.DUMMYFUNCTION("IMPORTXML(E186,""/html/body/main/div[3]/div[3]/div[2]/ul/li[8]/span[2]/span"")"),"Loading...")</f>
        <v>Loading...</v>
      </c>
      <c r="T186" s="4">
        <v>34.6</v>
      </c>
      <c r="U186" s="4">
        <v>22.7</v>
      </c>
      <c r="V186" s="4">
        <v>2.6</v>
      </c>
      <c r="W186" s="4">
        <v>5.7</v>
      </c>
      <c r="X186" s="4">
        <v>519.92999999999995</v>
      </c>
      <c r="Y186" s="7">
        <f t="shared" ca="1" si="4"/>
        <v>-481.42999999999995</v>
      </c>
    </row>
    <row r="187" spans="1:25" ht="15" x14ac:dyDescent="0.25">
      <c r="A187" s="4">
        <v>1126</v>
      </c>
      <c r="C187" s="12" t="s">
        <v>918</v>
      </c>
      <c r="D187" s="12" t="s">
        <v>919</v>
      </c>
      <c r="E187" s="5" t="str">
        <f t="shared" si="0"/>
        <v>https://www.screener.in/company/SIMPLEXINF/consolidated/</v>
      </c>
      <c r="F187" s="4">
        <v>443059</v>
      </c>
      <c r="G187" s="4">
        <v>3832241897</v>
      </c>
      <c r="H187" s="6">
        <f t="shared" ca="1" si="1"/>
        <v>114584.03272030001</v>
      </c>
      <c r="I187" s="7" t="str">
        <f ca="1">IFERROR(__xludf.DUMMYFUNCTION("IMPORTXML(E187,""/html/body/main/div[3]/div[3]/div[2]/ul/li[5]/span[2]/span"")"),"Loading...")</f>
        <v>Loading...</v>
      </c>
      <c r="J187" s="7">
        <f ca="1">IFERROR(__xludf.DUMMYFUNCTION("GOOGLEFINANCE(""NSE:""&amp;D187,""marketcap"")"),23290990000)</f>
        <v>23290990000</v>
      </c>
      <c r="K187" s="7">
        <v>992.8</v>
      </c>
      <c r="L187" s="8">
        <f ca="1">IFERROR(__xludf.DUMMYFUNCTION("GOOGLEFINANCE(""NSE:""&amp;D187,""price"")"),299)</f>
        <v>299</v>
      </c>
      <c r="M187" s="9">
        <f t="shared" ca="1" si="2"/>
        <v>-693.8</v>
      </c>
      <c r="N187" s="10">
        <f t="shared" ca="1" si="3"/>
        <v>-69.883158742949234</v>
      </c>
      <c r="O187" s="7">
        <f ca="1">IFERROR(__xludf.DUMMYFUNCTION("GOOGLEFINANCE(""NSE:""&amp;D187,""pe"")"),68.96)</f>
        <v>68.959999999999994</v>
      </c>
      <c r="P187" s="7">
        <f ca="1">IFERROR(__xludf.DUMMYFUNCTION("GOOGLEFINANCE(""NSE:""&amp;D187,""EPS"")"),4.34)</f>
        <v>4.34</v>
      </c>
      <c r="Q187" s="7">
        <v>13.5</v>
      </c>
      <c r="R187" s="7" t="str">
        <f ca="1">IFERROR(__xludf.DUMMYFUNCTION("IMPORTXML(E187,""/html/body/main/div[3]/div[3]/div[2]/ul/li[7]/span[2]/span"")"),"Loading...")</f>
        <v>Loading...</v>
      </c>
      <c r="S187" s="7" t="str">
        <f ca="1">IFERROR(__xludf.DUMMYFUNCTION("IMPORTXML(E187,""/html/body/main/div[3]/div[3]/div[2]/ul/li[8]/span[2]/span"")"),"Loading...")</f>
        <v>Loading...</v>
      </c>
      <c r="T187" s="4">
        <v>34.6</v>
      </c>
      <c r="U187" s="4">
        <v>22.7</v>
      </c>
      <c r="V187" s="4">
        <v>2.6</v>
      </c>
      <c r="W187" s="4">
        <v>5.7</v>
      </c>
      <c r="X187" s="4">
        <v>519.92999999999995</v>
      </c>
      <c r="Y187" s="7">
        <f t="shared" ca="1" si="4"/>
        <v>-220.92999999999995</v>
      </c>
    </row>
    <row r="188" spans="1:25" ht="15" x14ac:dyDescent="0.25">
      <c r="A188" s="4">
        <v>223</v>
      </c>
      <c r="C188" s="12" t="s">
        <v>920</v>
      </c>
      <c r="D188" s="12" t="s">
        <v>921</v>
      </c>
      <c r="E188" s="5" t="str">
        <f t="shared" si="0"/>
        <v>https://www.screener.in/company/CUB/consolidated/</v>
      </c>
      <c r="F188" s="4">
        <v>443059</v>
      </c>
      <c r="G188" s="4">
        <v>3832241897</v>
      </c>
      <c r="H188" s="6">
        <f t="shared" ca="1" si="1"/>
        <v>76663.999149485011</v>
      </c>
      <c r="I188" s="7" t="str">
        <f ca="1">IFERROR(__xludf.DUMMYFUNCTION("IMPORTXML(E188,""/html/body/main/div[3]/div[3]/div[2]/ul/li[5]/span[2]/span"")"),"Loading...")</f>
        <v>Loading...</v>
      </c>
      <c r="J188" s="7">
        <f ca="1">IFERROR(__xludf.DUMMYFUNCTION("GOOGLEFINANCE(""NSE:""&amp;D188,""marketcap"")"),148238632656)</f>
        <v>148238632656</v>
      </c>
      <c r="K188" s="7">
        <v>992.8</v>
      </c>
      <c r="L188" s="8">
        <f ca="1">IFERROR(__xludf.DUMMYFUNCTION("GOOGLEFINANCE(""NSE:""&amp;D188,""price"")"),200.05)</f>
        <v>200.05</v>
      </c>
      <c r="M188" s="9">
        <f t="shared" ca="1" si="2"/>
        <v>-792.75</v>
      </c>
      <c r="N188" s="10">
        <f t="shared" ca="1" si="3"/>
        <v>-79.849919419822726</v>
      </c>
      <c r="O188" s="7">
        <f ca="1">IFERROR(__xludf.DUMMYFUNCTION("GOOGLEFINANCE(""NSE:""&amp;D188,""pe"")"),13.16)</f>
        <v>13.16</v>
      </c>
      <c r="P188" s="7">
        <f ca="1">IFERROR(__xludf.DUMMYFUNCTION("GOOGLEFINANCE(""NSE:""&amp;D188,""EPS"")"),15.2)</f>
        <v>15.2</v>
      </c>
      <c r="Q188" s="7">
        <v>13.5</v>
      </c>
      <c r="R188" s="7" t="str">
        <f ca="1">IFERROR(__xludf.DUMMYFUNCTION("IMPORTXML(E188,""/html/body/main/div[3]/div[3]/div[2]/ul/li[7]/span[2]/span"")"),"Loading...")</f>
        <v>Loading...</v>
      </c>
      <c r="S188" s="7" t="str">
        <f ca="1">IFERROR(__xludf.DUMMYFUNCTION("IMPORTXML(E188,""/html/body/main/div[3]/div[3]/div[2]/ul/li[8]/span[2]/span"")"),"Loading...")</f>
        <v>Loading...</v>
      </c>
      <c r="T188" s="4">
        <v>34.6</v>
      </c>
      <c r="U188" s="4">
        <v>22.7</v>
      </c>
      <c r="V188" s="4">
        <v>2.6</v>
      </c>
      <c r="W188" s="4">
        <v>5.7</v>
      </c>
      <c r="X188" s="4">
        <v>519.92999999999995</v>
      </c>
      <c r="Y188" s="7">
        <f t="shared" ca="1" si="4"/>
        <v>-319.87999999999994</v>
      </c>
    </row>
    <row r="189" spans="1:25" ht="15" x14ac:dyDescent="0.25">
      <c r="A189" s="4">
        <v>876</v>
      </c>
      <c r="C189" s="12" t="s">
        <v>922</v>
      </c>
      <c r="D189" s="12" t="s">
        <v>923</v>
      </c>
      <c r="E189" s="5" t="str">
        <f t="shared" si="0"/>
        <v>https://www.screener.in/company/GOCLCORP/consolidated/</v>
      </c>
      <c r="F189" s="4">
        <v>443059</v>
      </c>
      <c r="G189" s="4">
        <v>3832241897</v>
      </c>
      <c r="H189" s="6">
        <f t="shared" ca="1" si="1"/>
        <v>137730.77377817998</v>
      </c>
      <c r="I189" s="7" t="str">
        <f ca="1">IFERROR(__xludf.DUMMYFUNCTION("IMPORTXML(E189,""/html/body/main/div[3]/div[3]/div[2]/ul/li[5]/span[2]/span"")"),"Loading...")</f>
        <v>Loading...</v>
      </c>
      <c r="J189" s="7">
        <f ca="1">IFERROR(__xludf.DUMMYFUNCTION("GOOGLEFINANCE(""NSE:""&amp;D189,""marketcap"")"),17823790000)</f>
        <v>17823790000</v>
      </c>
      <c r="K189" s="7">
        <v>992.8</v>
      </c>
      <c r="L189" s="8">
        <f ca="1">IFERROR(__xludf.DUMMYFUNCTION("GOOGLEFINANCE(""NSE:""&amp;D189,""price"")"),359.4)</f>
        <v>359.4</v>
      </c>
      <c r="M189" s="9">
        <f t="shared" ca="1" si="2"/>
        <v>-633.4</v>
      </c>
      <c r="N189" s="10">
        <f t="shared" ca="1" si="3"/>
        <v>-63.799355358581792</v>
      </c>
      <c r="O189" s="7">
        <f ca="1">IFERROR(__xludf.DUMMYFUNCTION("GOOGLEFINANCE(""NSE:""&amp;D189,""pe"")"),19.21)</f>
        <v>19.21</v>
      </c>
      <c r="P189" s="7">
        <f ca="1">IFERROR(__xludf.DUMMYFUNCTION("GOOGLEFINANCE(""NSE:""&amp;D189,""EPS"")"),18.71)</f>
        <v>18.71</v>
      </c>
      <c r="Q189" s="7">
        <v>13.5</v>
      </c>
      <c r="R189" s="7" t="str">
        <f ca="1">IFERROR(__xludf.DUMMYFUNCTION("IMPORTXML(E189,""/html/body/main/div[3]/div[3]/div[2]/ul/li[7]/span[2]/span"")"),"Loading...")</f>
        <v>Loading...</v>
      </c>
      <c r="S189" s="7" t="str">
        <f ca="1">IFERROR(__xludf.DUMMYFUNCTION("IMPORTXML(E189,""/html/body/main/div[3]/div[3]/div[2]/ul/li[8]/span[2]/span"")"),"Loading...")</f>
        <v>Loading...</v>
      </c>
      <c r="T189" s="4">
        <v>34.6</v>
      </c>
      <c r="U189" s="4">
        <v>22.7</v>
      </c>
      <c r="V189" s="4">
        <v>2.6</v>
      </c>
      <c r="W189" s="4">
        <v>5.7</v>
      </c>
      <c r="X189" s="4">
        <v>519.92999999999995</v>
      </c>
      <c r="Y189" s="7">
        <f t="shared" ca="1" si="4"/>
        <v>-160.52999999999997</v>
      </c>
    </row>
    <row r="190" spans="1:25" ht="15" x14ac:dyDescent="0.25">
      <c r="A190" s="4">
        <v>2413</v>
      </c>
      <c r="C190" s="12" t="s">
        <v>924</v>
      </c>
      <c r="D190" s="12" t="s">
        <v>925</v>
      </c>
      <c r="E190" s="5" t="str">
        <f t="shared" si="0"/>
        <v>https://www.screener.in/company/VINNY/consolidated/</v>
      </c>
      <c r="F190" s="4">
        <v>443059</v>
      </c>
      <c r="G190" s="4">
        <v>3832241897</v>
      </c>
      <c r="H190" s="6">
        <f t="shared" ca="1" si="1"/>
        <v>509.68817230100001</v>
      </c>
      <c r="I190" s="7" t="str">
        <f ca="1">IFERROR(__xludf.DUMMYFUNCTION("IMPORTXML(E190,""/html/body/main/div[3]/div[3]/div[2]/ul/li[5]/span[2]/span"")"),"Loading...")</f>
        <v>Loading...</v>
      </c>
      <c r="J190" s="7">
        <f ca="1">IFERROR(__xludf.DUMMYFUNCTION("GOOGLEFINANCE(""NSE:""&amp;D190,""marketcap"")"),614194418)</f>
        <v>614194418</v>
      </c>
      <c r="K190" s="7">
        <v>992.8</v>
      </c>
      <c r="L190" s="8">
        <f ca="1">IFERROR(__xludf.DUMMYFUNCTION("GOOGLEFINANCE(""NSE:""&amp;D190,""price"")"),1.33)</f>
        <v>1.33</v>
      </c>
      <c r="M190" s="9">
        <f t="shared" ca="1" si="2"/>
        <v>-991.46999999999991</v>
      </c>
      <c r="N190" s="10">
        <f t="shared" ca="1" si="3"/>
        <v>-99.866035455277995</v>
      </c>
      <c r="O190" s="7">
        <f ca="1">IFERROR(__xludf.DUMMYFUNCTION("GOOGLEFINANCE(""NSE:""&amp;D190,""pe"")"),8.69)</f>
        <v>8.69</v>
      </c>
      <c r="P190" s="7">
        <f ca="1">IFERROR(__xludf.DUMMYFUNCTION("GOOGLEFINANCE(""NSE:""&amp;D190,""EPS"")"),0.15)</f>
        <v>0.15</v>
      </c>
      <c r="Q190" s="7">
        <v>13.5</v>
      </c>
      <c r="R190" s="7" t="str">
        <f ca="1">IFERROR(__xludf.DUMMYFUNCTION("IMPORTXML(E190,""/html/body/main/div[3]/div[3]/div[2]/ul/li[7]/span[2]/span"")"),"Loading...")</f>
        <v>Loading...</v>
      </c>
      <c r="S190" s="7" t="str">
        <f ca="1">IFERROR(__xludf.DUMMYFUNCTION("IMPORTXML(E190,""/html/body/main/div[3]/div[3]/div[2]/ul/li[8]/span[2]/span"")"),"Loading...")</f>
        <v>Loading...</v>
      </c>
      <c r="T190" s="4">
        <v>34.6</v>
      </c>
      <c r="U190" s="4">
        <v>22.7</v>
      </c>
      <c r="V190" s="4">
        <v>2.6</v>
      </c>
      <c r="W190" s="4">
        <v>5.7</v>
      </c>
      <c r="X190" s="4">
        <v>519.92999999999995</v>
      </c>
      <c r="Y190" s="7">
        <f t="shared" ca="1" si="4"/>
        <v>-518.59999999999991</v>
      </c>
    </row>
    <row r="191" spans="1:25" ht="15" x14ac:dyDescent="0.25">
      <c r="A191" s="4">
        <v>1155</v>
      </c>
      <c r="C191" s="12" t="s">
        <v>926</v>
      </c>
      <c r="D191" s="12" t="s">
        <v>927</v>
      </c>
      <c r="E191" s="5" t="str">
        <f t="shared" si="0"/>
        <v>https://www.screener.in/company/SRHHYPOLTD/consolidated/</v>
      </c>
      <c r="F191" s="4">
        <v>443059</v>
      </c>
      <c r="G191" s="4">
        <v>3832241897</v>
      </c>
      <c r="H191" s="6">
        <f t="shared" ca="1" si="1"/>
        <v>236909.19407254003</v>
      </c>
      <c r="I191" s="7" t="str">
        <f ca="1">IFERROR(__xludf.DUMMYFUNCTION("IMPORTXML(E191,""/html/body/main/div[3]/div[3]/div[2]/ul/li[5]/span[2]/span"")"),"Loading...")</f>
        <v>Loading...</v>
      </c>
      <c r="J191" s="7">
        <f ca="1">IFERROR(__xludf.DUMMYFUNCTION("GOOGLEFINANCE(""NSE:""&amp;D191,""marketcap"")"),10679950000)</f>
        <v>10679950000</v>
      </c>
      <c r="K191" s="7">
        <v>992.8</v>
      </c>
      <c r="L191" s="8">
        <f ca="1">IFERROR(__xludf.DUMMYFUNCTION("GOOGLEFINANCE(""NSE:""&amp;D191,""price"")"),618.2)</f>
        <v>618.20000000000005</v>
      </c>
      <c r="M191" s="9">
        <f t="shared" ca="1" si="2"/>
        <v>-374.59999999999991</v>
      </c>
      <c r="N191" s="10">
        <f t="shared" ca="1" si="3"/>
        <v>-37.731668009669612</v>
      </c>
      <c r="O191" s="7">
        <f ca="1">IFERROR(__xludf.DUMMYFUNCTION("GOOGLEFINANCE(""NSE:""&amp;D191,""pe"")"),11.63)</f>
        <v>11.63</v>
      </c>
      <c r="P191" s="7">
        <f ca="1">IFERROR(__xludf.DUMMYFUNCTION("GOOGLEFINANCE(""NSE:""&amp;D191,""EPS"")"),53.17)</f>
        <v>53.17</v>
      </c>
      <c r="Q191" s="7">
        <v>13.5</v>
      </c>
      <c r="R191" s="7" t="str">
        <f ca="1">IFERROR(__xludf.DUMMYFUNCTION("IMPORTXML(E191,""/html/body/main/div[3]/div[3]/div[2]/ul/li[7]/span[2]/span"")"),"Loading...")</f>
        <v>Loading...</v>
      </c>
      <c r="S191" s="7" t="str">
        <f ca="1">IFERROR(__xludf.DUMMYFUNCTION("IMPORTXML(E191,""/html/body/main/div[3]/div[3]/div[2]/ul/li[8]/span[2]/span"")"),"Loading...")</f>
        <v>Loading...</v>
      </c>
      <c r="T191" s="4">
        <v>34.6</v>
      </c>
      <c r="U191" s="4">
        <v>22.7</v>
      </c>
      <c r="V191" s="4">
        <v>2.6</v>
      </c>
      <c r="W191" s="4">
        <v>5.7</v>
      </c>
      <c r="X191" s="4">
        <v>519.92999999999995</v>
      </c>
      <c r="Y191" s="7">
        <f t="shared" ca="1" si="4"/>
        <v>98.270000000000095</v>
      </c>
    </row>
    <row r="192" spans="1:25" ht="15" x14ac:dyDescent="0.25">
      <c r="A192" s="4">
        <v>1333</v>
      </c>
      <c r="C192" s="12" t="s">
        <v>928</v>
      </c>
      <c r="D192" s="12" t="s">
        <v>929</v>
      </c>
      <c r="E192" s="5" t="str">
        <f t="shared" si="0"/>
        <v>https://www.screener.in/company/NDL/consolidated/</v>
      </c>
      <c r="F192" s="4">
        <v>443059</v>
      </c>
      <c r="G192" s="4">
        <v>3832241897</v>
      </c>
      <c r="H192" s="6">
        <f t="shared" ca="1" si="1"/>
        <v>1318.291212568</v>
      </c>
      <c r="I192" s="7" t="str">
        <f ca="1">IFERROR(__xludf.DUMMYFUNCTION("IMPORTXML(E192,""/html/body/main/div[3]/div[3]/div[2]/ul/li[5]/span[2]/span"")"),"Loading...")</f>
        <v>Loading...</v>
      </c>
      <c r="J192" s="7">
        <f ca="1">IFERROR(__xludf.DUMMYFUNCTION("GOOGLEFINANCE(""NSE:""&amp;D192,""marketcap"")"),5073977892)</f>
        <v>5073977892</v>
      </c>
      <c r="K192" s="7">
        <v>992.8</v>
      </c>
      <c r="L192" s="8">
        <f ca="1">IFERROR(__xludf.DUMMYFUNCTION("GOOGLEFINANCE(""NSE:""&amp;D192,""price"")"),3.44)</f>
        <v>3.44</v>
      </c>
      <c r="M192" s="9">
        <f t="shared" ca="1" si="2"/>
        <v>-989.3599999999999</v>
      </c>
      <c r="N192" s="10">
        <f t="shared" ca="1" si="3"/>
        <v>-99.653505237711514</v>
      </c>
      <c r="O192" s="7">
        <f ca="1">IFERROR(__xludf.DUMMYFUNCTION("GOOGLEFINANCE(""NSE:""&amp;D192,""pe"")"),13.26)</f>
        <v>13.26</v>
      </c>
      <c r="P192" s="7">
        <f ca="1">IFERROR(__xludf.DUMMYFUNCTION("GOOGLEFINANCE(""NSE:""&amp;D192,""EPS"")"),0.26)</f>
        <v>0.26</v>
      </c>
      <c r="Q192" s="7">
        <v>13.5</v>
      </c>
      <c r="R192" s="7" t="str">
        <f ca="1">IFERROR(__xludf.DUMMYFUNCTION("IMPORTXML(E192,""/html/body/main/div[3]/div[3]/div[2]/ul/li[7]/span[2]/span"")"),"Loading...")</f>
        <v>Loading...</v>
      </c>
      <c r="S192" s="7" t="str">
        <f ca="1">IFERROR(__xludf.DUMMYFUNCTION("IMPORTXML(E192,""/html/body/main/div[3]/div[3]/div[2]/ul/li[8]/span[2]/span"")"),"Loading...")</f>
        <v>Loading...</v>
      </c>
      <c r="T192" s="4">
        <v>34.6</v>
      </c>
      <c r="U192" s="4">
        <v>22.7</v>
      </c>
      <c r="V192" s="4">
        <v>2.6</v>
      </c>
      <c r="W192" s="4">
        <v>5.7</v>
      </c>
      <c r="X192" s="4">
        <v>519.92999999999995</v>
      </c>
      <c r="Y192" s="7">
        <f t="shared" ca="1" si="4"/>
        <v>-516.4899999999999</v>
      </c>
    </row>
    <row r="193" spans="1:25" ht="15" x14ac:dyDescent="0.25">
      <c r="A193" s="4">
        <v>1290</v>
      </c>
      <c r="C193" s="12" t="s">
        <v>930</v>
      </c>
      <c r="D193" s="12" t="s">
        <v>931</v>
      </c>
      <c r="E193" s="5" t="str">
        <f t="shared" si="0"/>
        <v>https://www.screener.in/company/SAKUMA/consolidated/</v>
      </c>
      <c r="F193" s="4">
        <v>443059</v>
      </c>
      <c r="G193" s="4">
        <v>3832241897</v>
      </c>
      <c r="H193" s="6">
        <f t="shared" ca="1" si="1"/>
        <v>1019.376344602</v>
      </c>
      <c r="I193" s="7" t="str">
        <f ca="1">IFERROR(__xludf.DUMMYFUNCTION("IMPORTXML(E193,""/html/body/main/div[3]/div[3]/div[2]/ul/li[5]/span[2]/span"")"),"Loading...")</f>
        <v>Loading...</v>
      </c>
      <c r="J193" s="7">
        <f ca="1">IFERROR(__xludf.DUMMYFUNCTION("GOOGLEFINANCE(""NSE:""&amp;D193,""marketcap"")"),4170130014)</f>
        <v>4170130014</v>
      </c>
      <c r="K193" s="7">
        <v>992.8</v>
      </c>
      <c r="L193" s="8">
        <f ca="1">IFERROR(__xludf.DUMMYFUNCTION("GOOGLEFINANCE(""NSE:""&amp;D193,""price"")"),2.66)</f>
        <v>2.66</v>
      </c>
      <c r="M193" s="9">
        <f t="shared" ca="1" si="2"/>
        <v>-990.14</v>
      </c>
      <c r="N193" s="10">
        <f t="shared" ca="1" si="3"/>
        <v>-99.732070910556004</v>
      </c>
      <c r="O193" s="7">
        <f ca="1">IFERROR(__xludf.DUMMYFUNCTION("GOOGLEFINANCE(""NSE:""&amp;D193,""pe"")"),38)</f>
        <v>38</v>
      </c>
      <c r="P193" s="7">
        <f ca="1">IFERROR(__xludf.DUMMYFUNCTION("GOOGLEFINANCE(""NSE:""&amp;D193,""EPS"")"),0.07)</f>
        <v>7.0000000000000007E-2</v>
      </c>
      <c r="Q193" s="7">
        <v>13.5</v>
      </c>
      <c r="R193" s="7" t="str">
        <f ca="1">IFERROR(__xludf.DUMMYFUNCTION("IMPORTXML(E193,""/html/body/main/div[3]/div[3]/div[2]/ul/li[7]/span[2]/span"")"),"Loading...")</f>
        <v>Loading...</v>
      </c>
      <c r="S193" s="7" t="str">
        <f ca="1">IFERROR(__xludf.DUMMYFUNCTION("IMPORTXML(E193,""/html/body/main/div[3]/div[3]/div[2]/ul/li[8]/span[2]/span"")"),"Loading...")</f>
        <v>Loading...</v>
      </c>
      <c r="T193" s="4">
        <v>34.6</v>
      </c>
      <c r="U193" s="4">
        <v>22.7</v>
      </c>
      <c r="V193" s="4">
        <v>2.6</v>
      </c>
      <c r="W193" s="4">
        <v>5.7</v>
      </c>
      <c r="X193" s="4">
        <v>519.92999999999995</v>
      </c>
      <c r="Y193" s="7">
        <f t="shared" ca="1" si="4"/>
        <v>-517.27</v>
      </c>
    </row>
    <row r="194" spans="1:25" ht="15" x14ac:dyDescent="0.25">
      <c r="A194" s="4">
        <v>856</v>
      </c>
      <c r="C194" s="12" t="s">
        <v>932</v>
      </c>
      <c r="D194" s="12" t="s">
        <v>933</v>
      </c>
      <c r="E194" s="5" t="str">
        <f t="shared" si="0"/>
        <v>https://www.screener.in/company/KIRIINDUS/consolidated/</v>
      </c>
      <c r="F194" s="4">
        <v>443059</v>
      </c>
      <c r="G194" s="4">
        <v>3832241897</v>
      </c>
      <c r="H194" s="6">
        <f t="shared" ca="1" si="1"/>
        <v>200637.024517435</v>
      </c>
      <c r="I194" s="7" t="str">
        <f ca="1">IFERROR(__xludf.DUMMYFUNCTION("IMPORTXML(E194,""/html/body/main/div[3]/div[3]/div[2]/ul/li[5]/span[2]/span"")"),"Loading...")</f>
        <v>Loading...</v>
      </c>
      <c r="J194" s="7">
        <f ca="1">IFERROR(__xludf.DUMMYFUNCTION("GOOGLEFINANCE(""NSE:""&amp;D194,""marketcap"")"),31412800000)</f>
        <v>31412800000</v>
      </c>
      <c r="K194" s="7">
        <v>992.8</v>
      </c>
      <c r="L194" s="8">
        <f ca="1">IFERROR(__xludf.DUMMYFUNCTION("GOOGLEFINANCE(""NSE:""&amp;D194,""price"")"),523.55)</f>
        <v>523.54999999999995</v>
      </c>
      <c r="M194" s="9">
        <f t="shared" ca="1" si="2"/>
        <v>-469.25</v>
      </c>
      <c r="N194" s="10">
        <f t="shared" ca="1" si="3"/>
        <v>-47.26531023368252</v>
      </c>
      <c r="O194" s="7">
        <f ca="1">IFERROR(__xludf.DUMMYFUNCTION("GOOGLEFINANCE(""NSE:""&amp;D194,""pe"")"),18.49)</f>
        <v>18.489999999999998</v>
      </c>
      <c r="P194" s="7">
        <f ca="1">IFERROR(__xludf.DUMMYFUNCTION("GOOGLEFINANCE(""NSE:""&amp;D194,""EPS"")"),28.32)</f>
        <v>28.32</v>
      </c>
      <c r="Q194" s="7">
        <v>13.5</v>
      </c>
      <c r="R194" s="7" t="str">
        <f ca="1">IFERROR(__xludf.DUMMYFUNCTION("IMPORTXML(E194,""/html/body/main/div[3]/div[3]/div[2]/ul/li[7]/span[2]/span"")"),"Loading...")</f>
        <v>Loading...</v>
      </c>
      <c r="S194" s="7" t="str">
        <f ca="1">IFERROR(__xludf.DUMMYFUNCTION("IMPORTXML(E194,""/html/body/main/div[3]/div[3]/div[2]/ul/li[8]/span[2]/span"")"),"Loading...")</f>
        <v>Loading...</v>
      </c>
      <c r="T194" s="4">
        <v>34.6</v>
      </c>
      <c r="U194" s="4">
        <v>22.7</v>
      </c>
      <c r="V194" s="4">
        <v>2.6</v>
      </c>
      <c r="W194" s="4">
        <v>5.7</v>
      </c>
      <c r="X194" s="4">
        <v>519.92999999999995</v>
      </c>
      <c r="Y194" s="7">
        <f t="shared" ca="1" si="4"/>
        <v>3.6200000000000045</v>
      </c>
    </row>
    <row r="195" spans="1:25" ht="15" x14ac:dyDescent="0.25">
      <c r="A195" s="4">
        <v>1108</v>
      </c>
      <c r="C195" s="12" t="s">
        <v>934</v>
      </c>
      <c r="D195" s="12" t="s">
        <v>935</v>
      </c>
      <c r="E195" s="5" t="str">
        <f t="shared" si="0"/>
        <v>https://www.screener.in/company/PPL/consolidated/</v>
      </c>
      <c r="F195" s="4">
        <v>443059</v>
      </c>
      <c r="G195" s="4">
        <v>3832241897</v>
      </c>
      <c r="H195" s="6">
        <f t="shared" ca="1" si="1"/>
        <v>127077.14130452002</v>
      </c>
      <c r="I195" s="7" t="str">
        <f ca="1">IFERROR(__xludf.DUMMYFUNCTION("IMPORTXML(E195,""/html/body/main/div[3]/div[3]/div[2]/ul/li[5]/span[2]/span"")"),"Loading...")</f>
        <v>Loading...</v>
      </c>
      <c r="J195" s="7">
        <f ca="1">IFERROR(__xludf.DUMMYFUNCTION("GOOGLEFINANCE(""NSE:""&amp;D195,""marketcap"")"),7964562151)</f>
        <v>7964562151</v>
      </c>
      <c r="K195" s="7">
        <v>992.8</v>
      </c>
      <c r="L195" s="8">
        <f ca="1">IFERROR(__xludf.DUMMYFUNCTION("GOOGLEFINANCE(""NSE:""&amp;D195,""price"")"),331.6)</f>
        <v>331.6</v>
      </c>
      <c r="M195" s="9">
        <f t="shared" ca="1" si="2"/>
        <v>-661.19999999999993</v>
      </c>
      <c r="N195" s="10">
        <f t="shared" ca="1" si="3"/>
        <v>-66.599516518936341</v>
      </c>
      <c r="O195" s="7">
        <f ca="1">IFERROR(__xludf.DUMMYFUNCTION("GOOGLEFINANCE(""NSE:""&amp;D195,""pe"")"),11.66)</f>
        <v>11.66</v>
      </c>
      <c r="P195" s="7">
        <f ca="1">IFERROR(__xludf.DUMMYFUNCTION("GOOGLEFINANCE(""NSE:""&amp;D195,""EPS"")"),28.43)</f>
        <v>28.43</v>
      </c>
      <c r="Q195" s="7">
        <v>13.5</v>
      </c>
      <c r="R195" s="7" t="str">
        <f ca="1">IFERROR(__xludf.DUMMYFUNCTION("IMPORTXML(E195,""/html/body/main/div[3]/div[3]/div[2]/ul/li[7]/span[2]/span"")"),"Loading...")</f>
        <v>Loading...</v>
      </c>
      <c r="S195" s="7" t="str">
        <f ca="1">IFERROR(__xludf.DUMMYFUNCTION("IMPORTXML(E195,""/html/body/main/div[3]/div[3]/div[2]/ul/li[8]/span[2]/span"")"),"Loading...")</f>
        <v>Loading...</v>
      </c>
      <c r="T195" s="4">
        <v>34.6</v>
      </c>
      <c r="U195" s="4">
        <v>22.7</v>
      </c>
      <c r="V195" s="4">
        <v>2.6</v>
      </c>
      <c r="W195" s="4">
        <v>5.7</v>
      </c>
      <c r="X195" s="4">
        <v>519.92999999999995</v>
      </c>
      <c r="Y195" s="7">
        <f t="shared" ca="1" si="4"/>
        <v>-188.32999999999993</v>
      </c>
    </row>
    <row r="196" spans="1:25" ht="15" x14ac:dyDescent="0.25">
      <c r="A196" s="4">
        <v>1853</v>
      </c>
      <c r="C196" s="12" t="s">
        <v>936</v>
      </c>
      <c r="D196" s="12" t="s">
        <v>937</v>
      </c>
      <c r="E196" s="5" t="str">
        <f t="shared" si="0"/>
        <v>https://www.screener.in/company/CROWN/consolidated/</v>
      </c>
      <c r="F196" s="4">
        <v>443059</v>
      </c>
      <c r="G196" s="4">
        <v>3832241897</v>
      </c>
      <c r="H196" s="6">
        <f t="shared" ca="1" si="1"/>
        <v>59940.095510977</v>
      </c>
      <c r="I196" s="7" t="str">
        <f ca="1">IFERROR(__xludf.DUMMYFUNCTION("IMPORTXML(E196,""/html/body/main/div[3]/div[3]/div[2]/ul/li[5]/span[2]/span"")"),"Loading...")</f>
        <v>Loading...</v>
      </c>
      <c r="J196" s="7">
        <f ca="1">IFERROR(__xludf.DUMMYFUNCTION("GOOGLEFINANCE(""NSE:""&amp;D196,""marketcap"")"),1812791942)</f>
        <v>1812791942</v>
      </c>
      <c r="K196" s="7">
        <v>992.8</v>
      </c>
      <c r="L196" s="8">
        <f ca="1">IFERROR(__xludf.DUMMYFUNCTION("GOOGLEFINANCE(""NSE:""&amp;D196,""price"")"),156.41)</f>
        <v>156.41</v>
      </c>
      <c r="M196" s="9">
        <f t="shared" ca="1" si="2"/>
        <v>-836.39</v>
      </c>
      <c r="N196" s="10">
        <f t="shared" ca="1" si="3"/>
        <v>-84.245568090249805</v>
      </c>
      <c r="O196" s="7">
        <f ca="1">IFERROR(__xludf.DUMMYFUNCTION("GOOGLEFINANCE(""NSE:""&amp;D196,""pe"")"),16.52)</f>
        <v>16.52</v>
      </c>
      <c r="P196" s="7">
        <f ca="1">IFERROR(__xludf.DUMMYFUNCTION("GOOGLEFINANCE(""NSE:""&amp;D196,""EPS"")"),9.47)</f>
        <v>9.4700000000000006</v>
      </c>
      <c r="Q196" s="7">
        <v>13.5</v>
      </c>
      <c r="R196" s="7" t="str">
        <f ca="1">IFERROR(__xludf.DUMMYFUNCTION("IMPORTXML(E196,""/html/body/main/div[3]/div[3]/div[2]/ul/li[7]/span[2]/span"")"),"Loading...")</f>
        <v>Loading...</v>
      </c>
      <c r="S196" s="7" t="str">
        <f ca="1">IFERROR(__xludf.DUMMYFUNCTION("IMPORTXML(E196,""/html/body/main/div[3]/div[3]/div[2]/ul/li[8]/span[2]/span"")"),"Loading...")</f>
        <v>Loading...</v>
      </c>
      <c r="T196" s="4">
        <v>34.6</v>
      </c>
      <c r="U196" s="4">
        <v>22.7</v>
      </c>
      <c r="V196" s="4">
        <v>2.6</v>
      </c>
      <c r="W196" s="4">
        <v>5.7</v>
      </c>
      <c r="X196" s="4">
        <v>519.92999999999995</v>
      </c>
      <c r="Y196" s="7">
        <f t="shared" ca="1" si="4"/>
        <v>-363.52</v>
      </c>
    </row>
    <row r="197" spans="1:25" ht="15" x14ac:dyDescent="0.25">
      <c r="A197" s="4">
        <v>842</v>
      </c>
      <c r="C197" s="12" t="s">
        <v>938</v>
      </c>
      <c r="D197" s="12" t="s">
        <v>939</v>
      </c>
      <c r="E197" s="5" t="str">
        <f t="shared" si="0"/>
        <v>https://www.screener.in/company/RAMCOIND/consolidated/</v>
      </c>
      <c r="F197" s="4">
        <v>443059</v>
      </c>
      <c r="G197" s="4">
        <v>3832241897</v>
      </c>
      <c r="H197" s="6">
        <f t="shared" ca="1" si="1"/>
        <v>119527.62476742998</v>
      </c>
      <c r="I197" s="7" t="str">
        <f ca="1">IFERROR(__xludf.DUMMYFUNCTION("IMPORTXML(E197,""/html/body/main/div[3]/div[3]/div[2]/ul/li[5]/span[2]/span"")"),"Loading...")</f>
        <v>Loading...</v>
      </c>
      <c r="J197" s="7">
        <f ca="1">IFERROR(__xludf.DUMMYFUNCTION("GOOGLEFINANCE(""NSE:""&amp;D197,""marketcap"")"),27288430000)</f>
        <v>27288430000</v>
      </c>
      <c r="K197" s="7">
        <v>992.8</v>
      </c>
      <c r="L197" s="8">
        <f ca="1">IFERROR(__xludf.DUMMYFUNCTION("GOOGLEFINANCE(""NSE:""&amp;D197,""price"")"),311.9)</f>
        <v>311.89999999999998</v>
      </c>
      <c r="M197" s="9">
        <f t="shared" ca="1" si="2"/>
        <v>-680.9</v>
      </c>
      <c r="N197" s="10">
        <f t="shared" ca="1" si="3"/>
        <v>-68.583803384367442</v>
      </c>
      <c r="O197" s="7">
        <f ca="1">IFERROR(__xludf.DUMMYFUNCTION("GOOGLEFINANCE(""NSE:""&amp;D197,""pe"")"),13)</f>
        <v>13</v>
      </c>
      <c r="P197" s="7">
        <f ca="1">IFERROR(__xludf.DUMMYFUNCTION("GOOGLEFINANCE(""NSE:""&amp;D197,""EPS"")"),23.99)</f>
        <v>23.99</v>
      </c>
      <c r="Q197" s="7">
        <v>13.5</v>
      </c>
      <c r="R197" s="7" t="str">
        <f ca="1">IFERROR(__xludf.DUMMYFUNCTION("IMPORTXML(E197,""/html/body/main/div[3]/div[3]/div[2]/ul/li[7]/span[2]/span"")"),"Loading...")</f>
        <v>Loading...</v>
      </c>
      <c r="S197" s="7" t="str">
        <f ca="1">IFERROR(__xludf.DUMMYFUNCTION("IMPORTXML(E197,""/html/body/main/div[3]/div[3]/div[2]/ul/li[8]/span[2]/span"")"),"Loading...")</f>
        <v>Loading...</v>
      </c>
      <c r="T197" s="4">
        <v>34.6</v>
      </c>
      <c r="U197" s="4">
        <v>22.7</v>
      </c>
      <c r="V197" s="4">
        <v>2.6</v>
      </c>
      <c r="W197" s="4">
        <v>5.7</v>
      </c>
      <c r="X197" s="4">
        <v>519.92999999999995</v>
      </c>
      <c r="Y197" s="7">
        <f t="shared" ca="1" si="4"/>
        <v>-208.02999999999997</v>
      </c>
    </row>
    <row r="198" spans="1:25" ht="15" x14ac:dyDescent="0.25">
      <c r="A198" s="4">
        <v>1213</v>
      </c>
      <c r="C198" s="12" t="s">
        <v>940</v>
      </c>
      <c r="D198" s="12" t="s">
        <v>941</v>
      </c>
      <c r="E198" s="5" t="str">
        <f t="shared" si="0"/>
        <v>https://www.screener.in/company/BIRLAMONEY/consolidated/</v>
      </c>
      <c r="F198" s="4">
        <v>443059</v>
      </c>
      <c r="G198" s="4">
        <v>3832241897</v>
      </c>
      <c r="H198" s="6">
        <f t="shared" ca="1" si="1"/>
        <v>68520.485118360011</v>
      </c>
      <c r="I198" s="7" t="str">
        <f ca="1">IFERROR(__xludf.DUMMYFUNCTION("IMPORTXML(E198,""/html/body/main/div[3]/div[3]/div[2]/ul/li[5]/span[2]/span"")"),"Loading...")</f>
        <v>Loading...</v>
      </c>
      <c r="J198" s="7">
        <f ca="1">IFERROR(__xludf.DUMMYFUNCTION("GOOGLEFINANCE(""NSE:""&amp;D198,""marketcap"")"),10101490890)</f>
        <v>10101490890</v>
      </c>
      <c r="K198" s="7">
        <v>992.8</v>
      </c>
      <c r="L198" s="8">
        <f ca="1">IFERROR(__xludf.DUMMYFUNCTION("GOOGLEFINANCE(""NSE:""&amp;D198,""price"")"),178.8)</f>
        <v>178.8</v>
      </c>
      <c r="M198" s="9">
        <f t="shared" ca="1" si="2"/>
        <v>-814</v>
      </c>
      <c r="N198" s="10">
        <f t="shared" ca="1" si="3"/>
        <v>-81.990330378726838</v>
      </c>
      <c r="O198" s="7">
        <f ca="1">IFERROR(__xludf.DUMMYFUNCTION("GOOGLEFINANCE(""NSE:""&amp;D198,""pe"")"),13.81)</f>
        <v>13.81</v>
      </c>
      <c r="P198" s="7">
        <f ca="1">IFERROR(__xludf.DUMMYFUNCTION("GOOGLEFINANCE(""NSE:""&amp;D198,""EPS"")"),12.95)</f>
        <v>12.95</v>
      </c>
      <c r="Q198" s="7">
        <v>13.5</v>
      </c>
      <c r="R198" s="7" t="str">
        <f ca="1">IFERROR(__xludf.DUMMYFUNCTION("IMPORTXML(E198,""/html/body/main/div[3]/div[3]/div[2]/ul/li[7]/span[2]/span"")"),"Loading...")</f>
        <v>Loading...</v>
      </c>
      <c r="S198" s="7" t="str">
        <f ca="1">IFERROR(__xludf.DUMMYFUNCTION("IMPORTXML(E198,""/html/body/main/div[3]/div[3]/div[2]/ul/li[8]/span[2]/span"")"),"Loading...")</f>
        <v>Loading...</v>
      </c>
      <c r="T198" s="4">
        <v>34.6</v>
      </c>
      <c r="U198" s="4">
        <v>22.7</v>
      </c>
      <c r="V198" s="4">
        <v>2.6</v>
      </c>
      <c r="W198" s="4">
        <v>5.7</v>
      </c>
      <c r="X198" s="4">
        <v>519.92999999999995</v>
      </c>
      <c r="Y198" s="7">
        <f t="shared" ca="1" si="4"/>
        <v>-341.12999999999994</v>
      </c>
    </row>
    <row r="199" spans="1:25" ht="15" x14ac:dyDescent="0.25">
      <c r="A199" s="4">
        <v>1511</v>
      </c>
      <c r="C199" s="12" t="s">
        <v>942</v>
      </c>
      <c r="D199" s="12" t="s">
        <v>943</v>
      </c>
      <c r="E199" s="5" t="str">
        <f t="shared" si="0"/>
        <v>https://www.screener.in/company/GEEKAYWIRE/consolidated/</v>
      </c>
      <c r="F199" s="4">
        <v>443059</v>
      </c>
      <c r="G199" s="4">
        <v>3832241897</v>
      </c>
      <c r="H199" s="6">
        <f t="shared" ca="1" si="1"/>
        <v>29213.179980830999</v>
      </c>
      <c r="I199" s="7" t="str">
        <f ca="1">IFERROR(__xludf.DUMMYFUNCTION("IMPORTXML(E199,""/html/body/main/div[3]/div[3]/div[2]/ul/li[5]/span[2]/span"")"),"Loading...")</f>
        <v>Loading...</v>
      </c>
      <c r="J199" s="7">
        <f ca="1">IFERROR(__xludf.DUMMYFUNCTION("GOOGLEFINANCE(""NSE:""&amp;D199,""marketcap"")"),3983779213)</f>
        <v>3983779213</v>
      </c>
      <c r="K199" s="7">
        <v>992.8</v>
      </c>
      <c r="L199" s="8">
        <f ca="1">IFERROR(__xludf.DUMMYFUNCTION("GOOGLEFINANCE(""NSE:""&amp;D199,""price"")"),76.23)</f>
        <v>76.23</v>
      </c>
      <c r="M199" s="9">
        <f t="shared" ca="1" si="2"/>
        <v>-916.56999999999994</v>
      </c>
      <c r="N199" s="10">
        <f t="shared" ca="1" si="3"/>
        <v>-92.321716357775983</v>
      </c>
      <c r="O199" s="7">
        <f ca="1">IFERROR(__xludf.DUMMYFUNCTION("GOOGLEFINANCE(""NSE:""&amp;D199,""pe"")"),11.93)</f>
        <v>11.93</v>
      </c>
      <c r="P199" s="7">
        <f ca="1">IFERROR(__xludf.DUMMYFUNCTION("GOOGLEFINANCE(""NSE:""&amp;D199,""EPS"")"),6.39)</f>
        <v>6.39</v>
      </c>
      <c r="Q199" s="7">
        <v>13.5</v>
      </c>
      <c r="R199" s="7" t="str">
        <f ca="1">IFERROR(__xludf.DUMMYFUNCTION("IMPORTXML(E199,""/html/body/main/div[3]/div[3]/div[2]/ul/li[7]/span[2]/span"")"),"Loading...")</f>
        <v>Loading...</v>
      </c>
      <c r="S199" s="7" t="str">
        <f ca="1">IFERROR(__xludf.DUMMYFUNCTION("IMPORTXML(E199,""/html/body/main/div[3]/div[3]/div[2]/ul/li[8]/span[2]/span"")"),"Loading...")</f>
        <v>Loading...</v>
      </c>
      <c r="T199" s="4">
        <v>34.6</v>
      </c>
      <c r="U199" s="4">
        <v>22.7</v>
      </c>
      <c r="V199" s="4">
        <v>2.6</v>
      </c>
      <c r="W199" s="4">
        <v>5.7</v>
      </c>
      <c r="X199" s="4">
        <v>519.92999999999995</v>
      </c>
      <c r="Y199" s="7">
        <f t="shared" ca="1" si="4"/>
        <v>-443.69999999999993</v>
      </c>
    </row>
    <row r="200" spans="1:25" ht="15" x14ac:dyDescent="0.25">
      <c r="A200" s="4">
        <v>1189</v>
      </c>
      <c r="C200" s="12" t="s">
        <v>944</v>
      </c>
      <c r="D200" s="12" t="s">
        <v>945</v>
      </c>
      <c r="E200" s="5" t="str">
        <f t="shared" si="0"/>
        <v>https://www.screener.in/company/KRYSTAL/consolidated/</v>
      </c>
      <c r="F200" s="4">
        <v>443059</v>
      </c>
      <c r="G200" s="4">
        <v>3832241897</v>
      </c>
      <c r="H200" s="6">
        <f t="shared" ca="1" si="1"/>
        <v>252429.77375539005</v>
      </c>
      <c r="I200" s="7" t="str">
        <f ca="1">IFERROR(__xludf.DUMMYFUNCTION("IMPORTXML(E200,""/html/body/main/div[3]/div[3]/div[2]/ul/li[5]/span[2]/span"")"),"Loading...")</f>
        <v>Loading...</v>
      </c>
      <c r="J200" s="7">
        <f ca="1">IFERROR(__xludf.DUMMYFUNCTION("GOOGLEFINANCE(""NSE:""&amp;D200,""marketcap"")"),9203323635)</f>
        <v>9203323635</v>
      </c>
      <c r="K200" s="7">
        <v>992.8</v>
      </c>
      <c r="L200" s="8">
        <f ca="1">IFERROR(__xludf.DUMMYFUNCTION("GOOGLEFINANCE(""NSE:""&amp;D200,""price"")"),658.7)</f>
        <v>658.7</v>
      </c>
      <c r="M200" s="9">
        <f t="shared" ca="1" si="2"/>
        <v>-334.09999999999991</v>
      </c>
      <c r="N200" s="10">
        <f t="shared" ca="1" si="3"/>
        <v>-33.652296535052365</v>
      </c>
      <c r="O200" s="7">
        <f ca="1">IFERROR(__xludf.DUMMYFUNCTION("GOOGLEFINANCE(""NSE:""&amp;D200,""pe"")"),14.48)</f>
        <v>14.48</v>
      </c>
      <c r="P200" s="7">
        <f ca="1">IFERROR(__xludf.DUMMYFUNCTION("GOOGLEFINANCE(""NSE:""&amp;D200,""EPS"")"),45.49)</f>
        <v>45.49</v>
      </c>
      <c r="Q200" s="7">
        <v>13.5</v>
      </c>
      <c r="R200" s="7" t="str">
        <f ca="1">IFERROR(__xludf.DUMMYFUNCTION("IMPORTXML(E200,""/html/body/main/div[3]/div[3]/div[2]/ul/li[7]/span[2]/span"")"),"Loading...")</f>
        <v>Loading...</v>
      </c>
      <c r="S200" s="7">
        <f ca="1">IFERROR(__xludf.DUMMYFUNCTION("IMPORTXML(E200,""/html/body/main/div[3]/div[3]/div[2]/ul/li[8]/span[2]/span"")"),10.8)</f>
        <v>10.8</v>
      </c>
      <c r="T200" s="4">
        <v>34.6</v>
      </c>
      <c r="U200" s="4">
        <v>22.7</v>
      </c>
      <c r="V200" s="4">
        <v>2.6</v>
      </c>
      <c r="W200" s="4">
        <v>5.7</v>
      </c>
      <c r="X200" s="4">
        <v>519.92999999999995</v>
      </c>
      <c r="Y200" s="7">
        <f t="shared" ca="1" si="4"/>
        <v>138.7700000000001</v>
      </c>
    </row>
    <row r="201" spans="1:25" ht="15" x14ac:dyDescent="0.25">
      <c r="A201" s="4">
        <v>1279</v>
      </c>
      <c r="C201" s="12" t="s">
        <v>946</v>
      </c>
      <c r="D201" s="12" t="s">
        <v>947</v>
      </c>
      <c r="E201" s="5" t="str">
        <f t="shared" si="0"/>
        <v>https://www.screener.in/company/CAREERP/consolidated/</v>
      </c>
      <c r="F201" s="4">
        <v>443059</v>
      </c>
      <c r="G201" s="4">
        <v>3832241897</v>
      </c>
      <c r="H201" s="6" t="e">
        <f t="shared" ca="1" si="1"/>
        <v>#VALUE!</v>
      </c>
      <c r="I201" s="7" t="str">
        <f ca="1">IFERROR(__xludf.DUMMYFUNCTION("IMPORTXML(E201,""/html/body/main/div[3]/div[3]/div[2]/ul/li[5]/span[2]/span"")"),"Loading...")</f>
        <v>Loading...</v>
      </c>
      <c r="J201" s="7" t="str">
        <f ca="1">IFERROR(__xludf.DUMMYFUNCTION("GOOGLEFINANCE(""NSE:""&amp;D201,""marketcap"")"),"#N/A")</f>
        <v>#N/A</v>
      </c>
      <c r="K201" s="7">
        <v>992.8</v>
      </c>
      <c r="L201" s="8" t="str">
        <f ca="1">IFERROR(__xludf.DUMMYFUNCTION("GOOGLEFINANCE(""NSE:""&amp;D201,""price"")"),"#N/A")</f>
        <v>#N/A</v>
      </c>
      <c r="M201" s="9" t="e">
        <f t="shared" ca="1" si="2"/>
        <v>#VALUE!</v>
      </c>
      <c r="N201" s="10" t="e">
        <f t="shared" ca="1" si="3"/>
        <v>#VALUE!</v>
      </c>
      <c r="O201" s="7" t="str">
        <f ca="1">IFERROR(__xludf.DUMMYFUNCTION("GOOGLEFINANCE(""NSE:""&amp;D201,""pe"")"),"#N/A")</f>
        <v>#N/A</v>
      </c>
      <c r="P201" s="7" t="str">
        <f ca="1">IFERROR(__xludf.DUMMYFUNCTION("GOOGLEFINANCE(""NSE:""&amp;D201,""EPS"")"),"#N/A")</f>
        <v>#N/A</v>
      </c>
      <c r="Q201" s="7">
        <v>13.5</v>
      </c>
      <c r="R201" s="7" t="str">
        <f ca="1">IFERROR(__xludf.DUMMYFUNCTION("IMPORTXML(E201,""/html/body/main/div[3]/div[3]/div[2]/ul/li[7]/span[2]/span"")"),"Loading...")</f>
        <v>Loading...</v>
      </c>
      <c r="S201" s="7" t="str">
        <f ca="1">IFERROR(__xludf.DUMMYFUNCTION("IMPORTXML(E201,""/html/body/main/div[3]/div[3]/div[2]/ul/li[8]/span[2]/span"")"),"Loading...")</f>
        <v>Loading...</v>
      </c>
      <c r="T201" s="4">
        <v>34.6</v>
      </c>
      <c r="U201" s="4">
        <v>22.7</v>
      </c>
      <c r="V201" s="4">
        <v>2.6</v>
      </c>
      <c r="W201" s="4">
        <v>5.7</v>
      </c>
      <c r="X201" s="4">
        <v>519.92999999999995</v>
      </c>
      <c r="Y201" s="7" t="e">
        <f t="shared" ca="1" si="4"/>
        <v>#VALUE!</v>
      </c>
    </row>
    <row r="202" spans="1:25" ht="15" x14ac:dyDescent="0.25">
      <c r="A202" s="4">
        <v>695</v>
      </c>
      <c r="C202" s="12" t="s">
        <v>948</v>
      </c>
      <c r="D202" s="12" t="s">
        <v>949</v>
      </c>
      <c r="E202" s="5" t="str">
        <f t="shared" si="0"/>
        <v>https://www.screener.in/company/ASHAPURMIN/consolidated/</v>
      </c>
      <c r="F202" s="4">
        <v>443059</v>
      </c>
      <c r="G202" s="4">
        <v>3832241897</v>
      </c>
      <c r="H202" s="6">
        <f t="shared" ca="1" si="1"/>
        <v>214260.64446127001</v>
      </c>
      <c r="I202" s="7" t="str">
        <f ca="1">IFERROR(__xludf.DUMMYFUNCTION("IMPORTXML(E202,""/html/body/main/div[3]/div[3]/div[2]/ul/li[5]/span[2]/span"")"),"Loading...")</f>
        <v>Loading...</v>
      </c>
      <c r="J202" s="7">
        <f ca="1">IFERROR(__xludf.DUMMYFUNCTION("GOOGLEFINANCE(""NSE:""&amp;D202,""marketcap"")"),53678410544)</f>
        <v>53678410544</v>
      </c>
      <c r="K202" s="7">
        <v>992.8</v>
      </c>
      <c r="L202" s="8">
        <f ca="1">IFERROR(__xludf.DUMMYFUNCTION("GOOGLEFINANCE(""NSE:""&amp;D202,""price"")"),559.1)</f>
        <v>559.1</v>
      </c>
      <c r="M202" s="9">
        <f t="shared" ca="1" si="2"/>
        <v>-433.69999999999993</v>
      </c>
      <c r="N202" s="10">
        <f t="shared" ca="1" si="3"/>
        <v>-43.684528605962932</v>
      </c>
      <c r="O202" s="7">
        <f ca="1">IFERROR(__xludf.DUMMYFUNCTION("GOOGLEFINANCE(""NSE:""&amp;D202,""pe"")"),15.35)</f>
        <v>15.35</v>
      </c>
      <c r="P202" s="7">
        <f ca="1">IFERROR(__xludf.DUMMYFUNCTION("GOOGLEFINANCE(""NSE:""&amp;D202,""EPS"")"),36.42)</f>
        <v>36.42</v>
      </c>
      <c r="Q202" s="7">
        <v>13.5</v>
      </c>
      <c r="R202" s="7" t="str">
        <f ca="1">IFERROR(__xludf.DUMMYFUNCTION("IMPORTXML(E202,""/html/body/main/div[3]/div[3]/div[2]/ul/li[7]/span[2]/span"")"),"Loading...")</f>
        <v>Loading...</v>
      </c>
      <c r="S202" s="7" t="str">
        <f ca="1">IFERROR(__xludf.DUMMYFUNCTION("IMPORTXML(E202,""/html/body/main/div[3]/div[3]/div[2]/ul/li[8]/span[2]/span"")"),"Loading...")</f>
        <v>Loading...</v>
      </c>
      <c r="T202" s="4">
        <v>34.6</v>
      </c>
      <c r="U202" s="4">
        <v>22.7</v>
      </c>
      <c r="V202" s="4">
        <v>2.6</v>
      </c>
      <c r="W202" s="4">
        <v>5.7</v>
      </c>
      <c r="X202" s="4">
        <v>519.92999999999995</v>
      </c>
      <c r="Y202" s="7">
        <f t="shared" ca="1" si="4"/>
        <v>39.170000000000073</v>
      </c>
    </row>
    <row r="203" spans="1:25" ht="15" x14ac:dyDescent="0.25">
      <c r="A203" s="4">
        <v>813</v>
      </c>
      <c r="C203" s="12" t="s">
        <v>950</v>
      </c>
      <c r="D203" s="12" t="s">
        <v>951</v>
      </c>
      <c r="E203" s="5" t="str">
        <f t="shared" si="0"/>
        <v>https://www.screener.in/company/PANAMAPET/consolidated/</v>
      </c>
      <c r="F203" s="4">
        <v>443059</v>
      </c>
      <c r="G203" s="4">
        <v>3832241897</v>
      </c>
      <c r="H203" s="6">
        <f t="shared" ca="1" si="1"/>
        <v>111901.46339239999</v>
      </c>
      <c r="I203" s="7" t="str">
        <f ca="1">IFERROR(__xludf.DUMMYFUNCTION("IMPORTXML(E203,""/html/body/main/div[3]/div[3]/div[2]/ul/li[5]/span[2]/span"")"),"Loading...")</f>
        <v>Loading...</v>
      </c>
      <c r="J203" s="7">
        <f ca="1">IFERROR(__xludf.DUMMYFUNCTION("GOOGLEFINANCE(""NSE:""&amp;D203,""marketcap"")"),17664125360)</f>
        <v>17664125360</v>
      </c>
      <c r="K203" s="7">
        <v>992.8</v>
      </c>
      <c r="L203" s="8">
        <f ca="1">IFERROR(__xludf.DUMMYFUNCTION("GOOGLEFINANCE(""NSE:""&amp;D203,""price"")"),292)</f>
        <v>292</v>
      </c>
      <c r="M203" s="9">
        <f t="shared" ca="1" si="2"/>
        <v>-700.8</v>
      </c>
      <c r="N203" s="10">
        <f t="shared" ca="1" si="3"/>
        <v>-70.588235294117638</v>
      </c>
      <c r="O203" s="7">
        <f ca="1">IFERROR(__xludf.DUMMYFUNCTION("GOOGLEFINANCE(""NSE:""&amp;D203,""pe"")"),9.84)</f>
        <v>9.84</v>
      </c>
      <c r="P203" s="7">
        <f ca="1">IFERROR(__xludf.DUMMYFUNCTION("GOOGLEFINANCE(""NSE:""&amp;D203,""EPS"")"),29.67)</f>
        <v>29.67</v>
      </c>
      <c r="Q203" s="7">
        <v>13.5</v>
      </c>
      <c r="R203" s="7" t="str">
        <f ca="1">IFERROR(__xludf.DUMMYFUNCTION("IMPORTXML(E203,""/html/body/main/div[3]/div[3]/div[2]/ul/li[7]/span[2]/span"")"),"Loading...")</f>
        <v>Loading...</v>
      </c>
      <c r="S203" s="7">
        <f ca="1">IFERROR(__xludf.DUMMYFUNCTION("IMPORTXML(E203,""/html/body/main/div[3]/div[3]/div[2]/ul/li[8]/span[2]/span"")"),15.9)</f>
        <v>15.9</v>
      </c>
      <c r="T203" s="4">
        <v>34.6</v>
      </c>
      <c r="U203" s="4">
        <v>22.7</v>
      </c>
      <c r="V203" s="4">
        <v>2.6</v>
      </c>
      <c r="W203" s="4">
        <v>5.7</v>
      </c>
      <c r="X203" s="4">
        <v>519.92999999999995</v>
      </c>
      <c r="Y203" s="7">
        <f t="shared" ca="1" si="4"/>
        <v>-227.92999999999995</v>
      </c>
    </row>
    <row r="204" spans="1:25" ht="15" x14ac:dyDescent="0.25">
      <c r="A204" s="4">
        <v>1821</v>
      </c>
      <c r="C204" s="12" t="s">
        <v>952</v>
      </c>
      <c r="D204" s="12" t="s">
        <v>953</v>
      </c>
      <c r="E204" s="5" t="str">
        <f t="shared" si="0"/>
        <v>https://www.screener.in/company/MODIRUBBER/consolidated/</v>
      </c>
      <c r="F204" s="4">
        <v>443059</v>
      </c>
      <c r="G204" s="4">
        <v>3832241897</v>
      </c>
      <c r="H204" s="6">
        <f t="shared" ca="1" si="1"/>
        <v>44607.295681080002</v>
      </c>
      <c r="I204" s="7" t="str">
        <f ca="1">IFERROR(__xludf.DUMMYFUNCTION("IMPORTXML(E204,""/html/body/main/div[3]/div[3]/div[2]/ul/li[5]/span[2]/span"")"),"Loading...")</f>
        <v>Loading...</v>
      </c>
      <c r="J204" s="7">
        <f ca="1">IFERROR(__xludf.DUMMYFUNCTION("GOOGLEFINANCE(""NSE:""&amp;D204,""marketcap"")"),2902198000)</f>
        <v>2902198000</v>
      </c>
      <c r="K204" s="7">
        <v>992.8</v>
      </c>
      <c r="L204" s="8">
        <f ca="1">IFERROR(__xludf.DUMMYFUNCTION("GOOGLEFINANCE(""NSE:""&amp;D204,""price"")"),116.4)</f>
        <v>116.4</v>
      </c>
      <c r="M204" s="9">
        <f t="shared" ca="1" si="2"/>
        <v>-876.4</v>
      </c>
      <c r="N204" s="10">
        <f t="shared" ca="1" si="3"/>
        <v>-88.275584206285245</v>
      </c>
      <c r="O204" s="7">
        <f ca="1">IFERROR(__xludf.DUMMYFUNCTION("GOOGLEFINANCE(""NSE:""&amp;D204,""pe"")"),15.69)</f>
        <v>15.69</v>
      </c>
      <c r="P204" s="7">
        <f ca="1">IFERROR(__xludf.DUMMYFUNCTION("GOOGLEFINANCE(""NSE:""&amp;D204,""EPS"")"),7.42)</f>
        <v>7.42</v>
      </c>
      <c r="Q204" s="7">
        <v>13.5</v>
      </c>
      <c r="R204" s="7" t="str">
        <f ca="1">IFERROR(__xludf.DUMMYFUNCTION("IMPORTXML(E204,""/html/body/main/div[3]/div[3]/div[2]/ul/li[7]/span[2]/span"")"),"Loading...")</f>
        <v>Loading...</v>
      </c>
      <c r="S204" s="7" t="str">
        <f ca="1">IFERROR(__xludf.DUMMYFUNCTION("IMPORTXML(E204,""/html/body/main/div[3]/div[3]/div[2]/ul/li[8]/span[2]/span"")"),"Loading...")</f>
        <v>Loading...</v>
      </c>
      <c r="T204" s="4">
        <v>34.6</v>
      </c>
      <c r="U204" s="4">
        <v>22.7</v>
      </c>
      <c r="V204" s="4">
        <v>2.6</v>
      </c>
      <c r="W204" s="4">
        <v>5.7</v>
      </c>
      <c r="X204" s="4">
        <v>519.92999999999995</v>
      </c>
      <c r="Y204" s="7">
        <f t="shared" ca="1" si="4"/>
        <v>-403.53</v>
      </c>
    </row>
    <row r="205" spans="1:25" ht="15" x14ac:dyDescent="0.25">
      <c r="A205" s="4">
        <v>1544</v>
      </c>
      <c r="C205" s="12" t="s">
        <v>954</v>
      </c>
      <c r="D205" s="12" t="s">
        <v>955</v>
      </c>
      <c r="E205" s="5" t="str">
        <f t="shared" si="0"/>
        <v>https://www.screener.in/company/ORBTEXP/consolidated/</v>
      </c>
      <c r="F205" s="4">
        <v>443059</v>
      </c>
      <c r="G205" s="4">
        <v>3832241897</v>
      </c>
      <c r="H205" s="6">
        <f t="shared" ca="1" si="1"/>
        <v>72084.470082569998</v>
      </c>
      <c r="I205" s="7" t="str">
        <f ca="1">IFERROR(__xludf.DUMMYFUNCTION("IMPORTXML(E205,""/html/body/main/div[3]/div[3]/div[2]/ul/li[5]/span[2]/span"")"),"Loading...")</f>
        <v>Loading...</v>
      </c>
      <c r="J205" s="7">
        <f ca="1">IFERROR(__xludf.DUMMYFUNCTION("GOOGLEFINANCE(""NSE:""&amp;D205,""marketcap"")"),4984245000)</f>
        <v>4984245000</v>
      </c>
      <c r="K205" s="7">
        <v>992.8</v>
      </c>
      <c r="L205" s="8">
        <f ca="1">IFERROR(__xludf.DUMMYFUNCTION("GOOGLEFINANCE(""NSE:""&amp;D205,""price"")"),188.1)</f>
        <v>188.1</v>
      </c>
      <c r="M205" s="9">
        <f t="shared" ca="1" si="2"/>
        <v>-804.69999999999993</v>
      </c>
      <c r="N205" s="10">
        <f t="shared" ca="1" si="3"/>
        <v>-81.053585817888802</v>
      </c>
      <c r="O205" s="7">
        <f ca="1">IFERROR(__xludf.DUMMYFUNCTION("GOOGLEFINANCE(""NSE:""&amp;D205,""pe"")"),11.29)</f>
        <v>11.29</v>
      </c>
      <c r="P205" s="7">
        <f ca="1">IFERROR(__xludf.DUMMYFUNCTION("GOOGLEFINANCE(""NSE:""&amp;D205,""EPS"")"),16.66)</f>
        <v>16.66</v>
      </c>
      <c r="Q205" s="7">
        <v>13.5</v>
      </c>
      <c r="R205" s="7" t="str">
        <f ca="1">IFERROR(__xludf.DUMMYFUNCTION("IMPORTXML(E205,""/html/body/main/div[3]/div[3]/div[2]/ul/li[7]/span[2]/span"")"),"Loading...")</f>
        <v>Loading...</v>
      </c>
      <c r="S205" s="7" t="str">
        <f ca="1">IFERROR(__xludf.DUMMYFUNCTION("IMPORTXML(E205,""/html/body/main/div[3]/div[3]/div[2]/ul/li[8]/span[2]/span"")"),"Loading...")</f>
        <v>Loading...</v>
      </c>
      <c r="T205" s="4">
        <v>34.6</v>
      </c>
      <c r="U205" s="4">
        <v>22.7</v>
      </c>
      <c r="V205" s="4">
        <v>2.6</v>
      </c>
      <c r="W205" s="4">
        <v>5.7</v>
      </c>
      <c r="X205" s="4">
        <v>519.92999999999995</v>
      </c>
      <c r="Y205" s="7">
        <f t="shared" ca="1" si="4"/>
        <v>-331.82999999999993</v>
      </c>
    </row>
    <row r="206" spans="1:25" ht="15" x14ac:dyDescent="0.25">
      <c r="A206" s="4">
        <v>2107</v>
      </c>
      <c r="C206" s="12" t="s">
        <v>956</v>
      </c>
      <c r="D206" s="12" t="s">
        <v>957</v>
      </c>
      <c r="E206" s="5" t="str">
        <f t="shared" si="0"/>
        <v>https://www.screener.in/company/BAIDFIN/consolidated/</v>
      </c>
      <c r="F206" s="4">
        <v>443059</v>
      </c>
      <c r="G206" s="4">
        <v>3832241897</v>
      </c>
      <c r="H206" s="6">
        <f t="shared" ca="1" si="1"/>
        <v>4345.7623111979992</v>
      </c>
      <c r="I206" s="7" t="str">
        <f ca="1">IFERROR(__xludf.DUMMYFUNCTION("IMPORTXML(E206,""/html/body/main/div[3]/div[3]/div[2]/ul/li[5]/span[2]/span"")"),"Loading...")</f>
        <v>Loading...</v>
      </c>
      <c r="J206" s="7">
        <f ca="1">IFERROR(__xludf.DUMMYFUNCTION("GOOGLEFINANCE(""NSE:""&amp;D206,""marketcap"")"),1361573406)</f>
        <v>1361573406</v>
      </c>
      <c r="K206" s="7">
        <v>992.8</v>
      </c>
      <c r="L206" s="8">
        <f ca="1">IFERROR(__xludf.DUMMYFUNCTION("GOOGLEFINANCE(""NSE:""&amp;D206,""price"")"),11.34)</f>
        <v>11.34</v>
      </c>
      <c r="M206" s="9">
        <f t="shared" ca="1" si="2"/>
        <v>-981.45999999999992</v>
      </c>
      <c r="N206" s="10">
        <f t="shared" ca="1" si="3"/>
        <v>-98.857775987107161</v>
      </c>
      <c r="O206" s="7">
        <f ca="1">IFERROR(__xludf.DUMMYFUNCTION("GOOGLEFINANCE(""NSE:""&amp;D206,""pe"")"),9.62)</f>
        <v>9.6199999999999992</v>
      </c>
      <c r="P206" s="7">
        <f ca="1">IFERROR(__xludf.DUMMYFUNCTION("GOOGLEFINANCE(""NSE:""&amp;D206,""EPS"")"),1.18)</f>
        <v>1.18</v>
      </c>
      <c r="Q206" s="7">
        <v>13.5</v>
      </c>
      <c r="R206" s="7" t="str">
        <f ca="1">IFERROR(__xludf.DUMMYFUNCTION("IMPORTXML(E206,""/html/body/main/div[3]/div[3]/div[2]/ul/li[7]/span[2]/span"")"),"Loading...")</f>
        <v>Loading...</v>
      </c>
      <c r="S206" s="7" t="str">
        <f ca="1">IFERROR(__xludf.DUMMYFUNCTION("IMPORTXML(E206,""/html/body/main/div[3]/div[3]/div[2]/ul/li[8]/span[2]/span"")"),"Loading...")</f>
        <v>Loading...</v>
      </c>
      <c r="T206" s="4">
        <v>34.6</v>
      </c>
      <c r="U206" s="4">
        <v>22.7</v>
      </c>
      <c r="V206" s="4">
        <v>2.6</v>
      </c>
      <c r="W206" s="4">
        <v>5.7</v>
      </c>
      <c r="X206" s="4">
        <v>519.92999999999995</v>
      </c>
      <c r="Y206" s="7">
        <f t="shared" ca="1" si="4"/>
        <v>-508.59</v>
      </c>
    </row>
    <row r="207" spans="1:25" ht="15" x14ac:dyDescent="0.25">
      <c r="A207" s="4">
        <v>2141</v>
      </c>
      <c r="C207" s="12" t="s">
        <v>958</v>
      </c>
      <c r="D207" s="12" t="s">
        <v>959</v>
      </c>
      <c r="E207" s="5" t="str">
        <f t="shared" si="0"/>
        <v>https://www.screener.in/company/ANMOL/consolidated/</v>
      </c>
      <c r="F207" s="4">
        <v>443059</v>
      </c>
      <c r="G207" s="4">
        <v>3832241897</v>
      </c>
      <c r="H207" s="6">
        <f t="shared" ca="1" si="1"/>
        <v>6158.4127284790002</v>
      </c>
      <c r="I207" s="7" t="str">
        <f ca="1">IFERROR(__xludf.DUMMYFUNCTION("IMPORTXML(E207,""/html/body/main/div[3]/div[3]/div[2]/ul/li[5]/span[2]/span"")"),"Loading...")</f>
        <v>Loading...</v>
      </c>
      <c r="J207" s="7">
        <f ca="1">IFERROR(__xludf.DUMMYFUNCTION("GOOGLEFINANCE(""NSE:""&amp;D207,""marketcap"")"),914610212)</f>
        <v>914610212</v>
      </c>
      <c r="K207" s="7">
        <v>992.8</v>
      </c>
      <c r="L207" s="8">
        <f ca="1">IFERROR(__xludf.DUMMYFUNCTION("GOOGLEFINANCE(""NSE:""&amp;D207,""price"")"),16.07)</f>
        <v>16.07</v>
      </c>
      <c r="M207" s="9">
        <f t="shared" ca="1" si="2"/>
        <v>-976.7299999999999</v>
      </c>
      <c r="N207" s="10">
        <f t="shared" ca="1" si="3"/>
        <v>-98.381345688960508</v>
      </c>
      <c r="O207" s="7">
        <f ca="1">IFERROR(__xludf.DUMMYFUNCTION("GOOGLEFINANCE(""NSE:""&amp;D207,""pe"")"),10.44)</f>
        <v>10.44</v>
      </c>
      <c r="P207" s="7">
        <f ca="1">IFERROR(__xludf.DUMMYFUNCTION("GOOGLEFINANCE(""NSE:""&amp;D207,""EPS"")"),1.54)</f>
        <v>1.54</v>
      </c>
      <c r="Q207" s="7">
        <v>13.5</v>
      </c>
      <c r="R207" s="7" t="str">
        <f ca="1">IFERROR(__xludf.DUMMYFUNCTION("IMPORTXML(E207,""/html/body/main/div[3]/div[3]/div[2]/ul/li[7]/span[2]/span"")"),"Loading...")</f>
        <v>Loading...</v>
      </c>
      <c r="S207" s="7" t="str">
        <f ca="1">IFERROR(__xludf.DUMMYFUNCTION("IMPORTXML(E207,""/html/body/main/div[3]/div[3]/div[2]/ul/li[8]/span[2]/span"")"),"Loading...")</f>
        <v>Loading...</v>
      </c>
      <c r="T207" s="4">
        <v>34.6</v>
      </c>
      <c r="U207" s="4">
        <v>22.7</v>
      </c>
      <c r="V207" s="4">
        <v>2.6</v>
      </c>
      <c r="W207" s="4">
        <v>5.7</v>
      </c>
      <c r="X207" s="4">
        <v>519.92999999999995</v>
      </c>
      <c r="Y207" s="7">
        <f t="shared" ca="1" si="4"/>
        <v>-503.85999999999996</v>
      </c>
    </row>
    <row r="208" spans="1:25" ht="15" x14ac:dyDescent="0.25">
      <c r="A208" s="4">
        <v>1021</v>
      </c>
      <c r="C208" s="12" t="s">
        <v>960</v>
      </c>
      <c r="D208" s="12" t="s">
        <v>961</v>
      </c>
      <c r="E208" s="5" t="str">
        <f t="shared" si="0"/>
        <v>https://www.screener.in/company/SPORTKING/consolidated/</v>
      </c>
      <c r="F208" s="4">
        <v>443059</v>
      </c>
      <c r="G208" s="4">
        <v>3832241897</v>
      </c>
      <c r="H208" s="6">
        <f t="shared" ca="1" si="1"/>
        <v>41733.114258330002</v>
      </c>
      <c r="I208" s="7" t="str">
        <f ca="1">IFERROR(__xludf.DUMMYFUNCTION("IMPORTXML(E208,""/html/body/main/div[3]/div[3]/div[2]/ul/li[5]/span[2]/span"")"),"Loading...")</f>
        <v>Loading...</v>
      </c>
      <c r="J208" s="7">
        <f ca="1">IFERROR(__xludf.DUMMYFUNCTION("GOOGLEFINANCE(""NSE:""&amp;D208,""marketcap"")"),13838140993)</f>
        <v>13838140993</v>
      </c>
      <c r="K208" s="7">
        <v>992.8</v>
      </c>
      <c r="L208" s="8">
        <f ca="1">IFERROR(__xludf.DUMMYFUNCTION("GOOGLEFINANCE(""NSE:""&amp;D208,""price"")"),108.9)</f>
        <v>108.9</v>
      </c>
      <c r="M208" s="9">
        <f t="shared" ca="1" si="2"/>
        <v>-883.9</v>
      </c>
      <c r="N208" s="10">
        <f t="shared" ca="1" si="3"/>
        <v>-89.031023368251411</v>
      </c>
      <c r="O208" s="7">
        <f ca="1">IFERROR(__xludf.DUMMYFUNCTION("GOOGLEFINANCE(""NSE:""&amp;D208,""pe"")"),12.3)</f>
        <v>12.3</v>
      </c>
      <c r="P208" s="7">
        <f ca="1">IFERROR(__xludf.DUMMYFUNCTION("GOOGLEFINANCE(""NSE:""&amp;D208,""EPS"")"),8.86)</f>
        <v>8.86</v>
      </c>
      <c r="Q208" s="7">
        <v>13.5</v>
      </c>
      <c r="R208" s="7" t="str">
        <f ca="1">IFERROR(__xludf.DUMMYFUNCTION("IMPORTXML(E208,""/html/body/main/div[3]/div[3]/div[2]/ul/li[7]/span[2]/span"")"),"Loading...")</f>
        <v>Loading...</v>
      </c>
      <c r="S208" s="7" t="str">
        <f ca="1">IFERROR(__xludf.DUMMYFUNCTION("IMPORTXML(E208,""/html/body/main/div[3]/div[3]/div[2]/ul/li[8]/span[2]/span"")"),"Loading...")</f>
        <v>Loading...</v>
      </c>
      <c r="T208" s="4">
        <v>34.6</v>
      </c>
      <c r="U208" s="4">
        <v>22.7</v>
      </c>
      <c r="V208" s="4">
        <v>2.6</v>
      </c>
      <c r="W208" s="4">
        <v>5.7</v>
      </c>
      <c r="X208" s="4">
        <v>519.92999999999995</v>
      </c>
      <c r="Y208" s="7">
        <f t="shared" ca="1" si="4"/>
        <v>-411.03</v>
      </c>
    </row>
    <row r="209" spans="1:25" ht="15" x14ac:dyDescent="0.25">
      <c r="A209" s="4">
        <v>678</v>
      </c>
      <c r="C209" s="12" t="s">
        <v>962</v>
      </c>
      <c r="D209" s="12" t="s">
        <v>963</v>
      </c>
      <c r="E209" s="5" t="str">
        <f t="shared" si="0"/>
        <v>https://www.screener.in/company/GEOJITFSL/consolidated/</v>
      </c>
      <c r="F209" s="4">
        <v>443059</v>
      </c>
      <c r="G209" s="4">
        <v>3832241897</v>
      </c>
      <c r="H209" s="6">
        <f t="shared" ca="1" si="1"/>
        <v>29259.166883594997</v>
      </c>
      <c r="I209" s="7" t="str">
        <f ca="1">IFERROR(__xludf.DUMMYFUNCTION("IMPORTXML(E209,""/html/body/main/div[3]/div[3]/div[2]/ul/li[5]/span[2]/span"")"),"Loading...")</f>
        <v>Loading...</v>
      </c>
      <c r="J209" s="7">
        <f ca="1">IFERROR(__xludf.DUMMYFUNCTION("GOOGLEFINANCE(""NSE:""&amp;D209,""marketcap"")"),21310971909)</f>
        <v>21310971909</v>
      </c>
      <c r="K209" s="7">
        <v>992.8</v>
      </c>
      <c r="L209" s="8">
        <f ca="1">IFERROR(__xludf.DUMMYFUNCTION("GOOGLEFINANCE(""NSE:""&amp;D209,""price"")"),76.35)</f>
        <v>76.349999999999994</v>
      </c>
      <c r="M209" s="9">
        <f t="shared" ca="1" si="2"/>
        <v>-916.44999999999993</v>
      </c>
      <c r="N209" s="10">
        <f t="shared" ca="1" si="3"/>
        <v>-92.309629331184524</v>
      </c>
      <c r="O209" s="7">
        <f ca="1">IFERROR(__xludf.DUMMYFUNCTION("GOOGLEFINANCE(""NSE:""&amp;D209,""pe"")"),13.85)</f>
        <v>13.85</v>
      </c>
      <c r="P209" s="7">
        <f ca="1">IFERROR(__xludf.DUMMYFUNCTION("GOOGLEFINANCE(""NSE:""&amp;D209,""EPS"")"),5.51)</f>
        <v>5.51</v>
      </c>
      <c r="Q209" s="7">
        <v>13.5</v>
      </c>
      <c r="R209" s="7">
        <f ca="1">IFERROR(__xludf.DUMMYFUNCTION("IMPORTXML(E209,""/html/body/main/div[3]/div[3]/div[2]/ul/li[7]/span[2]/span"")"),18.8)</f>
        <v>18.8</v>
      </c>
      <c r="S209" s="7" t="str">
        <f ca="1">IFERROR(__xludf.DUMMYFUNCTION("IMPORTXML(E209,""/html/body/main/div[3]/div[3]/div[2]/ul/li[8]/span[2]/span"")"),"Loading...")</f>
        <v>Loading...</v>
      </c>
      <c r="T209" s="4">
        <v>34.6</v>
      </c>
      <c r="U209" s="4">
        <v>22.7</v>
      </c>
      <c r="V209" s="4">
        <v>2.6</v>
      </c>
      <c r="W209" s="4">
        <v>5.7</v>
      </c>
      <c r="X209" s="4">
        <v>519.92999999999995</v>
      </c>
      <c r="Y209" s="7">
        <f t="shared" ca="1" si="4"/>
        <v>-443.57999999999993</v>
      </c>
    </row>
    <row r="210" spans="1:25" ht="15" x14ac:dyDescent="0.25">
      <c r="A210" s="4">
        <v>1099</v>
      </c>
      <c r="C210" s="12" t="s">
        <v>964</v>
      </c>
      <c r="D210" s="12" t="s">
        <v>965</v>
      </c>
      <c r="E210" s="5" t="str">
        <f t="shared" si="0"/>
        <v>https://www.screener.in/company/AVADHSUGAR/consolidated/</v>
      </c>
      <c r="F210" s="4">
        <v>443059</v>
      </c>
      <c r="G210" s="4">
        <v>3832241897</v>
      </c>
      <c r="H210" s="6">
        <f t="shared" ca="1" si="1"/>
        <v>173255.65616337003</v>
      </c>
      <c r="I210" s="7" t="str">
        <f ca="1">IFERROR(__xludf.DUMMYFUNCTION("IMPORTXML(E210,""/html/body/main/div[3]/div[3]/div[2]/ul/li[5]/span[2]/span"")"),"Loading...")</f>
        <v>Loading...</v>
      </c>
      <c r="J210" s="7">
        <f ca="1">IFERROR(__xludf.DUMMYFUNCTION("GOOGLEFINANCE(""NSE:""&amp;D210,""marketcap"")"),9050327804)</f>
        <v>9050327804</v>
      </c>
      <c r="K210" s="7">
        <v>992.8</v>
      </c>
      <c r="L210" s="8">
        <f ca="1">IFERROR(__xludf.DUMMYFUNCTION("GOOGLEFINANCE(""NSE:""&amp;D210,""price"")"),452.1)</f>
        <v>452.1</v>
      </c>
      <c r="M210" s="9">
        <f t="shared" ca="1" si="2"/>
        <v>-540.69999999999993</v>
      </c>
      <c r="N210" s="10">
        <f t="shared" ca="1" si="3"/>
        <v>-54.462127316680089</v>
      </c>
      <c r="O210" s="7">
        <f ca="1">IFERROR(__xludf.DUMMYFUNCTION("GOOGLEFINANCE(""NSE:""&amp;D210,""pe"")"),12.76)</f>
        <v>12.76</v>
      </c>
      <c r="P210" s="7">
        <f ca="1">IFERROR(__xludf.DUMMYFUNCTION("GOOGLEFINANCE(""NSE:""&amp;D210,""EPS"")"),35.42)</f>
        <v>35.42</v>
      </c>
      <c r="Q210" s="7">
        <v>13.5</v>
      </c>
      <c r="R210" s="7" t="str">
        <f ca="1">IFERROR(__xludf.DUMMYFUNCTION("IMPORTXML(E210,""/html/body/main/div[3]/div[3]/div[2]/ul/li[7]/span[2]/span"")"),"Loading...")</f>
        <v>Loading...</v>
      </c>
      <c r="S210" s="7" t="str">
        <f ca="1">IFERROR(__xludf.DUMMYFUNCTION("IMPORTXML(E210,""/html/body/main/div[3]/div[3]/div[2]/ul/li[8]/span[2]/span"")"),"Loading...")</f>
        <v>Loading...</v>
      </c>
      <c r="T210" s="4">
        <v>34.6</v>
      </c>
      <c r="U210" s="4">
        <v>22.7</v>
      </c>
      <c r="V210" s="4">
        <v>2.6</v>
      </c>
      <c r="W210" s="4">
        <v>5.7</v>
      </c>
      <c r="X210" s="4">
        <v>519.92999999999995</v>
      </c>
      <c r="Y210" s="7">
        <f t="shared" ca="1" si="4"/>
        <v>-67.829999999999927</v>
      </c>
    </row>
    <row r="211" spans="1:25" ht="15" x14ac:dyDescent="0.25">
      <c r="A211" s="4">
        <v>1507</v>
      </c>
      <c r="C211" s="12" t="s">
        <v>966</v>
      </c>
      <c r="D211" s="12" t="s">
        <v>967</v>
      </c>
      <c r="E211" s="5" t="str">
        <f t="shared" si="0"/>
        <v>https://www.screener.in/company/NAHARCAP/consolidated/</v>
      </c>
      <c r="F211" s="4">
        <v>443059</v>
      </c>
      <c r="G211" s="4">
        <v>3832241897</v>
      </c>
      <c r="H211" s="6">
        <f t="shared" ca="1" si="1"/>
        <v>111326.62710785</v>
      </c>
      <c r="I211" s="7" t="str">
        <f ca="1">IFERROR(__xludf.DUMMYFUNCTION("IMPORTXML(E211,""/html/body/main/div[3]/div[3]/div[2]/ul/li[5]/span[2]/span"")"),"Loading...")</f>
        <v>Loading...</v>
      </c>
      <c r="J211" s="7">
        <f ca="1">IFERROR(__xludf.DUMMYFUNCTION("GOOGLEFINANCE(""NSE:""&amp;D211,""marketcap"")"),4863924000)</f>
        <v>4863924000</v>
      </c>
      <c r="K211" s="7">
        <v>992.8</v>
      </c>
      <c r="L211" s="8">
        <f ca="1">IFERROR(__xludf.DUMMYFUNCTION("GOOGLEFINANCE(""NSE:""&amp;D211,""price"")"),290.5)</f>
        <v>290.5</v>
      </c>
      <c r="M211" s="9">
        <f t="shared" ca="1" si="2"/>
        <v>-702.3</v>
      </c>
      <c r="N211" s="10">
        <f t="shared" ca="1" si="3"/>
        <v>-70.739323126510882</v>
      </c>
      <c r="O211" s="7">
        <f ca="1">IFERROR(__xludf.DUMMYFUNCTION("GOOGLEFINANCE(""NSE:""&amp;D211,""pe"")"),9.81)</f>
        <v>9.81</v>
      </c>
      <c r="P211" s="7">
        <f ca="1">IFERROR(__xludf.DUMMYFUNCTION("GOOGLEFINANCE(""NSE:""&amp;D211,""EPS"")"),29.62)</f>
        <v>29.62</v>
      </c>
      <c r="Q211" s="7">
        <v>13.5</v>
      </c>
      <c r="R211" s="7" t="str">
        <f ca="1">IFERROR(__xludf.DUMMYFUNCTION("IMPORTXML(E211,""/html/body/main/div[3]/div[3]/div[2]/ul/li[7]/span[2]/span"")"),"Loading...")</f>
        <v>Loading...</v>
      </c>
      <c r="S211" s="7" t="str">
        <f ca="1">IFERROR(__xludf.DUMMYFUNCTION("IMPORTXML(E211,""/html/body/main/div[3]/div[3]/div[2]/ul/li[8]/span[2]/span"")"),"Loading...")</f>
        <v>Loading...</v>
      </c>
      <c r="T211" s="4">
        <v>34.6</v>
      </c>
      <c r="U211" s="4">
        <v>22.7</v>
      </c>
      <c r="V211" s="4">
        <v>2.6</v>
      </c>
      <c r="W211" s="4">
        <v>5.7</v>
      </c>
      <c r="X211" s="4">
        <v>519.92999999999995</v>
      </c>
      <c r="Y211" s="7">
        <f t="shared" ca="1" si="4"/>
        <v>-229.42999999999995</v>
      </c>
    </row>
    <row r="212" spans="1:25" ht="15" x14ac:dyDescent="0.25">
      <c r="A212" s="4">
        <v>1992</v>
      </c>
      <c r="C212" s="12" t="s">
        <v>968</v>
      </c>
      <c r="D212" s="12" t="s">
        <v>969</v>
      </c>
      <c r="E212" s="5" t="str">
        <f t="shared" si="0"/>
        <v>https://www.screener.in/company/ASPINWALL/consolidated/</v>
      </c>
      <c r="F212" s="4">
        <v>443059</v>
      </c>
      <c r="G212" s="4">
        <v>3832241897</v>
      </c>
      <c r="H212" s="6">
        <f t="shared" ca="1" si="1"/>
        <v>104179.49596994501</v>
      </c>
      <c r="I212" s="7" t="str">
        <f ca="1">IFERROR(__xludf.DUMMYFUNCTION("IMPORTXML(E212,""/html/body/main/div[3]/div[3]/div[2]/ul/li[5]/span[2]/span"")"),"Loading...")</f>
        <v>Loading...</v>
      </c>
      <c r="J212" s="7">
        <f ca="1">IFERROR(__xludf.DUMMYFUNCTION("GOOGLEFINANCE(""NSE:""&amp;D212,""marketcap"")"),2117192000)</f>
        <v>2117192000</v>
      </c>
      <c r="K212" s="7">
        <v>992.8</v>
      </c>
      <c r="L212" s="8">
        <f ca="1">IFERROR(__xludf.DUMMYFUNCTION("GOOGLEFINANCE(""NSE:""&amp;D212,""price"")"),271.85)</f>
        <v>271.85000000000002</v>
      </c>
      <c r="M212" s="9">
        <f t="shared" ca="1" si="2"/>
        <v>-720.94999999999993</v>
      </c>
      <c r="N212" s="10">
        <f t="shared" ca="1" si="3"/>
        <v>-72.617848509266707</v>
      </c>
      <c r="O212" s="7">
        <f ca="1">IFERROR(__xludf.DUMMYFUNCTION("GOOGLEFINANCE(""NSE:""&amp;D212,""pe"")"),27.99)</f>
        <v>27.99</v>
      </c>
      <c r="P212" s="7">
        <f ca="1">IFERROR(__xludf.DUMMYFUNCTION("GOOGLEFINANCE(""NSE:""&amp;D212,""EPS"")"),9.71)</f>
        <v>9.7100000000000009</v>
      </c>
      <c r="Q212" s="7">
        <v>13.5</v>
      </c>
      <c r="R212" s="7" t="str">
        <f ca="1">IFERROR(__xludf.DUMMYFUNCTION("IMPORTXML(E212,""/html/body/main/div[3]/div[3]/div[2]/ul/li[7]/span[2]/span"")"),"Loading...")</f>
        <v>Loading...</v>
      </c>
      <c r="S212" s="7" t="str">
        <f ca="1">IFERROR(__xludf.DUMMYFUNCTION("IMPORTXML(E212,""/html/body/main/div[3]/div[3]/div[2]/ul/li[8]/span[2]/span"")"),"Loading...")</f>
        <v>Loading...</v>
      </c>
      <c r="T212" s="4">
        <v>34.6</v>
      </c>
      <c r="U212" s="4">
        <v>22.7</v>
      </c>
      <c r="V212" s="4">
        <v>2.6</v>
      </c>
      <c r="W212" s="4">
        <v>5.7</v>
      </c>
      <c r="X212" s="4">
        <v>519.92999999999995</v>
      </c>
      <c r="Y212" s="7">
        <f t="shared" ca="1" si="4"/>
        <v>-248.07999999999993</v>
      </c>
    </row>
    <row r="213" spans="1:25" ht="15" x14ac:dyDescent="0.25">
      <c r="A213" s="4">
        <v>1258</v>
      </c>
      <c r="C213" s="12" t="s">
        <v>970</v>
      </c>
      <c r="D213" s="12" t="s">
        <v>971</v>
      </c>
      <c r="E213" s="5" t="str">
        <f t="shared" si="0"/>
        <v>https://www.screener.in/company/VHLTD/consolidated/</v>
      </c>
      <c r="F213" s="4">
        <v>443059</v>
      </c>
      <c r="G213" s="4">
        <v>3832241897</v>
      </c>
      <c r="H213" s="6">
        <f t="shared" ca="1" si="1"/>
        <v>44645.61810005</v>
      </c>
      <c r="I213" s="7" t="str">
        <f ca="1">IFERROR(__xludf.DUMMYFUNCTION("IMPORTXML(E213,""/html/body/main/div[3]/div[3]/div[2]/ul/li[5]/span[2]/span"")"),"Loading...")</f>
        <v>Loading...</v>
      </c>
      <c r="J213" s="7">
        <f ca="1">IFERROR(__xludf.DUMMYFUNCTION("GOOGLEFINANCE(""NSE:""&amp;D213,""marketcap"")"),7803357471)</f>
        <v>7803357471</v>
      </c>
      <c r="K213" s="7">
        <v>992.8</v>
      </c>
      <c r="L213" s="8">
        <f ca="1">IFERROR(__xludf.DUMMYFUNCTION("GOOGLEFINANCE(""NSE:""&amp;D213,""price"")"),116.5)</f>
        <v>116.5</v>
      </c>
      <c r="M213" s="9">
        <f t="shared" ca="1" si="2"/>
        <v>-876.3</v>
      </c>
      <c r="N213" s="10">
        <f t="shared" ca="1" si="3"/>
        <v>-88.265511684125713</v>
      </c>
      <c r="O213" s="7">
        <f ca="1">IFERROR(__xludf.DUMMYFUNCTION("GOOGLEFINANCE(""NSE:""&amp;D213,""pe"")"),10.39)</f>
        <v>10.39</v>
      </c>
      <c r="P213" s="7">
        <f ca="1">IFERROR(__xludf.DUMMYFUNCTION("GOOGLEFINANCE(""NSE:""&amp;D213,""EPS"")"),11.21)</f>
        <v>11.21</v>
      </c>
      <c r="Q213" s="7">
        <v>13.5</v>
      </c>
      <c r="R213" s="7" t="str">
        <f ca="1">IFERROR(__xludf.DUMMYFUNCTION("IMPORTXML(E213,""/html/body/main/div[3]/div[3]/div[2]/ul/li[7]/span[2]/span"")"),"Loading...")</f>
        <v>Loading...</v>
      </c>
      <c r="S213" s="7" t="str">
        <f ca="1">IFERROR(__xludf.DUMMYFUNCTION("IMPORTXML(E213,""/html/body/main/div[3]/div[3]/div[2]/ul/li[8]/span[2]/span"")"),"Loading...")</f>
        <v>Loading...</v>
      </c>
      <c r="T213" s="4">
        <v>34.6</v>
      </c>
      <c r="U213" s="4">
        <v>22.7</v>
      </c>
      <c r="V213" s="4">
        <v>2.6</v>
      </c>
      <c r="W213" s="4">
        <v>5.7</v>
      </c>
      <c r="X213" s="4">
        <v>519.92999999999995</v>
      </c>
      <c r="Y213" s="7">
        <f t="shared" ca="1" si="4"/>
        <v>-403.42999999999995</v>
      </c>
    </row>
    <row r="214" spans="1:25" ht="15" x14ac:dyDescent="0.25">
      <c r="A214" s="4">
        <v>1632</v>
      </c>
      <c r="C214" s="12" t="s">
        <v>972</v>
      </c>
      <c r="D214" s="12" t="s">
        <v>973</v>
      </c>
      <c r="E214" s="5" t="str">
        <f t="shared" si="0"/>
        <v>https://www.screener.in/company/PASUPTAC/consolidated/</v>
      </c>
      <c r="F214" s="4">
        <v>443059</v>
      </c>
      <c r="G214" s="4">
        <v>3832241897</v>
      </c>
      <c r="H214" s="6">
        <f t="shared" ca="1" si="1"/>
        <v>16264.034610867999</v>
      </c>
      <c r="I214" s="7" t="str">
        <f ca="1">IFERROR(__xludf.DUMMYFUNCTION("IMPORTXML(E214,""/html/body/main/div[3]/div[3]/div[2]/ul/li[5]/span[2]/span"")"),"Loading...")</f>
        <v>Loading...</v>
      </c>
      <c r="J214" s="7">
        <f ca="1">IFERROR(__xludf.DUMMYFUNCTION("GOOGLEFINANCE(""NSE:""&amp;D214,""marketcap"")"),3764089236)</f>
        <v>3764089236</v>
      </c>
      <c r="K214" s="7">
        <v>992.8</v>
      </c>
      <c r="L214" s="8">
        <f ca="1">IFERROR(__xludf.DUMMYFUNCTION("GOOGLEFINANCE(""NSE:""&amp;D214,""price"")"),42.44)</f>
        <v>42.44</v>
      </c>
      <c r="M214" s="9">
        <f t="shared" ca="1" si="2"/>
        <v>-950.3599999999999</v>
      </c>
      <c r="N214" s="10">
        <f t="shared" ca="1" si="3"/>
        <v>-95.725221595487511</v>
      </c>
      <c r="O214" s="7">
        <f ca="1">IFERROR(__xludf.DUMMYFUNCTION("GOOGLEFINANCE(""NSE:""&amp;D214,""pe"")"),14.53)</f>
        <v>14.53</v>
      </c>
      <c r="P214" s="7">
        <f ca="1">IFERROR(__xludf.DUMMYFUNCTION("GOOGLEFINANCE(""NSE:""&amp;D214,""EPS"")"),2.92)</f>
        <v>2.92</v>
      </c>
      <c r="Q214" s="7">
        <v>13.5</v>
      </c>
      <c r="R214" s="7" t="str">
        <f ca="1">IFERROR(__xludf.DUMMYFUNCTION("IMPORTXML(E214,""/html/body/main/div[3]/div[3]/div[2]/ul/li[7]/span[2]/span"")"),"Loading...")</f>
        <v>Loading...</v>
      </c>
      <c r="S214" s="7" t="str">
        <f ca="1">IFERROR(__xludf.DUMMYFUNCTION("IMPORTXML(E214,""/html/body/main/div[3]/div[3]/div[2]/ul/li[8]/span[2]/span"")"),"Loading...")</f>
        <v>Loading...</v>
      </c>
      <c r="T214" s="4">
        <v>34.6</v>
      </c>
      <c r="U214" s="4">
        <v>22.7</v>
      </c>
      <c r="V214" s="4">
        <v>2.6</v>
      </c>
      <c r="W214" s="4">
        <v>5.7</v>
      </c>
      <c r="X214" s="4">
        <v>519.92999999999995</v>
      </c>
      <c r="Y214" s="7">
        <f t="shared" ca="1" si="4"/>
        <v>-477.48999999999995</v>
      </c>
    </row>
    <row r="215" spans="1:25" ht="15" x14ac:dyDescent="0.25">
      <c r="A215" s="4">
        <v>693</v>
      </c>
      <c r="C215" s="12" t="s">
        <v>974</v>
      </c>
      <c r="D215" s="12" t="s">
        <v>975</v>
      </c>
      <c r="E215" s="5" t="str">
        <f t="shared" si="0"/>
        <v>https://www.screener.in/company/MARATHON/consolidated/</v>
      </c>
      <c r="F215" s="4">
        <v>443059</v>
      </c>
      <c r="G215" s="4">
        <v>3832241897</v>
      </c>
      <c r="H215" s="6">
        <f t="shared" ca="1" si="1"/>
        <v>235817.00513189501</v>
      </c>
      <c r="I215" s="7" t="str">
        <f ca="1">IFERROR(__xludf.DUMMYFUNCTION("IMPORTXML(E215,""/html/body/main/div[3]/div[3]/div[2]/ul/li[5]/span[2]/span"")"),"Loading...")</f>
        <v>Loading...</v>
      </c>
      <c r="J215" s="7">
        <f ca="1">IFERROR(__xludf.DUMMYFUNCTION("GOOGLEFINANCE(""NSE:""&amp;D215,""marketcap"")"),41241150000)</f>
        <v>41241150000</v>
      </c>
      <c r="K215" s="7">
        <v>992.8</v>
      </c>
      <c r="L215" s="8">
        <f ca="1">IFERROR(__xludf.DUMMYFUNCTION("GOOGLEFINANCE(""NSE:""&amp;D215,""price"")"),615.35)</f>
        <v>615.35</v>
      </c>
      <c r="M215" s="9">
        <f t="shared" ca="1" si="2"/>
        <v>-377.44999999999993</v>
      </c>
      <c r="N215" s="10">
        <f t="shared" ca="1" si="3"/>
        <v>-38.018734891216752</v>
      </c>
      <c r="O215" s="7">
        <f ca="1">IFERROR(__xludf.DUMMYFUNCTION("GOOGLEFINANCE(""NSE:""&amp;D215,""pe"")"),14.9)</f>
        <v>14.9</v>
      </c>
      <c r="P215" s="7">
        <f ca="1">IFERROR(__xludf.DUMMYFUNCTION("GOOGLEFINANCE(""NSE:""&amp;D215,""EPS"")"),41.29)</f>
        <v>41.29</v>
      </c>
      <c r="Q215" s="7">
        <v>13.5</v>
      </c>
      <c r="R215" s="7" t="str">
        <f ca="1">IFERROR(__xludf.DUMMYFUNCTION("IMPORTXML(E215,""/html/body/main/div[3]/div[3]/div[2]/ul/li[7]/span[2]/span"")"),"Loading...")</f>
        <v>Loading...</v>
      </c>
      <c r="S215" s="7" t="str">
        <f ca="1">IFERROR(__xludf.DUMMYFUNCTION("IMPORTXML(E215,""/html/body/main/div[3]/div[3]/div[2]/ul/li[8]/span[2]/span"")"),"Loading...")</f>
        <v>Loading...</v>
      </c>
      <c r="T215" s="4">
        <v>34.6</v>
      </c>
      <c r="U215" s="4">
        <v>22.7</v>
      </c>
      <c r="V215" s="4">
        <v>2.6</v>
      </c>
      <c r="W215" s="4">
        <v>5.7</v>
      </c>
      <c r="X215" s="4">
        <v>519.92999999999995</v>
      </c>
      <c r="Y215" s="7">
        <f t="shared" ca="1" si="4"/>
        <v>95.420000000000073</v>
      </c>
    </row>
    <row r="216" spans="1:25" ht="15" x14ac:dyDescent="0.25">
      <c r="A216" s="4">
        <v>1854</v>
      </c>
      <c r="C216" s="12" t="s">
        <v>976</v>
      </c>
      <c r="D216" s="12" t="s">
        <v>977</v>
      </c>
      <c r="E216" s="5" t="str">
        <f t="shared" si="0"/>
        <v>https://www.screener.in/company/VETO/consolidated/</v>
      </c>
      <c r="F216" s="4">
        <v>443059</v>
      </c>
      <c r="G216" s="4">
        <v>3832241897</v>
      </c>
      <c r="H216" s="6">
        <f t="shared" ca="1" si="1"/>
        <v>43553.429159405008</v>
      </c>
      <c r="I216" s="7" t="str">
        <f ca="1">IFERROR(__xludf.DUMMYFUNCTION("IMPORTXML(E216,""/html/body/main/div[3]/div[3]/div[2]/ul/li[5]/span[2]/span"")"),"Loading...")</f>
        <v>Loading...</v>
      </c>
      <c r="J216" s="7">
        <f ca="1">IFERROR(__xludf.DUMMYFUNCTION("GOOGLEFINANCE(""NSE:""&amp;D216,""marketcap"")"),2182737000)</f>
        <v>2182737000</v>
      </c>
      <c r="K216" s="7">
        <v>992.8</v>
      </c>
      <c r="L216" s="8">
        <f ca="1">IFERROR(__xludf.DUMMYFUNCTION("GOOGLEFINANCE(""NSE:""&amp;D216,""price"")"),113.65)</f>
        <v>113.65</v>
      </c>
      <c r="M216" s="9">
        <f t="shared" ca="1" si="2"/>
        <v>-879.15</v>
      </c>
      <c r="N216" s="10">
        <f t="shared" ca="1" si="3"/>
        <v>-88.552578565672846</v>
      </c>
      <c r="O216" s="7">
        <f ca="1">IFERROR(__xludf.DUMMYFUNCTION("GOOGLEFINANCE(""NSE:""&amp;D216,""pe"")"),10.66)</f>
        <v>10.66</v>
      </c>
      <c r="P216" s="7">
        <f ca="1">IFERROR(__xludf.DUMMYFUNCTION("GOOGLEFINANCE(""NSE:""&amp;D216,""EPS"")"),10.66)</f>
        <v>10.66</v>
      </c>
      <c r="Q216" s="7">
        <v>13.5</v>
      </c>
      <c r="R216" s="7" t="str">
        <f ca="1">IFERROR(__xludf.DUMMYFUNCTION("IMPORTXML(E216,""/html/body/main/div[3]/div[3]/div[2]/ul/li[7]/span[2]/span"")"),"Loading...")</f>
        <v>Loading...</v>
      </c>
      <c r="S216" s="7" t="str">
        <f ca="1">IFERROR(__xludf.DUMMYFUNCTION("IMPORTXML(E216,""/html/body/main/div[3]/div[3]/div[2]/ul/li[8]/span[2]/span"")"),"Loading...")</f>
        <v>Loading...</v>
      </c>
      <c r="T216" s="4">
        <v>34.6</v>
      </c>
      <c r="U216" s="4">
        <v>22.7</v>
      </c>
      <c r="V216" s="4">
        <v>2.6</v>
      </c>
      <c r="W216" s="4">
        <v>5.7</v>
      </c>
      <c r="X216" s="4">
        <v>519.92999999999995</v>
      </c>
      <c r="Y216" s="7">
        <f t="shared" ca="1" si="4"/>
        <v>-406.28</v>
      </c>
    </row>
    <row r="217" spans="1:25" ht="15" x14ac:dyDescent="0.25">
      <c r="A217" s="4">
        <v>571</v>
      </c>
      <c r="C217" s="12" t="s">
        <v>978</v>
      </c>
      <c r="D217" s="12" t="s">
        <v>979</v>
      </c>
      <c r="E217" s="5" t="str">
        <f t="shared" si="0"/>
        <v>https://www.screener.in/company/BALMLAWRIE/consolidated/</v>
      </c>
      <c r="F217" s="4">
        <v>443059</v>
      </c>
      <c r="G217" s="4">
        <v>3832241897</v>
      </c>
      <c r="H217" s="6">
        <f t="shared" ca="1" si="1"/>
        <v>87528.404927480005</v>
      </c>
      <c r="I217" s="7" t="str">
        <f ca="1">IFERROR(__xludf.DUMMYFUNCTION("IMPORTXML(E217,""/html/body/main/div[3]/div[3]/div[2]/ul/li[5]/span[2]/span"")"),"Loading...")</f>
        <v>Loading...</v>
      </c>
      <c r="J217" s="7">
        <f ca="1">IFERROR(__xludf.DUMMYFUNCTION("GOOGLEFINANCE(""NSE:""&amp;D217,""marketcap"")"),38840180278)</f>
        <v>38840180278</v>
      </c>
      <c r="K217" s="7">
        <v>992.8</v>
      </c>
      <c r="L217" s="8">
        <f ca="1">IFERROR(__xludf.DUMMYFUNCTION("GOOGLEFINANCE(""NSE:""&amp;D217,""price"")"),228.4)</f>
        <v>228.4</v>
      </c>
      <c r="M217" s="9">
        <f t="shared" ca="1" si="2"/>
        <v>-764.4</v>
      </c>
      <c r="N217" s="10">
        <f t="shared" ca="1" si="3"/>
        <v>-76.994359387590649</v>
      </c>
      <c r="O217" s="7">
        <f ca="1">IFERROR(__xludf.DUMMYFUNCTION("GOOGLEFINANCE(""NSE:""&amp;D217,""pe"")"),14.41)</f>
        <v>14.41</v>
      </c>
      <c r="P217" s="7">
        <f ca="1">IFERROR(__xludf.DUMMYFUNCTION("GOOGLEFINANCE(""NSE:""&amp;D217,""EPS"")"),15.85)</f>
        <v>15.85</v>
      </c>
      <c r="Q217" s="7">
        <v>13.5</v>
      </c>
      <c r="R217" s="7">
        <f ca="1">IFERROR(__xludf.DUMMYFUNCTION("IMPORTXML(E217,""/html/body/main/div[3]/div[3]/div[2]/ul/li[7]/span[2]/span"")"),14.8)</f>
        <v>14.8</v>
      </c>
      <c r="S217" s="7" t="str">
        <f ca="1">IFERROR(__xludf.DUMMYFUNCTION("IMPORTXML(E217,""/html/body/main/div[3]/div[3]/div[2]/ul/li[8]/span[2]/span"")"),"Loading...")</f>
        <v>Loading...</v>
      </c>
      <c r="T217" s="4">
        <v>34.6</v>
      </c>
      <c r="U217" s="4">
        <v>22.7</v>
      </c>
      <c r="V217" s="4">
        <v>2.6</v>
      </c>
      <c r="W217" s="4">
        <v>5.7</v>
      </c>
      <c r="X217" s="4">
        <v>519.92999999999995</v>
      </c>
      <c r="Y217" s="7">
        <f t="shared" ca="1" si="4"/>
        <v>-291.52999999999997</v>
      </c>
    </row>
    <row r="218" spans="1:25" ht="15" x14ac:dyDescent="0.25">
      <c r="A218" s="4">
        <v>1933</v>
      </c>
      <c r="C218" s="12" t="s">
        <v>980</v>
      </c>
      <c r="D218" s="12" t="s">
        <v>981</v>
      </c>
      <c r="E218" s="5" t="str">
        <f t="shared" si="0"/>
        <v>https://www.screener.in/company/DGCONTENT/consolidated/</v>
      </c>
      <c r="F218" s="4">
        <v>443059</v>
      </c>
      <c r="G218" s="4">
        <v>3832241897</v>
      </c>
      <c r="H218" s="6">
        <f t="shared" ca="1" si="1"/>
        <v>13681.103572290001</v>
      </c>
      <c r="I218" s="7" t="str">
        <f ca="1">IFERROR(__xludf.DUMMYFUNCTION("IMPORTXML(E218,""/html/body/main/div[3]/div[3]/div[2]/ul/li[5]/span[2]/span"")"),"Loading...")</f>
        <v>Loading...</v>
      </c>
      <c r="J218" s="7">
        <f ca="1">IFERROR(__xludf.DUMMYFUNCTION("GOOGLEFINANCE(""NSE:""&amp;D218,""marketcap"")"),2078363000)</f>
        <v>2078363000</v>
      </c>
      <c r="K218" s="7">
        <v>992.8</v>
      </c>
      <c r="L218" s="8">
        <f ca="1">IFERROR(__xludf.DUMMYFUNCTION("GOOGLEFINANCE(""NSE:""&amp;D218,""price"")"),35.7)</f>
        <v>35.700000000000003</v>
      </c>
      <c r="M218" s="9">
        <f t="shared" ca="1" si="2"/>
        <v>-957.09999999999991</v>
      </c>
      <c r="N218" s="10">
        <f t="shared" ca="1" si="3"/>
        <v>-96.404109589041084</v>
      </c>
      <c r="O218" s="7">
        <f ca="1">IFERROR(__xludf.DUMMYFUNCTION("GOOGLEFINANCE(""NSE:""&amp;D218,""pe"")"),9.76)</f>
        <v>9.76</v>
      </c>
      <c r="P218" s="7">
        <f ca="1">IFERROR(__xludf.DUMMYFUNCTION("GOOGLEFINANCE(""NSE:""&amp;D218,""EPS"")"),3.66)</f>
        <v>3.66</v>
      </c>
      <c r="Q218" s="7">
        <v>13.5</v>
      </c>
      <c r="R218" s="7" t="str">
        <f ca="1">IFERROR(__xludf.DUMMYFUNCTION("IMPORTXML(E218,""/html/body/main/div[3]/div[3]/div[2]/ul/li[7]/span[2]/span"")"),"Loading...")</f>
        <v>Loading...</v>
      </c>
      <c r="S218" s="7" t="str">
        <f ca="1">IFERROR(__xludf.DUMMYFUNCTION("IMPORTXML(E218,""/html/body/main/div[3]/div[3]/div[2]/ul/li[8]/span[2]/span"")"),"Loading...")</f>
        <v>Loading...</v>
      </c>
      <c r="T218" s="4">
        <v>34.6</v>
      </c>
      <c r="U218" s="4">
        <v>22.7</v>
      </c>
      <c r="V218" s="4">
        <v>2.6</v>
      </c>
      <c r="W218" s="4">
        <v>5.7</v>
      </c>
      <c r="X218" s="4">
        <v>519.92999999999995</v>
      </c>
      <c r="Y218" s="7">
        <f t="shared" ca="1" si="4"/>
        <v>-484.22999999999996</v>
      </c>
    </row>
    <row r="219" spans="1:25" ht="15" x14ac:dyDescent="0.25">
      <c r="A219" s="4">
        <v>637</v>
      </c>
      <c r="C219" s="12" t="s">
        <v>982</v>
      </c>
      <c r="D219" s="12" t="s">
        <v>983</v>
      </c>
      <c r="E219" s="5" t="str">
        <f t="shared" si="0"/>
        <v>https://www.screener.in/company/JINDALPOLY/consolidated/</v>
      </c>
      <c r="F219" s="4">
        <v>443059</v>
      </c>
      <c r="G219" s="4">
        <v>3832241897</v>
      </c>
      <c r="H219" s="6">
        <f t="shared" ca="1" si="1"/>
        <v>222538.28695879003</v>
      </c>
      <c r="I219" s="7" t="str">
        <f ca="1">IFERROR(__xludf.DUMMYFUNCTION("IMPORTXML(E219,""/html/body/main/div[3]/div[3]/div[2]/ul/li[5]/span[2]/span"")"),"Loading...")</f>
        <v>Loading...</v>
      </c>
      <c r="J219" s="7">
        <f ca="1">IFERROR(__xludf.DUMMYFUNCTION("GOOGLEFINANCE(""NSE:""&amp;D219,""marketcap"")"),25426768821)</f>
        <v>25426768821</v>
      </c>
      <c r="K219" s="7">
        <v>992.8</v>
      </c>
      <c r="L219" s="8">
        <f ca="1">IFERROR(__xludf.DUMMYFUNCTION("GOOGLEFINANCE(""NSE:""&amp;D219,""price"")"),580.7)</f>
        <v>580.70000000000005</v>
      </c>
      <c r="M219" s="9">
        <f t="shared" ca="1" si="2"/>
        <v>-412.09999999999991</v>
      </c>
      <c r="N219" s="10">
        <f t="shared" ca="1" si="3"/>
        <v>-41.508863819500398</v>
      </c>
      <c r="O219" s="7" t="str">
        <f ca="1">IFERROR(__xludf.DUMMYFUNCTION("GOOGLEFINANCE(""NSE:""&amp;D219,""pe"")"),"#N/A")</f>
        <v>#N/A</v>
      </c>
      <c r="P219" s="7">
        <f ca="1">IFERROR(__xludf.DUMMYFUNCTION("GOOGLEFINANCE(""NSE:""&amp;D219,""EPS"")"),-4.89)</f>
        <v>-4.8899999999999997</v>
      </c>
      <c r="Q219" s="7">
        <v>13.5</v>
      </c>
      <c r="R219" s="7" t="str">
        <f ca="1">IFERROR(__xludf.DUMMYFUNCTION("IMPORTXML(E219,""/html/body/main/div[3]/div[3]/div[2]/ul/li[7]/span[2]/span"")"),"Loading...")</f>
        <v>Loading...</v>
      </c>
      <c r="S219" s="7" t="str">
        <f ca="1">IFERROR(__xludf.DUMMYFUNCTION("IMPORTXML(E219,""/html/body/main/div[3]/div[3]/div[2]/ul/li[8]/span[2]/span"")"),"Loading...")</f>
        <v>Loading...</v>
      </c>
      <c r="T219" s="4">
        <v>34.6</v>
      </c>
      <c r="U219" s="4">
        <v>22.7</v>
      </c>
      <c r="V219" s="4">
        <v>2.6</v>
      </c>
      <c r="W219" s="4">
        <v>5.7</v>
      </c>
      <c r="X219" s="4">
        <v>519.92999999999995</v>
      </c>
      <c r="Y219" s="7">
        <f t="shared" ca="1" si="4"/>
        <v>60.770000000000095</v>
      </c>
    </row>
    <row r="220" spans="1:25" ht="15" x14ac:dyDescent="0.25">
      <c r="A220" s="4">
        <v>1131</v>
      </c>
      <c r="C220" s="12" t="s">
        <v>984</v>
      </c>
      <c r="D220" s="12" t="s">
        <v>985</v>
      </c>
      <c r="E220" s="5" t="str">
        <f t="shared" si="0"/>
        <v>https://www.screener.in/company/UTTAMSUGAR/consolidated/</v>
      </c>
      <c r="F220" s="4">
        <v>443059</v>
      </c>
      <c r="G220" s="4">
        <v>3832241897</v>
      </c>
      <c r="H220" s="6">
        <f t="shared" ca="1" si="1"/>
        <v>101209.50849977</v>
      </c>
      <c r="I220" s="7" t="str">
        <f ca="1">IFERROR(__xludf.DUMMYFUNCTION("IMPORTXML(E220,""/html/body/main/div[3]/div[3]/div[2]/ul/li[5]/span[2]/span"")"),"Loading...")</f>
        <v>Loading...</v>
      </c>
      <c r="J220" s="7">
        <f ca="1">IFERROR(__xludf.DUMMYFUNCTION("GOOGLEFINANCE(""NSE:""&amp;D220,""marketcap"")"),10091350000)</f>
        <v>10091350000</v>
      </c>
      <c r="K220" s="7">
        <v>992.8</v>
      </c>
      <c r="L220" s="8">
        <f ca="1">IFERROR(__xludf.DUMMYFUNCTION("GOOGLEFINANCE(""NSE:""&amp;D220,""price"")"),264.1)</f>
        <v>264.10000000000002</v>
      </c>
      <c r="M220" s="9">
        <f t="shared" ca="1" si="2"/>
        <v>-728.69999999999993</v>
      </c>
      <c r="N220" s="10">
        <f t="shared" ca="1" si="3"/>
        <v>-73.398468976631747</v>
      </c>
      <c r="O220" s="7">
        <f ca="1">IFERROR(__xludf.DUMMYFUNCTION("GOOGLEFINANCE(""NSE:""&amp;D220,""pe"")"),10.38)</f>
        <v>10.38</v>
      </c>
      <c r="P220" s="7">
        <f ca="1">IFERROR(__xludf.DUMMYFUNCTION("GOOGLEFINANCE(""NSE:""&amp;D220,""EPS"")"),25.45)</f>
        <v>25.45</v>
      </c>
      <c r="Q220" s="7">
        <v>13.5</v>
      </c>
      <c r="R220" s="7" t="str">
        <f ca="1">IFERROR(__xludf.DUMMYFUNCTION("IMPORTXML(E220,""/html/body/main/div[3]/div[3]/div[2]/ul/li[7]/span[2]/span"")"),"Loading...")</f>
        <v>Loading...</v>
      </c>
      <c r="S220" s="7" t="str">
        <f ca="1">IFERROR(__xludf.DUMMYFUNCTION("IMPORTXML(E220,""/html/body/main/div[3]/div[3]/div[2]/ul/li[8]/span[2]/span"")"),"Loading...")</f>
        <v>Loading...</v>
      </c>
      <c r="T220" s="4">
        <v>34.6</v>
      </c>
      <c r="U220" s="4">
        <v>22.7</v>
      </c>
      <c r="V220" s="4">
        <v>2.6</v>
      </c>
      <c r="W220" s="4">
        <v>5.7</v>
      </c>
      <c r="X220" s="4">
        <v>519.92999999999995</v>
      </c>
      <c r="Y220" s="7">
        <f t="shared" ca="1" si="4"/>
        <v>-255.82999999999993</v>
      </c>
    </row>
    <row r="221" spans="1:25" ht="15" x14ac:dyDescent="0.25">
      <c r="A221" s="4">
        <v>914</v>
      </c>
      <c r="C221" s="12" t="s">
        <v>986</v>
      </c>
      <c r="D221" s="12" t="s">
        <v>987</v>
      </c>
      <c r="E221" s="5" t="str">
        <f t="shared" si="0"/>
        <v>https://www.screener.in/company/MASTERTR/consolidated/</v>
      </c>
      <c r="F221" s="4">
        <v>443059</v>
      </c>
      <c r="G221" s="4">
        <v>3832241897</v>
      </c>
      <c r="H221" s="6">
        <f t="shared" ca="1" si="1"/>
        <v>59093.170051739988</v>
      </c>
      <c r="I221" s="7" t="str">
        <f ca="1">IFERROR(__xludf.DUMMYFUNCTION("IMPORTXML(E221,""/html/body/main/div[3]/div[3]/div[2]/ul/li[5]/span[2]/span"")"),"Loading...")</f>
        <v>Loading...</v>
      </c>
      <c r="J221" s="7">
        <f ca="1">IFERROR(__xludf.DUMMYFUNCTION("GOOGLEFINANCE(""NSE:""&amp;D221,""marketcap"")"),19153764241)</f>
        <v>19153764241</v>
      </c>
      <c r="K221" s="7">
        <v>992.8</v>
      </c>
      <c r="L221" s="8">
        <f ca="1">IFERROR(__xludf.DUMMYFUNCTION("GOOGLEFINANCE(""NSE:""&amp;D221,""price"")"),154.2)</f>
        <v>154.19999999999999</v>
      </c>
      <c r="M221" s="9">
        <f t="shared" ca="1" si="2"/>
        <v>-838.59999999999991</v>
      </c>
      <c r="N221" s="10">
        <f t="shared" ca="1" si="3"/>
        <v>-84.468170829975818</v>
      </c>
      <c r="O221" s="7">
        <f ca="1">IFERROR(__xludf.DUMMYFUNCTION("GOOGLEFINANCE(""NSE:""&amp;D221,""pe"")"),14.43)</f>
        <v>14.43</v>
      </c>
      <c r="P221" s="7">
        <f ca="1">IFERROR(__xludf.DUMMYFUNCTION("GOOGLEFINANCE(""NSE:""&amp;D221,""EPS"")"),10.69)</f>
        <v>10.69</v>
      </c>
      <c r="Q221" s="7">
        <v>13.5</v>
      </c>
      <c r="R221" s="7" t="str">
        <f ca="1">IFERROR(__xludf.DUMMYFUNCTION("IMPORTXML(E221,""/html/body/main/div[3]/div[3]/div[2]/ul/li[7]/span[2]/span"")"),"Loading...")</f>
        <v>Loading...</v>
      </c>
      <c r="S221" s="7" t="str">
        <f ca="1">IFERROR(__xludf.DUMMYFUNCTION("IMPORTXML(E221,""/html/body/main/div[3]/div[3]/div[2]/ul/li[8]/span[2]/span"")"),"Loading...")</f>
        <v>Loading...</v>
      </c>
      <c r="T221" s="4">
        <v>34.6</v>
      </c>
      <c r="U221" s="4">
        <v>22.7</v>
      </c>
      <c r="V221" s="4">
        <v>2.6</v>
      </c>
      <c r="W221" s="4">
        <v>5.7</v>
      </c>
      <c r="X221" s="4">
        <v>519.92999999999995</v>
      </c>
      <c r="Y221" s="7">
        <f t="shared" ca="1" si="4"/>
        <v>-365.72999999999996</v>
      </c>
    </row>
    <row r="222" spans="1:25" ht="15" x14ac:dyDescent="0.25">
      <c r="A222" s="4">
        <v>341</v>
      </c>
      <c r="C222" s="12" t="s">
        <v>988</v>
      </c>
      <c r="D222" s="12" t="s">
        <v>989</v>
      </c>
      <c r="E222" s="5" t="str">
        <f t="shared" si="0"/>
        <v>https://www.screener.in/company/MAHSEAMLES/consolidated/</v>
      </c>
      <c r="F222" s="4">
        <v>443059</v>
      </c>
      <c r="G222" s="4">
        <v>3832241897</v>
      </c>
      <c r="H222" s="6">
        <f t="shared" ca="1" si="1"/>
        <v>243079.10352670995</v>
      </c>
      <c r="I222" s="7" t="str">
        <f ca="1">IFERROR(__xludf.DUMMYFUNCTION("IMPORTXML(E222,""/html/body/main/div[3]/div[3]/div[2]/ul/li[5]/span[2]/span"")"),"Loading...")</f>
        <v>Loading...</v>
      </c>
      <c r="J222" s="7">
        <f ca="1">IFERROR(__xludf.DUMMYFUNCTION("GOOGLEFINANCE(""NSE:""&amp;D222,""marketcap"")"),84908630000)</f>
        <v>84908630000</v>
      </c>
      <c r="K222" s="7">
        <v>992.8</v>
      </c>
      <c r="L222" s="8">
        <f ca="1">IFERROR(__xludf.DUMMYFUNCTION("GOOGLEFINANCE(""NSE:""&amp;D222,""price"")"),634.3)</f>
        <v>634.29999999999995</v>
      </c>
      <c r="M222" s="9">
        <f t="shared" ca="1" si="2"/>
        <v>-358.5</v>
      </c>
      <c r="N222" s="10">
        <f t="shared" ca="1" si="3"/>
        <v>-36.109991941982273</v>
      </c>
      <c r="O222" s="7">
        <f ca="1">IFERROR(__xludf.DUMMYFUNCTION("GOOGLEFINANCE(""NSE:""&amp;D222,""pe"")"),10.08)</f>
        <v>10.08</v>
      </c>
      <c r="P222" s="7">
        <f ca="1">IFERROR(__xludf.DUMMYFUNCTION("GOOGLEFINANCE(""NSE:""&amp;D222,""EPS"")"),62.9)</f>
        <v>62.9</v>
      </c>
      <c r="Q222" s="7">
        <v>13.5</v>
      </c>
      <c r="R222" s="7" t="str">
        <f ca="1">IFERROR(__xludf.DUMMYFUNCTION("IMPORTXML(E222,""/html/body/main/div[3]/div[3]/div[2]/ul/li[7]/span[2]/span"")"),"Loading...")</f>
        <v>Loading...</v>
      </c>
      <c r="S222" s="7" t="str">
        <f ca="1">IFERROR(__xludf.DUMMYFUNCTION("IMPORTXML(E222,""/html/body/main/div[3]/div[3]/div[2]/ul/li[8]/span[2]/span"")"),"Loading...")</f>
        <v>Loading...</v>
      </c>
      <c r="T222" s="4">
        <v>34.6</v>
      </c>
      <c r="U222" s="4">
        <v>22.7</v>
      </c>
      <c r="V222" s="4">
        <v>2.6</v>
      </c>
      <c r="W222" s="4">
        <v>5.7</v>
      </c>
      <c r="X222" s="4">
        <v>519.92999999999995</v>
      </c>
      <c r="Y222" s="7">
        <f t="shared" ca="1" si="4"/>
        <v>114.37</v>
      </c>
    </row>
    <row r="223" spans="1:25" ht="15" x14ac:dyDescent="0.25">
      <c r="A223" s="4">
        <v>141</v>
      </c>
      <c r="C223" s="12" t="s">
        <v>990</v>
      </c>
      <c r="D223" s="12" t="s">
        <v>991</v>
      </c>
      <c r="E223" s="5" t="str">
        <f t="shared" si="0"/>
        <v>https://www.screener.in/company/BBTC/consolidated/</v>
      </c>
      <c r="F223" s="4">
        <v>443059</v>
      </c>
      <c r="G223" s="4">
        <v>3832241897</v>
      </c>
      <c r="H223" s="6">
        <f t="shared" ca="1" si="1"/>
        <v>710497.6477038</v>
      </c>
      <c r="I223" s="7" t="str">
        <f ca="1">IFERROR(__xludf.DUMMYFUNCTION("IMPORTXML(E223,""/html/body/main/div[3]/div[3]/div[2]/ul/li[5]/span[2]/span"")"),"Loading...")</f>
        <v>Loading...</v>
      </c>
      <c r="J223" s="7">
        <f ca="1">IFERROR(__xludf.DUMMYFUNCTION("GOOGLEFINANCE(""NSE:""&amp;D223,""marketcap"")"),129350100000)</f>
        <v>129350100000</v>
      </c>
      <c r="K223" s="7">
        <v>992.8</v>
      </c>
      <c r="L223" s="8">
        <f ca="1">IFERROR(__xludf.DUMMYFUNCTION("GOOGLEFINANCE(""NSE:""&amp;D223,""price"")"),1854)</f>
        <v>1854</v>
      </c>
      <c r="M223" s="9">
        <f t="shared" ca="1" si="2"/>
        <v>861.2</v>
      </c>
      <c r="N223" s="10">
        <f t="shared" ca="1" si="3"/>
        <v>86.744560838033863</v>
      </c>
      <c r="O223" s="7">
        <f ca="1">IFERROR(__xludf.DUMMYFUNCTION("GOOGLEFINANCE(""NSE:""&amp;D223,""pe"")"),11.34)</f>
        <v>11.34</v>
      </c>
      <c r="P223" s="7">
        <f ca="1">IFERROR(__xludf.DUMMYFUNCTION("GOOGLEFINANCE(""NSE:""&amp;D223,""EPS"")"),163.54)</f>
        <v>163.54</v>
      </c>
      <c r="Q223" s="7">
        <v>13.5</v>
      </c>
      <c r="R223" s="7" t="str">
        <f ca="1">IFERROR(__xludf.DUMMYFUNCTION("IMPORTXML(E223,""/html/body/main/div[3]/div[3]/div[2]/ul/li[7]/span[2]/span"")"),"Loading...")</f>
        <v>Loading...</v>
      </c>
      <c r="S223" s="7" t="str">
        <f ca="1">IFERROR(__xludf.DUMMYFUNCTION("IMPORTXML(E223,""/html/body/main/div[3]/div[3]/div[2]/ul/li[8]/span[2]/span"")"),"Loading...")</f>
        <v>Loading...</v>
      </c>
      <c r="T223" s="4">
        <v>34.6</v>
      </c>
      <c r="U223" s="4">
        <v>22.7</v>
      </c>
      <c r="V223" s="4">
        <v>2.6</v>
      </c>
      <c r="W223" s="4">
        <v>5.7</v>
      </c>
      <c r="X223" s="4">
        <v>519.92999999999995</v>
      </c>
      <c r="Y223" s="7">
        <f t="shared" ca="1" si="4"/>
        <v>1334.0700000000002</v>
      </c>
    </row>
    <row r="224" spans="1:25" ht="15" x14ac:dyDescent="0.25">
      <c r="A224" s="4">
        <v>1303</v>
      </c>
      <c r="C224" s="12" t="s">
        <v>992</v>
      </c>
      <c r="D224" s="12" t="s">
        <v>993</v>
      </c>
      <c r="E224" s="5" t="str">
        <f t="shared" si="0"/>
        <v>https://www.screener.in/company/SARLAPOLY/consolidated/</v>
      </c>
      <c r="F224" s="4">
        <v>443059</v>
      </c>
      <c r="G224" s="4">
        <v>3832241897</v>
      </c>
      <c r="H224" s="6">
        <f t="shared" ca="1" si="1"/>
        <v>39012.222511460001</v>
      </c>
      <c r="I224" s="7" t="str">
        <f ca="1">IFERROR(__xludf.DUMMYFUNCTION("IMPORTXML(E224,""/html/body/main/div[3]/div[3]/div[2]/ul/li[5]/span[2]/span"")"),"Loading...")</f>
        <v>Loading...</v>
      </c>
      <c r="J224" s="7">
        <f ca="1">IFERROR(__xludf.DUMMYFUNCTION("GOOGLEFINANCE(""NSE:""&amp;D224,""marketcap"")"),8522316000)</f>
        <v>8522316000</v>
      </c>
      <c r="K224" s="7">
        <v>992.8</v>
      </c>
      <c r="L224" s="8">
        <f ca="1">IFERROR(__xludf.DUMMYFUNCTION("GOOGLEFINANCE(""NSE:""&amp;D224,""price"")"),101.8)</f>
        <v>101.8</v>
      </c>
      <c r="M224" s="9">
        <f t="shared" ca="1" si="2"/>
        <v>-891</v>
      </c>
      <c r="N224" s="10">
        <f t="shared" ca="1" si="3"/>
        <v>-89.746172441579375</v>
      </c>
      <c r="O224" s="7">
        <f ca="1">IFERROR(__xludf.DUMMYFUNCTION("GOOGLEFINANCE(""NSE:""&amp;D224,""pe"")"),12.99)</f>
        <v>12.99</v>
      </c>
      <c r="P224" s="7">
        <f ca="1">IFERROR(__xludf.DUMMYFUNCTION("GOOGLEFINANCE(""NSE:""&amp;D224,""EPS"")"),7.84)</f>
        <v>7.84</v>
      </c>
      <c r="Q224" s="7">
        <v>13.5</v>
      </c>
      <c r="R224" s="7" t="str">
        <f ca="1">IFERROR(__xludf.DUMMYFUNCTION("IMPORTXML(E224,""/html/body/main/div[3]/div[3]/div[2]/ul/li[7]/span[2]/span"")"),"Loading...")</f>
        <v>Loading...</v>
      </c>
      <c r="S224" s="7" t="str">
        <f ca="1">IFERROR(__xludf.DUMMYFUNCTION("IMPORTXML(E224,""/html/body/main/div[3]/div[3]/div[2]/ul/li[8]/span[2]/span"")"),"Loading...")</f>
        <v>Loading...</v>
      </c>
      <c r="T224" s="4">
        <v>34.6</v>
      </c>
      <c r="U224" s="4">
        <v>22.7</v>
      </c>
      <c r="V224" s="4">
        <v>2.6</v>
      </c>
      <c r="W224" s="4">
        <v>5.7</v>
      </c>
      <c r="X224" s="4">
        <v>519.92999999999995</v>
      </c>
      <c r="Y224" s="7">
        <f t="shared" ca="1" si="4"/>
        <v>-418.12999999999994</v>
      </c>
    </row>
    <row r="225" spans="1:25" ht="15" x14ac:dyDescent="0.25">
      <c r="A225" s="4">
        <v>1327</v>
      </c>
      <c r="C225" s="12" t="s">
        <v>994</v>
      </c>
      <c r="D225" s="12" t="s">
        <v>995</v>
      </c>
      <c r="E225" s="5" t="str">
        <f t="shared" si="0"/>
        <v>https://www.screener.in/company/SCHAND/consolidated/</v>
      </c>
      <c r="F225" s="4">
        <v>443059</v>
      </c>
      <c r="G225" s="4">
        <v>3832241897</v>
      </c>
      <c r="H225" s="6">
        <f t="shared" ca="1" si="1"/>
        <v>74460.460058710014</v>
      </c>
      <c r="I225" s="7" t="str">
        <f ca="1">IFERROR(__xludf.DUMMYFUNCTION("IMPORTXML(E225,""/html/body/main/div[3]/div[3]/div[2]/ul/li[5]/span[2]/span"")"),"Loading...")</f>
        <v>Loading...</v>
      </c>
      <c r="J225" s="7">
        <f ca="1">IFERROR(__xludf.DUMMYFUNCTION("GOOGLEFINANCE(""NSE:""&amp;D225,""marketcap"")"),6854996000)</f>
        <v>6854996000</v>
      </c>
      <c r="K225" s="7">
        <v>992.8</v>
      </c>
      <c r="L225" s="8">
        <f ca="1">IFERROR(__xludf.DUMMYFUNCTION("GOOGLEFINANCE(""NSE:""&amp;D225,""price"")"),194.3)</f>
        <v>194.3</v>
      </c>
      <c r="M225" s="9">
        <f t="shared" ca="1" si="2"/>
        <v>-798.5</v>
      </c>
      <c r="N225" s="10">
        <f t="shared" ca="1" si="3"/>
        <v>-80.429089443996787</v>
      </c>
      <c r="O225" s="7">
        <f ca="1">IFERROR(__xludf.DUMMYFUNCTION("GOOGLEFINANCE(""NSE:""&amp;D225,""pe"")"),13.1)</f>
        <v>13.1</v>
      </c>
      <c r="P225" s="7">
        <f ca="1">IFERROR(__xludf.DUMMYFUNCTION("GOOGLEFINANCE(""NSE:""&amp;D225,""EPS"")"),14.83)</f>
        <v>14.83</v>
      </c>
      <c r="Q225" s="7">
        <v>13.5</v>
      </c>
      <c r="R225" s="7" t="str">
        <f ca="1">IFERROR(__xludf.DUMMYFUNCTION("IMPORTXML(E225,""/html/body/main/div[3]/div[3]/div[2]/ul/li[7]/span[2]/span"")"),"Loading...")</f>
        <v>Loading...</v>
      </c>
      <c r="S225" s="7" t="str">
        <f ca="1">IFERROR(__xludf.DUMMYFUNCTION("IMPORTXML(E225,""/html/body/main/div[3]/div[3]/div[2]/ul/li[8]/span[2]/span"")"),"Loading...")</f>
        <v>Loading...</v>
      </c>
      <c r="T225" s="4">
        <v>34.6</v>
      </c>
      <c r="U225" s="4">
        <v>22.7</v>
      </c>
      <c r="V225" s="4">
        <v>2.6</v>
      </c>
      <c r="W225" s="4">
        <v>5.7</v>
      </c>
      <c r="X225" s="4">
        <v>519.92999999999995</v>
      </c>
      <c r="Y225" s="7">
        <f t="shared" ca="1" si="4"/>
        <v>-325.62999999999994</v>
      </c>
    </row>
    <row r="226" spans="1:25" ht="15" x14ac:dyDescent="0.25">
      <c r="A226" s="4">
        <v>65</v>
      </c>
      <c r="C226" s="12" t="s">
        <v>996</v>
      </c>
      <c r="D226" s="12" t="s">
        <v>997</v>
      </c>
      <c r="E226" s="5" t="str">
        <f t="shared" si="0"/>
        <v>https://www.screener.in/company/PNBHOUSING/consolidated/</v>
      </c>
      <c r="F226" s="4">
        <v>443059</v>
      </c>
      <c r="G226" s="4">
        <v>3832241897</v>
      </c>
      <c r="H226" s="6">
        <f t="shared" ca="1" si="1"/>
        <v>303705.17033724999</v>
      </c>
      <c r="I226" s="7" t="str">
        <f ca="1">IFERROR(__xludf.DUMMYFUNCTION("IMPORTXML(E226,""/html/body/main/div[3]/div[3]/div[2]/ul/li[5]/span[2]/span"")"),"Loading...")</f>
        <v>Loading...</v>
      </c>
      <c r="J226" s="7">
        <f ca="1">IFERROR(__xludf.DUMMYFUNCTION("GOOGLEFINANCE(""NSE:""&amp;D226,""marketcap"")"),206200100000)</f>
        <v>206200100000</v>
      </c>
      <c r="K226" s="7">
        <v>992.8</v>
      </c>
      <c r="L226" s="8">
        <f ca="1">IFERROR(__xludf.DUMMYFUNCTION("GOOGLEFINANCE(""NSE:""&amp;D226,""price"")"),792.5)</f>
        <v>792.5</v>
      </c>
      <c r="M226" s="9">
        <f t="shared" ca="1" si="2"/>
        <v>-200.29999999999995</v>
      </c>
      <c r="N226" s="10">
        <f t="shared" ca="1" si="3"/>
        <v>-20.175261885576145</v>
      </c>
      <c r="O226" s="7">
        <f ca="1">IFERROR(__xludf.DUMMYFUNCTION("GOOGLEFINANCE(""NSE:""&amp;D226,""pe"")"),10.15)</f>
        <v>10.15</v>
      </c>
      <c r="P226" s="7">
        <f ca="1">IFERROR(__xludf.DUMMYFUNCTION("GOOGLEFINANCE(""NSE:""&amp;D226,""EPS"")"),78.11)</f>
        <v>78.11</v>
      </c>
      <c r="Q226" s="7">
        <v>13.5</v>
      </c>
      <c r="R226" s="7" t="str">
        <f ca="1">IFERROR(__xludf.DUMMYFUNCTION("IMPORTXML(E226,""/html/body/main/div[3]/div[3]/div[2]/ul/li[7]/span[2]/span"")"),"Loading...")</f>
        <v>Loading...</v>
      </c>
      <c r="S226" s="7" t="str">
        <f ca="1">IFERROR(__xludf.DUMMYFUNCTION("IMPORTXML(E226,""/html/body/main/div[3]/div[3]/div[2]/ul/li[8]/span[2]/span"")"),"Loading...")</f>
        <v>Loading...</v>
      </c>
      <c r="T226" s="4">
        <v>34.6</v>
      </c>
      <c r="U226" s="4">
        <v>22.7</v>
      </c>
      <c r="V226" s="4">
        <v>2.6</v>
      </c>
      <c r="W226" s="4">
        <v>5.7</v>
      </c>
      <c r="X226" s="4">
        <v>519.92999999999995</v>
      </c>
      <c r="Y226" s="7">
        <f t="shared" ca="1" si="4"/>
        <v>272.57000000000005</v>
      </c>
    </row>
    <row r="227" spans="1:25" ht="15" x14ac:dyDescent="0.25">
      <c r="A227" s="4">
        <v>823</v>
      </c>
      <c r="C227" s="12" t="s">
        <v>998</v>
      </c>
      <c r="D227" s="12" t="s">
        <v>999</v>
      </c>
      <c r="E227" s="5" t="str">
        <f t="shared" si="0"/>
        <v>https://www.screener.in/company/NITINSPIN/consolidated/</v>
      </c>
      <c r="F227" s="4">
        <v>443059</v>
      </c>
      <c r="G227" s="4">
        <v>3832241897</v>
      </c>
      <c r="H227" s="6">
        <f t="shared" ca="1" si="1"/>
        <v>127575.33275112999</v>
      </c>
      <c r="I227" s="7" t="str">
        <f ca="1">IFERROR(__xludf.DUMMYFUNCTION("IMPORTXML(E227,""/html/body/main/div[3]/div[3]/div[2]/ul/li[5]/span[2]/span"")"),"Loading...")</f>
        <v>Loading...</v>
      </c>
      <c r="J227" s="7">
        <f ca="1">IFERROR(__xludf.DUMMYFUNCTION("GOOGLEFINANCE(""NSE:""&amp;D227,""marketcap"")"),18549790000)</f>
        <v>18549790000</v>
      </c>
      <c r="K227" s="7">
        <v>992.8</v>
      </c>
      <c r="L227" s="8">
        <f ca="1">IFERROR(__xludf.DUMMYFUNCTION("GOOGLEFINANCE(""NSE:""&amp;D227,""price"")"),332.9)</f>
        <v>332.9</v>
      </c>
      <c r="M227" s="9">
        <f t="shared" ca="1" si="2"/>
        <v>-659.9</v>
      </c>
      <c r="N227" s="10">
        <f t="shared" ca="1" si="3"/>
        <v>-66.468573730862218</v>
      </c>
      <c r="O227" s="7">
        <f ca="1">IFERROR(__xludf.DUMMYFUNCTION("GOOGLEFINANCE(""NSE:""&amp;D227,""pe"")"),10.74)</f>
        <v>10.74</v>
      </c>
      <c r="P227" s="7">
        <f ca="1">IFERROR(__xludf.DUMMYFUNCTION("GOOGLEFINANCE(""NSE:""&amp;D227,""EPS"")"),30.99)</f>
        <v>30.99</v>
      </c>
      <c r="Q227" s="7">
        <v>13.5</v>
      </c>
      <c r="R227" s="7" t="str">
        <f ca="1">IFERROR(__xludf.DUMMYFUNCTION("IMPORTXML(E227,""/html/body/main/div[3]/div[3]/div[2]/ul/li[7]/span[2]/span"")"),"Loading...")</f>
        <v>Loading...</v>
      </c>
      <c r="S227" s="7" t="str">
        <f ca="1">IFERROR(__xludf.DUMMYFUNCTION("IMPORTXML(E227,""/html/body/main/div[3]/div[3]/div[2]/ul/li[8]/span[2]/span"")"),"Loading...")</f>
        <v>Loading...</v>
      </c>
      <c r="T227" s="4">
        <v>34.6</v>
      </c>
      <c r="U227" s="4">
        <v>22.7</v>
      </c>
      <c r="V227" s="4">
        <v>2.6</v>
      </c>
      <c r="W227" s="4">
        <v>5.7</v>
      </c>
      <c r="X227" s="4">
        <v>519.92999999999995</v>
      </c>
      <c r="Y227" s="7">
        <f t="shared" ca="1" si="4"/>
        <v>-187.02999999999997</v>
      </c>
    </row>
    <row r="228" spans="1:25" ht="15" x14ac:dyDescent="0.25">
      <c r="A228" s="4">
        <v>829</v>
      </c>
      <c r="C228" s="12" t="s">
        <v>1000</v>
      </c>
      <c r="D228" s="12" t="s">
        <v>1001</v>
      </c>
      <c r="E228" s="5" t="str">
        <f t="shared" si="0"/>
        <v>https://www.screener.in/company/UGROCAP/consolidated/</v>
      </c>
      <c r="F228" s="4">
        <v>443059</v>
      </c>
      <c r="G228" s="4">
        <v>3832241897</v>
      </c>
      <c r="H228" s="6">
        <f t="shared" ca="1" si="1"/>
        <v>69171.966240850001</v>
      </c>
      <c r="I228" s="7" t="str">
        <f ca="1">IFERROR(__xludf.DUMMYFUNCTION("IMPORTXML(E228,""/html/body/main/div[3]/div[3]/div[2]/ul/li[5]/span[2]/span"")"),"Loading...")</f>
        <v>Loading...</v>
      </c>
      <c r="J228" s="7">
        <f ca="1">IFERROR(__xludf.DUMMYFUNCTION("GOOGLEFINANCE(""NSE:""&amp;D228,""marketcap"")"),20668309127)</f>
        <v>20668309127</v>
      </c>
      <c r="K228" s="7">
        <v>992.8</v>
      </c>
      <c r="L228" s="8">
        <f ca="1">IFERROR(__xludf.DUMMYFUNCTION("GOOGLEFINANCE(""NSE:""&amp;D228,""price"")"),180.5)</f>
        <v>180.5</v>
      </c>
      <c r="M228" s="9">
        <f t="shared" ca="1" si="2"/>
        <v>-812.3</v>
      </c>
      <c r="N228" s="10">
        <f t="shared" ca="1" si="3"/>
        <v>-81.8190975020145</v>
      </c>
      <c r="O228" s="7">
        <f ca="1">IFERROR(__xludf.DUMMYFUNCTION("GOOGLEFINANCE(""NSE:""&amp;D228,""pe"")"),12.76)</f>
        <v>12.76</v>
      </c>
      <c r="P228" s="7">
        <f ca="1">IFERROR(__xludf.DUMMYFUNCTION("GOOGLEFINANCE(""NSE:""&amp;D228,""EPS"")"),14.14)</f>
        <v>14.14</v>
      </c>
      <c r="Q228" s="7">
        <v>13.5</v>
      </c>
      <c r="R228" s="7" t="str">
        <f ca="1">IFERROR(__xludf.DUMMYFUNCTION("IMPORTXML(E228,""/html/body/main/div[3]/div[3]/div[2]/ul/li[7]/span[2]/span"")"),"Loading...")</f>
        <v>Loading...</v>
      </c>
      <c r="S228" s="7" t="str">
        <f ca="1">IFERROR(__xludf.DUMMYFUNCTION("IMPORTXML(E228,""/html/body/main/div[3]/div[3]/div[2]/ul/li[8]/span[2]/span"")"),"Loading...")</f>
        <v>Loading...</v>
      </c>
      <c r="T228" s="4">
        <v>34.6</v>
      </c>
      <c r="U228" s="4">
        <v>22.7</v>
      </c>
      <c r="V228" s="4">
        <v>2.6</v>
      </c>
      <c r="W228" s="4">
        <v>5.7</v>
      </c>
      <c r="X228" s="4">
        <v>519.92999999999995</v>
      </c>
      <c r="Y228" s="7">
        <f t="shared" ca="1" si="4"/>
        <v>-339.42999999999995</v>
      </c>
    </row>
    <row r="229" spans="1:25" ht="15" x14ac:dyDescent="0.25">
      <c r="A229" s="4">
        <v>1583</v>
      </c>
      <c r="C229" s="12" t="s">
        <v>1002</v>
      </c>
      <c r="D229" s="12" t="s">
        <v>1003</v>
      </c>
      <c r="E229" s="5" t="str">
        <f t="shared" si="0"/>
        <v>https://www.screener.in/company/VENUSREM/consolidated/</v>
      </c>
      <c r="F229" s="4">
        <v>443059</v>
      </c>
      <c r="G229" s="4">
        <v>3832241897</v>
      </c>
      <c r="H229" s="6">
        <f t="shared" ca="1" si="1"/>
        <v>175612.48493002501</v>
      </c>
      <c r="I229" s="7" t="str">
        <f ca="1">IFERROR(__xludf.DUMMYFUNCTION("IMPORTXML(E229,""/html/body/main/div[3]/div[3]/div[2]/ul/li[5]/span[2]/span"")"),"Loading...")</f>
        <v>Loading...</v>
      </c>
      <c r="J229" s="7">
        <f ca="1">IFERROR(__xludf.DUMMYFUNCTION("GOOGLEFINANCE(""NSE:""&amp;D229,""marketcap"")"),6140126000)</f>
        <v>6140126000</v>
      </c>
      <c r="K229" s="7">
        <v>992.8</v>
      </c>
      <c r="L229" s="8">
        <f ca="1">IFERROR(__xludf.DUMMYFUNCTION("GOOGLEFINANCE(""NSE:""&amp;D229,""price"")"),458.25)</f>
        <v>458.25</v>
      </c>
      <c r="M229" s="9">
        <f t="shared" ca="1" si="2"/>
        <v>-534.54999999999995</v>
      </c>
      <c r="N229" s="10">
        <f t="shared" ca="1" si="3"/>
        <v>-53.842667203867848</v>
      </c>
      <c r="O229" s="7">
        <f ca="1">IFERROR(__xludf.DUMMYFUNCTION("GOOGLEFINANCE(""NSE:""&amp;D229,""pe"")"),11.4)</f>
        <v>11.4</v>
      </c>
      <c r="P229" s="7">
        <f ca="1">IFERROR(__xludf.DUMMYFUNCTION("GOOGLEFINANCE(""NSE:""&amp;D229,""EPS"")"),40.19)</f>
        <v>40.19</v>
      </c>
      <c r="Q229" s="7">
        <v>13.5</v>
      </c>
      <c r="R229" s="7" t="str">
        <f ca="1">IFERROR(__xludf.DUMMYFUNCTION("IMPORTXML(E229,""/html/body/main/div[3]/div[3]/div[2]/ul/li[7]/span[2]/span"")"),"Loading...")</f>
        <v>Loading...</v>
      </c>
      <c r="S229" s="7" t="str">
        <f ca="1">IFERROR(__xludf.DUMMYFUNCTION("IMPORTXML(E229,""/html/body/main/div[3]/div[3]/div[2]/ul/li[8]/span[2]/span"")"),"Loading...")</f>
        <v>Loading...</v>
      </c>
      <c r="T229" s="4">
        <v>34.6</v>
      </c>
      <c r="U229" s="4">
        <v>22.7</v>
      </c>
      <c r="V229" s="4">
        <v>2.6</v>
      </c>
      <c r="W229" s="4">
        <v>5.7</v>
      </c>
      <c r="X229" s="4">
        <v>519.92999999999995</v>
      </c>
      <c r="Y229" s="7">
        <f t="shared" ca="1" si="4"/>
        <v>-61.67999999999995</v>
      </c>
    </row>
    <row r="230" spans="1:25" ht="15" x14ac:dyDescent="0.25">
      <c r="A230" s="4">
        <v>1229</v>
      </c>
      <c r="C230" s="12" t="s">
        <v>1004</v>
      </c>
      <c r="D230" s="12" t="s">
        <v>1005</v>
      </c>
      <c r="E230" s="5" t="str">
        <f t="shared" si="0"/>
        <v>https://www.screener.in/company/20MICRONS/consolidated/</v>
      </c>
      <c r="F230" s="4">
        <v>443059</v>
      </c>
      <c r="G230" s="4">
        <v>3832241897</v>
      </c>
      <c r="H230" s="6">
        <f t="shared" ca="1" si="1"/>
        <v>88908.012010399994</v>
      </c>
      <c r="I230" s="7" t="str">
        <f ca="1">IFERROR(__xludf.DUMMYFUNCTION("IMPORTXML(E230,""/html/body/main/div[3]/div[3]/div[2]/ul/li[5]/span[2]/span"")"),"Loading...")</f>
        <v>Loading...</v>
      </c>
      <c r="J230" s="7">
        <f ca="1">IFERROR(__xludf.DUMMYFUNCTION("GOOGLEFINANCE(""NSE:""&amp;D230,""marketcap"")"),8165649000)</f>
        <v>8165649000</v>
      </c>
      <c r="K230" s="7">
        <v>992.8</v>
      </c>
      <c r="L230" s="8">
        <f ca="1">IFERROR(__xludf.DUMMYFUNCTION("GOOGLEFINANCE(""NSE:""&amp;D230,""price"")"),232)</f>
        <v>232</v>
      </c>
      <c r="M230" s="9">
        <f t="shared" ca="1" si="2"/>
        <v>-760.8</v>
      </c>
      <c r="N230" s="10">
        <f t="shared" ca="1" si="3"/>
        <v>-76.631748589846893</v>
      </c>
      <c r="O230" s="7">
        <f ca="1">IFERROR(__xludf.DUMMYFUNCTION("GOOGLEFINANCE(""NSE:""&amp;D230,""pe"")"),13.34)</f>
        <v>13.34</v>
      </c>
      <c r="P230" s="7">
        <f ca="1">IFERROR(__xludf.DUMMYFUNCTION("GOOGLEFINANCE(""NSE:""&amp;D230,""EPS"")"),17.4)</f>
        <v>17.399999999999999</v>
      </c>
      <c r="Q230" s="7">
        <v>13.5</v>
      </c>
      <c r="R230" s="7" t="str">
        <f ca="1">IFERROR(__xludf.DUMMYFUNCTION("IMPORTXML(E230,""/html/body/main/div[3]/div[3]/div[2]/ul/li[7]/span[2]/span"")"),"Loading...")</f>
        <v>Loading...</v>
      </c>
      <c r="S230" s="7" t="str">
        <f ca="1">IFERROR(__xludf.DUMMYFUNCTION("IMPORTXML(E230,""/html/body/main/div[3]/div[3]/div[2]/ul/li[8]/span[2]/span"")"),"Loading...")</f>
        <v>Loading...</v>
      </c>
      <c r="T230" s="4">
        <v>34.6</v>
      </c>
      <c r="U230" s="4">
        <v>22.7</v>
      </c>
      <c r="V230" s="4">
        <v>2.6</v>
      </c>
      <c r="W230" s="4">
        <v>5.7</v>
      </c>
      <c r="X230" s="4">
        <v>519.92999999999995</v>
      </c>
      <c r="Y230" s="7">
        <f t="shared" ca="1" si="4"/>
        <v>-287.92999999999995</v>
      </c>
    </row>
    <row r="231" spans="1:25" ht="15" x14ac:dyDescent="0.25">
      <c r="A231" s="4">
        <v>690</v>
      </c>
      <c r="C231" s="12" t="s">
        <v>1006</v>
      </c>
      <c r="D231" s="12" t="s">
        <v>1007</v>
      </c>
      <c r="E231" s="5" t="str">
        <f t="shared" si="0"/>
        <v>https://www.screener.in/company/PFS/consolidated/</v>
      </c>
      <c r="F231" s="4">
        <v>443059</v>
      </c>
      <c r="G231" s="4">
        <v>3832241897</v>
      </c>
      <c r="H231" s="6">
        <f t="shared" ca="1" si="1"/>
        <v>14616.170595158002</v>
      </c>
      <c r="I231" s="7" t="str">
        <f ca="1">IFERROR(__xludf.DUMMYFUNCTION("IMPORTXML(E231,""/html/body/main/div[3]/div[3]/div[2]/ul/li[5]/span[2]/span"")"),"Loading...")</f>
        <v>Loading...</v>
      </c>
      <c r="J231" s="7">
        <f ca="1">IFERROR(__xludf.DUMMYFUNCTION("GOOGLEFINANCE(""NSE:""&amp;D231,""marketcap"")"),24496684669)</f>
        <v>24496684669</v>
      </c>
      <c r="K231" s="7">
        <v>992.8</v>
      </c>
      <c r="L231" s="8">
        <f ca="1">IFERROR(__xludf.DUMMYFUNCTION("GOOGLEFINANCE(""NSE:""&amp;D231,""price"")"),38.14)</f>
        <v>38.14</v>
      </c>
      <c r="M231" s="9">
        <f t="shared" ca="1" si="2"/>
        <v>-954.66</v>
      </c>
      <c r="N231" s="10">
        <f t="shared" ca="1" si="3"/>
        <v>-96.158340048348109</v>
      </c>
      <c r="O231" s="7">
        <f ca="1">IFERROR(__xludf.DUMMYFUNCTION("GOOGLEFINANCE(""NSE:""&amp;D231,""pe"")"),7.9)</f>
        <v>7.9</v>
      </c>
      <c r="P231" s="7">
        <f ca="1">IFERROR(__xludf.DUMMYFUNCTION("GOOGLEFINANCE(""NSE:""&amp;D231,""EPS"")"),4.83)</f>
        <v>4.83</v>
      </c>
      <c r="Q231" s="7">
        <v>13.5</v>
      </c>
      <c r="R231" s="7" t="str">
        <f ca="1">IFERROR(__xludf.DUMMYFUNCTION("IMPORTXML(E231,""/html/body/main/div[3]/div[3]/div[2]/ul/li[7]/span[2]/span"")"),"Loading...")</f>
        <v>Loading...</v>
      </c>
      <c r="S231" s="7" t="str">
        <f ca="1">IFERROR(__xludf.DUMMYFUNCTION("IMPORTXML(E231,""/html/body/main/div[3]/div[3]/div[2]/ul/li[8]/span[2]/span"")"),"Loading...")</f>
        <v>Loading...</v>
      </c>
      <c r="T231" s="4">
        <v>34.6</v>
      </c>
      <c r="U231" s="4">
        <v>22.7</v>
      </c>
      <c r="V231" s="4">
        <v>2.6</v>
      </c>
      <c r="W231" s="4">
        <v>5.7</v>
      </c>
      <c r="X231" s="4">
        <v>519.92999999999995</v>
      </c>
      <c r="Y231" s="7">
        <f t="shared" ca="1" si="4"/>
        <v>-481.78999999999996</v>
      </c>
    </row>
    <row r="232" spans="1:25" ht="15" x14ac:dyDescent="0.25">
      <c r="A232" s="4">
        <v>90</v>
      </c>
      <c r="C232" s="12" t="s">
        <v>1008</v>
      </c>
      <c r="D232" s="12" t="s">
        <v>1009</v>
      </c>
      <c r="E232" s="5" t="str">
        <f t="shared" si="0"/>
        <v>https://www.screener.in/company/GSPL/consolidated/</v>
      </c>
      <c r="F232" s="4">
        <v>443059</v>
      </c>
      <c r="G232" s="4">
        <v>3832241897</v>
      </c>
      <c r="H232" s="6">
        <f t="shared" ca="1" si="1"/>
        <v>114813.96723412002</v>
      </c>
      <c r="I232" s="7">
        <f ca="1">IFERROR(__xludf.DUMMYFUNCTION("IMPORTXML(E232,""/html/body/main/div[3]/div[3]/div[2]/ul/li[5]/span[2]/span"")"),206)</f>
        <v>206</v>
      </c>
      <c r="J232" s="7">
        <f ca="1">IFERROR(__xludf.DUMMYFUNCTION("GOOGLEFINANCE(""NSE:""&amp;D232,""marketcap"")"),169037708923)</f>
        <v>169037708923</v>
      </c>
      <c r="K232" s="7">
        <v>992.8</v>
      </c>
      <c r="L232" s="8">
        <f ca="1">IFERROR(__xludf.DUMMYFUNCTION("GOOGLEFINANCE(""NSE:""&amp;D232,""price"")"),299.6)</f>
        <v>299.60000000000002</v>
      </c>
      <c r="M232" s="9">
        <f t="shared" ca="1" si="2"/>
        <v>-693.19999999999993</v>
      </c>
      <c r="N232" s="10">
        <f t="shared" ca="1" si="3"/>
        <v>-69.822723609991939</v>
      </c>
      <c r="O232" s="7">
        <f ca="1">IFERROR(__xludf.DUMMYFUNCTION("GOOGLEFINANCE(""NSE:""&amp;D232,""pe"")"),16.09)</f>
        <v>16.09</v>
      </c>
      <c r="P232" s="7">
        <f ca="1">IFERROR(__xludf.DUMMYFUNCTION("GOOGLEFINANCE(""NSE:""&amp;D232,""EPS"")"),18.62)</f>
        <v>18.62</v>
      </c>
      <c r="Q232" s="7">
        <v>13.5</v>
      </c>
      <c r="R232" s="7" t="str">
        <f ca="1">IFERROR(__xludf.DUMMYFUNCTION("IMPORTXML(E232,""/html/body/main/div[3]/div[3]/div[2]/ul/li[7]/span[2]/span"")"),"Loading...")</f>
        <v>Loading...</v>
      </c>
      <c r="S232" s="7" t="str">
        <f ca="1">IFERROR(__xludf.DUMMYFUNCTION("IMPORTXML(E232,""/html/body/main/div[3]/div[3]/div[2]/ul/li[8]/span[2]/span"")"),"Loading...")</f>
        <v>Loading...</v>
      </c>
      <c r="T232" s="4">
        <v>34.6</v>
      </c>
      <c r="U232" s="4">
        <v>22.7</v>
      </c>
      <c r="V232" s="4">
        <v>2.6</v>
      </c>
      <c r="W232" s="4">
        <v>5.7</v>
      </c>
      <c r="X232" s="4">
        <v>519.92999999999995</v>
      </c>
      <c r="Y232" s="7">
        <f t="shared" ca="1" si="4"/>
        <v>-220.32999999999993</v>
      </c>
    </row>
    <row r="233" spans="1:25" ht="15" x14ac:dyDescent="0.25">
      <c r="A233" s="4">
        <v>963</v>
      </c>
      <c r="C233" s="12" t="s">
        <v>1010</v>
      </c>
      <c r="D233" s="12" t="s">
        <v>1011</v>
      </c>
      <c r="E233" s="5" t="str">
        <f t="shared" si="0"/>
        <v>https://www.screener.in/company/DCMSRIND/consolidated/</v>
      </c>
      <c r="F233" s="4">
        <v>443059</v>
      </c>
      <c r="G233" s="4">
        <v>3832241897</v>
      </c>
      <c r="H233" s="6">
        <f t="shared" ca="1" si="1"/>
        <v>62082.318731400002</v>
      </c>
      <c r="I233" s="7" t="str">
        <f ca="1">IFERROR(__xludf.DUMMYFUNCTION("IMPORTXML(E233,""/html/body/main/div[3]/div[3]/div[2]/ul/li[5]/span[2]/span"")"),"Loading...")</f>
        <v>Loading...</v>
      </c>
      <c r="J233" s="7">
        <f ca="1">IFERROR(__xludf.DUMMYFUNCTION("GOOGLEFINANCE(""NSE:""&amp;D233,""marketcap"")"),14115538021)</f>
        <v>14115538021</v>
      </c>
      <c r="K233" s="7">
        <v>992.8</v>
      </c>
      <c r="L233" s="8">
        <f ca="1">IFERROR(__xludf.DUMMYFUNCTION("GOOGLEFINANCE(""NSE:""&amp;D233,""price"")"),162)</f>
        <v>162</v>
      </c>
      <c r="M233" s="9">
        <f t="shared" ca="1" si="2"/>
        <v>-830.8</v>
      </c>
      <c r="N233" s="10">
        <f t="shared" ca="1" si="3"/>
        <v>-83.682514101531027</v>
      </c>
      <c r="O233" s="7">
        <f ca="1">IFERROR(__xludf.DUMMYFUNCTION("GOOGLEFINANCE(""NSE:""&amp;D233,""pe"")"),16.21)</f>
        <v>16.21</v>
      </c>
      <c r="P233" s="7">
        <f ca="1">IFERROR(__xludf.DUMMYFUNCTION("GOOGLEFINANCE(""NSE:""&amp;D233,""EPS"")"),9.99)</f>
        <v>9.99</v>
      </c>
      <c r="Q233" s="7">
        <v>13.5</v>
      </c>
      <c r="R233" s="7" t="str">
        <f ca="1">IFERROR(__xludf.DUMMYFUNCTION("IMPORTXML(E233,""/html/body/main/div[3]/div[3]/div[2]/ul/li[7]/span[2]/span"")"),"Loading...")</f>
        <v>Loading...</v>
      </c>
      <c r="S233" s="7" t="str">
        <f ca="1">IFERROR(__xludf.DUMMYFUNCTION("IMPORTXML(E233,""/html/body/main/div[3]/div[3]/div[2]/ul/li[8]/span[2]/span"")"),"Loading...")</f>
        <v>Loading...</v>
      </c>
      <c r="T233" s="4">
        <v>34.6</v>
      </c>
      <c r="U233" s="4">
        <v>22.7</v>
      </c>
      <c r="V233" s="4">
        <v>2.6</v>
      </c>
      <c r="W233" s="4">
        <v>5.7</v>
      </c>
      <c r="X233" s="4">
        <v>519.92999999999995</v>
      </c>
      <c r="Y233" s="7">
        <f t="shared" ca="1" si="4"/>
        <v>-357.92999999999995</v>
      </c>
    </row>
    <row r="234" spans="1:25" ht="15" x14ac:dyDescent="0.25">
      <c r="A234" s="4">
        <v>1616</v>
      </c>
      <c r="C234" s="12" t="s">
        <v>1012</v>
      </c>
      <c r="D234" s="12" t="s">
        <v>1013</v>
      </c>
      <c r="E234" s="5" t="str">
        <f t="shared" si="0"/>
        <v>https://www.screener.in/company/PODDARMENT/consolidated/</v>
      </c>
      <c r="F234" s="4">
        <v>443059</v>
      </c>
      <c r="G234" s="4">
        <v>3832241897</v>
      </c>
      <c r="H234" s="6">
        <f t="shared" ca="1" si="1"/>
        <v>105386.6521675</v>
      </c>
      <c r="I234" s="7" t="str">
        <f ca="1">IFERROR(__xludf.DUMMYFUNCTION("IMPORTXML(E234,""/html/body/main/div[3]/div[3]/div[2]/ul/li[5]/span[2]/span"")"),"Loading...")</f>
        <v>Loading...</v>
      </c>
      <c r="J234" s="7">
        <f ca="1">IFERROR(__xludf.DUMMYFUNCTION("GOOGLEFINANCE(""NSE:""&amp;D234,""marketcap"")"),2912976000)</f>
        <v>2912976000</v>
      </c>
      <c r="K234" s="7">
        <v>992.8</v>
      </c>
      <c r="L234" s="8">
        <f ca="1">IFERROR(__xludf.DUMMYFUNCTION("GOOGLEFINANCE(""NSE:""&amp;D234,""price"")"),275)</f>
        <v>275</v>
      </c>
      <c r="M234" s="9">
        <f t="shared" ca="1" si="2"/>
        <v>-717.8</v>
      </c>
      <c r="N234" s="10">
        <f t="shared" ca="1" si="3"/>
        <v>-72.300564061240934</v>
      </c>
      <c r="O234" s="7">
        <f ca="1">IFERROR(__xludf.DUMMYFUNCTION("GOOGLEFINANCE(""NSE:""&amp;D234,""pe"")"),15.05)</f>
        <v>15.05</v>
      </c>
      <c r="P234" s="7">
        <f ca="1">IFERROR(__xludf.DUMMYFUNCTION("GOOGLEFINANCE(""NSE:""&amp;D234,""EPS"")"),18.27)</f>
        <v>18.27</v>
      </c>
      <c r="Q234" s="7">
        <v>13.5</v>
      </c>
      <c r="R234" s="7" t="str">
        <f ca="1">IFERROR(__xludf.DUMMYFUNCTION("IMPORTXML(E234,""/html/body/main/div[3]/div[3]/div[2]/ul/li[7]/span[2]/span"")"),"Loading...")</f>
        <v>Loading...</v>
      </c>
      <c r="S234" s="7" t="str">
        <f ca="1">IFERROR(__xludf.DUMMYFUNCTION("IMPORTXML(E234,""/html/body/main/div[3]/div[3]/div[2]/ul/li[8]/span[2]/span"")"),"Loading...")</f>
        <v>Loading...</v>
      </c>
      <c r="T234" s="4">
        <v>34.6</v>
      </c>
      <c r="U234" s="4">
        <v>22.7</v>
      </c>
      <c r="V234" s="4">
        <v>2.6</v>
      </c>
      <c r="W234" s="4">
        <v>5.7</v>
      </c>
      <c r="X234" s="4">
        <v>519.92999999999995</v>
      </c>
      <c r="Y234" s="7">
        <f t="shared" ca="1" si="4"/>
        <v>-244.92999999999995</v>
      </c>
    </row>
    <row r="235" spans="1:25" ht="15" x14ac:dyDescent="0.25">
      <c r="A235" s="4">
        <v>1221</v>
      </c>
      <c r="C235" s="12" t="s">
        <v>1014</v>
      </c>
      <c r="D235" s="12" t="s">
        <v>1015</v>
      </c>
      <c r="E235" s="5" t="str">
        <f t="shared" si="0"/>
        <v>https://www.screener.in/company/AMBIKCO/consolidated/</v>
      </c>
      <c r="F235" s="4">
        <v>443059</v>
      </c>
      <c r="G235" s="4">
        <v>3832241897</v>
      </c>
      <c r="H235" s="6">
        <f t="shared" ca="1" si="1"/>
        <v>562189.88628990005</v>
      </c>
      <c r="I235" s="7" t="str">
        <f ca="1">IFERROR(__xludf.DUMMYFUNCTION("IMPORTXML(E235,""/html/body/main/div[3]/div[3]/div[2]/ul/li[5]/span[2]/span"")"),"Loading...")</f>
        <v>Loading...</v>
      </c>
      <c r="J235" s="7">
        <f ca="1">IFERROR(__xludf.DUMMYFUNCTION("GOOGLEFINANCE(""NSE:""&amp;D235,""marketcap"")"),8400865000)</f>
        <v>8400865000</v>
      </c>
      <c r="K235" s="7">
        <v>992.8</v>
      </c>
      <c r="L235" s="8">
        <f ca="1">IFERROR(__xludf.DUMMYFUNCTION("GOOGLEFINANCE(""NSE:""&amp;D235,""price"")"),1467)</f>
        <v>1467</v>
      </c>
      <c r="M235" s="9">
        <f t="shared" ca="1" si="2"/>
        <v>474.20000000000005</v>
      </c>
      <c r="N235" s="10">
        <f t="shared" ca="1" si="3"/>
        <v>47.763900080580186</v>
      </c>
      <c r="O235" s="7">
        <f ca="1">IFERROR(__xludf.DUMMYFUNCTION("GOOGLEFINANCE(""NSE:""&amp;D235,""pe"")"),13.97)</f>
        <v>13.97</v>
      </c>
      <c r="P235" s="7">
        <f ca="1">IFERROR(__xludf.DUMMYFUNCTION("GOOGLEFINANCE(""NSE:""&amp;D235,""EPS"")"),105.04)</f>
        <v>105.04</v>
      </c>
      <c r="Q235" s="7">
        <v>13.5</v>
      </c>
      <c r="R235" s="7" t="str">
        <f ca="1">IFERROR(__xludf.DUMMYFUNCTION("IMPORTXML(E235,""/html/body/main/div[3]/div[3]/div[2]/ul/li[7]/span[2]/span"")"),"Loading...")</f>
        <v>Loading...</v>
      </c>
      <c r="S235" s="7" t="str">
        <f ca="1">IFERROR(__xludf.DUMMYFUNCTION("IMPORTXML(E235,""/html/body/main/div[3]/div[3]/div[2]/ul/li[8]/span[2]/span"")"),"Loading...")</f>
        <v>Loading...</v>
      </c>
      <c r="T235" s="4">
        <v>34.6</v>
      </c>
      <c r="U235" s="4">
        <v>22.7</v>
      </c>
      <c r="V235" s="4">
        <v>2.6</v>
      </c>
      <c r="W235" s="4">
        <v>5.7</v>
      </c>
      <c r="X235" s="4">
        <v>519.92999999999995</v>
      </c>
      <c r="Y235" s="7">
        <f t="shared" ca="1" si="4"/>
        <v>947.07</v>
      </c>
    </row>
    <row r="236" spans="1:25" ht="15" x14ac:dyDescent="0.25">
      <c r="A236" s="4">
        <v>1309</v>
      </c>
      <c r="C236" s="12" t="s">
        <v>1016</v>
      </c>
      <c r="D236" s="12" t="s">
        <v>1017</v>
      </c>
      <c r="E236" s="5" t="str">
        <f t="shared" si="0"/>
        <v>https://www.screener.in/company/RBL/consolidated/</v>
      </c>
      <c r="F236" s="4">
        <v>443059</v>
      </c>
      <c r="G236" s="4">
        <v>3832241897</v>
      </c>
      <c r="H236" s="6" t="e">
        <f t="shared" ca="1" si="1"/>
        <v>#VALUE!</v>
      </c>
      <c r="I236" s="7" t="str">
        <f ca="1">IFERROR(__xludf.DUMMYFUNCTION("IMPORTXML(E236,""/html/body/main/div[3]/div[3]/div[2]/ul/li[5]/span[2]/span"")"),"Loading...")</f>
        <v>Loading...</v>
      </c>
      <c r="J236" s="7" t="str">
        <f ca="1">IFERROR(__xludf.DUMMYFUNCTION("GOOGLEFINANCE(""NSE:""&amp;D236,""marketcap"")"),"#N/A")</f>
        <v>#N/A</v>
      </c>
      <c r="K236" s="7">
        <v>992.8</v>
      </c>
      <c r="L236" s="8" t="str">
        <f ca="1">IFERROR(__xludf.DUMMYFUNCTION("GOOGLEFINANCE(""NSE:""&amp;D236,""price"")"),"#N/A")</f>
        <v>#N/A</v>
      </c>
      <c r="M236" s="9" t="e">
        <f t="shared" ca="1" si="2"/>
        <v>#VALUE!</v>
      </c>
      <c r="N236" s="10" t="e">
        <f t="shared" ca="1" si="3"/>
        <v>#VALUE!</v>
      </c>
      <c r="O236" s="7" t="str">
        <f ca="1">IFERROR(__xludf.DUMMYFUNCTION("GOOGLEFINANCE(""NSE:""&amp;D236,""pe"")"),"#N/A")</f>
        <v>#N/A</v>
      </c>
      <c r="P236" s="7" t="str">
        <f ca="1">IFERROR(__xludf.DUMMYFUNCTION("GOOGLEFINANCE(""NSE:""&amp;D236,""EPS"")"),"#N/A")</f>
        <v>#N/A</v>
      </c>
      <c r="Q236" s="7">
        <v>13.5</v>
      </c>
      <c r="R236" s="7" t="str">
        <f ca="1">IFERROR(__xludf.DUMMYFUNCTION("IMPORTXML(E236,""/html/body/main/div[3]/div[3]/div[2]/ul/li[7]/span[2]/span"")"),"Loading...")</f>
        <v>Loading...</v>
      </c>
      <c r="S236" s="7" t="str">
        <f ca="1">IFERROR(__xludf.DUMMYFUNCTION("IMPORTXML(E236,""/html/body/main/div[3]/div[3]/div[2]/ul/li[8]/span[2]/span"")"),"Loading...")</f>
        <v>Loading...</v>
      </c>
      <c r="T236" s="4">
        <v>34.6</v>
      </c>
      <c r="U236" s="4">
        <v>22.7</v>
      </c>
      <c r="V236" s="4">
        <v>2.6</v>
      </c>
      <c r="W236" s="4">
        <v>5.7</v>
      </c>
      <c r="X236" s="4">
        <v>519.92999999999995</v>
      </c>
      <c r="Y236" s="7" t="e">
        <f t="shared" ca="1" si="4"/>
        <v>#VALUE!</v>
      </c>
    </row>
    <row r="237" spans="1:25" ht="15" x14ac:dyDescent="0.25">
      <c r="A237" s="4">
        <v>1920</v>
      </c>
      <c r="C237" s="12" t="s">
        <v>1018</v>
      </c>
      <c r="D237" s="12" t="s">
        <v>1019</v>
      </c>
      <c r="E237" s="5" t="str">
        <f t="shared" si="0"/>
        <v>https://www.screener.in/company/SMARTLINK/consolidated/</v>
      </c>
      <c r="F237" s="4">
        <v>443059</v>
      </c>
      <c r="G237" s="4">
        <v>3832241897</v>
      </c>
      <c r="H237" s="6">
        <f t="shared" ca="1" si="1"/>
        <v>56330.123644003004</v>
      </c>
      <c r="I237" s="7" t="str">
        <f ca="1">IFERROR(__xludf.DUMMYFUNCTION("IMPORTXML(E237,""/html/body/main/div[3]/div[3]/div[2]/ul/li[5]/span[2]/span"")"),"Loading...")</f>
        <v>Loading...</v>
      </c>
      <c r="J237" s="7">
        <f ca="1">IFERROR(__xludf.DUMMYFUNCTION("GOOGLEFINANCE(""NSE:""&amp;D237,""marketcap"")"),1455053000)</f>
        <v>1455053000</v>
      </c>
      <c r="K237" s="7">
        <v>992.8</v>
      </c>
      <c r="L237" s="8">
        <f ca="1">IFERROR(__xludf.DUMMYFUNCTION("GOOGLEFINANCE(""NSE:""&amp;D237,""price"")"),146.99)</f>
        <v>146.99</v>
      </c>
      <c r="M237" s="9">
        <f t="shared" ca="1" si="2"/>
        <v>-845.81</v>
      </c>
      <c r="N237" s="10">
        <f t="shared" ca="1" si="3"/>
        <v>-85.194399677679286</v>
      </c>
      <c r="O237" s="7">
        <f ca="1">IFERROR(__xludf.DUMMYFUNCTION("GOOGLEFINANCE(""NSE:""&amp;D237,""pe"")"),15.91)</f>
        <v>15.91</v>
      </c>
      <c r="P237" s="7">
        <f ca="1">IFERROR(__xludf.DUMMYFUNCTION("GOOGLEFINANCE(""NSE:""&amp;D237,""EPS"")"),9.24)</f>
        <v>9.24</v>
      </c>
      <c r="Q237" s="7">
        <v>13.5</v>
      </c>
      <c r="R237" s="7" t="str">
        <f ca="1">IFERROR(__xludf.DUMMYFUNCTION("IMPORTXML(E237,""/html/body/main/div[3]/div[3]/div[2]/ul/li[7]/span[2]/span"")"),"Loading...")</f>
        <v>Loading...</v>
      </c>
      <c r="S237" s="7" t="str">
        <f ca="1">IFERROR(__xludf.DUMMYFUNCTION("IMPORTXML(E237,""/html/body/main/div[3]/div[3]/div[2]/ul/li[8]/span[2]/span"")"),"Loading...")</f>
        <v>Loading...</v>
      </c>
      <c r="T237" s="4">
        <v>34.6</v>
      </c>
      <c r="U237" s="4">
        <v>22.7</v>
      </c>
      <c r="V237" s="4">
        <v>2.6</v>
      </c>
      <c r="W237" s="4">
        <v>5.7</v>
      </c>
      <c r="X237" s="4">
        <v>519.92999999999995</v>
      </c>
      <c r="Y237" s="7">
        <f t="shared" ca="1" si="4"/>
        <v>-372.93999999999994</v>
      </c>
    </row>
    <row r="238" spans="1:25" ht="15" x14ac:dyDescent="0.25">
      <c r="A238" s="4">
        <v>193</v>
      </c>
      <c r="C238" s="12" t="s">
        <v>1020</v>
      </c>
      <c r="D238" s="12" t="s">
        <v>1021</v>
      </c>
      <c r="E238" s="5" t="str">
        <f t="shared" si="0"/>
        <v>https://www.screener.in/company/NAVA/consolidated/</v>
      </c>
      <c r="F238" s="4">
        <v>443059</v>
      </c>
      <c r="G238" s="4">
        <v>3832241897</v>
      </c>
      <c r="H238" s="6">
        <f t="shared" ca="1" si="1"/>
        <v>260726.57746239501</v>
      </c>
      <c r="I238" s="7" t="str">
        <f ca="1">IFERROR(__xludf.DUMMYFUNCTION("IMPORTXML(E238,""/html/body/main/div[3]/div[3]/div[2]/ul/li[5]/span[2]/span"")"),"Loading...")</f>
        <v>Loading...</v>
      </c>
      <c r="J238" s="7">
        <f ca="1">IFERROR(__xludf.DUMMYFUNCTION("GOOGLEFINANCE(""NSE:""&amp;D238,""marketcap"")"),197417591686)</f>
        <v>197417591686</v>
      </c>
      <c r="K238" s="7">
        <v>992.8</v>
      </c>
      <c r="L238" s="8">
        <f ca="1">IFERROR(__xludf.DUMMYFUNCTION("GOOGLEFINANCE(""NSE:""&amp;D238,""price"")"),680.35)</f>
        <v>680.35</v>
      </c>
      <c r="M238" s="9">
        <f t="shared" ca="1" si="2"/>
        <v>-312.44999999999993</v>
      </c>
      <c r="N238" s="10">
        <f t="shared" ca="1" si="3"/>
        <v>-31.471595487510069</v>
      </c>
      <c r="O238" s="7">
        <f ca="1">IFERROR(__xludf.DUMMYFUNCTION("GOOGLEFINANCE(""NSE:""&amp;D238,""pe"")"),18.76)</f>
        <v>18.760000000000002</v>
      </c>
      <c r="P238" s="7">
        <f ca="1">IFERROR(__xludf.DUMMYFUNCTION("GOOGLEFINANCE(""NSE:""&amp;D238,""EPS"")"),36.26)</f>
        <v>36.26</v>
      </c>
      <c r="Q238" s="7">
        <v>13.5</v>
      </c>
      <c r="R238" s="7" t="str">
        <f ca="1">IFERROR(__xludf.DUMMYFUNCTION("IMPORTXML(E238,""/html/body/main/div[3]/div[3]/div[2]/ul/li[7]/span[2]/span"")"),"Loading...")</f>
        <v>Loading...</v>
      </c>
      <c r="S238" s="7" t="str">
        <f ca="1">IFERROR(__xludf.DUMMYFUNCTION("IMPORTXML(E238,""/html/body/main/div[3]/div[3]/div[2]/ul/li[8]/span[2]/span"")"),"Loading...")</f>
        <v>Loading...</v>
      </c>
      <c r="T238" s="4">
        <v>34.6</v>
      </c>
      <c r="U238" s="4">
        <v>22.7</v>
      </c>
      <c r="V238" s="4">
        <v>2.6</v>
      </c>
      <c r="W238" s="4">
        <v>5.7</v>
      </c>
      <c r="X238" s="4">
        <v>519.92999999999995</v>
      </c>
      <c r="Y238" s="7">
        <f t="shared" ca="1" si="4"/>
        <v>160.42000000000007</v>
      </c>
    </row>
    <row r="239" spans="1:25" ht="15" x14ac:dyDescent="0.25">
      <c r="A239" s="4">
        <v>1400</v>
      </c>
      <c r="C239" s="12" t="s">
        <v>1022</v>
      </c>
      <c r="D239" s="12" t="s">
        <v>1023</v>
      </c>
      <c r="E239" s="5" t="str">
        <f t="shared" si="0"/>
        <v>https://www.screener.in/company/DONEAR/consolidated/</v>
      </c>
      <c r="F239" s="4">
        <v>443059</v>
      </c>
      <c r="G239" s="4">
        <v>3832241897</v>
      </c>
      <c r="H239" s="6">
        <f t="shared" ca="1" si="1"/>
        <v>36528.929762203996</v>
      </c>
      <c r="I239" s="7" t="str">
        <f ca="1">IFERROR(__xludf.DUMMYFUNCTION("IMPORTXML(E239,""/html/body/main/div[3]/div[3]/div[2]/ul/li[5]/span[2]/span"")"),"Loading...")</f>
        <v>Loading...</v>
      </c>
      <c r="J239" s="7">
        <f ca="1">IFERROR(__xludf.DUMMYFUNCTION("GOOGLEFINANCE(""NSE:""&amp;D239,""marketcap"")"),4953520000)</f>
        <v>4953520000</v>
      </c>
      <c r="K239" s="7">
        <v>992.8</v>
      </c>
      <c r="L239" s="8">
        <f ca="1">IFERROR(__xludf.DUMMYFUNCTION("GOOGLEFINANCE(""NSE:""&amp;D239,""price"")"),95.32)</f>
        <v>95.32</v>
      </c>
      <c r="M239" s="9">
        <f t="shared" ca="1" si="2"/>
        <v>-897.48</v>
      </c>
      <c r="N239" s="10">
        <f t="shared" ca="1" si="3"/>
        <v>-90.398871877518133</v>
      </c>
      <c r="O239" s="7">
        <f ca="1">IFERROR(__xludf.DUMMYFUNCTION("GOOGLEFINANCE(""NSE:""&amp;D239,""pe"")"),15.55)</f>
        <v>15.55</v>
      </c>
      <c r="P239" s="7">
        <f ca="1">IFERROR(__xludf.DUMMYFUNCTION("GOOGLEFINANCE(""NSE:""&amp;D239,""EPS"")"),6.13)</f>
        <v>6.13</v>
      </c>
      <c r="Q239" s="7">
        <v>13.5</v>
      </c>
      <c r="R239" s="7" t="str">
        <f ca="1">IFERROR(__xludf.DUMMYFUNCTION("IMPORTXML(E239,""/html/body/main/div[3]/div[3]/div[2]/ul/li[7]/span[2]/span"")"),"Loading...")</f>
        <v>Loading...</v>
      </c>
      <c r="S239" s="7" t="str">
        <f ca="1">IFERROR(__xludf.DUMMYFUNCTION("IMPORTXML(E239,""/html/body/main/div[3]/div[3]/div[2]/ul/li[8]/span[2]/span"")"),"Loading...")</f>
        <v>Loading...</v>
      </c>
      <c r="T239" s="4">
        <v>34.6</v>
      </c>
      <c r="U239" s="4">
        <v>22.7</v>
      </c>
      <c r="V239" s="4">
        <v>2.6</v>
      </c>
      <c r="W239" s="4">
        <v>5.7</v>
      </c>
      <c r="X239" s="4">
        <v>519.92999999999995</v>
      </c>
      <c r="Y239" s="7">
        <f t="shared" ca="1" si="4"/>
        <v>-424.60999999999996</v>
      </c>
    </row>
    <row r="240" spans="1:25" ht="15" x14ac:dyDescent="0.25">
      <c r="A240" s="4">
        <v>628</v>
      </c>
      <c r="C240" s="12" t="s">
        <v>1024</v>
      </c>
      <c r="D240" s="12" t="s">
        <v>1025</v>
      </c>
      <c r="E240" s="5" t="str">
        <f t="shared" si="0"/>
        <v>https://www.screener.in/company/HGS/consolidated/</v>
      </c>
      <c r="F240" s="4">
        <v>443059</v>
      </c>
      <c r="G240" s="4">
        <v>3832241897</v>
      </c>
      <c r="H240" s="6">
        <f t="shared" ca="1" si="1"/>
        <v>200751.99177434502</v>
      </c>
      <c r="I240" s="7" t="str">
        <f ca="1">IFERROR(__xludf.DUMMYFUNCTION("IMPORTXML(E240,""/html/body/main/div[3]/div[3]/div[2]/ul/li[5]/span[2]/span"")"),"Loading...")</f>
        <v>Loading...</v>
      </c>
      <c r="J240" s="7">
        <f ca="1">IFERROR(__xludf.DUMMYFUNCTION("GOOGLEFINANCE(""NSE:""&amp;D240,""marketcap"")"),24369647542)</f>
        <v>24369647542</v>
      </c>
      <c r="K240" s="7">
        <v>992.8</v>
      </c>
      <c r="L240" s="8">
        <f ca="1">IFERROR(__xludf.DUMMYFUNCTION("GOOGLEFINANCE(""NSE:""&amp;D240,""price"")"),523.85)</f>
        <v>523.85</v>
      </c>
      <c r="M240" s="9">
        <f t="shared" ca="1" si="2"/>
        <v>-468.94999999999993</v>
      </c>
      <c r="N240" s="10">
        <f t="shared" ca="1" si="3"/>
        <v>-47.235092667203865</v>
      </c>
      <c r="O240" s="7" t="str">
        <f ca="1">IFERROR(__xludf.DUMMYFUNCTION("GOOGLEFINANCE(""NSE:""&amp;D240,""pe"")"),"#N/A")</f>
        <v>#N/A</v>
      </c>
      <c r="P240" s="7">
        <f ca="1">IFERROR(__xludf.DUMMYFUNCTION("GOOGLEFINANCE(""NSE:""&amp;D240,""EPS"")"),-4.87)</f>
        <v>-4.87</v>
      </c>
      <c r="Q240" s="7">
        <v>13.5</v>
      </c>
      <c r="R240" s="7" t="str">
        <f ca="1">IFERROR(__xludf.DUMMYFUNCTION("IMPORTXML(E240,""/html/body/main/div[3]/div[3]/div[2]/ul/li[7]/span[2]/span"")"),"Loading...")</f>
        <v>Loading...</v>
      </c>
      <c r="S240" s="7" t="str">
        <f ca="1">IFERROR(__xludf.DUMMYFUNCTION("IMPORTXML(E240,""/html/body/main/div[3]/div[3]/div[2]/ul/li[8]/span[2]/span"")"),"Loading...")</f>
        <v>Loading...</v>
      </c>
      <c r="T240" s="4">
        <v>34.6</v>
      </c>
      <c r="U240" s="4">
        <v>22.7</v>
      </c>
      <c r="V240" s="4">
        <v>2.6</v>
      </c>
      <c r="W240" s="4">
        <v>5.7</v>
      </c>
      <c r="X240" s="4">
        <v>519.92999999999995</v>
      </c>
      <c r="Y240" s="7">
        <f t="shared" ca="1" si="4"/>
        <v>3.9200000000000728</v>
      </c>
    </row>
    <row r="241" spans="1:25" ht="15" x14ac:dyDescent="0.25">
      <c r="A241" s="4">
        <v>1424</v>
      </c>
      <c r="C241" s="12" t="s">
        <v>1026</v>
      </c>
      <c r="D241" s="12" t="s">
        <v>1027</v>
      </c>
      <c r="E241" s="5" t="str">
        <f t="shared" si="0"/>
        <v>https://www.screener.in/company/INDOBORAX/consolidated/</v>
      </c>
      <c r="F241" s="4">
        <v>443059</v>
      </c>
      <c r="G241" s="4">
        <v>3832241897</v>
      </c>
      <c r="H241" s="6">
        <f t="shared" ca="1" si="1"/>
        <v>91207.3571486</v>
      </c>
      <c r="I241" s="7" t="str">
        <f ca="1">IFERROR(__xludf.DUMMYFUNCTION("IMPORTXML(E241,""/html/body/main/div[3]/div[3]/div[2]/ul/li[5]/span[2]/span"")"),"Loading...")</f>
        <v>Loading...</v>
      </c>
      <c r="J241" s="7">
        <f ca="1">IFERROR(__xludf.DUMMYFUNCTION("GOOGLEFINANCE(""NSE:""&amp;D241,""marketcap"")"),7637420000)</f>
        <v>7637420000</v>
      </c>
      <c r="K241" s="7">
        <v>992.8</v>
      </c>
      <c r="L241" s="8">
        <f ca="1">IFERROR(__xludf.DUMMYFUNCTION("GOOGLEFINANCE(""NSE:""&amp;D241,""price"")"),238)</f>
        <v>238</v>
      </c>
      <c r="M241" s="9">
        <f t="shared" ca="1" si="2"/>
        <v>-754.8</v>
      </c>
      <c r="N241" s="10">
        <f t="shared" ca="1" si="3"/>
        <v>-76.027397260273972</v>
      </c>
      <c r="O241" s="7">
        <f ca="1">IFERROR(__xludf.DUMMYFUNCTION("GOOGLEFINANCE(""NSE:""&amp;D241,""pe"")"),19.73)</f>
        <v>19.73</v>
      </c>
      <c r="P241" s="7">
        <f ca="1">IFERROR(__xludf.DUMMYFUNCTION("GOOGLEFINANCE(""NSE:""&amp;D241,""EPS"")"),12.06)</f>
        <v>12.06</v>
      </c>
      <c r="Q241" s="7">
        <v>13.5</v>
      </c>
      <c r="R241" s="7" t="str">
        <f ca="1">IFERROR(__xludf.DUMMYFUNCTION("IMPORTXML(E241,""/html/body/main/div[3]/div[3]/div[2]/ul/li[7]/span[2]/span"")"),"Loading...")</f>
        <v>Loading...</v>
      </c>
      <c r="S241" s="7" t="str">
        <f ca="1">IFERROR(__xludf.DUMMYFUNCTION("IMPORTXML(E241,""/html/body/main/div[3]/div[3]/div[2]/ul/li[8]/span[2]/span"")"),"Loading...")</f>
        <v>Loading...</v>
      </c>
      <c r="T241" s="4">
        <v>34.6</v>
      </c>
      <c r="U241" s="4">
        <v>22.7</v>
      </c>
      <c r="V241" s="4">
        <v>2.6</v>
      </c>
      <c r="W241" s="4">
        <v>5.7</v>
      </c>
      <c r="X241" s="4">
        <v>519.92999999999995</v>
      </c>
      <c r="Y241" s="7">
        <f t="shared" ca="1" si="4"/>
        <v>-281.92999999999995</v>
      </c>
    </row>
    <row r="242" spans="1:25" ht="15" x14ac:dyDescent="0.25">
      <c r="A242" s="4">
        <v>2061</v>
      </c>
      <c r="C242" s="12" t="s">
        <v>1028</v>
      </c>
      <c r="D242" s="12" t="s">
        <v>1029</v>
      </c>
      <c r="E242" s="5" t="str">
        <f t="shared" si="0"/>
        <v>https://www.screener.in/company/GSS/consolidated/</v>
      </c>
      <c r="F242" s="4">
        <v>443059</v>
      </c>
      <c r="G242" s="4">
        <v>3832241897</v>
      </c>
      <c r="H242" s="6">
        <f t="shared" ca="1" si="1"/>
        <v>10404.536750354999</v>
      </c>
      <c r="I242" s="7" t="str">
        <f ca="1">IFERROR(__xludf.DUMMYFUNCTION("IMPORTXML(E242,""/html/body/main/div[3]/div[3]/div[2]/ul/li[5]/span[2]/span"")"),"Loading...")</f>
        <v>Loading...</v>
      </c>
      <c r="J242" s="7">
        <f ca="1">IFERROR(__xludf.DUMMYFUNCTION("GOOGLEFINANCE(""NSE:""&amp;D242,""marketcap"")"),704269000)</f>
        <v>704269000</v>
      </c>
      <c r="K242" s="7">
        <v>992.8</v>
      </c>
      <c r="L242" s="8">
        <f ca="1">IFERROR(__xludf.DUMMYFUNCTION("GOOGLEFINANCE(""NSE:""&amp;D242,""price"")"),27.15)</f>
        <v>27.15</v>
      </c>
      <c r="M242" s="9">
        <f t="shared" ca="1" si="2"/>
        <v>-965.65</v>
      </c>
      <c r="N242" s="10">
        <f t="shared" ca="1" si="3"/>
        <v>-97.265310233682513</v>
      </c>
      <c r="O242" s="7" t="str">
        <f ca="1">IFERROR(__xludf.DUMMYFUNCTION("GOOGLEFINANCE(""NSE:""&amp;D242,""pe"")"),"#N/A")</f>
        <v>#N/A</v>
      </c>
      <c r="P242" s="7">
        <f ca="1">IFERROR(__xludf.DUMMYFUNCTION("GOOGLEFINANCE(""NSE:""&amp;D242,""EPS"")"),-1.14)</f>
        <v>-1.1399999999999999</v>
      </c>
      <c r="Q242" s="7">
        <v>13.5</v>
      </c>
      <c r="R242" s="7" t="str">
        <f ca="1">IFERROR(__xludf.DUMMYFUNCTION("IMPORTXML(E242,""/html/body/main/div[3]/div[3]/div[2]/ul/li[7]/span[2]/span"")"),"Loading...")</f>
        <v>Loading...</v>
      </c>
      <c r="S242" s="7" t="str">
        <f ca="1">IFERROR(__xludf.DUMMYFUNCTION("IMPORTXML(E242,""/html/body/main/div[3]/div[3]/div[2]/ul/li[8]/span[2]/span"")"),"Loading...")</f>
        <v>Loading...</v>
      </c>
      <c r="T242" s="4">
        <v>34.6</v>
      </c>
      <c r="U242" s="4">
        <v>22.7</v>
      </c>
      <c r="V242" s="4">
        <v>2.6</v>
      </c>
      <c r="W242" s="4">
        <v>5.7</v>
      </c>
      <c r="X242" s="4">
        <v>519.92999999999995</v>
      </c>
      <c r="Y242" s="7">
        <f t="shared" ca="1" si="4"/>
        <v>-492.78</v>
      </c>
    </row>
    <row r="243" spans="1:25" ht="15" x14ac:dyDescent="0.25">
      <c r="A243" s="4">
        <v>1979</v>
      </c>
      <c r="C243" s="12" t="s">
        <v>1030</v>
      </c>
      <c r="D243" s="12" t="s">
        <v>1031</v>
      </c>
      <c r="E243" s="5" t="str">
        <f t="shared" si="0"/>
        <v>https://www.screener.in/company/RAJSREESUG/consolidated/</v>
      </c>
      <c r="F243" s="4">
        <v>443059</v>
      </c>
      <c r="G243" s="4">
        <v>3832241897</v>
      </c>
      <c r="H243" s="6">
        <f t="shared" ca="1" si="1"/>
        <v>16861.864346800001</v>
      </c>
      <c r="I243" s="7" t="str">
        <f ca="1">IFERROR(__xludf.DUMMYFUNCTION("IMPORTXML(E243,""/html/body/main/div[3]/div[3]/div[2]/ul/li[5]/span[2]/span"")"),"Loading...")</f>
        <v>Loading...</v>
      </c>
      <c r="J243" s="7">
        <f ca="1">IFERROR(__xludf.DUMMYFUNCTION("GOOGLEFINANCE(""NSE:""&amp;D243,""marketcap"")"),1440405000)</f>
        <v>1440405000</v>
      </c>
      <c r="K243" s="7">
        <v>992.8</v>
      </c>
      <c r="L243" s="8">
        <f ca="1">IFERROR(__xludf.DUMMYFUNCTION("GOOGLEFINANCE(""NSE:""&amp;D243,""price"")"),44)</f>
        <v>44</v>
      </c>
      <c r="M243" s="9">
        <f t="shared" ca="1" si="2"/>
        <v>-948.8</v>
      </c>
      <c r="N243" s="10">
        <f t="shared" ca="1" si="3"/>
        <v>-95.568090249798558</v>
      </c>
      <c r="O243" s="7" t="str">
        <f ca="1">IFERROR(__xludf.DUMMYFUNCTION("GOOGLEFINANCE(""NSE:""&amp;D243,""pe"")"),"#N/A")</f>
        <v>#N/A</v>
      </c>
      <c r="P243" s="7">
        <f ca="1">IFERROR(__xludf.DUMMYFUNCTION("GOOGLEFINANCE(""NSE:""&amp;D243,""EPS"")"),-3.64)</f>
        <v>-3.64</v>
      </c>
      <c r="Q243" s="7">
        <v>13.5</v>
      </c>
      <c r="R243" s="7" t="str">
        <f ca="1">IFERROR(__xludf.DUMMYFUNCTION("IMPORTXML(E243,""/html/body/main/div[3]/div[3]/div[2]/ul/li[7]/span[2]/span"")"),"Loading...")</f>
        <v>Loading...</v>
      </c>
      <c r="S243" s="7">
        <f ca="1">IFERROR(__xludf.DUMMYFUNCTION("IMPORTXML(E243,""/html/body/main/div[3]/div[3]/div[2]/ul/li[8]/span[2]/span"")"),22.3)</f>
        <v>22.3</v>
      </c>
      <c r="T243" s="4">
        <v>34.6</v>
      </c>
      <c r="U243" s="4">
        <v>22.7</v>
      </c>
      <c r="V243" s="4">
        <v>2.6</v>
      </c>
      <c r="W243" s="4">
        <v>5.7</v>
      </c>
      <c r="X243" s="4">
        <v>519.92999999999995</v>
      </c>
      <c r="Y243" s="7">
        <f t="shared" ca="1" si="4"/>
        <v>-475.92999999999995</v>
      </c>
    </row>
    <row r="244" spans="1:25" ht="15" x14ac:dyDescent="0.25">
      <c r="A244" s="4">
        <v>168</v>
      </c>
      <c r="C244" s="12" t="s">
        <v>1032</v>
      </c>
      <c r="D244" s="12" t="s">
        <v>1033</v>
      </c>
      <c r="E244" s="5" t="str">
        <f t="shared" si="0"/>
        <v>https://www.screener.in/company/MGL/consolidated/</v>
      </c>
      <c r="F244" s="4">
        <v>443059</v>
      </c>
      <c r="G244" s="4">
        <v>3832241897</v>
      </c>
      <c r="H244" s="6">
        <f t="shared" ca="1" si="1"/>
        <v>492558.05102140998</v>
      </c>
      <c r="I244" s="7" t="str">
        <f ca="1">IFERROR(__xludf.DUMMYFUNCTION("IMPORTXML(E244,""/html/body/main/div[3]/div[3]/div[2]/ul/li[5]/span[2]/span"")"),"Loading...")</f>
        <v>Loading...</v>
      </c>
      <c r="J244" s="7">
        <f ca="1">IFERROR(__xludf.DUMMYFUNCTION("GOOGLEFINANCE(""NSE:""&amp;D244,""marketcap"")"),126681910014)</f>
        <v>126681910014</v>
      </c>
      <c r="K244" s="7">
        <v>992.8</v>
      </c>
      <c r="L244" s="8">
        <f ca="1">IFERROR(__xludf.DUMMYFUNCTION("GOOGLEFINANCE(""NSE:""&amp;D244,""price"")"),1285.3)</f>
        <v>1285.3</v>
      </c>
      <c r="M244" s="9">
        <f t="shared" ca="1" si="2"/>
        <v>292.5</v>
      </c>
      <c r="N244" s="10">
        <f t="shared" ca="1" si="3"/>
        <v>29.462127316680096</v>
      </c>
      <c r="O244" s="7">
        <f ca="1">IFERROR(__xludf.DUMMYFUNCTION("GOOGLEFINANCE(""NSE:""&amp;D244,""pe"")"),11.87)</f>
        <v>11.87</v>
      </c>
      <c r="P244" s="7">
        <f ca="1">IFERROR(__xludf.DUMMYFUNCTION("GOOGLEFINANCE(""NSE:""&amp;D244,""EPS"")"),108.29)</f>
        <v>108.29</v>
      </c>
      <c r="Q244" s="7">
        <v>13.5</v>
      </c>
      <c r="R244" s="7" t="str">
        <f ca="1">IFERROR(__xludf.DUMMYFUNCTION("IMPORTXML(E244,""/html/body/main/div[3]/div[3]/div[2]/ul/li[7]/span[2]/span"")"),"Loading...")</f>
        <v>Loading...</v>
      </c>
      <c r="S244" s="7" t="str">
        <f ca="1">IFERROR(__xludf.DUMMYFUNCTION("IMPORTXML(E244,""/html/body/main/div[3]/div[3]/div[2]/ul/li[8]/span[2]/span"")"),"Loading...")</f>
        <v>Loading...</v>
      </c>
      <c r="T244" s="4">
        <v>34.6</v>
      </c>
      <c r="U244" s="4">
        <v>22.7</v>
      </c>
      <c r="V244" s="4">
        <v>2.6</v>
      </c>
      <c r="W244" s="4">
        <v>5.7</v>
      </c>
      <c r="X244" s="4">
        <v>519.92999999999995</v>
      </c>
      <c r="Y244" s="7">
        <f t="shared" ca="1" si="4"/>
        <v>765.37</v>
      </c>
    </row>
    <row r="245" spans="1:25" ht="15" x14ac:dyDescent="0.25">
      <c r="A245" s="4">
        <v>671</v>
      </c>
      <c r="C245" s="12" t="s">
        <v>1034</v>
      </c>
      <c r="D245" s="12" t="s">
        <v>1035</v>
      </c>
      <c r="E245" s="5" t="str">
        <f t="shared" si="0"/>
        <v>https://www.screener.in/company/GENSOL/consolidated/</v>
      </c>
      <c r="F245" s="4">
        <v>443059</v>
      </c>
      <c r="G245" s="4">
        <v>3832241897</v>
      </c>
      <c r="H245" s="6">
        <f t="shared" ca="1" si="1"/>
        <v>13527.81389641</v>
      </c>
      <c r="I245" s="7" t="str">
        <f ca="1">IFERROR(__xludf.DUMMYFUNCTION("IMPORTXML(E245,""/html/body/main/div[3]/div[3]/div[2]/ul/li[5]/span[2]/span"")"),"Loading...")</f>
        <v>Loading...</v>
      </c>
      <c r="J245" s="7">
        <f ca="1">IFERROR(__xludf.DUMMYFUNCTION("GOOGLEFINANCE(""NSE:""&amp;D245,""marketcap"")"),1357156831)</f>
        <v>1357156831</v>
      </c>
      <c r="K245" s="7">
        <v>992.8</v>
      </c>
      <c r="L245" s="8">
        <f ca="1">IFERROR(__xludf.DUMMYFUNCTION("GOOGLEFINANCE(""NSE:""&amp;D245,""price"")"),35.3)</f>
        <v>35.299999999999997</v>
      </c>
      <c r="M245" s="9">
        <f t="shared" ca="1" si="2"/>
        <v>-957.5</v>
      </c>
      <c r="N245" s="10">
        <f t="shared" ca="1" si="3"/>
        <v>-96.4443996776793</v>
      </c>
      <c r="O245" s="7">
        <f ca="1">IFERROR(__xludf.DUMMYFUNCTION("GOOGLEFINANCE(""NSE:""&amp;D245,""pe"")"),1.31)</f>
        <v>1.31</v>
      </c>
      <c r="P245" s="7">
        <f ca="1">IFERROR(__xludf.DUMMYFUNCTION("GOOGLEFINANCE(""NSE:""&amp;D245,""EPS"")"),26.88)</f>
        <v>26.88</v>
      </c>
      <c r="Q245" s="7">
        <v>13.5</v>
      </c>
      <c r="R245" s="7" t="str">
        <f ca="1">IFERROR(__xludf.DUMMYFUNCTION("IMPORTXML(E245,""/html/body/main/div[3]/div[3]/div[2]/ul/li[7]/span[2]/span"")"),"Loading...")</f>
        <v>Loading...</v>
      </c>
      <c r="S245" s="7" t="str">
        <f ca="1">IFERROR(__xludf.DUMMYFUNCTION("IMPORTXML(E245,""/html/body/main/div[3]/div[3]/div[2]/ul/li[8]/span[2]/span"")"),"Loading...")</f>
        <v>Loading...</v>
      </c>
      <c r="T245" s="4">
        <v>34.6</v>
      </c>
      <c r="U245" s="4">
        <v>22.7</v>
      </c>
      <c r="V245" s="4">
        <v>2.6</v>
      </c>
      <c r="W245" s="4">
        <v>5.7</v>
      </c>
      <c r="X245" s="4">
        <v>519.92999999999995</v>
      </c>
      <c r="Y245" s="7">
        <f t="shared" ca="1" si="4"/>
        <v>-484.62999999999994</v>
      </c>
    </row>
    <row r="246" spans="1:25" ht="15" x14ac:dyDescent="0.25">
      <c r="A246" s="4">
        <v>249</v>
      </c>
      <c r="C246" s="12" t="s">
        <v>1036</v>
      </c>
      <c r="D246" s="12" t="s">
        <v>1037</v>
      </c>
      <c r="E246" s="5" t="str">
        <f t="shared" si="0"/>
        <v>https://www.screener.in/company/TANLA/consolidated/</v>
      </c>
      <c r="F246" s="4">
        <v>443059</v>
      </c>
      <c r="G246" s="4">
        <v>3832241897</v>
      </c>
      <c r="H246" s="6">
        <f t="shared" ca="1" si="1"/>
        <v>251548.35811907999</v>
      </c>
      <c r="I246" s="7" t="str">
        <f ca="1">IFERROR(__xludf.DUMMYFUNCTION("IMPORTXML(E246,""/html/body/main/div[3]/div[3]/div[2]/ul/li[5]/span[2]/span"")"),"Loading...")</f>
        <v>Loading...</v>
      </c>
      <c r="J246" s="7">
        <f ca="1">IFERROR(__xludf.DUMMYFUNCTION("GOOGLEFINANCE(""NSE:""&amp;D246,""marketcap"")"),87131365929)</f>
        <v>87131365929</v>
      </c>
      <c r="K246" s="7">
        <v>992.8</v>
      </c>
      <c r="L246" s="8">
        <f ca="1">IFERROR(__xludf.DUMMYFUNCTION("GOOGLEFINANCE(""NSE:""&amp;D246,""price"")"),656.4)</f>
        <v>656.4</v>
      </c>
      <c r="M246" s="9">
        <f t="shared" ca="1" si="2"/>
        <v>-336.4</v>
      </c>
      <c r="N246" s="10">
        <f t="shared" ca="1" si="3"/>
        <v>-33.883964544721998</v>
      </c>
      <c r="O246" s="7">
        <f ca="1">IFERROR(__xludf.DUMMYFUNCTION("GOOGLEFINANCE(""NSE:""&amp;D246,""pe"")"),18.24)</f>
        <v>18.239999999999998</v>
      </c>
      <c r="P246" s="7">
        <f ca="1">IFERROR(__xludf.DUMMYFUNCTION("GOOGLEFINANCE(""NSE:""&amp;D246,""EPS"")"),36)</f>
        <v>36</v>
      </c>
      <c r="Q246" s="7">
        <v>13.5</v>
      </c>
      <c r="R246" s="7" t="str">
        <f ca="1">IFERROR(__xludf.DUMMYFUNCTION("IMPORTXML(E246,""/html/body/main/div[3]/div[3]/div[2]/ul/li[7]/span[2]/span"")"),"Loading...")</f>
        <v>Loading...</v>
      </c>
      <c r="S246" s="7" t="str">
        <f ca="1">IFERROR(__xludf.DUMMYFUNCTION("IMPORTXML(E246,""/html/body/main/div[3]/div[3]/div[2]/ul/li[8]/span[2]/span"")"),"Loading...")</f>
        <v>Loading...</v>
      </c>
      <c r="T246" s="4">
        <v>34.6</v>
      </c>
      <c r="U246" s="4">
        <v>22.7</v>
      </c>
      <c r="V246" s="4">
        <v>2.6</v>
      </c>
      <c r="W246" s="4">
        <v>5.7</v>
      </c>
      <c r="X246" s="4">
        <v>519.92999999999995</v>
      </c>
      <c r="Y246" s="7">
        <f t="shared" ca="1" si="4"/>
        <v>136.47000000000003</v>
      </c>
    </row>
    <row r="247" spans="1:25" ht="15" x14ac:dyDescent="0.25">
      <c r="A247" s="4">
        <v>895</v>
      </c>
      <c r="C247" s="12" t="s">
        <v>1038</v>
      </c>
      <c r="D247" s="12" t="s">
        <v>1039</v>
      </c>
      <c r="E247" s="5" t="str">
        <f t="shared" si="0"/>
        <v>https://www.screener.in/company/TALBROAUTO/consolidated/</v>
      </c>
      <c r="F247" s="4">
        <v>443059</v>
      </c>
      <c r="G247" s="4">
        <v>3832241897</v>
      </c>
      <c r="H247" s="6">
        <f t="shared" ca="1" si="1"/>
        <v>106153.10054689999</v>
      </c>
      <c r="I247" s="7" t="str">
        <f ca="1">IFERROR(__xludf.DUMMYFUNCTION("IMPORTXML(E247,""/html/body/main/div[3]/div[3]/div[2]/ul/li[5]/span[2]/span"")"),"Loading...")</f>
        <v>Loading...</v>
      </c>
      <c r="J247" s="7">
        <f ca="1">IFERROR(__xludf.DUMMYFUNCTION("GOOGLEFINANCE(""NSE:""&amp;D247,""marketcap"")"),16945030944)</f>
        <v>16945030944</v>
      </c>
      <c r="K247" s="7">
        <v>992.8</v>
      </c>
      <c r="L247" s="8">
        <f ca="1">IFERROR(__xludf.DUMMYFUNCTION("GOOGLEFINANCE(""NSE:""&amp;D247,""price"")"),277)</f>
        <v>277</v>
      </c>
      <c r="M247" s="9">
        <f t="shared" ca="1" si="2"/>
        <v>-715.8</v>
      </c>
      <c r="N247" s="10">
        <f t="shared" ca="1" si="3"/>
        <v>-72.099113618049955</v>
      </c>
      <c r="O247" s="7">
        <f ca="1">IFERROR(__xludf.DUMMYFUNCTION("GOOGLEFINANCE(""NSE:""&amp;D247,""pe"")"),17.8)</f>
        <v>17.8</v>
      </c>
      <c r="P247" s="7">
        <f ca="1">IFERROR(__xludf.DUMMYFUNCTION("GOOGLEFINANCE(""NSE:""&amp;D247,""EPS"")"),15.56)</f>
        <v>15.56</v>
      </c>
      <c r="Q247" s="7">
        <v>13.5</v>
      </c>
      <c r="R247" s="7" t="str">
        <f ca="1">IFERROR(__xludf.DUMMYFUNCTION("IMPORTXML(E247,""/html/body/main/div[3]/div[3]/div[2]/ul/li[7]/span[2]/span"")"),"Loading...")</f>
        <v>Loading...</v>
      </c>
      <c r="S247" s="7" t="str">
        <f ca="1">IFERROR(__xludf.DUMMYFUNCTION("IMPORTXML(E247,""/html/body/main/div[3]/div[3]/div[2]/ul/li[8]/span[2]/span"")"),"Loading...")</f>
        <v>Loading...</v>
      </c>
      <c r="T247" s="4">
        <v>34.6</v>
      </c>
      <c r="U247" s="4">
        <v>22.7</v>
      </c>
      <c r="V247" s="4">
        <v>2.6</v>
      </c>
      <c r="W247" s="4">
        <v>5.7</v>
      </c>
      <c r="X247" s="4">
        <v>519.92999999999995</v>
      </c>
      <c r="Y247" s="7">
        <f t="shared" ca="1" si="4"/>
        <v>-242.92999999999995</v>
      </c>
    </row>
    <row r="248" spans="1:25" ht="15" x14ac:dyDescent="0.25">
      <c r="A248" s="4">
        <v>1095</v>
      </c>
      <c r="C248" s="12" t="s">
        <v>1040</v>
      </c>
      <c r="D248" s="12" t="s">
        <v>1041</v>
      </c>
      <c r="E248" s="5" t="str">
        <f t="shared" si="0"/>
        <v>https://www.screener.in/company/SELAN/consolidated/</v>
      </c>
      <c r="F248" s="4">
        <v>443059</v>
      </c>
      <c r="G248" s="4">
        <v>3832241897</v>
      </c>
      <c r="H248" s="6">
        <f t="shared" ca="1" si="1"/>
        <v>216636.63443740999</v>
      </c>
      <c r="I248" s="7" t="str">
        <f ca="1">IFERROR(__xludf.DUMMYFUNCTION("IMPORTXML(E248,""/html/body/main/div[3]/div[3]/div[2]/ul/li[5]/span[2]/span"")"),"Loading...")</f>
        <v>Loading...</v>
      </c>
      <c r="J248" s="7">
        <f ca="1">IFERROR(__xludf.DUMMYFUNCTION("GOOGLEFINANCE(""NSE:""&amp;D248,""marketcap"")"),19877276025)</f>
        <v>19877276025</v>
      </c>
      <c r="K248" s="7">
        <v>992.8</v>
      </c>
      <c r="L248" s="8">
        <f ca="1">IFERROR(__xludf.DUMMYFUNCTION("GOOGLEFINANCE(""NSE:""&amp;D248,""price"")"),565.3)</f>
        <v>565.29999999999995</v>
      </c>
      <c r="M248" s="9">
        <f t="shared" ca="1" si="2"/>
        <v>-427.5</v>
      </c>
      <c r="N248" s="10">
        <f t="shared" ca="1" si="3"/>
        <v>-43.06003223207091</v>
      </c>
      <c r="O248" s="7">
        <f ca="1">IFERROR(__xludf.DUMMYFUNCTION("GOOGLEFINANCE(""NSE:""&amp;D248,""pe"")"),14.34)</f>
        <v>14.34</v>
      </c>
      <c r="P248" s="7">
        <f ca="1">IFERROR(__xludf.DUMMYFUNCTION("GOOGLEFINANCE(""NSE:""&amp;D248,""EPS"")"),39.43)</f>
        <v>39.43</v>
      </c>
      <c r="Q248" s="7">
        <v>13.5</v>
      </c>
      <c r="R248" s="7" t="str">
        <f ca="1">IFERROR(__xludf.DUMMYFUNCTION("IMPORTXML(E248,""/html/body/main/div[3]/div[3]/div[2]/ul/li[7]/span[2]/span"")"),"Loading...")</f>
        <v>Loading...</v>
      </c>
      <c r="S248" s="7" t="str">
        <f ca="1">IFERROR(__xludf.DUMMYFUNCTION("IMPORTXML(E248,""/html/body/main/div[3]/div[3]/div[2]/ul/li[8]/span[2]/span"")"),"Loading...")</f>
        <v>Loading...</v>
      </c>
      <c r="T248" s="4">
        <v>34.6</v>
      </c>
      <c r="U248" s="4">
        <v>22.7</v>
      </c>
      <c r="V248" s="4">
        <v>2.6</v>
      </c>
      <c r="W248" s="4">
        <v>5.7</v>
      </c>
      <c r="X248" s="4">
        <v>519.92999999999995</v>
      </c>
      <c r="Y248" s="7">
        <f t="shared" ca="1" si="4"/>
        <v>45.370000000000005</v>
      </c>
    </row>
    <row r="249" spans="1:25" ht="15" x14ac:dyDescent="0.25">
      <c r="A249" s="4">
        <v>1066</v>
      </c>
      <c r="C249" s="12" t="s">
        <v>1042</v>
      </c>
      <c r="D249" s="12" t="s">
        <v>1043</v>
      </c>
      <c r="E249" s="5" t="str">
        <f t="shared" si="0"/>
        <v>https://www.screener.in/company/TVTODAY/consolidated/</v>
      </c>
      <c r="F249" s="4">
        <v>443059</v>
      </c>
      <c r="G249" s="4">
        <v>3832241897</v>
      </c>
      <c r="H249" s="6">
        <f t="shared" ca="1" si="1"/>
        <v>58629.468782203003</v>
      </c>
      <c r="I249" s="7" t="str">
        <f ca="1">IFERROR(__xludf.DUMMYFUNCTION("IMPORTXML(E249,""/html/body/main/div[3]/div[3]/div[2]/ul/li[5]/span[2]/span"")"),"Loading...")</f>
        <v>Loading...</v>
      </c>
      <c r="J249" s="7">
        <f ca="1">IFERROR(__xludf.DUMMYFUNCTION("GOOGLEFINANCE(""NSE:""&amp;D249,""marketcap"")"),9086337000)</f>
        <v>9086337000</v>
      </c>
      <c r="K249" s="7">
        <v>992.8</v>
      </c>
      <c r="L249" s="8">
        <f ca="1">IFERROR(__xludf.DUMMYFUNCTION("GOOGLEFINANCE(""NSE:""&amp;D249,""price"")"),152.99)</f>
        <v>152.99</v>
      </c>
      <c r="M249" s="9">
        <f t="shared" ca="1" si="2"/>
        <v>-839.81</v>
      </c>
      <c r="N249" s="10">
        <f t="shared" ca="1" si="3"/>
        <v>-84.590048348106365</v>
      </c>
      <c r="O249" s="7">
        <f ca="1">IFERROR(__xludf.DUMMYFUNCTION("GOOGLEFINANCE(""NSE:""&amp;D249,""pe"")"),29.94)</f>
        <v>29.94</v>
      </c>
      <c r="P249" s="7">
        <f ca="1">IFERROR(__xludf.DUMMYFUNCTION("GOOGLEFINANCE(""NSE:""&amp;D249,""EPS"")"),5.11)</f>
        <v>5.1100000000000003</v>
      </c>
      <c r="Q249" s="7">
        <v>13.5</v>
      </c>
      <c r="R249" s="7" t="str">
        <f ca="1">IFERROR(__xludf.DUMMYFUNCTION("IMPORTXML(E249,""/html/body/main/div[3]/div[3]/div[2]/ul/li[7]/span[2]/span"")"),"Loading...")</f>
        <v>Loading...</v>
      </c>
      <c r="S249" s="7" t="str">
        <f ca="1">IFERROR(__xludf.DUMMYFUNCTION("IMPORTXML(E249,""/html/body/main/div[3]/div[3]/div[2]/ul/li[8]/span[2]/span"")"),"Loading...")</f>
        <v>Loading...</v>
      </c>
      <c r="T249" s="4">
        <v>34.6</v>
      </c>
      <c r="U249" s="4">
        <v>22.7</v>
      </c>
      <c r="V249" s="4">
        <v>2.6</v>
      </c>
      <c r="W249" s="4">
        <v>5.7</v>
      </c>
      <c r="X249" s="4">
        <v>519.92999999999995</v>
      </c>
      <c r="Y249" s="7">
        <f t="shared" ca="1" si="4"/>
        <v>-366.93999999999994</v>
      </c>
    </row>
    <row r="250" spans="1:25" ht="15" x14ac:dyDescent="0.25">
      <c r="A250" s="4">
        <v>1293</v>
      </c>
      <c r="C250" s="12" t="s">
        <v>1044</v>
      </c>
      <c r="D250" s="12" t="s">
        <v>1045</v>
      </c>
      <c r="E250" s="5" t="str">
        <f t="shared" si="0"/>
        <v>https://www.screener.in/company/SUKHJITS/consolidated/</v>
      </c>
      <c r="F250" s="4">
        <v>443059</v>
      </c>
      <c r="G250" s="4">
        <v>3832241897</v>
      </c>
      <c r="H250" s="6">
        <f t="shared" ca="1" si="1"/>
        <v>64419.986288569999</v>
      </c>
      <c r="I250" s="7" t="str">
        <f ca="1">IFERROR(__xludf.DUMMYFUNCTION("IMPORTXML(E250,""/html/body/main/div[3]/div[3]/div[2]/ul/li[5]/span[2]/span"")"),"Loading...")</f>
        <v>Loading...</v>
      </c>
      <c r="J250" s="7">
        <f ca="1">IFERROR(__xludf.DUMMYFUNCTION("GOOGLEFINANCE(""NSE:""&amp;D250,""marketcap"")"),5200347209)</f>
        <v>5200347209</v>
      </c>
      <c r="K250" s="7">
        <v>992.8</v>
      </c>
      <c r="L250" s="8">
        <f ca="1">IFERROR(__xludf.DUMMYFUNCTION("GOOGLEFINANCE(""NSE:""&amp;D250,""price"")"),168.1)</f>
        <v>168.1</v>
      </c>
      <c r="M250" s="9">
        <f t="shared" ca="1" si="2"/>
        <v>-824.69999999999993</v>
      </c>
      <c r="N250" s="10">
        <f t="shared" ca="1" si="3"/>
        <v>-83.068090249798544</v>
      </c>
      <c r="O250" s="7">
        <f ca="1">IFERROR(__xludf.DUMMYFUNCTION("GOOGLEFINANCE(""NSE:""&amp;D250,""pe"")"),16.87)</f>
        <v>16.87</v>
      </c>
      <c r="P250" s="7">
        <f ca="1">IFERROR(__xludf.DUMMYFUNCTION("GOOGLEFINANCE(""NSE:""&amp;D250,""EPS"")"),9.96)</f>
        <v>9.9600000000000009</v>
      </c>
      <c r="Q250" s="7">
        <v>13.5</v>
      </c>
      <c r="R250" s="7" t="str">
        <f ca="1">IFERROR(__xludf.DUMMYFUNCTION("IMPORTXML(E250,""/html/body/main/div[3]/div[3]/div[2]/ul/li[7]/span[2]/span"")"),"Loading...")</f>
        <v>Loading...</v>
      </c>
      <c r="S250" s="7" t="str">
        <f ca="1">IFERROR(__xludf.DUMMYFUNCTION("IMPORTXML(E250,""/html/body/main/div[3]/div[3]/div[2]/ul/li[8]/span[2]/span"")"),"Loading...")</f>
        <v>Loading...</v>
      </c>
      <c r="T250" s="4">
        <v>34.6</v>
      </c>
      <c r="U250" s="4">
        <v>22.7</v>
      </c>
      <c r="V250" s="4">
        <v>2.6</v>
      </c>
      <c r="W250" s="4">
        <v>5.7</v>
      </c>
      <c r="X250" s="4">
        <v>519.92999999999995</v>
      </c>
      <c r="Y250" s="7">
        <f t="shared" ca="1" si="4"/>
        <v>-351.82999999999993</v>
      </c>
    </row>
    <row r="251" spans="1:25" ht="15" x14ac:dyDescent="0.25">
      <c r="A251" s="4">
        <v>1338</v>
      </c>
      <c r="C251" s="12" t="s">
        <v>1046</v>
      </c>
      <c r="D251" s="12" t="s">
        <v>1047</v>
      </c>
      <c r="E251" s="5" t="str">
        <f t="shared" si="0"/>
        <v>https://www.screener.in/company/VRAJ/consolidated/</v>
      </c>
      <c r="F251" s="4">
        <v>443059</v>
      </c>
      <c r="G251" s="4">
        <v>3832241897</v>
      </c>
      <c r="H251" s="6">
        <f t="shared" ca="1" si="1"/>
        <v>58058.46473955</v>
      </c>
      <c r="I251" s="7" t="str">
        <f ca="1">IFERROR(__xludf.DUMMYFUNCTION("IMPORTXML(E251,""/html/body/main/div[3]/div[3]/div[2]/ul/li[5]/span[2]/span"")"),"Loading...")</f>
        <v>Loading...</v>
      </c>
      <c r="J251" s="7">
        <f ca="1">IFERROR(__xludf.DUMMYFUNCTION("GOOGLEFINANCE(""NSE:""&amp;D251,""marketcap"")"),5031147427)</f>
        <v>5031147427</v>
      </c>
      <c r="K251" s="7">
        <v>992.8</v>
      </c>
      <c r="L251" s="8">
        <f ca="1">IFERROR(__xludf.DUMMYFUNCTION("GOOGLEFINANCE(""NSE:""&amp;D251,""price"")"),151.5)</f>
        <v>151.5</v>
      </c>
      <c r="M251" s="9">
        <f t="shared" ca="1" si="2"/>
        <v>-841.3</v>
      </c>
      <c r="N251" s="10">
        <f t="shared" ca="1" si="3"/>
        <v>-84.740128928283639</v>
      </c>
      <c r="O251" s="7">
        <f ca="1">IFERROR(__xludf.DUMMYFUNCTION("GOOGLEFINANCE(""NSE:""&amp;D251,""pe"")"),12.81)</f>
        <v>12.81</v>
      </c>
      <c r="P251" s="7">
        <f ca="1">IFERROR(__xludf.DUMMYFUNCTION("GOOGLEFINANCE(""NSE:""&amp;D251,""EPS"")"),11.83)</f>
        <v>11.83</v>
      </c>
      <c r="Q251" s="7">
        <v>13.5</v>
      </c>
      <c r="R251" s="7" t="str">
        <f ca="1">IFERROR(__xludf.DUMMYFUNCTION("IMPORTXML(E251,""/html/body/main/div[3]/div[3]/div[2]/ul/li[7]/span[2]/span"")"),"Loading...")</f>
        <v>Loading...</v>
      </c>
      <c r="S251" s="7" t="str">
        <f ca="1">IFERROR(__xludf.DUMMYFUNCTION("IMPORTXML(E251,""/html/body/main/div[3]/div[3]/div[2]/ul/li[8]/span[2]/span"")"),"Loading...")</f>
        <v>Loading...</v>
      </c>
      <c r="T251" s="4">
        <v>34.6</v>
      </c>
      <c r="U251" s="4">
        <v>22.7</v>
      </c>
      <c r="V251" s="4">
        <v>2.6</v>
      </c>
      <c r="W251" s="4">
        <v>5.7</v>
      </c>
      <c r="X251" s="4">
        <v>519.92999999999995</v>
      </c>
      <c r="Y251" s="7">
        <f t="shared" ca="1" si="4"/>
        <v>-368.42999999999995</v>
      </c>
    </row>
    <row r="252" spans="1:25" ht="15" x14ac:dyDescent="0.25">
      <c r="A252" s="4">
        <v>884</v>
      </c>
      <c r="C252" s="12" t="s">
        <v>1048</v>
      </c>
      <c r="D252" s="12" t="s">
        <v>1049</v>
      </c>
      <c r="E252" s="5" t="str">
        <f t="shared" si="0"/>
        <v>https://www.screener.in/company/SESHAPAPER/consolidated/</v>
      </c>
      <c r="F252" s="4">
        <v>443059</v>
      </c>
      <c r="G252" s="4">
        <v>3832241897</v>
      </c>
      <c r="H252" s="6">
        <f t="shared" ca="1" si="1"/>
        <v>102014.27929813998</v>
      </c>
      <c r="I252" s="7" t="str">
        <f ca="1">IFERROR(__xludf.DUMMYFUNCTION("IMPORTXML(E252,""/html/body/main/div[3]/div[3]/div[2]/ul/li[5]/span[2]/span"")"),"Loading...")</f>
        <v>Loading...</v>
      </c>
      <c r="J252" s="7">
        <f ca="1">IFERROR(__xludf.DUMMYFUNCTION("GOOGLEFINANCE(""NSE:""&amp;D252,""marketcap"")"),16820270000)</f>
        <v>16820270000</v>
      </c>
      <c r="K252" s="7">
        <v>992.8</v>
      </c>
      <c r="L252" s="8">
        <f ca="1">IFERROR(__xludf.DUMMYFUNCTION("GOOGLEFINANCE(""NSE:""&amp;D252,""price"")"),266.2)</f>
        <v>266.2</v>
      </c>
      <c r="M252" s="9">
        <f t="shared" ca="1" si="2"/>
        <v>-726.59999999999991</v>
      </c>
      <c r="N252" s="10">
        <f t="shared" ca="1" si="3"/>
        <v>-73.186946011281222</v>
      </c>
      <c r="O252" s="7">
        <f ca="1">IFERROR(__xludf.DUMMYFUNCTION("GOOGLEFINANCE(""NSE:""&amp;D252,""pe"")"),18.3)</f>
        <v>18.3</v>
      </c>
      <c r="P252" s="7">
        <f ca="1">IFERROR(__xludf.DUMMYFUNCTION("GOOGLEFINANCE(""NSE:""&amp;D252,""EPS"")"),14.55)</f>
        <v>14.55</v>
      </c>
      <c r="Q252" s="7">
        <v>13.5</v>
      </c>
      <c r="R252" s="7" t="str">
        <f ca="1">IFERROR(__xludf.DUMMYFUNCTION("IMPORTXML(E252,""/html/body/main/div[3]/div[3]/div[2]/ul/li[7]/span[2]/span"")"),"Loading...")</f>
        <v>Loading...</v>
      </c>
      <c r="S252" s="7" t="str">
        <f ca="1">IFERROR(__xludf.DUMMYFUNCTION("IMPORTXML(E252,""/html/body/main/div[3]/div[3]/div[2]/ul/li[8]/span[2]/span"")"),"Loading...")</f>
        <v>Loading...</v>
      </c>
      <c r="T252" s="4">
        <v>34.6</v>
      </c>
      <c r="U252" s="4">
        <v>22.7</v>
      </c>
      <c r="V252" s="4">
        <v>2.6</v>
      </c>
      <c r="W252" s="4">
        <v>5.7</v>
      </c>
      <c r="X252" s="4">
        <v>519.92999999999995</v>
      </c>
      <c r="Y252" s="7">
        <f t="shared" ca="1" si="4"/>
        <v>-253.72999999999996</v>
      </c>
    </row>
    <row r="253" spans="1:25" ht="15" x14ac:dyDescent="0.25">
      <c r="A253" s="4">
        <v>537</v>
      </c>
      <c r="C253" s="12" t="s">
        <v>1050</v>
      </c>
      <c r="D253" s="12" t="s">
        <v>1051</v>
      </c>
      <c r="E253" s="5" t="str">
        <f t="shared" si="0"/>
        <v>https://www.screener.in/company/PATELENG/consolidated/</v>
      </c>
      <c r="F253" s="4">
        <v>443059</v>
      </c>
      <c r="G253" s="4">
        <v>3832241897</v>
      </c>
      <c r="H253" s="6">
        <f t="shared" ca="1" si="1"/>
        <v>14405.397290823001</v>
      </c>
      <c r="I253" s="7" t="str">
        <f ca="1">IFERROR(__xludf.DUMMYFUNCTION("IMPORTXML(E253,""/html/body/main/div[3]/div[3]/div[2]/ul/li[5]/span[2]/span"")"),"Loading...")</f>
        <v>Loading...</v>
      </c>
      <c r="J253" s="7">
        <f ca="1">IFERROR(__xludf.DUMMYFUNCTION("GOOGLEFINANCE(""NSE:""&amp;D253,""marketcap"")"),30345719226)</f>
        <v>30345719226</v>
      </c>
      <c r="K253" s="7">
        <v>992.8</v>
      </c>
      <c r="L253" s="8">
        <f ca="1">IFERROR(__xludf.DUMMYFUNCTION("GOOGLEFINANCE(""NSE:""&amp;D253,""price"")"),37.59)</f>
        <v>37.590000000000003</v>
      </c>
      <c r="M253" s="9">
        <f t="shared" ca="1" si="2"/>
        <v>-955.20999999999992</v>
      </c>
      <c r="N253" s="10">
        <f t="shared" ca="1" si="3"/>
        <v>-96.213738920225623</v>
      </c>
      <c r="O253" s="7">
        <f ca="1">IFERROR(__xludf.DUMMYFUNCTION("GOOGLEFINANCE(""NSE:""&amp;D253,""pe"")"),11.99)</f>
        <v>11.99</v>
      </c>
      <c r="P253" s="7">
        <f ca="1">IFERROR(__xludf.DUMMYFUNCTION("GOOGLEFINANCE(""NSE:""&amp;D253,""EPS"")"),3.14)</f>
        <v>3.14</v>
      </c>
      <c r="Q253" s="7">
        <v>13.5</v>
      </c>
      <c r="R253" s="7" t="str">
        <f ca="1">IFERROR(__xludf.DUMMYFUNCTION("IMPORTXML(E253,""/html/body/main/div[3]/div[3]/div[2]/ul/li[7]/span[2]/span"")"),"Loading...")</f>
        <v>Loading...</v>
      </c>
      <c r="S253" s="7" t="str">
        <f ca="1">IFERROR(__xludf.DUMMYFUNCTION("IMPORTXML(E253,""/html/body/main/div[3]/div[3]/div[2]/ul/li[8]/span[2]/span"")"),"Loading...")</f>
        <v>Loading...</v>
      </c>
      <c r="T253" s="4">
        <v>34.6</v>
      </c>
      <c r="U253" s="4">
        <v>22.7</v>
      </c>
      <c r="V253" s="4">
        <v>2.6</v>
      </c>
      <c r="W253" s="4">
        <v>5.7</v>
      </c>
      <c r="X253" s="4">
        <v>519.92999999999995</v>
      </c>
      <c r="Y253" s="7">
        <f t="shared" ca="1" si="4"/>
        <v>-482.33999999999992</v>
      </c>
    </row>
    <row r="254" spans="1:25" ht="15" x14ac:dyDescent="0.25">
      <c r="A254" s="4">
        <v>2274</v>
      </c>
      <c r="C254" s="12" t="s">
        <v>1052</v>
      </c>
      <c r="D254" s="12" t="s">
        <v>1053</v>
      </c>
      <c r="E254" s="5" t="str">
        <f t="shared" si="0"/>
        <v>https://www.screener.in/company/VASWANI/consolidated/</v>
      </c>
      <c r="F254" s="4">
        <v>443059</v>
      </c>
      <c r="G254" s="4">
        <v>3832241897</v>
      </c>
      <c r="H254" s="6">
        <f t="shared" ca="1" si="1"/>
        <v>22989.619140103001</v>
      </c>
      <c r="I254" s="7" t="str">
        <f ca="1">IFERROR(__xludf.DUMMYFUNCTION("IMPORTXML(E254,""/html/body/main/div[3]/div[3]/div[2]/ul/li[5]/span[2]/span"")"),"Loading...")</f>
        <v>Loading...</v>
      </c>
      <c r="J254" s="7">
        <f ca="1">IFERROR(__xludf.DUMMYFUNCTION("GOOGLEFINANCE(""NSE:""&amp;D254,""marketcap"")"),1977099000)</f>
        <v>1977099000</v>
      </c>
      <c r="K254" s="7">
        <v>992.8</v>
      </c>
      <c r="L254" s="8">
        <f ca="1">IFERROR(__xludf.DUMMYFUNCTION("GOOGLEFINANCE(""NSE:""&amp;D254,""price"")"),59.99)</f>
        <v>59.99</v>
      </c>
      <c r="M254" s="9">
        <f t="shared" ca="1" si="2"/>
        <v>-932.81</v>
      </c>
      <c r="N254" s="10">
        <f t="shared" ca="1" si="3"/>
        <v>-93.957493956486701</v>
      </c>
      <c r="O254" s="7">
        <f ca="1">IFERROR(__xludf.DUMMYFUNCTION("GOOGLEFINANCE(""NSE:""&amp;D254,""pe"")"),15.95)</f>
        <v>15.95</v>
      </c>
      <c r="P254" s="7">
        <f ca="1">IFERROR(__xludf.DUMMYFUNCTION("GOOGLEFINANCE(""NSE:""&amp;D254,""EPS"")"),3.76)</f>
        <v>3.76</v>
      </c>
      <c r="Q254" s="7">
        <v>13.5</v>
      </c>
      <c r="R254" s="7" t="str">
        <f ca="1">IFERROR(__xludf.DUMMYFUNCTION("IMPORTXML(E254,""/html/body/main/div[3]/div[3]/div[2]/ul/li[7]/span[2]/span"")"),"Loading...")</f>
        <v>Loading...</v>
      </c>
      <c r="S254" s="7" t="str">
        <f ca="1">IFERROR(__xludf.DUMMYFUNCTION("IMPORTXML(E254,""/html/body/main/div[3]/div[3]/div[2]/ul/li[8]/span[2]/span"")"),"Loading...")</f>
        <v>Loading...</v>
      </c>
      <c r="T254" s="4">
        <v>34.6</v>
      </c>
      <c r="U254" s="4">
        <v>22.7</v>
      </c>
      <c r="V254" s="4">
        <v>2.6</v>
      </c>
      <c r="W254" s="4">
        <v>5.7</v>
      </c>
      <c r="X254" s="4">
        <v>519.92999999999995</v>
      </c>
      <c r="Y254" s="7">
        <f t="shared" ca="1" si="4"/>
        <v>-459.93999999999994</v>
      </c>
    </row>
    <row r="255" spans="1:25" ht="15" x14ac:dyDescent="0.25">
      <c r="A255" s="4">
        <v>1403</v>
      </c>
      <c r="C255" s="12" t="s">
        <v>1054</v>
      </c>
      <c r="D255" s="12" t="s">
        <v>1055</v>
      </c>
      <c r="E255" s="5" t="str">
        <f t="shared" si="0"/>
        <v>https://www.screener.in/company/SKMEGGPROD/consolidated/</v>
      </c>
      <c r="F255" s="4">
        <v>443059</v>
      </c>
      <c r="G255" s="4">
        <v>3832241897</v>
      </c>
      <c r="H255" s="6">
        <f t="shared" ca="1" si="1"/>
        <v>136427.8115332</v>
      </c>
      <c r="I255" s="7" t="str">
        <f ca="1">IFERROR(__xludf.DUMMYFUNCTION("IMPORTXML(E255,""/html/body/main/div[3]/div[3]/div[2]/ul/li[5]/span[2]/span"")"),"Loading...")</f>
        <v>Loading...</v>
      </c>
      <c r="J255" s="7">
        <f ca="1">IFERROR(__xludf.DUMMYFUNCTION("GOOGLEFINANCE(""NSE:""&amp;D255,""marketcap"")"),9373480000)</f>
        <v>9373480000</v>
      </c>
      <c r="K255" s="7">
        <v>992.8</v>
      </c>
      <c r="L255" s="8">
        <f ca="1">IFERROR(__xludf.DUMMYFUNCTION("GOOGLEFINANCE(""NSE:""&amp;D255,""price"")"),356)</f>
        <v>356</v>
      </c>
      <c r="M255" s="9">
        <f t="shared" ca="1" si="2"/>
        <v>-636.79999999999995</v>
      </c>
      <c r="N255" s="10">
        <f t="shared" ca="1" si="3"/>
        <v>-64.141821112006454</v>
      </c>
      <c r="O255" s="7">
        <f ca="1">IFERROR(__xludf.DUMMYFUNCTION("GOOGLEFINANCE(""NSE:""&amp;D255,""pe"")"),24.17)</f>
        <v>24.17</v>
      </c>
      <c r="P255" s="7">
        <f ca="1">IFERROR(__xludf.DUMMYFUNCTION("GOOGLEFINANCE(""NSE:""&amp;D255,""EPS"")"),14.73)</f>
        <v>14.73</v>
      </c>
      <c r="Q255" s="7">
        <v>13.5</v>
      </c>
      <c r="R255" s="7" t="str">
        <f ca="1">IFERROR(__xludf.DUMMYFUNCTION("IMPORTXML(E255,""/html/body/main/div[3]/div[3]/div[2]/ul/li[7]/span[2]/span"")"),"Loading...")</f>
        <v>Loading...</v>
      </c>
      <c r="S255" s="7" t="str">
        <f ca="1">IFERROR(__xludf.DUMMYFUNCTION("IMPORTXML(E255,""/html/body/main/div[3]/div[3]/div[2]/ul/li[8]/span[2]/span"")"),"Loading...")</f>
        <v>Loading...</v>
      </c>
      <c r="T255" s="4">
        <v>34.6</v>
      </c>
      <c r="U255" s="4">
        <v>22.7</v>
      </c>
      <c r="V255" s="4">
        <v>2.6</v>
      </c>
      <c r="W255" s="4">
        <v>5.7</v>
      </c>
      <c r="X255" s="4">
        <v>519.92999999999995</v>
      </c>
      <c r="Y255" s="7">
        <f t="shared" ca="1" si="4"/>
        <v>-163.92999999999995</v>
      </c>
    </row>
    <row r="256" spans="1:25" ht="15" x14ac:dyDescent="0.25">
      <c r="A256" s="4">
        <v>218</v>
      </c>
      <c r="C256" s="12" t="s">
        <v>1056</v>
      </c>
      <c r="D256" s="12" t="s">
        <v>1057</v>
      </c>
      <c r="E256" s="5" t="str">
        <f t="shared" si="0"/>
        <v>https://www.screener.in/company/LTFOODS/consolidated/</v>
      </c>
      <c r="F256" s="4">
        <v>443059</v>
      </c>
      <c r="G256" s="4">
        <v>3832241897</v>
      </c>
      <c r="H256" s="6">
        <f t="shared" ca="1" si="1"/>
        <v>170419.79715959</v>
      </c>
      <c r="I256" s="7" t="str">
        <f ca="1">IFERROR(__xludf.DUMMYFUNCTION("IMPORTXML(E256,""/html/body/main/div[3]/div[3]/div[2]/ul/li[5]/span[2]/span"")"),"Loading...")</f>
        <v>Loading...</v>
      </c>
      <c r="J256" s="7">
        <f ca="1">IFERROR(__xludf.DUMMYFUNCTION("GOOGLEFINANCE(""NSE:""&amp;D256,""marketcap"")"),153867800000)</f>
        <v>153867800000</v>
      </c>
      <c r="K256" s="7">
        <v>992.8</v>
      </c>
      <c r="L256" s="8">
        <f ca="1">IFERROR(__xludf.DUMMYFUNCTION("GOOGLEFINANCE(""NSE:""&amp;D256,""price"")"),444.7)</f>
        <v>444.7</v>
      </c>
      <c r="M256" s="9">
        <f t="shared" ca="1" si="2"/>
        <v>-548.09999999999991</v>
      </c>
      <c r="N256" s="10">
        <f t="shared" ca="1" si="3"/>
        <v>-55.207493956486701</v>
      </c>
      <c r="O256" s="7">
        <f ca="1">IFERROR(__xludf.DUMMYFUNCTION("GOOGLEFINANCE(""NSE:""&amp;D256,""pe"")"),12.35)</f>
        <v>12.35</v>
      </c>
      <c r="P256" s="7">
        <f ca="1">IFERROR(__xludf.DUMMYFUNCTION("GOOGLEFINANCE(""NSE:""&amp;D256,""EPS"")"),15.33)</f>
        <v>15.33</v>
      </c>
      <c r="Q256" s="7">
        <v>13.5</v>
      </c>
      <c r="R256" s="7" t="str">
        <f ca="1">IFERROR(__xludf.DUMMYFUNCTION("IMPORTXML(E256,""/html/body/main/div[3]/div[3]/div[2]/ul/li[7]/span[2]/span"")"),"Loading...")</f>
        <v>Loading...</v>
      </c>
      <c r="S256" s="7" t="str">
        <f ca="1">IFERROR(__xludf.DUMMYFUNCTION("IMPORTXML(E256,""/html/body/main/div[3]/div[3]/div[2]/ul/li[8]/span[2]/span"")"),"Loading...")</f>
        <v>Loading...</v>
      </c>
      <c r="T256" s="4">
        <v>34.6</v>
      </c>
      <c r="U256" s="4">
        <v>22.7</v>
      </c>
      <c r="V256" s="4">
        <v>2.6</v>
      </c>
      <c r="W256" s="4">
        <v>5.7</v>
      </c>
      <c r="X256" s="4">
        <v>519.92999999999995</v>
      </c>
      <c r="Y256" s="7">
        <f t="shared" ca="1" si="4"/>
        <v>-75.229999999999961</v>
      </c>
    </row>
    <row r="257" spans="1:25" ht="15" x14ac:dyDescent="0.25">
      <c r="A257" s="4">
        <v>746</v>
      </c>
      <c r="C257" s="12" t="s">
        <v>1058</v>
      </c>
      <c r="D257" s="12" t="s">
        <v>1059</v>
      </c>
      <c r="E257" s="5" t="str">
        <f t="shared" ref="E257:E511" si="5">"https://www.screener.in/company/"&amp; D257&amp;"/consolidated/"</f>
        <v>https://www.screener.in/company/DAMCAPITAL/consolidated/</v>
      </c>
      <c r="F257" s="4">
        <v>443059</v>
      </c>
      <c r="G257" s="4">
        <v>3832241897</v>
      </c>
      <c r="H257" s="6">
        <f t="shared" ref="H257:H511" ca="1" si="6">(G257*L257)/10^7</f>
        <v>85861.379702285005</v>
      </c>
      <c r="I257" s="7" t="str">
        <f ca="1">IFERROR(__xludf.DUMMYFUNCTION("IMPORTXML(E257,""/html/body/main/div[3]/div[3]/div[2]/ul/li[5]/span[2]/span"")"),"Loading...")</f>
        <v>Loading...</v>
      </c>
      <c r="J257" s="7">
        <f ca="1">IFERROR(__xludf.DUMMYFUNCTION("GOOGLEFINANCE(""NSE:""&amp;D257,""marketcap"")"),15901520000)</f>
        <v>15901520000</v>
      </c>
      <c r="K257" s="7">
        <v>992.8</v>
      </c>
      <c r="L257" s="8">
        <f ca="1">IFERROR(__xludf.DUMMYFUNCTION("GOOGLEFINANCE(""NSE:""&amp;D257,""price"")"),224.05)</f>
        <v>224.05</v>
      </c>
      <c r="M257" s="9">
        <f t="shared" ref="M257:M511" ca="1" si="7">L257-K257</f>
        <v>-768.75</v>
      </c>
      <c r="N257" s="10">
        <f t="shared" ref="N257:N511" ca="1" si="8">(M257/K257)*100</f>
        <v>-77.432514101531027</v>
      </c>
      <c r="O257" s="7">
        <f ca="1">IFERROR(__xludf.DUMMYFUNCTION("GOOGLEFINANCE(""NSE:""&amp;D257,""pe"")"),14.17)</f>
        <v>14.17</v>
      </c>
      <c r="P257" s="7">
        <f ca="1">IFERROR(__xludf.DUMMYFUNCTION("GOOGLEFINANCE(""NSE:""&amp;D257,""EPS"")"),15.81)</f>
        <v>15.81</v>
      </c>
      <c r="Q257" s="7">
        <v>13.5</v>
      </c>
      <c r="R257" s="7" t="str">
        <f ca="1">IFERROR(__xludf.DUMMYFUNCTION("IMPORTXML(E257,""/html/body/main/div[3]/div[3]/div[2]/ul/li[7]/span[2]/span"")"),"Loading...")</f>
        <v>Loading...</v>
      </c>
      <c r="S257" s="7" t="str">
        <f ca="1">IFERROR(__xludf.DUMMYFUNCTION("IMPORTXML(E257,""/html/body/main/div[3]/div[3]/div[2]/ul/li[8]/span[2]/span"")"),"Loading...")</f>
        <v>Loading...</v>
      </c>
      <c r="T257" s="4">
        <v>34.6</v>
      </c>
      <c r="U257" s="4">
        <v>22.7</v>
      </c>
      <c r="V257" s="4">
        <v>2.6</v>
      </c>
      <c r="W257" s="4">
        <v>5.7</v>
      </c>
      <c r="X257" s="4">
        <v>519.92999999999995</v>
      </c>
      <c r="Y257" s="7">
        <f t="shared" ref="Y257:Y511" ca="1" si="9">L257-X257</f>
        <v>-295.87999999999994</v>
      </c>
    </row>
    <row r="258" spans="1:25" ht="15" x14ac:dyDescent="0.25">
      <c r="A258" s="4">
        <v>39</v>
      </c>
      <c r="C258" s="12" t="s">
        <v>1060</v>
      </c>
      <c r="D258" s="12" t="s">
        <v>1061</v>
      </c>
      <c r="E258" s="5" t="str">
        <f t="shared" si="5"/>
        <v>https://www.screener.in/company/ISEC/consolidated/</v>
      </c>
      <c r="F258" s="4">
        <v>443059</v>
      </c>
      <c r="G258" s="4">
        <v>3832241897</v>
      </c>
      <c r="H258" s="6" t="e">
        <f t="shared" ca="1" si="6"/>
        <v>#VALUE!</v>
      </c>
      <c r="I258" s="7" t="str">
        <f ca="1">IFERROR(__xludf.DUMMYFUNCTION("IMPORTXML(E258,""/html/body/main/div[3]/div[3]/div[2]/ul/li[5]/span[2]/span"")"),"Loading...")</f>
        <v>Loading...</v>
      </c>
      <c r="J258" s="7" t="str">
        <f ca="1">IFERROR(__xludf.DUMMYFUNCTION("GOOGLEFINANCE(""NSE:""&amp;D258,""marketcap"")"),"#N/A")</f>
        <v>#N/A</v>
      </c>
      <c r="K258" s="7">
        <v>992.8</v>
      </c>
      <c r="L258" s="8" t="str">
        <f ca="1">IFERROR(__xludf.DUMMYFUNCTION("GOOGLEFINANCE(""NSE:""&amp;D258,""price"")"),"#N/A")</f>
        <v>#N/A</v>
      </c>
      <c r="M258" s="9" t="e">
        <f t="shared" ca="1" si="7"/>
        <v>#VALUE!</v>
      </c>
      <c r="N258" s="10" t="e">
        <f t="shared" ca="1" si="8"/>
        <v>#VALUE!</v>
      </c>
      <c r="O258" s="7" t="str">
        <f ca="1">IFERROR(__xludf.DUMMYFUNCTION("GOOGLEFINANCE(""NSE:""&amp;D258,""pe"")"),"#N/A")</f>
        <v>#N/A</v>
      </c>
      <c r="P258" s="7" t="str">
        <f ca="1">IFERROR(__xludf.DUMMYFUNCTION("GOOGLEFINANCE(""NSE:""&amp;D258,""EPS"")"),"#N/A")</f>
        <v>#N/A</v>
      </c>
      <c r="Q258" s="7">
        <v>13.5</v>
      </c>
      <c r="R258" s="7" t="str">
        <f ca="1">IFERROR(__xludf.DUMMYFUNCTION("IMPORTXML(E258,""/html/body/main/div[3]/div[3]/div[2]/ul/li[7]/span[2]/span"")"),"Loading...")</f>
        <v>Loading...</v>
      </c>
      <c r="S258" s="7" t="str">
        <f ca="1">IFERROR(__xludf.DUMMYFUNCTION("IMPORTXML(E258,""/html/body/main/div[3]/div[3]/div[2]/ul/li[8]/span[2]/span"")"),"Loading...")</f>
        <v>Loading...</v>
      </c>
      <c r="T258" s="4">
        <v>34.6</v>
      </c>
      <c r="U258" s="4">
        <v>22.7</v>
      </c>
      <c r="V258" s="4">
        <v>2.6</v>
      </c>
      <c r="W258" s="4">
        <v>5.7</v>
      </c>
      <c r="X258" s="4">
        <v>519.92999999999995</v>
      </c>
      <c r="Y258" s="7" t="e">
        <f t="shared" ca="1" si="9"/>
        <v>#VALUE!</v>
      </c>
    </row>
    <row r="259" spans="1:25" ht="15" x14ac:dyDescent="0.25">
      <c r="A259" s="4">
        <v>1398</v>
      </c>
      <c r="C259" s="12" t="s">
        <v>1062</v>
      </c>
      <c r="D259" s="12" t="s">
        <v>1063</v>
      </c>
      <c r="E259" s="5" t="str">
        <f t="shared" si="5"/>
        <v>https://www.screener.in/company/KRITINUT/consolidated/</v>
      </c>
      <c r="F259" s="4">
        <v>443059</v>
      </c>
      <c r="G259" s="4">
        <v>3832241897</v>
      </c>
      <c r="H259" s="6">
        <f t="shared" ca="1" si="6"/>
        <v>37172.746400900003</v>
      </c>
      <c r="I259" s="7" t="str">
        <f ca="1">IFERROR(__xludf.DUMMYFUNCTION("IMPORTXML(E259,""/html/body/main/div[3]/div[3]/div[2]/ul/li[5]/span[2]/span"")"),"Loading...")</f>
        <v>Loading...</v>
      </c>
      <c r="J259" s="7">
        <f ca="1">IFERROR(__xludf.DUMMYFUNCTION("GOOGLEFINANCE(""NSE:""&amp;D259,""marketcap"")"),4860041440)</f>
        <v>4860041440</v>
      </c>
      <c r="K259" s="7">
        <v>992.8</v>
      </c>
      <c r="L259" s="8">
        <f ca="1">IFERROR(__xludf.DUMMYFUNCTION("GOOGLEFINANCE(""NSE:""&amp;D259,""price"")"),97)</f>
        <v>97</v>
      </c>
      <c r="M259" s="9">
        <f t="shared" ca="1" si="7"/>
        <v>-895.8</v>
      </c>
      <c r="N259" s="10">
        <f t="shared" ca="1" si="8"/>
        <v>-90.229653505237707</v>
      </c>
      <c r="O259" s="7">
        <f ca="1">IFERROR(__xludf.DUMMYFUNCTION("GOOGLEFINANCE(""NSE:""&amp;D259,""pe"")"),15.08)</f>
        <v>15.08</v>
      </c>
      <c r="P259" s="7">
        <f ca="1">IFERROR(__xludf.DUMMYFUNCTION("GOOGLEFINANCE(""NSE:""&amp;D259,""EPS"")"),6.43)</f>
        <v>6.43</v>
      </c>
      <c r="Q259" s="7">
        <v>13.5</v>
      </c>
      <c r="R259" s="7" t="str">
        <f ca="1">IFERROR(__xludf.DUMMYFUNCTION("IMPORTXML(E259,""/html/body/main/div[3]/div[3]/div[2]/ul/li[7]/span[2]/span"")"),"Loading...")</f>
        <v>Loading...</v>
      </c>
      <c r="S259" s="7" t="str">
        <f ca="1">IFERROR(__xludf.DUMMYFUNCTION("IMPORTXML(E259,""/html/body/main/div[3]/div[3]/div[2]/ul/li[8]/span[2]/span"")"),"Loading...")</f>
        <v>Loading...</v>
      </c>
      <c r="T259" s="4">
        <v>34.6</v>
      </c>
      <c r="U259" s="4">
        <v>22.7</v>
      </c>
      <c r="V259" s="4">
        <v>2.6</v>
      </c>
      <c r="W259" s="4">
        <v>5.7</v>
      </c>
      <c r="X259" s="4">
        <v>519.92999999999995</v>
      </c>
      <c r="Y259" s="7">
        <f t="shared" ca="1" si="9"/>
        <v>-422.92999999999995</v>
      </c>
    </row>
    <row r="260" spans="1:25" ht="15" x14ac:dyDescent="0.25">
      <c r="A260" s="4">
        <v>244</v>
      </c>
      <c r="C260" s="12" t="s">
        <v>1064</v>
      </c>
      <c r="D260" s="12" t="s">
        <v>1065</v>
      </c>
      <c r="E260" s="5" t="str">
        <f t="shared" si="5"/>
        <v>https://www.screener.in/company/GMDCLTD/consolidated/</v>
      </c>
      <c r="F260" s="4">
        <v>443059</v>
      </c>
      <c r="G260" s="4">
        <v>3832241897</v>
      </c>
      <c r="H260" s="6">
        <f t="shared" ca="1" si="6"/>
        <v>194677.88836760001</v>
      </c>
      <c r="I260" s="7" t="str">
        <f ca="1">IFERROR(__xludf.DUMMYFUNCTION("IMPORTXML(E260,""/html/body/main/div[3]/div[3]/div[2]/ul/li[5]/span[2]/span"")"),"Loading...")</f>
        <v>Loading...</v>
      </c>
      <c r="J260" s="7">
        <f ca="1">IFERROR(__xludf.DUMMYFUNCTION("GOOGLEFINANCE(""NSE:""&amp;D260,""marketcap"")"),161827758533)</f>
        <v>161827758533</v>
      </c>
      <c r="K260" s="7">
        <v>992.8</v>
      </c>
      <c r="L260" s="8">
        <f ca="1">IFERROR(__xludf.DUMMYFUNCTION("GOOGLEFINANCE(""NSE:""&amp;D260,""price"")"),508)</f>
        <v>508</v>
      </c>
      <c r="M260" s="9">
        <f t="shared" ca="1" si="7"/>
        <v>-484.79999999999995</v>
      </c>
      <c r="N260" s="10">
        <f t="shared" ca="1" si="8"/>
        <v>-48.831587429492338</v>
      </c>
      <c r="O260" s="7">
        <f ca="1">IFERROR(__xludf.DUMMYFUNCTION("GOOGLEFINANCE(""NSE:""&amp;D260,""pe"")"),24.27)</f>
        <v>24.27</v>
      </c>
      <c r="P260" s="7">
        <f ca="1">IFERROR(__xludf.DUMMYFUNCTION("GOOGLEFINANCE(""NSE:""&amp;D260,""EPS"")"),20.93)</f>
        <v>20.93</v>
      </c>
      <c r="Q260" s="7">
        <v>13.5</v>
      </c>
      <c r="R260" s="7" t="str">
        <f ca="1">IFERROR(__xludf.DUMMYFUNCTION("IMPORTXML(E260,""/html/body/main/div[3]/div[3]/div[2]/ul/li[7]/span[2]/span"")"),"Loading...")</f>
        <v>Loading...</v>
      </c>
      <c r="S260" s="7" t="str">
        <f ca="1">IFERROR(__xludf.DUMMYFUNCTION("IMPORTXML(E260,""/html/body/main/div[3]/div[3]/div[2]/ul/li[8]/span[2]/span"")"),"Loading...")</f>
        <v>Loading...</v>
      </c>
      <c r="T260" s="4">
        <v>34.6</v>
      </c>
      <c r="U260" s="4">
        <v>22.7</v>
      </c>
      <c r="V260" s="4">
        <v>2.6</v>
      </c>
      <c r="W260" s="4">
        <v>5.7</v>
      </c>
      <c r="X260" s="4">
        <v>519.92999999999995</v>
      </c>
      <c r="Y260" s="7">
        <f t="shared" ca="1" si="9"/>
        <v>-11.92999999999995</v>
      </c>
    </row>
    <row r="261" spans="1:25" ht="15" x14ac:dyDescent="0.25">
      <c r="A261" s="4">
        <v>658</v>
      </c>
      <c r="C261" s="12" t="s">
        <v>1066</v>
      </c>
      <c r="D261" s="12" t="s">
        <v>1067</v>
      </c>
      <c r="E261" s="5" t="str">
        <f t="shared" si="5"/>
        <v>https://www.screener.in/company/GIPCL/consolidated/</v>
      </c>
      <c r="F261" s="4">
        <v>443059</v>
      </c>
      <c r="G261" s="4">
        <v>3832241897</v>
      </c>
      <c r="H261" s="6">
        <f t="shared" ca="1" si="6"/>
        <v>74479.621268194998</v>
      </c>
      <c r="I261" s="7" t="str">
        <f ca="1">IFERROR(__xludf.DUMMYFUNCTION("IMPORTXML(E261,""/html/body/main/div[3]/div[3]/div[2]/ul/li[5]/span[2]/span"")"),"Loading...")</f>
        <v>Loading...</v>
      </c>
      <c r="J261" s="7">
        <f ca="1">IFERROR(__xludf.DUMMYFUNCTION("GOOGLEFINANCE(""NSE:""&amp;D261,""marketcap"")"),30166211112)</f>
        <v>30166211112</v>
      </c>
      <c r="K261" s="7">
        <v>992.8</v>
      </c>
      <c r="L261" s="8">
        <f ca="1">IFERROR(__xludf.DUMMYFUNCTION("GOOGLEFINANCE(""NSE:""&amp;D261,""price"")"),194.35)</f>
        <v>194.35</v>
      </c>
      <c r="M261" s="9">
        <f t="shared" ca="1" si="7"/>
        <v>-798.44999999999993</v>
      </c>
      <c r="N261" s="10">
        <f t="shared" ca="1" si="8"/>
        <v>-80.424053182916992</v>
      </c>
      <c r="O261" s="7">
        <f ca="1">IFERROR(__xludf.DUMMYFUNCTION("GOOGLEFINANCE(""NSE:""&amp;D261,""pe"")"),14.73)</f>
        <v>14.73</v>
      </c>
      <c r="P261" s="7">
        <f ca="1">IFERROR(__xludf.DUMMYFUNCTION("GOOGLEFINANCE(""NSE:""&amp;D261,""EPS"")"),13.19)</f>
        <v>13.19</v>
      </c>
      <c r="Q261" s="7">
        <v>13.5</v>
      </c>
      <c r="R261" s="7" t="str">
        <f ca="1">IFERROR(__xludf.DUMMYFUNCTION("IMPORTXML(E261,""/html/body/main/div[3]/div[3]/div[2]/ul/li[7]/span[2]/span"")"),"Loading...")</f>
        <v>Loading...</v>
      </c>
      <c r="S261" s="7" t="str">
        <f ca="1">IFERROR(__xludf.DUMMYFUNCTION("IMPORTXML(E261,""/html/body/main/div[3]/div[3]/div[2]/ul/li[8]/span[2]/span"")"),"Loading...")</f>
        <v>Loading...</v>
      </c>
      <c r="T261" s="4">
        <v>34.6</v>
      </c>
      <c r="U261" s="4">
        <v>22.7</v>
      </c>
      <c r="V261" s="4">
        <v>2.6</v>
      </c>
      <c r="W261" s="4">
        <v>5.7</v>
      </c>
      <c r="X261" s="4">
        <v>519.92999999999995</v>
      </c>
      <c r="Y261" s="7">
        <f t="shared" ca="1" si="9"/>
        <v>-325.57999999999993</v>
      </c>
    </row>
    <row r="262" spans="1:25" ht="15" x14ac:dyDescent="0.25">
      <c r="A262" s="4">
        <v>991</v>
      </c>
      <c r="C262" s="12" t="s">
        <v>1068</v>
      </c>
      <c r="D262" s="12" t="s">
        <v>1069</v>
      </c>
      <c r="E262" s="5" t="str">
        <f t="shared" si="5"/>
        <v>https://www.screener.in/company/MANGCHEFER/consolidated/</v>
      </c>
      <c r="F262" s="4">
        <v>443059</v>
      </c>
      <c r="G262" s="4">
        <v>3832241897</v>
      </c>
      <c r="H262" s="6">
        <f t="shared" ca="1" si="6"/>
        <v>128418.42596847002</v>
      </c>
      <c r="I262" s="7" t="str">
        <f ca="1">IFERROR(__xludf.DUMMYFUNCTION("IMPORTXML(E262,""/html/body/main/div[3]/div[3]/div[2]/ul/li[5]/span[2]/span"")"),"Loading...")</f>
        <v>Loading...</v>
      </c>
      <c r="J262" s="7">
        <f ca="1">IFERROR(__xludf.DUMMYFUNCTION("GOOGLEFINANCE(""NSE:""&amp;D262,""marketcap"")"),40145329729)</f>
        <v>40145329729</v>
      </c>
      <c r="K262" s="7">
        <v>992.8</v>
      </c>
      <c r="L262" s="8">
        <f ca="1">IFERROR(__xludf.DUMMYFUNCTION("GOOGLEFINANCE(""NSE:""&amp;D262,""price"")"),335.1)</f>
        <v>335.1</v>
      </c>
      <c r="M262" s="9">
        <f t="shared" ca="1" si="7"/>
        <v>-657.69999999999993</v>
      </c>
      <c r="N262" s="10">
        <f t="shared" ca="1" si="8"/>
        <v>-66.246978243352132</v>
      </c>
      <c r="O262" s="7">
        <f ca="1">IFERROR(__xludf.DUMMYFUNCTION("GOOGLEFINANCE(""NSE:""&amp;D262,""pe"")"),24.59)</f>
        <v>24.59</v>
      </c>
      <c r="P262" s="7">
        <f ca="1">IFERROR(__xludf.DUMMYFUNCTION("GOOGLEFINANCE(""NSE:""&amp;D262,""EPS"")"),13.63)</f>
        <v>13.63</v>
      </c>
      <c r="Q262" s="7">
        <v>13.5</v>
      </c>
      <c r="R262" s="7" t="str">
        <f ca="1">IFERROR(__xludf.DUMMYFUNCTION("IMPORTXML(E262,""/html/body/main/div[3]/div[3]/div[2]/ul/li[7]/span[2]/span"")"),"Loading...")</f>
        <v>Loading...</v>
      </c>
      <c r="S262" s="7" t="str">
        <f ca="1">IFERROR(__xludf.DUMMYFUNCTION("IMPORTXML(E262,""/html/body/main/div[3]/div[3]/div[2]/ul/li[8]/span[2]/span"")"),"Loading...")</f>
        <v>Loading...</v>
      </c>
      <c r="T262" s="4">
        <v>34.6</v>
      </c>
      <c r="U262" s="4">
        <v>22.7</v>
      </c>
      <c r="V262" s="4">
        <v>2.6</v>
      </c>
      <c r="W262" s="4">
        <v>5.7</v>
      </c>
      <c r="X262" s="4">
        <v>519.92999999999995</v>
      </c>
      <c r="Y262" s="7">
        <f t="shared" ca="1" si="9"/>
        <v>-184.82999999999993</v>
      </c>
    </row>
    <row r="263" spans="1:25" ht="15" x14ac:dyDescent="0.25">
      <c r="A263" s="4">
        <v>953</v>
      </c>
      <c r="C263" s="12" t="s">
        <v>1070</v>
      </c>
      <c r="D263" s="12" t="s">
        <v>1071</v>
      </c>
      <c r="E263" s="5" t="str">
        <f t="shared" si="5"/>
        <v>https://www.screener.in/company/AGARIND/consolidated/</v>
      </c>
      <c r="F263" s="4">
        <v>443059</v>
      </c>
      <c r="G263" s="4">
        <v>3832241897</v>
      </c>
      <c r="H263" s="6">
        <f t="shared" ca="1" si="6"/>
        <v>318076.07745099999</v>
      </c>
      <c r="I263" s="7" t="str">
        <f ca="1">IFERROR(__xludf.DUMMYFUNCTION("IMPORTXML(E263,""/html/body/main/div[3]/div[3]/div[2]/ul/li[5]/span[2]/span"")"),"Loading...")</f>
        <v>Loading...</v>
      </c>
      <c r="J263" s="7">
        <f ca="1">IFERROR(__xludf.DUMMYFUNCTION("GOOGLEFINANCE(""NSE:""&amp;D263,""marketcap"")"),12506687774)</f>
        <v>12506687774</v>
      </c>
      <c r="K263" s="7">
        <v>992.8</v>
      </c>
      <c r="L263" s="8">
        <f ca="1">IFERROR(__xludf.DUMMYFUNCTION("GOOGLEFINANCE(""NSE:""&amp;D263,""price"")"),830)</f>
        <v>830</v>
      </c>
      <c r="M263" s="9">
        <f t="shared" ca="1" si="7"/>
        <v>-162.79999999999995</v>
      </c>
      <c r="N263" s="10">
        <f t="shared" ca="1" si="8"/>
        <v>-16.398066075745362</v>
      </c>
      <c r="O263" s="7">
        <f ca="1">IFERROR(__xludf.DUMMYFUNCTION("GOOGLEFINANCE(""NSE:""&amp;D263,""pe"")"),13.84)</f>
        <v>13.84</v>
      </c>
      <c r="P263" s="7">
        <f ca="1">IFERROR(__xludf.DUMMYFUNCTION("GOOGLEFINANCE(""NSE:""&amp;D263,""EPS"")"),59.97)</f>
        <v>59.97</v>
      </c>
      <c r="Q263" s="7">
        <v>13.5</v>
      </c>
      <c r="R263" s="7" t="str">
        <f ca="1">IFERROR(__xludf.DUMMYFUNCTION("IMPORTXML(E263,""/html/body/main/div[3]/div[3]/div[2]/ul/li[7]/span[2]/span"")"),"Loading...")</f>
        <v>Loading...</v>
      </c>
      <c r="S263" s="7" t="str">
        <f ca="1">IFERROR(__xludf.DUMMYFUNCTION("IMPORTXML(E263,""/html/body/main/div[3]/div[3]/div[2]/ul/li[8]/span[2]/span"")"),"Loading...")</f>
        <v>Loading...</v>
      </c>
      <c r="T263" s="4">
        <v>34.6</v>
      </c>
      <c r="U263" s="4">
        <v>22.7</v>
      </c>
      <c r="V263" s="4">
        <v>2.6</v>
      </c>
      <c r="W263" s="4">
        <v>5.7</v>
      </c>
      <c r="X263" s="4">
        <v>519.92999999999995</v>
      </c>
      <c r="Y263" s="7">
        <f t="shared" ca="1" si="9"/>
        <v>310.07000000000005</v>
      </c>
    </row>
    <row r="264" spans="1:25" ht="15" x14ac:dyDescent="0.25">
      <c r="A264" s="4">
        <v>167</v>
      </c>
      <c r="C264" s="12" t="s">
        <v>1072</v>
      </c>
      <c r="D264" s="12" t="s">
        <v>43</v>
      </c>
      <c r="E264" s="5" t="str">
        <f t="shared" si="5"/>
        <v>https://www.screener.in/company/MANAPPURAM/consolidated/</v>
      </c>
      <c r="F264" s="4">
        <v>443059</v>
      </c>
      <c r="G264" s="4">
        <v>3832241897</v>
      </c>
      <c r="H264" s="6">
        <f t="shared" ca="1" si="6"/>
        <v>109563.79583522999</v>
      </c>
      <c r="I264" s="7" t="str">
        <f ca="1">IFERROR(__xludf.DUMMYFUNCTION("IMPORTXML(E264,""/html/body/main/div[3]/div[3]/div[2]/ul/li[5]/span[2]/span"")"),"Loading...")</f>
        <v>Loading...</v>
      </c>
      <c r="J264" s="7">
        <f ca="1">IFERROR(__xludf.DUMMYFUNCTION("GOOGLEFINANCE(""NSE:""&amp;D264,""marketcap"")"),241995675563)</f>
        <v>241995675563</v>
      </c>
      <c r="K264" s="7">
        <v>992.8</v>
      </c>
      <c r="L264" s="8">
        <f ca="1">IFERROR(__xludf.DUMMYFUNCTION("GOOGLEFINANCE(""NSE:""&amp;D264,""price"")"),285.9)</f>
        <v>285.89999999999998</v>
      </c>
      <c r="M264" s="9">
        <f t="shared" ca="1" si="7"/>
        <v>-706.9</v>
      </c>
      <c r="N264" s="10">
        <f t="shared" ca="1" si="8"/>
        <v>-71.20265914585012</v>
      </c>
      <c r="O264" s="7">
        <f ca="1">IFERROR(__xludf.DUMMYFUNCTION("GOOGLEFINANCE(""NSE:""&amp;D264,""pe"")"),30.58)</f>
        <v>30.58</v>
      </c>
      <c r="P264" s="7">
        <f ca="1">IFERROR(__xludf.DUMMYFUNCTION("GOOGLEFINANCE(""NSE:""&amp;D264,""EPS"")"),9.35)</f>
        <v>9.35</v>
      </c>
      <c r="Q264" s="7">
        <v>13.5</v>
      </c>
      <c r="R264" s="7" t="str">
        <f ca="1">IFERROR(__xludf.DUMMYFUNCTION("IMPORTXML(E264,""/html/body/main/div[3]/div[3]/div[2]/ul/li[7]/span[2]/span"")"),"Loading...")</f>
        <v>Loading...</v>
      </c>
      <c r="S264" s="7" t="str">
        <f ca="1">IFERROR(__xludf.DUMMYFUNCTION("IMPORTXML(E264,""/html/body/main/div[3]/div[3]/div[2]/ul/li[8]/span[2]/span"")"),"Loading...")</f>
        <v>Loading...</v>
      </c>
      <c r="T264" s="4">
        <v>34.6</v>
      </c>
      <c r="U264" s="4">
        <v>22.7</v>
      </c>
      <c r="V264" s="4">
        <v>2.6</v>
      </c>
      <c r="W264" s="4">
        <v>5.7</v>
      </c>
      <c r="X264" s="4">
        <v>519.92999999999995</v>
      </c>
      <c r="Y264" s="7">
        <f t="shared" ca="1" si="9"/>
        <v>-234.02999999999997</v>
      </c>
    </row>
    <row r="265" spans="1:25" ht="15" x14ac:dyDescent="0.25">
      <c r="A265" s="4">
        <v>2092</v>
      </c>
      <c r="C265" s="12" t="s">
        <v>1073</v>
      </c>
      <c r="D265" s="12" t="s">
        <v>1074</v>
      </c>
      <c r="E265" s="5" t="str">
        <f t="shared" si="5"/>
        <v>https://www.screener.in/company/MAHESHWARI/consolidated/</v>
      </c>
      <c r="F265" s="4">
        <v>443059</v>
      </c>
      <c r="G265" s="4">
        <v>3832241897</v>
      </c>
      <c r="H265" s="6">
        <f t="shared" ca="1" si="6"/>
        <v>23756.067519503002</v>
      </c>
      <c r="I265" s="7" t="str">
        <f ca="1">IFERROR(__xludf.DUMMYFUNCTION("IMPORTXML(E265,""/html/body/main/div[3]/div[3]/div[2]/ul/li[5]/span[2]/span"")"),"Loading...")</f>
        <v>Loading...</v>
      </c>
      <c r="J265" s="7">
        <f ca="1">IFERROR(__xludf.DUMMYFUNCTION("GOOGLEFINANCE(""NSE:""&amp;D265,""marketcap"")"),1812126443)</f>
        <v>1812126443</v>
      </c>
      <c r="K265" s="7">
        <v>992.8</v>
      </c>
      <c r="L265" s="8">
        <f ca="1">IFERROR(__xludf.DUMMYFUNCTION("GOOGLEFINANCE(""NSE:""&amp;D265,""price"")"),61.99)</f>
        <v>61.99</v>
      </c>
      <c r="M265" s="9">
        <f t="shared" ca="1" si="7"/>
        <v>-930.81</v>
      </c>
      <c r="N265" s="10">
        <f t="shared" ca="1" si="8"/>
        <v>-93.756043513295722</v>
      </c>
      <c r="O265" s="7">
        <f ca="1">IFERROR(__xludf.DUMMYFUNCTION("GOOGLEFINANCE(""NSE:""&amp;D265,""pe"")"),9.76)</f>
        <v>9.76</v>
      </c>
      <c r="P265" s="7">
        <f ca="1">IFERROR(__xludf.DUMMYFUNCTION("GOOGLEFINANCE(""NSE:""&amp;D265,""EPS"")"),6.35)</f>
        <v>6.35</v>
      </c>
      <c r="Q265" s="7">
        <v>13.5</v>
      </c>
      <c r="R265" s="7" t="str">
        <f ca="1">IFERROR(__xludf.DUMMYFUNCTION("IMPORTXML(E265,""/html/body/main/div[3]/div[3]/div[2]/ul/li[7]/span[2]/span"")"),"Loading...")</f>
        <v>Loading...</v>
      </c>
      <c r="S265" s="7" t="str">
        <f ca="1">IFERROR(__xludf.DUMMYFUNCTION("IMPORTXML(E265,""/html/body/main/div[3]/div[3]/div[2]/ul/li[8]/span[2]/span"")"),"Loading...")</f>
        <v>Loading...</v>
      </c>
      <c r="T265" s="4">
        <v>34.6</v>
      </c>
      <c r="U265" s="4">
        <v>22.7</v>
      </c>
      <c r="V265" s="4">
        <v>2.6</v>
      </c>
      <c r="W265" s="4">
        <v>5.7</v>
      </c>
      <c r="X265" s="4">
        <v>519.92999999999995</v>
      </c>
      <c r="Y265" s="7">
        <f t="shared" ca="1" si="9"/>
        <v>-457.93999999999994</v>
      </c>
    </row>
    <row r="266" spans="1:25" ht="15" x14ac:dyDescent="0.25">
      <c r="A266" s="4">
        <v>988</v>
      </c>
      <c r="C266" s="12" t="s">
        <v>1075</v>
      </c>
      <c r="D266" s="12" t="s">
        <v>1076</v>
      </c>
      <c r="E266" s="5" t="str">
        <f t="shared" si="5"/>
        <v>https://www.screener.in/company/BCLIND/consolidated/</v>
      </c>
      <c r="F266" s="4">
        <v>443059</v>
      </c>
      <c r="G266" s="4">
        <v>3832241897</v>
      </c>
      <c r="H266" s="6">
        <f t="shared" ca="1" si="6"/>
        <v>15570.398827511002</v>
      </c>
      <c r="I266" s="7" t="str">
        <f ca="1">IFERROR(__xludf.DUMMYFUNCTION("IMPORTXML(E266,""/html/body/main/div[3]/div[3]/div[2]/ul/li[5]/span[2]/span"")"),"Loading...")</f>
        <v>Loading...</v>
      </c>
      <c r="J266" s="7">
        <f ca="1">IFERROR(__xludf.DUMMYFUNCTION("GOOGLEFINANCE(""NSE:""&amp;D266,""marketcap"")"),11992481131)</f>
        <v>11992481131</v>
      </c>
      <c r="K266" s="7">
        <v>992.8</v>
      </c>
      <c r="L266" s="8">
        <f ca="1">IFERROR(__xludf.DUMMYFUNCTION("GOOGLEFINANCE(""NSE:""&amp;D266,""price"")"),40.63)</f>
        <v>40.630000000000003</v>
      </c>
      <c r="M266" s="9">
        <f t="shared" ca="1" si="7"/>
        <v>-952.17</v>
      </c>
      <c r="N266" s="10">
        <f t="shared" ca="1" si="8"/>
        <v>-95.907534246575338</v>
      </c>
      <c r="O266" s="7">
        <f ca="1">IFERROR(__xludf.DUMMYFUNCTION("GOOGLEFINANCE(""NSE:""&amp;D266,""pe"")"),11.64)</f>
        <v>11.64</v>
      </c>
      <c r="P266" s="7">
        <f ca="1">IFERROR(__xludf.DUMMYFUNCTION("GOOGLEFINANCE(""NSE:""&amp;D266,""EPS"")"),3.49)</f>
        <v>3.49</v>
      </c>
      <c r="Q266" s="7">
        <v>13.5</v>
      </c>
      <c r="R266" s="7" t="str">
        <f ca="1">IFERROR(__xludf.DUMMYFUNCTION("IMPORTXML(E266,""/html/body/main/div[3]/div[3]/div[2]/ul/li[7]/span[2]/span"")"),"Loading...")</f>
        <v>Loading...</v>
      </c>
      <c r="S266" s="7" t="str">
        <f ca="1">IFERROR(__xludf.DUMMYFUNCTION("IMPORTXML(E266,""/html/body/main/div[3]/div[3]/div[2]/ul/li[8]/span[2]/span"")"),"Loading...")</f>
        <v>Loading...</v>
      </c>
      <c r="T266" s="4">
        <v>34.6</v>
      </c>
      <c r="U266" s="4">
        <v>22.7</v>
      </c>
      <c r="V266" s="4">
        <v>2.6</v>
      </c>
      <c r="W266" s="4">
        <v>5.7</v>
      </c>
      <c r="X266" s="4">
        <v>519.92999999999995</v>
      </c>
      <c r="Y266" s="7">
        <f t="shared" ca="1" si="9"/>
        <v>-479.29999999999995</v>
      </c>
    </row>
    <row r="267" spans="1:25" ht="15" x14ac:dyDescent="0.25">
      <c r="A267" s="4">
        <v>1055</v>
      </c>
      <c r="C267" s="12" t="s">
        <v>1077</v>
      </c>
      <c r="D267" s="12" t="s">
        <v>1078</v>
      </c>
      <c r="E267" s="5" t="str">
        <f t="shared" si="5"/>
        <v>https://www.screener.in/company/LINCOLN/consolidated/</v>
      </c>
      <c r="F267" s="4">
        <v>443059</v>
      </c>
      <c r="G267" s="4">
        <v>3832241897</v>
      </c>
      <c r="H267" s="6">
        <f t="shared" ca="1" si="6"/>
        <v>214222.32204229999</v>
      </c>
      <c r="I267" s="7" t="str">
        <f ca="1">IFERROR(__xludf.DUMMYFUNCTION("IMPORTXML(E267,""/html/body/main/div[3]/div[3]/div[2]/ul/li[5]/span[2]/span"")"),"Loading...")</f>
        <v>Loading...</v>
      </c>
      <c r="J267" s="7">
        <f ca="1">IFERROR(__xludf.DUMMYFUNCTION("GOOGLEFINANCE(""NSE:""&amp;D267,""marketcap"")"),11196613480)</f>
        <v>11196613480</v>
      </c>
      <c r="K267" s="7">
        <v>992.8</v>
      </c>
      <c r="L267" s="8">
        <f ca="1">IFERROR(__xludf.DUMMYFUNCTION("GOOGLEFINANCE(""NSE:""&amp;D267,""price"")"),559)</f>
        <v>559</v>
      </c>
      <c r="M267" s="9">
        <f t="shared" ca="1" si="7"/>
        <v>-433.79999999999995</v>
      </c>
      <c r="N267" s="10">
        <f t="shared" ca="1" si="8"/>
        <v>-43.694601128122478</v>
      </c>
      <c r="O267" s="7">
        <f ca="1">IFERROR(__xludf.DUMMYFUNCTION("GOOGLEFINANCE(""NSE:""&amp;D267,""pe"")"),12.96)</f>
        <v>12.96</v>
      </c>
      <c r="P267" s="7">
        <f ca="1">IFERROR(__xludf.DUMMYFUNCTION("GOOGLEFINANCE(""NSE:""&amp;D267,""EPS"")"),43.12)</f>
        <v>43.12</v>
      </c>
      <c r="Q267" s="7">
        <v>13.5</v>
      </c>
      <c r="R267" s="7" t="str">
        <f ca="1">IFERROR(__xludf.DUMMYFUNCTION("IMPORTXML(E267,""/html/body/main/div[3]/div[3]/div[2]/ul/li[7]/span[2]/span"")"),"Loading...")</f>
        <v>Loading...</v>
      </c>
      <c r="S267" s="7" t="str">
        <f ca="1">IFERROR(__xludf.DUMMYFUNCTION("IMPORTXML(E267,""/html/body/main/div[3]/div[3]/div[2]/ul/li[8]/span[2]/span"")"),"Loading...")</f>
        <v>Loading...</v>
      </c>
      <c r="T267" s="4">
        <v>34.6</v>
      </c>
      <c r="U267" s="4">
        <v>22.7</v>
      </c>
      <c r="V267" s="4">
        <v>2.6</v>
      </c>
      <c r="W267" s="4">
        <v>5.7</v>
      </c>
      <c r="X267" s="4">
        <v>519.92999999999995</v>
      </c>
      <c r="Y267" s="7">
        <f t="shared" ca="1" si="9"/>
        <v>39.07000000000005</v>
      </c>
    </row>
    <row r="268" spans="1:25" ht="15" x14ac:dyDescent="0.25">
      <c r="A268" s="4">
        <v>1326</v>
      </c>
      <c r="C268" s="12" t="s">
        <v>1079</v>
      </c>
      <c r="D268" s="12" t="s">
        <v>1080</v>
      </c>
      <c r="E268" s="5" t="str">
        <f t="shared" si="5"/>
        <v>https://www.screener.in/company/ALBERTDAVD/consolidated/</v>
      </c>
      <c r="F268" s="4">
        <v>443059</v>
      </c>
      <c r="G268" s="4">
        <v>3832241897</v>
      </c>
      <c r="H268" s="6">
        <f t="shared" ca="1" si="6"/>
        <v>305046.45500120003</v>
      </c>
      <c r="I268" s="7" t="str">
        <f ca="1">IFERROR(__xludf.DUMMYFUNCTION("IMPORTXML(E268,""/html/body/main/div[3]/div[3]/div[2]/ul/li[5]/span[2]/span"")"),"Loading...")</f>
        <v>Loading...</v>
      </c>
      <c r="J268" s="7">
        <f ca="1">IFERROR(__xludf.DUMMYFUNCTION("GOOGLEFINANCE(""NSE:""&amp;D268,""marketcap"")"),4569725000)</f>
        <v>4569725000</v>
      </c>
      <c r="K268" s="7">
        <v>992.8</v>
      </c>
      <c r="L268" s="8">
        <f ca="1">IFERROR(__xludf.DUMMYFUNCTION("GOOGLEFINANCE(""NSE:""&amp;D268,""price"")"),796)</f>
        <v>796</v>
      </c>
      <c r="M268" s="9">
        <f t="shared" ca="1" si="7"/>
        <v>-196.79999999999995</v>
      </c>
      <c r="N268" s="10">
        <f t="shared" ca="1" si="8"/>
        <v>-19.822723609991939</v>
      </c>
      <c r="O268" s="7">
        <f ca="1">IFERROR(__xludf.DUMMYFUNCTION("GOOGLEFINANCE(""NSE:""&amp;D268,""pe"")"),72.11)</f>
        <v>72.11</v>
      </c>
      <c r="P268" s="7">
        <f ca="1">IFERROR(__xludf.DUMMYFUNCTION("GOOGLEFINANCE(""NSE:""&amp;D268,""EPS"")"),11.04)</f>
        <v>11.04</v>
      </c>
      <c r="Q268" s="7">
        <v>13.5</v>
      </c>
      <c r="R268" s="7" t="str">
        <f ca="1">IFERROR(__xludf.DUMMYFUNCTION("IMPORTXML(E268,""/html/body/main/div[3]/div[3]/div[2]/ul/li[7]/span[2]/span"")"),"Loading...")</f>
        <v>Loading...</v>
      </c>
      <c r="S268" s="7" t="str">
        <f ca="1">IFERROR(__xludf.DUMMYFUNCTION("IMPORTXML(E268,""/html/body/main/div[3]/div[3]/div[2]/ul/li[8]/span[2]/span"")"),"Loading...")</f>
        <v>Loading...</v>
      </c>
      <c r="T268" s="4">
        <v>34.6</v>
      </c>
      <c r="U268" s="4">
        <v>22.7</v>
      </c>
      <c r="V268" s="4">
        <v>2.6</v>
      </c>
      <c r="W268" s="4">
        <v>5.7</v>
      </c>
      <c r="X268" s="4">
        <v>519.92999999999995</v>
      </c>
      <c r="Y268" s="7">
        <f t="shared" ca="1" si="9"/>
        <v>276.07000000000005</v>
      </c>
    </row>
    <row r="269" spans="1:25" ht="15" x14ac:dyDescent="0.25">
      <c r="A269" s="4">
        <v>874</v>
      </c>
      <c r="C269" s="12" t="s">
        <v>1081</v>
      </c>
      <c r="D269" s="12" t="s">
        <v>1082</v>
      </c>
      <c r="E269" s="5" t="str">
        <f t="shared" si="5"/>
        <v>https://www.screener.in/company/ANDHRAPAP/consolidated/</v>
      </c>
      <c r="F269" s="4">
        <v>443059</v>
      </c>
      <c r="G269" s="4">
        <v>3832241897</v>
      </c>
      <c r="H269" s="6">
        <f t="shared" ca="1" si="6"/>
        <v>29968.131634540001</v>
      </c>
      <c r="I269" s="7" t="str">
        <f ca="1">IFERROR(__xludf.DUMMYFUNCTION("IMPORTXML(E269,""/html/body/main/div[3]/div[3]/div[2]/ul/li[5]/span[2]/span"")"),"Loading...")</f>
        <v>Loading...</v>
      </c>
      <c r="J269" s="7">
        <f ca="1">IFERROR(__xludf.DUMMYFUNCTION("GOOGLEFINANCE(""NSE:""&amp;D269,""marketcap"")"),15534096982)</f>
        <v>15534096982</v>
      </c>
      <c r="K269" s="7">
        <v>992.8</v>
      </c>
      <c r="L269" s="8">
        <f ca="1">IFERROR(__xludf.DUMMYFUNCTION("GOOGLEFINANCE(""NSE:""&amp;D269,""price"")"),78.2)</f>
        <v>78.2</v>
      </c>
      <c r="M269" s="9">
        <f t="shared" ca="1" si="7"/>
        <v>-914.59999999999991</v>
      </c>
      <c r="N269" s="10">
        <f t="shared" ca="1" si="8"/>
        <v>-92.123287671232873</v>
      </c>
      <c r="O269" s="7">
        <f ca="1">IFERROR(__xludf.DUMMYFUNCTION("GOOGLEFINANCE(""NSE:""&amp;D269,""pe"")"),18.83)</f>
        <v>18.829999999999998</v>
      </c>
      <c r="P269" s="7">
        <f ca="1">IFERROR(__xludf.DUMMYFUNCTION("GOOGLEFINANCE(""NSE:""&amp;D269,""EPS"")"),4.15)</f>
        <v>4.1500000000000004</v>
      </c>
      <c r="Q269" s="7">
        <v>13.5</v>
      </c>
      <c r="R269" s="7" t="str">
        <f ca="1">IFERROR(__xludf.DUMMYFUNCTION("IMPORTXML(E269,""/html/body/main/div[3]/div[3]/div[2]/ul/li[7]/span[2]/span"")"),"Loading...")</f>
        <v>Loading...</v>
      </c>
      <c r="S269" s="7" t="str">
        <f ca="1">IFERROR(__xludf.DUMMYFUNCTION("IMPORTXML(E269,""/html/body/main/div[3]/div[3]/div[2]/ul/li[8]/span[2]/span"")"),"Loading...")</f>
        <v>Loading...</v>
      </c>
      <c r="T269" s="4">
        <v>34.6</v>
      </c>
      <c r="U269" s="4">
        <v>22.7</v>
      </c>
      <c r="V269" s="4">
        <v>2.6</v>
      </c>
      <c r="W269" s="4">
        <v>5.7</v>
      </c>
      <c r="X269" s="4">
        <v>519.92999999999995</v>
      </c>
      <c r="Y269" s="7">
        <f t="shared" ca="1" si="9"/>
        <v>-441.72999999999996</v>
      </c>
    </row>
    <row r="270" spans="1:25" ht="15" x14ac:dyDescent="0.25">
      <c r="A270" s="4">
        <v>398</v>
      </c>
      <c r="C270" s="12" t="s">
        <v>1083</v>
      </c>
      <c r="D270" s="12" t="s">
        <v>1084</v>
      </c>
      <c r="E270" s="5" t="str">
        <f t="shared" si="5"/>
        <v>https://www.screener.in/company/DBL/consolidated/</v>
      </c>
      <c r="F270" s="4">
        <v>443059</v>
      </c>
      <c r="G270" s="4">
        <v>3832241897</v>
      </c>
      <c r="H270" s="6">
        <f t="shared" ca="1" si="6"/>
        <v>178256.73183895499</v>
      </c>
      <c r="I270" s="7" t="str">
        <f ca="1">IFERROR(__xludf.DUMMYFUNCTION("IMPORTXML(E270,""/html/body/main/div[3]/div[3]/div[2]/ul/li[5]/span[2]/span"")"),"Loading...")</f>
        <v>Loading...</v>
      </c>
      <c r="J270" s="7">
        <f ca="1">IFERROR(__xludf.DUMMYFUNCTION("GOOGLEFINANCE(""NSE:""&amp;D270,""marketcap"")"),75585580000)</f>
        <v>75585580000</v>
      </c>
      <c r="K270" s="7">
        <v>992.8</v>
      </c>
      <c r="L270" s="8">
        <f ca="1">IFERROR(__xludf.DUMMYFUNCTION("GOOGLEFINANCE(""NSE:""&amp;D270,""price"")"),465.15)</f>
        <v>465.15</v>
      </c>
      <c r="M270" s="9">
        <f t="shared" ca="1" si="7"/>
        <v>-527.65</v>
      </c>
      <c r="N270" s="10">
        <f t="shared" ca="1" si="8"/>
        <v>-53.147663174858984</v>
      </c>
      <c r="O270" s="7">
        <f ca="1">IFERROR(__xludf.DUMMYFUNCTION("GOOGLEFINANCE(""NSE:""&amp;D270,""pe"")"),8.39)</f>
        <v>8.39</v>
      </c>
      <c r="P270" s="7">
        <f ca="1">IFERROR(__xludf.DUMMYFUNCTION("GOOGLEFINANCE(""NSE:""&amp;D270,""EPS"")"),55.47)</f>
        <v>55.47</v>
      </c>
      <c r="Q270" s="7">
        <v>13.5</v>
      </c>
      <c r="R270" s="7" t="str">
        <f ca="1">IFERROR(__xludf.DUMMYFUNCTION("IMPORTXML(E270,""/html/body/main/div[3]/div[3]/div[2]/ul/li[7]/span[2]/span"")"),"Loading...")</f>
        <v>Loading...</v>
      </c>
      <c r="S270" s="7" t="str">
        <f ca="1">IFERROR(__xludf.DUMMYFUNCTION("IMPORTXML(E270,""/html/body/main/div[3]/div[3]/div[2]/ul/li[8]/span[2]/span"")"),"Loading...")</f>
        <v>Loading...</v>
      </c>
      <c r="T270" s="4">
        <v>34.6</v>
      </c>
      <c r="U270" s="4">
        <v>22.7</v>
      </c>
      <c r="V270" s="4">
        <v>2.6</v>
      </c>
      <c r="W270" s="4">
        <v>5.7</v>
      </c>
      <c r="X270" s="4">
        <v>519.92999999999995</v>
      </c>
      <c r="Y270" s="7">
        <f t="shared" ca="1" si="9"/>
        <v>-54.779999999999973</v>
      </c>
    </row>
    <row r="271" spans="1:25" ht="15" x14ac:dyDescent="0.25">
      <c r="A271" s="4">
        <v>1202</v>
      </c>
      <c r="C271" s="12" t="s">
        <v>1085</v>
      </c>
      <c r="D271" s="12" t="s">
        <v>1086</v>
      </c>
      <c r="E271" s="5" t="str">
        <f t="shared" si="5"/>
        <v>https://www.screener.in/company/GANDHITUBE/consolidated/</v>
      </c>
      <c r="F271" s="4">
        <v>443059</v>
      </c>
      <c r="G271" s="4">
        <v>3832241897</v>
      </c>
      <c r="H271" s="6">
        <f t="shared" ca="1" si="6"/>
        <v>383607.41388970002</v>
      </c>
      <c r="I271" s="7" t="str">
        <f ca="1">IFERROR(__xludf.DUMMYFUNCTION("IMPORTXML(E271,""/html/body/main/div[3]/div[3]/div[2]/ul/li[5]/span[2]/span"")"),"Loading...")</f>
        <v>Loading...</v>
      </c>
      <c r="J271" s="7">
        <f ca="1">IFERROR(__xludf.DUMMYFUNCTION("GOOGLEFINANCE(""NSE:""&amp;D271,""marketcap"")"),12158680000)</f>
        <v>12158680000</v>
      </c>
      <c r="K271" s="7">
        <v>992.8</v>
      </c>
      <c r="L271" s="8">
        <f ca="1">IFERROR(__xludf.DUMMYFUNCTION("GOOGLEFINANCE(""NSE:""&amp;D271,""price"")"),1001)</f>
        <v>1001</v>
      </c>
      <c r="M271" s="9">
        <f t="shared" ca="1" si="7"/>
        <v>8.2000000000000455</v>
      </c>
      <c r="N271" s="10">
        <f t="shared" ca="1" si="8"/>
        <v>0.82594681708300222</v>
      </c>
      <c r="O271" s="7">
        <f ca="1">IFERROR(__xludf.DUMMYFUNCTION("GOOGLEFINANCE(""NSE:""&amp;D271,""pe"")"),18.44)</f>
        <v>18.440000000000001</v>
      </c>
      <c r="P271" s="7">
        <f ca="1">IFERROR(__xludf.DUMMYFUNCTION("GOOGLEFINANCE(""NSE:""&amp;D271,""EPS"")"),54.28)</f>
        <v>54.28</v>
      </c>
      <c r="Q271" s="7">
        <v>13.5</v>
      </c>
      <c r="R271" s="7" t="str">
        <f ca="1">IFERROR(__xludf.DUMMYFUNCTION("IMPORTXML(E271,""/html/body/main/div[3]/div[3]/div[2]/ul/li[7]/span[2]/span"")"),"Loading...")</f>
        <v>Loading...</v>
      </c>
      <c r="S271" s="7" t="str">
        <f ca="1">IFERROR(__xludf.DUMMYFUNCTION("IMPORTXML(E271,""/html/body/main/div[3]/div[3]/div[2]/ul/li[8]/span[2]/span"")"),"Loading...")</f>
        <v>Loading...</v>
      </c>
      <c r="T271" s="4">
        <v>34.6</v>
      </c>
      <c r="U271" s="4">
        <v>22.7</v>
      </c>
      <c r="V271" s="4">
        <v>2.6</v>
      </c>
      <c r="W271" s="4">
        <v>5.7</v>
      </c>
      <c r="X271" s="4">
        <v>519.92999999999995</v>
      </c>
      <c r="Y271" s="7">
        <f t="shared" ca="1" si="9"/>
        <v>481.07000000000005</v>
      </c>
    </row>
    <row r="272" spans="1:25" ht="15" x14ac:dyDescent="0.25">
      <c r="A272" s="4">
        <v>397</v>
      </c>
      <c r="C272" s="12" t="s">
        <v>1087</v>
      </c>
      <c r="D272" s="12" t="s">
        <v>1088</v>
      </c>
      <c r="E272" s="5" t="str">
        <f t="shared" si="5"/>
        <v>https://www.screener.in/company/HCC/consolidated/</v>
      </c>
      <c r="F272" s="4">
        <v>443059</v>
      </c>
      <c r="G272" s="4">
        <v>3832241897</v>
      </c>
      <c r="H272" s="6">
        <f t="shared" ca="1" si="6"/>
        <v>11090.508049918</v>
      </c>
      <c r="I272" s="7" t="str">
        <f ca="1">IFERROR(__xludf.DUMMYFUNCTION("IMPORTXML(E272,""/html/body/main/div[3]/div[3]/div[2]/ul/li[5]/span[2]/span"")"),"Loading...")</f>
        <v>Loading...</v>
      </c>
      <c r="J272" s="7">
        <f ca="1">IFERROR(__xludf.DUMMYFUNCTION("GOOGLEFINANCE(""NSE:""&amp;D272,""marketcap"")"),52122281199)</f>
        <v>52122281199</v>
      </c>
      <c r="K272" s="7">
        <v>992.8</v>
      </c>
      <c r="L272" s="8">
        <f ca="1">IFERROR(__xludf.DUMMYFUNCTION("GOOGLEFINANCE(""NSE:""&amp;D272,""price"")"),28.94)</f>
        <v>28.94</v>
      </c>
      <c r="M272" s="9">
        <f t="shared" ca="1" si="7"/>
        <v>-963.8599999999999</v>
      </c>
      <c r="N272" s="10">
        <f t="shared" ca="1" si="8"/>
        <v>-97.085012087026584</v>
      </c>
      <c r="O272" s="7">
        <f ca="1">IFERROR(__xludf.DUMMYFUNCTION("GOOGLEFINANCE(""NSE:""&amp;D272,""pe"")"),29.74)</f>
        <v>29.74</v>
      </c>
      <c r="P272" s="7">
        <f ca="1">IFERROR(__xludf.DUMMYFUNCTION("GOOGLEFINANCE(""NSE:""&amp;D272,""EPS"")"),0.97)</f>
        <v>0.97</v>
      </c>
      <c r="Q272" s="7">
        <v>13.5</v>
      </c>
      <c r="R272" s="7" t="str">
        <f ca="1">IFERROR(__xludf.DUMMYFUNCTION("IMPORTXML(E272,""/html/body/main/div[3]/div[3]/div[2]/ul/li[7]/span[2]/span"")"),"Loading...")</f>
        <v>Loading...</v>
      </c>
      <c r="S272" s="7" t="str">
        <f ca="1">IFERROR(__xludf.DUMMYFUNCTION("IMPORTXML(E272,""/html/body/main/div[3]/div[3]/div[2]/ul/li[8]/span[2]/span"")"),"Loading...")</f>
        <v>Loading...</v>
      </c>
      <c r="T272" s="4">
        <v>34.6</v>
      </c>
      <c r="U272" s="4">
        <v>22.7</v>
      </c>
      <c r="V272" s="4">
        <v>2.6</v>
      </c>
      <c r="W272" s="4">
        <v>5.7</v>
      </c>
      <c r="X272" s="4">
        <v>519.92999999999995</v>
      </c>
      <c r="Y272" s="7">
        <f t="shared" ca="1" si="9"/>
        <v>-490.98999999999995</v>
      </c>
    </row>
    <row r="273" spans="1:25" ht="15" x14ac:dyDescent="0.25">
      <c r="A273" s="4">
        <v>9</v>
      </c>
      <c r="C273" s="12" t="s">
        <v>1089</v>
      </c>
      <c r="D273" s="12" t="s">
        <v>1090</v>
      </c>
      <c r="E273" s="5" t="str">
        <f t="shared" si="5"/>
        <v>https://www.screener.in/company/SUNTV/consolidated/</v>
      </c>
      <c r="F273" s="4">
        <v>443059</v>
      </c>
      <c r="G273" s="4">
        <v>3832241897</v>
      </c>
      <c r="H273" s="6">
        <f t="shared" ca="1" si="6"/>
        <v>213609.16333877997</v>
      </c>
      <c r="I273" s="7" t="str">
        <f ca="1">IFERROR(__xludf.DUMMYFUNCTION("IMPORTXML(E273,""/html/body/main/div[3]/div[3]/div[2]/ul/li[5]/span[2]/span"")"),"Loading...")</f>
        <v>Loading...</v>
      </c>
      <c r="J273" s="7">
        <f ca="1">IFERROR(__xludf.DUMMYFUNCTION("GOOGLEFINANCE(""NSE:""&amp;D273,""marketcap"")"),219662765661)</f>
        <v>219662765661</v>
      </c>
      <c r="K273" s="7">
        <v>992.8</v>
      </c>
      <c r="L273" s="8">
        <f ca="1">IFERROR(__xludf.DUMMYFUNCTION("GOOGLEFINANCE(""NSE:""&amp;D273,""price"")"),557.4)</f>
        <v>557.4</v>
      </c>
      <c r="M273" s="9">
        <f t="shared" ca="1" si="7"/>
        <v>-435.4</v>
      </c>
      <c r="N273" s="10">
        <f t="shared" ca="1" si="8"/>
        <v>-43.855761482675263</v>
      </c>
      <c r="O273" s="7">
        <f ca="1">IFERROR(__xludf.DUMMYFUNCTION("GOOGLEFINANCE(""NSE:""&amp;D273,""pe"")"),13.13)</f>
        <v>13.13</v>
      </c>
      <c r="P273" s="7">
        <f ca="1">IFERROR(__xludf.DUMMYFUNCTION("GOOGLEFINANCE(""NSE:""&amp;D273,""EPS"")"),42.44)</f>
        <v>42.44</v>
      </c>
      <c r="Q273" s="7">
        <v>13.5</v>
      </c>
      <c r="R273" s="7" t="str">
        <f ca="1">IFERROR(__xludf.DUMMYFUNCTION("IMPORTXML(E273,""/html/body/main/div[3]/div[3]/div[2]/ul/li[7]/span[2]/span"")"),"Loading...")</f>
        <v>Loading...</v>
      </c>
      <c r="S273" s="7" t="str">
        <f ca="1">IFERROR(__xludf.DUMMYFUNCTION("IMPORTXML(E273,""/html/body/main/div[3]/div[3]/div[2]/ul/li[8]/span[2]/span"")"),"Loading...")</f>
        <v>Loading...</v>
      </c>
      <c r="T273" s="4">
        <v>34.6</v>
      </c>
      <c r="U273" s="4">
        <v>22.7</v>
      </c>
      <c r="V273" s="4">
        <v>2.6</v>
      </c>
      <c r="W273" s="4">
        <v>5.7</v>
      </c>
      <c r="X273" s="4">
        <v>519.92999999999995</v>
      </c>
      <c r="Y273" s="7">
        <f t="shared" ca="1" si="9"/>
        <v>37.470000000000027</v>
      </c>
    </row>
    <row r="274" spans="1:25" ht="15" x14ac:dyDescent="0.25">
      <c r="A274" s="4">
        <v>1092</v>
      </c>
      <c r="C274" s="12" t="s">
        <v>1091</v>
      </c>
      <c r="D274" s="12" t="s">
        <v>1092</v>
      </c>
      <c r="E274" s="5" t="str">
        <f t="shared" si="5"/>
        <v>https://www.screener.in/company/CREST/consolidated/</v>
      </c>
      <c r="F274" s="4">
        <v>443059</v>
      </c>
      <c r="G274" s="4">
        <v>3832241897</v>
      </c>
      <c r="H274" s="6">
        <f t="shared" ca="1" si="6"/>
        <v>144782.09886866002</v>
      </c>
      <c r="I274" s="7" t="str">
        <f ca="1">IFERROR(__xludf.DUMMYFUNCTION("IMPORTXML(E274,""/html/body/main/div[3]/div[3]/div[2]/ul/li[5]/span[2]/span"")"),"Loading...")</f>
        <v>Loading...</v>
      </c>
      <c r="J274" s="7">
        <f ca="1">IFERROR(__xludf.DUMMYFUNCTION("GOOGLEFINANCE(""NSE:""&amp;D274,""marketcap"")"),10624540000)</f>
        <v>10624540000</v>
      </c>
      <c r="K274" s="7">
        <v>992.8</v>
      </c>
      <c r="L274" s="8">
        <f ca="1">IFERROR(__xludf.DUMMYFUNCTION("GOOGLEFINANCE(""NSE:""&amp;D274,""price"")"),377.8)</f>
        <v>377.8</v>
      </c>
      <c r="M274" s="9">
        <f t="shared" ca="1" si="7"/>
        <v>-615</v>
      </c>
      <c r="N274" s="10">
        <f t="shared" ca="1" si="8"/>
        <v>-61.94601128122482</v>
      </c>
      <c r="O274" s="7">
        <f ca="1">IFERROR(__xludf.DUMMYFUNCTION("GOOGLEFINANCE(""NSE:""&amp;D274,""pe"")"),16.62)</f>
        <v>16.62</v>
      </c>
      <c r="P274" s="7">
        <f ca="1">IFERROR(__xludf.DUMMYFUNCTION("GOOGLEFINANCE(""NSE:""&amp;D274,""EPS"")"),22.73)</f>
        <v>22.73</v>
      </c>
      <c r="Q274" s="7">
        <v>13.5</v>
      </c>
      <c r="R274" s="7">
        <f ca="1">IFERROR(__xludf.DUMMYFUNCTION("IMPORTXML(E274,""/html/body/main/div[3]/div[3]/div[2]/ul/li[7]/span[2]/span"")"),9.78)</f>
        <v>9.7799999999999994</v>
      </c>
      <c r="S274" s="7" t="str">
        <f ca="1">IFERROR(__xludf.DUMMYFUNCTION("IMPORTXML(E274,""/html/body/main/div[3]/div[3]/div[2]/ul/li[8]/span[2]/span"")"),"Loading...")</f>
        <v>Loading...</v>
      </c>
      <c r="T274" s="4">
        <v>34.6</v>
      </c>
      <c r="U274" s="4">
        <v>22.7</v>
      </c>
      <c r="V274" s="4">
        <v>2.6</v>
      </c>
      <c r="W274" s="4">
        <v>5.7</v>
      </c>
      <c r="X274" s="4">
        <v>519.92999999999995</v>
      </c>
      <c r="Y274" s="7">
        <f t="shared" ca="1" si="9"/>
        <v>-142.12999999999994</v>
      </c>
    </row>
    <row r="275" spans="1:25" ht="15" x14ac:dyDescent="0.25">
      <c r="A275" s="4">
        <v>1255</v>
      </c>
      <c r="C275" s="12" t="s">
        <v>1093</v>
      </c>
      <c r="D275" s="12" t="s">
        <v>1094</v>
      </c>
      <c r="E275" s="5" t="str">
        <f t="shared" si="5"/>
        <v>https://www.screener.in/company/JAYAGROGN/consolidated/</v>
      </c>
      <c r="F275" s="4">
        <v>443059</v>
      </c>
      <c r="G275" s="4">
        <v>3832241897</v>
      </c>
      <c r="H275" s="6">
        <f t="shared" ca="1" si="6"/>
        <v>92951.02721173501</v>
      </c>
      <c r="I275" s="7" t="str">
        <f ca="1">IFERROR(__xludf.DUMMYFUNCTION("IMPORTXML(E275,""/html/body/main/div[3]/div[3]/div[2]/ul/li[5]/span[2]/span"")"),"Loading...")</f>
        <v>Loading...</v>
      </c>
      <c r="J275" s="7">
        <f ca="1">IFERROR(__xludf.DUMMYFUNCTION("GOOGLEFINANCE(""NSE:""&amp;D275,""marketcap"")"),7280968450)</f>
        <v>7280968450</v>
      </c>
      <c r="K275" s="7">
        <v>992.8</v>
      </c>
      <c r="L275" s="8">
        <f ca="1">IFERROR(__xludf.DUMMYFUNCTION("GOOGLEFINANCE(""NSE:""&amp;D275,""price"")"),242.55)</f>
        <v>242.55</v>
      </c>
      <c r="M275" s="9">
        <f t="shared" ca="1" si="7"/>
        <v>-750.25</v>
      </c>
      <c r="N275" s="10">
        <f t="shared" ca="1" si="8"/>
        <v>-75.5690975020145</v>
      </c>
      <c r="O275" s="7">
        <f ca="1">IFERROR(__xludf.DUMMYFUNCTION("GOOGLEFINANCE(""NSE:""&amp;D275,""pe"")"),13.11)</f>
        <v>13.11</v>
      </c>
      <c r="P275" s="7">
        <f ca="1">IFERROR(__xludf.DUMMYFUNCTION("GOOGLEFINANCE(""NSE:""&amp;D275,""EPS"")"),18.5)</f>
        <v>18.5</v>
      </c>
      <c r="Q275" s="7">
        <v>13.5</v>
      </c>
      <c r="R275" s="7" t="str">
        <f ca="1">IFERROR(__xludf.DUMMYFUNCTION("IMPORTXML(E275,""/html/body/main/div[3]/div[3]/div[2]/ul/li[7]/span[2]/span"")"),"Loading...")</f>
        <v>Loading...</v>
      </c>
      <c r="S275" s="7" t="str">
        <f ca="1">IFERROR(__xludf.DUMMYFUNCTION("IMPORTXML(E275,""/html/body/main/div[3]/div[3]/div[2]/ul/li[8]/span[2]/span"")"),"Loading...")</f>
        <v>Loading...</v>
      </c>
      <c r="T275" s="4">
        <v>34.6</v>
      </c>
      <c r="U275" s="4">
        <v>22.7</v>
      </c>
      <c r="V275" s="4">
        <v>2.6</v>
      </c>
      <c r="W275" s="4">
        <v>5.7</v>
      </c>
      <c r="X275" s="4">
        <v>519.92999999999995</v>
      </c>
      <c r="Y275" s="7">
        <f t="shared" ca="1" si="9"/>
        <v>-277.37999999999994</v>
      </c>
    </row>
    <row r="276" spans="1:25" ht="15" x14ac:dyDescent="0.25">
      <c r="A276" s="4">
        <v>301</v>
      </c>
      <c r="C276" s="12" t="s">
        <v>1095</v>
      </c>
      <c r="D276" s="12" t="s">
        <v>1096</v>
      </c>
      <c r="E276" s="5" t="str">
        <f t="shared" si="5"/>
        <v>https://www.screener.in/company/HGINFRA/consolidated/</v>
      </c>
      <c r="F276" s="4">
        <v>443059</v>
      </c>
      <c r="G276" s="4">
        <v>3832241897</v>
      </c>
      <c r="H276" s="6">
        <f t="shared" ca="1" si="6"/>
        <v>383147.54486205993</v>
      </c>
      <c r="I276" s="7" t="str">
        <f ca="1">IFERROR(__xludf.DUMMYFUNCTION("IMPORTXML(E276,""/html/body/main/div[3]/div[3]/div[2]/ul/li[5]/span[2]/span"")"),"Loading...")</f>
        <v>Loading...</v>
      </c>
      <c r="J276" s="7">
        <f ca="1">IFERROR(__xludf.DUMMYFUNCTION("GOOGLEFINANCE(""NSE:""&amp;D276,""marketcap"")"),65158074982)</f>
        <v>65158074982</v>
      </c>
      <c r="K276" s="7">
        <v>992.8</v>
      </c>
      <c r="L276" s="8">
        <f ca="1">IFERROR(__xludf.DUMMYFUNCTION("GOOGLEFINANCE(""NSE:""&amp;D276,""price"")"),999.8)</f>
        <v>999.8</v>
      </c>
      <c r="M276" s="9">
        <f t="shared" ca="1" si="7"/>
        <v>7</v>
      </c>
      <c r="N276" s="10">
        <f t="shared" ca="1" si="8"/>
        <v>0.70507655116841261</v>
      </c>
      <c r="O276" s="7">
        <f ca="1">IFERROR(__xludf.DUMMYFUNCTION("GOOGLEFINANCE(""NSE:""&amp;D276,""pe"")"),14.74)</f>
        <v>14.74</v>
      </c>
      <c r="P276" s="7">
        <f ca="1">IFERROR(__xludf.DUMMYFUNCTION("GOOGLEFINANCE(""NSE:""&amp;D276,""EPS"")"),67.84)</f>
        <v>67.84</v>
      </c>
      <c r="Q276" s="7">
        <v>13.5</v>
      </c>
      <c r="R276" s="7" t="str">
        <f ca="1">IFERROR(__xludf.DUMMYFUNCTION("IMPORTXML(E276,""/html/body/main/div[3]/div[3]/div[2]/ul/li[7]/span[2]/span"")"),"Loading...")</f>
        <v>Loading...</v>
      </c>
      <c r="S276" s="7" t="str">
        <f ca="1">IFERROR(__xludf.DUMMYFUNCTION("IMPORTXML(E276,""/html/body/main/div[3]/div[3]/div[2]/ul/li[8]/span[2]/span"")"),"Loading...")</f>
        <v>Loading...</v>
      </c>
      <c r="T276" s="4">
        <v>34.6</v>
      </c>
      <c r="U276" s="4">
        <v>22.7</v>
      </c>
      <c r="V276" s="4">
        <v>2.6</v>
      </c>
      <c r="W276" s="4">
        <v>5.7</v>
      </c>
      <c r="X276" s="4">
        <v>519.92999999999995</v>
      </c>
      <c r="Y276" s="7">
        <f t="shared" ca="1" si="9"/>
        <v>479.87</v>
      </c>
    </row>
    <row r="277" spans="1:25" ht="15" x14ac:dyDescent="0.25">
      <c r="A277" s="4">
        <v>819</v>
      </c>
      <c r="C277" s="12" t="s">
        <v>1097</v>
      </c>
      <c r="D277" s="12" t="s">
        <v>1098</v>
      </c>
      <c r="E277" s="5" t="str">
        <f t="shared" si="5"/>
        <v>https://www.screener.in/company/FMGOETZE/consolidated/</v>
      </c>
      <c r="F277" s="4">
        <v>443059</v>
      </c>
      <c r="G277" s="4">
        <v>3832241897</v>
      </c>
      <c r="H277" s="6">
        <f t="shared" ca="1" si="6"/>
        <v>215755.21880110001</v>
      </c>
      <c r="I277" s="7" t="str">
        <f ca="1">IFERROR(__xludf.DUMMYFUNCTION("IMPORTXML(E277,""/html/body/main/div[3]/div[3]/div[2]/ul/li[5]/span[2]/span"")"),"Loading...")</f>
        <v>Loading...</v>
      </c>
      <c r="J277" s="7">
        <f ca="1">IFERROR(__xludf.DUMMYFUNCTION("GOOGLEFINANCE(""NSE:""&amp;D277,""marketcap"")"),31320883560)</f>
        <v>31320883560</v>
      </c>
      <c r="K277" s="7">
        <v>992.8</v>
      </c>
      <c r="L277" s="8">
        <f ca="1">IFERROR(__xludf.DUMMYFUNCTION("GOOGLEFINANCE(""NSE:""&amp;D277,""price"")"),563)</f>
        <v>563</v>
      </c>
      <c r="M277" s="9">
        <f t="shared" ca="1" si="7"/>
        <v>-429.79999999999995</v>
      </c>
      <c r="N277" s="10">
        <f t="shared" ca="1" si="8"/>
        <v>-43.291700241740529</v>
      </c>
      <c r="O277" s="7">
        <f ca="1">IFERROR(__xludf.DUMMYFUNCTION("GOOGLEFINANCE(""NSE:""&amp;D277,""pe"")"),18.45)</f>
        <v>18.45</v>
      </c>
      <c r="P277" s="7">
        <f ca="1">IFERROR(__xludf.DUMMYFUNCTION("GOOGLEFINANCE(""NSE:""&amp;D277,""EPS"")"),30.52)</f>
        <v>30.52</v>
      </c>
      <c r="Q277" s="7">
        <v>13.5</v>
      </c>
      <c r="R277" s="7" t="str">
        <f ca="1">IFERROR(__xludf.DUMMYFUNCTION("IMPORTXML(E277,""/html/body/main/div[3]/div[3]/div[2]/ul/li[7]/span[2]/span"")"),"Loading...")</f>
        <v>Loading...</v>
      </c>
      <c r="S277" s="7" t="str">
        <f ca="1">IFERROR(__xludf.DUMMYFUNCTION("IMPORTXML(E277,""/html/body/main/div[3]/div[3]/div[2]/ul/li[8]/span[2]/span"")"),"Loading...")</f>
        <v>Loading...</v>
      </c>
      <c r="T277" s="4">
        <v>34.6</v>
      </c>
      <c r="U277" s="4">
        <v>22.7</v>
      </c>
      <c r="V277" s="4">
        <v>2.6</v>
      </c>
      <c r="W277" s="4">
        <v>5.7</v>
      </c>
      <c r="X277" s="4">
        <v>519.92999999999995</v>
      </c>
      <c r="Y277" s="7">
        <f t="shared" ca="1" si="9"/>
        <v>43.07000000000005</v>
      </c>
    </row>
    <row r="278" spans="1:25" ht="15" x14ac:dyDescent="0.25">
      <c r="A278" s="4">
        <v>923</v>
      </c>
      <c r="C278" s="12" t="s">
        <v>1099</v>
      </c>
      <c r="D278" s="12" t="s">
        <v>1100</v>
      </c>
      <c r="E278" s="5" t="str">
        <f t="shared" si="5"/>
        <v>https://www.screener.in/company/WHEELS/consolidated/</v>
      </c>
      <c r="F278" s="4">
        <v>443059</v>
      </c>
      <c r="G278" s="4">
        <v>3832241897</v>
      </c>
      <c r="H278" s="6">
        <f t="shared" ca="1" si="6"/>
        <v>280328.49476555001</v>
      </c>
      <c r="I278" s="7" t="str">
        <f ca="1">IFERROR(__xludf.DUMMYFUNCTION("IMPORTXML(E278,""/html/body/main/div[3]/div[3]/div[2]/ul/li[5]/span[2]/span"")"),"Loading...")</f>
        <v>Loading...</v>
      </c>
      <c r="J278" s="7">
        <f ca="1">IFERROR(__xludf.DUMMYFUNCTION("GOOGLEFINANCE(""NSE:""&amp;D278,""marketcap"")"),17618870000)</f>
        <v>17618870000</v>
      </c>
      <c r="K278" s="7">
        <v>992.8</v>
      </c>
      <c r="L278" s="8">
        <f ca="1">IFERROR(__xludf.DUMMYFUNCTION("GOOGLEFINANCE(""NSE:""&amp;D278,""price"")"),731.5)</f>
        <v>731.5</v>
      </c>
      <c r="M278" s="9">
        <f t="shared" ca="1" si="7"/>
        <v>-261.29999999999995</v>
      </c>
      <c r="N278" s="10">
        <f t="shared" ca="1" si="8"/>
        <v>-26.319500402900882</v>
      </c>
      <c r="O278" s="7">
        <f ca="1">IFERROR(__xludf.DUMMYFUNCTION("GOOGLEFINANCE(""NSE:""&amp;D278,""pe"")"),15.2)</f>
        <v>15.2</v>
      </c>
      <c r="P278" s="7">
        <f ca="1">IFERROR(__xludf.DUMMYFUNCTION("GOOGLEFINANCE(""NSE:""&amp;D278,""EPS"")"),48.13)</f>
        <v>48.13</v>
      </c>
      <c r="Q278" s="7">
        <v>13.5</v>
      </c>
      <c r="R278" s="7" t="str">
        <f ca="1">IFERROR(__xludf.DUMMYFUNCTION("IMPORTXML(E278,""/html/body/main/div[3]/div[3]/div[2]/ul/li[7]/span[2]/span"")"),"Loading...")</f>
        <v>Loading...</v>
      </c>
      <c r="S278" s="7" t="str">
        <f ca="1">IFERROR(__xludf.DUMMYFUNCTION("IMPORTXML(E278,""/html/body/main/div[3]/div[3]/div[2]/ul/li[8]/span[2]/span"")"),"Loading...")</f>
        <v>Loading...</v>
      </c>
      <c r="T278" s="4">
        <v>34.6</v>
      </c>
      <c r="U278" s="4">
        <v>22.7</v>
      </c>
      <c r="V278" s="4">
        <v>2.6</v>
      </c>
      <c r="W278" s="4">
        <v>5.7</v>
      </c>
      <c r="X278" s="4">
        <v>519.92999999999995</v>
      </c>
      <c r="Y278" s="7">
        <f t="shared" ca="1" si="9"/>
        <v>211.57000000000005</v>
      </c>
    </row>
    <row r="279" spans="1:25" ht="15" x14ac:dyDescent="0.25">
      <c r="A279" s="4">
        <v>337</v>
      </c>
      <c r="C279" s="12" t="s">
        <v>1101</v>
      </c>
      <c r="D279" s="12" t="s">
        <v>1102</v>
      </c>
      <c r="E279" s="5" t="str">
        <f t="shared" si="5"/>
        <v>https://www.screener.in/company/GSFC/consolidated/</v>
      </c>
      <c r="F279" s="4">
        <v>443059</v>
      </c>
      <c r="G279" s="4">
        <v>3832241897</v>
      </c>
      <c r="H279" s="6">
        <f t="shared" ca="1" si="6"/>
        <v>82009.976595800006</v>
      </c>
      <c r="I279" s="7" t="str">
        <f ca="1">IFERROR(__xludf.DUMMYFUNCTION("IMPORTXML(E279,""/html/body/main/div[3]/div[3]/div[2]/ul/li[5]/span[2]/span"")"),"Loading...")</f>
        <v>Loading...</v>
      </c>
      <c r="J279" s="7">
        <f ca="1">IFERROR(__xludf.DUMMYFUNCTION("GOOGLEFINANCE(""NSE:""&amp;D279,""marketcap"")"),85274185000)</f>
        <v>85274185000</v>
      </c>
      <c r="K279" s="7">
        <v>992.8</v>
      </c>
      <c r="L279" s="8">
        <f ca="1">IFERROR(__xludf.DUMMYFUNCTION("GOOGLEFINANCE(""NSE:""&amp;D279,""price"")"),214)</f>
        <v>214</v>
      </c>
      <c r="M279" s="9">
        <f t="shared" ca="1" si="7"/>
        <v>-778.8</v>
      </c>
      <c r="N279" s="10">
        <f t="shared" ca="1" si="8"/>
        <v>-78.444802578565671</v>
      </c>
      <c r="O279" s="7">
        <f ca="1">IFERROR(__xludf.DUMMYFUNCTION("GOOGLEFINANCE(""NSE:""&amp;D279,""pe"")"),13.27)</f>
        <v>13.27</v>
      </c>
      <c r="P279" s="7">
        <f ca="1">IFERROR(__xludf.DUMMYFUNCTION("GOOGLEFINANCE(""NSE:""&amp;D279,""EPS"")"),16.13)</f>
        <v>16.13</v>
      </c>
      <c r="Q279" s="7">
        <v>13.5</v>
      </c>
      <c r="R279" s="7" t="str">
        <f ca="1">IFERROR(__xludf.DUMMYFUNCTION("IMPORTXML(E279,""/html/body/main/div[3]/div[3]/div[2]/ul/li[7]/span[2]/span"")"),"Loading...")</f>
        <v>Loading...</v>
      </c>
      <c r="S279" s="7" t="str">
        <f ca="1">IFERROR(__xludf.DUMMYFUNCTION("IMPORTXML(E279,""/html/body/main/div[3]/div[3]/div[2]/ul/li[8]/span[2]/span"")"),"Loading...")</f>
        <v>Loading...</v>
      </c>
      <c r="T279" s="4">
        <v>34.6</v>
      </c>
      <c r="U279" s="4">
        <v>22.7</v>
      </c>
      <c r="V279" s="4">
        <v>2.6</v>
      </c>
      <c r="W279" s="4">
        <v>5.7</v>
      </c>
      <c r="X279" s="4">
        <v>519.92999999999995</v>
      </c>
      <c r="Y279" s="7">
        <f t="shared" ca="1" si="9"/>
        <v>-305.92999999999995</v>
      </c>
    </row>
    <row r="280" spans="1:25" ht="15" x14ac:dyDescent="0.25">
      <c r="A280" s="4">
        <v>1163</v>
      </c>
      <c r="C280" s="12" t="s">
        <v>1103</v>
      </c>
      <c r="D280" s="12" t="s">
        <v>1104</v>
      </c>
      <c r="E280" s="5" t="str">
        <f t="shared" si="5"/>
        <v>https://www.screener.in/company/MUNJALAU/consolidated/</v>
      </c>
      <c r="F280" s="4">
        <v>443059</v>
      </c>
      <c r="G280" s="4">
        <v>3832241897</v>
      </c>
      <c r="H280" s="6">
        <f t="shared" ca="1" si="6"/>
        <v>34106.9528833</v>
      </c>
      <c r="I280" s="7" t="str">
        <f ca="1">IFERROR(__xludf.DUMMYFUNCTION("IMPORTXML(E280,""/html/body/main/div[3]/div[3]/div[2]/ul/li[5]/span[2]/span"")"),"Loading...")</f>
        <v>Loading...</v>
      </c>
      <c r="J280" s="7">
        <f ca="1">IFERROR(__xludf.DUMMYFUNCTION("GOOGLEFINANCE(""NSE:""&amp;D280,""marketcap"")"),8871020740)</f>
        <v>8871020740</v>
      </c>
      <c r="K280" s="7">
        <v>992.8</v>
      </c>
      <c r="L280" s="8">
        <f ca="1">IFERROR(__xludf.DUMMYFUNCTION("GOOGLEFINANCE(""NSE:""&amp;D280,""price"")"),89)</f>
        <v>89</v>
      </c>
      <c r="M280" s="9">
        <f t="shared" ca="1" si="7"/>
        <v>-903.8</v>
      </c>
      <c r="N280" s="10">
        <f t="shared" ca="1" si="8"/>
        <v>-91.035455278001606</v>
      </c>
      <c r="O280" s="7">
        <f ca="1">IFERROR(__xludf.DUMMYFUNCTION("GOOGLEFINANCE(""NSE:""&amp;D280,""pe"")"),22)</f>
        <v>22</v>
      </c>
      <c r="P280" s="7">
        <f ca="1">IFERROR(__xludf.DUMMYFUNCTION("GOOGLEFINANCE(""NSE:""&amp;D280,""EPS"")"),4.05)</f>
        <v>4.05</v>
      </c>
      <c r="Q280" s="7">
        <v>13.5</v>
      </c>
      <c r="R280" s="7" t="str">
        <f ca="1">IFERROR(__xludf.DUMMYFUNCTION("IMPORTXML(E280,""/html/body/main/div[3]/div[3]/div[2]/ul/li[7]/span[2]/span"")"),"Loading...")</f>
        <v>Loading...</v>
      </c>
      <c r="S280" s="7" t="str">
        <f ca="1">IFERROR(__xludf.DUMMYFUNCTION("IMPORTXML(E280,""/html/body/main/div[3]/div[3]/div[2]/ul/li[8]/span[2]/span"")"),"Loading...")</f>
        <v>Loading...</v>
      </c>
      <c r="T280" s="4">
        <v>34.6</v>
      </c>
      <c r="U280" s="4">
        <v>22.7</v>
      </c>
      <c r="V280" s="4">
        <v>2.6</v>
      </c>
      <c r="W280" s="4">
        <v>5.7</v>
      </c>
      <c r="X280" s="4">
        <v>519.92999999999995</v>
      </c>
      <c r="Y280" s="7">
        <f t="shared" ca="1" si="9"/>
        <v>-430.92999999999995</v>
      </c>
    </row>
    <row r="281" spans="1:25" ht="15" x14ac:dyDescent="0.25">
      <c r="A281" s="4">
        <v>1331</v>
      </c>
      <c r="C281" s="12" t="s">
        <v>1105</v>
      </c>
      <c r="D281" s="12" t="s">
        <v>1106</v>
      </c>
      <c r="E281" s="5" t="str">
        <f t="shared" si="5"/>
        <v>https://www.screener.in/company/TOLINS/consolidated/</v>
      </c>
      <c r="F281" s="4">
        <v>443059</v>
      </c>
      <c r="G281" s="4">
        <v>3832241897</v>
      </c>
      <c r="H281" s="6">
        <f t="shared" ca="1" si="6"/>
        <v>61315.870351999998</v>
      </c>
      <c r="I281" s="7" t="str">
        <f ca="1">IFERROR(__xludf.DUMMYFUNCTION("IMPORTXML(E281,""/html/body/main/div[3]/div[3]/div[2]/ul/li[5]/span[2]/span"")"),"Loading...")</f>
        <v>Loading...</v>
      </c>
      <c r="J281" s="7">
        <f ca="1">IFERROR(__xludf.DUMMYFUNCTION("GOOGLEFINANCE(""NSE:""&amp;D281,""marketcap"")"),6311141000)</f>
        <v>6311141000</v>
      </c>
      <c r="K281" s="7">
        <v>992.8</v>
      </c>
      <c r="L281" s="8">
        <f ca="1">IFERROR(__xludf.DUMMYFUNCTION("GOOGLEFINANCE(""NSE:""&amp;D281,""price"")"),160)</f>
        <v>160</v>
      </c>
      <c r="M281" s="9">
        <f t="shared" ca="1" si="7"/>
        <v>-832.8</v>
      </c>
      <c r="N281" s="10">
        <f t="shared" ca="1" si="8"/>
        <v>-83.883964544722005</v>
      </c>
      <c r="O281" s="7">
        <f ca="1">IFERROR(__xludf.DUMMYFUNCTION("GOOGLEFINANCE(""NSE:""&amp;D281,""pe"")"),13.51)</f>
        <v>13.51</v>
      </c>
      <c r="P281" s="7">
        <f ca="1">IFERROR(__xludf.DUMMYFUNCTION("GOOGLEFINANCE(""NSE:""&amp;D281,""EPS"")"),11.84)</f>
        <v>11.84</v>
      </c>
      <c r="Q281" s="7">
        <v>13.5</v>
      </c>
      <c r="R281" s="7">
        <f ca="1">IFERROR(__xludf.DUMMYFUNCTION("IMPORTXML(E281,""/html/body/main/div[3]/div[3]/div[2]/ul/li[7]/span[2]/span"")"),21.2)</f>
        <v>21.2</v>
      </c>
      <c r="S281" s="7" t="str">
        <f ca="1">IFERROR(__xludf.DUMMYFUNCTION("IMPORTXML(E281,""/html/body/main/div[3]/div[3]/div[2]/ul/li[8]/span[2]/span"")"),"Loading...")</f>
        <v>Loading...</v>
      </c>
      <c r="T281" s="4">
        <v>34.6</v>
      </c>
      <c r="U281" s="4">
        <v>22.7</v>
      </c>
      <c r="V281" s="4">
        <v>2.6</v>
      </c>
      <c r="W281" s="4">
        <v>5.7</v>
      </c>
      <c r="X281" s="4">
        <v>519.92999999999995</v>
      </c>
      <c r="Y281" s="7">
        <f t="shared" ca="1" si="9"/>
        <v>-359.92999999999995</v>
      </c>
    </row>
    <row r="282" spans="1:25" ht="15" x14ac:dyDescent="0.25">
      <c r="A282" s="4">
        <v>805</v>
      </c>
      <c r="C282" s="12" t="s">
        <v>1107</v>
      </c>
      <c r="D282" s="12" t="s">
        <v>1108</v>
      </c>
      <c r="E282" s="5" t="str">
        <f t="shared" si="5"/>
        <v>https://www.screener.in/company/INSECTICID/consolidated/</v>
      </c>
      <c r="F282" s="4">
        <v>443059</v>
      </c>
      <c r="G282" s="4">
        <v>3832241897</v>
      </c>
      <c r="H282" s="6">
        <f t="shared" ca="1" si="6"/>
        <v>304893.16532532003</v>
      </c>
      <c r="I282" s="7" t="str">
        <f ca="1">IFERROR(__xludf.DUMMYFUNCTION("IMPORTXML(E282,""/html/body/main/div[3]/div[3]/div[2]/ul/li[5]/span[2]/span"")"),"Loading...")</f>
        <v>Loading...</v>
      </c>
      <c r="J282" s="7">
        <f ca="1">IFERROR(__xludf.DUMMYFUNCTION("GOOGLEFINANCE(""NSE:""&amp;D282,""marketcap"")"),23145169788)</f>
        <v>23145169788</v>
      </c>
      <c r="K282" s="7">
        <v>992.8</v>
      </c>
      <c r="L282" s="8">
        <f ca="1">IFERROR(__xludf.DUMMYFUNCTION("GOOGLEFINANCE(""NSE:""&amp;D282,""price"")"),795.6)</f>
        <v>795.6</v>
      </c>
      <c r="M282" s="9">
        <f t="shared" ca="1" si="7"/>
        <v>-197.19999999999993</v>
      </c>
      <c r="N282" s="10">
        <f t="shared" ca="1" si="8"/>
        <v>-19.86301369863013</v>
      </c>
      <c r="O282" s="7">
        <f ca="1">IFERROR(__xludf.DUMMYFUNCTION("GOOGLEFINANCE(""NSE:""&amp;D282,""pe"")"),15.45)</f>
        <v>15.45</v>
      </c>
      <c r="P282" s="7">
        <f ca="1">IFERROR(__xludf.DUMMYFUNCTION("GOOGLEFINANCE(""NSE:""&amp;D282,""EPS"")"),51.48)</f>
        <v>51.48</v>
      </c>
      <c r="Q282" s="7">
        <v>13.5</v>
      </c>
      <c r="R282" s="7" t="str">
        <f ca="1">IFERROR(__xludf.DUMMYFUNCTION("IMPORTXML(E282,""/html/body/main/div[3]/div[3]/div[2]/ul/li[7]/span[2]/span"")"),"Loading...")</f>
        <v>Loading...</v>
      </c>
      <c r="S282" s="7" t="str">
        <f ca="1">IFERROR(__xludf.DUMMYFUNCTION("IMPORTXML(E282,""/html/body/main/div[3]/div[3]/div[2]/ul/li[8]/span[2]/span"")"),"Loading...")</f>
        <v>Loading...</v>
      </c>
      <c r="T282" s="4">
        <v>34.6</v>
      </c>
      <c r="U282" s="4">
        <v>22.7</v>
      </c>
      <c r="V282" s="4">
        <v>2.6</v>
      </c>
      <c r="W282" s="4">
        <v>5.7</v>
      </c>
      <c r="X282" s="4">
        <v>519.92999999999995</v>
      </c>
      <c r="Y282" s="7">
        <f t="shared" ca="1" si="9"/>
        <v>275.67000000000007</v>
      </c>
    </row>
    <row r="283" spans="1:25" ht="15" x14ac:dyDescent="0.25">
      <c r="A283" s="4">
        <v>944</v>
      </c>
      <c r="C283" s="12" t="s">
        <v>1109</v>
      </c>
      <c r="D283" s="12" t="s">
        <v>1110</v>
      </c>
      <c r="E283" s="5" t="str">
        <f t="shared" si="5"/>
        <v>https://www.screener.in/company/GNA/consolidated/</v>
      </c>
      <c r="F283" s="4">
        <v>443059</v>
      </c>
      <c r="G283" s="4">
        <v>3832241897</v>
      </c>
      <c r="H283" s="6">
        <f t="shared" ca="1" si="6"/>
        <v>118033.0504276</v>
      </c>
      <c r="I283" s="7" t="str">
        <f ca="1">IFERROR(__xludf.DUMMYFUNCTION("IMPORTXML(E283,""/html/body/main/div[3]/div[3]/div[2]/ul/li[5]/span[2]/span"")"),"Loading...")</f>
        <v>Loading...</v>
      </c>
      <c r="J283" s="7">
        <f ca="1">IFERROR(__xludf.DUMMYFUNCTION("GOOGLEFINANCE(""NSE:""&amp;D283,""marketcap"")"),13222690000)</f>
        <v>13222690000</v>
      </c>
      <c r="K283" s="7">
        <v>992.8</v>
      </c>
      <c r="L283" s="8">
        <f ca="1">IFERROR(__xludf.DUMMYFUNCTION("GOOGLEFINANCE(""NSE:""&amp;D283,""price"")"),308)</f>
        <v>308</v>
      </c>
      <c r="M283" s="9">
        <f t="shared" ca="1" si="7"/>
        <v>-684.8</v>
      </c>
      <c r="N283" s="10">
        <f t="shared" ca="1" si="8"/>
        <v>-68.976631748589838</v>
      </c>
      <c r="O283" s="7">
        <f ca="1">IFERROR(__xludf.DUMMYFUNCTION("GOOGLEFINANCE(""NSE:""&amp;D283,""pe"")"),12.93)</f>
        <v>12.93</v>
      </c>
      <c r="P283" s="7">
        <f ca="1">IFERROR(__xludf.DUMMYFUNCTION("GOOGLEFINANCE(""NSE:""&amp;D283,""EPS"")"),23.83)</f>
        <v>23.83</v>
      </c>
      <c r="Q283" s="7">
        <v>13.5</v>
      </c>
      <c r="R283" s="7" t="str">
        <f ca="1">IFERROR(__xludf.DUMMYFUNCTION("IMPORTXML(E283,""/html/body/main/div[3]/div[3]/div[2]/ul/li[7]/span[2]/span"")"),"Loading...")</f>
        <v>Loading...</v>
      </c>
      <c r="S283" s="7" t="str">
        <f ca="1">IFERROR(__xludf.DUMMYFUNCTION("IMPORTXML(E283,""/html/body/main/div[3]/div[3]/div[2]/ul/li[8]/span[2]/span"")"),"Loading...")</f>
        <v>Loading...</v>
      </c>
      <c r="T283" s="4">
        <v>34.6</v>
      </c>
      <c r="U283" s="4">
        <v>22.7</v>
      </c>
      <c r="V283" s="4">
        <v>2.6</v>
      </c>
      <c r="W283" s="4">
        <v>5.7</v>
      </c>
      <c r="X283" s="4">
        <v>519.92999999999995</v>
      </c>
      <c r="Y283" s="7">
        <f t="shared" ca="1" si="9"/>
        <v>-211.92999999999995</v>
      </c>
    </row>
    <row r="284" spans="1:25" ht="15" x14ac:dyDescent="0.25">
      <c r="A284" s="4">
        <v>1520</v>
      </c>
      <c r="C284" s="12" t="s">
        <v>1111</v>
      </c>
      <c r="D284" s="12" t="s">
        <v>1112</v>
      </c>
      <c r="E284" s="5" t="str">
        <f t="shared" si="5"/>
        <v>https://www.screener.in/company/TRF/consolidated/</v>
      </c>
      <c r="F284" s="4">
        <v>443059</v>
      </c>
      <c r="G284" s="4">
        <v>3832241897</v>
      </c>
      <c r="H284" s="6">
        <f t="shared" ca="1" si="6"/>
        <v>121731.16385820498</v>
      </c>
      <c r="I284" s="7" t="str">
        <f ca="1">IFERROR(__xludf.DUMMYFUNCTION("IMPORTXML(E284,""/html/body/main/div[3]/div[3]/div[2]/ul/li[5]/span[2]/span"")"),"Loading...")</f>
        <v>Loading...</v>
      </c>
      <c r="J284" s="7">
        <f ca="1">IFERROR(__xludf.DUMMYFUNCTION("GOOGLEFINANCE(""NSE:""&amp;D284,""marketcap"")"),3491700000)</f>
        <v>3491700000</v>
      </c>
      <c r="K284" s="7">
        <v>992.8</v>
      </c>
      <c r="L284" s="8">
        <f ca="1">IFERROR(__xludf.DUMMYFUNCTION("GOOGLEFINANCE(""NSE:""&amp;D284,""price"")"),317.65)</f>
        <v>317.64999999999998</v>
      </c>
      <c r="M284" s="9">
        <f t="shared" ca="1" si="7"/>
        <v>-675.15</v>
      </c>
      <c r="N284" s="10">
        <f t="shared" ca="1" si="8"/>
        <v>-68.004633360193395</v>
      </c>
      <c r="O284" s="7">
        <f ca="1">IFERROR(__xludf.DUMMYFUNCTION("GOOGLEFINANCE(""NSE:""&amp;D284,""pe"")"),14.38)</f>
        <v>14.38</v>
      </c>
      <c r="P284" s="7">
        <f ca="1">IFERROR(__xludf.DUMMYFUNCTION("GOOGLEFINANCE(""NSE:""&amp;D284,""EPS"")"),22.1)</f>
        <v>22.1</v>
      </c>
      <c r="Q284" s="7">
        <v>13.5</v>
      </c>
      <c r="R284" s="7" t="str">
        <f ca="1">IFERROR(__xludf.DUMMYFUNCTION("IMPORTXML(E284,""/html/body/main/div[3]/div[3]/div[2]/ul/li[7]/span[2]/span"")"),"Loading...")</f>
        <v>Loading...</v>
      </c>
      <c r="S284" s="7" t="str">
        <f ca="1">IFERROR(__xludf.DUMMYFUNCTION("IMPORTXML(E284,""/html/body/main/div[3]/div[3]/div[2]/ul/li[8]/span[2]/span"")"),"Loading...")</f>
        <v>Loading...</v>
      </c>
      <c r="T284" s="4">
        <v>34.6</v>
      </c>
      <c r="U284" s="4">
        <v>22.7</v>
      </c>
      <c r="V284" s="4">
        <v>2.6</v>
      </c>
      <c r="W284" s="4">
        <v>5.7</v>
      </c>
      <c r="X284" s="4">
        <v>519.92999999999995</v>
      </c>
      <c r="Y284" s="7">
        <f t="shared" ca="1" si="9"/>
        <v>-202.27999999999997</v>
      </c>
    </row>
    <row r="285" spans="1:25" ht="15" x14ac:dyDescent="0.25">
      <c r="A285" s="4">
        <v>1965</v>
      </c>
      <c r="C285" s="12" t="s">
        <v>1113</v>
      </c>
      <c r="D285" s="12" t="s">
        <v>1114</v>
      </c>
      <c r="E285" s="5" t="str">
        <f t="shared" si="5"/>
        <v>https://www.screener.in/company/ISFT/consolidated/</v>
      </c>
      <c r="F285" s="4">
        <v>443059</v>
      </c>
      <c r="G285" s="4">
        <v>3832241897</v>
      </c>
      <c r="H285" s="6">
        <f t="shared" ca="1" si="6"/>
        <v>37747.582685449997</v>
      </c>
      <c r="I285" s="7" t="str">
        <f ca="1">IFERROR(__xludf.DUMMYFUNCTION("IMPORTXML(E285,""/html/body/main/div[3]/div[3]/div[2]/ul/li[5]/span[2]/span"")"),"Loading...")</f>
        <v>Loading...</v>
      </c>
      <c r="J285" s="7">
        <f ca="1">IFERROR(__xludf.DUMMYFUNCTION("GOOGLEFINANCE(""NSE:""&amp;D285,""marketcap"")"),1606537000)</f>
        <v>1606537000</v>
      </c>
      <c r="K285" s="7">
        <v>992.8</v>
      </c>
      <c r="L285" s="8">
        <f ca="1">IFERROR(__xludf.DUMMYFUNCTION("GOOGLEFINANCE(""NSE:""&amp;D285,""price"")"),98.5)</f>
        <v>98.5</v>
      </c>
      <c r="M285" s="9">
        <f t="shared" ca="1" si="7"/>
        <v>-894.3</v>
      </c>
      <c r="N285" s="10">
        <f t="shared" ca="1" si="8"/>
        <v>-90.078565672844476</v>
      </c>
      <c r="O285" s="7">
        <f ca="1">IFERROR(__xludf.DUMMYFUNCTION("GOOGLEFINANCE(""NSE:""&amp;D285,""pe"")"),12.29)</f>
        <v>12.29</v>
      </c>
      <c r="P285" s="7">
        <f ca="1">IFERROR(__xludf.DUMMYFUNCTION("GOOGLEFINANCE(""NSE:""&amp;D285,""EPS"")"),8.02)</f>
        <v>8.02</v>
      </c>
      <c r="Q285" s="7">
        <v>13.5</v>
      </c>
      <c r="R285" s="7" t="str">
        <f ca="1">IFERROR(__xludf.DUMMYFUNCTION("IMPORTXML(E285,""/html/body/main/div[3]/div[3]/div[2]/ul/li[7]/span[2]/span"")"),"Loading...")</f>
        <v>Loading...</v>
      </c>
      <c r="S285" s="7" t="str">
        <f ca="1">IFERROR(__xludf.DUMMYFUNCTION("IMPORTXML(E285,""/html/body/main/div[3]/div[3]/div[2]/ul/li[8]/span[2]/span"")"),"Loading...")</f>
        <v>Loading...</v>
      </c>
      <c r="T285" s="4">
        <v>34.6</v>
      </c>
      <c r="U285" s="4">
        <v>22.7</v>
      </c>
      <c r="V285" s="4">
        <v>2.6</v>
      </c>
      <c r="W285" s="4">
        <v>5.7</v>
      </c>
      <c r="X285" s="4">
        <v>519.92999999999995</v>
      </c>
      <c r="Y285" s="7">
        <f t="shared" ca="1" si="9"/>
        <v>-421.42999999999995</v>
      </c>
    </row>
    <row r="286" spans="1:25" ht="15" x14ac:dyDescent="0.25">
      <c r="A286" s="4">
        <v>2545</v>
      </c>
      <c r="C286" s="12" t="s">
        <v>1115</v>
      </c>
      <c r="D286" s="12" t="s">
        <v>1116</v>
      </c>
      <c r="E286" s="5" t="str">
        <f t="shared" si="5"/>
        <v>https://www.screener.in/company/ADROITINFO/consolidated/</v>
      </c>
      <c r="F286" s="4">
        <v>443059</v>
      </c>
      <c r="G286" s="4">
        <v>3832241897</v>
      </c>
      <c r="H286" s="6">
        <f t="shared" ca="1" si="6"/>
        <v>4096.6665878929998</v>
      </c>
      <c r="I286" s="7" t="str">
        <f ca="1">IFERROR(__xludf.DUMMYFUNCTION("IMPORTXML(E286,""/html/body/main/div[3]/div[3]/div[2]/ul/li[5]/span[2]/span"")"),"Loading...")</f>
        <v>Loading...</v>
      </c>
      <c r="J286" s="7">
        <f ca="1">IFERROR(__xludf.DUMMYFUNCTION("GOOGLEFINANCE(""NSE:""&amp;D286,""marketcap"")"),820132384)</f>
        <v>820132384</v>
      </c>
      <c r="K286" s="7">
        <v>992.8</v>
      </c>
      <c r="L286" s="8">
        <f ca="1">IFERROR(__xludf.DUMMYFUNCTION("GOOGLEFINANCE(""NSE:""&amp;D286,""price"")"),10.69)</f>
        <v>10.69</v>
      </c>
      <c r="M286" s="9">
        <f t="shared" ca="1" si="7"/>
        <v>-982.1099999999999</v>
      </c>
      <c r="N286" s="10">
        <f t="shared" ca="1" si="8"/>
        <v>-98.923247381144236</v>
      </c>
      <c r="O286" s="7">
        <f ca="1">IFERROR(__xludf.DUMMYFUNCTION("GOOGLEFINANCE(""NSE:""&amp;D286,""pe"")"),33.94)</f>
        <v>33.94</v>
      </c>
      <c r="P286" s="7">
        <f ca="1">IFERROR(__xludf.DUMMYFUNCTION("GOOGLEFINANCE(""NSE:""&amp;D286,""EPS"")"),0.32)</f>
        <v>0.32</v>
      </c>
      <c r="Q286" s="7">
        <v>13.5</v>
      </c>
      <c r="R286" s="7" t="str">
        <f ca="1">IFERROR(__xludf.DUMMYFUNCTION("IMPORTXML(E286,""/html/body/main/div[3]/div[3]/div[2]/ul/li[7]/span[2]/span"")"),"Loading...")</f>
        <v>Loading...</v>
      </c>
      <c r="S286" s="7" t="str">
        <f ca="1">IFERROR(__xludf.DUMMYFUNCTION("IMPORTXML(E286,""/html/body/main/div[3]/div[3]/div[2]/ul/li[8]/span[2]/span"")"),"Loading...")</f>
        <v>Loading...</v>
      </c>
      <c r="T286" s="4">
        <v>34.6</v>
      </c>
      <c r="U286" s="4">
        <v>22.7</v>
      </c>
      <c r="V286" s="4">
        <v>2.6</v>
      </c>
      <c r="W286" s="4">
        <v>5.7</v>
      </c>
      <c r="X286" s="4">
        <v>519.92999999999995</v>
      </c>
      <c r="Y286" s="7">
        <f t="shared" ca="1" si="9"/>
        <v>-509.23999999999995</v>
      </c>
    </row>
    <row r="287" spans="1:25" ht="15" x14ac:dyDescent="0.25">
      <c r="A287" s="4">
        <v>1446</v>
      </c>
      <c r="C287" s="12" t="s">
        <v>1117</v>
      </c>
      <c r="D287" s="12" t="s">
        <v>1118</v>
      </c>
      <c r="E287" s="5" t="str">
        <f t="shared" si="5"/>
        <v>https://www.screener.in/company/BALAJEE/consolidated/</v>
      </c>
      <c r="F287" s="4">
        <v>443059</v>
      </c>
      <c r="G287" s="4">
        <v>3832241897</v>
      </c>
      <c r="H287" s="6">
        <f t="shared" ca="1" si="6"/>
        <v>20425.849311009999</v>
      </c>
      <c r="I287" s="7" t="str">
        <f ca="1">IFERROR(__xludf.DUMMYFUNCTION("IMPORTXML(E287,""/html/body/main/div[3]/div[3]/div[2]/ul/li[5]/span[2]/span"")"),"Loading...")</f>
        <v>Loading...</v>
      </c>
      <c r="J287" s="7">
        <f ca="1">IFERROR(__xludf.DUMMYFUNCTION("GOOGLEFINANCE(""NSE:""&amp;D287,""marketcap"")"),4353633776)</f>
        <v>4353633776</v>
      </c>
      <c r="K287" s="7">
        <v>992.8</v>
      </c>
      <c r="L287" s="8">
        <f ca="1">IFERROR(__xludf.DUMMYFUNCTION("GOOGLEFINANCE(""NSE:""&amp;D287,""price"")"),53.3)</f>
        <v>53.3</v>
      </c>
      <c r="M287" s="9">
        <f t="shared" ca="1" si="7"/>
        <v>-939.5</v>
      </c>
      <c r="N287" s="10">
        <f t="shared" ca="1" si="8"/>
        <v>-94.631345688960522</v>
      </c>
      <c r="O287" s="7">
        <f ca="1">IFERROR(__xludf.DUMMYFUNCTION("GOOGLEFINANCE(""NSE:""&amp;D287,""pe"")"),17.45)</f>
        <v>17.45</v>
      </c>
      <c r="P287" s="7">
        <f ca="1">IFERROR(__xludf.DUMMYFUNCTION("GOOGLEFINANCE(""NSE:""&amp;D287,""EPS"")"),3.05)</f>
        <v>3.05</v>
      </c>
      <c r="Q287" s="7">
        <v>13.5</v>
      </c>
      <c r="R287" s="7" t="str">
        <f ca="1">IFERROR(__xludf.DUMMYFUNCTION("IMPORTXML(E287,""/html/body/main/div[3]/div[3]/div[2]/ul/li[7]/span[2]/span"")"),"Loading...")</f>
        <v>Loading...</v>
      </c>
      <c r="S287" s="7" t="str">
        <f ca="1">IFERROR(__xludf.DUMMYFUNCTION("IMPORTXML(E287,""/html/body/main/div[3]/div[3]/div[2]/ul/li[8]/span[2]/span"")"),"Loading...")</f>
        <v>Loading...</v>
      </c>
      <c r="T287" s="4">
        <v>34.6</v>
      </c>
      <c r="U287" s="4">
        <v>22.7</v>
      </c>
      <c r="V287" s="4">
        <v>2.6</v>
      </c>
      <c r="W287" s="4">
        <v>5.7</v>
      </c>
      <c r="X287" s="4">
        <v>519.92999999999995</v>
      </c>
      <c r="Y287" s="7">
        <f t="shared" ca="1" si="9"/>
        <v>-466.62999999999994</v>
      </c>
    </row>
    <row r="288" spans="1:25" ht="15" x14ac:dyDescent="0.25">
      <c r="A288" s="4">
        <v>1288</v>
      </c>
      <c r="C288" s="12" t="s">
        <v>1119</v>
      </c>
      <c r="D288" s="12" t="s">
        <v>1120</v>
      </c>
      <c r="E288" s="5" t="str">
        <f t="shared" si="5"/>
        <v>https://www.screener.in/company/GEECEE/consolidated/</v>
      </c>
      <c r="F288" s="4">
        <v>443059</v>
      </c>
      <c r="G288" s="4">
        <v>3832241897</v>
      </c>
      <c r="H288" s="6">
        <f t="shared" ca="1" si="6"/>
        <v>146391.64046540001</v>
      </c>
      <c r="I288" s="7" t="str">
        <f ca="1">IFERROR(__xludf.DUMMYFUNCTION("IMPORTXML(E288,""/html/body/main/div[3]/div[3]/div[2]/ul/li[5]/span[2]/span"")"),"Loading...")</f>
        <v>Loading...</v>
      </c>
      <c r="J288" s="7">
        <f ca="1">IFERROR(__xludf.DUMMYFUNCTION("GOOGLEFINANCE(""NSE:""&amp;D288,""marketcap"")"),8036377000)</f>
        <v>8036377000</v>
      </c>
      <c r="K288" s="7">
        <v>992.8</v>
      </c>
      <c r="L288" s="8">
        <f ca="1">IFERROR(__xludf.DUMMYFUNCTION("GOOGLEFINANCE(""NSE:""&amp;D288,""price"")"),382)</f>
        <v>382</v>
      </c>
      <c r="M288" s="9">
        <f t="shared" ca="1" si="7"/>
        <v>-610.79999999999995</v>
      </c>
      <c r="N288" s="10">
        <f t="shared" ca="1" si="8"/>
        <v>-61.522965350523776</v>
      </c>
      <c r="O288" s="7">
        <f ca="1">IFERROR(__xludf.DUMMYFUNCTION("GOOGLEFINANCE(""NSE:""&amp;D288,""pe"")"),20.34)</f>
        <v>20.34</v>
      </c>
      <c r="P288" s="7">
        <f ca="1">IFERROR(__xludf.DUMMYFUNCTION("GOOGLEFINANCE(""NSE:""&amp;D288,""EPS"")"),18.78)</f>
        <v>18.78</v>
      </c>
      <c r="Q288" s="7">
        <v>13.5</v>
      </c>
      <c r="R288" s="7">
        <f ca="1">IFERROR(__xludf.DUMMYFUNCTION("IMPORTXML(E288,""/html/body/main/div[3]/div[3]/div[2]/ul/li[7]/span[2]/span"")"),8.4)</f>
        <v>8.4</v>
      </c>
      <c r="S288" s="7" t="str">
        <f ca="1">IFERROR(__xludf.DUMMYFUNCTION("IMPORTXML(E288,""/html/body/main/div[3]/div[3]/div[2]/ul/li[8]/span[2]/span"")"),"Loading...")</f>
        <v>Loading...</v>
      </c>
      <c r="T288" s="4">
        <v>34.6</v>
      </c>
      <c r="U288" s="4">
        <v>22.7</v>
      </c>
      <c r="V288" s="4">
        <v>2.6</v>
      </c>
      <c r="W288" s="4">
        <v>5.7</v>
      </c>
      <c r="X288" s="4">
        <v>519.92999999999995</v>
      </c>
      <c r="Y288" s="7">
        <f t="shared" ca="1" si="9"/>
        <v>-137.92999999999995</v>
      </c>
    </row>
    <row r="289" spans="1:25" ht="15" x14ac:dyDescent="0.25">
      <c r="A289" s="4">
        <v>1844</v>
      </c>
      <c r="C289" s="12" t="s">
        <v>1121</v>
      </c>
      <c r="D289" s="12" t="s">
        <v>1122</v>
      </c>
      <c r="E289" s="5" t="str">
        <f t="shared" si="5"/>
        <v>https://www.screener.in/company/THOMASCOTT/consolidated/</v>
      </c>
      <c r="F289" s="4">
        <v>443059</v>
      </c>
      <c r="G289" s="4">
        <v>3832241897</v>
      </c>
      <c r="H289" s="6">
        <f t="shared" ca="1" si="6"/>
        <v>135814.65282967998</v>
      </c>
      <c r="I289" s="7" t="str">
        <f ca="1">IFERROR(__xludf.DUMMYFUNCTION("IMPORTXML(E289,""/html/body/main/div[3]/div[3]/div[2]/ul/li[5]/span[2]/span"")"),"Loading...")</f>
        <v>Loading...</v>
      </c>
      <c r="J289" s="7">
        <f ca="1">IFERROR(__xludf.DUMMYFUNCTION("GOOGLEFINANCE(""NSE:""&amp;D289,""marketcap"")"),5183779000)</f>
        <v>5183779000</v>
      </c>
      <c r="K289" s="7">
        <v>992.8</v>
      </c>
      <c r="L289" s="8">
        <f ca="1">IFERROR(__xludf.DUMMYFUNCTION("GOOGLEFINANCE(""NSE:""&amp;D289,""price"")"),354.4)</f>
        <v>354.4</v>
      </c>
      <c r="M289" s="9">
        <f t="shared" ca="1" si="7"/>
        <v>-638.4</v>
      </c>
      <c r="N289" s="10">
        <f t="shared" ca="1" si="8"/>
        <v>-64.302981466559231</v>
      </c>
      <c r="O289" s="7">
        <f ca="1">IFERROR(__xludf.DUMMYFUNCTION("GOOGLEFINANCE(""NSE:""&amp;D289,""pe"")"),16.97)</f>
        <v>16.97</v>
      </c>
      <c r="P289" s="7">
        <f ca="1">IFERROR(__xludf.DUMMYFUNCTION("GOOGLEFINANCE(""NSE:""&amp;D289,""EPS"")"),20.89)</f>
        <v>20.89</v>
      </c>
      <c r="Q289" s="7">
        <v>13.5</v>
      </c>
      <c r="R289" s="7" t="str">
        <f ca="1">IFERROR(__xludf.DUMMYFUNCTION("IMPORTXML(E289,""/html/body/main/div[3]/div[3]/div[2]/ul/li[7]/span[2]/span"")"),"Loading...")</f>
        <v>Loading...</v>
      </c>
      <c r="S289" s="7" t="str">
        <f ca="1">IFERROR(__xludf.DUMMYFUNCTION("IMPORTXML(E289,""/html/body/main/div[3]/div[3]/div[2]/ul/li[8]/span[2]/span"")"),"Loading...")</f>
        <v>Loading...</v>
      </c>
      <c r="T289" s="4">
        <v>34.6</v>
      </c>
      <c r="U289" s="4">
        <v>22.7</v>
      </c>
      <c r="V289" s="4">
        <v>2.6</v>
      </c>
      <c r="W289" s="4">
        <v>5.7</v>
      </c>
      <c r="X289" s="4">
        <v>519.92999999999995</v>
      </c>
      <c r="Y289" s="7">
        <f t="shared" ca="1" si="9"/>
        <v>-165.52999999999997</v>
      </c>
    </row>
    <row r="290" spans="1:25" ht="15" x14ac:dyDescent="0.25">
      <c r="A290" s="4">
        <v>555</v>
      </c>
      <c r="C290" s="12" t="s">
        <v>1123</v>
      </c>
      <c r="D290" s="12" t="s">
        <v>1124</v>
      </c>
      <c r="E290" s="5" t="str">
        <f t="shared" si="5"/>
        <v>https://www.screener.in/company/RAMKY/consolidated/</v>
      </c>
      <c r="F290" s="4">
        <v>443059</v>
      </c>
      <c r="G290" s="4">
        <v>3832241897</v>
      </c>
      <c r="H290" s="6">
        <f t="shared" ca="1" si="6"/>
        <v>216445.02234256</v>
      </c>
      <c r="I290" s="7" t="str">
        <f ca="1">IFERROR(__xludf.DUMMYFUNCTION("IMPORTXML(E290,""/html/body/main/div[3]/div[3]/div[2]/ul/li[5]/span[2]/span"")"),"Loading...")</f>
        <v>Loading...</v>
      </c>
      <c r="J290" s="7">
        <f ca="1">IFERROR(__xludf.DUMMYFUNCTION("GOOGLEFINANCE(""NSE:""&amp;D290,""marketcap"")"),39082905299)</f>
        <v>39082905299</v>
      </c>
      <c r="K290" s="7">
        <v>992.8</v>
      </c>
      <c r="L290" s="8">
        <f ca="1">IFERROR(__xludf.DUMMYFUNCTION("GOOGLEFINANCE(""NSE:""&amp;D290,""price"")"),564.8)</f>
        <v>564.79999999999995</v>
      </c>
      <c r="M290" s="9">
        <f t="shared" ca="1" si="7"/>
        <v>-428</v>
      </c>
      <c r="N290" s="10">
        <f t="shared" ca="1" si="8"/>
        <v>-43.110394842868658</v>
      </c>
      <c r="O290" s="7">
        <f ca="1">IFERROR(__xludf.DUMMYFUNCTION("GOOGLEFINANCE(""NSE:""&amp;D290,""pe"")"),19.13)</f>
        <v>19.13</v>
      </c>
      <c r="P290" s="7">
        <f ca="1">IFERROR(__xludf.DUMMYFUNCTION("GOOGLEFINANCE(""NSE:""&amp;D290,""EPS"")"),29.53)</f>
        <v>29.53</v>
      </c>
      <c r="Q290" s="7">
        <v>13.5</v>
      </c>
      <c r="R290" s="7" t="str">
        <f ca="1">IFERROR(__xludf.DUMMYFUNCTION("IMPORTXML(E290,""/html/body/main/div[3]/div[3]/div[2]/ul/li[7]/span[2]/span"")"),"Loading...")</f>
        <v>Loading...</v>
      </c>
      <c r="S290" s="7" t="str">
        <f ca="1">IFERROR(__xludf.DUMMYFUNCTION("IMPORTXML(E290,""/html/body/main/div[3]/div[3]/div[2]/ul/li[8]/span[2]/span"")"),"Loading...")</f>
        <v>Loading...</v>
      </c>
      <c r="T290" s="4">
        <v>34.6</v>
      </c>
      <c r="U290" s="4">
        <v>22.7</v>
      </c>
      <c r="V290" s="4">
        <v>2.6</v>
      </c>
      <c r="W290" s="4">
        <v>5.7</v>
      </c>
      <c r="X290" s="4">
        <v>519.92999999999995</v>
      </c>
      <c r="Y290" s="7">
        <f t="shared" ca="1" si="9"/>
        <v>44.870000000000005</v>
      </c>
    </row>
    <row r="291" spans="1:25" ht="15" x14ac:dyDescent="0.25">
      <c r="A291" s="4">
        <v>60</v>
      </c>
      <c r="C291" s="12" t="s">
        <v>1125</v>
      </c>
      <c r="D291" s="12" t="s">
        <v>1126</v>
      </c>
      <c r="E291" s="5" t="str">
        <f t="shared" si="5"/>
        <v>https://www.screener.in/company/CESC/consolidated/</v>
      </c>
      <c r="F291" s="4">
        <v>443059</v>
      </c>
      <c r="G291" s="4">
        <v>3832241897</v>
      </c>
      <c r="H291" s="6">
        <f t="shared" ca="1" si="6"/>
        <v>59028.021939491002</v>
      </c>
      <c r="I291" s="7" t="str">
        <f ca="1">IFERROR(__xludf.DUMMYFUNCTION("IMPORTXML(E291,""/html/body/main/div[3]/div[3]/div[2]/ul/li[5]/span[2]/span"")"),"Loading...")</f>
        <v>Loading...</v>
      </c>
      <c r="J291" s="7">
        <f ca="1">IFERROR(__xludf.DUMMYFUNCTION("GOOGLEFINANCE(""NSE:""&amp;D291,""marketcap"")"),203514026415)</f>
        <v>203514026415</v>
      </c>
      <c r="K291" s="7">
        <v>992.8</v>
      </c>
      <c r="L291" s="8">
        <f ca="1">IFERROR(__xludf.DUMMYFUNCTION("GOOGLEFINANCE(""NSE:""&amp;D291,""price"")"),154.03)</f>
        <v>154.03</v>
      </c>
      <c r="M291" s="9">
        <f t="shared" ca="1" si="7"/>
        <v>-838.77</v>
      </c>
      <c r="N291" s="10">
        <f t="shared" ca="1" si="8"/>
        <v>-84.485294117647058</v>
      </c>
      <c r="O291" s="7">
        <f ca="1">IFERROR(__xludf.DUMMYFUNCTION("GOOGLEFINANCE(""NSE:""&amp;D291,""pe"")"),14.81)</f>
        <v>14.81</v>
      </c>
      <c r="P291" s="7">
        <f ca="1">IFERROR(__xludf.DUMMYFUNCTION("GOOGLEFINANCE(""NSE:""&amp;D291,""EPS"")"),10.4)</f>
        <v>10.4</v>
      </c>
      <c r="Q291" s="7">
        <v>13.5</v>
      </c>
      <c r="R291" s="7" t="str">
        <f ca="1">IFERROR(__xludf.DUMMYFUNCTION("IMPORTXML(E291,""/html/body/main/div[3]/div[3]/div[2]/ul/li[7]/span[2]/span"")"),"Loading...")</f>
        <v>Loading...</v>
      </c>
      <c r="S291" s="7" t="str">
        <f ca="1">IFERROR(__xludf.DUMMYFUNCTION("IMPORTXML(E291,""/html/body/main/div[3]/div[3]/div[2]/ul/li[8]/span[2]/span"")"),"Loading...")</f>
        <v>Loading...</v>
      </c>
      <c r="T291" s="4">
        <v>34.6</v>
      </c>
      <c r="U291" s="4">
        <v>22.7</v>
      </c>
      <c r="V291" s="4">
        <v>2.6</v>
      </c>
      <c r="W291" s="4">
        <v>5.7</v>
      </c>
      <c r="X291" s="4">
        <v>519.92999999999995</v>
      </c>
      <c r="Y291" s="7">
        <f t="shared" ca="1" si="9"/>
        <v>-365.9</v>
      </c>
    </row>
    <row r="292" spans="1:25" ht="15" x14ac:dyDescent="0.25">
      <c r="A292" s="4">
        <v>1463</v>
      </c>
      <c r="C292" s="12" t="s">
        <v>1127</v>
      </c>
      <c r="D292" s="12" t="s">
        <v>1128</v>
      </c>
      <c r="E292" s="5" t="str">
        <f t="shared" si="5"/>
        <v>https://www.screener.in/company/PRECOT/consolidated/</v>
      </c>
      <c r="F292" s="4">
        <v>443059</v>
      </c>
      <c r="G292" s="4">
        <v>3832241897</v>
      </c>
      <c r="H292" s="6">
        <f t="shared" ca="1" si="6"/>
        <v>181265.04172810001</v>
      </c>
      <c r="I292" s="7" t="str">
        <f ca="1">IFERROR(__xludf.DUMMYFUNCTION("IMPORTXML(E292,""/html/body/main/div[3]/div[3]/div[2]/ul/li[5]/span[2]/span"")"),"Loading...")</f>
        <v>Loading...</v>
      </c>
      <c r="J292" s="7">
        <f ca="1">IFERROR(__xludf.DUMMYFUNCTION("GOOGLEFINANCE(""NSE:""&amp;D292,""marketcap"")"),5636400000)</f>
        <v>5636400000</v>
      </c>
      <c r="K292" s="7">
        <v>992.8</v>
      </c>
      <c r="L292" s="8">
        <f ca="1">IFERROR(__xludf.DUMMYFUNCTION("GOOGLEFINANCE(""NSE:""&amp;D292,""price"")"),473)</f>
        <v>473</v>
      </c>
      <c r="M292" s="9">
        <f t="shared" ca="1" si="7"/>
        <v>-519.79999999999995</v>
      </c>
      <c r="N292" s="10">
        <f t="shared" ca="1" si="8"/>
        <v>-52.356970185334404</v>
      </c>
      <c r="O292" s="7">
        <f ca="1">IFERROR(__xludf.DUMMYFUNCTION("GOOGLEFINANCE(""NSE:""&amp;D292,""pe"")"),16.32)</f>
        <v>16.32</v>
      </c>
      <c r="P292" s="7">
        <f ca="1">IFERROR(__xludf.DUMMYFUNCTION("GOOGLEFINANCE(""NSE:""&amp;D292,""EPS"")"),28.98)</f>
        <v>28.98</v>
      </c>
      <c r="Q292" s="7">
        <v>13.5</v>
      </c>
      <c r="R292" s="7" t="str">
        <f ca="1">IFERROR(__xludf.DUMMYFUNCTION("IMPORTXML(E292,""/html/body/main/div[3]/div[3]/div[2]/ul/li[7]/span[2]/span"")"),"Loading...")</f>
        <v>Loading...</v>
      </c>
      <c r="S292" s="7" t="str">
        <f ca="1">IFERROR(__xludf.DUMMYFUNCTION("IMPORTXML(E292,""/html/body/main/div[3]/div[3]/div[2]/ul/li[8]/span[2]/span"")"),"Loading...")</f>
        <v>Loading...</v>
      </c>
      <c r="T292" s="4">
        <v>34.6</v>
      </c>
      <c r="U292" s="4">
        <v>22.7</v>
      </c>
      <c r="V292" s="4">
        <v>2.6</v>
      </c>
      <c r="W292" s="4">
        <v>5.7</v>
      </c>
      <c r="X292" s="4">
        <v>519.92999999999995</v>
      </c>
      <c r="Y292" s="7">
        <f t="shared" ca="1" si="9"/>
        <v>-46.92999999999995</v>
      </c>
    </row>
    <row r="293" spans="1:25" ht="15" x14ac:dyDescent="0.25">
      <c r="A293" s="4">
        <v>2114</v>
      </c>
      <c r="C293" s="12" t="s">
        <v>1129</v>
      </c>
      <c r="D293" s="12" t="s">
        <v>1130</v>
      </c>
      <c r="E293" s="5" t="str">
        <f t="shared" si="5"/>
        <v>https://www.screener.in/company/MANGALAM/consolidated/</v>
      </c>
      <c r="F293" s="4">
        <v>443059</v>
      </c>
      <c r="G293" s="4">
        <v>3832241897</v>
      </c>
      <c r="H293" s="6">
        <f t="shared" ca="1" si="6"/>
        <v>29987.292844025</v>
      </c>
      <c r="I293" s="7" t="str">
        <f ca="1">IFERROR(__xludf.DUMMYFUNCTION("IMPORTXML(E293,""/html/body/main/div[3]/div[3]/div[2]/ul/li[5]/span[2]/span"")"),"Loading...")</f>
        <v>Loading...</v>
      </c>
      <c r="J293" s="7">
        <f ca="1">IFERROR(__xludf.DUMMYFUNCTION("GOOGLEFINANCE(""NSE:""&amp;D293,""marketcap"")"),1246791000)</f>
        <v>1246791000</v>
      </c>
      <c r="K293" s="7">
        <v>992.8</v>
      </c>
      <c r="L293" s="8">
        <f ca="1">IFERROR(__xludf.DUMMYFUNCTION("GOOGLEFINANCE(""NSE:""&amp;D293,""price"")"),78.25)</f>
        <v>78.25</v>
      </c>
      <c r="M293" s="9">
        <f t="shared" ca="1" si="7"/>
        <v>-914.55</v>
      </c>
      <c r="N293" s="10">
        <f t="shared" ca="1" si="8"/>
        <v>-92.118251410153107</v>
      </c>
      <c r="O293" s="7" t="str">
        <f ca="1">IFERROR(__xludf.DUMMYFUNCTION("GOOGLEFINANCE(""NSE:""&amp;D293,""pe"")"),"#N/A")</f>
        <v>#N/A</v>
      </c>
      <c r="P293" s="7">
        <f ca="1">IFERROR(__xludf.DUMMYFUNCTION("GOOGLEFINANCE(""NSE:""&amp;D293,""EPS"")"),-6.17)</f>
        <v>-6.17</v>
      </c>
      <c r="Q293" s="7">
        <v>13.5</v>
      </c>
      <c r="R293" s="7" t="str">
        <f ca="1">IFERROR(__xludf.DUMMYFUNCTION("IMPORTXML(E293,""/html/body/main/div[3]/div[3]/div[2]/ul/li[7]/span[2]/span"")"),"Loading...")</f>
        <v>Loading...</v>
      </c>
      <c r="S293" s="7" t="str">
        <f ca="1">IFERROR(__xludf.DUMMYFUNCTION("IMPORTXML(E293,""/html/body/main/div[3]/div[3]/div[2]/ul/li[8]/span[2]/span"")"),"Loading...")</f>
        <v>Loading...</v>
      </c>
      <c r="T293" s="4">
        <v>34.6</v>
      </c>
      <c r="U293" s="4">
        <v>22.7</v>
      </c>
      <c r="V293" s="4">
        <v>2.6</v>
      </c>
      <c r="W293" s="4">
        <v>5.7</v>
      </c>
      <c r="X293" s="4">
        <v>519.92999999999995</v>
      </c>
      <c r="Y293" s="7">
        <f t="shared" ca="1" si="9"/>
        <v>-441.67999999999995</v>
      </c>
    </row>
    <row r="294" spans="1:25" ht="15" x14ac:dyDescent="0.25">
      <c r="A294" s="4">
        <v>1911</v>
      </c>
      <c r="C294" s="12" t="s">
        <v>1131</v>
      </c>
      <c r="D294" s="12" t="s">
        <v>1132</v>
      </c>
      <c r="E294" s="5" t="str">
        <f t="shared" si="5"/>
        <v>https://www.screener.in/company/INVENTURE/consolidated/</v>
      </c>
      <c r="F294" s="4">
        <v>443059</v>
      </c>
      <c r="G294" s="4">
        <v>3832241897</v>
      </c>
      <c r="H294" s="6">
        <f t="shared" ca="1" si="6"/>
        <v>609.326461623</v>
      </c>
      <c r="I294" s="7" t="str">
        <f ca="1">IFERROR(__xludf.DUMMYFUNCTION("IMPORTXML(E294,""/html/body/main/div[3]/div[3]/div[2]/ul/li[5]/span[2]/span"")"),"Loading...")</f>
        <v>Loading...</v>
      </c>
      <c r="J294" s="7">
        <f ca="1">IFERROR(__xludf.DUMMYFUNCTION("GOOGLEFINANCE(""NSE:""&amp;D294,""marketcap"")"),1669500035)</f>
        <v>1669500035</v>
      </c>
      <c r="K294" s="7">
        <v>992.8</v>
      </c>
      <c r="L294" s="8">
        <f ca="1">IFERROR(__xludf.DUMMYFUNCTION("GOOGLEFINANCE(""NSE:""&amp;D294,""price"")"),1.59)</f>
        <v>1.59</v>
      </c>
      <c r="M294" s="9">
        <f t="shared" ca="1" si="7"/>
        <v>-991.20999999999992</v>
      </c>
      <c r="N294" s="10">
        <f t="shared" ca="1" si="8"/>
        <v>-99.839846897663179</v>
      </c>
      <c r="O294" s="7">
        <f ca="1">IFERROR(__xludf.DUMMYFUNCTION("GOOGLEFINANCE(""NSE:""&amp;D294,""pe"")"),112.85)</f>
        <v>112.85</v>
      </c>
      <c r="P294" s="7">
        <f ca="1">IFERROR(__xludf.DUMMYFUNCTION("GOOGLEFINANCE(""NSE:""&amp;D294,""EPS"")"),0.01)</f>
        <v>0.01</v>
      </c>
      <c r="Q294" s="7">
        <v>13.5</v>
      </c>
      <c r="R294" s="7" t="str">
        <f ca="1">IFERROR(__xludf.DUMMYFUNCTION("IMPORTXML(E294,""/html/body/main/div[3]/div[3]/div[2]/ul/li[7]/span[2]/span"")"),"Loading...")</f>
        <v>Loading...</v>
      </c>
      <c r="S294" s="7" t="str">
        <f ca="1">IFERROR(__xludf.DUMMYFUNCTION("IMPORTXML(E294,""/html/body/main/div[3]/div[3]/div[2]/ul/li[8]/span[2]/span"")"),"Loading...")</f>
        <v>Loading...</v>
      </c>
      <c r="T294" s="4">
        <v>34.6</v>
      </c>
      <c r="U294" s="4">
        <v>22.7</v>
      </c>
      <c r="V294" s="4">
        <v>2.6</v>
      </c>
      <c r="W294" s="4">
        <v>5.7</v>
      </c>
      <c r="X294" s="4">
        <v>519.92999999999995</v>
      </c>
      <c r="Y294" s="7">
        <f t="shared" ca="1" si="9"/>
        <v>-518.33999999999992</v>
      </c>
    </row>
    <row r="295" spans="1:25" ht="15" x14ac:dyDescent="0.25">
      <c r="A295" s="4">
        <v>2735</v>
      </c>
      <c r="C295" s="12" t="s">
        <v>1133</v>
      </c>
      <c r="D295" s="12" t="s">
        <v>1134</v>
      </c>
      <c r="E295" s="5" t="str">
        <f t="shared" si="5"/>
        <v>https://www.screener.in/company/SILGO/consolidated/</v>
      </c>
      <c r="F295" s="4">
        <v>443059</v>
      </c>
      <c r="G295" s="4">
        <v>3832241897</v>
      </c>
      <c r="H295" s="6">
        <f t="shared" ca="1" si="6"/>
        <v>23794.389938472999</v>
      </c>
      <c r="I295" s="7" t="str">
        <f ca="1">IFERROR(__xludf.DUMMYFUNCTION("IMPORTXML(E295,""/html/body/main/div[3]/div[3]/div[2]/ul/li[5]/span[2]/span"")"),"Loading...")</f>
        <v>Loading...</v>
      </c>
      <c r="J295" s="7">
        <f ca="1">IFERROR(__xludf.DUMMYFUNCTION("GOOGLEFINANCE(""NSE:""&amp;D295,""marketcap"")"),1450393221)</f>
        <v>1450393221</v>
      </c>
      <c r="K295" s="7">
        <v>992.8</v>
      </c>
      <c r="L295" s="8">
        <f ca="1">IFERROR(__xludf.DUMMYFUNCTION("GOOGLEFINANCE(""NSE:""&amp;D295,""price"")"),62.09)</f>
        <v>62.09</v>
      </c>
      <c r="M295" s="9">
        <f t="shared" ca="1" si="7"/>
        <v>-930.70999999999992</v>
      </c>
      <c r="N295" s="10">
        <f t="shared" ca="1" si="8"/>
        <v>-93.745970991136176</v>
      </c>
      <c r="O295" s="7">
        <f ca="1">IFERROR(__xludf.DUMMYFUNCTION("GOOGLEFINANCE(""NSE:""&amp;D295,""pe"")"),24.63)</f>
        <v>24.63</v>
      </c>
      <c r="P295" s="7">
        <f ca="1">IFERROR(__xludf.DUMMYFUNCTION("GOOGLEFINANCE(""NSE:""&amp;D295,""EPS"")"),2.52)</f>
        <v>2.52</v>
      </c>
      <c r="Q295" s="7">
        <v>13.5</v>
      </c>
      <c r="R295" s="7" t="str">
        <f ca="1">IFERROR(__xludf.DUMMYFUNCTION("IMPORTXML(E295,""/html/body/main/div[3]/div[3]/div[2]/ul/li[7]/span[2]/span"")"),"Loading...")</f>
        <v>Loading...</v>
      </c>
      <c r="S295" s="7" t="str">
        <f ca="1">IFERROR(__xludf.DUMMYFUNCTION("IMPORTXML(E295,""/html/body/main/div[3]/div[3]/div[2]/ul/li[8]/span[2]/span"")"),"Loading...")</f>
        <v>Loading...</v>
      </c>
      <c r="T295" s="4">
        <v>34.6</v>
      </c>
      <c r="U295" s="4">
        <v>22.7</v>
      </c>
      <c r="V295" s="4">
        <v>2.6</v>
      </c>
      <c r="W295" s="4">
        <v>5.7</v>
      </c>
      <c r="X295" s="4">
        <v>519.92999999999995</v>
      </c>
      <c r="Y295" s="7">
        <f t="shared" ca="1" si="9"/>
        <v>-457.83999999999992</v>
      </c>
    </row>
    <row r="296" spans="1:25" ht="15" x14ac:dyDescent="0.25">
      <c r="A296" s="4">
        <v>2737</v>
      </c>
      <c r="C296" s="12" t="s">
        <v>1135</v>
      </c>
      <c r="D296" s="12" t="s">
        <v>1136</v>
      </c>
      <c r="E296" s="5" t="str">
        <f t="shared" si="5"/>
        <v>https://www.screener.in/company/GATECH/consolidated/</v>
      </c>
      <c r="F296" s="4">
        <v>443059</v>
      </c>
      <c r="G296" s="4">
        <v>3832241897</v>
      </c>
      <c r="H296" s="6">
        <f t="shared" ca="1" si="6"/>
        <v>237.59899761399998</v>
      </c>
      <c r="I296" s="7" t="str">
        <f ca="1">IFERROR(__xludf.DUMMYFUNCTION("IMPORTXML(E296,""/html/body/main/div[3]/div[3]/div[2]/ul/li[5]/span[2]/span"")"),"Loading...")</f>
        <v>Loading...</v>
      </c>
      <c r="J296" s="7">
        <f ca="1">IFERROR(__xludf.DUMMYFUNCTION("GOOGLEFINANCE(""NSE:""&amp;D296,""marketcap"")"),683700045)</f>
        <v>683700045</v>
      </c>
      <c r="K296" s="7">
        <v>992.8</v>
      </c>
      <c r="L296" s="8">
        <f ca="1">IFERROR(__xludf.DUMMYFUNCTION("GOOGLEFINANCE(""NSE:""&amp;D296,""price"")"),0.62)</f>
        <v>0.62</v>
      </c>
      <c r="M296" s="9">
        <f t="shared" ca="1" si="7"/>
        <v>-992.18</v>
      </c>
      <c r="N296" s="10">
        <f t="shared" ca="1" si="8"/>
        <v>-99.937550362610793</v>
      </c>
      <c r="O296" s="7">
        <f ca="1">IFERROR(__xludf.DUMMYFUNCTION("GOOGLEFINANCE(""NSE:""&amp;D296,""pe"")"),6.13)</f>
        <v>6.13</v>
      </c>
      <c r="P296" s="7">
        <f ca="1">IFERROR(__xludf.DUMMYFUNCTION("GOOGLEFINANCE(""NSE:""&amp;D296,""EPS"")"),0.1)</f>
        <v>0.1</v>
      </c>
      <c r="Q296" s="7">
        <v>13.5</v>
      </c>
      <c r="R296" s="7" t="str">
        <f ca="1">IFERROR(__xludf.DUMMYFUNCTION("IMPORTXML(E296,""/html/body/main/div[3]/div[3]/div[2]/ul/li[7]/span[2]/span"")"),"Loading...")</f>
        <v>Loading...</v>
      </c>
      <c r="S296" s="7" t="str">
        <f ca="1">IFERROR(__xludf.DUMMYFUNCTION("IMPORTXML(E296,""/html/body/main/div[3]/div[3]/div[2]/ul/li[8]/span[2]/span"")"),"Loading...")</f>
        <v>Loading...</v>
      </c>
      <c r="T296" s="4">
        <v>34.6</v>
      </c>
      <c r="U296" s="4">
        <v>22.7</v>
      </c>
      <c r="V296" s="4">
        <v>2.6</v>
      </c>
      <c r="W296" s="4">
        <v>5.7</v>
      </c>
      <c r="X296" s="4">
        <v>519.92999999999995</v>
      </c>
      <c r="Y296" s="7">
        <f t="shared" ca="1" si="9"/>
        <v>-519.30999999999995</v>
      </c>
    </row>
    <row r="297" spans="1:25" ht="15" x14ac:dyDescent="0.25">
      <c r="A297" s="4">
        <v>1219</v>
      </c>
      <c r="C297" s="12" t="s">
        <v>1137</v>
      </c>
      <c r="D297" s="12" t="s">
        <v>1138</v>
      </c>
      <c r="E297" s="5" t="str">
        <f t="shared" si="5"/>
        <v>https://www.screener.in/company/RATNAVEER/consolidated/</v>
      </c>
      <c r="F297" s="4">
        <v>443059</v>
      </c>
      <c r="G297" s="4">
        <v>3832241897</v>
      </c>
      <c r="H297" s="6">
        <f t="shared" ca="1" si="6"/>
        <v>56621.374028175</v>
      </c>
      <c r="I297" s="7" t="str">
        <f ca="1">IFERROR(__xludf.DUMMYFUNCTION("IMPORTXML(E297,""/html/body/main/div[3]/div[3]/div[2]/ul/li[5]/span[2]/span"")"),"Loading...")</f>
        <v>Loading...</v>
      </c>
      <c r="J297" s="7">
        <f ca="1">IFERROR(__xludf.DUMMYFUNCTION("GOOGLEFINANCE(""NSE:""&amp;D297,""marketcap"")"),7838137500)</f>
        <v>7838137500</v>
      </c>
      <c r="K297" s="7">
        <v>992.8</v>
      </c>
      <c r="L297" s="8">
        <f ca="1">IFERROR(__xludf.DUMMYFUNCTION("GOOGLEFINANCE(""NSE:""&amp;D297,""price"")"),147.75)</f>
        <v>147.75</v>
      </c>
      <c r="M297" s="9">
        <f t="shared" ca="1" si="7"/>
        <v>-845.05</v>
      </c>
      <c r="N297" s="10">
        <f t="shared" ca="1" si="8"/>
        <v>-85.117848509266722</v>
      </c>
      <c r="O297" s="7">
        <f ca="1">IFERROR(__xludf.DUMMYFUNCTION("GOOGLEFINANCE(""NSE:""&amp;D297,""pe"")"),15.11)</f>
        <v>15.11</v>
      </c>
      <c r="P297" s="7">
        <f ca="1">IFERROR(__xludf.DUMMYFUNCTION("GOOGLEFINANCE(""NSE:""&amp;D297,""EPS"")"),9.78)</f>
        <v>9.7799999999999994</v>
      </c>
      <c r="Q297" s="7">
        <v>13.5</v>
      </c>
      <c r="R297" s="7" t="str">
        <f ca="1">IFERROR(__xludf.DUMMYFUNCTION("IMPORTXML(E297,""/html/body/main/div[3]/div[3]/div[2]/ul/li[7]/span[2]/span"")"),"Loading...")</f>
        <v>Loading...</v>
      </c>
      <c r="S297" s="7" t="str">
        <f ca="1">IFERROR(__xludf.DUMMYFUNCTION("IMPORTXML(E297,""/html/body/main/div[3]/div[3]/div[2]/ul/li[8]/span[2]/span"")"),"Loading...")</f>
        <v>Loading...</v>
      </c>
      <c r="T297" s="4">
        <v>34.6</v>
      </c>
      <c r="U297" s="4">
        <v>22.7</v>
      </c>
      <c r="V297" s="4">
        <v>2.6</v>
      </c>
      <c r="W297" s="4">
        <v>5.7</v>
      </c>
      <c r="X297" s="4">
        <v>519.92999999999995</v>
      </c>
      <c r="Y297" s="7">
        <f t="shared" ca="1" si="9"/>
        <v>-372.17999999999995</v>
      </c>
    </row>
    <row r="298" spans="1:25" ht="15" x14ac:dyDescent="0.25">
      <c r="A298" s="4">
        <v>1436</v>
      </c>
      <c r="C298" s="12" t="s">
        <v>1139</v>
      </c>
      <c r="D298" s="12" t="s">
        <v>1140</v>
      </c>
      <c r="E298" s="5" t="str">
        <f t="shared" si="5"/>
        <v>https://www.screener.in/company/DPWIRES/consolidated/</v>
      </c>
      <c r="F298" s="4">
        <v>443059</v>
      </c>
      <c r="G298" s="4">
        <v>3832241897</v>
      </c>
      <c r="H298" s="6">
        <f t="shared" ca="1" si="6"/>
        <v>105168.21437937101</v>
      </c>
      <c r="I298" s="7" t="str">
        <f ca="1">IFERROR(__xludf.DUMMYFUNCTION("IMPORTXML(E298,""/html/body/main/div[3]/div[3]/div[2]/ul/li[5]/span[2]/span"")"),"Loading...")</f>
        <v>Loading...</v>
      </c>
      <c r="J298" s="7">
        <f ca="1">IFERROR(__xludf.DUMMYFUNCTION("GOOGLEFINANCE(""NSE:""&amp;D298,""marketcap"")"),4253785635)</f>
        <v>4253785635</v>
      </c>
      <c r="K298" s="7">
        <v>992.8</v>
      </c>
      <c r="L298" s="8">
        <f ca="1">IFERROR(__xludf.DUMMYFUNCTION("GOOGLEFINANCE(""NSE:""&amp;D298,""price"")"),274.43)</f>
        <v>274.43</v>
      </c>
      <c r="M298" s="9">
        <f t="shared" ca="1" si="7"/>
        <v>-718.36999999999989</v>
      </c>
      <c r="N298" s="10">
        <f t="shared" ca="1" si="8"/>
        <v>-72.35797743755036</v>
      </c>
      <c r="O298" s="7">
        <f ca="1">IFERROR(__xludf.DUMMYFUNCTION("GOOGLEFINANCE(""NSE:""&amp;D298,""pe"")"),22.85)</f>
        <v>22.85</v>
      </c>
      <c r="P298" s="7">
        <f ca="1">IFERROR(__xludf.DUMMYFUNCTION("GOOGLEFINANCE(""NSE:""&amp;D298,""EPS"")"),12.01)</f>
        <v>12.01</v>
      </c>
      <c r="Q298" s="7">
        <v>13.5</v>
      </c>
      <c r="R298" s="7" t="str">
        <f ca="1">IFERROR(__xludf.DUMMYFUNCTION("IMPORTXML(E298,""/html/body/main/div[3]/div[3]/div[2]/ul/li[7]/span[2]/span"")"),"Loading...")</f>
        <v>Loading...</v>
      </c>
      <c r="S298" s="7" t="str">
        <f ca="1">IFERROR(__xludf.DUMMYFUNCTION("IMPORTXML(E298,""/html/body/main/div[3]/div[3]/div[2]/ul/li[8]/span[2]/span"")"),"Loading...")</f>
        <v>Loading...</v>
      </c>
      <c r="T298" s="4">
        <v>34.6</v>
      </c>
      <c r="U298" s="4">
        <v>22.7</v>
      </c>
      <c r="V298" s="4">
        <v>2.6</v>
      </c>
      <c r="W298" s="4">
        <v>5.7</v>
      </c>
      <c r="X298" s="4">
        <v>519.92999999999995</v>
      </c>
      <c r="Y298" s="7">
        <f t="shared" ca="1" si="9"/>
        <v>-245.49999999999994</v>
      </c>
    </row>
    <row r="299" spans="1:25" ht="15" x14ac:dyDescent="0.25">
      <c r="A299" s="4">
        <v>1946</v>
      </c>
      <c r="C299" s="12" t="s">
        <v>1141</v>
      </c>
      <c r="D299" s="12" t="s">
        <v>1142</v>
      </c>
      <c r="E299" s="5" t="str">
        <f t="shared" si="5"/>
        <v>https://www.screener.in/company/SUPERHOUSE/consolidated/</v>
      </c>
      <c r="F299" s="4">
        <v>443059</v>
      </c>
      <c r="G299" s="4">
        <v>3832241897</v>
      </c>
      <c r="H299" s="6">
        <f t="shared" ca="1" si="6"/>
        <v>57905.175063669994</v>
      </c>
      <c r="I299" s="7" t="str">
        <f ca="1">IFERROR(__xludf.DUMMYFUNCTION("IMPORTXML(E299,""/html/body/main/div[3]/div[3]/div[2]/ul/li[5]/span[2]/span"")"),"Loading...")</f>
        <v>Loading...</v>
      </c>
      <c r="J299" s="7">
        <f ca="1">IFERROR(__xludf.DUMMYFUNCTION("GOOGLEFINANCE(""NSE:""&amp;D299,""marketcap"")"),1685833000)</f>
        <v>1685833000</v>
      </c>
      <c r="K299" s="7">
        <v>992.8</v>
      </c>
      <c r="L299" s="8">
        <f ca="1">IFERROR(__xludf.DUMMYFUNCTION("GOOGLEFINANCE(""NSE:""&amp;D299,""price"")"),151.1)</f>
        <v>151.1</v>
      </c>
      <c r="M299" s="9">
        <f t="shared" ca="1" si="7"/>
        <v>-841.69999999999993</v>
      </c>
      <c r="N299" s="10">
        <f t="shared" ca="1" si="8"/>
        <v>-84.78041901692184</v>
      </c>
      <c r="O299" s="7">
        <f ca="1">IFERROR(__xludf.DUMMYFUNCTION("GOOGLEFINANCE(""NSE:""&amp;D299,""pe"")"),36.34)</f>
        <v>36.340000000000003</v>
      </c>
      <c r="P299" s="7">
        <f ca="1">IFERROR(__xludf.DUMMYFUNCTION("GOOGLEFINANCE(""NSE:""&amp;D299,""EPS"")"),4.16)</f>
        <v>4.16</v>
      </c>
      <c r="Q299" s="7">
        <v>13.5</v>
      </c>
      <c r="R299" s="7" t="str">
        <f ca="1">IFERROR(__xludf.DUMMYFUNCTION("IMPORTXML(E299,""/html/body/main/div[3]/div[3]/div[2]/ul/li[7]/span[2]/span"")"),"Loading...")</f>
        <v>Loading...</v>
      </c>
      <c r="S299" s="7" t="str">
        <f ca="1">IFERROR(__xludf.DUMMYFUNCTION("IMPORTXML(E299,""/html/body/main/div[3]/div[3]/div[2]/ul/li[8]/span[2]/span"")"),"Loading...")</f>
        <v>Loading...</v>
      </c>
      <c r="T299" s="4">
        <v>34.6</v>
      </c>
      <c r="U299" s="4">
        <v>22.7</v>
      </c>
      <c r="V299" s="4">
        <v>2.6</v>
      </c>
      <c r="W299" s="4">
        <v>5.7</v>
      </c>
      <c r="X299" s="4">
        <v>519.92999999999995</v>
      </c>
      <c r="Y299" s="7">
        <f t="shared" ca="1" si="9"/>
        <v>-368.82999999999993</v>
      </c>
    </row>
    <row r="300" spans="1:25" ht="15" x14ac:dyDescent="0.25">
      <c r="A300" s="4">
        <v>197</v>
      </c>
      <c r="C300" s="12" t="s">
        <v>1143</v>
      </c>
      <c r="D300" s="12" t="s">
        <v>1144</v>
      </c>
      <c r="E300" s="5" t="str">
        <f t="shared" si="5"/>
        <v>https://www.screener.in/company/VTL/consolidated/</v>
      </c>
      <c r="F300" s="4">
        <v>443059</v>
      </c>
      <c r="G300" s="4">
        <v>3832241897</v>
      </c>
      <c r="H300" s="6">
        <f t="shared" ca="1" si="6"/>
        <v>156719.53237781499</v>
      </c>
      <c r="I300" s="7" t="str">
        <f ca="1">IFERROR(__xludf.DUMMYFUNCTION("IMPORTXML(E300,""/html/body/main/div[3]/div[3]/div[2]/ul/li[5]/span[2]/span"")"),"Loading...")</f>
        <v>Loading...</v>
      </c>
      <c r="J300" s="7">
        <f ca="1">IFERROR(__xludf.DUMMYFUNCTION("GOOGLEFINANCE(""NSE:""&amp;D300,""marketcap"")"),117652447695)</f>
        <v>117652447695</v>
      </c>
      <c r="K300" s="7">
        <v>992.8</v>
      </c>
      <c r="L300" s="8">
        <f ca="1">IFERROR(__xludf.DUMMYFUNCTION("GOOGLEFINANCE(""NSE:""&amp;D300,""price"")"),408.95)</f>
        <v>408.95</v>
      </c>
      <c r="M300" s="9">
        <f t="shared" ca="1" si="7"/>
        <v>-583.84999999999991</v>
      </c>
      <c r="N300" s="10">
        <f t="shared" ca="1" si="8"/>
        <v>-58.808420628525369</v>
      </c>
      <c r="O300" s="7">
        <f ca="1">IFERROR(__xludf.DUMMYFUNCTION("GOOGLEFINANCE(""NSE:""&amp;D300,""pe"")"),13.66)</f>
        <v>13.66</v>
      </c>
      <c r="P300" s="7">
        <f ca="1">IFERROR(__xludf.DUMMYFUNCTION("GOOGLEFINANCE(""NSE:""&amp;D300,""EPS"")"),29.95)</f>
        <v>29.95</v>
      </c>
      <c r="Q300" s="7">
        <v>13.5</v>
      </c>
      <c r="R300" s="7" t="str">
        <f ca="1">IFERROR(__xludf.DUMMYFUNCTION("IMPORTXML(E300,""/html/body/main/div[3]/div[3]/div[2]/ul/li[7]/span[2]/span"")"),"Loading...")</f>
        <v>Loading...</v>
      </c>
      <c r="S300" s="7" t="str">
        <f ca="1">IFERROR(__xludf.DUMMYFUNCTION("IMPORTXML(E300,""/html/body/main/div[3]/div[3]/div[2]/ul/li[8]/span[2]/span"")"),"Loading...")</f>
        <v>Loading...</v>
      </c>
      <c r="T300" s="4">
        <v>34.6</v>
      </c>
      <c r="U300" s="4">
        <v>22.7</v>
      </c>
      <c r="V300" s="4">
        <v>2.6</v>
      </c>
      <c r="W300" s="4">
        <v>5.7</v>
      </c>
      <c r="X300" s="4">
        <v>519.92999999999995</v>
      </c>
      <c r="Y300" s="7">
        <f t="shared" ca="1" si="9"/>
        <v>-110.97999999999996</v>
      </c>
    </row>
    <row r="301" spans="1:25" ht="15" x14ac:dyDescent="0.25">
      <c r="A301" s="4">
        <v>1770</v>
      </c>
      <c r="C301" s="12" t="s">
        <v>1145</v>
      </c>
      <c r="D301" s="12" t="s">
        <v>1146</v>
      </c>
      <c r="E301" s="5" t="str">
        <f t="shared" si="5"/>
        <v>https://www.screener.in/company/SHRADHA/consolidated/</v>
      </c>
      <c r="F301" s="4">
        <v>443059</v>
      </c>
      <c r="G301" s="4">
        <v>3832241897</v>
      </c>
      <c r="H301" s="6">
        <f t="shared" ca="1" si="6"/>
        <v>22951.296721133003</v>
      </c>
      <c r="I301" s="7" t="str">
        <f ca="1">IFERROR(__xludf.DUMMYFUNCTION("IMPORTXML(E301,""/html/body/main/div[3]/div[3]/div[2]/ul/li[5]/span[2]/span"")"),"Loading...")</f>
        <v>Loading...</v>
      </c>
      <c r="J301" s="7">
        <f ca="1">IFERROR(__xludf.DUMMYFUNCTION("GOOGLEFINANCE(""NSE:""&amp;D301,""marketcap"")"),3031839587)</f>
        <v>3031839587</v>
      </c>
      <c r="K301" s="7">
        <v>992.8</v>
      </c>
      <c r="L301" s="8">
        <f ca="1">IFERROR(__xludf.DUMMYFUNCTION("GOOGLEFINANCE(""NSE:""&amp;D301,""price"")"),59.89)</f>
        <v>59.89</v>
      </c>
      <c r="M301" s="9">
        <f t="shared" ca="1" si="7"/>
        <v>-932.91</v>
      </c>
      <c r="N301" s="10">
        <f t="shared" ca="1" si="8"/>
        <v>-93.967566478646262</v>
      </c>
      <c r="O301" s="7">
        <f ca="1">IFERROR(__xludf.DUMMYFUNCTION("GOOGLEFINANCE(""NSE:""&amp;D301,""pe"")"),17.01)</f>
        <v>17.010000000000002</v>
      </c>
      <c r="P301" s="7">
        <f ca="1">IFERROR(__xludf.DUMMYFUNCTION("GOOGLEFINANCE(""NSE:""&amp;D301,""EPS"")"),3.52)</f>
        <v>3.52</v>
      </c>
      <c r="Q301" s="7">
        <v>13.5</v>
      </c>
      <c r="R301" s="7" t="str">
        <f ca="1">IFERROR(__xludf.DUMMYFUNCTION("IMPORTXML(E301,""/html/body/main/div[3]/div[3]/div[2]/ul/li[7]/span[2]/span"")"),"Loading...")</f>
        <v>Loading...</v>
      </c>
      <c r="S301" s="7" t="str">
        <f ca="1">IFERROR(__xludf.DUMMYFUNCTION("IMPORTXML(E301,""/html/body/main/div[3]/div[3]/div[2]/ul/li[8]/span[2]/span"")"),"Loading...")</f>
        <v>Loading...</v>
      </c>
      <c r="T301" s="4">
        <v>34.6</v>
      </c>
      <c r="U301" s="4">
        <v>22.7</v>
      </c>
      <c r="V301" s="4">
        <v>2.6</v>
      </c>
      <c r="W301" s="4">
        <v>5.7</v>
      </c>
      <c r="X301" s="4">
        <v>519.92999999999995</v>
      </c>
      <c r="Y301" s="7">
        <f t="shared" ca="1" si="9"/>
        <v>-460.03999999999996</v>
      </c>
    </row>
    <row r="302" spans="1:25" ht="15" x14ac:dyDescent="0.25">
      <c r="A302" s="4">
        <v>1043</v>
      </c>
      <c r="C302" s="12" t="s">
        <v>1147</v>
      </c>
      <c r="D302" s="12" t="s">
        <v>1148</v>
      </c>
      <c r="E302" s="5" t="str">
        <f t="shared" si="5"/>
        <v>https://www.screener.in/company/KELLTONTEC/consolidated/</v>
      </c>
      <c r="F302" s="4">
        <v>443059</v>
      </c>
      <c r="G302" s="4">
        <v>3832241897</v>
      </c>
      <c r="H302" s="6">
        <f t="shared" ca="1" si="6"/>
        <v>9772.2168373500008</v>
      </c>
      <c r="I302" s="7" t="str">
        <f ca="1">IFERROR(__xludf.DUMMYFUNCTION("IMPORTXML(E302,""/html/body/main/div[3]/div[3]/div[2]/ul/li[5]/span[2]/span"")"),"Loading...")</f>
        <v>Loading...</v>
      </c>
      <c r="J302" s="7">
        <f ca="1">IFERROR(__xludf.DUMMYFUNCTION("GOOGLEFINANCE(""NSE:""&amp;D302,""marketcap"")"),12981770337)</f>
        <v>12981770337</v>
      </c>
      <c r="K302" s="7">
        <v>992.8</v>
      </c>
      <c r="L302" s="8">
        <f ca="1">IFERROR(__xludf.DUMMYFUNCTION("GOOGLEFINANCE(""NSE:""&amp;D302,""price"")"),25.5)</f>
        <v>25.5</v>
      </c>
      <c r="M302" s="9">
        <f t="shared" ca="1" si="7"/>
        <v>-967.3</v>
      </c>
      <c r="N302" s="10">
        <f t="shared" ca="1" si="8"/>
        <v>-97.43150684931507</v>
      </c>
      <c r="O302" s="7">
        <f ca="1">IFERROR(__xludf.DUMMYFUNCTION("GOOGLEFINANCE(""NSE:""&amp;D302,""pe"")"),15.14)</f>
        <v>15.14</v>
      </c>
      <c r="P302" s="7">
        <f ca="1">IFERROR(__xludf.DUMMYFUNCTION("GOOGLEFINANCE(""NSE:""&amp;D302,""EPS"")"),1.68)</f>
        <v>1.68</v>
      </c>
      <c r="Q302" s="7">
        <v>13.5</v>
      </c>
      <c r="R302" s="7" t="str">
        <f ca="1">IFERROR(__xludf.DUMMYFUNCTION("IMPORTXML(E302,""/html/body/main/div[3]/div[3]/div[2]/ul/li[7]/span[2]/span"")"),"Loading...")</f>
        <v>Loading...</v>
      </c>
      <c r="S302" s="7" t="str">
        <f ca="1">IFERROR(__xludf.DUMMYFUNCTION("IMPORTXML(E302,""/html/body/main/div[3]/div[3]/div[2]/ul/li[8]/span[2]/span"")"),"Loading...")</f>
        <v>Loading...</v>
      </c>
      <c r="T302" s="4">
        <v>34.6</v>
      </c>
      <c r="U302" s="4">
        <v>22.7</v>
      </c>
      <c r="V302" s="4">
        <v>2.6</v>
      </c>
      <c r="W302" s="4">
        <v>5.7</v>
      </c>
      <c r="X302" s="4">
        <v>519.92999999999995</v>
      </c>
      <c r="Y302" s="7">
        <f t="shared" ca="1" si="9"/>
        <v>-494.42999999999995</v>
      </c>
    </row>
    <row r="303" spans="1:25" ht="15" x14ac:dyDescent="0.25">
      <c r="A303" s="4">
        <v>2008</v>
      </c>
      <c r="C303" s="12" t="s">
        <v>1149</v>
      </c>
      <c r="D303" s="12" t="s">
        <v>1150</v>
      </c>
      <c r="E303" s="5" t="str">
        <f t="shared" si="5"/>
        <v>https://www.screener.in/company/SIGIND/consolidated/</v>
      </c>
      <c r="F303" s="4">
        <v>443059</v>
      </c>
      <c r="G303" s="4">
        <v>3832241897</v>
      </c>
      <c r="H303" s="6">
        <f t="shared" ca="1" si="6"/>
        <v>22349.634743303999</v>
      </c>
      <c r="I303" s="7" t="str">
        <f ca="1">IFERROR(__xludf.DUMMYFUNCTION("IMPORTXML(E303,""/html/body/main/div[3]/div[3]/div[2]/ul/li[5]/span[2]/span"")"),"Loading...")</f>
        <v>Loading...</v>
      </c>
      <c r="J303" s="7">
        <f ca="1">IFERROR(__xludf.DUMMYFUNCTION("GOOGLEFINANCE(""NSE:""&amp;D303,""marketcap"")"),1773707577)</f>
        <v>1773707577</v>
      </c>
      <c r="K303" s="7">
        <v>992.8</v>
      </c>
      <c r="L303" s="8">
        <f ca="1">IFERROR(__xludf.DUMMYFUNCTION("GOOGLEFINANCE(""NSE:""&amp;D303,""price"")"),58.32)</f>
        <v>58.32</v>
      </c>
      <c r="M303" s="9">
        <f t="shared" ca="1" si="7"/>
        <v>-934.4799999999999</v>
      </c>
      <c r="N303" s="10">
        <f t="shared" ca="1" si="8"/>
        <v>-94.125705076551156</v>
      </c>
      <c r="O303" s="7">
        <f ca="1">IFERROR(__xludf.DUMMYFUNCTION("GOOGLEFINANCE(""NSE:""&amp;D303,""pe"")"),11.95)</f>
        <v>11.95</v>
      </c>
      <c r="P303" s="7">
        <f ca="1">IFERROR(__xludf.DUMMYFUNCTION("GOOGLEFINANCE(""NSE:""&amp;D303,""EPS"")"),4.88)</f>
        <v>4.88</v>
      </c>
      <c r="Q303" s="7">
        <v>13.5</v>
      </c>
      <c r="R303" s="7" t="str">
        <f ca="1">IFERROR(__xludf.DUMMYFUNCTION("IMPORTXML(E303,""/html/body/main/div[3]/div[3]/div[2]/ul/li[7]/span[2]/span"")"),"Loading...")</f>
        <v>Loading...</v>
      </c>
      <c r="S303" s="7" t="str">
        <f ca="1">IFERROR(__xludf.DUMMYFUNCTION("IMPORTXML(E303,""/html/body/main/div[3]/div[3]/div[2]/ul/li[8]/span[2]/span"")"),"Loading...")</f>
        <v>Loading...</v>
      </c>
      <c r="T303" s="4">
        <v>34.6</v>
      </c>
      <c r="U303" s="4">
        <v>22.7</v>
      </c>
      <c r="V303" s="4">
        <v>2.6</v>
      </c>
      <c r="W303" s="4">
        <v>5.7</v>
      </c>
      <c r="X303" s="4">
        <v>519.92999999999995</v>
      </c>
      <c r="Y303" s="7">
        <f t="shared" ca="1" si="9"/>
        <v>-461.60999999999996</v>
      </c>
    </row>
    <row r="304" spans="1:25" ht="15" x14ac:dyDescent="0.25">
      <c r="A304" s="4">
        <v>473</v>
      </c>
      <c r="C304" s="12" t="s">
        <v>1151</v>
      </c>
      <c r="D304" s="12" t="s">
        <v>1152</v>
      </c>
      <c r="E304" s="5" t="str">
        <f t="shared" si="5"/>
        <v>https://www.screener.in/company/JKIL/consolidated/</v>
      </c>
      <c r="F304" s="4">
        <v>443059</v>
      </c>
      <c r="G304" s="4">
        <v>3832241897</v>
      </c>
      <c r="H304" s="6">
        <f t="shared" ca="1" si="6"/>
        <v>240683.95234108495</v>
      </c>
      <c r="I304" s="7" t="str">
        <f ca="1">IFERROR(__xludf.DUMMYFUNCTION("IMPORTXML(E304,""/html/body/main/div[3]/div[3]/div[2]/ul/li[5]/span[2]/span"")"),"Loading...")</f>
        <v>Loading...</v>
      </c>
      <c r="J304" s="7">
        <f ca="1">IFERROR(__xludf.DUMMYFUNCTION("GOOGLEFINANCE(""NSE:""&amp;D304,""marketcap"")"),47521716351)</f>
        <v>47521716351</v>
      </c>
      <c r="K304" s="7">
        <v>992.8</v>
      </c>
      <c r="L304" s="8">
        <f ca="1">IFERROR(__xludf.DUMMYFUNCTION("GOOGLEFINANCE(""NSE:""&amp;D304,""price"")"),628.05)</f>
        <v>628.04999999999995</v>
      </c>
      <c r="M304" s="9">
        <f t="shared" ca="1" si="7"/>
        <v>-364.75</v>
      </c>
      <c r="N304" s="10">
        <f t="shared" ca="1" si="8"/>
        <v>-36.739524576954068</v>
      </c>
      <c r="O304" s="7">
        <f ca="1">IFERROR(__xludf.DUMMYFUNCTION("GOOGLEFINANCE(""NSE:""&amp;D304,""pe"")"),11.65)</f>
        <v>11.65</v>
      </c>
      <c r="P304" s="7">
        <f ca="1">IFERROR(__xludf.DUMMYFUNCTION("GOOGLEFINANCE(""NSE:""&amp;D304,""EPS"")"),53.89)</f>
        <v>53.89</v>
      </c>
      <c r="Q304" s="7">
        <v>13.5</v>
      </c>
      <c r="R304" s="7" t="str">
        <f ca="1">IFERROR(__xludf.DUMMYFUNCTION("IMPORTXML(E304,""/html/body/main/div[3]/div[3]/div[2]/ul/li[7]/span[2]/span"")"),"Loading...")</f>
        <v>Loading...</v>
      </c>
      <c r="S304" s="7" t="str">
        <f ca="1">IFERROR(__xludf.DUMMYFUNCTION("IMPORTXML(E304,""/html/body/main/div[3]/div[3]/div[2]/ul/li[8]/span[2]/span"")"),"Loading...")</f>
        <v>Loading...</v>
      </c>
      <c r="T304" s="4">
        <v>34.6</v>
      </c>
      <c r="U304" s="4">
        <v>22.7</v>
      </c>
      <c r="V304" s="4">
        <v>2.6</v>
      </c>
      <c r="W304" s="4">
        <v>5.7</v>
      </c>
      <c r="X304" s="4">
        <v>519.92999999999995</v>
      </c>
      <c r="Y304" s="7">
        <f t="shared" ca="1" si="9"/>
        <v>108.12</v>
      </c>
    </row>
    <row r="305" spans="1:25" ht="15" x14ac:dyDescent="0.25">
      <c r="A305" s="4">
        <v>1280</v>
      </c>
      <c r="C305" s="12" t="s">
        <v>1153</v>
      </c>
      <c r="D305" s="12" t="s">
        <v>1154</v>
      </c>
      <c r="E305" s="5" t="str">
        <f t="shared" si="5"/>
        <v>https://www.screener.in/company/RADIANTCMS/consolidated/</v>
      </c>
      <c r="F305" s="4">
        <v>443059</v>
      </c>
      <c r="G305" s="4">
        <v>3832241897</v>
      </c>
      <c r="H305" s="6">
        <f t="shared" ca="1" si="6"/>
        <v>21464.386865097</v>
      </c>
      <c r="I305" s="7" t="str">
        <f ca="1">IFERROR(__xludf.DUMMYFUNCTION("IMPORTXML(E305,""/html/body/main/div[3]/div[3]/div[2]/ul/li[5]/span[2]/span"")"),"Loading...")</f>
        <v>Loading...</v>
      </c>
      <c r="J305" s="7">
        <f ca="1">IFERROR(__xludf.DUMMYFUNCTION("GOOGLEFINANCE(""NSE:""&amp;D305,""marketcap"")"),5976709299)</f>
        <v>5976709299</v>
      </c>
      <c r="K305" s="7">
        <v>992.8</v>
      </c>
      <c r="L305" s="8">
        <f ca="1">IFERROR(__xludf.DUMMYFUNCTION("GOOGLEFINANCE(""NSE:""&amp;D305,""price"")"),56.01)</f>
        <v>56.01</v>
      </c>
      <c r="M305" s="9">
        <f t="shared" ca="1" si="7"/>
        <v>-936.79</v>
      </c>
      <c r="N305" s="10">
        <f t="shared" ca="1" si="8"/>
        <v>-94.358380338436746</v>
      </c>
      <c r="O305" s="7">
        <f ca="1">IFERROR(__xludf.DUMMYFUNCTION("GOOGLEFINANCE(""NSE:""&amp;D305,""pe"")"),13.66)</f>
        <v>13.66</v>
      </c>
      <c r="P305" s="7">
        <f ca="1">IFERROR(__xludf.DUMMYFUNCTION("GOOGLEFINANCE(""NSE:""&amp;D305,""EPS"")"),4.1)</f>
        <v>4.0999999999999996</v>
      </c>
      <c r="Q305" s="7">
        <v>13.5</v>
      </c>
      <c r="R305" s="7" t="str">
        <f ca="1">IFERROR(__xludf.DUMMYFUNCTION("IMPORTXML(E305,""/html/body/main/div[3]/div[3]/div[2]/ul/li[7]/span[2]/span"")"),"Loading...")</f>
        <v>Loading...</v>
      </c>
      <c r="S305" s="7" t="str">
        <f ca="1">IFERROR(__xludf.DUMMYFUNCTION("IMPORTXML(E305,""/html/body/main/div[3]/div[3]/div[2]/ul/li[8]/span[2]/span"")"),"Loading...")</f>
        <v>Loading...</v>
      </c>
      <c r="T305" s="4">
        <v>34.6</v>
      </c>
      <c r="U305" s="4">
        <v>22.7</v>
      </c>
      <c r="V305" s="4">
        <v>2.6</v>
      </c>
      <c r="W305" s="4">
        <v>5.7</v>
      </c>
      <c r="X305" s="4">
        <v>519.92999999999995</v>
      </c>
      <c r="Y305" s="7">
        <f t="shared" ca="1" si="9"/>
        <v>-463.91999999999996</v>
      </c>
    </row>
    <row r="306" spans="1:25" ht="15" x14ac:dyDescent="0.25">
      <c r="A306" s="4">
        <v>2821</v>
      </c>
      <c r="C306" s="12" t="s">
        <v>1155</v>
      </c>
      <c r="D306" s="12" t="s">
        <v>1156</v>
      </c>
      <c r="E306" s="5" t="str">
        <f t="shared" si="5"/>
        <v>https://www.screener.in/company/GODHA/consolidated/</v>
      </c>
      <c r="F306" s="4">
        <v>443059</v>
      </c>
      <c r="G306" s="4">
        <v>3832241897</v>
      </c>
      <c r="H306" s="6">
        <f t="shared" ca="1" si="6"/>
        <v>226.10227192299999</v>
      </c>
      <c r="I306" s="7" t="str">
        <f ca="1">IFERROR(__xludf.DUMMYFUNCTION("IMPORTXML(E306,""/html/body/main/div[3]/div[3]/div[2]/ul/li[5]/span[2]/span"")"),"Loading...")</f>
        <v>Loading...</v>
      </c>
      <c r="J306" s="7">
        <f ca="1">IFERROR(__xludf.DUMMYFUNCTION("GOOGLEFINANCE(""NSE:""&amp;D306,""marketcap"")"),552381575)</f>
        <v>552381575</v>
      </c>
      <c r="K306" s="7">
        <v>992.8</v>
      </c>
      <c r="L306" s="8">
        <f ca="1">IFERROR(__xludf.DUMMYFUNCTION("GOOGLEFINANCE(""NSE:""&amp;D306,""price"")"),0.59)</f>
        <v>0.59</v>
      </c>
      <c r="M306" s="9">
        <f t="shared" ca="1" si="7"/>
        <v>-992.20999999999992</v>
      </c>
      <c r="N306" s="10">
        <f t="shared" ca="1" si="8"/>
        <v>-99.940572119258661</v>
      </c>
      <c r="O306" s="7">
        <f ca="1">IFERROR(__xludf.DUMMYFUNCTION("GOOGLEFINANCE(""NSE:""&amp;D306,""pe"")"),7.52)</f>
        <v>7.52</v>
      </c>
      <c r="P306" s="7">
        <f ca="1">IFERROR(__xludf.DUMMYFUNCTION("GOOGLEFINANCE(""NSE:""&amp;D306,""EPS"")"),0.08)</f>
        <v>0.08</v>
      </c>
      <c r="Q306" s="7">
        <v>13.5</v>
      </c>
      <c r="R306" s="7" t="str">
        <f ca="1">IFERROR(__xludf.DUMMYFUNCTION("IMPORTXML(E306,""/html/body/main/div[3]/div[3]/div[2]/ul/li[7]/span[2]/span"")"),"Loading...")</f>
        <v>Loading...</v>
      </c>
      <c r="S306" s="7" t="str">
        <f ca="1">IFERROR(__xludf.DUMMYFUNCTION("IMPORTXML(E306,""/html/body/main/div[3]/div[3]/div[2]/ul/li[8]/span[2]/span"")"),"Loading...")</f>
        <v>Loading...</v>
      </c>
      <c r="T306" s="4">
        <v>34.6</v>
      </c>
      <c r="U306" s="4">
        <v>22.7</v>
      </c>
      <c r="V306" s="4">
        <v>2.6</v>
      </c>
      <c r="W306" s="4">
        <v>5.7</v>
      </c>
      <c r="X306" s="4">
        <v>519.92999999999995</v>
      </c>
      <c r="Y306" s="7">
        <f t="shared" ca="1" si="9"/>
        <v>-519.33999999999992</v>
      </c>
    </row>
    <row r="307" spans="1:25" ht="15" x14ac:dyDescent="0.25">
      <c r="A307" s="4">
        <v>2222</v>
      </c>
      <c r="C307" s="12" t="s">
        <v>1157</v>
      </c>
      <c r="D307" s="12" t="s">
        <v>1158</v>
      </c>
      <c r="E307" s="5" t="str">
        <f t="shared" si="5"/>
        <v>https://www.screener.in/company/BEARDSELL/consolidated/</v>
      </c>
      <c r="F307" s="4">
        <v>443059</v>
      </c>
      <c r="G307" s="4">
        <v>3832241897</v>
      </c>
      <c r="H307" s="6">
        <f t="shared" ca="1" si="6"/>
        <v>11803.305042760001</v>
      </c>
      <c r="I307" s="7" t="str">
        <f ca="1">IFERROR(__xludf.DUMMYFUNCTION("IMPORTXML(E307,""/html/body/main/div[3]/div[3]/div[2]/ul/li[5]/span[2]/span"")"),"Loading...")</f>
        <v>Loading...</v>
      </c>
      <c r="J307" s="7">
        <f ca="1">IFERROR(__xludf.DUMMYFUNCTION("GOOGLEFINANCE(""NSE:""&amp;D307,""marketcap"")"),1207955000)</f>
        <v>1207955000</v>
      </c>
      <c r="K307" s="7">
        <v>992.8</v>
      </c>
      <c r="L307" s="8">
        <f ca="1">IFERROR(__xludf.DUMMYFUNCTION("GOOGLEFINANCE(""NSE:""&amp;D307,""price"")"),30.8)</f>
        <v>30.8</v>
      </c>
      <c r="M307" s="9">
        <f t="shared" ca="1" si="7"/>
        <v>-962</v>
      </c>
      <c r="N307" s="10">
        <f t="shared" ca="1" si="8"/>
        <v>-96.897663174858991</v>
      </c>
      <c r="O307" s="7">
        <f ca="1">IFERROR(__xludf.DUMMYFUNCTION("GOOGLEFINANCE(""NSE:""&amp;D307,""pe"")"),11.67)</f>
        <v>11.67</v>
      </c>
      <c r="P307" s="7">
        <f ca="1">IFERROR(__xludf.DUMMYFUNCTION("GOOGLEFINANCE(""NSE:""&amp;D307,""EPS"")"),2.64)</f>
        <v>2.64</v>
      </c>
      <c r="Q307" s="7">
        <v>13.5</v>
      </c>
      <c r="R307" s="7" t="str">
        <f ca="1">IFERROR(__xludf.DUMMYFUNCTION("IMPORTXML(E307,""/html/body/main/div[3]/div[3]/div[2]/ul/li[7]/span[2]/span"")"),"Loading...")</f>
        <v>Loading...</v>
      </c>
      <c r="S307" s="7" t="str">
        <f ca="1">IFERROR(__xludf.DUMMYFUNCTION("IMPORTXML(E307,""/html/body/main/div[3]/div[3]/div[2]/ul/li[8]/span[2]/span"")"),"Loading...")</f>
        <v>Loading...</v>
      </c>
      <c r="T307" s="4">
        <v>34.6</v>
      </c>
      <c r="U307" s="4">
        <v>22.7</v>
      </c>
      <c r="V307" s="4">
        <v>2.6</v>
      </c>
      <c r="W307" s="4">
        <v>5.7</v>
      </c>
      <c r="X307" s="4">
        <v>519.92999999999995</v>
      </c>
      <c r="Y307" s="7">
        <f t="shared" ca="1" si="9"/>
        <v>-489.12999999999994</v>
      </c>
    </row>
    <row r="308" spans="1:25" ht="15" x14ac:dyDescent="0.25">
      <c r="A308" s="4">
        <v>261</v>
      </c>
      <c r="C308" s="12" t="s">
        <v>1159</v>
      </c>
      <c r="D308" s="12" t="s">
        <v>1160</v>
      </c>
      <c r="E308" s="5" t="str">
        <f t="shared" si="5"/>
        <v>https://www.screener.in/company/JKTYRE/consolidated/</v>
      </c>
      <c r="F308" s="4">
        <v>443059</v>
      </c>
      <c r="G308" s="4">
        <v>3832241897</v>
      </c>
      <c r="H308" s="6">
        <f t="shared" ca="1" si="6"/>
        <v>133170.40592075</v>
      </c>
      <c r="I308" s="7" t="str">
        <f ca="1">IFERROR(__xludf.DUMMYFUNCTION("IMPORTXML(E308,""/html/body/main/div[3]/div[3]/div[2]/ul/li[5]/span[2]/span"")"),"Loading...")</f>
        <v>Loading...</v>
      </c>
      <c r="J308" s="7">
        <f ca="1">IFERROR(__xludf.DUMMYFUNCTION("GOOGLEFINANCE(""NSE:""&amp;D308,""marketcap"")"),95221950000)</f>
        <v>95221950000</v>
      </c>
      <c r="K308" s="7">
        <v>992.8</v>
      </c>
      <c r="L308" s="8">
        <f ca="1">IFERROR(__xludf.DUMMYFUNCTION("GOOGLEFINANCE(""NSE:""&amp;D308,""price"")"),347.5)</f>
        <v>347.5</v>
      </c>
      <c r="M308" s="9">
        <f t="shared" ca="1" si="7"/>
        <v>-645.29999999999995</v>
      </c>
      <c r="N308" s="10">
        <f t="shared" ca="1" si="8"/>
        <v>-64.997985495568088</v>
      </c>
      <c r="O308" s="7">
        <f ca="1">IFERROR(__xludf.DUMMYFUNCTION("GOOGLEFINANCE(""NSE:""&amp;D308,""pe"")"),21.22)</f>
        <v>21.22</v>
      </c>
      <c r="P308" s="7">
        <f ca="1">IFERROR(__xludf.DUMMYFUNCTION("GOOGLEFINANCE(""NSE:""&amp;D308,""EPS"")"),16.37)</f>
        <v>16.37</v>
      </c>
      <c r="Q308" s="7">
        <v>13.5</v>
      </c>
      <c r="R308" s="7" t="str">
        <f ca="1">IFERROR(__xludf.DUMMYFUNCTION("IMPORTXML(E308,""/html/body/main/div[3]/div[3]/div[2]/ul/li[7]/span[2]/span"")"),"Loading...")</f>
        <v>Loading...</v>
      </c>
      <c r="S308" s="7" t="str">
        <f ca="1">IFERROR(__xludf.DUMMYFUNCTION("IMPORTXML(E308,""/html/body/main/div[3]/div[3]/div[2]/ul/li[8]/span[2]/span"")"),"Loading...")</f>
        <v>Loading...</v>
      </c>
      <c r="T308" s="4">
        <v>34.6</v>
      </c>
      <c r="U308" s="4">
        <v>22.7</v>
      </c>
      <c r="V308" s="4">
        <v>2.6</v>
      </c>
      <c r="W308" s="4">
        <v>5.7</v>
      </c>
      <c r="X308" s="4">
        <v>519.92999999999995</v>
      </c>
      <c r="Y308" s="7">
        <f t="shared" ca="1" si="9"/>
        <v>-172.42999999999995</v>
      </c>
    </row>
    <row r="309" spans="1:25" ht="15" x14ac:dyDescent="0.25">
      <c r="A309" s="4">
        <v>1144</v>
      </c>
      <c r="C309" s="12" t="s">
        <v>1161</v>
      </c>
      <c r="D309" s="12" t="s">
        <v>1162</v>
      </c>
      <c r="E309" s="5" t="str">
        <f t="shared" si="5"/>
        <v>https://www.screener.in/company/MUFTI/consolidated/</v>
      </c>
      <c r="F309" s="4">
        <v>443059</v>
      </c>
      <c r="G309" s="4">
        <v>3832241897</v>
      </c>
      <c r="H309" s="6">
        <f t="shared" ca="1" si="6"/>
        <v>48286.247902199997</v>
      </c>
      <c r="I309" s="7" t="str">
        <f ca="1">IFERROR(__xludf.DUMMYFUNCTION("IMPORTXML(E309,""/html/body/main/div[3]/div[3]/div[2]/ul/li[5]/span[2]/span"")"),"Loading...")</f>
        <v>Loading...</v>
      </c>
      <c r="J309" s="7">
        <f ca="1">IFERROR(__xludf.DUMMYFUNCTION("GOOGLEFINANCE(""NSE:""&amp;D309,""marketcap"")"),8236631340)</f>
        <v>8236631340</v>
      </c>
      <c r="K309" s="7">
        <v>992.8</v>
      </c>
      <c r="L309" s="8">
        <f ca="1">IFERROR(__xludf.DUMMYFUNCTION("GOOGLEFINANCE(""NSE:""&amp;D309,""price"")"),126)</f>
        <v>126</v>
      </c>
      <c r="M309" s="9">
        <f t="shared" ca="1" si="7"/>
        <v>-866.8</v>
      </c>
      <c r="N309" s="10">
        <f t="shared" ca="1" si="8"/>
        <v>-87.308622078968583</v>
      </c>
      <c r="O309" s="7">
        <f ca="1">IFERROR(__xludf.DUMMYFUNCTION("GOOGLEFINANCE(""NSE:""&amp;D309,""pe"")"),12.56)</f>
        <v>12.56</v>
      </c>
      <c r="P309" s="7">
        <f ca="1">IFERROR(__xludf.DUMMYFUNCTION("GOOGLEFINANCE(""NSE:""&amp;D309,""EPS"")"),10.03)</f>
        <v>10.029999999999999</v>
      </c>
      <c r="Q309" s="7">
        <v>13.5</v>
      </c>
      <c r="R309" s="7" t="str">
        <f ca="1">IFERROR(__xludf.DUMMYFUNCTION("IMPORTXML(E309,""/html/body/main/div[3]/div[3]/div[2]/ul/li[7]/span[2]/span"")"),"Loading...")</f>
        <v>Loading...</v>
      </c>
      <c r="S309" s="7" t="str">
        <f ca="1">IFERROR(__xludf.DUMMYFUNCTION("IMPORTXML(E309,""/html/body/main/div[3]/div[3]/div[2]/ul/li[8]/span[2]/span"")"),"Loading...")</f>
        <v>Loading...</v>
      </c>
      <c r="T309" s="4">
        <v>34.6</v>
      </c>
      <c r="U309" s="4">
        <v>22.7</v>
      </c>
      <c r="V309" s="4">
        <v>2.6</v>
      </c>
      <c r="W309" s="4">
        <v>5.7</v>
      </c>
      <c r="X309" s="4">
        <v>519.92999999999995</v>
      </c>
      <c r="Y309" s="7">
        <f t="shared" ca="1" si="9"/>
        <v>-393.92999999999995</v>
      </c>
    </row>
    <row r="310" spans="1:25" ht="15" x14ac:dyDescent="0.25">
      <c r="A310" s="4">
        <v>1148</v>
      </c>
      <c r="C310" s="12" t="s">
        <v>1163</v>
      </c>
      <c r="D310" s="12" t="s">
        <v>1164</v>
      </c>
      <c r="E310" s="5" t="str">
        <f t="shared" si="5"/>
        <v>https://www.screener.in/company/CREATIVE/consolidated/</v>
      </c>
      <c r="F310" s="4">
        <v>443059</v>
      </c>
      <c r="G310" s="4">
        <v>3832241897</v>
      </c>
      <c r="H310" s="6">
        <f t="shared" ca="1" si="6"/>
        <v>244535.35544757001</v>
      </c>
      <c r="I310" s="7" t="str">
        <f ca="1">IFERROR(__xludf.DUMMYFUNCTION("IMPORTXML(E310,""/html/body/main/div[3]/div[3]/div[2]/ul/li[5]/span[2]/span"")"),"Loading...")</f>
        <v>Loading...</v>
      </c>
      <c r="J310" s="7">
        <f ca="1">IFERROR(__xludf.DUMMYFUNCTION("GOOGLEFINANCE(""NSE:""&amp;D310,""marketcap"")"),9005932482)</f>
        <v>9005932482</v>
      </c>
      <c r="K310" s="7">
        <v>992.8</v>
      </c>
      <c r="L310" s="8">
        <f ca="1">IFERROR(__xludf.DUMMYFUNCTION("GOOGLEFINANCE(""NSE:""&amp;D310,""price"")"),638.1)</f>
        <v>638.1</v>
      </c>
      <c r="M310" s="9">
        <f t="shared" ca="1" si="7"/>
        <v>-354.69999999999993</v>
      </c>
      <c r="N310" s="10">
        <f t="shared" ca="1" si="8"/>
        <v>-35.727236099919409</v>
      </c>
      <c r="O310" s="7">
        <f ca="1">IFERROR(__xludf.DUMMYFUNCTION("GOOGLEFINANCE(""NSE:""&amp;D310,""pe"")"),19.72)</f>
        <v>19.72</v>
      </c>
      <c r="P310" s="7">
        <f ca="1">IFERROR(__xludf.DUMMYFUNCTION("GOOGLEFINANCE(""NSE:""&amp;D310,""EPS"")"),32.36)</f>
        <v>32.36</v>
      </c>
      <c r="Q310" s="7">
        <v>13.5</v>
      </c>
      <c r="R310" s="7" t="str">
        <f ca="1">IFERROR(__xludf.DUMMYFUNCTION("IMPORTXML(E310,""/html/body/main/div[3]/div[3]/div[2]/ul/li[7]/span[2]/span"")"),"Loading...")</f>
        <v>Loading...</v>
      </c>
      <c r="S310" s="7" t="str">
        <f ca="1">IFERROR(__xludf.DUMMYFUNCTION("IMPORTXML(E310,""/html/body/main/div[3]/div[3]/div[2]/ul/li[8]/span[2]/span"")"),"Loading...")</f>
        <v>Loading...</v>
      </c>
      <c r="T310" s="4">
        <v>34.6</v>
      </c>
      <c r="U310" s="4">
        <v>22.7</v>
      </c>
      <c r="V310" s="4">
        <v>2.6</v>
      </c>
      <c r="W310" s="4">
        <v>5.7</v>
      </c>
      <c r="X310" s="4">
        <v>519.92999999999995</v>
      </c>
      <c r="Y310" s="7">
        <f t="shared" ca="1" si="9"/>
        <v>118.17000000000007</v>
      </c>
    </row>
    <row r="311" spans="1:25" ht="15" x14ac:dyDescent="0.25">
      <c r="A311" s="4">
        <v>449</v>
      </c>
      <c r="C311" s="12" t="s">
        <v>1165</v>
      </c>
      <c r="D311" s="12" t="s">
        <v>1166</v>
      </c>
      <c r="E311" s="5" t="str">
        <f t="shared" si="5"/>
        <v>https://www.screener.in/company/CEIGALL/consolidated/</v>
      </c>
      <c r="F311" s="4">
        <v>443059</v>
      </c>
      <c r="G311" s="4">
        <v>3832241897</v>
      </c>
      <c r="H311" s="6">
        <f t="shared" ca="1" si="6"/>
        <v>105003.42797780001</v>
      </c>
      <c r="I311" s="7" t="str">
        <f ca="1">IFERROR(__xludf.DUMMYFUNCTION("IMPORTXML(E311,""/html/body/main/div[3]/div[3]/div[2]/ul/li[5]/span[2]/span"")"),"Loading...")</f>
        <v>Loading...</v>
      </c>
      <c r="J311" s="7">
        <f ca="1">IFERROR(__xludf.DUMMYFUNCTION("GOOGLEFINANCE(""NSE:""&amp;D311,""marketcap"")"),47732115200)</f>
        <v>47732115200</v>
      </c>
      <c r="K311" s="7">
        <v>992.8</v>
      </c>
      <c r="L311" s="8">
        <f ca="1">IFERROR(__xludf.DUMMYFUNCTION("GOOGLEFINANCE(""NSE:""&amp;D311,""price"")"),274)</f>
        <v>274</v>
      </c>
      <c r="M311" s="9">
        <f t="shared" ca="1" si="7"/>
        <v>-718.8</v>
      </c>
      <c r="N311" s="10">
        <f t="shared" ca="1" si="8"/>
        <v>-72.401289282836416</v>
      </c>
      <c r="O311" s="7">
        <f ca="1">IFERROR(__xludf.DUMMYFUNCTION("GOOGLEFINANCE(""NSE:""&amp;D311,""pe"")"),18.01)</f>
        <v>18.010000000000002</v>
      </c>
      <c r="P311" s="7">
        <f ca="1">IFERROR(__xludf.DUMMYFUNCTION("GOOGLEFINANCE(""NSE:""&amp;D311,""EPS"")"),15.21)</f>
        <v>15.21</v>
      </c>
      <c r="Q311" s="7">
        <v>13.5</v>
      </c>
      <c r="R311" s="7" t="str">
        <f ca="1">IFERROR(__xludf.DUMMYFUNCTION("IMPORTXML(E311,""/html/body/main/div[3]/div[3]/div[2]/ul/li[7]/span[2]/span"")"),"Loading...")</f>
        <v>Loading...</v>
      </c>
      <c r="S311" s="7" t="str">
        <f ca="1">IFERROR(__xludf.DUMMYFUNCTION("IMPORTXML(E311,""/html/body/main/div[3]/div[3]/div[2]/ul/li[8]/span[2]/span"")"),"Loading...")</f>
        <v>Loading...</v>
      </c>
      <c r="T311" s="4">
        <v>34.6</v>
      </c>
      <c r="U311" s="4">
        <v>22.7</v>
      </c>
      <c r="V311" s="4">
        <v>2.6</v>
      </c>
      <c r="W311" s="4">
        <v>5.7</v>
      </c>
      <c r="X311" s="4">
        <v>519.92999999999995</v>
      </c>
      <c r="Y311" s="7">
        <f t="shared" ca="1" si="9"/>
        <v>-245.92999999999995</v>
      </c>
    </row>
    <row r="312" spans="1:25" ht="15" x14ac:dyDescent="0.25">
      <c r="A312" s="4">
        <v>581</v>
      </c>
      <c r="C312" s="12" t="s">
        <v>1167</v>
      </c>
      <c r="D312" s="12" t="s">
        <v>1168</v>
      </c>
      <c r="E312" s="5" t="str">
        <f t="shared" si="5"/>
        <v>https://www.screener.in/company/LGBBROSLTD/consolidated/</v>
      </c>
      <c r="F312" s="4">
        <v>443059</v>
      </c>
      <c r="G312" s="4">
        <v>3832241897</v>
      </c>
      <c r="H312" s="6">
        <f t="shared" ca="1" si="6"/>
        <v>523752.50006299006</v>
      </c>
      <c r="I312" s="7" t="str">
        <f ca="1">IFERROR(__xludf.DUMMYFUNCTION("IMPORTXML(E312,""/html/body/main/div[3]/div[3]/div[2]/ul/li[5]/span[2]/span"")"),"Loading...")</f>
        <v>Loading...</v>
      </c>
      <c r="J312" s="7">
        <f ca="1">IFERROR(__xludf.DUMMYFUNCTION("GOOGLEFINANCE(""NSE:""&amp;D312,""marketcap"")"),43437470000)</f>
        <v>43437470000</v>
      </c>
      <c r="K312" s="7">
        <v>992.8</v>
      </c>
      <c r="L312" s="8">
        <f ca="1">IFERROR(__xludf.DUMMYFUNCTION("GOOGLEFINANCE(""NSE:""&amp;D312,""price"")"),1366.7)</f>
        <v>1366.7</v>
      </c>
      <c r="M312" s="9">
        <f t="shared" ca="1" si="7"/>
        <v>373.90000000000009</v>
      </c>
      <c r="N312" s="10">
        <f t="shared" ca="1" si="8"/>
        <v>37.661160354552791</v>
      </c>
      <c r="O312" s="7">
        <f ca="1">IFERROR(__xludf.DUMMYFUNCTION("GOOGLEFINANCE(""NSE:""&amp;D312,""pe"")"),14.22)</f>
        <v>14.22</v>
      </c>
      <c r="P312" s="7">
        <f ca="1">IFERROR(__xludf.DUMMYFUNCTION("GOOGLEFINANCE(""NSE:""&amp;D312,""EPS"")"),96.08)</f>
        <v>96.08</v>
      </c>
      <c r="Q312" s="7">
        <v>13.5</v>
      </c>
      <c r="R312" s="7" t="str">
        <f ca="1">IFERROR(__xludf.DUMMYFUNCTION("IMPORTXML(E312,""/html/body/main/div[3]/div[3]/div[2]/ul/li[7]/span[2]/span"")"),"Loading...")</f>
        <v>Loading...</v>
      </c>
      <c r="S312" s="7" t="str">
        <f ca="1">IFERROR(__xludf.DUMMYFUNCTION("IMPORTXML(E312,""/html/body/main/div[3]/div[3]/div[2]/ul/li[8]/span[2]/span"")"),"Loading...")</f>
        <v>Loading...</v>
      </c>
      <c r="T312" s="4">
        <v>34.6</v>
      </c>
      <c r="U312" s="4">
        <v>22.7</v>
      </c>
      <c r="V312" s="4">
        <v>2.6</v>
      </c>
      <c r="W312" s="4">
        <v>5.7</v>
      </c>
      <c r="X312" s="4">
        <v>519.92999999999995</v>
      </c>
      <c r="Y312" s="7">
        <f t="shared" ca="1" si="9"/>
        <v>846.7700000000001</v>
      </c>
    </row>
    <row r="313" spans="1:25" ht="15" x14ac:dyDescent="0.25">
      <c r="A313" s="4">
        <v>691</v>
      </c>
      <c r="C313" s="12" t="s">
        <v>1169</v>
      </c>
      <c r="D313" s="12" t="s">
        <v>1170</v>
      </c>
      <c r="E313" s="5" t="str">
        <f t="shared" si="5"/>
        <v>https://www.screener.in/company/CAPACITE/consolidated/</v>
      </c>
      <c r="F313" s="4">
        <v>443059</v>
      </c>
      <c r="G313" s="4">
        <v>3832241897</v>
      </c>
      <c r="H313" s="6">
        <f t="shared" ca="1" si="6"/>
        <v>113051.1359615</v>
      </c>
      <c r="I313" s="7" t="str">
        <f ca="1">IFERROR(__xludf.DUMMYFUNCTION("IMPORTXML(E313,""/html/body/main/div[3]/div[3]/div[2]/ul/li[5]/span[2]/span"")"),"Loading...")</f>
        <v>Loading...</v>
      </c>
      <c r="J313" s="7">
        <f ca="1">IFERROR(__xludf.DUMMYFUNCTION("GOOGLEFINANCE(""NSE:""&amp;D313,""marketcap"")"),25131428669)</f>
        <v>25131428669</v>
      </c>
      <c r="K313" s="7">
        <v>992.8</v>
      </c>
      <c r="L313" s="8">
        <f ca="1">IFERROR(__xludf.DUMMYFUNCTION("GOOGLEFINANCE(""NSE:""&amp;D313,""price"")"),295)</f>
        <v>295</v>
      </c>
      <c r="M313" s="9">
        <f t="shared" ca="1" si="7"/>
        <v>-697.8</v>
      </c>
      <c r="N313" s="10">
        <f t="shared" ca="1" si="8"/>
        <v>-70.286059629331191</v>
      </c>
      <c r="O313" s="7">
        <f ca="1">IFERROR(__xludf.DUMMYFUNCTION("GOOGLEFINANCE(""NSE:""&amp;D313,""pe"")"),12.73)</f>
        <v>12.73</v>
      </c>
      <c r="P313" s="7">
        <f ca="1">IFERROR(__xludf.DUMMYFUNCTION("GOOGLEFINANCE(""NSE:""&amp;D313,""EPS"")"),23.17)</f>
        <v>23.17</v>
      </c>
      <c r="Q313" s="7">
        <v>13.5</v>
      </c>
      <c r="R313" s="7" t="str">
        <f ca="1">IFERROR(__xludf.DUMMYFUNCTION("IMPORTXML(E313,""/html/body/main/div[3]/div[3]/div[2]/ul/li[7]/span[2]/span"")"),"Loading...")</f>
        <v>Loading...</v>
      </c>
      <c r="S313" s="7" t="str">
        <f ca="1">IFERROR(__xludf.DUMMYFUNCTION("IMPORTXML(E313,""/html/body/main/div[3]/div[3]/div[2]/ul/li[8]/span[2]/span"")"),"Loading...")</f>
        <v>Loading...</v>
      </c>
      <c r="T313" s="4">
        <v>34.6</v>
      </c>
      <c r="U313" s="4">
        <v>22.7</v>
      </c>
      <c r="V313" s="4">
        <v>2.6</v>
      </c>
      <c r="W313" s="4">
        <v>5.7</v>
      </c>
      <c r="X313" s="4">
        <v>519.92999999999995</v>
      </c>
      <c r="Y313" s="7">
        <f t="shared" ca="1" si="9"/>
        <v>-224.92999999999995</v>
      </c>
    </row>
    <row r="314" spans="1:25" ht="15" x14ac:dyDescent="0.25">
      <c r="A314" s="4">
        <v>451</v>
      </c>
      <c r="C314" s="12" t="s">
        <v>1171</v>
      </c>
      <c r="D314" s="12" t="s">
        <v>1172</v>
      </c>
      <c r="E314" s="5" t="str">
        <f t="shared" si="5"/>
        <v>https://www.screener.in/company/VSTIND/consolidated/</v>
      </c>
      <c r="F314" s="4">
        <v>443059</v>
      </c>
      <c r="G314" s="4">
        <v>3832241897</v>
      </c>
      <c r="H314" s="6">
        <f t="shared" ca="1" si="6"/>
        <v>102991.500981875</v>
      </c>
      <c r="I314" s="7" t="str">
        <f ca="1">IFERROR(__xludf.DUMMYFUNCTION("IMPORTXML(E314,""/html/body/main/div[3]/div[3]/div[2]/ul/li[5]/span[2]/span"")"),"Loading...")</f>
        <v>Loading...</v>
      </c>
      <c r="J314" s="7">
        <f ca="1">IFERROR(__xludf.DUMMYFUNCTION("GOOGLEFINANCE(""NSE:""&amp;D314,""marketcap"")"),45564842500)</f>
        <v>45564842500</v>
      </c>
      <c r="K314" s="7">
        <v>992.8</v>
      </c>
      <c r="L314" s="8">
        <f ca="1">IFERROR(__xludf.DUMMYFUNCTION("GOOGLEFINANCE(""NSE:""&amp;D314,""price"")"),268.75)</f>
        <v>268.75</v>
      </c>
      <c r="M314" s="9">
        <f t="shared" ca="1" si="7"/>
        <v>-724.05</v>
      </c>
      <c r="N314" s="10">
        <f t="shared" ca="1" si="8"/>
        <v>-72.930096696212729</v>
      </c>
      <c r="O314" s="7">
        <f ca="1">IFERROR(__xludf.DUMMYFUNCTION("GOOGLEFINANCE(""NSE:""&amp;D314,""pe"")"),15.59)</f>
        <v>15.59</v>
      </c>
      <c r="P314" s="7">
        <f ca="1">IFERROR(__xludf.DUMMYFUNCTION("GOOGLEFINANCE(""NSE:""&amp;D314,""EPS"")"),17.24)</f>
        <v>17.239999999999998</v>
      </c>
      <c r="Q314" s="7">
        <v>13.5</v>
      </c>
      <c r="R314" s="7" t="str">
        <f ca="1">IFERROR(__xludf.DUMMYFUNCTION("IMPORTXML(E314,""/html/body/main/div[3]/div[3]/div[2]/ul/li[7]/span[2]/span"")"),"Loading...")</f>
        <v>Loading...</v>
      </c>
      <c r="S314" s="7" t="str">
        <f ca="1">IFERROR(__xludf.DUMMYFUNCTION("IMPORTXML(E314,""/html/body/main/div[3]/div[3]/div[2]/ul/li[8]/span[2]/span"")"),"Loading...")</f>
        <v>Loading...</v>
      </c>
      <c r="T314" s="4">
        <v>34.6</v>
      </c>
      <c r="U314" s="4">
        <v>22.7</v>
      </c>
      <c r="V314" s="4">
        <v>2.6</v>
      </c>
      <c r="W314" s="4">
        <v>5.7</v>
      </c>
      <c r="X314" s="4">
        <v>519.92999999999995</v>
      </c>
      <c r="Y314" s="7">
        <f t="shared" ca="1" si="9"/>
        <v>-251.17999999999995</v>
      </c>
    </row>
    <row r="315" spans="1:25" ht="15" x14ac:dyDescent="0.25">
      <c r="A315" s="4">
        <v>300</v>
      </c>
      <c r="C315" s="12" t="s">
        <v>1173</v>
      </c>
      <c r="D315" s="12" t="s">
        <v>1174</v>
      </c>
      <c r="E315" s="5" t="str">
        <f t="shared" si="5"/>
        <v>https://www.screener.in/company/JUSTDIAL/consolidated/</v>
      </c>
      <c r="F315" s="4">
        <v>443059</v>
      </c>
      <c r="G315" s="4">
        <v>3832241897</v>
      </c>
      <c r="H315" s="6">
        <f t="shared" ca="1" si="6"/>
        <v>313956.41741172498</v>
      </c>
      <c r="I315" s="7" t="str">
        <f ca="1">IFERROR(__xludf.DUMMYFUNCTION("IMPORTXML(E315,""/html/body/main/div[3]/div[3]/div[2]/ul/li[5]/span[2]/span"")"),"Loading...")</f>
        <v>Loading...</v>
      </c>
      <c r="J315" s="7">
        <f ca="1">IFERROR(__xludf.DUMMYFUNCTION("GOOGLEFINANCE(""NSE:""&amp;D315,""marketcap"")"),69825910000)</f>
        <v>69825910000</v>
      </c>
      <c r="K315" s="7">
        <v>992.8</v>
      </c>
      <c r="L315" s="8">
        <f ca="1">IFERROR(__xludf.DUMMYFUNCTION("GOOGLEFINANCE(""NSE:""&amp;D315,""price"")"),819.25)</f>
        <v>819.25</v>
      </c>
      <c r="M315" s="9">
        <f t="shared" ca="1" si="7"/>
        <v>-173.54999999999995</v>
      </c>
      <c r="N315" s="10">
        <f t="shared" ca="1" si="8"/>
        <v>-17.480862207896852</v>
      </c>
      <c r="O315" s="7">
        <f ca="1">IFERROR(__xludf.DUMMYFUNCTION("GOOGLEFINANCE(""NSE:""&amp;D315,""pe"")"),11.56)</f>
        <v>11.56</v>
      </c>
      <c r="P315" s="7">
        <f ca="1">IFERROR(__xludf.DUMMYFUNCTION("GOOGLEFINANCE(""NSE:""&amp;D315,""EPS"")"),70.86)</f>
        <v>70.86</v>
      </c>
      <c r="Q315" s="7">
        <v>13.5</v>
      </c>
      <c r="R315" s="7" t="str">
        <f ca="1">IFERROR(__xludf.DUMMYFUNCTION("IMPORTXML(E315,""/html/body/main/div[3]/div[3]/div[2]/ul/li[7]/span[2]/span"")"),"Loading...")</f>
        <v>Loading...</v>
      </c>
      <c r="S315" s="7" t="str">
        <f ca="1">IFERROR(__xludf.DUMMYFUNCTION("IMPORTXML(E315,""/html/body/main/div[3]/div[3]/div[2]/ul/li[8]/span[2]/span"")"),"Loading...")</f>
        <v>Loading...</v>
      </c>
      <c r="T315" s="4">
        <v>34.6</v>
      </c>
      <c r="U315" s="4">
        <v>22.7</v>
      </c>
      <c r="V315" s="4">
        <v>2.6</v>
      </c>
      <c r="W315" s="4">
        <v>5.7</v>
      </c>
      <c r="X315" s="4">
        <v>519.92999999999995</v>
      </c>
      <c r="Y315" s="7">
        <f t="shared" ca="1" si="9"/>
        <v>299.32000000000005</v>
      </c>
    </row>
    <row r="316" spans="1:25" ht="15" x14ac:dyDescent="0.25">
      <c r="A316" s="4">
        <v>204</v>
      </c>
      <c r="C316" s="12" t="s">
        <v>1175</v>
      </c>
      <c r="D316" s="12" t="s">
        <v>1176</v>
      </c>
      <c r="E316" s="5" t="str">
        <f t="shared" si="5"/>
        <v>https://www.screener.in/company/GPIL/consolidated/</v>
      </c>
      <c r="F316" s="4">
        <v>443059</v>
      </c>
      <c r="G316" s="4">
        <v>3832241897</v>
      </c>
      <c r="H316" s="6">
        <f t="shared" ca="1" si="6"/>
        <v>92985.517388808003</v>
      </c>
      <c r="I316" s="7" t="str">
        <f ca="1">IFERROR(__xludf.DUMMYFUNCTION("IMPORTXML(E316,""/html/body/main/div[3]/div[3]/div[2]/ul/li[5]/span[2]/span"")"),"Loading...")</f>
        <v>Loading...</v>
      </c>
      <c r="J316" s="7">
        <f ca="1">IFERROR(__xludf.DUMMYFUNCTION("GOOGLEFINANCE(""NSE:""&amp;D316,""marketcap"")"),162456036500)</f>
        <v>162456036500</v>
      </c>
      <c r="K316" s="7">
        <v>992.8</v>
      </c>
      <c r="L316" s="8">
        <f ca="1">IFERROR(__xludf.DUMMYFUNCTION("GOOGLEFINANCE(""NSE:""&amp;D316,""price"")"),242.64)</f>
        <v>242.64</v>
      </c>
      <c r="M316" s="9">
        <f t="shared" ca="1" si="7"/>
        <v>-750.16</v>
      </c>
      <c r="N316" s="10">
        <f t="shared" ca="1" si="8"/>
        <v>-75.56003223207091</v>
      </c>
      <c r="O316" s="7">
        <f ca="1">IFERROR(__xludf.DUMMYFUNCTION("GOOGLEFINANCE(""NSE:""&amp;D316,""pe"")"),20.22)</f>
        <v>20.22</v>
      </c>
      <c r="P316" s="7">
        <f ca="1">IFERROR(__xludf.DUMMYFUNCTION("GOOGLEFINANCE(""NSE:""&amp;D316,""EPS"")"),12)</f>
        <v>12</v>
      </c>
      <c r="Q316" s="7">
        <v>13.5</v>
      </c>
      <c r="R316" s="7" t="str">
        <f ca="1">IFERROR(__xludf.DUMMYFUNCTION("IMPORTXML(E316,""/html/body/main/div[3]/div[3]/div[2]/ul/li[7]/span[2]/span"")"),"Loading...")</f>
        <v>Loading...</v>
      </c>
      <c r="S316" s="7" t="str">
        <f ca="1">IFERROR(__xludf.DUMMYFUNCTION("IMPORTXML(E316,""/html/body/main/div[3]/div[3]/div[2]/ul/li[8]/span[2]/span"")"),"Loading...")</f>
        <v>Loading...</v>
      </c>
      <c r="T316" s="4">
        <v>34.6</v>
      </c>
      <c r="U316" s="4">
        <v>22.7</v>
      </c>
      <c r="V316" s="4">
        <v>2.6</v>
      </c>
      <c r="W316" s="4">
        <v>5.7</v>
      </c>
      <c r="X316" s="4">
        <v>519.92999999999995</v>
      </c>
      <c r="Y316" s="7">
        <f t="shared" ca="1" si="9"/>
        <v>-277.28999999999996</v>
      </c>
    </row>
    <row r="317" spans="1:25" ht="15" x14ac:dyDescent="0.25">
      <c r="A317" s="4">
        <v>1141</v>
      </c>
      <c r="C317" s="12" t="s">
        <v>1177</v>
      </c>
      <c r="D317" s="12" t="s">
        <v>1178</v>
      </c>
      <c r="E317" s="5" t="str">
        <f t="shared" si="5"/>
        <v>https://www.screener.in/company/ARROWGREEN/consolidated/</v>
      </c>
      <c r="F317" s="4">
        <v>443059</v>
      </c>
      <c r="G317" s="4">
        <v>3832241897</v>
      </c>
      <c r="H317" s="6">
        <f t="shared" ca="1" si="6"/>
        <v>220392.23149647002</v>
      </c>
      <c r="I317" s="7" t="str">
        <f ca="1">IFERROR(__xludf.DUMMYFUNCTION("IMPORTXML(E317,""/html/body/main/div[3]/div[3]/div[2]/ul/li[5]/span[2]/span"")"),"Loading...")</f>
        <v>Loading...</v>
      </c>
      <c r="J317" s="7">
        <f ca="1">IFERROR(__xludf.DUMMYFUNCTION("GOOGLEFINANCE(""NSE:""&amp;D317,""marketcap"")"),8677068174)</f>
        <v>8677068174</v>
      </c>
      <c r="K317" s="7">
        <v>992.8</v>
      </c>
      <c r="L317" s="8">
        <f ca="1">IFERROR(__xludf.DUMMYFUNCTION("GOOGLEFINANCE(""NSE:""&amp;D317,""price"")"),575.1)</f>
        <v>575.1</v>
      </c>
      <c r="M317" s="9">
        <f t="shared" ca="1" si="7"/>
        <v>-417.69999999999993</v>
      </c>
      <c r="N317" s="10">
        <f t="shared" ca="1" si="8"/>
        <v>-42.072925060435132</v>
      </c>
      <c r="O317" s="7">
        <f ca="1">IFERROR(__xludf.DUMMYFUNCTION("GOOGLEFINANCE(""NSE:""&amp;D317,""pe"")"),16.12)</f>
        <v>16.12</v>
      </c>
      <c r="P317" s="7">
        <f ca="1">IFERROR(__xludf.DUMMYFUNCTION("GOOGLEFINANCE(""NSE:""&amp;D317,""EPS"")"),35.68)</f>
        <v>35.68</v>
      </c>
      <c r="Q317" s="7">
        <v>13.5</v>
      </c>
      <c r="R317" s="7" t="str">
        <f ca="1">IFERROR(__xludf.DUMMYFUNCTION("IMPORTXML(E317,""/html/body/main/div[3]/div[3]/div[2]/ul/li[7]/span[2]/span"")"),"Loading...")</f>
        <v>Loading...</v>
      </c>
      <c r="S317" s="7" t="str">
        <f ca="1">IFERROR(__xludf.DUMMYFUNCTION("IMPORTXML(E317,""/html/body/main/div[3]/div[3]/div[2]/ul/li[8]/span[2]/span"")"),"Loading...")</f>
        <v>Loading...</v>
      </c>
      <c r="T317" s="4">
        <v>34.6</v>
      </c>
      <c r="U317" s="4">
        <v>22.7</v>
      </c>
      <c r="V317" s="4">
        <v>2.6</v>
      </c>
      <c r="W317" s="4">
        <v>5.7</v>
      </c>
      <c r="X317" s="4">
        <v>519.92999999999995</v>
      </c>
      <c r="Y317" s="7">
        <f t="shared" ca="1" si="9"/>
        <v>55.170000000000073</v>
      </c>
    </row>
    <row r="318" spans="1:25" ht="15" x14ac:dyDescent="0.25">
      <c r="A318" s="4">
        <v>1173</v>
      </c>
      <c r="C318" s="12" t="s">
        <v>1179</v>
      </c>
      <c r="D318" s="12" t="s">
        <v>1180</v>
      </c>
      <c r="E318" s="5" t="str">
        <f t="shared" si="5"/>
        <v>https://www.screener.in/company/GANESHBE/consolidated/</v>
      </c>
      <c r="F318" s="4">
        <v>443059</v>
      </c>
      <c r="G318" s="4">
        <v>3832241897</v>
      </c>
      <c r="H318" s="6">
        <f t="shared" ca="1" si="6"/>
        <v>37349.029528161998</v>
      </c>
      <c r="I318" s="7" t="str">
        <f ca="1">IFERROR(__xludf.DUMMYFUNCTION("IMPORTXML(E318,""/html/body/main/div[3]/div[3]/div[2]/ul/li[5]/span[2]/span"")"),"Loading...")</f>
        <v>Loading...</v>
      </c>
      <c r="J318" s="7">
        <f ca="1">IFERROR(__xludf.DUMMYFUNCTION("GOOGLEFINANCE(""NSE:""&amp;D318,""marketcap"")"),7016088807)</f>
        <v>7016088807</v>
      </c>
      <c r="K318" s="7">
        <v>992.8</v>
      </c>
      <c r="L318" s="8">
        <f ca="1">IFERROR(__xludf.DUMMYFUNCTION("GOOGLEFINANCE(""NSE:""&amp;D318,""price"")"),97.46)</f>
        <v>97.46</v>
      </c>
      <c r="M318" s="9">
        <f t="shared" ca="1" si="7"/>
        <v>-895.33999999999992</v>
      </c>
      <c r="N318" s="10">
        <f t="shared" ca="1" si="8"/>
        <v>-90.183319903303783</v>
      </c>
      <c r="O318" s="7">
        <f ca="1">IFERROR(__xludf.DUMMYFUNCTION("GOOGLEFINANCE(""NSE:""&amp;D318,""pe"")"),17.62)</f>
        <v>17.62</v>
      </c>
      <c r="P318" s="7">
        <f ca="1">IFERROR(__xludf.DUMMYFUNCTION("GOOGLEFINANCE(""NSE:""&amp;D318,""EPS"")"),5.53)</f>
        <v>5.53</v>
      </c>
      <c r="Q318" s="7">
        <v>13.5</v>
      </c>
      <c r="R318" s="7" t="str">
        <f ca="1">IFERROR(__xludf.DUMMYFUNCTION("IMPORTXML(E318,""/html/body/main/div[3]/div[3]/div[2]/ul/li[7]/span[2]/span"")"),"Loading...")</f>
        <v>Loading...</v>
      </c>
      <c r="S318" s="7" t="str">
        <f ca="1">IFERROR(__xludf.DUMMYFUNCTION("IMPORTXML(E318,""/html/body/main/div[3]/div[3]/div[2]/ul/li[8]/span[2]/span"")"),"Loading...")</f>
        <v>Loading...</v>
      </c>
      <c r="T318" s="4">
        <v>34.6</v>
      </c>
      <c r="U318" s="4">
        <v>22.7</v>
      </c>
      <c r="V318" s="4">
        <v>2.6</v>
      </c>
      <c r="W318" s="4">
        <v>5.7</v>
      </c>
      <c r="X318" s="4">
        <v>519.92999999999995</v>
      </c>
      <c r="Y318" s="7">
        <f t="shared" ca="1" si="9"/>
        <v>-422.46999999999997</v>
      </c>
    </row>
    <row r="319" spans="1:25" ht="15" x14ac:dyDescent="0.25">
      <c r="A319" s="4">
        <v>634</v>
      </c>
      <c r="C319" s="12" t="s">
        <v>1181</v>
      </c>
      <c r="D319" s="12" t="s">
        <v>1182</v>
      </c>
      <c r="E319" s="5" t="str">
        <f t="shared" si="5"/>
        <v>https://www.screener.in/company/SANGHVIMOV/consolidated/</v>
      </c>
      <c r="F319" s="4">
        <v>443059</v>
      </c>
      <c r="G319" s="4">
        <v>3832241897</v>
      </c>
      <c r="H319" s="6">
        <f t="shared" ca="1" si="6"/>
        <v>127996.8793598</v>
      </c>
      <c r="I319" s="7" t="str">
        <f ca="1">IFERROR(__xludf.DUMMYFUNCTION("IMPORTXML(E319,""/html/body/main/div[3]/div[3]/div[2]/ul/li[5]/span[2]/span"")"),"Loading...")</f>
        <v>Loading...</v>
      </c>
      <c r="J319" s="7">
        <f ca="1">IFERROR(__xludf.DUMMYFUNCTION("GOOGLEFINANCE(""NSE:""&amp;D319,""marketcap"")"),28933700000)</f>
        <v>28933700000</v>
      </c>
      <c r="K319" s="7">
        <v>992.8</v>
      </c>
      <c r="L319" s="8">
        <f ca="1">IFERROR(__xludf.DUMMYFUNCTION("GOOGLEFINANCE(""NSE:""&amp;D319,""price"")"),334)</f>
        <v>334</v>
      </c>
      <c r="M319" s="9">
        <f t="shared" ca="1" si="7"/>
        <v>-658.8</v>
      </c>
      <c r="N319" s="10">
        <f t="shared" ca="1" si="8"/>
        <v>-66.357775987107175</v>
      </c>
      <c r="O319" s="7">
        <f ca="1">IFERROR(__xludf.DUMMYFUNCTION("GOOGLEFINANCE(""NSE:""&amp;D319,""pe"")"),17.4)</f>
        <v>17.399999999999999</v>
      </c>
      <c r="P319" s="7">
        <f ca="1">IFERROR(__xludf.DUMMYFUNCTION("GOOGLEFINANCE(""NSE:""&amp;D319,""EPS"")"),19.2)</f>
        <v>19.2</v>
      </c>
      <c r="Q319" s="7">
        <v>13.5</v>
      </c>
      <c r="R319" s="7" t="str">
        <f ca="1">IFERROR(__xludf.DUMMYFUNCTION("IMPORTXML(E319,""/html/body/main/div[3]/div[3]/div[2]/ul/li[7]/span[2]/span"")"),"Loading...")</f>
        <v>Loading...</v>
      </c>
      <c r="S319" s="7" t="str">
        <f ca="1">IFERROR(__xludf.DUMMYFUNCTION("IMPORTXML(E319,""/html/body/main/div[3]/div[3]/div[2]/ul/li[8]/span[2]/span"")"),"Loading...")</f>
        <v>Loading...</v>
      </c>
      <c r="T319" s="4">
        <v>34.6</v>
      </c>
      <c r="U319" s="4">
        <v>22.7</v>
      </c>
      <c r="V319" s="4">
        <v>2.6</v>
      </c>
      <c r="W319" s="4">
        <v>5.7</v>
      </c>
      <c r="X319" s="4">
        <v>519.92999999999995</v>
      </c>
      <c r="Y319" s="7">
        <f t="shared" ca="1" si="9"/>
        <v>-185.92999999999995</v>
      </c>
    </row>
    <row r="320" spans="1:25" ht="15" x14ac:dyDescent="0.25">
      <c r="A320" s="4">
        <v>2219</v>
      </c>
      <c r="C320" s="12" t="s">
        <v>1183</v>
      </c>
      <c r="D320" s="12" t="s">
        <v>1184</v>
      </c>
      <c r="E320" s="5" t="str">
        <f t="shared" si="5"/>
        <v>https://www.screener.in/company/PATINTLOG/consolidated/</v>
      </c>
      <c r="F320" s="4">
        <v>443059</v>
      </c>
      <c r="G320" s="4">
        <v>3832241897</v>
      </c>
      <c r="H320" s="6">
        <f t="shared" ca="1" si="6"/>
        <v>5687.0469751479995</v>
      </c>
      <c r="I320" s="7">
        <f ca="1">IFERROR(__xludf.DUMMYFUNCTION("IMPORTXML(E320,""/html/body/main/div[3]/div[3]/div[2]/ul/li[5]/span[2]/span"")"),17.9)</f>
        <v>17.899999999999999</v>
      </c>
      <c r="J320" s="7">
        <f ca="1">IFERROR(__xludf.DUMMYFUNCTION("GOOGLEFINANCE(""NSE:""&amp;D320,""marketcap"")"),1026390000)</f>
        <v>1026390000</v>
      </c>
      <c r="K320" s="7">
        <v>992.8</v>
      </c>
      <c r="L320" s="8">
        <f ca="1">IFERROR(__xludf.DUMMYFUNCTION("GOOGLEFINANCE(""NSE:""&amp;D320,""price"")"),14.84)</f>
        <v>14.84</v>
      </c>
      <c r="M320" s="9">
        <f t="shared" ca="1" si="7"/>
        <v>-977.95999999999992</v>
      </c>
      <c r="N320" s="10">
        <f t="shared" ca="1" si="8"/>
        <v>-98.505237711522966</v>
      </c>
      <c r="O320" s="7">
        <f ca="1">IFERROR(__xludf.DUMMYFUNCTION("GOOGLEFINANCE(""NSE:""&amp;D320,""pe"")"),13.51)</f>
        <v>13.51</v>
      </c>
      <c r="P320" s="7">
        <f ca="1">IFERROR(__xludf.DUMMYFUNCTION("GOOGLEFINANCE(""NSE:""&amp;D320,""EPS"")"),1.1)</f>
        <v>1.1000000000000001</v>
      </c>
      <c r="Q320" s="7">
        <v>13.5</v>
      </c>
      <c r="R320" s="7" t="str">
        <f ca="1">IFERROR(__xludf.DUMMYFUNCTION("IMPORTXML(E320,""/html/body/main/div[3]/div[3]/div[2]/ul/li[7]/span[2]/span"")"),"Loading...")</f>
        <v>Loading...</v>
      </c>
      <c r="S320" s="7" t="str">
        <f ca="1">IFERROR(__xludf.DUMMYFUNCTION("IMPORTXML(E320,""/html/body/main/div[3]/div[3]/div[2]/ul/li[8]/span[2]/span"")"),"Loading...")</f>
        <v>Loading...</v>
      </c>
      <c r="T320" s="4">
        <v>34.6</v>
      </c>
      <c r="U320" s="4">
        <v>22.7</v>
      </c>
      <c r="V320" s="4">
        <v>2.6</v>
      </c>
      <c r="W320" s="4">
        <v>5.7</v>
      </c>
      <c r="X320" s="4">
        <v>519.92999999999995</v>
      </c>
      <c r="Y320" s="7">
        <f t="shared" ca="1" si="9"/>
        <v>-505.09</v>
      </c>
    </row>
    <row r="321" spans="1:25" ht="15" x14ac:dyDescent="0.25">
      <c r="A321" s="4">
        <v>2001</v>
      </c>
      <c r="C321" s="12" t="s">
        <v>1185</v>
      </c>
      <c r="D321" s="12" t="s">
        <v>1186</v>
      </c>
      <c r="E321" s="5" t="str">
        <f t="shared" si="5"/>
        <v>https://www.screener.in/company/IVP/consolidated/</v>
      </c>
      <c r="F321" s="4">
        <v>443059</v>
      </c>
      <c r="G321" s="4">
        <v>3832241897</v>
      </c>
      <c r="H321" s="6">
        <f t="shared" ca="1" si="6"/>
        <v>64059.755550252004</v>
      </c>
      <c r="I321" s="7" t="str">
        <f ca="1">IFERROR(__xludf.DUMMYFUNCTION("IMPORTXML(E321,""/html/body/main/div[3]/div[3]/div[2]/ul/li[5]/span[2]/span"")"),"Loading...")</f>
        <v>Loading...</v>
      </c>
      <c r="J321" s="7">
        <f ca="1">IFERROR(__xludf.DUMMYFUNCTION("GOOGLEFINANCE(""NSE:""&amp;D321,""marketcap"")"),1750921000)</f>
        <v>1750921000</v>
      </c>
      <c r="K321" s="7">
        <v>992.8</v>
      </c>
      <c r="L321" s="8">
        <f ca="1">IFERROR(__xludf.DUMMYFUNCTION("GOOGLEFINANCE(""NSE:""&amp;D321,""price"")"),167.16)</f>
        <v>167.16</v>
      </c>
      <c r="M321" s="9">
        <f t="shared" ca="1" si="7"/>
        <v>-825.64</v>
      </c>
      <c r="N321" s="10">
        <f t="shared" ca="1" si="8"/>
        <v>-83.162771958098318</v>
      </c>
      <c r="O321" s="7">
        <f ca="1">IFERROR(__xludf.DUMMYFUNCTION("GOOGLEFINANCE(""NSE:""&amp;D321,""pe"")"),19.04)</f>
        <v>19.04</v>
      </c>
      <c r="P321" s="7">
        <f ca="1">IFERROR(__xludf.DUMMYFUNCTION("GOOGLEFINANCE(""NSE:""&amp;D321,""EPS"")"),8.78)</f>
        <v>8.7799999999999994</v>
      </c>
      <c r="Q321" s="7">
        <v>13.5</v>
      </c>
      <c r="R321" s="7" t="str">
        <f ca="1">IFERROR(__xludf.DUMMYFUNCTION("IMPORTXML(E321,""/html/body/main/div[3]/div[3]/div[2]/ul/li[7]/span[2]/span"")"),"Loading...")</f>
        <v>Loading...</v>
      </c>
      <c r="S321" s="7" t="str">
        <f ca="1">IFERROR(__xludf.DUMMYFUNCTION("IMPORTXML(E321,""/html/body/main/div[3]/div[3]/div[2]/ul/li[8]/span[2]/span"")"),"Loading...")</f>
        <v>Loading...</v>
      </c>
      <c r="T321" s="4">
        <v>34.6</v>
      </c>
      <c r="U321" s="4">
        <v>22.7</v>
      </c>
      <c r="V321" s="4">
        <v>2.6</v>
      </c>
      <c r="W321" s="4">
        <v>5.7</v>
      </c>
      <c r="X321" s="4">
        <v>519.92999999999995</v>
      </c>
      <c r="Y321" s="7">
        <f t="shared" ca="1" si="9"/>
        <v>-352.77</v>
      </c>
    </row>
    <row r="322" spans="1:25" ht="15" x14ac:dyDescent="0.25">
      <c r="A322" s="4">
        <v>1610</v>
      </c>
      <c r="C322" s="12" t="s">
        <v>1187</v>
      </c>
      <c r="D322" s="12" t="s">
        <v>1188</v>
      </c>
      <c r="E322" s="5" t="str">
        <f t="shared" si="5"/>
        <v>https://www.screener.in/company/AIRAN/consolidated/</v>
      </c>
      <c r="F322" s="4">
        <v>443059</v>
      </c>
      <c r="G322" s="4">
        <v>3832241897</v>
      </c>
      <c r="H322" s="6">
        <f t="shared" ca="1" si="6"/>
        <v>9829.7004658049991</v>
      </c>
      <c r="I322" s="7" t="str">
        <f ca="1">IFERROR(__xludf.DUMMYFUNCTION("IMPORTXML(E322,""/html/body/main/div[3]/div[3]/div[2]/ul/li[5]/span[2]/span"")"),"Loading...")</f>
        <v>Loading...</v>
      </c>
      <c r="J322" s="7">
        <f ca="1">IFERROR(__xludf.DUMMYFUNCTION("GOOGLEFINANCE(""NSE:""&amp;D322,""marketcap"")"),3206762952)</f>
        <v>3206762952</v>
      </c>
      <c r="K322" s="7">
        <v>992.8</v>
      </c>
      <c r="L322" s="8">
        <f ca="1">IFERROR(__xludf.DUMMYFUNCTION("GOOGLEFINANCE(""NSE:""&amp;D322,""price"")"),25.65)</f>
        <v>25.65</v>
      </c>
      <c r="M322" s="9">
        <f t="shared" ca="1" si="7"/>
        <v>-967.15</v>
      </c>
      <c r="N322" s="10">
        <f t="shared" ca="1" si="8"/>
        <v>-97.416398066075743</v>
      </c>
      <c r="O322" s="7" t="str">
        <f ca="1">IFERROR(__xludf.DUMMYFUNCTION("GOOGLEFINANCE(""NSE:""&amp;D322,""pe"")"),"#N/A")</f>
        <v>#N/A</v>
      </c>
      <c r="P322" s="7">
        <f ca="1">IFERROR(__xludf.DUMMYFUNCTION("GOOGLEFINANCE(""NSE:""&amp;D322,""EPS"")"),-0.02)</f>
        <v>-0.02</v>
      </c>
      <c r="Q322" s="7">
        <v>13.5</v>
      </c>
      <c r="R322" s="7" t="str">
        <f ca="1">IFERROR(__xludf.DUMMYFUNCTION("IMPORTXML(E322,""/html/body/main/div[3]/div[3]/div[2]/ul/li[7]/span[2]/span"")"),"Loading...")</f>
        <v>Loading...</v>
      </c>
      <c r="S322" s="7" t="str">
        <f ca="1">IFERROR(__xludf.DUMMYFUNCTION("IMPORTXML(E322,""/html/body/main/div[3]/div[3]/div[2]/ul/li[8]/span[2]/span"")"),"Loading...")</f>
        <v>Loading...</v>
      </c>
      <c r="T322" s="4">
        <v>34.6</v>
      </c>
      <c r="U322" s="4">
        <v>22.7</v>
      </c>
      <c r="V322" s="4">
        <v>2.6</v>
      </c>
      <c r="W322" s="4">
        <v>5.7</v>
      </c>
      <c r="X322" s="4">
        <v>519.92999999999995</v>
      </c>
      <c r="Y322" s="7">
        <f t="shared" ca="1" si="9"/>
        <v>-494.28</v>
      </c>
    </row>
    <row r="323" spans="1:25" ht="15" x14ac:dyDescent="0.25">
      <c r="A323" s="4">
        <v>933</v>
      </c>
      <c r="C323" s="12" t="s">
        <v>1189</v>
      </c>
      <c r="D323" s="12" t="s">
        <v>1190</v>
      </c>
      <c r="E323" s="5" t="str">
        <f t="shared" si="5"/>
        <v>https://www.screener.in/company/IGPL/consolidated/</v>
      </c>
      <c r="F323" s="4">
        <v>443059</v>
      </c>
      <c r="G323" s="4">
        <v>3832241897</v>
      </c>
      <c r="H323" s="6">
        <f t="shared" ca="1" si="6"/>
        <v>168235.41927829999</v>
      </c>
      <c r="I323" s="7" t="str">
        <f ca="1">IFERROR(__xludf.DUMMYFUNCTION("IMPORTXML(E323,""/html/body/main/div[3]/div[3]/div[2]/ul/li[5]/span[2]/span"")"),"Loading...")</f>
        <v>Loading...</v>
      </c>
      <c r="J323" s="7">
        <f ca="1">IFERROR(__xludf.DUMMYFUNCTION("GOOGLEFINANCE(""NSE:""&amp;D323,""marketcap"")"),13552810000)</f>
        <v>13552810000</v>
      </c>
      <c r="K323" s="7">
        <v>992.8</v>
      </c>
      <c r="L323" s="8">
        <f ca="1">IFERROR(__xludf.DUMMYFUNCTION("GOOGLEFINANCE(""NSE:""&amp;D323,""price"")"),439)</f>
        <v>439</v>
      </c>
      <c r="M323" s="9">
        <f t="shared" ca="1" si="7"/>
        <v>-553.79999999999995</v>
      </c>
      <c r="N323" s="10">
        <f t="shared" ca="1" si="8"/>
        <v>-55.781627719580982</v>
      </c>
      <c r="O323" s="7">
        <f ca="1">IFERROR(__xludf.DUMMYFUNCTION("GOOGLEFINANCE(""NSE:""&amp;D323,""pe"")"),22.28)</f>
        <v>22.28</v>
      </c>
      <c r="P323" s="7">
        <f ca="1">IFERROR(__xludf.DUMMYFUNCTION("GOOGLEFINANCE(""NSE:""&amp;D323,""EPS"")"),19.71)</f>
        <v>19.71</v>
      </c>
      <c r="Q323" s="7">
        <v>13.5</v>
      </c>
      <c r="R323" s="7" t="str">
        <f ca="1">IFERROR(__xludf.DUMMYFUNCTION("IMPORTXML(E323,""/html/body/main/div[3]/div[3]/div[2]/ul/li[7]/span[2]/span"")"),"Loading...")</f>
        <v>Loading...</v>
      </c>
      <c r="S323" s="7" t="str">
        <f ca="1">IFERROR(__xludf.DUMMYFUNCTION("IMPORTXML(E323,""/html/body/main/div[3]/div[3]/div[2]/ul/li[8]/span[2]/span"")"),"Loading...")</f>
        <v>Loading...</v>
      </c>
      <c r="T323" s="4">
        <v>34.6</v>
      </c>
      <c r="U323" s="4">
        <v>22.7</v>
      </c>
      <c r="V323" s="4">
        <v>2.6</v>
      </c>
      <c r="W323" s="4">
        <v>5.7</v>
      </c>
      <c r="X323" s="4">
        <v>519.92999999999995</v>
      </c>
      <c r="Y323" s="7">
        <f t="shared" ca="1" si="9"/>
        <v>-80.92999999999995</v>
      </c>
    </row>
    <row r="324" spans="1:25" ht="15" x14ac:dyDescent="0.25">
      <c r="A324" s="4">
        <v>123</v>
      </c>
      <c r="C324" s="12" t="s">
        <v>1191</v>
      </c>
      <c r="D324" s="12" t="s">
        <v>1192</v>
      </c>
      <c r="E324" s="5" t="str">
        <f t="shared" si="5"/>
        <v>https://www.screener.in/company/FINPIPE/consolidated/</v>
      </c>
      <c r="F324" s="4">
        <v>443059</v>
      </c>
      <c r="G324" s="4">
        <v>3832241897</v>
      </c>
      <c r="H324" s="6">
        <f t="shared" ca="1" si="6"/>
        <v>81971.654176830009</v>
      </c>
      <c r="I324" s="7" t="str">
        <f ca="1">IFERROR(__xludf.DUMMYFUNCTION("IMPORTXML(E324,""/html/body/main/div[3]/div[3]/div[2]/ul/li[5]/span[2]/span"")"),"Loading...")</f>
        <v>Loading...</v>
      </c>
      <c r="J324" s="7">
        <f ca="1">IFERROR(__xludf.DUMMYFUNCTION("GOOGLEFINANCE(""NSE:""&amp;D324,""marketcap"")"),132152200000)</f>
        <v>132152200000</v>
      </c>
      <c r="K324" s="7">
        <v>992.8</v>
      </c>
      <c r="L324" s="8">
        <f ca="1">IFERROR(__xludf.DUMMYFUNCTION("GOOGLEFINANCE(""NSE:""&amp;D324,""price"")"),213.9)</f>
        <v>213.9</v>
      </c>
      <c r="M324" s="9">
        <f t="shared" ca="1" si="7"/>
        <v>-778.9</v>
      </c>
      <c r="N324" s="10">
        <f t="shared" ca="1" si="8"/>
        <v>-78.454875100725218</v>
      </c>
      <c r="O324" s="7">
        <f ca="1">IFERROR(__xludf.DUMMYFUNCTION("GOOGLEFINANCE(""NSE:""&amp;D324,""pe"")"),33.27)</f>
        <v>33.270000000000003</v>
      </c>
      <c r="P324" s="7">
        <f ca="1">IFERROR(__xludf.DUMMYFUNCTION("GOOGLEFINANCE(""NSE:""&amp;D324,""EPS"")"),6.43)</f>
        <v>6.43</v>
      </c>
      <c r="Q324" s="7">
        <v>13.5</v>
      </c>
      <c r="R324" s="7" t="str">
        <f ca="1">IFERROR(__xludf.DUMMYFUNCTION("IMPORTXML(E324,""/html/body/main/div[3]/div[3]/div[2]/ul/li[7]/span[2]/span"")"),"Loading...")</f>
        <v>Loading...</v>
      </c>
      <c r="S324" s="7" t="str">
        <f ca="1">IFERROR(__xludf.DUMMYFUNCTION("IMPORTXML(E324,""/html/body/main/div[3]/div[3]/div[2]/ul/li[8]/span[2]/span"")"),"Loading...")</f>
        <v>Loading...</v>
      </c>
      <c r="T324" s="4">
        <v>34.6</v>
      </c>
      <c r="U324" s="4">
        <v>22.7</v>
      </c>
      <c r="V324" s="4">
        <v>2.6</v>
      </c>
      <c r="W324" s="4">
        <v>5.7</v>
      </c>
      <c r="X324" s="4">
        <v>519.92999999999995</v>
      </c>
      <c r="Y324" s="7">
        <f t="shared" ca="1" si="9"/>
        <v>-306.02999999999997</v>
      </c>
    </row>
    <row r="325" spans="1:25" ht="15" x14ac:dyDescent="0.25">
      <c r="A325" s="4">
        <v>1675</v>
      </c>
      <c r="C325" s="12" t="s">
        <v>1193</v>
      </c>
      <c r="D325" s="12" t="s">
        <v>1194</v>
      </c>
      <c r="E325" s="5" t="str">
        <f t="shared" si="5"/>
        <v>https://www.screener.in/company/SAHYADRI/consolidated/</v>
      </c>
      <c r="F325" s="4">
        <v>443059</v>
      </c>
      <c r="G325" s="4">
        <v>3832241897</v>
      </c>
      <c r="H325" s="6">
        <f t="shared" ca="1" si="6"/>
        <v>107915.93181952</v>
      </c>
      <c r="I325" s="7" t="str">
        <f ca="1">IFERROR(__xludf.DUMMYFUNCTION("IMPORTXML(E325,""/html/body/main/div[3]/div[3]/div[2]/ul/li[5]/span[2]/span"")"),"Loading...")</f>
        <v>Loading...</v>
      </c>
      <c r="J325" s="7">
        <f ca="1">IFERROR(__xludf.DUMMYFUNCTION("GOOGLEFINANCE(""NSE:""&amp;D325,""marketcap"")"),3082475330)</f>
        <v>3082475330</v>
      </c>
      <c r="K325" s="7">
        <v>992.8</v>
      </c>
      <c r="L325" s="8">
        <f ca="1">IFERROR(__xludf.DUMMYFUNCTION("GOOGLEFINANCE(""NSE:""&amp;D325,""price"")"),281.6)</f>
        <v>281.60000000000002</v>
      </c>
      <c r="M325" s="9">
        <f t="shared" ca="1" si="7"/>
        <v>-711.19999999999993</v>
      </c>
      <c r="N325" s="10">
        <f t="shared" ca="1" si="8"/>
        <v>-71.635777598710717</v>
      </c>
      <c r="O325" s="7">
        <f ca="1">IFERROR(__xludf.DUMMYFUNCTION("GOOGLEFINANCE(""NSE:""&amp;D325,""pe"")"),17.37)</f>
        <v>17.37</v>
      </c>
      <c r="P325" s="7">
        <f ca="1">IFERROR(__xludf.DUMMYFUNCTION("GOOGLEFINANCE(""NSE:""&amp;D325,""EPS"")"),16.21)</f>
        <v>16.21</v>
      </c>
      <c r="Q325" s="7">
        <v>13.5</v>
      </c>
      <c r="R325" s="7" t="str">
        <f ca="1">IFERROR(__xludf.DUMMYFUNCTION("IMPORTXML(E325,""/html/body/main/div[3]/div[3]/div[2]/ul/li[7]/span[2]/span"")"),"Loading...")</f>
        <v>Loading...</v>
      </c>
      <c r="S325" s="7" t="str">
        <f ca="1">IFERROR(__xludf.DUMMYFUNCTION("IMPORTXML(E325,""/html/body/main/div[3]/div[3]/div[2]/ul/li[8]/span[2]/span"")"),"Loading...")</f>
        <v>Loading...</v>
      </c>
      <c r="T325" s="4">
        <v>34.6</v>
      </c>
      <c r="U325" s="4">
        <v>22.7</v>
      </c>
      <c r="V325" s="4">
        <v>2.6</v>
      </c>
      <c r="W325" s="4">
        <v>5.7</v>
      </c>
      <c r="X325" s="4">
        <v>519.92999999999995</v>
      </c>
      <c r="Y325" s="7">
        <f t="shared" ca="1" si="9"/>
        <v>-238.32999999999993</v>
      </c>
    </row>
    <row r="326" spans="1:25" ht="15" x14ac:dyDescent="0.25">
      <c r="A326" s="4">
        <v>1592</v>
      </c>
      <c r="C326" s="12" t="s">
        <v>1195</v>
      </c>
      <c r="D326" s="12" t="s">
        <v>1196</v>
      </c>
      <c r="E326" s="5" t="str">
        <f t="shared" si="5"/>
        <v>https://www.screener.in/company/RUBFILA/consolidated/</v>
      </c>
      <c r="F326" s="4">
        <v>443059</v>
      </c>
      <c r="G326" s="4">
        <v>3832241897</v>
      </c>
      <c r="H326" s="6">
        <f t="shared" ca="1" si="6"/>
        <v>33436.310551324998</v>
      </c>
      <c r="I326" s="7" t="str">
        <f ca="1">IFERROR(__xludf.DUMMYFUNCTION("IMPORTXML(E326,""/html/body/main/div[3]/div[3]/div[2]/ul/li[5]/span[2]/span"")"),"Loading...")</f>
        <v>Loading...</v>
      </c>
      <c r="J326" s="7">
        <f ca="1">IFERROR(__xludf.DUMMYFUNCTION("GOOGLEFINANCE(""NSE:""&amp;D326,""marketcap"")"),4653971726)</f>
        <v>4653971726</v>
      </c>
      <c r="K326" s="7">
        <v>992.8</v>
      </c>
      <c r="L326" s="8">
        <f ca="1">IFERROR(__xludf.DUMMYFUNCTION("GOOGLEFINANCE(""NSE:""&amp;D326,""price"")"),87.25)</f>
        <v>87.25</v>
      </c>
      <c r="M326" s="9">
        <f t="shared" ca="1" si="7"/>
        <v>-905.55</v>
      </c>
      <c r="N326" s="10">
        <f t="shared" ca="1" si="8"/>
        <v>-91.211724415793711</v>
      </c>
      <c r="O326" s="7">
        <f ca="1">IFERROR(__xludf.DUMMYFUNCTION("GOOGLEFINANCE(""NSE:""&amp;D326,""pe"")"),16.07)</f>
        <v>16.07</v>
      </c>
      <c r="P326" s="7">
        <f ca="1">IFERROR(__xludf.DUMMYFUNCTION("GOOGLEFINANCE(""NSE:""&amp;D326,""EPS"")"),5.43)</f>
        <v>5.43</v>
      </c>
      <c r="Q326" s="7">
        <v>13.5</v>
      </c>
      <c r="R326" s="7" t="str">
        <f ca="1">IFERROR(__xludf.DUMMYFUNCTION("IMPORTXML(E326,""/html/body/main/div[3]/div[3]/div[2]/ul/li[7]/span[2]/span"")"),"Loading...")</f>
        <v>Loading...</v>
      </c>
      <c r="S326" s="7" t="str">
        <f ca="1">IFERROR(__xludf.DUMMYFUNCTION("IMPORTXML(E326,""/html/body/main/div[3]/div[3]/div[2]/ul/li[8]/span[2]/span"")"),"Loading...")</f>
        <v>Loading...</v>
      </c>
      <c r="T326" s="4">
        <v>34.6</v>
      </c>
      <c r="U326" s="4">
        <v>22.7</v>
      </c>
      <c r="V326" s="4">
        <v>2.6</v>
      </c>
      <c r="W326" s="4">
        <v>5.7</v>
      </c>
      <c r="X326" s="4">
        <v>519.92999999999995</v>
      </c>
      <c r="Y326" s="7">
        <f t="shared" ca="1" si="9"/>
        <v>-432.67999999999995</v>
      </c>
    </row>
    <row r="327" spans="1:25" ht="15" x14ac:dyDescent="0.25">
      <c r="A327" s="4">
        <v>748</v>
      </c>
      <c r="C327" s="12" t="s">
        <v>1197</v>
      </c>
      <c r="D327" s="12" t="s">
        <v>1198</v>
      </c>
      <c r="E327" s="5" t="str">
        <f t="shared" si="5"/>
        <v>https://www.screener.in/company/FILATEX/consolidated/</v>
      </c>
      <c r="F327" s="4">
        <v>443059</v>
      </c>
      <c r="G327" s="4">
        <v>3832241897</v>
      </c>
      <c r="H327" s="6">
        <f t="shared" ca="1" si="6"/>
        <v>21173.136480925001</v>
      </c>
      <c r="I327" s="7" t="str">
        <f ca="1">IFERROR(__xludf.DUMMYFUNCTION("IMPORTXML(E327,""/html/body/main/div[3]/div[3]/div[2]/ul/li[5]/span[2]/span"")"),"Loading...")</f>
        <v>Loading...</v>
      </c>
      <c r="J327" s="7">
        <f ca="1">IFERROR(__xludf.DUMMYFUNCTION("GOOGLEFINANCE(""NSE:""&amp;D327,""marketcap"")"),24523010850)</f>
        <v>24523010850</v>
      </c>
      <c r="K327" s="7">
        <v>992.8</v>
      </c>
      <c r="L327" s="8">
        <f ca="1">IFERROR(__xludf.DUMMYFUNCTION("GOOGLEFINANCE(""NSE:""&amp;D327,""price"")"),55.25)</f>
        <v>55.25</v>
      </c>
      <c r="M327" s="9">
        <f t="shared" ca="1" si="7"/>
        <v>-937.55</v>
      </c>
      <c r="N327" s="10">
        <f t="shared" ca="1" si="8"/>
        <v>-94.434931506849324</v>
      </c>
      <c r="O327" s="7">
        <f ca="1">IFERROR(__xludf.DUMMYFUNCTION("GOOGLEFINANCE(""NSE:""&amp;D327,""pe"")"),17.21)</f>
        <v>17.21</v>
      </c>
      <c r="P327" s="7">
        <f ca="1">IFERROR(__xludf.DUMMYFUNCTION("GOOGLEFINANCE(""NSE:""&amp;D327,""EPS"")"),3.21)</f>
        <v>3.21</v>
      </c>
      <c r="Q327" s="7">
        <v>13.5</v>
      </c>
      <c r="R327" s="7" t="str">
        <f ca="1">IFERROR(__xludf.DUMMYFUNCTION("IMPORTXML(E327,""/html/body/main/div[3]/div[3]/div[2]/ul/li[7]/span[2]/span"")"),"Loading...")</f>
        <v>Loading...</v>
      </c>
      <c r="S327" s="7" t="str">
        <f ca="1">IFERROR(__xludf.DUMMYFUNCTION("IMPORTXML(E327,""/html/body/main/div[3]/div[3]/div[2]/ul/li[8]/span[2]/span"")"),"Loading...")</f>
        <v>Loading...</v>
      </c>
      <c r="T327" s="4">
        <v>34.6</v>
      </c>
      <c r="U327" s="4">
        <v>22.7</v>
      </c>
      <c r="V327" s="4">
        <v>2.6</v>
      </c>
      <c r="W327" s="4">
        <v>5.7</v>
      </c>
      <c r="X327" s="4">
        <v>519.92999999999995</v>
      </c>
      <c r="Y327" s="7">
        <f t="shared" ca="1" si="9"/>
        <v>-464.67999999999995</v>
      </c>
    </row>
    <row r="328" spans="1:25" ht="15" x14ac:dyDescent="0.25">
      <c r="A328" s="4">
        <v>64</v>
      </c>
      <c r="C328" s="12" t="s">
        <v>1199</v>
      </c>
      <c r="D328" s="12" t="s">
        <v>1200</v>
      </c>
      <c r="E328" s="5" t="str">
        <f t="shared" si="5"/>
        <v>https://www.screener.in/company/ANGELONE/consolidated/</v>
      </c>
      <c r="F328" s="4">
        <v>443059</v>
      </c>
      <c r="G328" s="4">
        <v>3832241897</v>
      </c>
      <c r="H328" s="6">
        <f t="shared" ca="1" si="6"/>
        <v>880265.96374090004</v>
      </c>
      <c r="I328" s="7" t="str">
        <f ca="1">IFERROR(__xludf.DUMMYFUNCTION("IMPORTXML(E328,""/html/body/main/div[3]/div[3]/div[2]/ul/li[5]/span[2]/span"")"),"Loading...")</f>
        <v>Loading...</v>
      </c>
      <c r="J328" s="7">
        <f ca="1">IFERROR(__xludf.DUMMYFUNCTION("GOOGLEFINANCE(""NSE:""&amp;D328,""marketcap"")"),207397120840)</f>
        <v>207397120840</v>
      </c>
      <c r="K328" s="7">
        <v>992.8</v>
      </c>
      <c r="L328" s="8">
        <f ca="1">IFERROR(__xludf.DUMMYFUNCTION("GOOGLEFINANCE(""NSE:""&amp;D328,""price"")"),2297)</f>
        <v>2297</v>
      </c>
      <c r="M328" s="9">
        <f t="shared" ca="1" si="7"/>
        <v>1304.2</v>
      </c>
      <c r="N328" s="10">
        <f t="shared" ca="1" si="8"/>
        <v>131.36583400483482</v>
      </c>
      <c r="O328" s="7">
        <f ca="1">IFERROR(__xludf.DUMMYFUNCTION("GOOGLEFINANCE(""NSE:""&amp;D328,""pe"")"),21.35)</f>
        <v>21.35</v>
      </c>
      <c r="P328" s="7">
        <f ca="1">IFERROR(__xludf.DUMMYFUNCTION("GOOGLEFINANCE(""NSE:""&amp;D328,""EPS"")"),107.59)</f>
        <v>107.59</v>
      </c>
      <c r="Q328" s="7">
        <v>13.5</v>
      </c>
      <c r="R328" s="7" t="str">
        <f ca="1">IFERROR(__xludf.DUMMYFUNCTION("IMPORTXML(E328,""/html/body/main/div[3]/div[3]/div[2]/ul/li[7]/span[2]/span"")"),"Loading...")</f>
        <v>Loading...</v>
      </c>
      <c r="S328" s="7" t="str">
        <f ca="1">IFERROR(__xludf.DUMMYFUNCTION("IMPORTXML(E328,""/html/body/main/div[3]/div[3]/div[2]/ul/li[8]/span[2]/span"")"),"Loading...")</f>
        <v>Loading...</v>
      </c>
      <c r="T328" s="4">
        <v>34.6</v>
      </c>
      <c r="U328" s="4">
        <v>22.7</v>
      </c>
      <c r="V328" s="4">
        <v>2.6</v>
      </c>
      <c r="W328" s="4">
        <v>5.7</v>
      </c>
      <c r="X328" s="4">
        <v>519.92999999999995</v>
      </c>
      <c r="Y328" s="7">
        <f t="shared" ca="1" si="9"/>
        <v>1777.0700000000002</v>
      </c>
    </row>
    <row r="329" spans="1:25" ht="15" x14ac:dyDescent="0.25">
      <c r="A329" s="4">
        <v>115</v>
      </c>
      <c r="C329" s="12" t="s">
        <v>1201</v>
      </c>
      <c r="D329" s="12" t="s">
        <v>1202</v>
      </c>
      <c r="E329" s="5" t="str">
        <f t="shared" si="5"/>
        <v>https://www.screener.in/company/WELCORP/consolidated/</v>
      </c>
      <c r="F329" s="4">
        <v>443059</v>
      </c>
      <c r="G329" s="4">
        <v>3832241897</v>
      </c>
      <c r="H329" s="6">
        <f t="shared" ca="1" si="6"/>
        <v>325261.53100787499</v>
      </c>
      <c r="I329" s="7" t="str">
        <f ca="1">IFERROR(__xludf.DUMMYFUNCTION("IMPORTXML(E329,""/html/body/main/div[3]/div[3]/div[2]/ul/li[5]/span[2]/span"")"),"Loading...")</f>
        <v>Loading...</v>
      </c>
      <c r="J329" s="7">
        <f ca="1">IFERROR(__xludf.DUMMYFUNCTION("GOOGLEFINANCE(""NSE:""&amp;D329,""marketcap"")"),223441200000)</f>
        <v>223441200000</v>
      </c>
      <c r="K329" s="7">
        <v>992.8</v>
      </c>
      <c r="L329" s="8">
        <f ca="1">IFERROR(__xludf.DUMMYFUNCTION("GOOGLEFINANCE(""NSE:""&amp;D329,""price"")"),848.75)</f>
        <v>848.75</v>
      </c>
      <c r="M329" s="9">
        <f t="shared" ca="1" si="7"/>
        <v>-144.04999999999995</v>
      </c>
      <c r="N329" s="10">
        <f t="shared" ca="1" si="8"/>
        <v>-14.509468170829972</v>
      </c>
      <c r="O329" s="7">
        <f ca="1">IFERROR(__xludf.DUMMYFUNCTION("GOOGLEFINANCE(""NSE:""&amp;D329,""pe"")"),11.12)</f>
        <v>11.12</v>
      </c>
      <c r="P329" s="7">
        <f ca="1">IFERROR(__xludf.DUMMYFUNCTION("GOOGLEFINANCE(""NSE:""&amp;D329,""EPS"")"),76.32)</f>
        <v>76.319999999999993</v>
      </c>
      <c r="Q329" s="7">
        <v>13.5</v>
      </c>
      <c r="R329" s="7" t="str">
        <f ca="1">IFERROR(__xludf.DUMMYFUNCTION("IMPORTXML(E329,""/html/body/main/div[3]/div[3]/div[2]/ul/li[7]/span[2]/span"")"),"Loading...")</f>
        <v>Loading...</v>
      </c>
      <c r="S329" s="7" t="str">
        <f ca="1">IFERROR(__xludf.DUMMYFUNCTION("IMPORTXML(E329,""/html/body/main/div[3]/div[3]/div[2]/ul/li[8]/span[2]/span"")"),"Loading...")</f>
        <v>Loading...</v>
      </c>
      <c r="T329" s="4">
        <v>34.6</v>
      </c>
      <c r="U329" s="4">
        <v>22.7</v>
      </c>
      <c r="V329" s="4">
        <v>2.6</v>
      </c>
      <c r="W329" s="4">
        <v>5.7</v>
      </c>
      <c r="X329" s="4">
        <v>519.92999999999995</v>
      </c>
      <c r="Y329" s="7">
        <f t="shared" ca="1" si="9"/>
        <v>328.82000000000005</v>
      </c>
    </row>
    <row r="330" spans="1:25" ht="15" x14ac:dyDescent="0.25">
      <c r="A330" s="4">
        <v>99</v>
      </c>
      <c r="C330" s="12" t="s">
        <v>1203</v>
      </c>
      <c r="D330" s="12" t="s">
        <v>1204</v>
      </c>
      <c r="E330" s="5" t="str">
        <f t="shared" si="5"/>
        <v>https://www.screener.in/company/CHAMBLFERT/consolidated/</v>
      </c>
      <c r="F330" s="4">
        <v>443059</v>
      </c>
      <c r="G330" s="4">
        <v>3832241897</v>
      </c>
      <c r="H330" s="6">
        <f t="shared" ca="1" si="6"/>
        <v>212057.10537049503</v>
      </c>
      <c r="I330" s="7" t="str">
        <f ca="1">IFERROR(__xludf.DUMMYFUNCTION("IMPORTXML(E330,""/html/body/main/div[3]/div[3]/div[2]/ul/li[5]/span[2]/span"")"),"Loading...")</f>
        <v>Loading...</v>
      </c>
      <c r="J330" s="7">
        <f ca="1">IFERROR(__xludf.DUMMYFUNCTION("GOOGLEFINANCE(""NSE:""&amp;D330,""marketcap"")"),221895714600)</f>
        <v>221895714600</v>
      </c>
      <c r="K330" s="7">
        <v>992.8</v>
      </c>
      <c r="L330" s="8">
        <f ca="1">IFERROR(__xludf.DUMMYFUNCTION("GOOGLEFINANCE(""NSE:""&amp;D330,""price"")"),553.35)</f>
        <v>553.35</v>
      </c>
      <c r="M330" s="9">
        <f t="shared" ca="1" si="7"/>
        <v>-439.44999999999993</v>
      </c>
      <c r="N330" s="10">
        <f t="shared" ca="1" si="8"/>
        <v>-44.263698630136986</v>
      </c>
      <c r="O330" s="7">
        <f ca="1">IFERROR(__xludf.DUMMYFUNCTION("GOOGLEFINANCE(""NSE:""&amp;D330,""pe"")"),12.67)</f>
        <v>12.67</v>
      </c>
      <c r="P330" s="7">
        <f ca="1">IFERROR(__xludf.DUMMYFUNCTION("GOOGLEFINANCE(""NSE:""&amp;D330,""EPS"")"),43.68)</f>
        <v>43.68</v>
      </c>
      <c r="Q330" s="7">
        <v>13.5</v>
      </c>
      <c r="R330" s="7" t="str">
        <f ca="1">IFERROR(__xludf.DUMMYFUNCTION("IMPORTXML(E330,""/html/body/main/div[3]/div[3]/div[2]/ul/li[7]/span[2]/span"")"),"Loading...")</f>
        <v>Loading...</v>
      </c>
      <c r="S330" s="7" t="str">
        <f ca="1">IFERROR(__xludf.DUMMYFUNCTION("IMPORTXML(E330,""/html/body/main/div[3]/div[3]/div[2]/ul/li[8]/span[2]/span"")"),"Loading...")</f>
        <v>Loading...</v>
      </c>
      <c r="T330" s="4">
        <v>34.6</v>
      </c>
      <c r="U330" s="4">
        <v>22.7</v>
      </c>
      <c r="V330" s="4">
        <v>2.6</v>
      </c>
      <c r="W330" s="4">
        <v>5.7</v>
      </c>
      <c r="X330" s="4">
        <v>519.92999999999995</v>
      </c>
      <c r="Y330" s="7">
        <f t="shared" ca="1" si="9"/>
        <v>33.420000000000073</v>
      </c>
    </row>
    <row r="331" spans="1:25" ht="15" x14ac:dyDescent="0.25">
      <c r="A331" s="4">
        <v>1149</v>
      </c>
      <c r="C331" s="12" t="s">
        <v>1205</v>
      </c>
      <c r="D331" s="12" t="s">
        <v>1206</v>
      </c>
      <c r="E331" s="5" t="str">
        <f t="shared" si="5"/>
        <v>https://www.screener.in/company/KOTHARIPET/consolidated/</v>
      </c>
      <c r="F331" s="4">
        <v>443059</v>
      </c>
      <c r="G331" s="4">
        <v>3832241897</v>
      </c>
      <c r="H331" s="6">
        <f t="shared" ca="1" si="6"/>
        <v>64573.275964449997</v>
      </c>
      <c r="I331" s="7" t="str">
        <f ca="1">IFERROR(__xludf.DUMMYFUNCTION("IMPORTXML(E331,""/html/body/main/div[3]/div[3]/div[2]/ul/li[5]/span[2]/span"")"),"Loading...")</f>
        <v>Loading...</v>
      </c>
      <c r="J331" s="7">
        <f ca="1">IFERROR(__xludf.DUMMYFUNCTION("GOOGLEFINANCE(""NSE:""&amp;D331,""marketcap"")"),9867364000)</f>
        <v>9867364000</v>
      </c>
      <c r="K331" s="7">
        <v>992.8</v>
      </c>
      <c r="L331" s="8">
        <f ca="1">IFERROR(__xludf.DUMMYFUNCTION("GOOGLEFINANCE(""NSE:""&amp;D331,""price"")"),168.5)</f>
        <v>168.5</v>
      </c>
      <c r="M331" s="9">
        <f t="shared" ca="1" si="7"/>
        <v>-824.3</v>
      </c>
      <c r="N331" s="10">
        <f t="shared" ca="1" si="8"/>
        <v>-83.027800161160357</v>
      </c>
      <c r="O331" s="7">
        <f ca="1">IFERROR(__xludf.DUMMYFUNCTION("GOOGLEFINANCE(""NSE:""&amp;D331,""pe"")"),15.84)</f>
        <v>15.84</v>
      </c>
      <c r="P331" s="7">
        <f ca="1">IFERROR(__xludf.DUMMYFUNCTION("GOOGLEFINANCE(""NSE:""&amp;D331,""EPS"")"),10.64)</f>
        <v>10.64</v>
      </c>
      <c r="Q331" s="7">
        <v>13.5</v>
      </c>
      <c r="R331" s="7" t="str">
        <f ca="1">IFERROR(__xludf.DUMMYFUNCTION("IMPORTXML(E331,""/html/body/main/div[3]/div[3]/div[2]/ul/li[7]/span[2]/span"")"),"Loading...")</f>
        <v>Loading...</v>
      </c>
      <c r="S331" s="7" t="str">
        <f ca="1">IFERROR(__xludf.DUMMYFUNCTION("IMPORTXML(E331,""/html/body/main/div[3]/div[3]/div[2]/ul/li[8]/span[2]/span"")"),"Loading...")</f>
        <v>Loading...</v>
      </c>
      <c r="T331" s="4">
        <v>34.6</v>
      </c>
      <c r="U331" s="4">
        <v>22.7</v>
      </c>
      <c r="V331" s="4">
        <v>2.6</v>
      </c>
      <c r="W331" s="4">
        <v>5.7</v>
      </c>
      <c r="X331" s="4">
        <v>519.92999999999995</v>
      </c>
      <c r="Y331" s="7">
        <f t="shared" ca="1" si="9"/>
        <v>-351.42999999999995</v>
      </c>
    </row>
    <row r="332" spans="1:25" ht="15" x14ac:dyDescent="0.25">
      <c r="A332" s="4">
        <v>711</v>
      </c>
      <c r="C332" s="12" t="s">
        <v>1207</v>
      </c>
      <c r="D332" s="12" t="s">
        <v>1208</v>
      </c>
      <c r="E332" s="5" t="str">
        <f t="shared" si="5"/>
        <v>https://www.screener.in/company/HINDOILEXP/consolidated/</v>
      </c>
      <c r="F332" s="4">
        <v>443059</v>
      </c>
      <c r="G332" s="4">
        <v>3832241897</v>
      </c>
      <c r="H332" s="6">
        <f t="shared" ca="1" si="6"/>
        <v>67183.032696307011</v>
      </c>
      <c r="I332" s="7" t="str">
        <f ca="1">IFERROR(__xludf.DUMMYFUNCTION("IMPORTXML(E332,""/html/body/main/div[3]/div[3]/div[2]/ul/li[5]/span[2]/span"")"),"Loading...")</f>
        <v>Loading...</v>
      </c>
      <c r="J332" s="7">
        <f ca="1">IFERROR(__xludf.DUMMYFUNCTION("GOOGLEFINANCE(""NSE:""&amp;D332,""marketcap"")"),23183572600)</f>
        <v>23183572600</v>
      </c>
      <c r="K332" s="7">
        <v>992.8</v>
      </c>
      <c r="L332" s="8">
        <f ca="1">IFERROR(__xludf.DUMMYFUNCTION("GOOGLEFINANCE(""NSE:""&amp;D332,""price"")"),175.31)</f>
        <v>175.31</v>
      </c>
      <c r="M332" s="9">
        <f t="shared" ca="1" si="7"/>
        <v>-817.49</v>
      </c>
      <c r="N332" s="10">
        <f t="shared" ca="1" si="8"/>
        <v>-82.341861402095091</v>
      </c>
      <c r="O332" s="7">
        <f ca="1">IFERROR(__xludf.DUMMYFUNCTION("GOOGLEFINANCE(""NSE:""&amp;D332,""pe"")"),15.52)</f>
        <v>15.52</v>
      </c>
      <c r="P332" s="7">
        <f ca="1">IFERROR(__xludf.DUMMYFUNCTION("GOOGLEFINANCE(""NSE:""&amp;D332,""EPS"")"),11.29)</f>
        <v>11.29</v>
      </c>
      <c r="Q332" s="7">
        <v>13.5</v>
      </c>
      <c r="R332" s="7" t="str">
        <f ca="1">IFERROR(__xludf.DUMMYFUNCTION("IMPORTXML(E332,""/html/body/main/div[3]/div[3]/div[2]/ul/li[7]/span[2]/span"")"),"Loading...")</f>
        <v>Loading...</v>
      </c>
      <c r="S332" s="7" t="str">
        <f ca="1">IFERROR(__xludf.DUMMYFUNCTION("IMPORTXML(E332,""/html/body/main/div[3]/div[3]/div[2]/ul/li[8]/span[2]/span"")"),"Loading...")</f>
        <v>Loading...</v>
      </c>
      <c r="T332" s="4">
        <v>34.6</v>
      </c>
      <c r="U332" s="4">
        <v>22.7</v>
      </c>
      <c r="V332" s="4">
        <v>2.6</v>
      </c>
      <c r="W332" s="4">
        <v>5.7</v>
      </c>
      <c r="X332" s="4">
        <v>519.92999999999995</v>
      </c>
      <c r="Y332" s="7">
        <f t="shared" ca="1" si="9"/>
        <v>-344.61999999999995</v>
      </c>
    </row>
    <row r="333" spans="1:25" ht="15" x14ac:dyDescent="0.25">
      <c r="A333" s="4">
        <v>887</v>
      </c>
      <c r="C333" s="12" t="s">
        <v>1209</v>
      </c>
      <c r="D333" s="12" t="s">
        <v>1210</v>
      </c>
      <c r="E333" s="5" t="str">
        <f t="shared" si="5"/>
        <v>https://www.screener.in/company/DLINKINDIA/consolidated/</v>
      </c>
      <c r="F333" s="4">
        <v>443059</v>
      </c>
      <c r="G333" s="4">
        <v>3832241897</v>
      </c>
      <c r="H333" s="6">
        <f t="shared" ca="1" si="6"/>
        <v>182817.099696385</v>
      </c>
      <c r="I333" s="7" t="str">
        <f ca="1">IFERROR(__xludf.DUMMYFUNCTION("IMPORTXML(E333,""/html/body/main/div[3]/div[3]/div[2]/ul/li[5]/span[2]/span"")"),"Loading...")</f>
        <v>Loading...</v>
      </c>
      <c r="J333" s="7">
        <f ca="1">IFERROR(__xludf.DUMMYFUNCTION("GOOGLEFINANCE(""NSE:""&amp;D333,""marketcap"")"),16919840000)</f>
        <v>16919840000</v>
      </c>
      <c r="K333" s="7">
        <v>992.8</v>
      </c>
      <c r="L333" s="8">
        <f ca="1">IFERROR(__xludf.DUMMYFUNCTION("GOOGLEFINANCE(""NSE:""&amp;D333,""price"")"),477.05)</f>
        <v>477.05</v>
      </c>
      <c r="M333" s="9">
        <f t="shared" ca="1" si="7"/>
        <v>-515.75</v>
      </c>
      <c r="N333" s="10">
        <f t="shared" ca="1" si="8"/>
        <v>-51.949033037872681</v>
      </c>
      <c r="O333" s="7">
        <f ca="1">IFERROR(__xludf.DUMMYFUNCTION("GOOGLEFINANCE(""NSE:""&amp;D333,""pe"")"),16.12)</f>
        <v>16.12</v>
      </c>
      <c r="P333" s="7">
        <f ca="1">IFERROR(__xludf.DUMMYFUNCTION("GOOGLEFINANCE(""NSE:""&amp;D333,""EPS"")"),29.6)</f>
        <v>29.6</v>
      </c>
      <c r="Q333" s="7">
        <v>13.5</v>
      </c>
      <c r="R333" s="7" t="str">
        <f ca="1">IFERROR(__xludf.DUMMYFUNCTION("IMPORTXML(E333,""/html/body/main/div[3]/div[3]/div[2]/ul/li[7]/span[2]/span"")"),"Loading...")</f>
        <v>Loading...</v>
      </c>
      <c r="S333" s="7" t="str">
        <f ca="1">IFERROR(__xludf.DUMMYFUNCTION("IMPORTXML(E333,""/html/body/main/div[3]/div[3]/div[2]/ul/li[8]/span[2]/span"")"),"Loading...")</f>
        <v>Loading...</v>
      </c>
      <c r="T333" s="4">
        <v>34.6</v>
      </c>
      <c r="U333" s="4">
        <v>22.7</v>
      </c>
      <c r="V333" s="4">
        <v>2.6</v>
      </c>
      <c r="W333" s="4">
        <v>5.7</v>
      </c>
      <c r="X333" s="4">
        <v>519.92999999999995</v>
      </c>
      <c r="Y333" s="7">
        <f t="shared" ca="1" si="9"/>
        <v>-42.879999999999939</v>
      </c>
    </row>
    <row r="334" spans="1:25" ht="15" x14ac:dyDescent="0.25">
      <c r="A334" s="4">
        <v>1761</v>
      </c>
      <c r="C334" s="12" t="s">
        <v>1211</v>
      </c>
      <c r="D334" s="12" t="s">
        <v>1212</v>
      </c>
      <c r="E334" s="5" t="str">
        <f t="shared" si="5"/>
        <v>https://www.screener.in/company/INTENTECH/consolidated/</v>
      </c>
      <c r="F334" s="4">
        <v>443059</v>
      </c>
      <c r="G334" s="4">
        <v>3832241897</v>
      </c>
      <c r="H334" s="6">
        <f t="shared" ca="1" si="6"/>
        <v>35065.01335755</v>
      </c>
      <c r="I334" s="7" t="str">
        <f ca="1">IFERROR(__xludf.DUMMYFUNCTION("IMPORTXML(E334,""/html/body/main/div[3]/div[3]/div[2]/ul/li[5]/span[2]/span"")"),"Loading...")</f>
        <v>Loading...</v>
      </c>
      <c r="J334" s="7">
        <f ca="1">IFERROR(__xludf.DUMMYFUNCTION("GOOGLEFINANCE(""NSE:""&amp;D334,""marketcap"")"),2120417000)</f>
        <v>2120417000</v>
      </c>
      <c r="K334" s="7">
        <v>992.8</v>
      </c>
      <c r="L334" s="8">
        <f ca="1">IFERROR(__xludf.DUMMYFUNCTION("GOOGLEFINANCE(""NSE:""&amp;D334,""price"")"),91.5)</f>
        <v>91.5</v>
      </c>
      <c r="M334" s="9">
        <f t="shared" ca="1" si="7"/>
        <v>-901.3</v>
      </c>
      <c r="N334" s="10">
        <f t="shared" ca="1" si="8"/>
        <v>-90.783642224012894</v>
      </c>
      <c r="O334" s="7">
        <f ca="1">IFERROR(__xludf.DUMMYFUNCTION("GOOGLEFINANCE(""NSE:""&amp;D334,""pe"")"),17.98)</f>
        <v>17.98</v>
      </c>
      <c r="P334" s="7">
        <f ca="1">IFERROR(__xludf.DUMMYFUNCTION("GOOGLEFINANCE(""NSE:""&amp;D334,""EPS"")"),5.09)</f>
        <v>5.09</v>
      </c>
      <c r="Q334" s="7">
        <v>13.5</v>
      </c>
      <c r="R334" s="7" t="str">
        <f ca="1">IFERROR(__xludf.DUMMYFUNCTION("IMPORTXML(E334,""/html/body/main/div[3]/div[3]/div[2]/ul/li[7]/span[2]/span"")"),"Loading...")</f>
        <v>Loading...</v>
      </c>
      <c r="S334" s="7" t="str">
        <f ca="1">IFERROR(__xludf.DUMMYFUNCTION("IMPORTXML(E334,""/html/body/main/div[3]/div[3]/div[2]/ul/li[8]/span[2]/span"")"),"Loading...")</f>
        <v>Loading...</v>
      </c>
      <c r="T334" s="4">
        <v>34.6</v>
      </c>
      <c r="U334" s="4">
        <v>22.7</v>
      </c>
      <c r="V334" s="4">
        <v>2.6</v>
      </c>
      <c r="W334" s="4">
        <v>5.7</v>
      </c>
      <c r="X334" s="4">
        <v>519.92999999999995</v>
      </c>
      <c r="Y334" s="7">
        <f t="shared" ca="1" si="9"/>
        <v>-428.42999999999995</v>
      </c>
    </row>
    <row r="335" spans="1:25" ht="15" x14ac:dyDescent="0.25">
      <c r="A335" s="4">
        <v>2086</v>
      </c>
      <c r="C335" s="12" t="s">
        <v>1213</v>
      </c>
      <c r="D335" s="12" t="s">
        <v>1214</v>
      </c>
      <c r="E335" s="5" t="str">
        <f t="shared" si="5"/>
        <v>https://www.screener.in/company/MHLXMIRU/consolidated/</v>
      </c>
      <c r="F335" s="4">
        <v>443059</v>
      </c>
      <c r="G335" s="4">
        <v>3832241897</v>
      </c>
      <c r="H335" s="6">
        <f t="shared" ca="1" si="6"/>
        <v>83768.975626522995</v>
      </c>
      <c r="I335" s="7" t="str">
        <f ca="1">IFERROR(__xludf.DUMMYFUNCTION("IMPORTXML(E335,""/html/body/main/div[3]/div[3]/div[2]/ul/li[5]/span[2]/span"")"),"Loading...")</f>
        <v>Loading...</v>
      </c>
      <c r="J335" s="7">
        <f ca="1">IFERROR(__xludf.DUMMYFUNCTION("GOOGLEFINANCE(""NSE:""&amp;D335,""marketcap"")"),2321484780)</f>
        <v>2321484780</v>
      </c>
      <c r="K335" s="7">
        <v>992.8</v>
      </c>
      <c r="L335" s="8">
        <f ca="1">IFERROR(__xludf.DUMMYFUNCTION("GOOGLEFINANCE(""NSE:""&amp;D335,""price"")"),218.59)</f>
        <v>218.59</v>
      </c>
      <c r="M335" s="9">
        <f t="shared" ca="1" si="7"/>
        <v>-774.20999999999992</v>
      </c>
      <c r="N335" s="10">
        <f t="shared" ca="1" si="8"/>
        <v>-77.982473811442375</v>
      </c>
      <c r="O335" s="7">
        <f ca="1">IFERROR(__xludf.DUMMYFUNCTION("GOOGLEFINANCE(""NSE:""&amp;D335,""pe"")"),12.93)</f>
        <v>12.93</v>
      </c>
      <c r="P335" s="7">
        <f ca="1">IFERROR(__xludf.DUMMYFUNCTION("GOOGLEFINANCE(""NSE:""&amp;D335,""EPS"")"),16.91)</f>
        <v>16.91</v>
      </c>
      <c r="Q335" s="7">
        <v>13.5</v>
      </c>
      <c r="R335" s="7" t="str">
        <f ca="1">IFERROR(__xludf.DUMMYFUNCTION("IMPORTXML(E335,""/html/body/main/div[3]/div[3]/div[2]/ul/li[7]/span[2]/span"")"),"Loading...")</f>
        <v>Loading...</v>
      </c>
      <c r="S335" s="7" t="str">
        <f ca="1">IFERROR(__xludf.DUMMYFUNCTION("IMPORTXML(E335,""/html/body/main/div[3]/div[3]/div[2]/ul/li[8]/span[2]/span"")"),"Loading...")</f>
        <v>Loading...</v>
      </c>
      <c r="T335" s="4">
        <v>34.6</v>
      </c>
      <c r="U335" s="4">
        <v>22.7</v>
      </c>
      <c r="V335" s="4">
        <v>2.6</v>
      </c>
      <c r="W335" s="4">
        <v>5.7</v>
      </c>
      <c r="X335" s="4">
        <v>519.92999999999995</v>
      </c>
      <c r="Y335" s="7">
        <f t="shared" ca="1" si="9"/>
        <v>-301.33999999999992</v>
      </c>
    </row>
    <row r="336" spans="1:25" ht="15" x14ac:dyDescent="0.25">
      <c r="A336" s="4">
        <v>429</v>
      </c>
      <c r="C336" s="12" t="s">
        <v>1215</v>
      </c>
      <c r="D336" s="12" t="s">
        <v>1216</v>
      </c>
      <c r="E336" s="5" t="str">
        <f t="shared" si="5"/>
        <v>https://www.screener.in/company/KRBL/consolidated/</v>
      </c>
      <c r="F336" s="4">
        <v>443059</v>
      </c>
      <c r="G336" s="4">
        <v>3832241897</v>
      </c>
      <c r="H336" s="6">
        <f t="shared" ca="1" si="6"/>
        <v>174347.845104015</v>
      </c>
      <c r="I336" s="7" t="str">
        <f ca="1">IFERROR(__xludf.DUMMYFUNCTION("IMPORTXML(E336,""/html/body/main/div[3]/div[3]/div[2]/ul/li[5]/span[2]/span"")"),"Loading...")</f>
        <v>Loading...</v>
      </c>
      <c r="J336" s="7">
        <f ca="1">IFERROR(__xludf.DUMMYFUNCTION("GOOGLEFINANCE(""NSE:""&amp;D336,""marketcap"")"),104282245473)</f>
        <v>104282245473</v>
      </c>
      <c r="K336" s="7">
        <v>992.8</v>
      </c>
      <c r="L336" s="8">
        <f ca="1">IFERROR(__xludf.DUMMYFUNCTION("GOOGLEFINANCE(""NSE:""&amp;D336,""price"")"),454.95)</f>
        <v>454.95</v>
      </c>
      <c r="M336" s="9">
        <f t="shared" ca="1" si="7"/>
        <v>-537.84999999999991</v>
      </c>
      <c r="N336" s="10">
        <f t="shared" ca="1" si="8"/>
        <v>-54.175060435132949</v>
      </c>
      <c r="O336" s="7">
        <f ca="1">IFERROR(__xludf.DUMMYFUNCTION("GOOGLEFINANCE(""NSE:""&amp;D336,""pe"")"),19.28)</f>
        <v>19.28</v>
      </c>
      <c r="P336" s="7">
        <f ca="1">IFERROR(__xludf.DUMMYFUNCTION("GOOGLEFINANCE(""NSE:""&amp;D336,""EPS"")"),23.6)</f>
        <v>23.6</v>
      </c>
      <c r="Q336" s="7">
        <v>13.5</v>
      </c>
      <c r="R336" s="7" t="str">
        <f ca="1">IFERROR(__xludf.DUMMYFUNCTION("IMPORTXML(E336,""/html/body/main/div[3]/div[3]/div[2]/ul/li[7]/span[2]/span"")"),"Loading...")</f>
        <v>Loading...</v>
      </c>
      <c r="S336" s="7" t="str">
        <f ca="1">IFERROR(__xludf.DUMMYFUNCTION("IMPORTXML(E336,""/html/body/main/div[3]/div[3]/div[2]/ul/li[8]/span[2]/span"")"),"Loading...")</f>
        <v>Loading...</v>
      </c>
      <c r="T336" s="4">
        <v>34.6</v>
      </c>
      <c r="U336" s="4">
        <v>22.7</v>
      </c>
      <c r="V336" s="4">
        <v>2.6</v>
      </c>
      <c r="W336" s="4">
        <v>5.7</v>
      </c>
      <c r="X336" s="4">
        <v>519.92999999999995</v>
      </c>
      <c r="Y336" s="7">
        <f t="shared" ca="1" si="9"/>
        <v>-64.979999999999961</v>
      </c>
    </row>
    <row r="337" spans="1:25" ht="15" x14ac:dyDescent="0.25">
      <c r="A337" s="4">
        <v>974</v>
      </c>
      <c r="C337" s="12" t="s">
        <v>1217</v>
      </c>
      <c r="D337" s="12" t="s">
        <v>1218</v>
      </c>
      <c r="E337" s="5" t="str">
        <f t="shared" si="5"/>
        <v>https://www.screener.in/company/ARMANFIN/consolidated/</v>
      </c>
      <c r="F337" s="4">
        <v>443059</v>
      </c>
      <c r="G337" s="4">
        <v>3832241897</v>
      </c>
      <c r="H337" s="6">
        <f t="shared" ca="1" si="6"/>
        <v>556824.74763410003</v>
      </c>
      <c r="I337" s="7" t="str">
        <f ca="1">IFERROR(__xludf.DUMMYFUNCTION("IMPORTXML(E337,""/html/body/main/div[3]/div[3]/div[2]/ul/li[5]/span[2]/span"")"),"Loading...")</f>
        <v>Loading...</v>
      </c>
      <c r="J337" s="7">
        <f ca="1">IFERROR(__xludf.DUMMYFUNCTION("GOOGLEFINANCE(""NSE:""&amp;D337,""marketcap"")"),15208750000)</f>
        <v>15208750000</v>
      </c>
      <c r="K337" s="7">
        <v>992.8</v>
      </c>
      <c r="L337" s="8">
        <f ca="1">IFERROR(__xludf.DUMMYFUNCTION("GOOGLEFINANCE(""NSE:""&amp;D337,""price"")"),1453)</f>
        <v>1453</v>
      </c>
      <c r="M337" s="9">
        <f t="shared" ca="1" si="7"/>
        <v>460.20000000000005</v>
      </c>
      <c r="N337" s="10">
        <f t="shared" ca="1" si="8"/>
        <v>46.353746978243358</v>
      </c>
      <c r="O337" s="7">
        <f ca="1">IFERROR(__xludf.DUMMYFUNCTION("GOOGLEFINANCE(""NSE:""&amp;D337,""pe"")"),254.91)</f>
        <v>254.91</v>
      </c>
      <c r="P337" s="7">
        <f ca="1">IFERROR(__xludf.DUMMYFUNCTION("GOOGLEFINANCE(""NSE:""&amp;D337,""EPS"")"),5.7)</f>
        <v>5.7</v>
      </c>
      <c r="Q337" s="7">
        <v>13.5</v>
      </c>
      <c r="R337" s="7" t="str">
        <f ca="1">IFERROR(__xludf.DUMMYFUNCTION("IMPORTXML(E337,""/html/body/main/div[3]/div[3]/div[2]/ul/li[7]/span[2]/span"")"),"Loading...")</f>
        <v>Loading...</v>
      </c>
      <c r="S337" s="7" t="str">
        <f ca="1">IFERROR(__xludf.DUMMYFUNCTION("IMPORTXML(E337,""/html/body/main/div[3]/div[3]/div[2]/ul/li[8]/span[2]/span"")"),"Loading...")</f>
        <v>Loading...</v>
      </c>
      <c r="T337" s="4">
        <v>34.6</v>
      </c>
      <c r="U337" s="4">
        <v>22.7</v>
      </c>
      <c r="V337" s="4">
        <v>2.6</v>
      </c>
      <c r="W337" s="4">
        <v>5.7</v>
      </c>
      <c r="X337" s="4">
        <v>519.92999999999995</v>
      </c>
      <c r="Y337" s="7">
        <f t="shared" ca="1" si="9"/>
        <v>933.07</v>
      </c>
    </row>
    <row r="338" spans="1:25" ht="15" x14ac:dyDescent="0.25">
      <c r="A338" s="4">
        <v>308</v>
      </c>
      <c r="C338" s="12" t="s">
        <v>1219</v>
      </c>
      <c r="D338" s="12" t="s">
        <v>1220</v>
      </c>
      <c r="E338" s="5" t="str">
        <f t="shared" si="5"/>
        <v>https://www.screener.in/company/GNFC/consolidated/</v>
      </c>
      <c r="F338" s="4">
        <v>443059</v>
      </c>
      <c r="G338" s="4">
        <v>3832241897</v>
      </c>
      <c r="H338" s="6">
        <f t="shared" ca="1" si="6"/>
        <v>193700.66668386498</v>
      </c>
      <c r="I338" s="7" t="str">
        <f ca="1">IFERROR(__xludf.DUMMYFUNCTION("IMPORTXML(E338,""/html/body/main/div[3]/div[3]/div[2]/ul/li[5]/span[2]/span"")"),"Loading...")</f>
        <v>Loading...</v>
      </c>
      <c r="J338" s="7">
        <f ca="1">IFERROR(__xludf.DUMMYFUNCTION("GOOGLEFINANCE(""NSE:""&amp;D338,""marketcap"")"),74124230000)</f>
        <v>74124230000</v>
      </c>
      <c r="K338" s="7">
        <v>992.8</v>
      </c>
      <c r="L338" s="8">
        <f ca="1">IFERROR(__xludf.DUMMYFUNCTION("GOOGLEFINANCE(""NSE:""&amp;D338,""price"")"),505.45)</f>
        <v>505.45</v>
      </c>
      <c r="M338" s="9">
        <f t="shared" ca="1" si="7"/>
        <v>-487.34999999999997</v>
      </c>
      <c r="N338" s="10">
        <f t="shared" ca="1" si="8"/>
        <v>-49.088436744560838</v>
      </c>
      <c r="O338" s="7">
        <f ca="1">IFERROR(__xludf.DUMMYFUNCTION("GOOGLEFINANCE(""NSE:""&amp;D338,""pe"")"),13.19)</f>
        <v>13.19</v>
      </c>
      <c r="P338" s="7">
        <f ca="1">IFERROR(__xludf.DUMMYFUNCTION("GOOGLEFINANCE(""NSE:""&amp;D338,""EPS"")"),38.31)</f>
        <v>38.31</v>
      </c>
      <c r="Q338" s="7">
        <v>13.5</v>
      </c>
      <c r="R338" s="7" t="str">
        <f ca="1">IFERROR(__xludf.DUMMYFUNCTION("IMPORTXML(E338,""/html/body/main/div[3]/div[3]/div[2]/ul/li[7]/span[2]/span"")"),"Loading...")</f>
        <v>Loading...</v>
      </c>
      <c r="S338" s="7" t="str">
        <f ca="1">IFERROR(__xludf.DUMMYFUNCTION("IMPORTXML(E338,""/html/body/main/div[3]/div[3]/div[2]/ul/li[8]/span[2]/span"")"),"Loading...")</f>
        <v>Loading...</v>
      </c>
      <c r="T338" s="4">
        <v>34.6</v>
      </c>
      <c r="U338" s="4">
        <v>22.7</v>
      </c>
      <c r="V338" s="4">
        <v>2.6</v>
      </c>
      <c r="W338" s="4">
        <v>5.7</v>
      </c>
      <c r="X338" s="4">
        <v>519.92999999999995</v>
      </c>
      <c r="Y338" s="7">
        <f t="shared" ca="1" si="9"/>
        <v>-14.479999999999961</v>
      </c>
    </row>
    <row r="339" spans="1:25" ht="15" x14ac:dyDescent="0.25">
      <c r="A339" s="4">
        <v>433</v>
      </c>
      <c r="C339" s="12" t="s">
        <v>1221</v>
      </c>
      <c r="D339" s="12" t="s">
        <v>1222</v>
      </c>
      <c r="E339" s="5" t="str">
        <f t="shared" si="5"/>
        <v>https://www.screener.in/company/SHARDAMOTR/consolidated/</v>
      </c>
      <c r="F339" s="4">
        <v>443059</v>
      </c>
      <c r="G339" s="4">
        <v>3832241897</v>
      </c>
      <c r="H339" s="6">
        <f t="shared" ca="1" si="6"/>
        <v>405681.12721641996</v>
      </c>
      <c r="I339" s="7" t="str">
        <f ca="1">IFERROR(__xludf.DUMMYFUNCTION("IMPORTXML(E339,""/html/body/main/div[3]/div[3]/div[2]/ul/li[5]/span[2]/span"")"),"Loading...")</f>
        <v>Loading...</v>
      </c>
      <c r="J339" s="7">
        <f ca="1">IFERROR(__xludf.DUMMYFUNCTION("GOOGLEFINANCE(""NSE:""&amp;D339,""marketcap"")"),60771789818)</f>
        <v>60771789818</v>
      </c>
      <c r="K339" s="7">
        <v>992.8</v>
      </c>
      <c r="L339" s="8">
        <f ca="1">IFERROR(__xludf.DUMMYFUNCTION("GOOGLEFINANCE(""NSE:""&amp;D339,""price"")"),1058.6)</f>
        <v>1058.5999999999999</v>
      </c>
      <c r="M339" s="9">
        <f t="shared" ca="1" si="7"/>
        <v>65.799999999999955</v>
      </c>
      <c r="N339" s="10">
        <f t="shared" ca="1" si="8"/>
        <v>6.627719580983074</v>
      </c>
      <c r="O339" s="7">
        <f ca="1">IFERROR(__xludf.DUMMYFUNCTION("GOOGLEFINANCE(""NSE:""&amp;D339,""pe"")"),17.97)</f>
        <v>17.97</v>
      </c>
      <c r="P339" s="7">
        <f ca="1">IFERROR(__xludf.DUMMYFUNCTION("GOOGLEFINANCE(""NSE:""&amp;D339,""EPS"")"),58.92)</f>
        <v>58.92</v>
      </c>
      <c r="Q339" s="7">
        <v>13.5</v>
      </c>
      <c r="R339" s="7" t="str">
        <f ca="1">IFERROR(__xludf.DUMMYFUNCTION("IMPORTXML(E339,""/html/body/main/div[3]/div[3]/div[2]/ul/li[7]/span[2]/span"")"),"Loading...")</f>
        <v>Loading...</v>
      </c>
      <c r="S339" s="7" t="str">
        <f ca="1">IFERROR(__xludf.DUMMYFUNCTION("IMPORTXML(E339,""/html/body/main/div[3]/div[3]/div[2]/ul/li[8]/span[2]/span"")"),"Loading...")</f>
        <v>Loading...</v>
      </c>
      <c r="T339" s="4">
        <v>34.6</v>
      </c>
      <c r="U339" s="4">
        <v>22.7</v>
      </c>
      <c r="V339" s="4">
        <v>2.6</v>
      </c>
      <c r="W339" s="4">
        <v>5.7</v>
      </c>
      <c r="X339" s="4">
        <v>519.92999999999995</v>
      </c>
      <c r="Y339" s="7">
        <f t="shared" ca="1" si="9"/>
        <v>538.66999999999996</v>
      </c>
    </row>
    <row r="340" spans="1:25" ht="15" x14ac:dyDescent="0.25">
      <c r="A340" s="4">
        <v>1886</v>
      </c>
      <c r="C340" s="12" t="s">
        <v>1223</v>
      </c>
      <c r="D340" s="12" t="s">
        <v>1224</v>
      </c>
      <c r="E340" s="5" t="str">
        <f t="shared" si="5"/>
        <v>https://www.screener.in/company/DUCON/consolidated/</v>
      </c>
      <c r="F340" s="4">
        <v>443059</v>
      </c>
      <c r="G340" s="4">
        <v>3832241897</v>
      </c>
      <c r="H340" s="6">
        <f t="shared" ca="1" si="6"/>
        <v>2054.0816567920001</v>
      </c>
      <c r="I340" s="7" t="str">
        <f ca="1">IFERROR(__xludf.DUMMYFUNCTION("IMPORTXML(E340,""/html/body/main/div[3]/div[3]/div[2]/ul/li[5]/span[2]/span"")"),"Loading...")</f>
        <v>Loading...</v>
      </c>
      <c r="J340" s="7">
        <f ca="1">IFERROR(__xludf.DUMMYFUNCTION("GOOGLEFINANCE(""NSE:""&amp;D340,""marketcap"")"),1751342291)</f>
        <v>1751342291</v>
      </c>
      <c r="K340" s="7">
        <v>992.8</v>
      </c>
      <c r="L340" s="8">
        <f ca="1">IFERROR(__xludf.DUMMYFUNCTION("GOOGLEFINANCE(""NSE:""&amp;D340,""price"")"),5.36)</f>
        <v>5.36</v>
      </c>
      <c r="M340" s="9">
        <f t="shared" ca="1" si="7"/>
        <v>-987.43999999999994</v>
      </c>
      <c r="N340" s="10">
        <f t="shared" ca="1" si="8"/>
        <v>-99.460112812248184</v>
      </c>
      <c r="O340" s="7">
        <f ca="1">IFERROR(__xludf.DUMMYFUNCTION("GOOGLEFINANCE(""NSE:""&amp;D340,""pe"")"),12.76)</f>
        <v>12.76</v>
      </c>
      <c r="P340" s="7">
        <f ca="1">IFERROR(__xludf.DUMMYFUNCTION("GOOGLEFINANCE(""NSE:""&amp;D340,""EPS"")"),0.42)</f>
        <v>0.42</v>
      </c>
      <c r="Q340" s="7">
        <v>13.5</v>
      </c>
      <c r="R340" s="7" t="str">
        <f ca="1">IFERROR(__xludf.DUMMYFUNCTION("IMPORTXML(E340,""/html/body/main/div[3]/div[3]/div[2]/ul/li[7]/span[2]/span"")"),"Loading...")</f>
        <v>Loading...</v>
      </c>
      <c r="S340" s="7" t="str">
        <f ca="1">IFERROR(__xludf.DUMMYFUNCTION("IMPORTXML(E340,""/html/body/main/div[3]/div[3]/div[2]/ul/li[8]/span[2]/span"")"),"Loading...")</f>
        <v>Loading...</v>
      </c>
      <c r="T340" s="4">
        <v>34.6</v>
      </c>
      <c r="U340" s="4">
        <v>22.7</v>
      </c>
      <c r="V340" s="4">
        <v>2.6</v>
      </c>
      <c r="W340" s="4">
        <v>5.7</v>
      </c>
      <c r="X340" s="4">
        <v>519.92999999999995</v>
      </c>
      <c r="Y340" s="7">
        <f t="shared" ca="1" si="9"/>
        <v>-514.56999999999994</v>
      </c>
    </row>
    <row r="341" spans="1:25" ht="15" x14ac:dyDescent="0.25">
      <c r="A341" s="4">
        <v>1093</v>
      </c>
      <c r="C341" s="12" t="s">
        <v>1225</v>
      </c>
      <c r="D341" s="12" t="s">
        <v>1226</v>
      </c>
      <c r="E341" s="5" t="str">
        <f t="shared" si="5"/>
        <v>https://www.screener.in/company/KOPRAN/consolidated/</v>
      </c>
      <c r="F341" s="4">
        <v>443059</v>
      </c>
      <c r="G341" s="4">
        <v>3832241897</v>
      </c>
      <c r="H341" s="6">
        <f t="shared" ca="1" si="6"/>
        <v>68060.616090719996</v>
      </c>
      <c r="I341" s="7" t="str">
        <f ca="1">IFERROR(__xludf.DUMMYFUNCTION("IMPORTXML(E341,""/html/body/main/div[3]/div[3]/div[2]/ul/li[5]/span[2]/span"")"),"Loading...")</f>
        <v>Loading...</v>
      </c>
      <c r="J341" s="7">
        <f ca="1">IFERROR(__xludf.DUMMYFUNCTION("GOOGLEFINANCE(""NSE:""&amp;D341,""marketcap"")"),8542504980)</f>
        <v>8542504980</v>
      </c>
      <c r="K341" s="7">
        <v>992.8</v>
      </c>
      <c r="L341" s="8">
        <f ca="1">IFERROR(__xludf.DUMMYFUNCTION("GOOGLEFINANCE(""NSE:""&amp;D341,""price"")"),177.6)</f>
        <v>177.6</v>
      </c>
      <c r="M341" s="9">
        <f t="shared" ca="1" si="7"/>
        <v>-815.19999999999993</v>
      </c>
      <c r="N341" s="10">
        <f t="shared" ca="1" si="8"/>
        <v>-82.111200644641414</v>
      </c>
      <c r="O341" s="7">
        <f ca="1">IFERROR(__xludf.DUMMYFUNCTION("GOOGLEFINANCE(""NSE:""&amp;D341,""pe"")"),24.59)</f>
        <v>24.59</v>
      </c>
      <c r="P341" s="7">
        <f ca="1">IFERROR(__xludf.DUMMYFUNCTION("GOOGLEFINANCE(""NSE:""&amp;D341,""EPS"")"),7.22)</f>
        <v>7.22</v>
      </c>
      <c r="Q341" s="7">
        <v>13.5</v>
      </c>
      <c r="R341" s="7" t="str">
        <f ca="1">IFERROR(__xludf.DUMMYFUNCTION("IMPORTXML(E341,""/html/body/main/div[3]/div[3]/div[2]/ul/li[7]/span[2]/span"")"),"Loading...")</f>
        <v>Loading...</v>
      </c>
      <c r="S341" s="7" t="str">
        <f ca="1">IFERROR(__xludf.DUMMYFUNCTION("IMPORTXML(E341,""/html/body/main/div[3]/div[3]/div[2]/ul/li[8]/span[2]/span"")"),"Loading...")</f>
        <v>Loading...</v>
      </c>
      <c r="T341" s="4">
        <v>34.6</v>
      </c>
      <c r="U341" s="4">
        <v>22.7</v>
      </c>
      <c r="V341" s="4">
        <v>2.6</v>
      </c>
      <c r="W341" s="4">
        <v>5.7</v>
      </c>
      <c r="X341" s="4">
        <v>519.92999999999995</v>
      </c>
      <c r="Y341" s="7">
        <f t="shared" ca="1" si="9"/>
        <v>-342.32999999999993</v>
      </c>
    </row>
    <row r="342" spans="1:25" ht="15" x14ac:dyDescent="0.25">
      <c r="A342" s="4">
        <v>1973</v>
      </c>
      <c r="C342" s="12" t="s">
        <v>1227</v>
      </c>
      <c r="D342" s="12" t="s">
        <v>1228</v>
      </c>
      <c r="E342" s="5" t="str">
        <f t="shared" si="5"/>
        <v>https://www.screener.in/company/NIRAJ/consolidated/</v>
      </c>
      <c r="F342" s="4">
        <v>443059</v>
      </c>
      <c r="G342" s="4">
        <v>3832241897</v>
      </c>
      <c r="H342" s="6">
        <f t="shared" ca="1" si="6"/>
        <v>17969.382255033001</v>
      </c>
      <c r="I342" s="7" t="str">
        <f ca="1">IFERROR(__xludf.DUMMYFUNCTION("IMPORTXML(E342,""/html/body/main/div[3]/div[3]/div[2]/ul/li[5]/span[2]/span"")"),"Loading...")</f>
        <v>Loading...</v>
      </c>
      <c r="J342" s="7">
        <f ca="1">IFERROR(__xludf.DUMMYFUNCTION("GOOGLEFINANCE(""NSE:""&amp;D342,""marketcap"")"),2799067566)</f>
        <v>2799067566</v>
      </c>
      <c r="K342" s="7">
        <v>992.8</v>
      </c>
      <c r="L342" s="8">
        <f ca="1">IFERROR(__xludf.DUMMYFUNCTION("GOOGLEFINANCE(""NSE:""&amp;D342,""price"")"),46.89)</f>
        <v>46.89</v>
      </c>
      <c r="M342" s="9">
        <f t="shared" ca="1" si="7"/>
        <v>-945.91</v>
      </c>
      <c r="N342" s="10">
        <f t="shared" ca="1" si="8"/>
        <v>-95.276994359387587</v>
      </c>
      <c r="O342" s="7">
        <f ca="1">IFERROR(__xludf.DUMMYFUNCTION("GOOGLEFINANCE(""NSE:""&amp;D342,""pe"")"),15.63)</f>
        <v>15.63</v>
      </c>
      <c r="P342" s="7">
        <f ca="1">IFERROR(__xludf.DUMMYFUNCTION("GOOGLEFINANCE(""NSE:""&amp;D342,""EPS"")"),3)</f>
        <v>3</v>
      </c>
      <c r="Q342" s="7">
        <v>13.5</v>
      </c>
      <c r="R342" s="7" t="str">
        <f ca="1">IFERROR(__xludf.DUMMYFUNCTION("IMPORTXML(E342,""/html/body/main/div[3]/div[3]/div[2]/ul/li[7]/span[2]/span"")"),"Loading...")</f>
        <v>Loading...</v>
      </c>
      <c r="S342" s="7" t="str">
        <f ca="1">IFERROR(__xludf.DUMMYFUNCTION("IMPORTXML(E342,""/html/body/main/div[3]/div[3]/div[2]/ul/li[8]/span[2]/span"")"),"Loading...")</f>
        <v>Loading...</v>
      </c>
      <c r="T342" s="4">
        <v>34.6</v>
      </c>
      <c r="U342" s="4">
        <v>22.7</v>
      </c>
      <c r="V342" s="4">
        <v>2.6</v>
      </c>
      <c r="W342" s="4">
        <v>5.7</v>
      </c>
      <c r="X342" s="4">
        <v>519.92999999999995</v>
      </c>
      <c r="Y342" s="7">
        <f t="shared" ca="1" si="9"/>
        <v>-473.03999999999996</v>
      </c>
    </row>
    <row r="343" spans="1:25" ht="15" x14ac:dyDescent="0.25">
      <c r="A343" s="4">
        <v>752</v>
      </c>
      <c r="C343" s="12" t="s">
        <v>1229</v>
      </c>
      <c r="D343" s="12" t="s">
        <v>1230</v>
      </c>
      <c r="E343" s="5" t="str">
        <f t="shared" si="5"/>
        <v>https://www.screener.in/company/MMFL/consolidated/</v>
      </c>
      <c r="F343" s="4">
        <v>443059</v>
      </c>
      <c r="G343" s="4">
        <v>3832241897</v>
      </c>
      <c r="H343" s="6">
        <f t="shared" ca="1" si="6"/>
        <v>121846.13111511499</v>
      </c>
      <c r="I343" s="7" t="str">
        <f ca="1">IFERROR(__xludf.DUMMYFUNCTION("IMPORTXML(E343,""/html/body/main/div[3]/div[3]/div[2]/ul/li[5]/span[2]/span"")"),"Loading...")</f>
        <v>Loading...</v>
      </c>
      <c r="J343" s="7">
        <f ca="1">IFERROR(__xludf.DUMMYFUNCTION("GOOGLEFINANCE(""NSE:""&amp;D343,""marketcap"")"),15261810000)</f>
        <v>15261810000</v>
      </c>
      <c r="K343" s="7">
        <v>992.8</v>
      </c>
      <c r="L343" s="8">
        <f ca="1">IFERROR(__xludf.DUMMYFUNCTION("GOOGLEFINANCE(""NSE:""&amp;D343,""price"")"),317.95)</f>
        <v>317.95</v>
      </c>
      <c r="M343" s="9">
        <f t="shared" ca="1" si="7"/>
        <v>-674.84999999999991</v>
      </c>
      <c r="N343" s="10">
        <f t="shared" ca="1" si="8"/>
        <v>-67.974415793714741</v>
      </c>
      <c r="O343" s="7">
        <f ca="1">IFERROR(__xludf.DUMMYFUNCTION("GOOGLEFINANCE(""NSE:""&amp;D343,""pe"")"),13.84)</f>
        <v>13.84</v>
      </c>
      <c r="P343" s="7">
        <f ca="1">IFERROR(__xludf.DUMMYFUNCTION("GOOGLEFINANCE(""NSE:""&amp;D343,""EPS"")"),22.98)</f>
        <v>22.98</v>
      </c>
      <c r="Q343" s="7">
        <v>13.5</v>
      </c>
      <c r="R343" s="7" t="str">
        <f ca="1">IFERROR(__xludf.DUMMYFUNCTION("IMPORTXML(E343,""/html/body/main/div[3]/div[3]/div[2]/ul/li[7]/span[2]/span"")"),"Loading...")</f>
        <v>Loading...</v>
      </c>
      <c r="S343" s="7" t="str">
        <f ca="1">IFERROR(__xludf.DUMMYFUNCTION("IMPORTXML(E343,""/html/body/main/div[3]/div[3]/div[2]/ul/li[8]/span[2]/span"")"),"Loading...")</f>
        <v>Loading...</v>
      </c>
      <c r="T343" s="4">
        <v>34.6</v>
      </c>
      <c r="U343" s="4">
        <v>22.7</v>
      </c>
      <c r="V343" s="4">
        <v>2.6</v>
      </c>
      <c r="W343" s="4">
        <v>5.7</v>
      </c>
      <c r="X343" s="4">
        <v>519.92999999999995</v>
      </c>
      <c r="Y343" s="7">
        <f t="shared" ca="1" si="9"/>
        <v>-201.97999999999996</v>
      </c>
    </row>
    <row r="344" spans="1:25" ht="15" x14ac:dyDescent="0.25">
      <c r="A344" s="4">
        <v>104</v>
      </c>
      <c r="C344" s="12" t="s">
        <v>1231</v>
      </c>
      <c r="D344" s="12" t="s">
        <v>1232</v>
      </c>
      <c r="E344" s="5" t="str">
        <f t="shared" si="5"/>
        <v>https://www.screener.in/company/NCC/consolidated/</v>
      </c>
      <c r="F344" s="4">
        <v>443059</v>
      </c>
      <c r="G344" s="4">
        <v>3832241897</v>
      </c>
      <c r="H344" s="6">
        <f t="shared" ca="1" si="6"/>
        <v>79423.213315325003</v>
      </c>
      <c r="I344" s="7" t="str">
        <f ca="1">IFERROR(__xludf.DUMMYFUNCTION("IMPORTXML(E344,""/html/body/main/div[3]/div[3]/div[2]/ul/li[5]/span[2]/span"")"),"Loading...")</f>
        <v>Loading...</v>
      </c>
      <c r="J344" s="7">
        <f ca="1">IFERROR(__xludf.DUMMYFUNCTION("GOOGLEFINANCE(""NSE:""&amp;D344,""marketcap"")"),129543211350)</f>
        <v>129543211350</v>
      </c>
      <c r="K344" s="7">
        <v>992.8</v>
      </c>
      <c r="L344" s="8">
        <f ca="1">IFERROR(__xludf.DUMMYFUNCTION("GOOGLEFINANCE(""NSE:""&amp;D344,""price"")"),207.25)</f>
        <v>207.25</v>
      </c>
      <c r="M344" s="9">
        <f t="shared" ca="1" si="7"/>
        <v>-785.55</v>
      </c>
      <c r="N344" s="10">
        <f t="shared" ca="1" si="8"/>
        <v>-79.124697824335215</v>
      </c>
      <c r="O344" s="7">
        <f ca="1">IFERROR(__xludf.DUMMYFUNCTION("GOOGLEFINANCE(""NSE:""&amp;D344,""pe"")"),16.22)</f>
        <v>16.22</v>
      </c>
      <c r="P344" s="7">
        <f ca="1">IFERROR(__xludf.DUMMYFUNCTION("GOOGLEFINANCE(""NSE:""&amp;D344,""EPS"")"),12.78)</f>
        <v>12.78</v>
      </c>
      <c r="Q344" s="7">
        <v>13.5</v>
      </c>
      <c r="R344" s="7" t="str">
        <f ca="1">IFERROR(__xludf.DUMMYFUNCTION("IMPORTXML(E344,""/html/body/main/div[3]/div[3]/div[2]/ul/li[7]/span[2]/span"")"),"Loading...")</f>
        <v>Loading...</v>
      </c>
      <c r="S344" s="7" t="str">
        <f ca="1">IFERROR(__xludf.DUMMYFUNCTION("IMPORTXML(E344,""/html/body/main/div[3]/div[3]/div[2]/ul/li[8]/span[2]/span"")"),"Loading...")</f>
        <v>Loading...</v>
      </c>
      <c r="T344" s="4">
        <v>34.6</v>
      </c>
      <c r="U344" s="4">
        <v>22.7</v>
      </c>
      <c r="V344" s="4">
        <v>2.6</v>
      </c>
      <c r="W344" s="4">
        <v>5.7</v>
      </c>
      <c r="X344" s="4">
        <v>519.92999999999995</v>
      </c>
      <c r="Y344" s="7">
        <f t="shared" ca="1" si="9"/>
        <v>-312.67999999999995</v>
      </c>
    </row>
    <row r="345" spans="1:25" ht="15" x14ac:dyDescent="0.25">
      <c r="A345" s="4">
        <v>698</v>
      </c>
      <c r="C345" s="12" t="s">
        <v>1233</v>
      </c>
      <c r="D345" s="12" t="s">
        <v>1234</v>
      </c>
      <c r="E345" s="5" t="str">
        <f t="shared" si="5"/>
        <v>https://www.screener.in/company/SURAJEST/consolidated/</v>
      </c>
      <c r="F345" s="4">
        <v>443059</v>
      </c>
      <c r="G345" s="4">
        <v>3832241897</v>
      </c>
      <c r="H345" s="6">
        <f t="shared" ca="1" si="6"/>
        <v>116461.83124982998</v>
      </c>
      <c r="I345" s="7" t="str">
        <f ca="1">IFERROR(__xludf.DUMMYFUNCTION("IMPORTXML(E345,""/html/body/main/div[3]/div[3]/div[2]/ul/li[5]/span[2]/span"")"),"Loading...")</f>
        <v>Loading...</v>
      </c>
      <c r="J345" s="7">
        <f ca="1">IFERROR(__xludf.DUMMYFUNCTION("GOOGLEFINANCE(""NSE:""&amp;D345,""marketcap"")"),14587994450)</f>
        <v>14587994450</v>
      </c>
      <c r="K345" s="7">
        <v>992.8</v>
      </c>
      <c r="L345" s="8">
        <f ca="1">IFERROR(__xludf.DUMMYFUNCTION("GOOGLEFINANCE(""NSE:""&amp;D345,""price"")"),303.9)</f>
        <v>303.89999999999998</v>
      </c>
      <c r="M345" s="9">
        <f t="shared" ca="1" si="7"/>
        <v>-688.9</v>
      </c>
      <c r="N345" s="10">
        <f t="shared" ca="1" si="8"/>
        <v>-69.389605157131356</v>
      </c>
      <c r="O345" s="7">
        <f ca="1">IFERROR(__xludf.DUMMYFUNCTION("GOOGLEFINANCE(""NSE:""&amp;D345,""pe"")"),15.43)</f>
        <v>15.43</v>
      </c>
      <c r="P345" s="7">
        <f ca="1">IFERROR(__xludf.DUMMYFUNCTION("GOOGLEFINANCE(""NSE:""&amp;D345,""EPS"")"),19.7)</f>
        <v>19.7</v>
      </c>
      <c r="Q345" s="7">
        <v>13.5</v>
      </c>
      <c r="R345" s="7" t="str">
        <f ca="1">IFERROR(__xludf.DUMMYFUNCTION("IMPORTXML(E345,""/html/body/main/div[3]/div[3]/div[2]/ul/li[7]/span[2]/span"")"),"Loading...")</f>
        <v>Loading...</v>
      </c>
      <c r="S345" s="7" t="str">
        <f ca="1">IFERROR(__xludf.DUMMYFUNCTION("IMPORTXML(E345,""/html/body/main/div[3]/div[3]/div[2]/ul/li[8]/span[2]/span"")"),"Loading...")</f>
        <v>Loading...</v>
      </c>
      <c r="T345" s="4">
        <v>34.6</v>
      </c>
      <c r="U345" s="4">
        <v>22.7</v>
      </c>
      <c r="V345" s="4">
        <v>2.6</v>
      </c>
      <c r="W345" s="4">
        <v>5.7</v>
      </c>
      <c r="X345" s="4">
        <v>519.92999999999995</v>
      </c>
      <c r="Y345" s="7">
        <f t="shared" ca="1" si="9"/>
        <v>-216.02999999999997</v>
      </c>
    </row>
    <row r="346" spans="1:25" ht="15" x14ac:dyDescent="0.25">
      <c r="A346" s="4">
        <v>1668</v>
      </c>
      <c r="C346" s="12" t="s">
        <v>1235</v>
      </c>
      <c r="D346" s="12" t="s">
        <v>1236</v>
      </c>
      <c r="E346" s="5" t="str">
        <f t="shared" si="5"/>
        <v>https://www.screener.in/company/TRU/consolidated/</v>
      </c>
      <c r="F346" s="4">
        <v>443059</v>
      </c>
      <c r="G346" s="4">
        <v>3832241897</v>
      </c>
      <c r="H346" s="6">
        <f t="shared" ca="1" si="6"/>
        <v>5169.6943190530001</v>
      </c>
      <c r="I346" s="7" t="str">
        <f ca="1">IFERROR(__xludf.DUMMYFUNCTION("IMPORTXML(E346,""/html/body/main/div[3]/div[3]/div[2]/ul/li[5]/span[2]/span"")"),"Loading...")</f>
        <v>Loading...</v>
      </c>
      <c r="J346" s="7">
        <f ca="1">IFERROR(__xludf.DUMMYFUNCTION("GOOGLEFINANCE(""NSE:""&amp;D346,""marketcap"")"),1603445654)</f>
        <v>1603445654</v>
      </c>
      <c r="K346" s="7">
        <v>992.8</v>
      </c>
      <c r="L346" s="8">
        <f ca="1">IFERROR(__xludf.DUMMYFUNCTION("GOOGLEFINANCE(""NSE:""&amp;D346,""price"")"),13.49)</f>
        <v>13.49</v>
      </c>
      <c r="M346" s="9">
        <f t="shared" ca="1" si="7"/>
        <v>-979.31</v>
      </c>
      <c r="N346" s="10">
        <f t="shared" ca="1" si="8"/>
        <v>-98.641216760676869</v>
      </c>
      <c r="O346" s="7" t="str">
        <f ca="1">IFERROR(__xludf.DUMMYFUNCTION("GOOGLEFINANCE(""NSE:""&amp;D346,""pe"")"),"#N/A")</f>
        <v>#N/A</v>
      </c>
      <c r="P346" s="7">
        <f ca="1">IFERROR(__xludf.DUMMYFUNCTION("GOOGLEFINANCE(""NSE:""&amp;D346,""EPS"")"),-5.95)</f>
        <v>-5.95</v>
      </c>
      <c r="Q346" s="7">
        <v>13.5</v>
      </c>
      <c r="R346" s="7" t="str">
        <f ca="1">IFERROR(__xludf.DUMMYFUNCTION("IMPORTXML(E346,""/html/body/main/div[3]/div[3]/div[2]/ul/li[7]/span[2]/span"")"),"Loading...")</f>
        <v>Loading...</v>
      </c>
      <c r="S346" s="7" t="str">
        <f ca="1">IFERROR(__xludf.DUMMYFUNCTION("IMPORTXML(E346,""/html/body/main/div[3]/div[3]/div[2]/ul/li[8]/span[2]/span"")"),"Loading...")</f>
        <v>Loading...</v>
      </c>
      <c r="T346" s="4">
        <v>34.6</v>
      </c>
      <c r="U346" s="4">
        <v>22.7</v>
      </c>
      <c r="V346" s="4">
        <v>2.6</v>
      </c>
      <c r="W346" s="4">
        <v>5.7</v>
      </c>
      <c r="X346" s="4">
        <v>519.92999999999995</v>
      </c>
      <c r="Y346" s="7">
        <f t="shared" ca="1" si="9"/>
        <v>-506.43999999999994</v>
      </c>
    </row>
    <row r="347" spans="1:25" ht="15" x14ac:dyDescent="0.25">
      <c r="A347" s="4">
        <v>527</v>
      </c>
      <c r="C347" s="12" t="s">
        <v>1237</v>
      </c>
      <c r="D347" s="12" t="s">
        <v>1238</v>
      </c>
      <c r="E347" s="5" t="str">
        <f t="shared" si="5"/>
        <v>https://www.screener.in/company/UTKARSHBNK/consolidated/</v>
      </c>
      <c r="F347" s="4">
        <v>443059</v>
      </c>
      <c r="G347" s="4">
        <v>3832241897</v>
      </c>
      <c r="H347" s="6">
        <f t="shared" ca="1" si="6"/>
        <v>8193.3331757859996</v>
      </c>
      <c r="I347" s="7" t="str">
        <f ca="1">IFERROR(__xludf.DUMMYFUNCTION("IMPORTXML(E347,""/html/body/main/div[3]/div[3]/div[2]/ul/li[5]/span[2]/span"")"),"Loading...")</f>
        <v>Loading...</v>
      </c>
      <c r="J347" s="7">
        <f ca="1">IFERROR(__xludf.DUMMYFUNCTION("GOOGLEFINANCE(""NSE:""&amp;D347,""marketcap"")"),23552420875)</f>
        <v>23552420875</v>
      </c>
      <c r="K347" s="7">
        <v>992.8</v>
      </c>
      <c r="L347" s="8">
        <f ca="1">IFERROR(__xludf.DUMMYFUNCTION("GOOGLEFINANCE(""NSE:""&amp;D347,""price"")"),21.38)</f>
        <v>21.38</v>
      </c>
      <c r="M347" s="9">
        <f t="shared" ca="1" si="7"/>
        <v>-971.42</v>
      </c>
      <c r="N347" s="10">
        <f t="shared" ca="1" si="8"/>
        <v>-97.846494762288486</v>
      </c>
      <c r="O347" s="7" t="str">
        <f ca="1">IFERROR(__xludf.DUMMYFUNCTION("GOOGLEFINANCE(""NSE:""&amp;D347,""pe"")"),"#N/A")</f>
        <v>#N/A</v>
      </c>
      <c r="P347" s="7">
        <f ca="1">IFERROR(__xludf.DUMMYFUNCTION("GOOGLEFINANCE(""NSE:""&amp;D347,""EPS"")"),-3.21)</f>
        <v>-3.21</v>
      </c>
      <c r="Q347" s="7">
        <v>13.5</v>
      </c>
      <c r="R347" s="7" t="str">
        <f ca="1">IFERROR(__xludf.DUMMYFUNCTION("IMPORTXML(E347,""/html/body/main/div[3]/div[3]/div[2]/ul/li[7]/span[2]/span"")"),"Loading...")</f>
        <v>Loading...</v>
      </c>
      <c r="S347" s="7" t="str">
        <f ca="1">IFERROR(__xludf.DUMMYFUNCTION("IMPORTXML(E347,""/html/body/main/div[3]/div[3]/div[2]/ul/li[8]/span[2]/span"")"),"Loading...")</f>
        <v>Loading...</v>
      </c>
      <c r="T347" s="4">
        <v>34.6</v>
      </c>
      <c r="U347" s="4">
        <v>22.7</v>
      </c>
      <c r="V347" s="4">
        <v>2.6</v>
      </c>
      <c r="W347" s="4">
        <v>5.7</v>
      </c>
      <c r="X347" s="4">
        <v>519.92999999999995</v>
      </c>
      <c r="Y347" s="7">
        <f t="shared" ca="1" si="9"/>
        <v>-498.54999999999995</v>
      </c>
    </row>
    <row r="348" spans="1:25" ht="15" x14ac:dyDescent="0.25">
      <c r="A348" s="4">
        <v>891</v>
      </c>
      <c r="C348" s="12" t="s">
        <v>1239</v>
      </c>
      <c r="D348" s="12" t="s">
        <v>1240</v>
      </c>
      <c r="E348" s="5" t="str">
        <f t="shared" si="5"/>
        <v>https://www.screener.in/company/EKC/consolidated/</v>
      </c>
      <c r="F348" s="4">
        <v>443059</v>
      </c>
      <c r="G348" s="4">
        <v>3832241897</v>
      </c>
      <c r="H348" s="6">
        <f t="shared" ca="1" si="6"/>
        <v>53996.288328730006</v>
      </c>
      <c r="I348" s="7" t="str">
        <f ca="1">IFERROR(__xludf.DUMMYFUNCTION("IMPORTXML(E348,""/html/body/main/div[3]/div[3]/div[2]/ul/li[5]/span[2]/span"")"),"Loading...")</f>
        <v>Loading...</v>
      </c>
      <c r="J348" s="7">
        <f ca="1">IFERROR(__xludf.DUMMYFUNCTION("GOOGLEFINANCE(""NSE:""&amp;D348,""marketcap"")"),15774139644)</f>
        <v>15774139644</v>
      </c>
      <c r="K348" s="7">
        <v>992.8</v>
      </c>
      <c r="L348" s="8">
        <f ca="1">IFERROR(__xludf.DUMMYFUNCTION("GOOGLEFINANCE(""NSE:""&amp;D348,""price"")"),140.9)</f>
        <v>140.9</v>
      </c>
      <c r="M348" s="9">
        <f t="shared" ca="1" si="7"/>
        <v>-851.9</v>
      </c>
      <c r="N348" s="10">
        <f t="shared" ca="1" si="8"/>
        <v>-85.807816277195812</v>
      </c>
      <c r="O348" s="7">
        <f ca="1">IFERROR(__xludf.DUMMYFUNCTION("GOOGLEFINANCE(""NSE:""&amp;D348,""pe"")"),13.01)</f>
        <v>13.01</v>
      </c>
      <c r="P348" s="7">
        <f ca="1">IFERROR(__xludf.DUMMYFUNCTION("GOOGLEFINANCE(""NSE:""&amp;D348,""EPS"")"),10.83)</f>
        <v>10.83</v>
      </c>
      <c r="Q348" s="7">
        <v>13.5</v>
      </c>
      <c r="R348" s="7" t="str">
        <f ca="1">IFERROR(__xludf.DUMMYFUNCTION("IMPORTXML(E348,""/html/body/main/div[3]/div[3]/div[2]/ul/li[7]/span[2]/span"")"),"Loading...")</f>
        <v>Loading...</v>
      </c>
      <c r="S348" s="7" t="str">
        <f ca="1">IFERROR(__xludf.DUMMYFUNCTION("IMPORTXML(E348,""/html/body/main/div[3]/div[3]/div[2]/ul/li[8]/span[2]/span"")"),"Loading...")</f>
        <v>Loading...</v>
      </c>
      <c r="T348" s="4">
        <v>34.6</v>
      </c>
      <c r="U348" s="4">
        <v>22.7</v>
      </c>
      <c r="V348" s="4">
        <v>2.6</v>
      </c>
      <c r="W348" s="4">
        <v>5.7</v>
      </c>
      <c r="X348" s="4">
        <v>519.92999999999995</v>
      </c>
      <c r="Y348" s="7">
        <f t="shared" ca="1" si="9"/>
        <v>-379.03</v>
      </c>
    </row>
    <row r="349" spans="1:25" ht="15" x14ac:dyDescent="0.25">
      <c r="A349" s="4">
        <v>2024</v>
      </c>
      <c r="C349" s="12" t="s">
        <v>1241</v>
      </c>
      <c r="D349" s="12" t="s">
        <v>1242</v>
      </c>
      <c r="E349" s="5" t="str">
        <f t="shared" si="5"/>
        <v>https://www.screener.in/company/INDBANK/consolidated/</v>
      </c>
      <c r="F349" s="4">
        <v>443059</v>
      </c>
      <c r="G349" s="4">
        <v>3832241897</v>
      </c>
      <c r="H349" s="6">
        <f t="shared" ca="1" si="6"/>
        <v>12447.121681455998</v>
      </c>
      <c r="I349" s="7" t="str">
        <f ca="1">IFERROR(__xludf.DUMMYFUNCTION("IMPORTXML(E349,""/html/body/main/div[3]/div[3]/div[2]/ul/li[5]/span[2]/span"")"),"Loading...")</f>
        <v>Loading...</v>
      </c>
      <c r="J349" s="7">
        <f ca="1">IFERROR(__xludf.DUMMYFUNCTION("GOOGLEFINANCE(""NSE:""&amp;D349,""marketcap"")"),1441403915)</f>
        <v>1441403915</v>
      </c>
      <c r="K349" s="7">
        <v>992.8</v>
      </c>
      <c r="L349" s="8">
        <f ca="1">IFERROR(__xludf.DUMMYFUNCTION("GOOGLEFINANCE(""NSE:""&amp;D349,""price"")"),32.48)</f>
        <v>32.479999999999997</v>
      </c>
      <c r="M349" s="9">
        <f t="shared" ca="1" si="7"/>
        <v>-960.31999999999994</v>
      </c>
      <c r="N349" s="10">
        <f t="shared" ca="1" si="8"/>
        <v>-96.728444802578565</v>
      </c>
      <c r="O349" s="7">
        <f ca="1">IFERROR(__xludf.DUMMYFUNCTION("GOOGLEFINANCE(""NSE:""&amp;D349,""pe"")"),18.7)</f>
        <v>18.7</v>
      </c>
      <c r="P349" s="7">
        <f ca="1">IFERROR(__xludf.DUMMYFUNCTION("GOOGLEFINANCE(""NSE:""&amp;D349,""EPS"")"),1.74)</f>
        <v>1.74</v>
      </c>
      <c r="Q349" s="7">
        <v>13.5</v>
      </c>
      <c r="R349" s="7" t="str">
        <f ca="1">IFERROR(__xludf.DUMMYFUNCTION("IMPORTXML(E349,""/html/body/main/div[3]/div[3]/div[2]/ul/li[7]/span[2]/span"")"),"Loading...")</f>
        <v>Loading...</v>
      </c>
      <c r="S349" s="7" t="str">
        <f ca="1">IFERROR(__xludf.DUMMYFUNCTION("IMPORTXML(E349,""/html/body/main/div[3]/div[3]/div[2]/ul/li[8]/span[2]/span"")"),"Loading...")</f>
        <v>Loading...</v>
      </c>
      <c r="T349" s="4">
        <v>34.6</v>
      </c>
      <c r="U349" s="4">
        <v>22.7</v>
      </c>
      <c r="V349" s="4">
        <v>2.6</v>
      </c>
      <c r="W349" s="4">
        <v>5.7</v>
      </c>
      <c r="X349" s="4">
        <v>519.92999999999995</v>
      </c>
      <c r="Y349" s="7">
        <f t="shared" ca="1" si="9"/>
        <v>-487.44999999999993</v>
      </c>
    </row>
    <row r="350" spans="1:25" ht="15" x14ac:dyDescent="0.25">
      <c r="A350" s="4">
        <v>8</v>
      </c>
      <c r="C350" s="12" t="s">
        <v>1243</v>
      </c>
      <c r="D350" s="12" t="s">
        <v>1244</v>
      </c>
      <c r="E350" s="5" t="str">
        <f t="shared" si="5"/>
        <v>https://www.screener.in/company/CHOLAHLDNG/consolidated/</v>
      </c>
      <c r="F350" s="4">
        <v>443059</v>
      </c>
      <c r="G350" s="4">
        <v>3832241897</v>
      </c>
      <c r="H350" s="6">
        <f t="shared" ca="1" si="6"/>
        <v>672558.45292349998</v>
      </c>
      <c r="I350" s="7" t="str">
        <f ca="1">IFERROR(__xludf.DUMMYFUNCTION("IMPORTXML(E350,""/html/body/main/div[3]/div[3]/div[2]/ul/li[5]/span[2]/span"")"),"Loading...")</f>
        <v>Loading...</v>
      </c>
      <c r="J350" s="7">
        <f ca="1">IFERROR(__xludf.DUMMYFUNCTION("GOOGLEFINANCE(""NSE:""&amp;D350,""marketcap"")"),329549337000)</f>
        <v>329549337000</v>
      </c>
      <c r="K350" s="7">
        <v>992.8</v>
      </c>
      <c r="L350" s="8">
        <f ca="1">IFERROR(__xludf.DUMMYFUNCTION("GOOGLEFINANCE(""NSE:""&amp;D350,""price"")"),1755)</f>
        <v>1755</v>
      </c>
      <c r="M350" s="9">
        <f t="shared" ca="1" si="7"/>
        <v>762.2</v>
      </c>
      <c r="N350" s="10">
        <f t="shared" ca="1" si="8"/>
        <v>76.772763900080591</v>
      </c>
      <c r="O350" s="7">
        <f ca="1">IFERROR(__xludf.DUMMYFUNCTION("GOOGLEFINANCE(""NSE:""&amp;D350,""pe"")"),14.95)</f>
        <v>14.95</v>
      </c>
      <c r="P350" s="7">
        <f ca="1">IFERROR(__xludf.DUMMYFUNCTION("GOOGLEFINANCE(""NSE:""&amp;D350,""EPS"")"),117.37)</f>
        <v>117.37</v>
      </c>
      <c r="Q350" s="7">
        <v>13.5</v>
      </c>
      <c r="R350" s="7" t="str">
        <f ca="1">IFERROR(__xludf.DUMMYFUNCTION("IMPORTXML(E350,""/html/body/main/div[3]/div[3]/div[2]/ul/li[7]/span[2]/span"")"),"Loading...")</f>
        <v>Loading...</v>
      </c>
      <c r="S350" s="7" t="str">
        <f ca="1">IFERROR(__xludf.DUMMYFUNCTION("IMPORTXML(E350,""/html/body/main/div[3]/div[3]/div[2]/ul/li[8]/span[2]/span"")"),"Loading...")</f>
        <v>Loading...</v>
      </c>
      <c r="T350" s="4">
        <v>34.6</v>
      </c>
      <c r="U350" s="4">
        <v>22.7</v>
      </c>
      <c r="V350" s="4">
        <v>2.6</v>
      </c>
      <c r="W350" s="4">
        <v>5.7</v>
      </c>
      <c r="X350" s="4">
        <v>519.92999999999995</v>
      </c>
      <c r="Y350" s="7">
        <f t="shared" ca="1" si="9"/>
        <v>1235.0700000000002</v>
      </c>
    </row>
    <row r="351" spans="1:25" ht="15" x14ac:dyDescent="0.25">
      <c r="A351" s="4">
        <v>1994</v>
      </c>
      <c r="C351" s="12" t="s">
        <v>1245</v>
      </c>
      <c r="D351" s="12" t="s">
        <v>1246</v>
      </c>
      <c r="E351" s="5" t="str">
        <f t="shared" si="5"/>
        <v>https://www.screener.in/company/AMJLAND/consolidated/</v>
      </c>
      <c r="F351" s="4">
        <v>443059</v>
      </c>
      <c r="G351" s="4">
        <v>3832241897</v>
      </c>
      <c r="H351" s="6">
        <f t="shared" ca="1" si="6"/>
        <v>21575.521880109998</v>
      </c>
      <c r="I351" s="7" t="str">
        <f ca="1">IFERROR(__xludf.DUMMYFUNCTION("IMPORTXML(E351,""/html/body/main/div[3]/div[3]/div[2]/ul/li[5]/span[2]/span"")"),"Loading...")</f>
        <v>Loading...</v>
      </c>
      <c r="J351" s="7">
        <f ca="1">IFERROR(__xludf.DUMMYFUNCTION("GOOGLEFINANCE(""NSE:""&amp;D351,""marketcap"")"),2316531474)</f>
        <v>2316531474</v>
      </c>
      <c r="K351" s="7">
        <v>992.8</v>
      </c>
      <c r="L351" s="8">
        <f ca="1">IFERROR(__xludf.DUMMYFUNCTION("GOOGLEFINANCE(""NSE:""&amp;D351,""price"")"),56.3)</f>
        <v>56.3</v>
      </c>
      <c r="M351" s="9">
        <f t="shared" ca="1" si="7"/>
        <v>-936.5</v>
      </c>
      <c r="N351" s="10">
        <f t="shared" ca="1" si="8"/>
        <v>-94.329170024174061</v>
      </c>
      <c r="O351" s="7">
        <f ca="1">IFERROR(__xludf.DUMMYFUNCTION("GOOGLEFINANCE(""NSE:""&amp;D351,""pe"")"),11.56)</f>
        <v>11.56</v>
      </c>
      <c r="P351" s="7">
        <f ca="1">IFERROR(__xludf.DUMMYFUNCTION("GOOGLEFINANCE(""NSE:""&amp;D351,""EPS"")"),4.87)</f>
        <v>4.87</v>
      </c>
      <c r="Q351" s="7">
        <v>13.5</v>
      </c>
      <c r="R351" s="7" t="str">
        <f ca="1">IFERROR(__xludf.DUMMYFUNCTION("IMPORTXML(E351,""/html/body/main/div[3]/div[3]/div[2]/ul/li[7]/span[2]/span"")"),"Loading...")</f>
        <v>Loading...</v>
      </c>
      <c r="S351" s="7" t="str">
        <f ca="1">IFERROR(__xludf.DUMMYFUNCTION("IMPORTXML(E351,""/html/body/main/div[3]/div[3]/div[2]/ul/li[8]/span[2]/span"")"),"Loading...")</f>
        <v>Loading...</v>
      </c>
      <c r="T351" s="4">
        <v>34.6</v>
      </c>
      <c r="U351" s="4">
        <v>22.7</v>
      </c>
      <c r="V351" s="4">
        <v>2.6</v>
      </c>
      <c r="W351" s="4">
        <v>5.7</v>
      </c>
      <c r="X351" s="4">
        <v>519.92999999999995</v>
      </c>
      <c r="Y351" s="7">
        <f t="shared" ca="1" si="9"/>
        <v>-463.62999999999994</v>
      </c>
    </row>
    <row r="352" spans="1:25" ht="15" x14ac:dyDescent="0.25">
      <c r="A352" s="4">
        <v>1306</v>
      </c>
      <c r="C352" s="12" t="s">
        <v>1247</v>
      </c>
      <c r="D352" s="12" t="s">
        <v>1248</v>
      </c>
      <c r="E352" s="5" t="str">
        <f t="shared" si="5"/>
        <v>https://www.screener.in/company/TNPETRO/consolidated/</v>
      </c>
      <c r="F352" s="4">
        <v>443059</v>
      </c>
      <c r="G352" s="4">
        <v>3832241897</v>
      </c>
      <c r="H352" s="6">
        <f t="shared" ca="1" si="6"/>
        <v>39472.091539100002</v>
      </c>
      <c r="I352" s="7" t="str">
        <f ca="1">IFERROR(__xludf.DUMMYFUNCTION("IMPORTXML(E352,""/html/body/main/div[3]/div[3]/div[2]/ul/li[5]/span[2]/span"")"),"Loading...")</f>
        <v>Loading...</v>
      </c>
      <c r="J352" s="7">
        <f ca="1">IFERROR(__xludf.DUMMYFUNCTION("GOOGLEFINANCE(""NSE:""&amp;D352,""marketcap"")"),9270661000)</f>
        <v>9270661000</v>
      </c>
      <c r="K352" s="7">
        <v>992.8</v>
      </c>
      <c r="L352" s="8">
        <f ca="1">IFERROR(__xludf.DUMMYFUNCTION("GOOGLEFINANCE(""NSE:""&amp;D352,""price"")"),103)</f>
        <v>103</v>
      </c>
      <c r="M352" s="9">
        <f t="shared" ca="1" si="7"/>
        <v>-889.8</v>
      </c>
      <c r="N352" s="10">
        <f t="shared" ca="1" si="8"/>
        <v>-89.625302175664785</v>
      </c>
      <c r="O352" s="7">
        <f ca="1">IFERROR(__xludf.DUMMYFUNCTION("GOOGLEFINANCE(""NSE:""&amp;D352,""pe"")"),11.81)</f>
        <v>11.81</v>
      </c>
      <c r="P352" s="7">
        <f ca="1">IFERROR(__xludf.DUMMYFUNCTION("GOOGLEFINANCE(""NSE:""&amp;D352,""EPS"")"),8.72)</f>
        <v>8.7200000000000006</v>
      </c>
      <c r="Q352" s="7">
        <v>13.5</v>
      </c>
      <c r="R352" s="7" t="str">
        <f ca="1">IFERROR(__xludf.DUMMYFUNCTION("IMPORTXML(E352,""/html/body/main/div[3]/div[3]/div[2]/ul/li[7]/span[2]/span"")"),"Loading...")</f>
        <v>Loading...</v>
      </c>
      <c r="S352" s="7" t="str">
        <f ca="1">IFERROR(__xludf.DUMMYFUNCTION("IMPORTXML(E352,""/html/body/main/div[3]/div[3]/div[2]/ul/li[8]/span[2]/span"")"),"Loading...")</f>
        <v>Loading...</v>
      </c>
      <c r="T352" s="4">
        <v>34.6</v>
      </c>
      <c r="U352" s="4">
        <v>22.7</v>
      </c>
      <c r="V352" s="4">
        <v>2.6</v>
      </c>
      <c r="W352" s="4">
        <v>5.7</v>
      </c>
      <c r="X352" s="4">
        <v>519.92999999999995</v>
      </c>
      <c r="Y352" s="7">
        <f t="shared" ca="1" si="9"/>
        <v>-416.92999999999995</v>
      </c>
    </row>
    <row r="353" spans="1:25" ht="15" x14ac:dyDescent="0.25">
      <c r="A353" s="4">
        <v>612</v>
      </c>
      <c r="C353" s="12" t="s">
        <v>1249</v>
      </c>
      <c r="D353" s="12" t="s">
        <v>1250</v>
      </c>
      <c r="E353" s="5" t="str">
        <f t="shared" si="5"/>
        <v>https://www.screener.in/company/KSL/consolidated/</v>
      </c>
      <c r="F353" s="4">
        <v>443059</v>
      </c>
      <c r="G353" s="4">
        <v>3832241897</v>
      </c>
      <c r="H353" s="6">
        <f t="shared" ca="1" si="6"/>
        <v>312327.71460549999</v>
      </c>
      <c r="I353" s="7" t="str">
        <f ca="1">IFERROR(__xludf.DUMMYFUNCTION("IMPORTXML(E353,""/html/body/main/div[3]/div[3]/div[2]/ul/li[5]/span[2]/span"")"),"Loading...")</f>
        <v>Loading...</v>
      </c>
      <c r="J353" s="7">
        <f ca="1">IFERROR(__xludf.DUMMYFUNCTION("GOOGLEFINANCE(""NSE:""&amp;D353,""marketcap"")"),35577235750)</f>
        <v>35577235750</v>
      </c>
      <c r="K353" s="7">
        <v>992.8</v>
      </c>
      <c r="L353" s="8">
        <f ca="1">IFERROR(__xludf.DUMMYFUNCTION("GOOGLEFINANCE(""NSE:""&amp;D353,""price"")"),815)</f>
        <v>815</v>
      </c>
      <c r="M353" s="9">
        <f t="shared" ca="1" si="7"/>
        <v>-177.79999999999995</v>
      </c>
      <c r="N353" s="10">
        <f t="shared" ca="1" si="8"/>
        <v>-17.908944399677676</v>
      </c>
      <c r="O353" s="7">
        <f ca="1">IFERROR(__xludf.DUMMYFUNCTION("GOOGLEFINANCE(""NSE:""&amp;D353,""pe"")"),13.39)</f>
        <v>13.39</v>
      </c>
      <c r="P353" s="7">
        <f ca="1">IFERROR(__xludf.DUMMYFUNCTION("GOOGLEFINANCE(""NSE:""&amp;D353,""EPS"")"),60.87)</f>
        <v>60.87</v>
      </c>
      <c r="Q353" s="7">
        <v>13.5</v>
      </c>
      <c r="R353" s="7" t="str">
        <f ca="1">IFERROR(__xludf.DUMMYFUNCTION("IMPORTXML(E353,""/html/body/main/div[3]/div[3]/div[2]/ul/li[7]/span[2]/span"")"),"Loading...")</f>
        <v>Loading...</v>
      </c>
      <c r="S353" s="7" t="str">
        <f ca="1">IFERROR(__xludf.DUMMYFUNCTION("IMPORTXML(E353,""/html/body/main/div[3]/div[3]/div[2]/ul/li[8]/span[2]/span"")"),"Loading...")</f>
        <v>Loading...</v>
      </c>
      <c r="T353" s="4">
        <v>34.6</v>
      </c>
      <c r="U353" s="4">
        <v>22.7</v>
      </c>
      <c r="V353" s="4">
        <v>2.6</v>
      </c>
      <c r="W353" s="4">
        <v>5.7</v>
      </c>
      <c r="X353" s="4">
        <v>519.92999999999995</v>
      </c>
      <c r="Y353" s="7">
        <f t="shared" ca="1" si="9"/>
        <v>295.07000000000005</v>
      </c>
    </row>
    <row r="354" spans="1:25" ht="15" x14ac:dyDescent="0.25">
      <c r="A354" s="4">
        <v>1048</v>
      </c>
      <c r="C354" s="12" t="s">
        <v>1251</v>
      </c>
      <c r="D354" s="12" t="s">
        <v>1252</v>
      </c>
      <c r="E354" s="5" t="str">
        <f t="shared" si="5"/>
        <v>https://www.screener.in/company/CENTENKA/consolidated/</v>
      </c>
      <c r="F354" s="4">
        <v>443059</v>
      </c>
      <c r="G354" s="4">
        <v>3832241897</v>
      </c>
      <c r="H354" s="6">
        <f t="shared" ca="1" si="6"/>
        <v>193164.15281828502</v>
      </c>
      <c r="I354" s="7" t="str">
        <f ca="1">IFERROR(__xludf.DUMMYFUNCTION("IMPORTXML(E354,""/html/body/main/div[3]/div[3]/div[2]/ul/li[5]/span[2]/span"")"),"Loading...")</f>
        <v>Loading...</v>
      </c>
      <c r="J354" s="7">
        <f ca="1">IFERROR(__xludf.DUMMYFUNCTION("GOOGLEFINANCE(""NSE:""&amp;D354,""marketcap"")"),11080430000)</f>
        <v>11080430000</v>
      </c>
      <c r="K354" s="7">
        <v>992.8</v>
      </c>
      <c r="L354" s="8">
        <f ca="1">IFERROR(__xludf.DUMMYFUNCTION("GOOGLEFINANCE(""NSE:""&amp;D354,""price"")"),504.05)</f>
        <v>504.05</v>
      </c>
      <c r="M354" s="9">
        <f t="shared" ca="1" si="7"/>
        <v>-488.74999999999994</v>
      </c>
      <c r="N354" s="10">
        <f t="shared" ca="1" si="8"/>
        <v>-49.229452054794514</v>
      </c>
      <c r="O354" s="7">
        <f ca="1">IFERROR(__xludf.DUMMYFUNCTION("GOOGLEFINANCE(""NSE:""&amp;D354,""pe"")"),19.15)</f>
        <v>19.149999999999999</v>
      </c>
      <c r="P354" s="7">
        <f ca="1">IFERROR(__xludf.DUMMYFUNCTION("GOOGLEFINANCE(""NSE:""&amp;D354,""EPS"")"),26.32)</f>
        <v>26.32</v>
      </c>
      <c r="Q354" s="7">
        <v>13.5</v>
      </c>
      <c r="R354" s="7" t="str">
        <f ca="1">IFERROR(__xludf.DUMMYFUNCTION("IMPORTXML(E354,""/html/body/main/div[3]/div[3]/div[2]/ul/li[7]/span[2]/span"")"),"Loading...")</f>
        <v>Loading...</v>
      </c>
      <c r="S354" s="7" t="str">
        <f ca="1">IFERROR(__xludf.DUMMYFUNCTION("IMPORTXML(E354,""/html/body/main/div[3]/div[3]/div[2]/ul/li[8]/span[2]/span"")"),"Loading...")</f>
        <v>Loading...</v>
      </c>
      <c r="T354" s="4">
        <v>34.6</v>
      </c>
      <c r="U354" s="4">
        <v>22.7</v>
      </c>
      <c r="V354" s="4">
        <v>2.6</v>
      </c>
      <c r="W354" s="4">
        <v>5.7</v>
      </c>
      <c r="X354" s="4">
        <v>519.92999999999995</v>
      </c>
      <c r="Y354" s="7">
        <f t="shared" ca="1" si="9"/>
        <v>-15.879999999999939</v>
      </c>
    </row>
    <row r="355" spans="1:25" ht="15" x14ac:dyDescent="0.25">
      <c r="A355" s="4">
        <v>1001</v>
      </c>
      <c r="C355" s="12" t="s">
        <v>1253</v>
      </c>
      <c r="D355" s="12" t="s">
        <v>1254</v>
      </c>
      <c r="E355" s="5" t="str">
        <f t="shared" si="5"/>
        <v>https://www.screener.in/company/TFCILTD/consolidated/</v>
      </c>
      <c r="F355" s="4">
        <v>443059</v>
      </c>
      <c r="G355" s="4">
        <v>3832241897</v>
      </c>
      <c r="H355" s="6">
        <f t="shared" ca="1" si="6"/>
        <v>132020.73335165001</v>
      </c>
      <c r="I355" s="7" t="str">
        <f ca="1">IFERROR(__xludf.DUMMYFUNCTION("IMPORTXML(E355,""/html/body/main/div[3]/div[3]/div[2]/ul/li[5]/span[2]/span"")"),"Loading...")</f>
        <v>Loading...</v>
      </c>
      <c r="J355" s="7">
        <f ca="1">IFERROR(__xludf.DUMMYFUNCTION("GOOGLEFINANCE(""NSE:""&amp;D355,""marketcap"")"),32042650000)</f>
        <v>32042650000</v>
      </c>
      <c r="K355" s="7">
        <v>992.8</v>
      </c>
      <c r="L355" s="8">
        <f ca="1">IFERROR(__xludf.DUMMYFUNCTION("GOOGLEFINANCE(""NSE:""&amp;D355,""price"")"),344.5)</f>
        <v>344.5</v>
      </c>
      <c r="M355" s="9">
        <f t="shared" ca="1" si="7"/>
        <v>-648.29999999999995</v>
      </c>
      <c r="N355" s="10">
        <f t="shared" ca="1" si="8"/>
        <v>-65.300161160354548</v>
      </c>
      <c r="O355" s="7">
        <f ca="1">IFERROR(__xludf.DUMMYFUNCTION("GOOGLEFINANCE(""NSE:""&amp;D355,""pe"")"),29.29)</f>
        <v>29.29</v>
      </c>
      <c r="P355" s="7">
        <f ca="1">IFERROR(__xludf.DUMMYFUNCTION("GOOGLEFINANCE(""NSE:""&amp;D355,""EPS"")"),11.76)</f>
        <v>11.76</v>
      </c>
      <c r="Q355" s="7">
        <v>13.5</v>
      </c>
      <c r="R355" s="7">
        <f ca="1">IFERROR(__xludf.DUMMYFUNCTION("IMPORTXML(E355,""/html/body/main/div[3]/div[3]/div[2]/ul/li[7]/span[2]/span"")"),10.4)</f>
        <v>10.4</v>
      </c>
      <c r="S355" s="7" t="str">
        <f ca="1">IFERROR(__xludf.DUMMYFUNCTION("IMPORTXML(E355,""/html/body/main/div[3]/div[3]/div[2]/ul/li[8]/span[2]/span"")"),"Loading...")</f>
        <v>Loading...</v>
      </c>
      <c r="T355" s="4">
        <v>34.6</v>
      </c>
      <c r="U355" s="4">
        <v>22.7</v>
      </c>
      <c r="V355" s="4">
        <v>2.6</v>
      </c>
      <c r="W355" s="4">
        <v>5.7</v>
      </c>
      <c r="X355" s="4">
        <v>519.92999999999995</v>
      </c>
      <c r="Y355" s="7">
        <f t="shared" ca="1" si="9"/>
        <v>-175.42999999999995</v>
      </c>
    </row>
    <row r="356" spans="1:25" ht="15" x14ac:dyDescent="0.25">
      <c r="A356" s="4">
        <v>676</v>
      </c>
      <c r="C356" s="12" t="s">
        <v>1255</v>
      </c>
      <c r="D356" s="12" t="s">
        <v>1256</v>
      </c>
      <c r="E356" s="5" t="str">
        <f t="shared" si="5"/>
        <v>https://www.screener.in/company/GOODLUCK/consolidated/</v>
      </c>
      <c r="F356" s="4">
        <v>443059</v>
      </c>
      <c r="G356" s="4">
        <v>3832241897</v>
      </c>
      <c r="H356" s="6">
        <f t="shared" ca="1" si="6"/>
        <v>471174.14123615</v>
      </c>
      <c r="I356" s="7" t="str">
        <f ca="1">IFERROR(__xludf.DUMMYFUNCTION("IMPORTXML(E356,""/html/body/main/div[3]/div[3]/div[2]/ul/li[5]/span[2]/span"")"),"Loading...")</f>
        <v>Loading...</v>
      </c>
      <c r="J356" s="7">
        <f ca="1">IFERROR(__xludf.DUMMYFUNCTION("GOOGLEFINANCE(""NSE:""&amp;D356,""marketcap"")"),40866735750)</f>
        <v>40866735750</v>
      </c>
      <c r="K356" s="7">
        <v>992.8</v>
      </c>
      <c r="L356" s="8">
        <f ca="1">IFERROR(__xludf.DUMMYFUNCTION("GOOGLEFINANCE(""NSE:""&amp;D356,""price"")"),1229.5)</f>
        <v>1229.5</v>
      </c>
      <c r="M356" s="9">
        <f t="shared" ca="1" si="7"/>
        <v>236.70000000000005</v>
      </c>
      <c r="N356" s="10">
        <f t="shared" ca="1" si="8"/>
        <v>23.841659951651899</v>
      </c>
      <c r="O356" s="7">
        <f ca="1">IFERROR(__xludf.DUMMYFUNCTION("GOOGLEFINANCE(""NSE:""&amp;D356,""pe"")"),23.6)</f>
        <v>23.6</v>
      </c>
      <c r="P356" s="7">
        <f ca="1">IFERROR(__xludf.DUMMYFUNCTION("GOOGLEFINANCE(""NSE:""&amp;D356,""EPS"")"),52.09)</f>
        <v>52.09</v>
      </c>
      <c r="Q356" s="7">
        <v>13.5</v>
      </c>
      <c r="R356" s="7" t="str">
        <f ca="1">IFERROR(__xludf.DUMMYFUNCTION("IMPORTXML(E356,""/html/body/main/div[3]/div[3]/div[2]/ul/li[7]/span[2]/span"")"),"Loading...")</f>
        <v>Loading...</v>
      </c>
      <c r="S356" s="7" t="str">
        <f ca="1">IFERROR(__xludf.DUMMYFUNCTION("IMPORTXML(E356,""/html/body/main/div[3]/div[3]/div[2]/ul/li[8]/span[2]/span"")"),"Loading...")</f>
        <v>Loading...</v>
      </c>
      <c r="T356" s="4">
        <v>34.6</v>
      </c>
      <c r="U356" s="4">
        <v>22.7</v>
      </c>
      <c r="V356" s="4">
        <v>2.6</v>
      </c>
      <c r="W356" s="4">
        <v>5.7</v>
      </c>
      <c r="X356" s="4">
        <v>519.92999999999995</v>
      </c>
      <c r="Y356" s="7">
        <f t="shared" ca="1" si="9"/>
        <v>709.57</v>
      </c>
    </row>
    <row r="357" spans="1:25" ht="15" x14ac:dyDescent="0.25">
      <c r="A357" s="4">
        <v>1348</v>
      </c>
      <c r="C357" s="12" t="s">
        <v>1257</v>
      </c>
      <c r="D357" s="12" t="s">
        <v>1258</v>
      </c>
      <c r="E357" s="5" t="str">
        <f t="shared" si="5"/>
        <v>https://www.screener.in/company/PLASTIBLEN/consolidated/</v>
      </c>
      <c r="F357" s="4">
        <v>443059</v>
      </c>
      <c r="G357" s="4">
        <v>3832241897</v>
      </c>
      <c r="H357" s="6">
        <f t="shared" ca="1" si="6"/>
        <v>74717.220265808995</v>
      </c>
      <c r="I357" s="7" t="str">
        <f ca="1">IFERROR(__xludf.DUMMYFUNCTION("IMPORTXML(E357,""/html/body/main/div[3]/div[3]/div[2]/ul/li[5]/span[2]/span"")"),"Loading...")</f>
        <v>Loading...</v>
      </c>
      <c r="J357" s="7">
        <f ca="1">IFERROR(__xludf.DUMMYFUNCTION("GOOGLEFINANCE(""NSE:""&amp;D357,""marketcap"")"),5063736000)</f>
        <v>5063736000</v>
      </c>
      <c r="K357" s="7">
        <v>992.8</v>
      </c>
      <c r="L357" s="8">
        <f ca="1">IFERROR(__xludf.DUMMYFUNCTION("GOOGLEFINANCE(""NSE:""&amp;D357,""price"")"),194.97)</f>
        <v>194.97</v>
      </c>
      <c r="M357" s="9">
        <f t="shared" ca="1" si="7"/>
        <v>-797.82999999999993</v>
      </c>
      <c r="N357" s="10">
        <f t="shared" ca="1" si="8"/>
        <v>-80.361603545527799</v>
      </c>
      <c r="O357" s="7">
        <f ca="1">IFERROR(__xludf.DUMMYFUNCTION("GOOGLEFINANCE(""NSE:""&amp;D357,""pe"")"),16.09)</f>
        <v>16.09</v>
      </c>
      <c r="P357" s="7">
        <f ca="1">IFERROR(__xludf.DUMMYFUNCTION("GOOGLEFINANCE(""NSE:""&amp;D357,""EPS"")"),12.12)</f>
        <v>12.12</v>
      </c>
      <c r="Q357" s="7">
        <v>13.5</v>
      </c>
      <c r="R357" s="7" t="str">
        <f ca="1">IFERROR(__xludf.DUMMYFUNCTION("IMPORTXML(E357,""/html/body/main/div[3]/div[3]/div[2]/ul/li[7]/span[2]/span"")"),"Loading...")</f>
        <v>Loading...</v>
      </c>
      <c r="S357" s="7" t="str">
        <f ca="1">IFERROR(__xludf.DUMMYFUNCTION("IMPORTXML(E357,""/html/body/main/div[3]/div[3]/div[2]/ul/li[8]/span[2]/span"")"),"Loading...")</f>
        <v>Loading...</v>
      </c>
      <c r="T357" s="4">
        <v>34.6</v>
      </c>
      <c r="U357" s="4">
        <v>22.7</v>
      </c>
      <c r="V357" s="4">
        <v>2.6</v>
      </c>
      <c r="W357" s="4">
        <v>5.7</v>
      </c>
      <c r="X357" s="4">
        <v>519.92999999999995</v>
      </c>
      <c r="Y357" s="7">
        <f t="shared" ca="1" si="9"/>
        <v>-324.95999999999992</v>
      </c>
    </row>
    <row r="358" spans="1:25" ht="15" x14ac:dyDescent="0.25">
      <c r="A358" s="4">
        <v>1028</v>
      </c>
      <c r="C358" s="12" t="s">
        <v>1259</v>
      </c>
      <c r="D358" s="12" t="s">
        <v>1260</v>
      </c>
      <c r="E358" s="5" t="str">
        <f t="shared" si="5"/>
        <v>https://www.screener.in/company/CLSEL/consolidated/</v>
      </c>
      <c r="F358" s="4">
        <v>443059</v>
      </c>
      <c r="G358" s="4">
        <v>3832241897</v>
      </c>
      <c r="H358" s="6">
        <f t="shared" ca="1" si="6"/>
        <v>110751.79082330001</v>
      </c>
      <c r="I358" s="7" t="str">
        <f ca="1">IFERROR(__xludf.DUMMYFUNCTION("IMPORTXML(E358,""/html/body/main/div[3]/div[3]/div[2]/ul/li[5]/span[2]/span"")"),"Loading...")</f>
        <v>Loading...</v>
      </c>
      <c r="J358" s="7">
        <f ca="1">IFERROR(__xludf.DUMMYFUNCTION("GOOGLEFINANCE(""NSE:""&amp;D358,""marketcap"")"),14370701290)</f>
        <v>14370701290</v>
      </c>
      <c r="K358" s="7">
        <v>992.8</v>
      </c>
      <c r="L358" s="8">
        <f ca="1">IFERROR(__xludf.DUMMYFUNCTION("GOOGLEFINANCE(""NSE:""&amp;D358,""price"")"),289)</f>
        <v>289</v>
      </c>
      <c r="M358" s="9">
        <f t="shared" ca="1" si="7"/>
        <v>-703.8</v>
      </c>
      <c r="N358" s="10">
        <f t="shared" ca="1" si="8"/>
        <v>-70.890410958904098</v>
      </c>
      <c r="O358" s="7">
        <f ca="1">IFERROR(__xludf.DUMMYFUNCTION("GOOGLEFINANCE(""NSE:""&amp;D358,""pe"")"),13.99)</f>
        <v>13.99</v>
      </c>
      <c r="P358" s="7">
        <f ca="1">IFERROR(__xludf.DUMMYFUNCTION("GOOGLEFINANCE(""NSE:""&amp;D358,""EPS"")"),20.66)</f>
        <v>20.66</v>
      </c>
      <c r="Q358" s="7">
        <v>13.5</v>
      </c>
      <c r="R358" s="7" t="str">
        <f ca="1">IFERROR(__xludf.DUMMYFUNCTION("IMPORTXML(E358,""/html/body/main/div[3]/div[3]/div[2]/ul/li[7]/span[2]/span"")"),"Loading...")</f>
        <v>Loading...</v>
      </c>
      <c r="S358" s="7" t="str">
        <f ca="1">IFERROR(__xludf.DUMMYFUNCTION("IMPORTXML(E358,""/html/body/main/div[3]/div[3]/div[2]/ul/li[8]/span[2]/span"")"),"Loading...")</f>
        <v>Loading...</v>
      </c>
      <c r="T358" s="4">
        <v>34.6</v>
      </c>
      <c r="U358" s="4">
        <v>22.7</v>
      </c>
      <c r="V358" s="4">
        <v>2.6</v>
      </c>
      <c r="W358" s="4">
        <v>5.7</v>
      </c>
      <c r="X358" s="4">
        <v>519.92999999999995</v>
      </c>
      <c r="Y358" s="7">
        <f t="shared" ca="1" si="9"/>
        <v>-230.92999999999995</v>
      </c>
    </row>
    <row r="359" spans="1:25" ht="15" x14ac:dyDescent="0.25">
      <c r="A359" s="4">
        <v>600</v>
      </c>
      <c r="C359" s="12" t="s">
        <v>1261</v>
      </c>
      <c r="D359" s="12" t="s">
        <v>1262</v>
      </c>
      <c r="E359" s="5" t="str">
        <f t="shared" si="5"/>
        <v>https://www.screener.in/company/GOKULAGRO/consolidated/</v>
      </c>
      <c r="F359" s="4">
        <v>443059</v>
      </c>
      <c r="G359" s="4">
        <v>3832241897</v>
      </c>
      <c r="H359" s="6">
        <f t="shared" ca="1" si="6"/>
        <v>126847.2067907</v>
      </c>
      <c r="I359" s="7" t="str">
        <f ca="1">IFERROR(__xludf.DUMMYFUNCTION("IMPORTXML(E359,""/html/body/main/div[3]/div[3]/div[2]/ul/li[5]/span[2]/span"")"),"Loading...")</f>
        <v>Loading...</v>
      </c>
      <c r="J359" s="7">
        <f ca="1">IFERROR(__xludf.DUMMYFUNCTION("GOOGLEFINANCE(""NSE:""&amp;D359,""marketcap"")"),48799960000)</f>
        <v>48799960000</v>
      </c>
      <c r="K359" s="7">
        <v>992.8</v>
      </c>
      <c r="L359" s="8">
        <f ca="1">IFERROR(__xludf.DUMMYFUNCTION("GOOGLEFINANCE(""NSE:""&amp;D359,""price"")"),331)</f>
        <v>331</v>
      </c>
      <c r="M359" s="9">
        <f t="shared" ca="1" si="7"/>
        <v>-661.8</v>
      </c>
      <c r="N359" s="10">
        <f t="shared" ca="1" si="8"/>
        <v>-66.659951651893635</v>
      </c>
      <c r="O359" s="7">
        <f ca="1">IFERROR(__xludf.DUMMYFUNCTION("GOOGLEFINANCE(""NSE:""&amp;D359,""pe"")"),18.49)</f>
        <v>18.489999999999998</v>
      </c>
      <c r="P359" s="7">
        <f ca="1">IFERROR(__xludf.DUMMYFUNCTION("GOOGLEFINANCE(""NSE:""&amp;D359,""EPS"")"),17.9)</f>
        <v>17.899999999999999</v>
      </c>
      <c r="Q359" s="7">
        <v>13.5</v>
      </c>
      <c r="R359" s="7" t="str">
        <f ca="1">IFERROR(__xludf.DUMMYFUNCTION("IMPORTXML(E359,""/html/body/main/div[3]/div[3]/div[2]/ul/li[7]/span[2]/span"")"),"Loading...")</f>
        <v>Loading...</v>
      </c>
      <c r="S359" s="7" t="str">
        <f ca="1">IFERROR(__xludf.DUMMYFUNCTION("IMPORTXML(E359,""/html/body/main/div[3]/div[3]/div[2]/ul/li[8]/span[2]/span"")"),"Loading...")</f>
        <v>Loading...</v>
      </c>
      <c r="T359" s="4">
        <v>34.6</v>
      </c>
      <c r="U359" s="4">
        <v>22.7</v>
      </c>
      <c r="V359" s="4">
        <v>2.6</v>
      </c>
      <c r="W359" s="4">
        <v>5.7</v>
      </c>
      <c r="X359" s="4">
        <v>519.92999999999995</v>
      </c>
      <c r="Y359" s="7">
        <f t="shared" ca="1" si="9"/>
        <v>-188.92999999999995</v>
      </c>
    </row>
    <row r="360" spans="1:25" ht="15" x14ac:dyDescent="0.25">
      <c r="A360" s="4">
        <v>1404</v>
      </c>
      <c r="C360" s="12" t="s">
        <v>1263</v>
      </c>
      <c r="D360" s="12" t="s">
        <v>1264</v>
      </c>
      <c r="E360" s="5" t="str">
        <f t="shared" si="5"/>
        <v>https://www.screener.in/company/SILINV/consolidated/</v>
      </c>
      <c r="F360" s="4">
        <v>443059</v>
      </c>
      <c r="G360" s="4">
        <v>3832241897</v>
      </c>
      <c r="H360" s="6">
        <f t="shared" ca="1" si="6"/>
        <v>225719.04773329999</v>
      </c>
      <c r="I360" s="7" t="str">
        <f ca="1">IFERROR(__xludf.DUMMYFUNCTION("IMPORTXML(E360,""/html/body/main/div[3]/div[3]/div[2]/ul/li[5]/span[2]/span"")"),"Loading...")</f>
        <v>Loading...</v>
      </c>
      <c r="J360" s="7">
        <f ca="1">IFERROR(__xludf.DUMMYFUNCTION("GOOGLEFINANCE(""NSE:""&amp;D360,""marketcap"")"),6215001000)</f>
        <v>6215001000</v>
      </c>
      <c r="K360" s="7">
        <v>992.8</v>
      </c>
      <c r="L360" s="8">
        <f ca="1">IFERROR(__xludf.DUMMYFUNCTION("GOOGLEFINANCE(""NSE:""&amp;D360,""price"")"),589)</f>
        <v>589</v>
      </c>
      <c r="M360" s="9">
        <f t="shared" ca="1" si="7"/>
        <v>-403.79999999999995</v>
      </c>
      <c r="N360" s="10">
        <f t="shared" ca="1" si="8"/>
        <v>-40.672844480257851</v>
      </c>
      <c r="O360" s="7">
        <f ca="1">IFERROR(__xludf.DUMMYFUNCTION("GOOGLEFINANCE(""NSE:""&amp;D360,""pe"")"),17.65)</f>
        <v>17.649999999999999</v>
      </c>
      <c r="P360" s="7">
        <f ca="1">IFERROR(__xludf.DUMMYFUNCTION("GOOGLEFINANCE(""NSE:""&amp;D360,""EPS"")"),33.38)</f>
        <v>33.380000000000003</v>
      </c>
      <c r="Q360" s="7">
        <v>13.5</v>
      </c>
      <c r="R360" s="7" t="str">
        <f ca="1">IFERROR(__xludf.DUMMYFUNCTION("IMPORTXML(E360,""/html/body/main/div[3]/div[3]/div[2]/ul/li[7]/span[2]/span"")"),"Loading...")</f>
        <v>Loading...</v>
      </c>
      <c r="S360" s="7" t="str">
        <f ca="1">IFERROR(__xludf.DUMMYFUNCTION("IMPORTXML(E360,""/html/body/main/div[3]/div[3]/div[2]/ul/li[8]/span[2]/span"")"),"Loading...")</f>
        <v>Loading...</v>
      </c>
      <c r="T360" s="4">
        <v>34.6</v>
      </c>
      <c r="U360" s="4">
        <v>22.7</v>
      </c>
      <c r="V360" s="4">
        <v>2.6</v>
      </c>
      <c r="W360" s="4">
        <v>5.7</v>
      </c>
      <c r="X360" s="4">
        <v>519.92999999999995</v>
      </c>
      <c r="Y360" s="7">
        <f t="shared" ca="1" si="9"/>
        <v>69.07000000000005</v>
      </c>
    </row>
    <row r="361" spans="1:25" ht="15" x14ac:dyDescent="0.25">
      <c r="A361" s="4">
        <v>509</v>
      </c>
      <c r="C361" s="12" t="s">
        <v>1265</v>
      </c>
      <c r="D361" s="12" t="s">
        <v>1266</v>
      </c>
      <c r="E361" s="5" t="str">
        <f t="shared" si="5"/>
        <v>https://www.screener.in/company/MASFIN/consolidated/</v>
      </c>
      <c r="F361" s="4">
        <v>443059</v>
      </c>
      <c r="G361" s="4">
        <v>3832241897</v>
      </c>
      <c r="H361" s="6">
        <f t="shared" ca="1" si="6"/>
        <v>118799.498807</v>
      </c>
      <c r="I361" s="7" t="str">
        <f ca="1">IFERROR(__xludf.DUMMYFUNCTION("IMPORTXML(E361,""/html/body/main/div[3]/div[3]/div[2]/ul/li[5]/span[2]/span"")"),"Loading...")</f>
        <v>Loading...</v>
      </c>
      <c r="J361" s="7">
        <f ca="1">IFERROR(__xludf.DUMMYFUNCTION("GOOGLEFINANCE(""NSE:""&amp;D361,""marketcap"")"),56386640000)</f>
        <v>56386640000</v>
      </c>
      <c r="K361" s="7">
        <v>992.8</v>
      </c>
      <c r="L361" s="8">
        <f ca="1">IFERROR(__xludf.DUMMYFUNCTION("GOOGLEFINANCE(""NSE:""&amp;D361,""price"")"),310)</f>
        <v>310</v>
      </c>
      <c r="M361" s="9">
        <f t="shared" ca="1" si="7"/>
        <v>-682.8</v>
      </c>
      <c r="N361" s="10">
        <f t="shared" ca="1" si="8"/>
        <v>-68.775181305398874</v>
      </c>
      <c r="O361" s="7">
        <f ca="1">IFERROR(__xludf.DUMMYFUNCTION("GOOGLEFINANCE(""NSE:""&amp;D361,""pe"")"),17.25)</f>
        <v>17.25</v>
      </c>
      <c r="P361" s="7">
        <f ca="1">IFERROR(__xludf.DUMMYFUNCTION("GOOGLEFINANCE(""NSE:""&amp;D361,""EPS"")"),17.97)</f>
        <v>17.97</v>
      </c>
      <c r="Q361" s="7">
        <v>13.5</v>
      </c>
      <c r="R361" s="7" t="str">
        <f ca="1">IFERROR(__xludf.DUMMYFUNCTION("IMPORTXML(E361,""/html/body/main/div[3]/div[3]/div[2]/ul/li[7]/span[2]/span"")"),"Loading...")</f>
        <v>Loading...</v>
      </c>
      <c r="S361" s="7" t="str">
        <f ca="1">IFERROR(__xludf.DUMMYFUNCTION("IMPORTXML(E361,""/html/body/main/div[3]/div[3]/div[2]/ul/li[8]/span[2]/span"")"),"Loading...")</f>
        <v>Loading...</v>
      </c>
      <c r="T361" s="4">
        <v>34.6</v>
      </c>
      <c r="U361" s="4">
        <v>22.7</v>
      </c>
      <c r="V361" s="4">
        <v>2.6</v>
      </c>
      <c r="W361" s="4">
        <v>5.7</v>
      </c>
      <c r="X361" s="4">
        <v>519.92999999999995</v>
      </c>
      <c r="Y361" s="7">
        <f t="shared" ca="1" si="9"/>
        <v>-209.92999999999995</v>
      </c>
    </row>
    <row r="362" spans="1:25" ht="15" x14ac:dyDescent="0.25">
      <c r="A362" s="4">
        <v>181</v>
      </c>
      <c r="C362" s="12" t="s">
        <v>1267</v>
      </c>
      <c r="D362" s="12" t="s">
        <v>1268</v>
      </c>
      <c r="E362" s="5" t="str">
        <f t="shared" si="5"/>
        <v>https://www.screener.in/company/UTIAMC/consolidated/</v>
      </c>
      <c r="F362" s="4">
        <v>443059</v>
      </c>
      <c r="G362" s="4">
        <v>3832241897</v>
      </c>
      <c r="H362" s="6">
        <f t="shared" ca="1" si="6"/>
        <v>505855.93040399998</v>
      </c>
      <c r="I362" s="7" t="str">
        <f ca="1">IFERROR(__xludf.DUMMYFUNCTION("IMPORTXML(E362,""/html/body/main/div[3]/div[3]/div[2]/ul/li[5]/span[2]/span"")"),"Loading...")</f>
        <v>Loading...</v>
      </c>
      <c r="J362" s="7">
        <f ca="1">IFERROR(__xludf.DUMMYFUNCTION("GOOGLEFINANCE(""NSE:""&amp;D362,""marketcap"")"),169201692000)</f>
        <v>169201692000</v>
      </c>
      <c r="K362" s="7">
        <v>992.8</v>
      </c>
      <c r="L362" s="8">
        <f ca="1">IFERROR(__xludf.DUMMYFUNCTION("GOOGLEFINANCE(""NSE:""&amp;D362,""price"")"),1320)</f>
        <v>1320</v>
      </c>
      <c r="M362" s="9">
        <f t="shared" ca="1" si="7"/>
        <v>327.20000000000005</v>
      </c>
      <c r="N362" s="10">
        <f t="shared" ca="1" si="8"/>
        <v>32.957292506043515</v>
      </c>
      <c r="O362" s="7">
        <f ca="1">IFERROR(__xludf.DUMMYFUNCTION("GOOGLEFINANCE(""NSE:""&amp;D362,""pe"")"),23.68)</f>
        <v>23.68</v>
      </c>
      <c r="P362" s="7">
        <f ca="1">IFERROR(__xludf.DUMMYFUNCTION("GOOGLEFINANCE(""NSE:""&amp;D362,""EPS"")"),55.74)</f>
        <v>55.74</v>
      </c>
      <c r="Q362" s="7">
        <v>13.5</v>
      </c>
      <c r="R362" s="7" t="str">
        <f ca="1">IFERROR(__xludf.DUMMYFUNCTION("IMPORTXML(E362,""/html/body/main/div[3]/div[3]/div[2]/ul/li[7]/span[2]/span"")"),"Loading...")</f>
        <v>Loading...</v>
      </c>
      <c r="S362" s="7" t="str">
        <f ca="1">IFERROR(__xludf.DUMMYFUNCTION("IMPORTXML(E362,""/html/body/main/div[3]/div[3]/div[2]/ul/li[8]/span[2]/span"")"),"Loading...")</f>
        <v>Loading...</v>
      </c>
      <c r="T362" s="4">
        <v>34.6</v>
      </c>
      <c r="U362" s="4">
        <v>22.7</v>
      </c>
      <c r="V362" s="4">
        <v>2.6</v>
      </c>
      <c r="W362" s="4">
        <v>5.7</v>
      </c>
      <c r="X362" s="4">
        <v>519.92999999999995</v>
      </c>
      <c r="Y362" s="7">
        <f t="shared" ca="1" si="9"/>
        <v>800.07</v>
      </c>
    </row>
    <row r="363" spans="1:25" ht="15" x14ac:dyDescent="0.25">
      <c r="A363" s="4">
        <v>1386</v>
      </c>
      <c r="C363" s="12" t="s">
        <v>1269</v>
      </c>
      <c r="D363" s="12" t="s">
        <v>1270</v>
      </c>
      <c r="E363" s="5" t="str">
        <f t="shared" si="5"/>
        <v>https://www.screener.in/company/HMVL/consolidated/</v>
      </c>
      <c r="F363" s="4">
        <v>443059</v>
      </c>
      <c r="G363" s="4">
        <v>3832241897</v>
      </c>
      <c r="H363" s="6">
        <f t="shared" ca="1" si="6"/>
        <v>33524.452114956002</v>
      </c>
      <c r="I363" s="7" t="str">
        <f ca="1">IFERROR(__xludf.DUMMYFUNCTION("IMPORTXML(E363,""/html/body/main/div[3]/div[3]/div[2]/ul/li[5]/span[2]/span"")"),"Loading...")</f>
        <v>Loading...</v>
      </c>
      <c r="J363" s="7">
        <f ca="1">IFERROR(__xludf.DUMMYFUNCTION("GOOGLEFINANCE(""NSE:""&amp;D363,""marketcap"")"),6427401000)</f>
        <v>6427401000</v>
      </c>
      <c r="K363" s="7">
        <v>992.8</v>
      </c>
      <c r="L363" s="8">
        <f ca="1">IFERROR(__xludf.DUMMYFUNCTION("GOOGLEFINANCE(""NSE:""&amp;D363,""price"")"),87.48)</f>
        <v>87.48</v>
      </c>
      <c r="M363" s="9">
        <f t="shared" ca="1" si="7"/>
        <v>-905.31999999999994</v>
      </c>
      <c r="N363" s="10">
        <f t="shared" ca="1" si="8"/>
        <v>-91.188557614826749</v>
      </c>
      <c r="O363" s="7">
        <f ca="1">IFERROR(__xludf.DUMMYFUNCTION("GOOGLEFINANCE(""NSE:""&amp;D363,""pe"")"),7.37)</f>
        <v>7.37</v>
      </c>
      <c r="P363" s="7">
        <f ca="1">IFERROR(__xludf.DUMMYFUNCTION("GOOGLEFINANCE(""NSE:""&amp;D363,""EPS"")"),11.87)</f>
        <v>11.87</v>
      </c>
      <c r="Q363" s="7">
        <v>13.5</v>
      </c>
      <c r="R363" s="7" t="str">
        <f ca="1">IFERROR(__xludf.DUMMYFUNCTION("IMPORTXML(E363,""/html/body/main/div[3]/div[3]/div[2]/ul/li[7]/span[2]/span"")"),"Loading...")</f>
        <v>Loading...</v>
      </c>
      <c r="S363" s="7" t="str">
        <f ca="1">IFERROR(__xludf.DUMMYFUNCTION("IMPORTXML(E363,""/html/body/main/div[3]/div[3]/div[2]/ul/li[8]/span[2]/span"")"),"Loading...")</f>
        <v>Loading...</v>
      </c>
      <c r="T363" s="4">
        <v>34.6</v>
      </c>
      <c r="U363" s="4">
        <v>22.7</v>
      </c>
      <c r="V363" s="4">
        <v>2.6</v>
      </c>
      <c r="W363" s="4">
        <v>5.7</v>
      </c>
      <c r="X363" s="4">
        <v>519.92999999999995</v>
      </c>
      <c r="Y363" s="7">
        <f t="shared" ca="1" si="9"/>
        <v>-432.44999999999993</v>
      </c>
    </row>
    <row r="364" spans="1:25" ht="15" x14ac:dyDescent="0.25">
      <c r="A364" s="4">
        <v>2027</v>
      </c>
      <c r="C364" s="12" t="s">
        <v>1271</v>
      </c>
      <c r="D364" s="12" t="s">
        <v>1272</v>
      </c>
      <c r="E364" s="5" t="str">
        <f t="shared" si="5"/>
        <v>https://www.screener.in/company/WORTH/consolidated/</v>
      </c>
      <c r="F364" s="4">
        <v>443059</v>
      </c>
      <c r="G364" s="4">
        <v>3832241897</v>
      </c>
      <c r="H364" s="6">
        <f t="shared" ca="1" si="6"/>
        <v>59361.426984530008</v>
      </c>
      <c r="I364" s="7" t="str">
        <f ca="1">IFERROR(__xludf.DUMMYFUNCTION("IMPORTXML(E364,""/html/body/main/div[3]/div[3]/div[2]/ul/li[5]/span[2]/span"")"),"Loading...")</f>
        <v>Loading...</v>
      </c>
      <c r="J364" s="7">
        <f ca="1">IFERROR(__xludf.DUMMYFUNCTION("GOOGLEFINANCE(""NSE:""&amp;D364,""marketcap"")"),2439829803)</f>
        <v>2439829803</v>
      </c>
      <c r="K364" s="7">
        <v>992.8</v>
      </c>
      <c r="L364" s="8">
        <f ca="1">IFERROR(__xludf.DUMMYFUNCTION("GOOGLEFINANCE(""NSE:""&amp;D364,""price"")"),154.9)</f>
        <v>154.9</v>
      </c>
      <c r="M364" s="9">
        <f t="shared" ca="1" si="7"/>
        <v>-837.9</v>
      </c>
      <c r="N364" s="10">
        <f t="shared" ca="1" si="8"/>
        <v>-84.397663174858977</v>
      </c>
      <c r="O364" s="7">
        <f ca="1">IFERROR(__xludf.DUMMYFUNCTION("GOOGLEFINANCE(""NSE:""&amp;D364,""pe"")"),15.68)</f>
        <v>15.68</v>
      </c>
      <c r="P364" s="7">
        <f ca="1">IFERROR(__xludf.DUMMYFUNCTION("GOOGLEFINANCE(""NSE:""&amp;D364,""EPS"")"),9.88)</f>
        <v>9.8800000000000008</v>
      </c>
      <c r="Q364" s="7">
        <v>13.5</v>
      </c>
      <c r="R364" s="7" t="str">
        <f ca="1">IFERROR(__xludf.DUMMYFUNCTION("IMPORTXML(E364,""/html/body/main/div[3]/div[3]/div[2]/ul/li[7]/span[2]/span"")"),"Loading...")</f>
        <v>Loading...</v>
      </c>
      <c r="S364" s="7" t="str">
        <f ca="1">IFERROR(__xludf.DUMMYFUNCTION("IMPORTXML(E364,""/html/body/main/div[3]/div[3]/div[2]/ul/li[8]/span[2]/span"")"),"Loading...")</f>
        <v>Loading...</v>
      </c>
      <c r="T364" s="4">
        <v>34.6</v>
      </c>
      <c r="U364" s="4">
        <v>22.7</v>
      </c>
      <c r="V364" s="4">
        <v>2.6</v>
      </c>
      <c r="W364" s="4">
        <v>5.7</v>
      </c>
      <c r="X364" s="4">
        <v>519.92999999999995</v>
      </c>
      <c r="Y364" s="7">
        <f t="shared" ca="1" si="9"/>
        <v>-365.03</v>
      </c>
    </row>
    <row r="365" spans="1:25" ht="15" x14ac:dyDescent="0.25">
      <c r="A365" s="4">
        <v>636</v>
      </c>
      <c r="C365" s="12" t="s">
        <v>1273</v>
      </c>
      <c r="D365" s="12" t="s">
        <v>1274</v>
      </c>
      <c r="E365" s="5" t="str">
        <f t="shared" si="5"/>
        <v>https://www.screener.in/company/BEPL/consolidated/</v>
      </c>
      <c r="F365" s="4">
        <v>443059</v>
      </c>
      <c r="G365" s="4">
        <v>3832241897</v>
      </c>
      <c r="H365" s="6">
        <f t="shared" ca="1" si="6"/>
        <v>40537.454786466005</v>
      </c>
      <c r="I365" s="7" t="str">
        <f ca="1">IFERROR(__xludf.DUMMYFUNCTION("IMPORTXML(E365,""/html/body/main/div[3]/div[3]/div[2]/ul/li[5]/span[2]/span"")"),"Loading...")</f>
        <v>Loading...</v>
      </c>
      <c r="J365" s="7">
        <f ca="1">IFERROR(__xludf.DUMMYFUNCTION("GOOGLEFINANCE(""NSE:""&amp;D365,""marketcap"")"),26267010000)</f>
        <v>26267010000</v>
      </c>
      <c r="K365" s="7">
        <v>992.8</v>
      </c>
      <c r="L365" s="8">
        <f ca="1">IFERROR(__xludf.DUMMYFUNCTION("GOOGLEFINANCE(""NSE:""&amp;D365,""price"")"),105.78)</f>
        <v>105.78</v>
      </c>
      <c r="M365" s="9">
        <f t="shared" ca="1" si="7"/>
        <v>-887.02</v>
      </c>
      <c r="N365" s="10">
        <f t="shared" ca="1" si="8"/>
        <v>-89.345286059629331</v>
      </c>
      <c r="O365" s="7">
        <f ca="1">IFERROR(__xludf.DUMMYFUNCTION("GOOGLEFINANCE(""NSE:""&amp;D365,""pe"")"),15.28)</f>
        <v>15.28</v>
      </c>
      <c r="P365" s="7">
        <f ca="1">IFERROR(__xludf.DUMMYFUNCTION("GOOGLEFINANCE(""NSE:""&amp;D365,""EPS"")"),6.92)</f>
        <v>6.92</v>
      </c>
      <c r="Q365" s="7">
        <v>13.5</v>
      </c>
      <c r="R365" s="7" t="str">
        <f ca="1">IFERROR(__xludf.DUMMYFUNCTION("IMPORTXML(E365,""/html/body/main/div[3]/div[3]/div[2]/ul/li[7]/span[2]/span"")"),"Loading...")</f>
        <v>Loading...</v>
      </c>
      <c r="S365" s="7" t="str">
        <f ca="1">IFERROR(__xludf.DUMMYFUNCTION("IMPORTXML(E365,""/html/body/main/div[3]/div[3]/div[2]/ul/li[8]/span[2]/span"")"),"Loading...")</f>
        <v>Loading...</v>
      </c>
      <c r="T365" s="4">
        <v>34.6</v>
      </c>
      <c r="U365" s="4">
        <v>22.7</v>
      </c>
      <c r="V365" s="4">
        <v>2.6</v>
      </c>
      <c r="W365" s="4">
        <v>5.7</v>
      </c>
      <c r="X365" s="4">
        <v>519.92999999999995</v>
      </c>
      <c r="Y365" s="7">
        <f t="shared" ca="1" si="9"/>
        <v>-414.15</v>
      </c>
    </row>
    <row r="366" spans="1:25" ht="15" x14ac:dyDescent="0.25">
      <c r="A366" s="4">
        <v>1008</v>
      </c>
      <c r="C366" s="12" t="s">
        <v>1275</v>
      </c>
      <c r="D366" s="12" t="s">
        <v>1276</v>
      </c>
      <c r="E366" s="5" t="str">
        <f t="shared" si="5"/>
        <v>https://www.screener.in/company/IMPAL/consolidated/</v>
      </c>
      <c r="F366" s="4">
        <v>443059</v>
      </c>
      <c r="G366" s="4">
        <v>3832241897</v>
      </c>
      <c r="H366" s="6">
        <f t="shared" ca="1" si="6"/>
        <v>387822.8799764</v>
      </c>
      <c r="I366" s="7" t="str">
        <f ca="1">IFERROR(__xludf.DUMMYFUNCTION("IMPORTXML(E366,""/html/body/main/div[3]/div[3]/div[2]/ul/li[5]/span[2]/span"")"),"Loading...")</f>
        <v>Loading...</v>
      </c>
      <c r="J366" s="7">
        <f ca="1">IFERROR(__xludf.DUMMYFUNCTION("GOOGLEFINANCE(""NSE:""&amp;D366,""marketcap"")"),12692160000)</f>
        <v>12692160000</v>
      </c>
      <c r="K366" s="7">
        <v>992.8</v>
      </c>
      <c r="L366" s="8">
        <f ca="1">IFERROR(__xludf.DUMMYFUNCTION("GOOGLEFINANCE(""NSE:""&amp;D366,""price"")"),1012)</f>
        <v>1012</v>
      </c>
      <c r="M366" s="9">
        <f t="shared" ca="1" si="7"/>
        <v>19.200000000000045</v>
      </c>
      <c r="N366" s="10">
        <f t="shared" ca="1" si="8"/>
        <v>1.9339242546333648</v>
      </c>
      <c r="O366" s="7">
        <f ca="1">IFERROR(__xludf.DUMMYFUNCTION("GOOGLEFINANCE(""NSE:""&amp;D366,""pe"")"),15.17)</f>
        <v>15.17</v>
      </c>
      <c r="P366" s="7">
        <f ca="1">IFERROR(__xludf.DUMMYFUNCTION("GOOGLEFINANCE(""NSE:""&amp;D366,""EPS"")"),66.69)</f>
        <v>66.69</v>
      </c>
      <c r="Q366" s="7">
        <v>13.5</v>
      </c>
      <c r="R366" s="7" t="str">
        <f ca="1">IFERROR(__xludf.DUMMYFUNCTION("IMPORTXML(E366,""/html/body/main/div[3]/div[3]/div[2]/ul/li[7]/span[2]/span"")"),"Loading...")</f>
        <v>Loading...</v>
      </c>
      <c r="S366" s="7" t="str">
        <f ca="1">IFERROR(__xludf.DUMMYFUNCTION("IMPORTXML(E366,""/html/body/main/div[3]/div[3]/div[2]/ul/li[8]/span[2]/span"")"),"Loading...")</f>
        <v>Loading...</v>
      </c>
      <c r="T366" s="4">
        <v>34.6</v>
      </c>
      <c r="U366" s="4">
        <v>22.7</v>
      </c>
      <c r="V366" s="4">
        <v>2.6</v>
      </c>
      <c r="W366" s="4">
        <v>5.7</v>
      </c>
      <c r="X366" s="4">
        <v>519.92999999999995</v>
      </c>
      <c r="Y366" s="7">
        <f t="shared" ca="1" si="9"/>
        <v>492.07000000000005</v>
      </c>
    </row>
    <row r="367" spans="1:25" ht="15" x14ac:dyDescent="0.25">
      <c r="A367" s="4">
        <v>1533</v>
      </c>
      <c r="C367" s="12" t="s">
        <v>1277</v>
      </c>
      <c r="D367" s="12" t="s">
        <v>1278</v>
      </c>
      <c r="E367" s="5" t="str">
        <f t="shared" si="5"/>
        <v>https://www.screener.in/company/INSPIRISYS/consolidated/</v>
      </c>
      <c r="F367" s="4">
        <v>443059</v>
      </c>
      <c r="G367" s="4">
        <v>3832241897</v>
      </c>
      <c r="H367" s="6">
        <f t="shared" ca="1" si="6"/>
        <v>36406.298021499999</v>
      </c>
      <c r="I367" s="7" t="str">
        <f ca="1">IFERROR(__xludf.DUMMYFUNCTION("IMPORTXML(E367,""/html/body/main/div[3]/div[3]/div[2]/ul/li[5]/span[2]/span"")"),"Loading...")</f>
        <v>Loading...</v>
      </c>
      <c r="J367" s="7">
        <f ca="1">IFERROR(__xludf.DUMMYFUNCTION("GOOGLEFINANCE(""NSE:""&amp;D367,""marketcap"")"),3779846000)</f>
        <v>3779846000</v>
      </c>
      <c r="K367" s="7">
        <v>992.8</v>
      </c>
      <c r="L367" s="8">
        <f ca="1">IFERROR(__xludf.DUMMYFUNCTION("GOOGLEFINANCE(""NSE:""&amp;D367,""price"")"),95)</f>
        <v>95</v>
      </c>
      <c r="M367" s="9">
        <f t="shared" ca="1" si="7"/>
        <v>-897.8</v>
      </c>
      <c r="N367" s="10">
        <f t="shared" ca="1" si="8"/>
        <v>-90.431103948428685</v>
      </c>
      <c r="O367" s="7">
        <f ca="1">IFERROR(__xludf.DUMMYFUNCTION("GOOGLEFINANCE(""NSE:""&amp;D367,""pe"")"),10.65)</f>
        <v>10.65</v>
      </c>
      <c r="P367" s="7">
        <f ca="1">IFERROR(__xludf.DUMMYFUNCTION("GOOGLEFINANCE(""NSE:""&amp;D367,""EPS"")"),8.92)</f>
        <v>8.92</v>
      </c>
      <c r="Q367" s="7">
        <v>13.5</v>
      </c>
      <c r="R367" s="7" t="str">
        <f ca="1">IFERROR(__xludf.DUMMYFUNCTION("IMPORTXML(E367,""/html/body/main/div[3]/div[3]/div[2]/ul/li[7]/span[2]/span"")"),"Loading...")</f>
        <v>Loading...</v>
      </c>
      <c r="S367" s="7" t="str">
        <f ca="1">IFERROR(__xludf.DUMMYFUNCTION("IMPORTXML(E367,""/html/body/main/div[3]/div[3]/div[2]/ul/li[8]/span[2]/span"")"),"Loading...")</f>
        <v>Loading...</v>
      </c>
      <c r="T367" s="4">
        <v>34.6</v>
      </c>
      <c r="U367" s="4">
        <v>22.7</v>
      </c>
      <c r="V367" s="4">
        <v>2.6</v>
      </c>
      <c r="W367" s="4">
        <v>5.7</v>
      </c>
      <c r="X367" s="4">
        <v>519.92999999999995</v>
      </c>
      <c r="Y367" s="7">
        <f t="shared" ca="1" si="9"/>
        <v>-424.92999999999995</v>
      </c>
    </row>
    <row r="368" spans="1:25" ht="15" x14ac:dyDescent="0.25">
      <c r="A368" s="4">
        <v>1483</v>
      </c>
      <c r="C368" s="12" t="s">
        <v>1279</v>
      </c>
      <c r="D368" s="12" t="s">
        <v>1280</v>
      </c>
      <c r="E368" s="5" t="str">
        <f t="shared" si="5"/>
        <v>https://www.screener.in/company/SSDL/consolidated/</v>
      </c>
      <c r="F368" s="4">
        <v>443059</v>
      </c>
      <c r="G368" s="4">
        <v>3832241897</v>
      </c>
      <c r="H368" s="6">
        <f t="shared" ca="1" si="6"/>
        <v>34087.791673815002</v>
      </c>
      <c r="I368" s="7" t="str">
        <f ca="1">IFERROR(__xludf.DUMMYFUNCTION("IMPORTXML(E368,""/html/body/main/div[3]/div[3]/div[2]/ul/li[5]/span[2]/span"")"),"Loading...")</f>
        <v>Loading...</v>
      </c>
      <c r="J368" s="7">
        <f ca="1">IFERROR(__xludf.DUMMYFUNCTION("GOOGLEFINANCE(""NSE:""&amp;D368,""marketcap"")"),3529466302)</f>
        <v>3529466302</v>
      </c>
      <c r="K368" s="7">
        <v>992.8</v>
      </c>
      <c r="L368" s="8">
        <f ca="1">IFERROR(__xludf.DUMMYFUNCTION("GOOGLEFINANCE(""NSE:""&amp;D368,""price"")"),88.95)</f>
        <v>88.95</v>
      </c>
      <c r="M368" s="9">
        <f t="shared" ca="1" si="7"/>
        <v>-903.84999999999991</v>
      </c>
      <c r="N368" s="10">
        <f t="shared" ca="1" si="8"/>
        <v>-91.040491539081387</v>
      </c>
      <c r="O368" s="7">
        <f ca="1">IFERROR(__xludf.DUMMYFUNCTION("GOOGLEFINANCE(""NSE:""&amp;D368,""pe"")"),11.42)</f>
        <v>11.42</v>
      </c>
      <c r="P368" s="7">
        <f ca="1">IFERROR(__xludf.DUMMYFUNCTION("GOOGLEFINANCE(""NSE:""&amp;D368,""EPS"")"),7.79)</f>
        <v>7.79</v>
      </c>
      <c r="Q368" s="7">
        <v>13.5</v>
      </c>
      <c r="R368" s="7" t="str">
        <f ca="1">IFERROR(__xludf.DUMMYFUNCTION("IMPORTXML(E368,""/html/body/main/div[3]/div[3]/div[2]/ul/li[7]/span[2]/span"")"),"Loading...")</f>
        <v>Loading...</v>
      </c>
      <c r="S368" s="7" t="str">
        <f ca="1">IFERROR(__xludf.DUMMYFUNCTION("IMPORTXML(E368,""/html/body/main/div[3]/div[3]/div[2]/ul/li[8]/span[2]/span"")"),"Loading...")</f>
        <v>Loading...</v>
      </c>
      <c r="T368" s="4">
        <v>34.6</v>
      </c>
      <c r="U368" s="4">
        <v>22.7</v>
      </c>
      <c r="V368" s="4">
        <v>2.6</v>
      </c>
      <c r="W368" s="4">
        <v>5.7</v>
      </c>
      <c r="X368" s="4">
        <v>519.92999999999995</v>
      </c>
      <c r="Y368" s="7">
        <f t="shared" ca="1" si="9"/>
        <v>-430.97999999999996</v>
      </c>
    </row>
    <row r="369" spans="1:25" ht="15" x14ac:dyDescent="0.25">
      <c r="A369" s="4">
        <v>380</v>
      </c>
      <c r="C369" s="12" t="s">
        <v>1281</v>
      </c>
      <c r="D369" s="12" t="s">
        <v>1282</v>
      </c>
      <c r="E369" s="5" t="str">
        <f t="shared" si="5"/>
        <v>https://www.screener.in/company/AHLUCONT/consolidated/</v>
      </c>
      <c r="F369" s="4">
        <v>443059</v>
      </c>
      <c r="G369" s="4">
        <v>3832241897</v>
      </c>
      <c r="H369" s="6">
        <f t="shared" ca="1" si="6"/>
        <v>359847.51412830001</v>
      </c>
      <c r="I369" s="7" t="str">
        <f ca="1">IFERROR(__xludf.DUMMYFUNCTION("IMPORTXML(E369,""/html/body/main/div[3]/div[3]/div[2]/ul/li[5]/span[2]/span"")"),"Loading...")</f>
        <v>Loading...</v>
      </c>
      <c r="J369" s="7">
        <f ca="1">IFERROR(__xludf.DUMMYFUNCTION("GOOGLEFINANCE(""NSE:""&amp;D369,""marketcap"")"),62556410774)</f>
        <v>62556410774</v>
      </c>
      <c r="K369" s="7">
        <v>992.8</v>
      </c>
      <c r="L369" s="8">
        <f ca="1">IFERROR(__xludf.DUMMYFUNCTION("GOOGLEFINANCE(""NSE:""&amp;D369,""price"")"),939)</f>
        <v>939</v>
      </c>
      <c r="M369" s="9">
        <f t="shared" ca="1" si="7"/>
        <v>-53.799999999999955</v>
      </c>
      <c r="N369" s="10">
        <f t="shared" ca="1" si="8"/>
        <v>-5.4190169218372244</v>
      </c>
      <c r="O369" s="7">
        <f ca="1">IFERROR(__xludf.DUMMYFUNCTION("GOOGLEFINANCE(""NSE:""&amp;D369,""pe"")"),28.25)</f>
        <v>28.25</v>
      </c>
      <c r="P369" s="7">
        <f ca="1">IFERROR(__xludf.DUMMYFUNCTION("GOOGLEFINANCE(""NSE:""&amp;D369,""EPS"")"),33.24)</f>
        <v>33.24</v>
      </c>
      <c r="Q369" s="7">
        <v>13.5</v>
      </c>
      <c r="R369" s="7" t="str">
        <f ca="1">IFERROR(__xludf.DUMMYFUNCTION("IMPORTXML(E369,""/html/body/main/div[3]/div[3]/div[2]/ul/li[7]/span[2]/span"")"),"Loading...")</f>
        <v>Loading...</v>
      </c>
      <c r="S369" s="7" t="str">
        <f ca="1">IFERROR(__xludf.DUMMYFUNCTION("IMPORTXML(E369,""/html/body/main/div[3]/div[3]/div[2]/ul/li[8]/span[2]/span"")"),"Loading...")</f>
        <v>Loading...</v>
      </c>
      <c r="T369" s="4">
        <v>34.6</v>
      </c>
      <c r="U369" s="4">
        <v>22.7</v>
      </c>
      <c r="V369" s="4">
        <v>2.6</v>
      </c>
      <c r="W369" s="4">
        <v>5.7</v>
      </c>
      <c r="X369" s="4">
        <v>519.92999999999995</v>
      </c>
      <c r="Y369" s="7">
        <f t="shared" ca="1" si="9"/>
        <v>419.07000000000005</v>
      </c>
    </row>
    <row r="370" spans="1:25" ht="15" x14ac:dyDescent="0.25">
      <c r="A370" s="4">
        <v>502</v>
      </c>
      <c r="C370" s="12" t="s">
        <v>1283</v>
      </c>
      <c r="D370" s="12" t="s">
        <v>1284</v>
      </c>
      <c r="E370" s="5" t="str">
        <f t="shared" si="5"/>
        <v>https://www.screener.in/company/PAISALO/consolidated/</v>
      </c>
      <c r="F370" s="4">
        <v>443059</v>
      </c>
      <c r="G370" s="4">
        <v>3832241897</v>
      </c>
      <c r="H370" s="6">
        <f t="shared" ca="1" si="6"/>
        <v>13320.872833971998</v>
      </c>
      <c r="I370" s="7" t="str">
        <f ca="1">IFERROR(__xludf.DUMMYFUNCTION("IMPORTXML(E370,""/html/body/main/div[3]/div[3]/div[2]/ul/li[5]/span[2]/span"")"),"Loading...")</f>
        <v>Loading...</v>
      </c>
      <c r="J370" s="7">
        <f ca="1">IFERROR(__xludf.DUMMYFUNCTION("GOOGLEFINANCE(""NSE:""&amp;D370,""marketcap"")"),31014820258)</f>
        <v>31014820258</v>
      </c>
      <c r="K370" s="7">
        <v>992.8</v>
      </c>
      <c r="L370" s="8">
        <f ca="1">IFERROR(__xludf.DUMMYFUNCTION("GOOGLEFINANCE(""NSE:""&amp;D370,""price"")"),34.76)</f>
        <v>34.76</v>
      </c>
      <c r="M370" s="9">
        <f t="shared" ca="1" si="7"/>
        <v>-958.04</v>
      </c>
      <c r="N370" s="10">
        <f t="shared" ca="1" si="8"/>
        <v>-96.498791297340858</v>
      </c>
      <c r="O370" s="7">
        <f ca="1">IFERROR(__xludf.DUMMYFUNCTION("GOOGLEFINANCE(""NSE:""&amp;D370,""pe"")"),15.18)</f>
        <v>15.18</v>
      </c>
      <c r="P370" s="7">
        <f ca="1">IFERROR(__xludf.DUMMYFUNCTION("GOOGLEFINANCE(""NSE:""&amp;D370,""EPS"")"),2.29)</f>
        <v>2.29</v>
      </c>
      <c r="Q370" s="7">
        <v>13.5</v>
      </c>
      <c r="R370" s="7" t="str">
        <f ca="1">IFERROR(__xludf.DUMMYFUNCTION("IMPORTXML(E370,""/html/body/main/div[3]/div[3]/div[2]/ul/li[7]/span[2]/span"")"),"Loading...")</f>
        <v>Loading...</v>
      </c>
      <c r="S370" s="7" t="str">
        <f ca="1">IFERROR(__xludf.DUMMYFUNCTION("IMPORTXML(E370,""/html/body/main/div[3]/div[3]/div[2]/ul/li[8]/span[2]/span"")"),"Loading...")</f>
        <v>Loading...</v>
      </c>
      <c r="T370" s="4">
        <v>34.6</v>
      </c>
      <c r="U370" s="4">
        <v>22.7</v>
      </c>
      <c r="V370" s="4">
        <v>2.6</v>
      </c>
      <c r="W370" s="4">
        <v>5.7</v>
      </c>
      <c r="X370" s="4">
        <v>519.92999999999995</v>
      </c>
      <c r="Y370" s="7">
        <f t="shared" ca="1" si="9"/>
        <v>-485.16999999999996</v>
      </c>
    </row>
    <row r="371" spans="1:25" ht="15" x14ac:dyDescent="0.25">
      <c r="A371" s="4">
        <v>1431</v>
      </c>
      <c r="C371" s="12" t="s">
        <v>1285</v>
      </c>
      <c r="D371" s="12" t="s">
        <v>1286</v>
      </c>
      <c r="E371" s="5" t="str">
        <f t="shared" si="5"/>
        <v>https://www.screener.in/company/NOVAAGRI/consolidated/</v>
      </c>
      <c r="F371" s="4">
        <v>443059</v>
      </c>
      <c r="G371" s="4">
        <v>3832241897</v>
      </c>
      <c r="H371" s="6">
        <f t="shared" ca="1" si="6"/>
        <v>19931.490106296998</v>
      </c>
      <c r="I371" s="7" t="str">
        <f ca="1">IFERROR(__xludf.DUMMYFUNCTION("IMPORTXML(E371,""/html/body/main/div[3]/div[3]/div[2]/ul/li[5]/span[2]/span"")"),"Loading...")</f>
        <v>Loading...</v>
      </c>
      <c r="J371" s="7">
        <f ca="1">IFERROR(__xludf.DUMMYFUNCTION("GOOGLEFINANCE(""NSE:""&amp;D371,""marketcap"")"),4681030000)</f>
        <v>4681030000</v>
      </c>
      <c r="K371" s="7">
        <v>992.8</v>
      </c>
      <c r="L371" s="8">
        <f ca="1">IFERROR(__xludf.DUMMYFUNCTION("GOOGLEFINANCE(""NSE:""&amp;D371,""price"")"),52.01)</f>
        <v>52.01</v>
      </c>
      <c r="M371" s="9">
        <f t="shared" ca="1" si="7"/>
        <v>-940.79</v>
      </c>
      <c r="N371" s="10">
        <f t="shared" ca="1" si="8"/>
        <v>-94.761281224818688</v>
      </c>
      <c r="O371" s="7">
        <f ca="1">IFERROR(__xludf.DUMMYFUNCTION("GOOGLEFINANCE(""NSE:""&amp;D371,""pe"")"),17.75)</f>
        <v>17.75</v>
      </c>
      <c r="P371" s="7">
        <f ca="1">IFERROR(__xludf.DUMMYFUNCTION("GOOGLEFINANCE(""NSE:""&amp;D371,""EPS"")"),2.93)</f>
        <v>2.93</v>
      </c>
      <c r="Q371" s="7">
        <v>13.5</v>
      </c>
      <c r="R371" s="7" t="str">
        <f ca="1">IFERROR(__xludf.DUMMYFUNCTION("IMPORTXML(E371,""/html/body/main/div[3]/div[3]/div[2]/ul/li[7]/span[2]/span"")"),"Loading...")</f>
        <v>Loading...</v>
      </c>
      <c r="S371" s="7" t="str">
        <f ca="1">IFERROR(__xludf.DUMMYFUNCTION("IMPORTXML(E371,""/html/body/main/div[3]/div[3]/div[2]/ul/li[8]/span[2]/span"")"),"Loading...")</f>
        <v>Loading...</v>
      </c>
      <c r="T371" s="4">
        <v>34.6</v>
      </c>
      <c r="U371" s="4">
        <v>22.7</v>
      </c>
      <c r="V371" s="4">
        <v>2.6</v>
      </c>
      <c r="W371" s="4">
        <v>5.7</v>
      </c>
      <c r="X371" s="4">
        <v>519.92999999999995</v>
      </c>
      <c r="Y371" s="7">
        <f t="shared" ca="1" si="9"/>
        <v>-467.91999999999996</v>
      </c>
    </row>
    <row r="372" spans="1:25" ht="15" x14ac:dyDescent="0.25">
      <c r="A372" s="4">
        <v>1394</v>
      </c>
      <c r="C372" s="12" t="s">
        <v>1287</v>
      </c>
      <c r="D372" s="12" t="s">
        <v>1288</v>
      </c>
      <c r="E372" s="5" t="str">
        <f t="shared" si="5"/>
        <v>https://www.screener.in/company/NAHARPOLY/consolidated/</v>
      </c>
      <c r="F372" s="4">
        <v>443059</v>
      </c>
      <c r="G372" s="4">
        <v>3832241897</v>
      </c>
      <c r="H372" s="6">
        <f t="shared" ca="1" si="6"/>
        <v>113798.42313141499</v>
      </c>
      <c r="I372" s="7" t="str">
        <f ca="1">IFERROR(__xludf.DUMMYFUNCTION("IMPORTXML(E372,""/html/body/main/div[3]/div[3]/div[2]/ul/li[5]/span[2]/span"")"),"Loading...")</f>
        <v>Loading...</v>
      </c>
      <c r="J372" s="7">
        <f ca="1">IFERROR(__xludf.DUMMYFUNCTION("GOOGLEFINANCE(""NSE:""&amp;D372,""marketcap"")"),7314927000)</f>
        <v>7314927000</v>
      </c>
      <c r="K372" s="7">
        <v>992.8</v>
      </c>
      <c r="L372" s="8">
        <f ca="1">IFERROR(__xludf.DUMMYFUNCTION("GOOGLEFINANCE(""NSE:""&amp;D372,""price"")"),296.95)</f>
        <v>296.95</v>
      </c>
      <c r="M372" s="9">
        <f t="shared" ca="1" si="7"/>
        <v>-695.84999999999991</v>
      </c>
      <c r="N372" s="10">
        <f t="shared" ca="1" si="8"/>
        <v>-70.089645447219979</v>
      </c>
      <c r="O372" s="7">
        <f ca="1">IFERROR(__xludf.DUMMYFUNCTION("GOOGLEFINANCE(""NSE:""&amp;D372,""pe"")"),12.75)</f>
        <v>12.75</v>
      </c>
      <c r="P372" s="7">
        <f ca="1">IFERROR(__xludf.DUMMYFUNCTION("GOOGLEFINANCE(""NSE:""&amp;D372,""EPS"")"),23.3)</f>
        <v>23.3</v>
      </c>
      <c r="Q372" s="7">
        <v>13.5</v>
      </c>
      <c r="R372" s="7" t="str">
        <f ca="1">IFERROR(__xludf.DUMMYFUNCTION("IMPORTXML(E372,""/html/body/main/div[3]/div[3]/div[2]/ul/li[7]/span[2]/span"")"),"Loading...")</f>
        <v>Loading...</v>
      </c>
      <c r="S372" s="7" t="str">
        <f ca="1">IFERROR(__xludf.DUMMYFUNCTION("IMPORTXML(E372,""/html/body/main/div[3]/div[3]/div[2]/ul/li[8]/span[2]/span"")"),"Loading...")</f>
        <v>Loading...</v>
      </c>
      <c r="T372" s="4">
        <v>34.6</v>
      </c>
      <c r="U372" s="4">
        <v>22.7</v>
      </c>
      <c r="V372" s="4">
        <v>2.6</v>
      </c>
      <c r="W372" s="4">
        <v>5.7</v>
      </c>
      <c r="X372" s="4">
        <v>519.92999999999995</v>
      </c>
      <c r="Y372" s="7">
        <f t="shared" ca="1" si="9"/>
        <v>-222.97999999999996</v>
      </c>
    </row>
    <row r="373" spans="1:25" ht="15" x14ac:dyDescent="0.25">
      <c r="A373" s="4">
        <v>758</v>
      </c>
      <c r="C373" s="12" t="s">
        <v>1289</v>
      </c>
      <c r="D373" s="12" t="s">
        <v>1290</v>
      </c>
      <c r="E373" s="5" t="str">
        <f t="shared" si="5"/>
        <v>https://www.screener.in/company/SMLISUZU/consolidated/</v>
      </c>
      <c r="F373" s="4">
        <v>443059</v>
      </c>
      <c r="G373" s="4">
        <v>3832241897</v>
      </c>
      <c r="H373" s="6">
        <f t="shared" ca="1" si="6"/>
        <v>1445751.57806222</v>
      </c>
      <c r="I373" s="7" t="str">
        <f ca="1">IFERROR(__xludf.DUMMYFUNCTION("IMPORTXML(E373,""/html/body/main/div[3]/div[3]/div[2]/ul/li[5]/span[2]/span"")"),"Loading...")</f>
        <v>Loading...</v>
      </c>
      <c r="J373" s="7">
        <f ca="1">IFERROR(__xludf.DUMMYFUNCTION("GOOGLEFINANCE(""NSE:""&amp;D373,""marketcap"")"),54487200000)</f>
        <v>54487200000</v>
      </c>
      <c r="K373" s="7">
        <v>992.8</v>
      </c>
      <c r="L373" s="8">
        <f ca="1">IFERROR(__xludf.DUMMYFUNCTION("GOOGLEFINANCE(""NSE:""&amp;D373,""price"")"),3772.6)</f>
        <v>3772.6</v>
      </c>
      <c r="M373" s="9">
        <f t="shared" ca="1" si="7"/>
        <v>2779.8</v>
      </c>
      <c r="N373" s="10">
        <f t="shared" ca="1" si="8"/>
        <v>279.99597099113618</v>
      </c>
      <c r="O373" s="7">
        <f ca="1">IFERROR(__xludf.DUMMYFUNCTION("GOOGLEFINANCE(""NSE:""&amp;D373,""pe"")"),38.38)</f>
        <v>38.380000000000003</v>
      </c>
      <c r="P373" s="7">
        <f ca="1">IFERROR(__xludf.DUMMYFUNCTION("GOOGLEFINANCE(""NSE:""&amp;D373,""EPS"")"),98.29)</f>
        <v>98.29</v>
      </c>
      <c r="Q373" s="7">
        <v>13.5</v>
      </c>
      <c r="R373" s="7" t="str">
        <f ca="1">IFERROR(__xludf.DUMMYFUNCTION("IMPORTXML(E373,""/html/body/main/div[3]/div[3]/div[2]/ul/li[7]/span[2]/span"")"),"Loading...")</f>
        <v>Loading...</v>
      </c>
      <c r="S373" s="7" t="str">
        <f ca="1">IFERROR(__xludf.DUMMYFUNCTION("IMPORTXML(E373,""/html/body/main/div[3]/div[3]/div[2]/ul/li[8]/span[2]/span"")"),"#N/A")</f>
        <v>#N/A</v>
      </c>
      <c r="T373" s="4">
        <v>34.6</v>
      </c>
      <c r="U373" s="4">
        <v>22.7</v>
      </c>
      <c r="V373" s="4">
        <v>2.6</v>
      </c>
      <c r="W373" s="4">
        <v>5.7</v>
      </c>
      <c r="X373" s="4">
        <v>519.92999999999995</v>
      </c>
      <c r="Y373" s="7">
        <f t="shared" ca="1" si="9"/>
        <v>3252.67</v>
      </c>
    </row>
    <row r="374" spans="1:25" ht="15" x14ac:dyDescent="0.25">
      <c r="A374" s="4">
        <v>753</v>
      </c>
      <c r="C374" s="12" t="s">
        <v>1291</v>
      </c>
      <c r="D374" s="12" t="s">
        <v>1292</v>
      </c>
      <c r="E374" s="5" t="str">
        <f t="shared" si="5"/>
        <v>https://www.screener.in/company/MAYURUNIQ/consolidated/</v>
      </c>
      <c r="F374" s="4">
        <v>443059</v>
      </c>
      <c r="G374" s="4">
        <v>3832241897</v>
      </c>
      <c r="H374" s="6">
        <f t="shared" ca="1" si="6"/>
        <v>207209.31937079001</v>
      </c>
      <c r="I374" s="7" t="str">
        <f ca="1">IFERROR(__xludf.DUMMYFUNCTION("IMPORTXML(E374,""/html/body/main/div[3]/div[3]/div[2]/ul/li[5]/span[2]/span"")"),"Loading...")</f>
        <v>Loading...</v>
      </c>
      <c r="J374" s="7">
        <f ca="1">IFERROR(__xludf.DUMMYFUNCTION("GOOGLEFINANCE(""NSE:""&amp;D374,""marketcap"")"),23451370000)</f>
        <v>23451370000</v>
      </c>
      <c r="K374" s="7">
        <v>992.8</v>
      </c>
      <c r="L374" s="8">
        <f ca="1">IFERROR(__xludf.DUMMYFUNCTION("GOOGLEFINANCE(""NSE:""&amp;D374,""price"")"),540.7)</f>
        <v>540.70000000000005</v>
      </c>
      <c r="M374" s="9">
        <f t="shared" ca="1" si="7"/>
        <v>-452.09999999999991</v>
      </c>
      <c r="N374" s="10">
        <f t="shared" ca="1" si="8"/>
        <v>-45.537872683319897</v>
      </c>
      <c r="O374" s="7">
        <f ca="1">IFERROR(__xludf.DUMMYFUNCTION("GOOGLEFINANCE(""NSE:""&amp;D374,""pe"")"),15.42)</f>
        <v>15.42</v>
      </c>
      <c r="P374" s="7">
        <f ca="1">IFERROR(__xludf.DUMMYFUNCTION("GOOGLEFINANCE(""NSE:""&amp;D374,""EPS"")"),35.06)</f>
        <v>35.06</v>
      </c>
      <c r="Q374" s="7">
        <v>13.5</v>
      </c>
      <c r="R374" s="7" t="str">
        <f ca="1">IFERROR(__xludf.DUMMYFUNCTION("IMPORTXML(E374,""/html/body/main/div[3]/div[3]/div[2]/ul/li[7]/span[2]/span"")"),"Loading...")</f>
        <v>Loading...</v>
      </c>
      <c r="S374" s="7" t="str">
        <f ca="1">IFERROR(__xludf.DUMMYFUNCTION("IMPORTXML(E374,""/html/body/main/div[3]/div[3]/div[2]/ul/li[8]/span[2]/span"")"),"Loading...")</f>
        <v>Loading...</v>
      </c>
      <c r="T374" s="4">
        <v>34.6</v>
      </c>
      <c r="U374" s="4">
        <v>22.7</v>
      </c>
      <c r="V374" s="4">
        <v>2.6</v>
      </c>
      <c r="W374" s="4">
        <v>5.7</v>
      </c>
      <c r="X374" s="4">
        <v>519.92999999999995</v>
      </c>
      <c r="Y374" s="7">
        <f t="shared" ca="1" si="9"/>
        <v>20.770000000000095</v>
      </c>
    </row>
    <row r="375" spans="1:25" ht="15" x14ac:dyDescent="0.25">
      <c r="A375" s="4">
        <v>1357</v>
      </c>
      <c r="C375" s="12" t="s">
        <v>1293</v>
      </c>
      <c r="D375" s="12" t="s">
        <v>1294</v>
      </c>
      <c r="E375" s="5" t="str">
        <f t="shared" si="5"/>
        <v>https://www.screener.in/company/EMAMIPAP/consolidated/</v>
      </c>
      <c r="F375" s="4">
        <v>443059</v>
      </c>
      <c r="G375" s="4">
        <v>3832241897</v>
      </c>
      <c r="H375" s="6">
        <f t="shared" ca="1" si="6"/>
        <v>39472.091539100002</v>
      </c>
      <c r="I375" s="7" t="str">
        <f ca="1">IFERROR(__xludf.DUMMYFUNCTION("IMPORTXML(E375,""/html/body/main/div[3]/div[3]/div[2]/ul/li[5]/span[2]/span"")"),"Loading...")</f>
        <v>Loading...</v>
      </c>
      <c r="J375" s="7">
        <f ca="1">IFERROR(__xludf.DUMMYFUNCTION("GOOGLEFINANCE(""NSE:""&amp;D375,""marketcap"")"),6198732000)</f>
        <v>6198732000</v>
      </c>
      <c r="K375" s="7">
        <v>992.8</v>
      </c>
      <c r="L375" s="8">
        <f ca="1">IFERROR(__xludf.DUMMYFUNCTION("GOOGLEFINANCE(""NSE:""&amp;D375,""price"")"),103)</f>
        <v>103</v>
      </c>
      <c r="M375" s="9">
        <f t="shared" ca="1" si="7"/>
        <v>-889.8</v>
      </c>
      <c r="N375" s="10">
        <f t="shared" ca="1" si="8"/>
        <v>-89.625302175664785</v>
      </c>
      <c r="O375" s="7">
        <f ca="1">IFERROR(__xludf.DUMMYFUNCTION("GOOGLEFINANCE(""NSE:""&amp;D375,""pe"")"),43.08)</f>
        <v>43.08</v>
      </c>
      <c r="P375" s="7">
        <f ca="1">IFERROR(__xludf.DUMMYFUNCTION("GOOGLEFINANCE(""NSE:""&amp;D375,""EPS"")"),2.39)</f>
        <v>2.39</v>
      </c>
      <c r="Q375" s="7">
        <v>13.5</v>
      </c>
      <c r="R375" s="7" t="str">
        <f ca="1">IFERROR(__xludf.DUMMYFUNCTION("IMPORTXML(E375,""/html/body/main/div[3]/div[3]/div[2]/ul/li[7]/span[2]/span"")"),"Loading...")</f>
        <v>Loading...</v>
      </c>
      <c r="S375" s="7" t="str">
        <f ca="1">IFERROR(__xludf.DUMMYFUNCTION("IMPORTXML(E375,""/html/body/main/div[3]/div[3]/div[2]/ul/li[8]/span[2]/span"")"),"Loading...")</f>
        <v>Loading...</v>
      </c>
      <c r="T375" s="4">
        <v>34.6</v>
      </c>
      <c r="U375" s="4">
        <v>22.7</v>
      </c>
      <c r="V375" s="4">
        <v>2.6</v>
      </c>
      <c r="W375" s="4">
        <v>5.7</v>
      </c>
      <c r="X375" s="4">
        <v>519.92999999999995</v>
      </c>
      <c r="Y375" s="7">
        <f t="shared" ca="1" si="9"/>
        <v>-416.92999999999995</v>
      </c>
    </row>
    <row r="376" spans="1:25" ht="15" x14ac:dyDescent="0.25">
      <c r="A376" s="4">
        <v>2031</v>
      </c>
      <c r="C376" s="12" t="s">
        <v>1295</v>
      </c>
      <c r="D376" s="12" t="s">
        <v>1296</v>
      </c>
      <c r="E376" s="5" t="str">
        <f t="shared" si="5"/>
        <v>https://www.screener.in/company/AARVI/consolidated/</v>
      </c>
      <c r="F376" s="4">
        <v>443059</v>
      </c>
      <c r="G376" s="4">
        <v>3832241897</v>
      </c>
      <c r="H376" s="6">
        <f t="shared" ca="1" si="6"/>
        <v>47140.407574997</v>
      </c>
      <c r="I376" s="7" t="str">
        <f ca="1">IFERROR(__xludf.DUMMYFUNCTION("IMPORTXML(E376,""/html/body/main/div[3]/div[3]/div[2]/ul/li[5]/span[2]/span"")"),"Loading...")</f>
        <v>Loading...</v>
      </c>
      <c r="J376" s="7">
        <f ca="1">IFERROR(__xludf.DUMMYFUNCTION("GOOGLEFINANCE(""NSE:""&amp;D376,""marketcap"")"),1821863008)</f>
        <v>1821863008</v>
      </c>
      <c r="K376" s="7">
        <v>992.8</v>
      </c>
      <c r="L376" s="8">
        <f ca="1">IFERROR(__xludf.DUMMYFUNCTION("GOOGLEFINANCE(""NSE:""&amp;D376,""price"")"),123.01)</f>
        <v>123.01</v>
      </c>
      <c r="M376" s="9">
        <f t="shared" ca="1" si="7"/>
        <v>-869.79</v>
      </c>
      <c r="N376" s="10">
        <f t="shared" ca="1" si="8"/>
        <v>-87.609790491539087</v>
      </c>
      <c r="O376" s="7">
        <f ca="1">IFERROR(__xludf.DUMMYFUNCTION("GOOGLEFINANCE(""NSE:""&amp;D376,""pe"")"),15.69)</f>
        <v>15.69</v>
      </c>
      <c r="P376" s="7">
        <f ca="1">IFERROR(__xludf.DUMMYFUNCTION("GOOGLEFINANCE(""NSE:""&amp;D376,""EPS"")"),7.84)</f>
        <v>7.84</v>
      </c>
      <c r="Q376" s="7">
        <v>13.5</v>
      </c>
      <c r="R376" s="7" t="str">
        <f ca="1">IFERROR(__xludf.DUMMYFUNCTION("IMPORTXML(E376,""/html/body/main/div[3]/div[3]/div[2]/ul/li[7]/span[2]/span"")"),"Loading...")</f>
        <v>Loading...</v>
      </c>
      <c r="S376" s="7" t="str">
        <f ca="1">IFERROR(__xludf.DUMMYFUNCTION("IMPORTXML(E376,""/html/body/main/div[3]/div[3]/div[2]/ul/li[8]/span[2]/span"")"),"Loading...")</f>
        <v>Loading...</v>
      </c>
      <c r="T376" s="4">
        <v>34.6</v>
      </c>
      <c r="U376" s="4">
        <v>22.7</v>
      </c>
      <c r="V376" s="4">
        <v>2.6</v>
      </c>
      <c r="W376" s="4">
        <v>5.7</v>
      </c>
      <c r="X376" s="4">
        <v>519.92999999999995</v>
      </c>
      <c r="Y376" s="7">
        <f t="shared" ca="1" si="9"/>
        <v>-396.91999999999996</v>
      </c>
    </row>
    <row r="377" spans="1:25" ht="15" x14ac:dyDescent="0.25">
      <c r="A377" s="4">
        <v>741</v>
      </c>
      <c r="C377" s="12" t="s">
        <v>1297</v>
      </c>
      <c r="D377" s="12" t="s">
        <v>1298</v>
      </c>
      <c r="E377" s="5" t="str">
        <f t="shared" si="5"/>
        <v>https://www.screener.in/company/MONARCH/consolidated/</v>
      </c>
      <c r="F377" s="4">
        <v>443059</v>
      </c>
      <c r="G377" s="4">
        <v>3832241897</v>
      </c>
      <c r="H377" s="6">
        <f t="shared" ca="1" si="6"/>
        <v>125697.5342216</v>
      </c>
      <c r="I377" s="7" t="str">
        <f ca="1">IFERROR(__xludf.DUMMYFUNCTION("IMPORTXML(E377,""/html/body/main/div[3]/div[3]/div[2]/ul/li[5]/span[2]/span"")"),"Loading...")</f>
        <v>Loading...</v>
      </c>
      <c r="J377" s="7">
        <f ca="1">IFERROR(__xludf.DUMMYFUNCTION("GOOGLEFINANCE(""NSE:""&amp;D377,""marketcap"")"),25745349760)</f>
        <v>25745349760</v>
      </c>
      <c r="K377" s="7">
        <v>992.8</v>
      </c>
      <c r="L377" s="8">
        <f ca="1">IFERROR(__xludf.DUMMYFUNCTION("GOOGLEFINANCE(""NSE:""&amp;D377,""price"")"),328)</f>
        <v>328</v>
      </c>
      <c r="M377" s="9">
        <f t="shared" ca="1" si="7"/>
        <v>-664.8</v>
      </c>
      <c r="N377" s="10">
        <f t="shared" ca="1" si="8"/>
        <v>-66.962127316680096</v>
      </c>
      <c r="O377" s="7">
        <f ca="1">IFERROR(__xludf.DUMMYFUNCTION("GOOGLEFINANCE(""NSE:""&amp;D377,""pe"")"),16.43)</f>
        <v>16.43</v>
      </c>
      <c r="P377" s="7">
        <f ca="1">IFERROR(__xludf.DUMMYFUNCTION("GOOGLEFINANCE(""NSE:""&amp;D377,""EPS"")"),19.96)</f>
        <v>19.96</v>
      </c>
      <c r="Q377" s="7">
        <v>13.5</v>
      </c>
      <c r="R377" s="7" t="str">
        <f ca="1">IFERROR(__xludf.DUMMYFUNCTION("IMPORTXML(E377,""/html/body/main/div[3]/div[3]/div[2]/ul/li[7]/span[2]/span"")"),"Loading...")</f>
        <v>Loading...</v>
      </c>
      <c r="S377" s="7" t="str">
        <f ca="1">IFERROR(__xludf.DUMMYFUNCTION("IMPORTXML(E377,""/html/body/main/div[3]/div[3]/div[2]/ul/li[8]/span[2]/span"")"),"Loading...")</f>
        <v>Loading...</v>
      </c>
      <c r="T377" s="4">
        <v>34.6</v>
      </c>
      <c r="U377" s="4">
        <v>22.7</v>
      </c>
      <c r="V377" s="4">
        <v>2.6</v>
      </c>
      <c r="W377" s="4">
        <v>5.7</v>
      </c>
      <c r="X377" s="4">
        <v>519.92999999999995</v>
      </c>
      <c r="Y377" s="7">
        <f t="shared" ca="1" si="9"/>
        <v>-191.92999999999995</v>
      </c>
    </row>
    <row r="378" spans="1:25" ht="15" x14ac:dyDescent="0.25">
      <c r="A378" s="4">
        <v>943</v>
      </c>
      <c r="C378" s="12" t="s">
        <v>1299</v>
      </c>
      <c r="D378" s="12" t="s">
        <v>1300</v>
      </c>
      <c r="E378" s="5" t="str">
        <f t="shared" si="5"/>
        <v>https://www.screener.in/company/EXCELINDUS/consolidated/</v>
      </c>
      <c r="F378" s="4">
        <v>443059</v>
      </c>
      <c r="G378" s="4">
        <v>3832241897</v>
      </c>
      <c r="H378" s="6">
        <f t="shared" ca="1" si="6"/>
        <v>446264.56890565</v>
      </c>
      <c r="I378" s="7" t="str">
        <f ca="1">IFERROR(__xludf.DUMMYFUNCTION("IMPORTXML(E378,""/html/body/main/div[3]/div[3]/div[2]/ul/li[5]/span[2]/span"")"),"Loading...")</f>
        <v>Loading...</v>
      </c>
      <c r="J378" s="7">
        <f ca="1">IFERROR(__xludf.DUMMYFUNCTION("GOOGLEFINANCE(""NSE:""&amp;D378,""marketcap"")"),14614690000)</f>
        <v>14614690000</v>
      </c>
      <c r="K378" s="7">
        <v>992.8</v>
      </c>
      <c r="L378" s="8">
        <f ca="1">IFERROR(__xludf.DUMMYFUNCTION("GOOGLEFINANCE(""NSE:""&amp;D378,""price"")"),1164.5)</f>
        <v>1164.5</v>
      </c>
      <c r="M378" s="9">
        <f t="shared" ca="1" si="7"/>
        <v>171.70000000000005</v>
      </c>
      <c r="N378" s="10">
        <f t="shared" ca="1" si="8"/>
        <v>17.294520547945211</v>
      </c>
      <c r="O378" s="7">
        <f ca="1">IFERROR(__xludf.DUMMYFUNCTION("GOOGLEFINANCE(""NSE:""&amp;D378,""pe"")"),16.62)</f>
        <v>16.62</v>
      </c>
      <c r="P378" s="7">
        <f ca="1">IFERROR(__xludf.DUMMYFUNCTION("GOOGLEFINANCE(""NSE:""&amp;D378,""EPS"")"),70.05)</f>
        <v>70.05</v>
      </c>
      <c r="Q378" s="7">
        <v>13.5</v>
      </c>
      <c r="R378" s="7" t="str">
        <f ca="1">IFERROR(__xludf.DUMMYFUNCTION("IMPORTXML(E378,""/html/body/main/div[3]/div[3]/div[2]/ul/li[7]/span[2]/span"")"),"Loading...")</f>
        <v>Loading...</v>
      </c>
      <c r="S378" s="7" t="str">
        <f ca="1">IFERROR(__xludf.DUMMYFUNCTION("IMPORTXML(E378,""/html/body/main/div[3]/div[3]/div[2]/ul/li[8]/span[2]/span"")"),"Loading...")</f>
        <v>Loading...</v>
      </c>
      <c r="T378" s="4">
        <v>34.6</v>
      </c>
      <c r="U378" s="4">
        <v>22.7</v>
      </c>
      <c r="V378" s="4">
        <v>2.6</v>
      </c>
      <c r="W378" s="4">
        <v>5.7</v>
      </c>
      <c r="X378" s="4">
        <v>519.92999999999995</v>
      </c>
      <c r="Y378" s="7">
        <f t="shared" ca="1" si="9"/>
        <v>644.57000000000005</v>
      </c>
    </row>
    <row r="379" spans="1:25" ht="15" x14ac:dyDescent="0.25">
      <c r="A379" s="4">
        <v>192</v>
      </c>
      <c r="C379" s="12" t="s">
        <v>1301</v>
      </c>
      <c r="D379" s="12" t="s">
        <v>1302</v>
      </c>
      <c r="E379" s="5" t="str">
        <f t="shared" si="5"/>
        <v>https://www.screener.in/company/EIDPARRY/consolidated/</v>
      </c>
      <c r="F379" s="4">
        <v>443059</v>
      </c>
      <c r="G379" s="4">
        <v>3832241897</v>
      </c>
      <c r="H379" s="6">
        <f t="shared" ca="1" si="6"/>
        <v>426528.52313609998</v>
      </c>
      <c r="I379" s="7" t="str">
        <f ca="1">IFERROR(__xludf.DUMMYFUNCTION("IMPORTXML(E379,""/html/body/main/div[3]/div[3]/div[2]/ul/li[5]/span[2]/span"")"),"Loading...")</f>
        <v>Loading...</v>
      </c>
      <c r="J379" s="7">
        <f ca="1">IFERROR(__xludf.DUMMYFUNCTION("GOOGLEFINANCE(""NSE:""&amp;D379,""marketcap"")"),197433258666)</f>
        <v>197433258666</v>
      </c>
      <c r="K379" s="7">
        <v>992.8</v>
      </c>
      <c r="L379" s="8">
        <f ca="1">IFERROR(__xludf.DUMMYFUNCTION("GOOGLEFINANCE(""NSE:""&amp;D379,""price"")"),1113)</f>
        <v>1113</v>
      </c>
      <c r="M379" s="9">
        <f t="shared" ca="1" si="7"/>
        <v>120.20000000000005</v>
      </c>
      <c r="N379" s="10">
        <f t="shared" ca="1" si="8"/>
        <v>12.107171635777604</v>
      </c>
      <c r="O379" s="7">
        <f ca="1">IFERROR(__xludf.DUMMYFUNCTION("GOOGLEFINANCE(""NSE:""&amp;D379,""pe"")"),19.19)</f>
        <v>19.190000000000001</v>
      </c>
      <c r="P379" s="7">
        <f ca="1">IFERROR(__xludf.DUMMYFUNCTION("GOOGLEFINANCE(""NSE:""&amp;D379,""EPS"")"),58.01)</f>
        <v>58.01</v>
      </c>
      <c r="Q379" s="7">
        <v>13.5</v>
      </c>
      <c r="R379" s="7" t="str">
        <f ca="1">IFERROR(__xludf.DUMMYFUNCTION("IMPORTXML(E379,""/html/body/main/div[3]/div[3]/div[2]/ul/li[7]/span[2]/span"")"),"Loading...")</f>
        <v>Loading...</v>
      </c>
      <c r="S379" s="7" t="str">
        <f ca="1">IFERROR(__xludf.DUMMYFUNCTION("IMPORTXML(E379,""/html/body/main/div[3]/div[3]/div[2]/ul/li[8]/span[2]/span"")"),"Loading...")</f>
        <v>Loading...</v>
      </c>
      <c r="T379" s="4">
        <v>34.6</v>
      </c>
      <c r="U379" s="4">
        <v>22.7</v>
      </c>
      <c r="V379" s="4">
        <v>2.6</v>
      </c>
      <c r="W379" s="4">
        <v>5.7</v>
      </c>
      <c r="X379" s="4">
        <v>519.92999999999995</v>
      </c>
      <c r="Y379" s="7">
        <f t="shared" ca="1" si="9"/>
        <v>593.07000000000005</v>
      </c>
    </row>
    <row r="380" spans="1:25" ht="15" x14ac:dyDescent="0.25">
      <c r="A380" s="4">
        <v>697</v>
      </c>
      <c r="C380" s="12" t="s">
        <v>1303</v>
      </c>
      <c r="D380" s="12" t="s">
        <v>1304</v>
      </c>
      <c r="E380" s="5" t="str">
        <f t="shared" si="5"/>
        <v>https://www.screener.in/company/KCP/consolidated/</v>
      </c>
      <c r="F380" s="4">
        <v>443059</v>
      </c>
      <c r="G380" s="4">
        <v>3832241897</v>
      </c>
      <c r="H380" s="6">
        <f t="shared" ca="1" si="6"/>
        <v>78101.089860860011</v>
      </c>
      <c r="I380" s="7" t="str">
        <f ca="1">IFERROR(__xludf.DUMMYFUNCTION("IMPORTXML(E380,""/html/body/main/div[3]/div[3]/div[2]/ul/li[5]/span[2]/span"")"),"Loading...")</f>
        <v>Loading...</v>
      </c>
      <c r="J380" s="7">
        <f ca="1">IFERROR(__xludf.DUMMYFUNCTION("GOOGLEFINANCE(""NSE:""&amp;D380,""marketcap"")"),26296168753)</f>
        <v>26296168753</v>
      </c>
      <c r="K380" s="7">
        <v>992.8</v>
      </c>
      <c r="L380" s="8">
        <f ca="1">IFERROR(__xludf.DUMMYFUNCTION("GOOGLEFINANCE(""NSE:""&amp;D380,""price"")"),203.8)</f>
        <v>203.8</v>
      </c>
      <c r="M380" s="9">
        <f t="shared" ca="1" si="7"/>
        <v>-789</v>
      </c>
      <c r="N380" s="10">
        <f t="shared" ca="1" si="8"/>
        <v>-79.472199838839657</v>
      </c>
      <c r="O380" s="7">
        <f ca="1">IFERROR(__xludf.DUMMYFUNCTION("GOOGLEFINANCE(""NSE:""&amp;D380,""pe"")"),14.73)</f>
        <v>14.73</v>
      </c>
      <c r="P380" s="7">
        <f ca="1">IFERROR(__xludf.DUMMYFUNCTION("GOOGLEFINANCE(""NSE:""&amp;D380,""EPS"")"),13.84)</f>
        <v>13.84</v>
      </c>
      <c r="Q380" s="7">
        <v>13.5</v>
      </c>
      <c r="R380" s="7" t="str">
        <f ca="1">IFERROR(__xludf.DUMMYFUNCTION("IMPORTXML(E380,""/html/body/main/div[3]/div[3]/div[2]/ul/li[7]/span[2]/span"")"),"Loading...")</f>
        <v>Loading...</v>
      </c>
      <c r="S380" s="7" t="str">
        <f ca="1">IFERROR(__xludf.DUMMYFUNCTION("IMPORTXML(E380,""/html/body/main/div[3]/div[3]/div[2]/ul/li[8]/span[2]/span"")"),"Loading...")</f>
        <v>Loading...</v>
      </c>
      <c r="T380" s="4">
        <v>34.6</v>
      </c>
      <c r="U380" s="4">
        <v>22.7</v>
      </c>
      <c r="V380" s="4">
        <v>2.6</v>
      </c>
      <c r="W380" s="4">
        <v>5.7</v>
      </c>
      <c r="X380" s="4">
        <v>519.92999999999995</v>
      </c>
      <c r="Y380" s="7">
        <f t="shared" ca="1" si="9"/>
        <v>-316.12999999999994</v>
      </c>
    </row>
    <row r="381" spans="1:25" ht="15" x14ac:dyDescent="0.25">
      <c r="A381" s="4">
        <v>1218</v>
      </c>
      <c r="C381" s="12" t="s">
        <v>1305</v>
      </c>
      <c r="D381" s="12" t="s">
        <v>1306</v>
      </c>
      <c r="E381" s="5" t="str">
        <f t="shared" si="5"/>
        <v>https://www.screener.in/company/GHCLTEXTIL/consolidated/</v>
      </c>
      <c r="F381" s="4">
        <v>443059</v>
      </c>
      <c r="G381" s="4">
        <v>3832241897</v>
      </c>
      <c r="H381" s="6">
        <f t="shared" ca="1" si="6"/>
        <v>29431.617768959997</v>
      </c>
      <c r="I381" s="7" t="str">
        <f ca="1">IFERROR(__xludf.DUMMYFUNCTION("IMPORTXML(E381,""/html/body/main/div[3]/div[3]/div[2]/ul/li[5]/span[2]/span"")"),"Loading...")</f>
        <v>Loading...</v>
      </c>
      <c r="J381" s="7">
        <f ca="1">IFERROR(__xludf.DUMMYFUNCTION("GOOGLEFINANCE(""NSE:""&amp;D381,""marketcap"")"),7340988963)</f>
        <v>7340988963</v>
      </c>
      <c r="K381" s="7">
        <v>992.8</v>
      </c>
      <c r="L381" s="8">
        <f ca="1">IFERROR(__xludf.DUMMYFUNCTION("GOOGLEFINANCE(""NSE:""&amp;D381,""price"")"),76.8)</f>
        <v>76.8</v>
      </c>
      <c r="M381" s="9">
        <f t="shared" ca="1" si="7"/>
        <v>-916</v>
      </c>
      <c r="N381" s="10">
        <f t="shared" ca="1" si="8"/>
        <v>-92.264302981466557</v>
      </c>
      <c r="O381" s="7">
        <f ca="1">IFERROR(__xludf.DUMMYFUNCTION("GOOGLEFINANCE(""NSE:""&amp;D381,""pe"")"),12.75)</f>
        <v>12.75</v>
      </c>
      <c r="P381" s="7">
        <f ca="1">IFERROR(__xludf.DUMMYFUNCTION("GOOGLEFINANCE(""NSE:""&amp;D381,""EPS"")"),6.03)</f>
        <v>6.03</v>
      </c>
      <c r="Q381" s="7">
        <v>13.5</v>
      </c>
      <c r="R381" s="7" t="str">
        <f ca="1">IFERROR(__xludf.DUMMYFUNCTION("IMPORTXML(E381,""/html/body/main/div[3]/div[3]/div[2]/ul/li[7]/span[2]/span"")"),"Loading...")</f>
        <v>Loading...</v>
      </c>
      <c r="S381" s="7" t="str">
        <f ca="1">IFERROR(__xludf.DUMMYFUNCTION("IMPORTXML(E381,""/html/body/main/div[3]/div[3]/div[2]/ul/li[8]/span[2]/span"")"),"Loading...")</f>
        <v>Loading...</v>
      </c>
      <c r="T381" s="4">
        <v>34.6</v>
      </c>
      <c r="U381" s="4">
        <v>22.7</v>
      </c>
      <c r="V381" s="4">
        <v>2.6</v>
      </c>
      <c r="W381" s="4">
        <v>5.7</v>
      </c>
      <c r="X381" s="4">
        <v>519.92999999999995</v>
      </c>
      <c r="Y381" s="7">
        <f t="shared" ca="1" si="9"/>
        <v>-443.12999999999994</v>
      </c>
    </row>
    <row r="382" spans="1:25" ht="15" x14ac:dyDescent="0.25">
      <c r="A382" s="4">
        <v>797</v>
      </c>
      <c r="C382" s="12" t="s">
        <v>1307</v>
      </c>
      <c r="D382" s="12" t="s">
        <v>1308</v>
      </c>
      <c r="E382" s="5" t="str">
        <f t="shared" si="5"/>
        <v>https://www.screener.in/company/UDS/consolidated/</v>
      </c>
      <c r="F382" s="4">
        <v>443059</v>
      </c>
      <c r="G382" s="4">
        <v>3832241897</v>
      </c>
      <c r="H382" s="6">
        <f t="shared" ca="1" si="6"/>
        <v>95614.435330149994</v>
      </c>
      <c r="I382" s="7" t="str">
        <f ca="1">IFERROR(__xludf.DUMMYFUNCTION("IMPORTXML(E382,""/html/body/main/div[3]/div[3]/div[2]/ul/li[5]/span[2]/span"")"),"Loading...")</f>
        <v>Loading...</v>
      </c>
      <c r="J382" s="7">
        <f ca="1">IFERROR(__xludf.DUMMYFUNCTION("GOOGLEFINANCE(""NSE:""&amp;D382,""marketcap"")"),16671360000)</f>
        <v>16671360000</v>
      </c>
      <c r="K382" s="7">
        <v>992.8</v>
      </c>
      <c r="L382" s="8">
        <f ca="1">IFERROR(__xludf.DUMMYFUNCTION("GOOGLEFINANCE(""NSE:""&amp;D382,""price"")"),249.5)</f>
        <v>249.5</v>
      </c>
      <c r="M382" s="9">
        <f t="shared" ca="1" si="7"/>
        <v>-743.3</v>
      </c>
      <c r="N382" s="10">
        <f t="shared" ca="1" si="8"/>
        <v>-74.869057211925863</v>
      </c>
      <c r="O382" s="7">
        <f ca="1">IFERROR(__xludf.DUMMYFUNCTION("GOOGLEFINANCE(""NSE:""&amp;D382,""pe"")"),13.67)</f>
        <v>13.67</v>
      </c>
      <c r="P382" s="7">
        <f ca="1">IFERROR(__xludf.DUMMYFUNCTION("GOOGLEFINANCE(""NSE:""&amp;D382,""EPS"")"),18.25)</f>
        <v>18.25</v>
      </c>
      <c r="Q382" s="7">
        <v>13.5</v>
      </c>
      <c r="R382" s="7" t="str">
        <f ca="1">IFERROR(__xludf.DUMMYFUNCTION("IMPORTXML(E382,""/html/body/main/div[3]/div[3]/div[2]/ul/li[7]/span[2]/span"")"),"Loading...")</f>
        <v>Loading...</v>
      </c>
      <c r="S382" s="7" t="str">
        <f ca="1">IFERROR(__xludf.DUMMYFUNCTION("IMPORTXML(E382,""/html/body/main/div[3]/div[3]/div[2]/ul/li[8]/span[2]/span"")"),"Loading...")</f>
        <v>Loading...</v>
      </c>
      <c r="T382" s="4">
        <v>34.6</v>
      </c>
      <c r="U382" s="4">
        <v>22.7</v>
      </c>
      <c r="V382" s="4">
        <v>2.6</v>
      </c>
      <c r="W382" s="4">
        <v>5.7</v>
      </c>
      <c r="X382" s="4">
        <v>519.92999999999995</v>
      </c>
      <c r="Y382" s="7">
        <f t="shared" ca="1" si="9"/>
        <v>-270.42999999999995</v>
      </c>
    </row>
    <row r="383" spans="1:25" ht="15" x14ac:dyDescent="0.25">
      <c r="A383" s="4">
        <v>1361</v>
      </c>
      <c r="C383" s="12" t="s">
        <v>1309</v>
      </c>
      <c r="D383" s="12" t="s">
        <v>1310</v>
      </c>
      <c r="E383" s="5" t="str">
        <f t="shared" si="5"/>
        <v>https://www.screener.in/company/HERCULES/consolidated/</v>
      </c>
      <c r="F383" s="4">
        <v>443059</v>
      </c>
      <c r="G383" s="4">
        <v>3832241897</v>
      </c>
      <c r="H383" s="6">
        <f t="shared" ca="1" si="6"/>
        <v>63615.215490199997</v>
      </c>
      <c r="I383" s="7" t="str">
        <f ca="1">IFERROR(__xludf.DUMMYFUNCTION("IMPORTXML(E383,""/html/body/main/div[3]/div[3]/div[2]/ul/li[5]/span[2]/span"")"),"Loading...")</f>
        <v>Loading...</v>
      </c>
      <c r="J383" s="7">
        <f ca="1">IFERROR(__xludf.DUMMYFUNCTION("GOOGLEFINANCE(""NSE:""&amp;D383,""marketcap"")"),5276160000)</f>
        <v>5276160000</v>
      </c>
      <c r="K383" s="7">
        <v>992.8</v>
      </c>
      <c r="L383" s="8">
        <f ca="1">IFERROR(__xludf.DUMMYFUNCTION("GOOGLEFINANCE(""NSE:""&amp;D383,""price"")"),166)</f>
        <v>166</v>
      </c>
      <c r="M383" s="9">
        <f t="shared" ca="1" si="7"/>
        <v>-826.8</v>
      </c>
      <c r="N383" s="10">
        <f t="shared" ca="1" si="8"/>
        <v>-83.27961321514907</v>
      </c>
      <c r="O383" s="7" t="str">
        <f ca="1">IFERROR(__xludf.DUMMYFUNCTION("GOOGLEFINANCE(""NSE:""&amp;D383,""pe"")"),"#N/A")</f>
        <v>#N/A</v>
      </c>
      <c r="P383" s="7">
        <f ca="1">IFERROR(__xludf.DUMMYFUNCTION("GOOGLEFINANCE(""NSE:""&amp;D383,""EPS"")"),-0.12)</f>
        <v>-0.12</v>
      </c>
      <c r="Q383" s="7">
        <v>13.5</v>
      </c>
      <c r="R383" s="7" t="str">
        <f ca="1">IFERROR(__xludf.DUMMYFUNCTION("IMPORTXML(E383,""/html/body/main/div[3]/div[3]/div[2]/ul/li[7]/span[2]/span"")"),"Loading...")</f>
        <v>Loading...</v>
      </c>
      <c r="S383" s="7" t="str">
        <f ca="1">IFERROR(__xludf.DUMMYFUNCTION("IMPORTXML(E383,""/html/body/main/div[3]/div[3]/div[2]/ul/li[8]/span[2]/span"")"),"Loading...")</f>
        <v>Loading...</v>
      </c>
      <c r="T383" s="4">
        <v>34.6</v>
      </c>
      <c r="U383" s="4">
        <v>22.7</v>
      </c>
      <c r="V383" s="4">
        <v>2.6</v>
      </c>
      <c r="W383" s="4">
        <v>5.7</v>
      </c>
      <c r="X383" s="4">
        <v>519.92999999999995</v>
      </c>
      <c r="Y383" s="7">
        <f t="shared" ca="1" si="9"/>
        <v>-353.92999999999995</v>
      </c>
    </row>
    <row r="384" spans="1:25" ht="15" x14ac:dyDescent="0.25">
      <c r="A384" s="4">
        <v>1127</v>
      </c>
      <c r="C384" s="12" t="s">
        <v>1311</v>
      </c>
      <c r="D384" s="12" t="s">
        <v>1312</v>
      </c>
      <c r="E384" s="5" t="str">
        <f t="shared" si="5"/>
        <v>https://www.screener.in/company/OSWALGREEN/consolidated/</v>
      </c>
      <c r="F384" s="4">
        <v>443059</v>
      </c>
      <c r="G384" s="4">
        <v>3832241897</v>
      </c>
      <c r="H384" s="6">
        <f t="shared" ca="1" si="6"/>
        <v>15440.102603013</v>
      </c>
      <c r="I384" s="7" t="str">
        <f ca="1">IFERROR(__xludf.DUMMYFUNCTION("IMPORTXML(E384,""/html/body/main/div[3]/div[3]/div[2]/ul/li[5]/span[2]/span"")"),"Loading...")</f>
        <v>Loading...</v>
      </c>
      <c r="J384" s="7">
        <f ca="1">IFERROR(__xludf.DUMMYFUNCTION("GOOGLEFINANCE(""NSE:""&amp;D384,""marketcap"")"),10318590000)</f>
        <v>10318590000</v>
      </c>
      <c r="K384" s="7">
        <v>992.8</v>
      </c>
      <c r="L384" s="8">
        <f ca="1">IFERROR(__xludf.DUMMYFUNCTION("GOOGLEFINANCE(""NSE:""&amp;D384,""price"")"),40.29)</f>
        <v>40.29</v>
      </c>
      <c r="M384" s="9">
        <f t="shared" ca="1" si="7"/>
        <v>-952.51</v>
      </c>
      <c r="N384" s="10">
        <f t="shared" ca="1" si="8"/>
        <v>-95.941780821917817</v>
      </c>
      <c r="O384" s="7">
        <f ca="1">IFERROR(__xludf.DUMMYFUNCTION("GOOGLEFINANCE(""NSE:""&amp;D384,""pe"")"),15.37)</f>
        <v>15.37</v>
      </c>
      <c r="P384" s="7">
        <f ca="1">IFERROR(__xludf.DUMMYFUNCTION("GOOGLEFINANCE(""NSE:""&amp;D384,""EPS"")"),1.47)</f>
        <v>1.47</v>
      </c>
      <c r="Q384" s="7">
        <v>13.5</v>
      </c>
      <c r="R384" s="7" t="str">
        <f ca="1">IFERROR(__xludf.DUMMYFUNCTION("IMPORTXML(E384,""/html/body/main/div[3]/div[3]/div[2]/ul/li[7]/span[2]/span"")"),"Loading...")</f>
        <v>Loading...</v>
      </c>
      <c r="S384" s="7" t="str">
        <f ca="1">IFERROR(__xludf.DUMMYFUNCTION("IMPORTXML(E384,""/html/body/main/div[3]/div[3]/div[2]/ul/li[8]/span[2]/span"")"),"Loading...")</f>
        <v>Loading...</v>
      </c>
      <c r="T384" s="4">
        <v>34.6</v>
      </c>
      <c r="U384" s="4">
        <v>22.7</v>
      </c>
      <c r="V384" s="4">
        <v>2.6</v>
      </c>
      <c r="W384" s="4">
        <v>5.7</v>
      </c>
      <c r="X384" s="4">
        <v>519.92999999999995</v>
      </c>
      <c r="Y384" s="7">
        <f t="shared" ca="1" si="9"/>
        <v>-479.63999999999993</v>
      </c>
    </row>
    <row r="385" spans="1:25" ht="15" x14ac:dyDescent="0.25">
      <c r="A385" s="4">
        <v>1087</v>
      </c>
      <c r="C385" s="12" t="s">
        <v>1313</v>
      </c>
      <c r="D385" s="12" t="s">
        <v>1314</v>
      </c>
      <c r="E385" s="5" t="str">
        <f t="shared" si="5"/>
        <v>https://www.screener.in/company/DHAMPURSUG/consolidated/</v>
      </c>
      <c r="F385" s="4">
        <v>443059</v>
      </c>
      <c r="G385" s="4">
        <v>3832241897</v>
      </c>
      <c r="H385" s="6">
        <f t="shared" ca="1" si="6"/>
        <v>52865.776969114995</v>
      </c>
      <c r="I385" s="7" t="str">
        <f ca="1">IFERROR(__xludf.DUMMYFUNCTION("IMPORTXML(E385,""/html/body/main/div[3]/div[3]/div[2]/ul/li[5]/span[2]/span"")"),"Loading...")</f>
        <v>Loading...</v>
      </c>
      <c r="J385" s="7">
        <f ca="1">IFERROR(__xludf.DUMMYFUNCTION("GOOGLEFINANCE(""NSE:""&amp;D385,""marketcap"")"),8838286000)</f>
        <v>8838286000</v>
      </c>
      <c r="K385" s="7">
        <v>992.8</v>
      </c>
      <c r="L385" s="8">
        <f ca="1">IFERROR(__xludf.DUMMYFUNCTION("GOOGLEFINANCE(""NSE:""&amp;D385,""price"")"),137.95)</f>
        <v>137.94999999999999</v>
      </c>
      <c r="M385" s="9">
        <f t="shared" ca="1" si="7"/>
        <v>-854.84999999999991</v>
      </c>
      <c r="N385" s="10">
        <f t="shared" ca="1" si="8"/>
        <v>-86.104955680902492</v>
      </c>
      <c r="O385" s="7">
        <f ca="1">IFERROR(__xludf.DUMMYFUNCTION("GOOGLEFINANCE(""NSE:""&amp;D385,""pe"")"),17.58)</f>
        <v>17.579999999999998</v>
      </c>
      <c r="P385" s="7">
        <f ca="1">IFERROR(__xludf.DUMMYFUNCTION("GOOGLEFINANCE(""NSE:""&amp;D385,""EPS"")"),7.85)</f>
        <v>7.85</v>
      </c>
      <c r="Q385" s="7">
        <v>13.5</v>
      </c>
      <c r="R385" s="7" t="str">
        <f ca="1">IFERROR(__xludf.DUMMYFUNCTION("IMPORTXML(E385,""/html/body/main/div[3]/div[3]/div[2]/ul/li[7]/span[2]/span"")"),"Loading...")</f>
        <v>Loading...</v>
      </c>
      <c r="S385" s="7" t="str">
        <f ca="1">IFERROR(__xludf.DUMMYFUNCTION("IMPORTXML(E385,""/html/body/main/div[3]/div[3]/div[2]/ul/li[8]/span[2]/span"")"),"Loading...")</f>
        <v>Loading...</v>
      </c>
      <c r="T385" s="4">
        <v>34.6</v>
      </c>
      <c r="U385" s="4">
        <v>22.7</v>
      </c>
      <c r="V385" s="4">
        <v>2.6</v>
      </c>
      <c r="W385" s="4">
        <v>5.7</v>
      </c>
      <c r="X385" s="4">
        <v>519.92999999999995</v>
      </c>
      <c r="Y385" s="7">
        <f t="shared" ca="1" si="9"/>
        <v>-381.97999999999996</v>
      </c>
    </row>
    <row r="386" spans="1:25" ht="15" x14ac:dyDescent="0.25">
      <c r="A386" s="4">
        <v>576</v>
      </c>
      <c r="C386" s="12" t="s">
        <v>1315</v>
      </c>
      <c r="D386" s="12" t="s">
        <v>1316</v>
      </c>
      <c r="E386" s="5" t="str">
        <f t="shared" si="5"/>
        <v>https://www.screener.in/company/FEDFINA/consolidated/</v>
      </c>
      <c r="F386" s="4">
        <v>443059</v>
      </c>
      <c r="G386" s="4">
        <v>3832241897</v>
      </c>
      <c r="H386" s="6">
        <f t="shared" ca="1" si="6"/>
        <v>52321.598619741002</v>
      </c>
      <c r="I386" s="7" t="str">
        <f ca="1">IFERROR(__xludf.DUMMYFUNCTION("IMPORTXML(E386,""/html/body/main/div[3]/div[3]/div[2]/ul/li[5]/span[2]/span"")"),"Loading...")</f>
        <v>Loading...</v>
      </c>
      <c r="J386" s="7">
        <f ca="1">IFERROR(__xludf.DUMMYFUNCTION("GOOGLEFINANCE(""NSE:""&amp;D386,""marketcap"")"),51054484353)</f>
        <v>51054484353</v>
      </c>
      <c r="K386" s="7">
        <v>992.8</v>
      </c>
      <c r="L386" s="8">
        <f ca="1">IFERROR(__xludf.DUMMYFUNCTION("GOOGLEFINANCE(""NSE:""&amp;D386,""price"")"),136.53)</f>
        <v>136.53</v>
      </c>
      <c r="M386" s="9">
        <f t="shared" ca="1" si="7"/>
        <v>-856.27</v>
      </c>
      <c r="N386" s="10">
        <f t="shared" ca="1" si="8"/>
        <v>-86.247985495568088</v>
      </c>
      <c r="O386" s="7">
        <f ca="1">IFERROR(__xludf.DUMMYFUNCTION("GOOGLEFINANCE(""NSE:""&amp;D386,""pe"")"),22.16)</f>
        <v>22.16</v>
      </c>
      <c r="P386" s="7">
        <f ca="1">IFERROR(__xludf.DUMMYFUNCTION("GOOGLEFINANCE(""NSE:""&amp;D386,""EPS"")"),6.16)</f>
        <v>6.16</v>
      </c>
      <c r="Q386" s="7">
        <v>13.5</v>
      </c>
      <c r="R386" s="7" t="str">
        <f ca="1">IFERROR(__xludf.DUMMYFUNCTION("IMPORTXML(E386,""/html/body/main/div[3]/div[3]/div[2]/ul/li[7]/span[2]/span"")"),"Loading...")</f>
        <v>Loading...</v>
      </c>
      <c r="S386" s="7" t="str">
        <f ca="1">IFERROR(__xludf.DUMMYFUNCTION("IMPORTXML(E386,""/html/body/main/div[3]/div[3]/div[2]/ul/li[8]/span[2]/span"")"),"#N/A")</f>
        <v>#N/A</v>
      </c>
      <c r="T386" s="4">
        <v>34.6</v>
      </c>
      <c r="U386" s="4">
        <v>22.7</v>
      </c>
      <c r="V386" s="4">
        <v>2.6</v>
      </c>
      <c r="W386" s="4">
        <v>5.7</v>
      </c>
      <c r="X386" s="4">
        <v>519.92999999999995</v>
      </c>
      <c r="Y386" s="7">
        <f t="shared" ca="1" si="9"/>
        <v>-383.4</v>
      </c>
    </row>
    <row r="387" spans="1:25" ht="15" x14ac:dyDescent="0.25">
      <c r="A387" s="4">
        <v>2422</v>
      </c>
      <c r="C387" s="12" t="s">
        <v>1317</v>
      </c>
      <c r="D387" s="12" t="s">
        <v>1318</v>
      </c>
      <c r="E387" s="5" t="str">
        <f t="shared" si="5"/>
        <v>https://www.screener.in/company/NAGREEKEXP/consolidated/</v>
      </c>
      <c r="F387" s="4">
        <v>443059</v>
      </c>
      <c r="G387" s="4">
        <v>3832241897</v>
      </c>
      <c r="H387" s="6">
        <f t="shared" ca="1" si="6"/>
        <v>10289.569493445002</v>
      </c>
      <c r="I387" s="7" t="str">
        <f ca="1">IFERROR(__xludf.DUMMYFUNCTION("IMPORTXML(E387,""/html/body/main/div[3]/div[3]/div[2]/ul/li[5]/span[2]/span"")"),"Loading...")</f>
        <v>Loading...</v>
      </c>
      <c r="J387" s="7">
        <f ca="1">IFERROR(__xludf.DUMMYFUNCTION("GOOGLEFINANCE(""NSE:""&amp;D387,""marketcap"")"),847169588)</f>
        <v>847169588</v>
      </c>
      <c r="K387" s="7">
        <v>992.8</v>
      </c>
      <c r="L387" s="8">
        <f ca="1">IFERROR(__xludf.DUMMYFUNCTION("GOOGLEFINANCE(""NSE:""&amp;D387,""price"")"),26.85)</f>
        <v>26.85</v>
      </c>
      <c r="M387" s="9">
        <f t="shared" ca="1" si="7"/>
        <v>-965.94999999999993</v>
      </c>
      <c r="N387" s="10">
        <f t="shared" ca="1" si="8"/>
        <v>-97.295527800161167</v>
      </c>
      <c r="O387" s="7" t="str">
        <f ca="1">IFERROR(__xludf.DUMMYFUNCTION("GOOGLEFINANCE(""NSE:""&amp;D387,""pe"")"),"#N/A")</f>
        <v>#N/A</v>
      </c>
      <c r="P387" s="7" t="str">
        <f ca="1">IFERROR(__xludf.DUMMYFUNCTION("GOOGLEFINANCE(""NSE:""&amp;D387,""EPS"")"),"#N/A")</f>
        <v>#N/A</v>
      </c>
      <c r="Q387" s="7">
        <v>13.5</v>
      </c>
      <c r="R387" s="7" t="str">
        <f ca="1">IFERROR(__xludf.DUMMYFUNCTION("IMPORTXML(E387,""/html/body/main/div[3]/div[3]/div[2]/ul/li[7]/span[2]/span"")"),"Loading...")</f>
        <v>Loading...</v>
      </c>
      <c r="S387" s="7" t="str">
        <f ca="1">IFERROR(__xludf.DUMMYFUNCTION("IMPORTXML(E387,""/html/body/main/div[3]/div[3]/div[2]/ul/li[8]/span[2]/span"")"),"Loading...")</f>
        <v>Loading...</v>
      </c>
      <c r="T387" s="4">
        <v>34.6</v>
      </c>
      <c r="U387" s="4">
        <v>22.7</v>
      </c>
      <c r="V387" s="4">
        <v>2.6</v>
      </c>
      <c r="W387" s="4">
        <v>5.7</v>
      </c>
      <c r="X387" s="4">
        <v>519.92999999999995</v>
      </c>
      <c r="Y387" s="7">
        <f t="shared" ca="1" si="9"/>
        <v>-493.07999999999993</v>
      </c>
    </row>
    <row r="388" spans="1:25" ht="15" x14ac:dyDescent="0.25">
      <c r="A388" s="4">
        <v>1693</v>
      </c>
      <c r="C388" s="12" t="s">
        <v>1319</v>
      </c>
      <c r="D388" s="12" t="s">
        <v>1320</v>
      </c>
      <c r="E388" s="5" t="str">
        <f t="shared" si="5"/>
        <v>https://www.screener.in/company/SMSLIFE/consolidated/</v>
      </c>
      <c r="F388" s="4">
        <v>443059</v>
      </c>
      <c r="G388" s="4">
        <v>3832241897</v>
      </c>
      <c r="H388" s="6">
        <f t="shared" ca="1" si="6"/>
        <v>425915.36443258001</v>
      </c>
      <c r="I388" s="7" t="str">
        <f ca="1">IFERROR(__xludf.DUMMYFUNCTION("IMPORTXML(E388,""/html/body/main/div[3]/div[3]/div[2]/ul/li[5]/span[2]/span"")"),"Loading...")</f>
        <v>Loading...</v>
      </c>
      <c r="J388" s="7">
        <f ca="1">IFERROR(__xludf.DUMMYFUNCTION("GOOGLEFINANCE(""NSE:""&amp;D388,""marketcap"")"),3360081000)</f>
        <v>3360081000</v>
      </c>
      <c r="K388" s="7">
        <v>992.8</v>
      </c>
      <c r="L388" s="8">
        <f ca="1">IFERROR(__xludf.DUMMYFUNCTION("GOOGLEFINANCE(""NSE:""&amp;D388,""price"")"),1111.4)</f>
        <v>1111.4000000000001</v>
      </c>
      <c r="M388" s="9">
        <f t="shared" ca="1" si="7"/>
        <v>118.60000000000014</v>
      </c>
      <c r="N388" s="10">
        <f t="shared" ca="1" si="8"/>
        <v>11.946011281224834</v>
      </c>
      <c r="O388" s="7">
        <f ca="1">IFERROR(__xludf.DUMMYFUNCTION("GOOGLEFINANCE(""NSE:""&amp;D388,""pe"")"),19.46)</f>
        <v>19.46</v>
      </c>
      <c r="P388" s="7">
        <f ca="1">IFERROR(__xludf.DUMMYFUNCTION("GOOGLEFINANCE(""NSE:""&amp;D388,""EPS"")"),57.12)</f>
        <v>57.12</v>
      </c>
      <c r="Q388" s="7">
        <v>13.5</v>
      </c>
      <c r="R388" s="7" t="str">
        <f ca="1">IFERROR(__xludf.DUMMYFUNCTION("IMPORTXML(E388,""/html/body/main/div[3]/div[3]/div[2]/ul/li[7]/span[2]/span"")"),"Loading...")</f>
        <v>Loading...</v>
      </c>
      <c r="S388" s="7" t="str">
        <f ca="1">IFERROR(__xludf.DUMMYFUNCTION("IMPORTXML(E388,""/html/body/main/div[3]/div[3]/div[2]/ul/li[8]/span[2]/span"")"),"Loading...")</f>
        <v>Loading...</v>
      </c>
      <c r="T388" s="4">
        <v>34.6</v>
      </c>
      <c r="U388" s="4">
        <v>22.7</v>
      </c>
      <c r="V388" s="4">
        <v>2.6</v>
      </c>
      <c r="W388" s="4">
        <v>5.7</v>
      </c>
      <c r="X388" s="4">
        <v>519.92999999999995</v>
      </c>
      <c r="Y388" s="7">
        <f t="shared" ca="1" si="9"/>
        <v>591.47000000000014</v>
      </c>
    </row>
    <row r="389" spans="1:25" ht="15" x14ac:dyDescent="0.25">
      <c r="A389" s="4">
        <v>1266</v>
      </c>
      <c r="C389" s="12" t="s">
        <v>1321</v>
      </c>
      <c r="D389" s="12" t="s">
        <v>1322</v>
      </c>
      <c r="E389" s="5" t="str">
        <f t="shared" si="5"/>
        <v>https://www.screener.in/company/MMP/consolidated/</v>
      </c>
      <c r="F389" s="4">
        <v>443059</v>
      </c>
      <c r="G389" s="4">
        <v>3832241897</v>
      </c>
      <c r="H389" s="6">
        <f t="shared" ca="1" si="6"/>
        <v>105233.36249162001</v>
      </c>
      <c r="I389" s="7" t="str">
        <f ca="1">IFERROR(__xludf.DUMMYFUNCTION("IMPORTXML(E389,""/html/body/main/div[3]/div[3]/div[2]/ul/li[5]/span[2]/span"")"),"Loading...")</f>
        <v>Loading...</v>
      </c>
      <c r="J389" s="7">
        <f ca="1">IFERROR(__xludf.DUMMYFUNCTION("GOOGLEFINANCE(""NSE:""&amp;D389,""marketcap"")"),6975556861)</f>
        <v>6975556861</v>
      </c>
      <c r="K389" s="7">
        <v>992.8</v>
      </c>
      <c r="L389" s="8">
        <f ca="1">IFERROR(__xludf.DUMMYFUNCTION("GOOGLEFINANCE(""NSE:""&amp;D389,""price"")"),274.6)</f>
        <v>274.60000000000002</v>
      </c>
      <c r="M389" s="9">
        <f t="shared" ca="1" si="7"/>
        <v>-718.19999999999993</v>
      </c>
      <c r="N389" s="10">
        <f t="shared" ca="1" si="8"/>
        <v>-72.340854149879135</v>
      </c>
      <c r="O389" s="7">
        <f ca="1">IFERROR(__xludf.DUMMYFUNCTION("GOOGLEFINANCE(""NSE:""&amp;D389,""pe"")"),31.55)</f>
        <v>31.55</v>
      </c>
      <c r="P389" s="7">
        <f ca="1">IFERROR(__xludf.DUMMYFUNCTION("GOOGLEFINANCE(""NSE:""&amp;D389,""EPS"")"),8.7)</f>
        <v>8.6999999999999993</v>
      </c>
      <c r="Q389" s="7">
        <v>13.5</v>
      </c>
      <c r="R389" s="7" t="str">
        <f ca="1">IFERROR(__xludf.DUMMYFUNCTION("IMPORTXML(E389,""/html/body/main/div[3]/div[3]/div[2]/ul/li[7]/span[2]/span"")"),"Loading...")</f>
        <v>Loading...</v>
      </c>
      <c r="S389" s="7" t="str">
        <f ca="1">IFERROR(__xludf.DUMMYFUNCTION("IMPORTXML(E389,""/html/body/main/div[3]/div[3]/div[2]/ul/li[8]/span[2]/span"")"),"Loading...")</f>
        <v>Loading...</v>
      </c>
      <c r="T389" s="4">
        <v>34.6</v>
      </c>
      <c r="U389" s="4">
        <v>22.7</v>
      </c>
      <c r="V389" s="4">
        <v>2.6</v>
      </c>
      <c r="W389" s="4">
        <v>5.7</v>
      </c>
      <c r="X389" s="4">
        <v>519.92999999999995</v>
      </c>
      <c r="Y389" s="7">
        <f t="shared" ca="1" si="9"/>
        <v>-245.32999999999993</v>
      </c>
    </row>
    <row r="390" spans="1:25" ht="15" x14ac:dyDescent="0.25">
      <c r="A390" s="4">
        <v>178</v>
      </c>
      <c r="C390" s="12" t="s">
        <v>1323</v>
      </c>
      <c r="D390" s="12" t="s">
        <v>1324</v>
      </c>
      <c r="E390" s="5" t="str">
        <f t="shared" si="5"/>
        <v>https://www.screener.in/company/REDINGTON/consolidated/</v>
      </c>
      <c r="F390" s="4">
        <v>443059</v>
      </c>
      <c r="G390" s="4">
        <v>3832241897</v>
      </c>
      <c r="H390" s="6">
        <f t="shared" ca="1" si="6"/>
        <v>91188.195939114987</v>
      </c>
      <c r="I390" s="7" t="str">
        <f ca="1">IFERROR(__xludf.DUMMYFUNCTION("IMPORTXML(E390,""/html/body/main/div[3]/div[3]/div[2]/ul/li[5]/span[2]/span"")"),"Loading...")</f>
        <v>Loading...</v>
      </c>
      <c r="J390" s="7">
        <f ca="1">IFERROR(__xludf.DUMMYFUNCTION("GOOGLEFINANCE(""NSE:""&amp;D390,""marketcap"")"),185050121225)</f>
        <v>185050121225</v>
      </c>
      <c r="K390" s="7">
        <v>992.8</v>
      </c>
      <c r="L390" s="8">
        <f ca="1">IFERROR(__xludf.DUMMYFUNCTION("GOOGLEFINANCE(""NSE:""&amp;D390,""price"")"),237.95)</f>
        <v>237.95</v>
      </c>
      <c r="M390" s="9">
        <f t="shared" ca="1" si="7"/>
        <v>-754.84999999999991</v>
      </c>
      <c r="N390" s="10">
        <f t="shared" ca="1" si="8"/>
        <v>-76.032433521353738</v>
      </c>
      <c r="O390" s="7">
        <f ca="1">IFERROR(__xludf.DUMMYFUNCTION("GOOGLEFINANCE(""NSE:""&amp;D390,""pe"")"),11.37)</f>
        <v>11.37</v>
      </c>
      <c r="P390" s="7">
        <f ca="1">IFERROR(__xludf.DUMMYFUNCTION("GOOGLEFINANCE(""NSE:""&amp;D390,""EPS"")"),20.92)</f>
        <v>20.92</v>
      </c>
      <c r="Q390" s="7">
        <v>13.5</v>
      </c>
      <c r="R390" s="7" t="str">
        <f ca="1">IFERROR(__xludf.DUMMYFUNCTION("IMPORTXML(E390,""/html/body/main/div[3]/div[3]/div[2]/ul/li[7]/span[2]/span"")"),"Loading...")</f>
        <v>Loading...</v>
      </c>
      <c r="S390" s="7" t="str">
        <f ca="1">IFERROR(__xludf.DUMMYFUNCTION("IMPORTXML(E390,""/html/body/main/div[3]/div[3]/div[2]/ul/li[8]/span[2]/span"")"),"Loading...")</f>
        <v>Loading...</v>
      </c>
      <c r="T390" s="4">
        <v>34.6</v>
      </c>
      <c r="U390" s="4">
        <v>22.7</v>
      </c>
      <c r="V390" s="4">
        <v>2.6</v>
      </c>
      <c r="W390" s="4">
        <v>5.7</v>
      </c>
      <c r="X390" s="4">
        <v>519.92999999999995</v>
      </c>
      <c r="Y390" s="7">
        <f t="shared" ca="1" si="9"/>
        <v>-281.97999999999996</v>
      </c>
    </row>
    <row r="391" spans="1:25" ht="15" x14ac:dyDescent="0.25">
      <c r="A391" s="4">
        <v>1995</v>
      </c>
      <c r="C391" s="12" t="s">
        <v>1325</v>
      </c>
      <c r="D391" s="12" t="s">
        <v>1326</v>
      </c>
      <c r="E391" s="5" t="str">
        <f t="shared" si="5"/>
        <v>https://www.screener.in/company/LAGNAM/consolidated/</v>
      </c>
      <c r="F391" s="4">
        <v>443059</v>
      </c>
      <c r="G391" s="4">
        <v>3832241897</v>
      </c>
      <c r="H391" s="6">
        <f t="shared" ca="1" si="6"/>
        <v>31815.272228893999</v>
      </c>
      <c r="I391" s="7" t="str">
        <f ca="1">IFERROR(__xludf.DUMMYFUNCTION("IMPORTXML(E391,""/html/body/main/div[3]/div[3]/div[2]/ul/li[5]/span[2]/span"")"),"Loading...")</f>
        <v>Loading...</v>
      </c>
      <c r="J391" s="7">
        <f ca="1">IFERROR(__xludf.DUMMYFUNCTION("GOOGLEFINANCE(""NSE:""&amp;D391,""marketcap"")"),1466879490)</f>
        <v>1466879490</v>
      </c>
      <c r="K391" s="7">
        <v>992.8</v>
      </c>
      <c r="L391" s="8">
        <f ca="1">IFERROR(__xludf.DUMMYFUNCTION("GOOGLEFINANCE(""NSE:""&amp;D391,""price"")"),83.02)</f>
        <v>83.02</v>
      </c>
      <c r="M391" s="9">
        <f t="shared" ca="1" si="7"/>
        <v>-909.78</v>
      </c>
      <c r="N391" s="10">
        <f t="shared" ca="1" si="8"/>
        <v>-91.63779210314263</v>
      </c>
      <c r="O391" s="7">
        <f ca="1">IFERROR(__xludf.DUMMYFUNCTION("GOOGLEFINANCE(""NSE:""&amp;D391,""pe"")"),11.08)</f>
        <v>11.08</v>
      </c>
      <c r="P391" s="7">
        <f ca="1">IFERROR(__xludf.DUMMYFUNCTION("GOOGLEFINANCE(""NSE:""&amp;D391,""EPS"")"),7.49)</f>
        <v>7.49</v>
      </c>
      <c r="Q391" s="7">
        <v>13.5</v>
      </c>
      <c r="R391" s="7" t="str">
        <f ca="1">IFERROR(__xludf.DUMMYFUNCTION("IMPORTXML(E391,""/html/body/main/div[3]/div[3]/div[2]/ul/li[7]/span[2]/span"")"),"Loading...")</f>
        <v>Loading...</v>
      </c>
      <c r="S391" s="7" t="str">
        <f ca="1">IFERROR(__xludf.DUMMYFUNCTION("IMPORTXML(E391,""/html/body/main/div[3]/div[3]/div[2]/ul/li[8]/span[2]/span"")"),"Loading...")</f>
        <v>Loading...</v>
      </c>
      <c r="T391" s="4">
        <v>34.6</v>
      </c>
      <c r="U391" s="4">
        <v>22.7</v>
      </c>
      <c r="V391" s="4">
        <v>2.6</v>
      </c>
      <c r="W391" s="4">
        <v>5.7</v>
      </c>
      <c r="X391" s="4">
        <v>519.92999999999995</v>
      </c>
      <c r="Y391" s="7">
        <f t="shared" ca="1" si="9"/>
        <v>-436.90999999999997</v>
      </c>
    </row>
    <row r="392" spans="1:25" ht="15" x14ac:dyDescent="0.25">
      <c r="A392" s="4">
        <v>2186</v>
      </c>
      <c r="C392" s="12" t="s">
        <v>1327</v>
      </c>
      <c r="D392" s="12" t="s">
        <v>1328</v>
      </c>
      <c r="E392" s="5" t="str">
        <f t="shared" si="5"/>
        <v>https://www.screener.in/company/LAMBODHARA/consolidated/</v>
      </c>
      <c r="F392" s="4">
        <v>443059</v>
      </c>
      <c r="G392" s="4">
        <v>3832241897</v>
      </c>
      <c r="H392" s="6">
        <f t="shared" ca="1" si="6"/>
        <v>49627.532566150003</v>
      </c>
      <c r="I392" s="7" t="str">
        <f ca="1">IFERROR(__xludf.DUMMYFUNCTION("IMPORTXML(E392,""/html/body/main/div[3]/div[3]/div[2]/ul/li[5]/span[2]/span"")"),"Loading...")</f>
        <v>Loading...</v>
      </c>
      <c r="J392" s="7">
        <f ca="1">IFERROR(__xludf.DUMMYFUNCTION("GOOGLEFINANCE(""NSE:""&amp;D392,""marketcap"")"),1321899000)</f>
        <v>1321899000</v>
      </c>
      <c r="K392" s="7">
        <v>992.8</v>
      </c>
      <c r="L392" s="8">
        <f ca="1">IFERROR(__xludf.DUMMYFUNCTION("GOOGLEFINANCE(""NSE:""&amp;D392,""price"")"),129.5)</f>
        <v>129.5</v>
      </c>
      <c r="M392" s="9">
        <f t="shared" ca="1" si="7"/>
        <v>-863.3</v>
      </c>
      <c r="N392" s="10">
        <f t="shared" ca="1" si="8"/>
        <v>-86.956083803384359</v>
      </c>
      <c r="O392" s="7">
        <f ca="1">IFERROR(__xludf.DUMMYFUNCTION("GOOGLEFINANCE(""NSE:""&amp;D392,""pe"")"),19.02)</f>
        <v>19.02</v>
      </c>
      <c r="P392" s="7">
        <f ca="1">IFERROR(__xludf.DUMMYFUNCTION("GOOGLEFINANCE(""NSE:""&amp;D392,""EPS"")"),6.81)</f>
        <v>6.81</v>
      </c>
      <c r="Q392" s="7">
        <v>13.5</v>
      </c>
      <c r="R392" s="7" t="str">
        <f ca="1">IFERROR(__xludf.DUMMYFUNCTION("IMPORTXML(E392,""/html/body/main/div[3]/div[3]/div[2]/ul/li[7]/span[2]/span"")"),"Loading...")</f>
        <v>Loading...</v>
      </c>
      <c r="S392" s="7" t="str">
        <f ca="1">IFERROR(__xludf.DUMMYFUNCTION("IMPORTXML(E392,""/html/body/main/div[3]/div[3]/div[2]/ul/li[8]/span[2]/span"")"),"Loading...")</f>
        <v>Loading...</v>
      </c>
      <c r="T392" s="4">
        <v>34.6</v>
      </c>
      <c r="U392" s="4">
        <v>22.7</v>
      </c>
      <c r="V392" s="4">
        <v>2.6</v>
      </c>
      <c r="W392" s="4">
        <v>5.7</v>
      </c>
      <c r="X392" s="4">
        <v>519.92999999999995</v>
      </c>
      <c r="Y392" s="7">
        <f t="shared" ca="1" si="9"/>
        <v>-390.42999999999995</v>
      </c>
    </row>
    <row r="393" spans="1:25" ht="15" x14ac:dyDescent="0.25">
      <c r="A393" s="4">
        <v>1785</v>
      </c>
      <c r="C393" s="12" t="s">
        <v>1329</v>
      </c>
      <c r="D393" s="12" t="s">
        <v>1330</v>
      </c>
      <c r="E393" s="5" t="str">
        <f t="shared" si="5"/>
        <v>https://www.screener.in/company/DEVIT/consolidated/</v>
      </c>
      <c r="F393" s="4">
        <v>443059</v>
      </c>
      <c r="G393" s="4">
        <v>3832241897</v>
      </c>
      <c r="H393" s="6">
        <f t="shared" ca="1" si="6"/>
        <v>16823.54192783</v>
      </c>
      <c r="I393" s="7" t="str">
        <f ca="1">IFERROR(__xludf.DUMMYFUNCTION("IMPORTXML(E393,""/html/body/main/div[3]/div[3]/div[2]/ul/li[5]/span[2]/span"")"),"Loading...")</f>
        <v>Loading...</v>
      </c>
      <c r="J393" s="7">
        <f ca="1">IFERROR(__xludf.DUMMYFUNCTION("GOOGLEFINANCE(""NSE:""&amp;D393,""marketcap"")"),2473116243)</f>
        <v>2473116243</v>
      </c>
      <c r="K393" s="7">
        <v>992.8</v>
      </c>
      <c r="L393" s="8">
        <f ca="1">IFERROR(__xludf.DUMMYFUNCTION("GOOGLEFINANCE(""NSE:""&amp;D393,""price"")"),43.9)</f>
        <v>43.9</v>
      </c>
      <c r="M393" s="9">
        <f t="shared" ca="1" si="7"/>
        <v>-948.9</v>
      </c>
      <c r="N393" s="10">
        <f t="shared" ca="1" si="8"/>
        <v>-95.578162771958091</v>
      </c>
      <c r="O393" s="7">
        <f ca="1">IFERROR(__xludf.DUMMYFUNCTION("GOOGLEFINANCE(""NSE:""&amp;D393,""pe"")"),18.41)</f>
        <v>18.41</v>
      </c>
      <c r="P393" s="7">
        <f ca="1">IFERROR(__xludf.DUMMYFUNCTION("GOOGLEFINANCE(""NSE:""&amp;D393,""EPS"")"),2.38)</f>
        <v>2.38</v>
      </c>
      <c r="Q393" s="7">
        <v>13.5</v>
      </c>
      <c r="R393" s="7" t="str">
        <f ca="1">IFERROR(__xludf.DUMMYFUNCTION("IMPORTXML(E393,""/html/body/main/div[3]/div[3]/div[2]/ul/li[7]/span[2]/span"")"),"Loading...")</f>
        <v>Loading...</v>
      </c>
      <c r="S393" s="7" t="str">
        <f ca="1">IFERROR(__xludf.DUMMYFUNCTION("IMPORTXML(E393,""/html/body/main/div[3]/div[3]/div[2]/ul/li[8]/span[2]/span"")"),"Loading...")</f>
        <v>Loading...</v>
      </c>
      <c r="T393" s="4">
        <v>34.6</v>
      </c>
      <c r="U393" s="4">
        <v>22.7</v>
      </c>
      <c r="V393" s="4">
        <v>2.6</v>
      </c>
      <c r="W393" s="4">
        <v>5.7</v>
      </c>
      <c r="X393" s="4">
        <v>519.92999999999995</v>
      </c>
      <c r="Y393" s="7">
        <f t="shared" ca="1" si="9"/>
        <v>-476.03</v>
      </c>
    </row>
    <row r="394" spans="1:25" ht="15" x14ac:dyDescent="0.25">
      <c r="A394" s="4">
        <v>1337</v>
      </c>
      <c r="C394" s="12" t="s">
        <v>1331</v>
      </c>
      <c r="D394" s="12" t="s">
        <v>1332</v>
      </c>
      <c r="E394" s="5" t="str">
        <f t="shared" si="5"/>
        <v>https://www.screener.in/company/WANBURY/consolidated/</v>
      </c>
      <c r="F394" s="4">
        <v>443059</v>
      </c>
      <c r="G394" s="4">
        <v>3832241897</v>
      </c>
      <c r="H394" s="6">
        <f t="shared" ca="1" si="6"/>
        <v>106536.3247366</v>
      </c>
      <c r="I394" s="7" t="str">
        <f ca="1">IFERROR(__xludf.DUMMYFUNCTION("IMPORTXML(E394,""/html/body/main/div[3]/div[3]/div[2]/ul/li[5]/span[2]/span"")"),"Loading...")</f>
        <v>Loading...</v>
      </c>
      <c r="J394" s="7">
        <f ca="1">IFERROR(__xludf.DUMMYFUNCTION("GOOGLEFINANCE(""NSE:""&amp;D394,""marketcap"")"),9139803220)</f>
        <v>9139803220</v>
      </c>
      <c r="K394" s="7">
        <v>992.8</v>
      </c>
      <c r="L394" s="8">
        <f ca="1">IFERROR(__xludf.DUMMYFUNCTION("GOOGLEFINANCE(""NSE:""&amp;D394,""price"")"),278)</f>
        <v>278</v>
      </c>
      <c r="M394" s="9">
        <f t="shared" ca="1" si="7"/>
        <v>-714.8</v>
      </c>
      <c r="N394" s="10">
        <f t="shared" ca="1" si="8"/>
        <v>-71.998388396454473</v>
      </c>
      <c r="O394" s="7">
        <f ca="1">IFERROR(__xludf.DUMMYFUNCTION("GOOGLEFINANCE(""NSE:""&amp;D394,""pe"")"),21.65)</f>
        <v>21.65</v>
      </c>
      <c r="P394" s="7">
        <f ca="1">IFERROR(__xludf.DUMMYFUNCTION("GOOGLEFINANCE(""NSE:""&amp;D394,""EPS"")"),12.84)</f>
        <v>12.84</v>
      </c>
      <c r="Q394" s="7">
        <v>13.5</v>
      </c>
      <c r="R394" s="7" t="str">
        <f ca="1">IFERROR(__xludf.DUMMYFUNCTION("IMPORTXML(E394,""/html/body/main/div[3]/div[3]/div[2]/ul/li[7]/span[2]/span"")"),"Loading...")</f>
        <v>Loading...</v>
      </c>
      <c r="S394" s="7" t="str">
        <f ca="1">IFERROR(__xludf.DUMMYFUNCTION("IMPORTXML(E394,""/html/body/main/div[3]/div[3]/div[2]/ul/li[8]/span[2]/span"")"),"Loading...")</f>
        <v>Loading...</v>
      </c>
      <c r="T394" s="4">
        <v>34.6</v>
      </c>
      <c r="U394" s="4">
        <v>22.7</v>
      </c>
      <c r="V394" s="4">
        <v>2.6</v>
      </c>
      <c r="W394" s="4">
        <v>5.7</v>
      </c>
      <c r="X394" s="4">
        <v>519.92999999999995</v>
      </c>
      <c r="Y394" s="7">
        <f t="shared" ca="1" si="9"/>
        <v>-241.92999999999995</v>
      </c>
    </row>
    <row r="395" spans="1:25" ht="15" x14ac:dyDescent="0.25">
      <c r="A395" s="4">
        <v>1673</v>
      </c>
      <c r="C395" s="12" t="s">
        <v>1333</v>
      </c>
      <c r="D395" s="12" t="s">
        <v>1334</v>
      </c>
      <c r="E395" s="5" t="str">
        <f t="shared" si="5"/>
        <v>https://www.screener.in/company/SIGMA/consolidated/</v>
      </c>
      <c r="F395" s="4">
        <v>443059</v>
      </c>
      <c r="G395" s="4">
        <v>3832241897</v>
      </c>
      <c r="H395" s="6">
        <f t="shared" ca="1" si="6"/>
        <v>166664.20010052997</v>
      </c>
      <c r="I395" s="7" t="str">
        <f ca="1">IFERROR(__xludf.DUMMYFUNCTION("IMPORTXML(E395,""/html/body/main/div[3]/div[3]/div[2]/ul/li[5]/span[2]/span"")"),"Loading...")</f>
        <v>Loading...</v>
      </c>
      <c r="J395" s="7">
        <f ca="1">IFERROR(__xludf.DUMMYFUNCTION("GOOGLEFINANCE(""NSE:""&amp;D395,""marketcap"")"),4439943030)</f>
        <v>4439943030</v>
      </c>
      <c r="K395" s="7">
        <v>992.8</v>
      </c>
      <c r="L395" s="8">
        <f ca="1">IFERROR(__xludf.DUMMYFUNCTION("GOOGLEFINANCE(""NSE:""&amp;D395,""price"")"),434.9)</f>
        <v>434.9</v>
      </c>
      <c r="M395" s="9">
        <f t="shared" ca="1" si="7"/>
        <v>-557.9</v>
      </c>
      <c r="N395" s="10">
        <f t="shared" ca="1" si="8"/>
        <v>-56.194601128122478</v>
      </c>
      <c r="O395" s="7">
        <f ca="1">IFERROR(__xludf.DUMMYFUNCTION("GOOGLEFINANCE(""NSE:""&amp;D395,""pe"")"),21.97)</f>
        <v>21.97</v>
      </c>
      <c r="P395" s="7">
        <f ca="1">IFERROR(__xludf.DUMMYFUNCTION("GOOGLEFINANCE(""NSE:""&amp;D395,""EPS"")"),19.8)</f>
        <v>19.8</v>
      </c>
      <c r="Q395" s="7">
        <v>13.5</v>
      </c>
      <c r="R395" s="7" t="str">
        <f ca="1">IFERROR(__xludf.DUMMYFUNCTION("IMPORTXML(E395,""/html/body/main/div[3]/div[3]/div[2]/ul/li[7]/span[2]/span"")"),"Loading...")</f>
        <v>Loading...</v>
      </c>
      <c r="S395" s="7" t="str">
        <f ca="1">IFERROR(__xludf.DUMMYFUNCTION("IMPORTXML(E395,""/html/body/main/div[3]/div[3]/div[2]/ul/li[8]/span[2]/span"")"),"Loading...")</f>
        <v>Loading...</v>
      </c>
      <c r="T395" s="4">
        <v>34.6</v>
      </c>
      <c r="U395" s="4">
        <v>22.7</v>
      </c>
      <c r="V395" s="4">
        <v>2.6</v>
      </c>
      <c r="W395" s="4">
        <v>5.7</v>
      </c>
      <c r="X395" s="4">
        <v>519.92999999999995</v>
      </c>
      <c r="Y395" s="7">
        <f t="shared" ca="1" si="9"/>
        <v>-85.029999999999973</v>
      </c>
    </row>
    <row r="396" spans="1:25" ht="15" x14ac:dyDescent="0.25">
      <c r="A396" s="4">
        <v>665</v>
      </c>
      <c r="C396" s="12" t="s">
        <v>1335</v>
      </c>
      <c r="D396" s="12" t="s">
        <v>1336</v>
      </c>
      <c r="E396" s="5" t="str">
        <f t="shared" si="5"/>
        <v>https://www.screener.in/company/DELTACORP/consolidated/</v>
      </c>
      <c r="F396" s="4">
        <v>443059</v>
      </c>
      <c r="G396" s="4">
        <v>3832241897</v>
      </c>
      <c r="H396" s="6">
        <f t="shared" ca="1" si="6"/>
        <v>32566.391640705999</v>
      </c>
      <c r="I396" s="7" t="str">
        <f ca="1">IFERROR(__xludf.DUMMYFUNCTION("IMPORTXML(E396,""/html/body/main/div[3]/div[3]/div[2]/ul/li[5]/span[2]/span"")"),"Loading...")</f>
        <v>Loading...</v>
      </c>
      <c r="J396" s="7">
        <f ca="1">IFERROR(__xludf.DUMMYFUNCTION("GOOGLEFINANCE(""NSE:""&amp;D396,""marketcap"")"),22752646831)</f>
        <v>22752646831</v>
      </c>
      <c r="K396" s="7">
        <v>992.8</v>
      </c>
      <c r="L396" s="8">
        <f ca="1">IFERROR(__xludf.DUMMYFUNCTION("GOOGLEFINANCE(""NSE:""&amp;D396,""price"")"),84.98)</f>
        <v>84.98</v>
      </c>
      <c r="M396" s="9">
        <f t="shared" ca="1" si="7"/>
        <v>-907.81999999999994</v>
      </c>
      <c r="N396" s="10">
        <f t="shared" ca="1" si="8"/>
        <v>-91.440370668815476</v>
      </c>
      <c r="O396" s="7">
        <f ca="1">IFERROR(__xludf.DUMMYFUNCTION("GOOGLEFINANCE(""NSE:""&amp;D396,""pe"")"),8.86)</f>
        <v>8.86</v>
      </c>
      <c r="P396" s="7">
        <f ca="1">IFERROR(__xludf.DUMMYFUNCTION("GOOGLEFINANCE(""NSE:""&amp;D396,""EPS"")"),9.6)</f>
        <v>9.6</v>
      </c>
      <c r="Q396" s="7">
        <v>13.5</v>
      </c>
      <c r="R396" s="7" t="str">
        <f ca="1">IFERROR(__xludf.DUMMYFUNCTION("IMPORTXML(E396,""/html/body/main/div[3]/div[3]/div[2]/ul/li[7]/span[2]/span"")"),"Loading...")</f>
        <v>Loading...</v>
      </c>
      <c r="S396" s="7" t="str">
        <f ca="1">IFERROR(__xludf.DUMMYFUNCTION("IMPORTXML(E396,""/html/body/main/div[3]/div[3]/div[2]/ul/li[8]/span[2]/span"")"),"Loading...")</f>
        <v>Loading...</v>
      </c>
      <c r="T396" s="4">
        <v>34.6</v>
      </c>
      <c r="U396" s="4">
        <v>22.7</v>
      </c>
      <c r="V396" s="4">
        <v>2.6</v>
      </c>
      <c r="W396" s="4">
        <v>5.7</v>
      </c>
      <c r="X396" s="4">
        <v>519.92999999999995</v>
      </c>
      <c r="Y396" s="7">
        <f t="shared" ca="1" si="9"/>
        <v>-434.94999999999993</v>
      </c>
    </row>
    <row r="397" spans="1:25" ht="15" x14ac:dyDescent="0.25">
      <c r="A397" s="4">
        <v>294</v>
      </c>
      <c r="C397" s="12" t="s">
        <v>1337</v>
      </c>
      <c r="D397" s="12" t="s">
        <v>1338</v>
      </c>
      <c r="E397" s="5" t="str">
        <f t="shared" si="5"/>
        <v>https://www.screener.in/company/EDELWEISS/consolidated/</v>
      </c>
      <c r="F397" s="4">
        <v>443059</v>
      </c>
      <c r="G397" s="4">
        <v>3832241897</v>
      </c>
      <c r="H397" s="6">
        <f t="shared" ca="1" si="6"/>
        <v>44584.302229698005</v>
      </c>
      <c r="I397" s="7" t="str">
        <f ca="1">IFERROR(__xludf.DUMMYFUNCTION("IMPORTXML(E397,""/html/body/main/div[3]/div[3]/div[2]/ul/li[5]/span[2]/span"")"),"Loading...")</f>
        <v>Loading...</v>
      </c>
      <c r="J397" s="7">
        <f ca="1">IFERROR(__xludf.DUMMYFUNCTION("GOOGLEFINANCE(""NSE:""&amp;D397,""marketcap"")"),109315317555)</f>
        <v>109315317555</v>
      </c>
      <c r="K397" s="7">
        <v>992.8</v>
      </c>
      <c r="L397" s="8">
        <f ca="1">IFERROR(__xludf.DUMMYFUNCTION("GOOGLEFINANCE(""NSE:""&amp;D397,""price"")"),116.34)</f>
        <v>116.34</v>
      </c>
      <c r="M397" s="9">
        <f t="shared" ca="1" si="7"/>
        <v>-876.45999999999992</v>
      </c>
      <c r="N397" s="10">
        <f t="shared" ca="1" si="8"/>
        <v>-88.281627719580982</v>
      </c>
      <c r="O397" s="7">
        <f ca="1">IFERROR(__xludf.DUMMYFUNCTION("GOOGLEFINANCE(""NSE:""&amp;D397,""pe"")"),19.42)</f>
        <v>19.420000000000002</v>
      </c>
      <c r="P397" s="7">
        <f ca="1">IFERROR(__xludf.DUMMYFUNCTION("GOOGLEFINANCE(""NSE:""&amp;D397,""EPS"")"),5.99)</f>
        <v>5.99</v>
      </c>
      <c r="Q397" s="7">
        <v>13.5</v>
      </c>
      <c r="R397" s="7" t="str">
        <f ca="1">IFERROR(__xludf.DUMMYFUNCTION("IMPORTXML(E397,""/html/body/main/div[3]/div[3]/div[2]/ul/li[7]/span[2]/span"")"),"Loading...")</f>
        <v>Loading...</v>
      </c>
      <c r="S397" s="7" t="str">
        <f ca="1">IFERROR(__xludf.DUMMYFUNCTION("IMPORTXML(E397,""/html/body/main/div[3]/div[3]/div[2]/ul/li[8]/span[2]/span"")"),"Loading...")</f>
        <v>Loading...</v>
      </c>
      <c r="T397" s="4">
        <v>34.6</v>
      </c>
      <c r="U397" s="4">
        <v>22.7</v>
      </c>
      <c r="V397" s="4">
        <v>2.6</v>
      </c>
      <c r="W397" s="4">
        <v>5.7</v>
      </c>
      <c r="X397" s="4">
        <v>519.92999999999995</v>
      </c>
      <c r="Y397" s="7">
        <f t="shared" ca="1" si="9"/>
        <v>-403.58999999999992</v>
      </c>
    </row>
    <row r="398" spans="1:25" ht="15" x14ac:dyDescent="0.25">
      <c r="A398" s="4">
        <v>839</v>
      </c>
      <c r="C398" s="12" t="s">
        <v>1339</v>
      </c>
      <c r="D398" s="12" t="s">
        <v>1340</v>
      </c>
      <c r="E398" s="5" t="str">
        <f t="shared" si="5"/>
        <v>https://www.screener.in/company/VSSL/consolidated/</v>
      </c>
      <c r="F398" s="4">
        <v>443059</v>
      </c>
      <c r="G398" s="4">
        <v>3832241897</v>
      </c>
      <c r="H398" s="6">
        <f t="shared" ca="1" si="6"/>
        <v>100404.73770139999</v>
      </c>
      <c r="I398" s="7" t="str">
        <f ca="1">IFERROR(__xludf.DUMMYFUNCTION("IMPORTXML(E398,""/html/body/main/div[3]/div[3]/div[2]/ul/li[5]/span[2]/span"")"),"Loading...")</f>
        <v>Loading...</v>
      </c>
      <c r="J398" s="7">
        <f ca="1">IFERROR(__xludf.DUMMYFUNCTION("GOOGLEFINANCE(""NSE:""&amp;D398,""marketcap"")"),25105370000)</f>
        <v>25105370000</v>
      </c>
      <c r="K398" s="7">
        <v>992.8</v>
      </c>
      <c r="L398" s="8">
        <f ca="1">IFERROR(__xludf.DUMMYFUNCTION("GOOGLEFINANCE(""NSE:""&amp;D398,""price"")"),262)</f>
        <v>262</v>
      </c>
      <c r="M398" s="9">
        <f t="shared" ca="1" si="7"/>
        <v>-730.8</v>
      </c>
      <c r="N398" s="10">
        <f t="shared" ca="1" si="8"/>
        <v>-73.609991941982273</v>
      </c>
      <c r="O398" s="7">
        <f ca="1">IFERROR(__xludf.DUMMYFUNCTION("GOOGLEFINANCE(""NSE:""&amp;D398,""pe"")"),24.69)</f>
        <v>24.69</v>
      </c>
      <c r="P398" s="7">
        <f ca="1">IFERROR(__xludf.DUMMYFUNCTION("GOOGLEFINANCE(""NSE:""&amp;D398,""EPS"")"),10.61)</f>
        <v>10.61</v>
      </c>
      <c r="Q398" s="7">
        <v>13.5</v>
      </c>
      <c r="R398" s="7" t="str">
        <f ca="1">IFERROR(__xludf.DUMMYFUNCTION("IMPORTXML(E398,""/html/body/main/div[3]/div[3]/div[2]/ul/li[7]/span[2]/span"")"),"Loading...")</f>
        <v>Loading...</v>
      </c>
      <c r="S398" s="7" t="str">
        <f ca="1">IFERROR(__xludf.DUMMYFUNCTION("IMPORTXML(E398,""/html/body/main/div[3]/div[3]/div[2]/ul/li[8]/span[2]/span"")"),"Loading...")</f>
        <v>Loading...</v>
      </c>
      <c r="T398" s="4">
        <v>34.6</v>
      </c>
      <c r="U398" s="4">
        <v>22.7</v>
      </c>
      <c r="V398" s="4">
        <v>2.6</v>
      </c>
      <c r="W398" s="4">
        <v>5.7</v>
      </c>
      <c r="X398" s="4">
        <v>519.92999999999995</v>
      </c>
      <c r="Y398" s="7">
        <f t="shared" ca="1" si="9"/>
        <v>-257.92999999999995</v>
      </c>
    </row>
    <row r="399" spans="1:25" ht="15" x14ac:dyDescent="0.25">
      <c r="A399" s="4">
        <v>2175</v>
      </c>
      <c r="C399" s="12" t="s">
        <v>1341</v>
      </c>
      <c r="D399" s="12" t="s">
        <v>1342</v>
      </c>
      <c r="E399" s="5" t="str">
        <f t="shared" si="5"/>
        <v>https://www.screener.in/company/BHANDARI/consolidated/</v>
      </c>
      <c r="F399" s="4">
        <v>443059</v>
      </c>
      <c r="G399" s="4">
        <v>3832241897</v>
      </c>
      <c r="H399" s="6">
        <f t="shared" ca="1" si="6"/>
        <v>1950.611125573</v>
      </c>
      <c r="I399" s="7" t="str">
        <f ca="1">IFERROR(__xludf.DUMMYFUNCTION("IMPORTXML(E399,""/html/body/main/div[3]/div[3]/div[2]/ul/li[5]/span[2]/span"")"),"#N/A")</f>
        <v>#N/A</v>
      </c>
      <c r="J399" s="7">
        <f ca="1">IFERROR(__xludf.DUMMYFUNCTION("GOOGLEFINANCE(""NSE:""&amp;D399,""marketcap"")"),1221852500)</f>
        <v>1221852500</v>
      </c>
      <c r="K399" s="7">
        <v>992.8</v>
      </c>
      <c r="L399" s="8">
        <f ca="1">IFERROR(__xludf.DUMMYFUNCTION("GOOGLEFINANCE(""NSE:""&amp;D399,""price"")"),5.09)</f>
        <v>5.09</v>
      </c>
      <c r="M399" s="9">
        <f t="shared" ca="1" si="7"/>
        <v>-987.70999999999992</v>
      </c>
      <c r="N399" s="10">
        <f t="shared" ca="1" si="8"/>
        <v>-99.487308622078956</v>
      </c>
      <c r="O399" s="7">
        <f ca="1">IFERROR(__xludf.DUMMYFUNCTION("GOOGLEFINANCE(""NSE:""&amp;D399,""pe"")"),15.27)</f>
        <v>15.27</v>
      </c>
      <c r="P399" s="7">
        <f ca="1">IFERROR(__xludf.DUMMYFUNCTION("GOOGLEFINANCE(""NSE:""&amp;D399,""EPS"")"),0.33)</f>
        <v>0.33</v>
      </c>
      <c r="Q399" s="7">
        <v>13.5</v>
      </c>
      <c r="R399" s="7" t="str">
        <f ca="1">IFERROR(__xludf.DUMMYFUNCTION("IMPORTXML(E399,""/html/body/main/div[3]/div[3]/div[2]/ul/li[7]/span[2]/span"")"),"Loading...")</f>
        <v>Loading...</v>
      </c>
      <c r="S399" s="7" t="str">
        <f ca="1">IFERROR(__xludf.DUMMYFUNCTION("IMPORTXML(E399,""/html/body/main/div[3]/div[3]/div[2]/ul/li[8]/span[2]/span"")"),"Loading...")</f>
        <v>Loading...</v>
      </c>
      <c r="T399" s="4">
        <v>34.6</v>
      </c>
      <c r="U399" s="4">
        <v>22.7</v>
      </c>
      <c r="V399" s="4">
        <v>2.6</v>
      </c>
      <c r="W399" s="4">
        <v>5.7</v>
      </c>
      <c r="X399" s="4">
        <v>519.92999999999995</v>
      </c>
      <c r="Y399" s="7">
        <f t="shared" ca="1" si="9"/>
        <v>-514.83999999999992</v>
      </c>
    </row>
    <row r="400" spans="1:25" ht="15" x14ac:dyDescent="0.25">
      <c r="A400" s="4">
        <v>378</v>
      </c>
      <c r="C400" s="12" t="s">
        <v>1343</v>
      </c>
      <c r="D400" s="12" t="s">
        <v>1344</v>
      </c>
      <c r="E400" s="5" t="str">
        <f t="shared" si="5"/>
        <v>https://www.screener.in/company/SANDUMA/consolidated/</v>
      </c>
      <c r="F400" s="4">
        <v>443059</v>
      </c>
      <c r="G400" s="4">
        <v>3832241897</v>
      </c>
      <c r="H400" s="6">
        <f t="shared" ca="1" si="6"/>
        <v>177241.18773624999</v>
      </c>
      <c r="I400" s="7" t="str">
        <f ca="1">IFERROR(__xludf.DUMMYFUNCTION("IMPORTXML(E400,""/html/body/main/div[3]/div[3]/div[2]/ul/li[5]/span[2]/span"")"),"Loading...")</f>
        <v>Loading...</v>
      </c>
      <c r="J400" s="7">
        <f ca="1">IFERROR(__xludf.DUMMYFUNCTION("GOOGLEFINANCE(""NSE:""&amp;D400,""marketcap"")"),74941141250)</f>
        <v>74941141250</v>
      </c>
      <c r="K400" s="7">
        <v>992.8</v>
      </c>
      <c r="L400" s="8">
        <f ca="1">IFERROR(__xludf.DUMMYFUNCTION("GOOGLEFINANCE(""NSE:""&amp;D400,""price"")"),462.5)</f>
        <v>462.5</v>
      </c>
      <c r="M400" s="9">
        <f t="shared" ca="1" si="7"/>
        <v>-530.29999999999995</v>
      </c>
      <c r="N400" s="10">
        <f t="shared" ca="1" si="8"/>
        <v>-53.414585012087024</v>
      </c>
      <c r="O400" s="7">
        <f ca="1">IFERROR(__xludf.DUMMYFUNCTION("GOOGLEFINANCE(""NSE:""&amp;D400,""pe"")"),15.23)</f>
        <v>15.23</v>
      </c>
      <c r="P400" s="7">
        <f ca="1">IFERROR(__xludf.DUMMYFUNCTION("GOOGLEFINANCE(""NSE:""&amp;D400,""EPS"")"),30.37)</f>
        <v>30.37</v>
      </c>
      <c r="Q400" s="7">
        <v>13.5</v>
      </c>
      <c r="R400" s="7" t="str">
        <f ca="1">IFERROR(__xludf.DUMMYFUNCTION("IMPORTXML(E400,""/html/body/main/div[3]/div[3]/div[2]/ul/li[7]/span[2]/span"")"),"Loading...")</f>
        <v>Loading...</v>
      </c>
      <c r="S400" s="7" t="str">
        <f ca="1">IFERROR(__xludf.DUMMYFUNCTION("IMPORTXML(E400,""/html/body/main/div[3]/div[3]/div[2]/ul/li[8]/span[2]/span"")"),"Loading...")</f>
        <v>Loading...</v>
      </c>
      <c r="T400" s="4">
        <v>34.6</v>
      </c>
      <c r="U400" s="4">
        <v>22.7</v>
      </c>
      <c r="V400" s="4">
        <v>2.6</v>
      </c>
      <c r="W400" s="4">
        <v>5.7</v>
      </c>
      <c r="X400" s="4">
        <v>519.92999999999995</v>
      </c>
      <c r="Y400" s="7">
        <f t="shared" ca="1" si="9"/>
        <v>-57.42999999999995</v>
      </c>
    </row>
    <row r="401" spans="1:25" ht="15" x14ac:dyDescent="0.25">
      <c r="A401" s="4">
        <v>453</v>
      </c>
      <c r="C401" s="12" t="s">
        <v>1345</v>
      </c>
      <c r="D401" s="12" t="s">
        <v>1346</v>
      </c>
      <c r="E401" s="5" t="str">
        <f t="shared" si="5"/>
        <v>https://www.screener.in/company/NFL/consolidated/</v>
      </c>
      <c r="F401" s="4">
        <v>443059</v>
      </c>
      <c r="G401" s="4">
        <v>3832241897</v>
      </c>
      <c r="H401" s="6">
        <f t="shared" ca="1" si="6"/>
        <v>37973.684957373007</v>
      </c>
      <c r="I401" s="7" t="str">
        <f ca="1">IFERROR(__xludf.DUMMYFUNCTION("IMPORTXML(E401,""/html/body/main/div[3]/div[3]/div[2]/ul/li[5]/span[2]/span"")"),"Loading...")</f>
        <v>Loading...</v>
      </c>
      <c r="J401" s="7">
        <f ca="1">IFERROR(__xludf.DUMMYFUNCTION("GOOGLEFINANCE(""NSE:""&amp;D401,""marketcap"")"),48347279688)</f>
        <v>48347279688</v>
      </c>
      <c r="K401" s="7">
        <v>992.8</v>
      </c>
      <c r="L401" s="8">
        <f ca="1">IFERROR(__xludf.DUMMYFUNCTION("GOOGLEFINANCE(""NSE:""&amp;D401,""price"")"),99.09)</f>
        <v>99.09</v>
      </c>
      <c r="M401" s="9">
        <f t="shared" ca="1" si="7"/>
        <v>-893.70999999999992</v>
      </c>
      <c r="N401" s="10">
        <f t="shared" ca="1" si="8"/>
        <v>-90.019137792103137</v>
      </c>
      <c r="O401" s="7">
        <f ca="1">IFERROR(__xludf.DUMMYFUNCTION("GOOGLEFINANCE(""NSE:""&amp;D401,""pe"")"),31.66)</f>
        <v>31.66</v>
      </c>
      <c r="P401" s="7">
        <f ca="1">IFERROR(__xludf.DUMMYFUNCTION("GOOGLEFINANCE(""NSE:""&amp;D401,""EPS"")"),3.13)</f>
        <v>3.13</v>
      </c>
      <c r="Q401" s="7">
        <v>13.5</v>
      </c>
      <c r="R401" s="7" t="str">
        <f ca="1">IFERROR(__xludf.DUMMYFUNCTION("IMPORTXML(E401,""/html/body/main/div[3]/div[3]/div[2]/ul/li[7]/span[2]/span"")"),"Loading...")</f>
        <v>Loading...</v>
      </c>
      <c r="S401" s="7" t="str">
        <f ca="1">IFERROR(__xludf.DUMMYFUNCTION("IMPORTXML(E401,""/html/body/main/div[3]/div[3]/div[2]/ul/li[8]/span[2]/span"")"),"Loading...")</f>
        <v>Loading...</v>
      </c>
      <c r="T401" s="4">
        <v>34.6</v>
      </c>
      <c r="U401" s="4">
        <v>22.7</v>
      </c>
      <c r="V401" s="4">
        <v>2.6</v>
      </c>
      <c r="W401" s="4">
        <v>5.7</v>
      </c>
      <c r="X401" s="4">
        <v>519.92999999999995</v>
      </c>
      <c r="Y401" s="7">
        <f t="shared" ca="1" si="9"/>
        <v>-420.83999999999992</v>
      </c>
    </row>
    <row r="402" spans="1:25" ht="15" x14ac:dyDescent="0.25">
      <c r="A402" s="4">
        <v>844</v>
      </c>
      <c r="C402" s="12" t="s">
        <v>1347</v>
      </c>
      <c r="D402" s="12" t="s">
        <v>1348</v>
      </c>
      <c r="E402" s="5" t="str">
        <f t="shared" si="5"/>
        <v>https://www.screener.in/company/MUKANDLTD/consolidated/</v>
      </c>
      <c r="F402" s="4">
        <v>443059</v>
      </c>
      <c r="G402" s="4">
        <v>3832241897</v>
      </c>
      <c r="H402" s="6">
        <f t="shared" ca="1" si="6"/>
        <v>50309.671623816001</v>
      </c>
      <c r="I402" s="7" t="str">
        <f ca="1">IFERROR(__xludf.DUMMYFUNCTION("IMPORTXML(E402,""/html/body/main/div[3]/div[3]/div[2]/ul/li[5]/span[2]/span"")"),"Loading...")</f>
        <v>Loading...</v>
      </c>
      <c r="J402" s="7">
        <f ca="1">IFERROR(__xludf.DUMMYFUNCTION("GOOGLEFINANCE(""NSE:""&amp;D402,""marketcap"")"),18969369063)</f>
        <v>18969369063</v>
      </c>
      <c r="K402" s="7">
        <v>992.8</v>
      </c>
      <c r="L402" s="8">
        <f ca="1">IFERROR(__xludf.DUMMYFUNCTION("GOOGLEFINANCE(""NSE:""&amp;D402,""price"")"),131.28)</f>
        <v>131.28</v>
      </c>
      <c r="M402" s="9">
        <f t="shared" ca="1" si="7"/>
        <v>-861.52</v>
      </c>
      <c r="N402" s="10">
        <f t="shared" ca="1" si="8"/>
        <v>-86.776792908944401</v>
      </c>
      <c r="O402" s="7">
        <f ca="1">IFERROR(__xludf.DUMMYFUNCTION("GOOGLEFINANCE(""NSE:""&amp;D402,""pe"")"),23.56)</f>
        <v>23.56</v>
      </c>
      <c r="P402" s="7">
        <f ca="1">IFERROR(__xludf.DUMMYFUNCTION("GOOGLEFINANCE(""NSE:""&amp;D402,""EPS"")"),5.57)</f>
        <v>5.57</v>
      </c>
      <c r="Q402" s="7">
        <v>13.5</v>
      </c>
      <c r="R402" s="7" t="str">
        <f ca="1">IFERROR(__xludf.DUMMYFUNCTION("IMPORTXML(E402,""/html/body/main/div[3]/div[3]/div[2]/ul/li[7]/span[2]/span"")"),"Loading...")</f>
        <v>Loading...</v>
      </c>
      <c r="S402" s="7" t="str">
        <f ca="1">IFERROR(__xludf.DUMMYFUNCTION("IMPORTXML(E402,""/html/body/main/div[3]/div[3]/div[2]/ul/li[8]/span[2]/span"")"),"Loading...")</f>
        <v>Loading...</v>
      </c>
      <c r="T402" s="4">
        <v>34.6</v>
      </c>
      <c r="U402" s="4">
        <v>22.7</v>
      </c>
      <c r="V402" s="4">
        <v>2.6</v>
      </c>
      <c r="W402" s="4">
        <v>5.7</v>
      </c>
      <c r="X402" s="4">
        <v>519.92999999999995</v>
      </c>
      <c r="Y402" s="7">
        <f t="shared" ca="1" si="9"/>
        <v>-388.65</v>
      </c>
    </row>
    <row r="403" spans="1:25" ht="15" x14ac:dyDescent="0.25">
      <c r="A403" s="4">
        <v>1644</v>
      </c>
      <c r="C403" s="12" t="s">
        <v>1349</v>
      </c>
      <c r="D403" s="12" t="s">
        <v>1350</v>
      </c>
      <c r="E403" s="5" t="str">
        <f t="shared" si="5"/>
        <v>https://www.screener.in/company/MANOMAY/consolidated/</v>
      </c>
      <c r="F403" s="4">
        <v>443059</v>
      </c>
      <c r="G403" s="4">
        <v>3832241897</v>
      </c>
      <c r="H403" s="6">
        <f t="shared" ca="1" si="6"/>
        <v>63730.182747110011</v>
      </c>
      <c r="I403" s="7" t="str">
        <f ca="1">IFERROR(__xludf.DUMMYFUNCTION("IMPORTXML(E403,""/html/body/main/div[3]/div[3]/div[2]/ul/li[5]/span[2]/span"")"),"Loading...")</f>
        <v>Loading...</v>
      </c>
      <c r="J403" s="7">
        <f ca="1">IFERROR(__xludf.DUMMYFUNCTION("GOOGLEFINANCE(""NSE:""&amp;D403,""marketcap"")"),3001503854)</f>
        <v>3001503854</v>
      </c>
      <c r="K403" s="7">
        <v>992.8</v>
      </c>
      <c r="L403" s="8">
        <f ca="1">IFERROR(__xludf.DUMMYFUNCTION("GOOGLEFINANCE(""NSE:""&amp;D403,""price"")"),166.3)</f>
        <v>166.3</v>
      </c>
      <c r="M403" s="9">
        <f t="shared" ca="1" si="7"/>
        <v>-826.5</v>
      </c>
      <c r="N403" s="10">
        <f t="shared" ca="1" si="8"/>
        <v>-83.249395648670429</v>
      </c>
      <c r="O403" s="7">
        <f ca="1">IFERROR(__xludf.DUMMYFUNCTION("GOOGLEFINANCE(""NSE:""&amp;D403,""pe"")"),16.15)</f>
        <v>16.149999999999999</v>
      </c>
      <c r="P403" s="7">
        <f ca="1">IFERROR(__xludf.DUMMYFUNCTION("GOOGLEFINANCE(""NSE:""&amp;D403,""EPS"")"),10.3)</f>
        <v>10.3</v>
      </c>
      <c r="Q403" s="7">
        <v>13.5</v>
      </c>
      <c r="R403" s="7" t="str">
        <f ca="1">IFERROR(__xludf.DUMMYFUNCTION("IMPORTXML(E403,""/html/body/main/div[3]/div[3]/div[2]/ul/li[7]/span[2]/span"")"),"Loading...")</f>
        <v>Loading...</v>
      </c>
      <c r="S403" s="7" t="str">
        <f ca="1">IFERROR(__xludf.DUMMYFUNCTION("IMPORTXML(E403,""/html/body/main/div[3]/div[3]/div[2]/ul/li[8]/span[2]/span"")"),"Loading...")</f>
        <v>Loading...</v>
      </c>
      <c r="T403" s="4">
        <v>34.6</v>
      </c>
      <c r="U403" s="4">
        <v>22.7</v>
      </c>
      <c r="V403" s="4">
        <v>2.6</v>
      </c>
      <c r="W403" s="4">
        <v>5.7</v>
      </c>
      <c r="X403" s="4">
        <v>519.92999999999995</v>
      </c>
      <c r="Y403" s="7">
        <f t="shared" ca="1" si="9"/>
        <v>-353.62999999999994</v>
      </c>
    </row>
    <row r="404" spans="1:25" ht="15" x14ac:dyDescent="0.25">
      <c r="A404" s="4">
        <v>1663</v>
      </c>
      <c r="C404" s="12" t="s">
        <v>1351</v>
      </c>
      <c r="D404" s="12" t="s">
        <v>1352</v>
      </c>
      <c r="E404" s="5" t="str">
        <f t="shared" si="5"/>
        <v>https://www.screener.in/company/OSIAHYPER/consolidated/</v>
      </c>
      <c r="F404" s="4">
        <v>443059</v>
      </c>
      <c r="G404" s="4">
        <v>3832241897</v>
      </c>
      <c r="H404" s="6">
        <f t="shared" ca="1" si="6"/>
        <v>8549.7316722069991</v>
      </c>
      <c r="I404" s="7" t="str">
        <f ca="1">IFERROR(__xludf.DUMMYFUNCTION("IMPORTXML(E404,""/html/body/main/div[3]/div[3]/div[2]/ul/li[5]/span[2]/span"")"),"Loading...")</f>
        <v>Loading...</v>
      </c>
      <c r="J404" s="7">
        <f ca="1">IFERROR(__xludf.DUMMYFUNCTION("GOOGLEFINANCE(""NSE:""&amp;D404,""marketcap"")"),3593556391)</f>
        <v>3593556391</v>
      </c>
      <c r="K404" s="7">
        <v>992.8</v>
      </c>
      <c r="L404" s="8">
        <f ca="1">IFERROR(__xludf.DUMMYFUNCTION("GOOGLEFINANCE(""NSE:""&amp;D404,""price"")"),22.31)</f>
        <v>22.31</v>
      </c>
      <c r="M404" s="9">
        <f t="shared" ca="1" si="7"/>
        <v>-970.49</v>
      </c>
      <c r="N404" s="10">
        <f t="shared" ca="1" si="8"/>
        <v>-97.752820306204683</v>
      </c>
      <c r="O404" s="7">
        <f ca="1">IFERROR(__xludf.DUMMYFUNCTION("GOOGLEFINANCE(""NSE:""&amp;D404,""pe"")"),15.18)</f>
        <v>15.18</v>
      </c>
      <c r="P404" s="7">
        <f ca="1">IFERROR(__xludf.DUMMYFUNCTION("GOOGLEFINANCE(""NSE:""&amp;D404,""EPS"")"),1.47)</f>
        <v>1.47</v>
      </c>
      <c r="Q404" s="7">
        <v>13.5</v>
      </c>
      <c r="R404" s="7" t="str">
        <f ca="1">IFERROR(__xludf.DUMMYFUNCTION("IMPORTXML(E404,""/html/body/main/div[3]/div[3]/div[2]/ul/li[7]/span[2]/span"")"),"Loading...")</f>
        <v>Loading...</v>
      </c>
      <c r="S404" s="7" t="str">
        <f ca="1">IFERROR(__xludf.DUMMYFUNCTION("IMPORTXML(E404,""/html/body/main/div[3]/div[3]/div[2]/ul/li[8]/span[2]/span"")"),"Loading...")</f>
        <v>Loading...</v>
      </c>
      <c r="T404" s="4">
        <v>34.6</v>
      </c>
      <c r="U404" s="4">
        <v>22.7</v>
      </c>
      <c r="V404" s="4">
        <v>2.6</v>
      </c>
      <c r="W404" s="4">
        <v>5.7</v>
      </c>
      <c r="X404" s="4">
        <v>519.92999999999995</v>
      </c>
      <c r="Y404" s="7">
        <f t="shared" ca="1" si="9"/>
        <v>-497.61999999999995</v>
      </c>
    </row>
    <row r="405" spans="1:25" ht="15" x14ac:dyDescent="0.25">
      <c r="A405" s="4">
        <v>468</v>
      </c>
      <c r="C405" s="12" t="s">
        <v>1353</v>
      </c>
      <c r="D405" s="12" t="s">
        <v>1354</v>
      </c>
      <c r="E405" s="5" t="str">
        <f t="shared" si="5"/>
        <v>https://www.screener.in/company/AGI/consolidated/</v>
      </c>
      <c r="F405" s="4">
        <v>443059</v>
      </c>
      <c r="G405" s="4">
        <v>3832241897</v>
      </c>
      <c r="H405" s="6">
        <f t="shared" ca="1" si="6"/>
        <v>329572.80314199999</v>
      </c>
      <c r="I405" s="7" t="str">
        <f ca="1">IFERROR(__xludf.DUMMYFUNCTION("IMPORTXML(E405,""/html/body/main/div[3]/div[3]/div[2]/ul/li[5]/span[2]/span"")"),"Loading...")</f>
        <v>Loading...</v>
      </c>
      <c r="J405" s="7">
        <f ca="1">IFERROR(__xludf.DUMMYFUNCTION("GOOGLEFINANCE(""NSE:""&amp;D405,""marketcap"")"),55613857280)</f>
        <v>55613857280</v>
      </c>
      <c r="K405" s="7">
        <v>992.8</v>
      </c>
      <c r="L405" s="8">
        <f ca="1">IFERROR(__xludf.DUMMYFUNCTION("GOOGLEFINANCE(""NSE:""&amp;D405,""price"")"),860)</f>
        <v>860</v>
      </c>
      <c r="M405" s="9">
        <f t="shared" ca="1" si="7"/>
        <v>-132.79999999999995</v>
      </c>
      <c r="N405" s="10">
        <f t="shared" ca="1" si="8"/>
        <v>-13.376309427880736</v>
      </c>
      <c r="O405" s="7">
        <f ca="1">IFERROR(__xludf.DUMMYFUNCTION("GOOGLEFINANCE(""NSE:""&amp;D405,""pe"")"),15.99)</f>
        <v>15.99</v>
      </c>
      <c r="P405" s="7">
        <f ca="1">IFERROR(__xludf.DUMMYFUNCTION("GOOGLEFINANCE(""NSE:""&amp;D405,""EPS"")"),53.79)</f>
        <v>53.79</v>
      </c>
      <c r="Q405" s="7">
        <v>13.5</v>
      </c>
      <c r="R405" s="7" t="str">
        <f ca="1">IFERROR(__xludf.DUMMYFUNCTION("IMPORTXML(E405,""/html/body/main/div[3]/div[3]/div[2]/ul/li[7]/span[2]/span"")"),"Loading...")</f>
        <v>Loading...</v>
      </c>
      <c r="S405" s="7" t="str">
        <f ca="1">IFERROR(__xludf.DUMMYFUNCTION("IMPORTXML(E405,""/html/body/main/div[3]/div[3]/div[2]/ul/li[8]/span[2]/span"")"),"Loading...")</f>
        <v>Loading...</v>
      </c>
      <c r="T405" s="4">
        <v>34.6</v>
      </c>
      <c r="U405" s="4">
        <v>22.7</v>
      </c>
      <c r="V405" s="4">
        <v>2.6</v>
      </c>
      <c r="W405" s="4">
        <v>5.7</v>
      </c>
      <c r="X405" s="4">
        <v>519.92999999999995</v>
      </c>
      <c r="Y405" s="7">
        <f t="shared" ca="1" si="9"/>
        <v>340.07000000000005</v>
      </c>
    </row>
    <row r="406" spans="1:25" ht="15" x14ac:dyDescent="0.25">
      <c r="A406" s="4">
        <v>897</v>
      </c>
      <c r="C406" s="12" t="s">
        <v>1355</v>
      </c>
      <c r="D406" s="12" t="s">
        <v>1356</v>
      </c>
      <c r="E406" s="5" t="str">
        <f t="shared" si="5"/>
        <v>https://www.screener.in/company/EXPLEOSOL/consolidated/</v>
      </c>
      <c r="F406" s="4">
        <v>443059</v>
      </c>
      <c r="G406" s="4">
        <v>3832241897</v>
      </c>
      <c r="H406" s="6">
        <f t="shared" ca="1" si="6"/>
        <v>390160.54753357003</v>
      </c>
      <c r="I406" s="7" t="str">
        <f ca="1">IFERROR(__xludf.DUMMYFUNCTION("IMPORTXML(E406,""/html/body/main/div[3]/div[3]/div[2]/ul/li[5]/span[2]/span"")"),"Loading...")</f>
        <v>Loading...</v>
      </c>
      <c r="J406" s="7">
        <f ca="1">IFERROR(__xludf.DUMMYFUNCTION("GOOGLEFINANCE(""NSE:""&amp;D406,""marketcap"")"),15765140400)</f>
        <v>15765140400</v>
      </c>
      <c r="K406" s="7">
        <v>992.8</v>
      </c>
      <c r="L406" s="8">
        <f ca="1">IFERROR(__xludf.DUMMYFUNCTION("GOOGLEFINANCE(""NSE:""&amp;D406,""price"")"),1018.1)</f>
        <v>1018.1</v>
      </c>
      <c r="M406" s="9">
        <f t="shared" ca="1" si="7"/>
        <v>25.300000000000068</v>
      </c>
      <c r="N406" s="10">
        <f t="shared" ca="1" si="8"/>
        <v>2.5483481063658409</v>
      </c>
      <c r="O406" s="7">
        <f ca="1">IFERROR(__xludf.DUMMYFUNCTION("GOOGLEFINANCE(""NSE:""&amp;D406,""pe"")"),15.89)</f>
        <v>15.89</v>
      </c>
      <c r="P406" s="7">
        <f ca="1">IFERROR(__xludf.DUMMYFUNCTION("GOOGLEFINANCE(""NSE:""&amp;D406,""EPS"")"),29.9)</f>
        <v>29.9</v>
      </c>
      <c r="Q406" s="7">
        <v>13.5</v>
      </c>
      <c r="R406" s="7" t="str">
        <f ca="1">IFERROR(__xludf.DUMMYFUNCTION("IMPORTXML(E406,""/html/body/main/div[3]/div[3]/div[2]/ul/li[7]/span[2]/span"")"),"Loading...")</f>
        <v>Loading...</v>
      </c>
      <c r="S406" s="7" t="str">
        <f ca="1">IFERROR(__xludf.DUMMYFUNCTION("IMPORTXML(E406,""/html/body/main/div[3]/div[3]/div[2]/ul/li[8]/span[2]/span"")"),"Loading...")</f>
        <v>Loading...</v>
      </c>
      <c r="T406" s="4">
        <v>34.6</v>
      </c>
      <c r="U406" s="4">
        <v>22.7</v>
      </c>
      <c r="V406" s="4">
        <v>2.6</v>
      </c>
      <c r="W406" s="4">
        <v>5.7</v>
      </c>
      <c r="X406" s="4">
        <v>519.92999999999995</v>
      </c>
      <c r="Y406" s="7">
        <f t="shared" ca="1" si="9"/>
        <v>498.17000000000007</v>
      </c>
    </row>
    <row r="407" spans="1:25" ht="15" x14ac:dyDescent="0.25">
      <c r="A407" s="4">
        <v>924</v>
      </c>
      <c r="C407" s="12" t="s">
        <v>1357</v>
      </c>
      <c r="D407" s="12" t="s">
        <v>1358</v>
      </c>
      <c r="E407" s="5" t="str">
        <f t="shared" si="5"/>
        <v>https://www.screener.in/company/GPTINFRA/consolidated/</v>
      </c>
      <c r="F407" s="4">
        <v>443059</v>
      </c>
      <c r="G407" s="4">
        <v>3832241897</v>
      </c>
      <c r="H407" s="6">
        <f t="shared" ca="1" si="6"/>
        <v>44339.038748290004</v>
      </c>
      <c r="I407" s="7" t="str">
        <f ca="1">IFERROR(__xludf.DUMMYFUNCTION("IMPORTXML(E407,""/html/body/main/div[3]/div[3]/div[2]/ul/li[5]/span[2]/span"")"),"Loading...")</f>
        <v>Loading...</v>
      </c>
      <c r="J407" s="7">
        <f ca="1">IFERROR(__xludf.DUMMYFUNCTION("GOOGLEFINANCE(""NSE:""&amp;D407,""marketcap"")"),14624070286)</f>
        <v>14624070286</v>
      </c>
      <c r="K407" s="7">
        <v>992.8</v>
      </c>
      <c r="L407" s="8">
        <f ca="1">IFERROR(__xludf.DUMMYFUNCTION("GOOGLEFINANCE(""NSE:""&amp;D407,""price"")"),115.7)</f>
        <v>115.7</v>
      </c>
      <c r="M407" s="9">
        <f t="shared" ca="1" si="7"/>
        <v>-877.09999999999991</v>
      </c>
      <c r="N407" s="10">
        <f t="shared" ca="1" si="8"/>
        <v>-88.346091861402087</v>
      </c>
      <c r="O407" s="7">
        <f ca="1">IFERROR(__xludf.DUMMYFUNCTION("GOOGLEFINANCE(""NSE:""&amp;D407,""pe"")"),16.63)</f>
        <v>16.63</v>
      </c>
      <c r="P407" s="7">
        <f ca="1">IFERROR(__xludf.DUMMYFUNCTION("GOOGLEFINANCE(""NSE:""&amp;D407,""EPS"")"),6.96)</f>
        <v>6.96</v>
      </c>
      <c r="Q407" s="7">
        <v>13.5</v>
      </c>
      <c r="R407" s="7" t="str">
        <f ca="1">IFERROR(__xludf.DUMMYFUNCTION("IMPORTXML(E407,""/html/body/main/div[3]/div[3]/div[2]/ul/li[7]/span[2]/span"")"),"Loading...")</f>
        <v>Loading...</v>
      </c>
      <c r="S407" s="7" t="str">
        <f ca="1">IFERROR(__xludf.DUMMYFUNCTION("IMPORTXML(E407,""/html/body/main/div[3]/div[3]/div[2]/ul/li[8]/span[2]/span"")"),"Loading...")</f>
        <v>Loading...</v>
      </c>
      <c r="T407" s="4">
        <v>34.6</v>
      </c>
      <c r="U407" s="4">
        <v>22.7</v>
      </c>
      <c r="V407" s="4">
        <v>2.6</v>
      </c>
      <c r="W407" s="4">
        <v>5.7</v>
      </c>
      <c r="X407" s="4">
        <v>519.92999999999995</v>
      </c>
      <c r="Y407" s="7">
        <f t="shared" ca="1" si="9"/>
        <v>-404.22999999999996</v>
      </c>
    </row>
    <row r="408" spans="1:25" ht="15" x14ac:dyDescent="0.25">
      <c r="A408" s="4">
        <v>664</v>
      </c>
      <c r="C408" s="12" t="s">
        <v>1359</v>
      </c>
      <c r="D408" s="12" t="s">
        <v>1360</v>
      </c>
      <c r="E408" s="5" t="str">
        <f t="shared" si="5"/>
        <v>https://www.screener.in/company/NUCLEUS/consolidated/</v>
      </c>
      <c r="F408" s="4">
        <v>443059</v>
      </c>
      <c r="G408" s="4">
        <v>3832241897</v>
      </c>
      <c r="H408" s="6">
        <f t="shared" ca="1" si="6"/>
        <v>389317.45431622997</v>
      </c>
      <c r="I408" s="7" t="str">
        <f ca="1">IFERROR(__xludf.DUMMYFUNCTION("IMPORTXML(E408,""/html/body/main/div[3]/div[3]/div[2]/ul/li[5]/span[2]/span"")"),"Loading...")</f>
        <v>Loading...</v>
      </c>
      <c r="J408" s="7">
        <f ca="1">IFERROR(__xludf.DUMMYFUNCTION("GOOGLEFINANCE(""NSE:""&amp;D408,""marketcap"")"),26743872912)</f>
        <v>26743872912</v>
      </c>
      <c r="K408" s="7">
        <v>992.8</v>
      </c>
      <c r="L408" s="8">
        <f ca="1">IFERROR(__xludf.DUMMYFUNCTION("GOOGLEFINANCE(""NSE:""&amp;D408,""price"")"),1015.9)</f>
        <v>1015.9</v>
      </c>
      <c r="M408" s="9">
        <f t="shared" ca="1" si="7"/>
        <v>23.100000000000023</v>
      </c>
      <c r="N408" s="10">
        <f t="shared" ca="1" si="8"/>
        <v>2.3267526188557639</v>
      </c>
      <c r="O408" s="7">
        <f ca="1">IFERROR(__xludf.DUMMYFUNCTION("GOOGLEFINANCE(""NSE:""&amp;D408,""pe"")"),15.97)</f>
        <v>15.97</v>
      </c>
      <c r="P408" s="7">
        <f ca="1">IFERROR(__xludf.DUMMYFUNCTION("GOOGLEFINANCE(""NSE:""&amp;D408,""EPS"")"),63.6)</f>
        <v>63.6</v>
      </c>
      <c r="Q408" s="7">
        <v>13.5</v>
      </c>
      <c r="R408" s="7" t="str">
        <f ca="1">IFERROR(__xludf.DUMMYFUNCTION("IMPORTXML(E408,""/html/body/main/div[3]/div[3]/div[2]/ul/li[7]/span[2]/span"")"),"Loading...")</f>
        <v>Loading...</v>
      </c>
      <c r="S408" s="7" t="str">
        <f ca="1">IFERROR(__xludf.DUMMYFUNCTION("IMPORTXML(E408,""/html/body/main/div[3]/div[3]/div[2]/ul/li[8]/span[2]/span"")"),"Loading...")</f>
        <v>Loading...</v>
      </c>
      <c r="T408" s="4">
        <v>34.6</v>
      </c>
      <c r="U408" s="4">
        <v>22.7</v>
      </c>
      <c r="V408" s="4">
        <v>2.6</v>
      </c>
      <c r="W408" s="4">
        <v>5.7</v>
      </c>
      <c r="X408" s="4">
        <v>519.92999999999995</v>
      </c>
      <c r="Y408" s="7">
        <f t="shared" ca="1" si="9"/>
        <v>495.97</v>
      </c>
    </row>
    <row r="409" spans="1:25" ht="15" x14ac:dyDescent="0.25">
      <c r="A409" s="4">
        <v>1045</v>
      </c>
      <c r="C409" s="12" t="s">
        <v>1361</v>
      </c>
      <c r="D409" s="12" t="s">
        <v>1362</v>
      </c>
      <c r="E409" s="5" t="str">
        <f t="shared" si="5"/>
        <v>https://www.screener.in/company/KAMDHENU/consolidated/</v>
      </c>
      <c r="F409" s="4">
        <v>443059</v>
      </c>
      <c r="G409" s="4">
        <v>3832241897</v>
      </c>
      <c r="H409" s="6">
        <f t="shared" ca="1" si="6"/>
        <v>10879.734745583</v>
      </c>
      <c r="I409" s="7" t="str">
        <f ca="1">IFERROR(__xludf.DUMMYFUNCTION("IMPORTXML(E409,""/html/body/main/div[3]/div[3]/div[2]/ul/li[5]/span[2]/span"")"),"Loading...")</f>
        <v>Loading...</v>
      </c>
      <c r="J409" s="7">
        <f ca="1">IFERROR(__xludf.DUMMYFUNCTION("GOOGLEFINANCE(""NSE:""&amp;D409,""marketcap"")"),7915932745)</f>
        <v>7915932745</v>
      </c>
      <c r="K409" s="7">
        <v>992.8</v>
      </c>
      <c r="L409" s="8">
        <f ca="1">IFERROR(__xludf.DUMMYFUNCTION("GOOGLEFINANCE(""NSE:""&amp;D409,""price"")"),28.39)</f>
        <v>28.39</v>
      </c>
      <c r="M409" s="9">
        <f t="shared" ca="1" si="7"/>
        <v>-964.41</v>
      </c>
      <c r="N409" s="10">
        <f t="shared" ca="1" si="8"/>
        <v>-97.140410958904113</v>
      </c>
      <c r="O409" s="7">
        <f ca="1">IFERROR(__xludf.DUMMYFUNCTION("GOOGLEFINANCE(""NSE:""&amp;D409,""pe"")"),11.9)</f>
        <v>11.9</v>
      </c>
      <c r="P409" s="7">
        <f ca="1">IFERROR(__xludf.DUMMYFUNCTION("GOOGLEFINANCE(""NSE:""&amp;D409,""EPS"")"),2.39)</f>
        <v>2.39</v>
      </c>
      <c r="Q409" s="7">
        <v>13.5</v>
      </c>
      <c r="R409" s="7" t="str">
        <f ca="1">IFERROR(__xludf.DUMMYFUNCTION("IMPORTXML(E409,""/html/body/main/div[3]/div[3]/div[2]/ul/li[7]/span[2]/span"")"),"Loading...")</f>
        <v>Loading...</v>
      </c>
      <c r="S409" s="7" t="str">
        <f ca="1">IFERROR(__xludf.DUMMYFUNCTION("IMPORTXML(E409,""/html/body/main/div[3]/div[3]/div[2]/ul/li[8]/span[2]/span"")"),"Loading...")</f>
        <v>Loading...</v>
      </c>
      <c r="T409" s="4">
        <v>34.6</v>
      </c>
      <c r="U409" s="4">
        <v>22.7</v>
      </c>
      <c r="V409" s="4">
        <v>2.6</v>
      </c>
      <c r="W409" s="4">
        <v>5.7</v>
      </c>
      <c r="X409" s="4">
        <v>519.92999999999995</v>
      </c>
      <c r="Y409" s="7">
        <f t="shared" ca="1" si="9"/>
        <v>-491.53999999999996</v>
      </c>
    </row>
    <row r="410" spans="1:25" ht="15" x14ac:dyDescent="0.25">
      <c r="A410" s="4">
        <v>2502</v>
      </c>
      <c r="C410" s="12" t="s">
        <v>1363</v>
      </c>
      <c r="D410" s="12" t="s">
        <v>1364</v>
      </c>
      <c r="E410" s="5" t="str">
        <f t="shared" si="5"/>
        <v>https://www.screener.in/company/DAMODARIND/consolidated/</v>
      </c>
      <c r="F410" s="4">
        <v>443059</v>
      </c>
      <c r="G410" s="4">
        <v>3832241897</v>
      </c>
      <c r="H410" s="6">
        <f t="shared" ca="1" si="6"/>
        <v>13815.232038684997</v>
      </c>
      <c r="I410" s="7" t="str">
        <f ca="1">IFERROR(__xludf.DUMMYFUNCTION("IMPORTXML(E410,""/html/body/main/div[3]/div[3]/div[2]/ul/li[5]/span[2]/span"")"),"Loading...")</f>
        <v>Loading...</v>
      </c>
      <c r="J410" s="7">
        <f ca="1">IFERROR(__xludf.DUMMYFUNCTION("GOOGLEFINANCE(""NSE:""&amp;D410,""marketcap"")"),830392727)</f>
        <v>830392727</v>
      </c>
      <c r="K410" s="7">
        <v>992.8</v>
      </c>
      <c r="L410" s="8">
        <f ca="1">IFERROR(__xludf.DUMMYFUNCTION("GOOGLEFINANCE(""NSE:""&amp;D410,""price"")"),36.05)</f>
        <v>36.049999999999997</v>
      </c>
      <c r="M410" s="9">
        <f t="shared" ca="1" si="7"/>
        <v>-956.75</v>
      </c>
      <c r="N410" s="10">
        <f t="shared" ca="1" si="8"/>
        <v>-96.368855761482678</v>
      </c>
      <c r="O410" s="7">
        <f ca="1">IFERROR(__xludf.DUMMYFUNCTION("GOOGLEFINANCE(""NSE:""&amp;D410,""pe"")"),9.08)</f>
        <v>9.08</v>
      </c>
      <c r="P410" s="7">
        <f ca="1">IFERROR(__xludf.DUMMYFUNCTION("GOOGLEFINANCE(""NSE:""&amp;D410,""EPS"")"),3.97)</f>
        <v>3.97</v>
      </c>
      <c r="Q410" s="7">
        <v>13.5</v>
      </c>
      <c r="R410" s="7" t="str">
        <f ca="1">IFERROR(__xludf.DUMMYFUNCTION("IMPORTXML(E410,""/html/body/main/div[3]/div[3]/div[2]/ul/li[7]/span[2]/span"")"),"Loading...")</f>
        <v>Loading...</v>
      </c>
      <c r="S410" s="7" t="str">
        <f ca="1">IFERROR(__xludf.DUMMYFUNCTION("IMPORTXML(E410,""/html/body/main/div[3]/div[3]/div[2]/ul/li[8]/span[2]/span"")"),"Loading...")</f>
        <v>Loading...</v>
      </c>
      <c r="T410" s="4">
        <v>34.6</v>
      </c>
      <c r="U410" s="4">
        <v>22.7</v>
      </c>
      <c r="V410" s="4">
        <v>2.6</v>
      </c>
      <c r="W410" s="4">
        <v>5.7</v>
      </c>
      <c r="X410" s="4">
        <v>519.92999999999995</v>
      </c>
      <c r="Y410" s="7">
        <f t="shared" ca="1" si="9"/>
        <v>-483.87999999999994</v>
      </c>
    </row>
    <row r="411" spans="1:25" ht="15" x14ac:dyDescent="0.25">
      <c r="A411" s="4">
        <v>1009</v>
      </c>
      <c r="C411" s="12" t="s">
        <v>1365</v>
      </c>
      <c r="D411" s="12" t="s">
        <v>1366</v>
      </c>
      <c r="E411" s="5" t="str">
        <f t="shared" si="5"/>
        <v>https://www.screener.in/company/LIKHITHA/consolidated/</v>
      </c>
      <c r="F411" s="4">
        <v>443059</v>
      </c>
      <c r="G411" s="4">
        <v>3832241897</v>
      </c>
      <c r="H411" s="6">
        <f t="shared" ca="1" si="6"/>
        <v>95039.5990456</v>
      </c>
      <c r="I411" s="7" t="str">
        <f ca="1">IFERROR(__xludf.DUMMYFUNCTION("IMPORTXML(E411,""/html/body/main/div[3]/div[3]/div[2]/ul/li[5]/span[2]/span"")"),"Loading...")</f>
        <v>Loading...</v>
      </c>
      <c r="J411" s="7">
        <f ca="1">IFERROR(__xludf.DUMMYFUNCTION("GOOGLEFINANCE(""NSE:""&amp;D411,""marketcap"")"),9783600000)</f>
        <v>9783600000</v>
      </c>
      <c r="K411" s="7">
        <v>992.8</v>
      </c>
      <c r="L411" s="8">
        <f ca="1">IFERROR(__xludf.DUMMYFUNCTION("GOOGLEFINANCE(""NSE:""&amp;D411,""price"")"),248)</f>
        <v>248</v>
      </c>
      <c r="M411" s="9">
        <f t="shared" ca="1" si="7"/>
        <v>-744.8</v>
      </c>
      <c r="N411" s="10">
        <f t="shared" ca="1" si="8"/>
        <v>-75.020145044319094</v>
      </c>
      <c r="O411" s="7">
        <f ca="1">IFERROR(__xludf.DUMMYFUNCTION("GOOGLEFINANCE(""NSE:""&amp;D411,""pe"")"),14.8)</f>
        <v>14.8</v>
      </c>
      <c r="P411" s="7">
        <f ca="1">IFERROR(__xludf.DUMMYFUNCTION("GOOGLEFINANCE(""NSE:""&amp;D411,""EPS"")"),16.76)</f>
        <v>16.760000000000002</v>
      </c>
      <c r="Q411" s="7">
        <v>13.5</v>
      </c>
      <c r="R411" s="7" t="str">
        <f ca="1">IFERROR(__xludf.DUMMYFUNCTION("IMPORTXML(E411,""/html/body/main/div[3]/div[3]/div[2]/ul/li[7]/span[2]/span"")"),"Loading...")</f>
        <v>Loading...</v>
      </c>
      <c r="S411" s="7" t="str">
        <f ca="1">IFERROR(__xludf.DUMMYFUNCTION("IMPORTXML(E411,""/html/body/main/div[3]/div[3]/div[2]/ul/li[8]/span[2]/span"")"),"Loading...")</f>
        <v>Loading...</v>
      </c>
      <c r="T411" s="4">
        <v>34.6</v>
      </c>
      <c r="U411" s="4">
        <v>22.7</v>
      </c>
      <c r="V411" s="4">
        <v>2.6</v>
      </c>
      <c r="W411" s="4">
        <v>5.7</v>
      </c>
      <c r="X411" s="4">
        <v>519.92999999999995</v>
      </c>
      <c r="Y411" s="7">
        <f t="shared" ca="1" si="9"/>
        <v>-271.92999999999995</v>
      </c>
    </row>
    <row r="412" spans="1:25" ht="15" x14ac:dyDescent="0.25">
      <c r="A412" s="4">
        <v>1481</v>
      </c>
      <c r="C412" s="12" t="s">
        <v>1367</v>
      </c>
      <c r="D412" s="12" t="s">
        <v>1368</v>
      </c>
      <c r="E412" s="5" t="str">
        <f t="shared" si="5"/>
        <v>https://www.screener.in/company/PTL/consolidated/</v>
      </c>
      <c r="F412" s="4">
        <v>443059</v>
      </c>
      <c r="G412" s="4">
        <v>3832241897</v>
      </c>
      <c r="H412" s="6">
        <f t="shared" ca="1" si="6"/>
        <v>15325.135346102999</v>
      </c>
      <c r="I412" s="7" t="str">
        <f ca="1">IFERROR(__xludf.DUMMYFUNCTION("IMPORTXML(E412,""/html/body/main/div[3]/div[3]/div[2]/ul/li[5]/span[2]/span"")"),"Loading...")</f>
        <v>Loading...</v>
      </c>
      <c r="J412" s="7">
        <f ca="1">IFERROR(__xludf.DUMMYFUNCTION("GOOGLEFINANCE(""NSE:""&amp;D412,""marketcap"")"),5293756452)</f>
        <v>5293756452</v>
      </c>
      <c r="K412" s="7">
        <v>992.8</v>
      </c>
      <c r="L412" s="8">
        <f ca="1">IFERROR(__xludf.DUMMYFUNCTION("GOOGLEFINANCE(""NSE:""&amp;D412,""price"")"),39.99)</f>
        <v>39.99</v>
      </c>
      <c r="M412" s="9">
        <f t="shared" ca="1" si="7"/>
        <v>-952.81</v>
      </c>
      <c r="N412" s="10">
        <f t="shared" ca="1" si="8"/>
        <v>-95.971998388396457</v>
      </c>
      <c r="O412" s="7">
        <f ca="1">IFERROR(__xludf.DUMMYFUNCTION("GOOGLEFINANCE(""NSE:""&amp;D412,""pe"")"),13.15)</f>
        <v>13.15</v>
      </c>
      <c r="P412" s="7">
        <f ca="1">IFERROR(__xludf.DUMMYFUNCTION("GOOGLEFINANCE(""NSE:""&amp;D412,""EPS"")"),3.04)</f>
        <v>3.04</v>
      </c>
      <c r="Q412" s="7">
        <v>13.5</v>
      </c>
      <c r="R412" s="7" t="str">
        <f ca="1">IFERROR(__xludf.DUMMYFUNCTION("IMPORTXML(E412,""/html/body/main/div[3]/div[3]/div[2]/ul/li[7]/span[2]/span"")"),"Loading...")</f>
        <v>Loading...</v>
      </c>
      <c r="S412" s="7" t="str">
        <f ca="1">IFERROR(__xludf.DUMMYFUNCTION("IMPORTXML(E412,""/html/body/main/div[3]/div[3]/div[2]/ul/li[8]/span[2]/span"")"),"Loading...")</f>
        <v>Loading...</v>
      </c>
      <c r="T412" s="4">
        <v>34.6</v>
      </c>
      <c r="U412" s="4">
        <v>22.7</v>
      </c>
      <c r="V412" s="4">
        <v>2.6</v>
      </c>
      <c r="W412" s="4">
        <v>5.7</v>
      </c>
      <c r="X412" s="4">
        <v>519.92999999999995</v>
      </c>
      <c r="Y412" s="7">
        <f t="shared" ca="1" si="9"/>
        <v>-479.93999999999994</v>
      </c>
    </row>
    <row r="413" spans="1:25" ht="15" x14ac:dyDescent="0.25">
      <c r="A413" s="4">
        <v>967</v>
      </c>
      <c r="C413" s="12" t="s">
        <v>1369</v>
      </c>
      <c r="D413" s="12" t="s">
        <v>1370</v>
      </c>
      <c r="E413" s="5" t="str">
        <f t="shared" si="5"/>
        <v>https://www.screener.in/company/BHARATWIRE/consolidated/</v>
      </c>
      <c r="F413" s="4">
        <v>443059</v>
      </c>
      <c r="G413" s="4">
        <v>3832241897</v>
      </c>
      <c r="H413" s="6">
        <f t="shared" ca="1" si="6"/>
        <v>66106.172723249998</v>
      </c>
      <c r="I413" s="7" t="str">
        <f ca="1">IFERROR(__xludf.DUMMYFUNCTION("IMPORTXML(E413,""/html/body/main/div[3]/div[3]/div[2]/ul/li[5]/span[2]/span"")"),"Loading...")</f>
        <v>Loading...</v>
      </c>
      <c r="J413" s="7">
        <f ca="1">IFERROR(__xludf.DUMMYFUNCTION("GOOGLEFINANCE(""NSE:""&amp;D413,""marketcap"")"),11830852125)</f>
        <v>11830852125</v>
      </c>
      <c r="K413" s="7">
        <v>992.8</v>
      </c>
      <c r="L413" s="8">
        <f ca="1">IFERROR(__xludf.DUMMYFUNCTION("GOOGLEFINANCE(""NSE:""&amp;D413,""price"")"),172.5)</f>
        <v>172.5</v>
      </c>
      <c r="M413" s="9">
        <f t="shared" ca="1" si="7"/>
        <v>-820.3</v>
      </c>
      <c r="N413" s="10">
        <f t="shared" ca="1" si="8"/>
        <v>-82.624899274778414</v>
      </c>
      <c r="O413" s="7">
        <f ca="1">IFERROR(__xludf.DUMMYFUNCTION("GOOGLEFINANCE(""NSE:""&amp;D413,""pe"")"),16.83)</f>
        <v>16.829999999999998</v>
      </c>
      <c r="P413" s="7">
        <f ca="1">IFERROR(__xludf.DUMMYFUNCTION("GOOGLEFINANCE(""NSE:""&amp;D413,""EPS"")"),10.25)</f>
        <v>10.25</v>
      </c>
      <c r="Q413" s="7">
        <v>13.5</v>
      </c>
      <c r="R413" s="7" t="str">
        <f ca="1">IFERROR(__xludf.DUMMYFUNCTION("IMPORTXML(E413,""/html/body/main/div[3]/div[3]/div[2]/ul/li[7]/span[2]/span"")"),"Loading...")</f>
        <v>Loading...</v>
      </c>
      <c r="S413" s="7" t="str">
        <f ca="1">IFERROR(__xludf.DUMMYFUNCTION("IMPORTXML(E413,""/html/body/main/div[3]/div[3]/div[2]/ul/li[8]/span[2]/span"")"),"Loading...")</f>
        <v>Loading...</v>
      </c>
      <c r="T413" s="4">
        <v>34.6</v>
      </c>
      <c r="U413" s="4">
        <v>22.7</v>
      </c>
      <c r="V413" s="4">
        <v>2.6</v>
      </c>
      <c r="W413" s="4">
        <v>5.7</v>
      </c>
      <c r="X413" s="4">
        <v>519.92999999999995</v>
      </c>
      <c r="Y413" s="7">
        <f t="shared" ca="1" si="9"/>
        <v>-347.42999999999995</v>
      </c>
    </row>
    <row r="414" spans="1:25" ht="15" x14ac:dyDescent="0.25">
      <c r="A414" s="4">
        <v>731</v>
      </c>
      <c r="C414" s="12" t="s">
        <v>1371</v>
      </c>
      <c r="D414" s="12" t="s">
        <v>1372</v>
      </c>
      <c r="E414" s="5" t="str">
        <f t="shared" si="5"/>
        <v>https://www.screener.in/company/ARKADE/consolidated/</v>
      </c>
      <c r="F414" s="4">
        <v>443059</v>
      </c>
      <c r="G414" s="4">
        <v>3832241897</v>
      </c>
      <c r="H414" s="6">
        <f t="shared" ca="1" si="6"/>
        <v>69171.966240850001</v>
      </c>
      <c r="I414" s="7" t="str">
        <f ca="1">IFERROR(__xludf.DUMMYFUNCTION("IMPORTXML(E414,""/html/body/main/div[3]/div[3]/div[2]/ul/li[5]/span[2]/span"")"),"Loading...")</f>
        <v>Loading...</v>
      </c>
      <c r="J414" s="7">
        <f ca="1">IFERROR(__xludf.DUMMYFUNCTION("GOOGLEFINANCE(""NSE:""&amp;D414,""marketcap"")"),33384126333)</f>
        <v>33384126333</v>
      </c>
      <c r="K414" s="7">
        <v>992.8</v>
      </c>
      <c r="L414" s="8">
        <f ca="1">IFERROR(__xludf.DUMMYFUNCTION("GOOGLEFINANCE(""NSE:""&amp;D414,""price"")"),180.5)</f>
        <v>180.5</v>
      </c>
      <c r="M414" s="9">
        <f t="shared" ca="1" si="7"/>
        <v>-812.3</v>
      </c>
      <c r="N414" s="10">
        <f t="shared" ca="1" si="8"/>
        <v>-81.8190975020145</v>
      </c>
      <c r="O414" s="7">
        <f ca="1">IFERROR(__xludf.DUMMYFUNCTION("GOOGLEFINANCE(""NSE:""&amp;D414,""pe"")"),19.61)</f>
        <v>19.61</v>
      </c>
      <c r="P414" s="7">
        <f ca="1">IFERROR(__xludf.DUMMYFUNCTION("GOOGLEFINANCE(""NSE:""&amp;D414,""EPS"")"),9.2)</f>
        <v>9.1999999999999993</v>
      </c>
      <c r="Q414" s="7">
        <v>13.5</v>
      </c>
      <c r="R414" s="7" t="str">
        <f ca="1">IFERROR(__xludf.DUMMYFUNCTION("IMPORTXML(E414,""/html/body/main/div[3]/div[3]/div[2]/ul/li[7]/span[2]/span"")"),"Loading...")</f>
        <v>Loading...</v>
      </c>
      <c r="S414" s="7" t="str">
        <f ca="1">IFERROR(__xludf.DUMMYFUNCTION("IMPORTXML(E414,""/html/body/main/div[3]/div[3]/div[2]/ul/li[8]/span[2]/span"")"),"Loading...")</f>
        <v>Loading...</v>
      </c>
      <c r="T414" s="4">
        <v>34.6</v>
      </c>
      <c r="U414" s="4">
        <v>22.7</v>
      </c>
      <c r="V414" s="4">
        <v>2.6</v>
      </c>
      <c r="W414" s="4">
        <v>5.7</v>
      </c>
      <c r="X414" s="4">
        <v>519.92999999999995</v>
      </c>
      <c r="Y414" s="7">
        <f t="shared" ca="1" si="9"/>
        <v>-339.42999999999995</v>
      </c>
    </row>
    <row r="415" spans="1:25" ht="15" x14ac:dyDescent="0.25">
      <c r="A415" s="4">
        <v>879</v>
      </c>
      <c r="C415" s="12" t="s">
        <v>1373</v>
      </c>
      <c r="D415" s="12" t="s">
        <v>1374</v>
      </c>
      <c r="E415" s="5" t="str">
        <f t="shared" si="5"/>
        <v>https://www.screener.in/company/UNIPARTS/consolidated/</v>
      </c>
      <c r="F415" s="4">
        <v>443059</v>
      </c>
      <c r="G415" s="4">
        <v>3832241897</v>
      </c>
      <c r="H415" s="6">
        <f t="shared" ca="1" si="6"/>
        <v>157562.62559515497</v>
      </c>
      <c r="I415" s="7" t="str">
        <f ca="1">IFERROR(__xludf.DUMMYFUNCTION("IMPORTXML(E415,""/html/body/main/div[3]/div[3]/div[2]/ul/li[5]/span[2]/span"")"),"Loading...")</f>
        <v>Loading...</v>
      </c>
      <c r="J415" s="7">
        <f ca="1">IFERROR(__xludf.DUMMYFUNCTION("GOOGLEFINANCE(""NSE:""&amp;D415,""marketcap"")"),18534016776)</f>
        <v>18534016776</v>
      </c>
      <c r="K415" s="7">
        <v>992.8</v>
      </c>
      <c r="L415" s="8">
        <f ca="1">IFERROR(__xludf.DUMMYFUNCTION("GOOGLEFINANCE(""NSE:""&amp;D415,""price"")"),411.15)</f>
        <v>411.15</v>
      </c>
      <c r="M415" s="9">
        <f t="shared" ca="1" si="7"/>
        <v>-581.65</v>
      </c>
      <c r="N415" s="10">
        <f t="shared" ca="1" si="8"/>
        <v>-58.586825141015311</v>
      </c>
      <c r="O415" s="7">
        <f ca="1">IFERROR(__xludf.DUMMYFUNCTION("GOOGLEFINANCE(""NSE:""&amp;D415,""pe"")"),19.02)</f>
        <v>19.02</v>
      </c>
      <c r="P415" s="7">
        <f ca="1">IFERROR(__xludf.DUMMYFUNCTION("GOOGLEFINANCE(""NSE:""&amp;D415,""EPS"")"),21.62)</f>
        <v>21.62</v>
      </c>
      <c r="Q415" s="7">
        <v>13.5</v>
      </c>
      <c r="R415" s="7" t="str">
        <f ca="1">IFERROR(__xludf.DUMMYFUNCTION("IMPORTXML(E415,""/html/body/main/div[3]/div[3]/div[2]/ul/li[7]/span[2]/span"")"),"Loading...")</f>
        <v>Loading...</v>
      </c>
      <c r="S415" s="7" t="str">
        <f ca="1">IFERROR(__xludf.DUMMYFUNCTION("IMPORTXML(E415,""/html/body/main/div[3]/div[3]/div[2]/ul/li[8]/span[2]/span"")"),"Loading...")</f>
        <v>Loading...</v>
      </c>
      <c r="T415" s="4">
        <v>34.6</v>
      </c>
      <c r="U415" s="4">
        <v>22.7</v>
      </c>
      <c r="V415" s="4">
        <v>2.6</v>
      </c>
      <c r="W415" s="4">
        <v>5.7</v>
      </c>
      <c r="X415" s="4">
        <v>519.92999999999995</v>
      </c>
      <c r="Y415" s="7">
        <f t="shared" ca="1" si="9"/>
        <v>-108.77999999999997</v>
      </c>
    </row>
    <row r="416" spans="1:25" ht="15" x14ac:dyDescent="0.25">
      <c r="A416" s="4">
        <v>361</v>
      </c>
      <c r="C416" s="12" t="s">
        <v>1375</v>
      </c>
      <c r="D416" s="12" t="s">
        <v>1376</v>
      </c>
      <c r="E416" s="5" t="str">
        <f t="shared" si="5"/>
        <v>https://www.screener.in/company/GANESHHOUC/consolidated/</v>
      </c>
      <c r="F416" s="4">
        <v>443059</v>
      </c>
      <c r="G416" s="4">
        <v>3832241897</v>
      </c>
      <c r="H416" s="6">
        <f t="shared" ca="1" si="6"/>
        <v>331144.02231977001</v>
      </c>
      <c r="I416" s="7" t="str">
        <f ca="1">IFERROR(__xludf.DUMMYFUNCTION("IMPORTXML(E416,""/html/body/main/div[3]/div[3]/div[2]/ul/li[5]/span[2]/span"")"),"Loading...")</f>
        <v>Loading...</v>
      </c>
      <c r="J416" s="7">
        <f ca="1">IFERROR(__xludf.DUMMYFUNCTION("GOOGLEFINANCE(""NSE:""&amp;D416,""marketcap"")"),71817130000)</f>
        <v>71817130000</v>
      </c>
      <c r="K416" s="7">
        <v>992.8</v>
      </c>
      <c r="L416" s="8">
        <f ca="1">IFERROR(__xludf.DUMMYFUNCTION("GOOGLEFINANCE(""NSE:""&amp;D416,""price"")"),864.1)</f>
        <v>864.1</v>
      </c>
      <c r="M416" s="9">
        <f t="shared" ca="1" si="7"/>
        <v>-128.69999999999993</v>
      </c>
      <c r="N416" s="10">
        <f t="shared" ca="1" si="8"/>
        <v>-12.963336019339236</v>
      </c>
      <c r="O416" s="7">
        <f ca="1">IFERROR(__xludf.DUMMYFUNCTION("GOOGLEFINANCE(""NSE:""&amp;D416,""pe"")"),12.48)</f>
        <v>12.48</v>
      </c>
      <c r="P416" s="7">
        <f ca="1">IFERROR(__xludf.DUMMYFUNCTION("GOOGLEFINANCE(""NSE:""&amp;D416,""EPS"")"),69.23)</f>
        <v>69.23</v>
      </c>
      <c r="Q416" s="7">
        <v>13.5</v>
      </c>
      <c r="R416" s="7" t="str">
        <f ca="1">IFERROR(__xludf.DUMMYFUNCTION("IMPORTXML(E416,""/html/body/main/div[3]/div[3]/div[2]/ul/li[7]/span[2]/span"")"),"Loading...")</f>
        <v>Loading...</v>
      </c>
      <c r="S416" s="7" t="str">
        <f ca="1">IFERROR(__xludf.DUMMYFUNCTION("IMPORTXML(E416,""/html/body/main/div[3]/div[3]/div[2]/ul/li[8]/span[2]/span"")"),"Loading...")</f>
        <v>Loading...</v>
      </c>
      <c r="T416" s="4">
        <v>34.6</v>
      </c>
      <c r="U416" s="4">
        <v>22.7</v>
      </c>
      <c r="V416" s="4">
        <v>2.6</v>
      </c>
      <c r="W416" s="4">
        <v>5.7</v>
      </c>
      <c r="X416" s="4">
        <v>519.92999999999995</v>
      </c>
      <c r="Y416" s="7">
        <f t="shared" ca="1" si="9"/>
        <v>344.17000000000007</v>
      </c>
    </row>
    <row r="417" spans="1:25" ht="15" x14ac:dyDescent="0.25">
      <c r="A417" s="4">
        <v>796</v>
      </c>
      <c r="C417" s="12" t="s">
        <v>1377</v>
      </c>
      <c r="D417" s="12" t="s">
        <v>1378</v>
      </c>
      <c r="E417" s="5" t="str">
        <f t="shared" si="5"/>
        <v>https://www.screener.in/company/MANINDS/consolidated/</v>
      </c>
      <c r="F417" s="4">
        <v>443059</v>
      </c>
      <c r="G417" s="4">
        <v>3832241897</v>
      </c>
      <c r="H417" s="6">
        <f t="shared" ca="1" si="6"/>
        <v>162142.15466207001</v>
      </c>
      <c r="I417" s="7" t="str">
        <f ca="1">IFERROR(__xludf.DUMMYFUNCTION("IMPORTXML(E417,""/html/body/main/div[3]/div[3]/div[2]/ul/li[5]/span[2]/span"")"),"Loading...")</f>
        <v>Loading...</v>
      </c>
      <c r="J417" s="7">
        <f ca="1">IFERROR(__xludf.DUMMYFUNCTION("GOOGLEFINANCE(""NSE:""&amp;D417,""marketcap"")"),31709632082)</f>
        <v>31709632082</v>
      </c>
      <c r="K417" s="7">
        <v>992.8</v>
      </c>
      <c r="L417" s="8">
        <f ca="1">IFERROR(__xludf.DUMMYFUNCTION("GOOGLEFINANCE(""NSE:""&amp;D417,""price"")"),423.1)</f>
        <v>423.1</v>
      </c>
      <c r="M417" s="9">
        <f t="shared" ca="1" si="7"/>
        <v>-569.69999999999993</v>
      </c>
      <c r="N417" s="10">
        <f t="shared" ca="1" si="8"/>
        <v>-57.383158742949227</v>
      </c>
      <c r="O417" s="7">
        <f ca="1">IFERROR(__xludf.DUMMYFUNCTION("GOOGLEFINANCE(""NSE:""&amp;D417,""pe"")"),18.52)</f>
        <v>18.52</v>
      </c>
      <c r="P417" s="7">
        <f ca="1">IFERROR(__xludf.DUMMYFUNCTION("GOOGLEFINANCE(""NSE:""&amp;D417,""EPS"")"),22.85)</f>
        <v>22.85</v>
      </c>
      <c r="Q417" s="7">
        <v>13.5</v>
      </c>
      <c r="R417" s="7" t="str">
        <f ca="1">IFERROR(__xludf.DUMMYFUNCTION("IMPORTXML(E417,""/html/body/main/div[3]/div[3]/div[2]/ul/li[7]/span[2]/span"")"),"Loading...")</f>
        <v>Loading...</v>
      </c>
      <c r="S417" s="7" t="str">
        <f ca="1">IFERROR(__xludf.DUMMYFUNCTION("IMPORTXML(E417,""/html/body/main/div[3]/div[3]/div[2]/ul/li[8]/span[2]/span"")"),"Loading...")</f>
        <v>Loading...</v>
      </c>
      <c r="T417" s="4">
        <v>34.6</v>
      </c>
      <c r="U417" s="4">
        <v>22.7</v>
      </c>
      <c r="V417" s="4">
        <v>2.6</v>
      </c>
      <c r="W417" s="4">
        <v>5.7</v>
      </c>
      <c r="X417" s="4">
        <v>519.92999999999995</v>
      </c>
      <c r="Y417" s="7">
        <f t="shared" ca="1" si="9"/>
        <v>-96.829999999999927</v>
      </c>
    </row>
    <row r="418" spans="1:25" ht="15" x14ac:dyDescent="0.25">
      <c r="A418" s="4">
        <v>207</v>
      </c>
      <c r="C418" s="12" t="s">
        <v>1379</v>
      </c>
      <c r="D418" s="12" t="s">
        <v>1380</v>
      </c>
      <c r="E418" s="5" t="str">
        <f t="shared" si="5"/>
        <v>https://www.screener.in/company/DEEPAKFERT/consolidated/</v>
      </c>
      <c r="F418" s="4">
        <v>443059</v>
      </c>
      <c r="G418" s="4">
        <v>3832241897</v>
      </c>
      <c r="H418" s="6">
        <f t="shared" ca="1" si="6"/>
        <v>537471.92605424998</v>
      </c>
      <c r="I418" s="7" t="str">
        <f ca="1">IFERROR(__xludf.DUMMYFUNCTION("IMPORTXML(E418,""/html/body/main/div[3]/div[3]/div[2]/ul/li[5]/span[2]/span"")"),"Loading...")</f>
        <v>Loading...</v>
      </c>
      <c r="J418" s="7">
        <f ca="1">IFERROR(__xludf.DUMMYFUNCTION("GOOGLEFINANCE(""NSE:""&amp;D418,""marketcap"")"),177476831828)</f>
        <v>177476831828</v>
      </c>
      <c r="K418" s="7">
        <v>992.8</v>
      </c>
      <c r="L418" s="8">
        <f ca="1">IFERROR(__xludf.DUMMYFUNCTION("GOOGLEFINANCE(""NSE:""&amp;D418,""price"")"),1402.5)</f>
        <v>1402.5</v>
      </c>
      <c r="M418" s="9">
        <f t="shared" ca="1" si="7"/>
        <v>409.70000000000005</v>
      </c>
      <c r="N418" s="10">
        <f t="shared" ca="1" si="8"/>
        <v>41.267123287671239</v>
      </c>
      <c r="O418" s="7">
        <f ca="1">IFERROR(__xludf.DUMMYFUNCTION("GOOGLEFINANCE(""NSE:""&amp;D418,""pe"")"),18.05)</f>
        <v>18.05</v>
      </c>
      <c r="P418" s="7">
        <f ca="1">IFERROR(__xludf.DUMMYFUNCTION("GOOGLEFINANCE(""NSE:""&amp;D418,""EPS"")"),77.72)</f>
        <v>77.72</v>
      </c>
      <c r="Q418" s="7">
        <v>13.5</v>
      </c>
      <c r="R418" s="7" t="str">
        <f ca="1">IFERROR(__xludf.DUMMYFUNCTION("IMPORTXML(E418,""/html/body/main/div[3]/div[3]/div[2]/ul/li[7]/span[2]/span"")"),"Loading...")</f>
        <v>Loading...</v>
      </c>
      <c r="S418" s="7" t="str">
        <f ca="1">IFERROR(__xludf.DUMMYFUNCTION("IMPORTXML(E418,""/html/body/main/div[3]/div[3]/div[2]/ul/li[8]/span[2]/span"")"),"Loading...")</f>
        <v>Loading...</v>
      </c>
      <c r="T418" s="4">
        <v>34.6</v>
      </c>
      <c r="U418" s="4">
        <v>22.7</v>
      </c>
      <c r="V418" s="4">
        <v>2.6</v>
      </c>
      <c r="W418" s="4">
        <v>5.7</v>
      </c>
      <c r="X418" s="4">
        <v>519.92999999999995</v>
      </c>
      <c r="Y418" s="7">
        <f t="shared" ca="1" si="9"/>
        <v>882.57</v>
      </c>
    </row>
    <row r="419" spans="1:25" ht="15" x14ac:dyDescent="0.25">
      <c r="A419" s="4">
        <v>1407</v>
      </c>
      <c r="C419" s="12" t="s">
        <v>1381</v>
      </c>
      <c r="D419" s="12" t="s">
        <v>1382</v>
      </c>
      <c r="E419" s="5" t="str">
        <f t="shared" si="5"/>
        <v>https://www.screener.in/company/CYBERTECH/consolidated/</v>
      </c>
      <c r="F419" s="4">
        <v>443059</v>
      </c>
      <c r="G419" s="4">
        <v>3832241897</v>
      </c>
      <c r="H419" s="6">
        <f t="shared" ca="1" si="6"/>
        <v>59706.328755260009</v>
      </c>
      <c r="I419" s="7" t="str">
        <f ca="1">IFERROR(__xludf.DUMMYFUNCTION("IMPORTXML(E419,""/html/body/main/div[3]/div[3]/div[2]/ul/li[5]/span[2]/span"")"),"Loading...")</f>
        <v>Loading...</v>
      </c>
      <c r="J419" s="7">
        <f ca="1">IFERROR(__xludf.DUMMYFUNCTION("GOOGLEFINANCE(""NSE:""&amp;D419,""marketcap"")"),4806237723)</f>
        <v>4806237723</v>
      </c>
      <c r="K419" s="7">
        <v>992.8</v>
      </c>
      <c r="L419" s="8">
        <f ca="1">IFERROR(__xludf.DUMMYFUNCTION("GOOGLEFINANCE(""NSE:""&amp;D419,""price"")"),155.8)</f>
        <v>155.80000000000001</v>
      </c>
      <c r="M419" s="9">
        <f t="shared" ca="1" si="7"/>
        <v>-837</v>
      </c>
      <c r="N419" s="10">
        <f t="shared" ca="1" si="8"/>
        <v>-84.307010475423056</v>
      </c>
      <c r="O419" s="7">
        <f ca="1">IFERROR(__xludf.DUMMYFUNCTION("GOOGLEFINANCE(""NSE:""&amp;D419,""pe"")"),13.58)</f>
        <v>13.58</v>
      </c>
      <c r="P419" s="7">
        <f ca="1">IFERROR(__xludf.DUMMYFUNCTION("GOOGLEFINANCE(""NSE:""&amp;D419,""EPS"")"),11.47)</f>
        <v>11.47</v>
      </c>
      <c r="Q419" s="7">
        <v>13.5</v>
      </c>
      <c r="R419" s="7" t="str">
        <f ca="1">IFERROR(__xludf.DUMMYFUNCTION("IMPORTXML(E419,""/html/body/main/div[3]/div[3]/div[2]/ul/li[7]/span[2]/span"")"),"Loading...")</f>
        <v>Loading...</v>
      </c>
      <c r="S419" s="7" t="str">
        <f ca="1">IFERROR(__xludf.DUMMYFUNCTION("IMPORTXML(E419,""/html/body/main/div[3]/div[3]/div[2]/ul/li[8]/span[2]/span"")"),"Loading...")</f>
        <v>Loading...</v>
      </c>
      <c r="T419" s="4">
        <v>34.6</v>
      </c>
      <c r="U419" s="4">
        <v>22.7</v>
      </c>
      <c r="V419" s="4">
        <v>2.6</v>
      </c>
      <c r="W419" s="4">
        <v>5.7</v>
      </c>
      <c r="X419" s="4">
        <v>519.92999999999995</v>
      </c>
      <c r="Y419" s="7">
        <f t="shared" ca="1" si="9"/>
        <v>-364.12999999999994</v>
      </c>
    </row>
    <row r="420" spans="1:25" ht="15" x14ac:dyDescent="0.25">
      <c r="A420" s="4">
        <v>542</v>
      </c>
      <c r="C420" s="12" t="s">
        <v>1383</v>
      </c>
      <c r="D420" s="12" t="s">
        <v>1384</v>
      </c>
      <c r="E420" s="5" t="str">
        <f t="shared" si="5"/>
        <v>https://www.screener.in/company/JAMNAAUTO/consolidated/</v>
      </c>
      <c r="F420" s="4">
        <v>443059</v>
      </c>
      <c r="G420" s="4">
        <v>3832241897</v>
      </c>
      <c r="H420" s="6">
        <f t="shared" ca="1" si="6"/>
        <v>41238.755053616995</v>
      </c>
      <c r="I420" s="7" t="str">
        <f ca="1">IFERROR(__xludf.DUMMYFUNCTION("IMPORTXML(E420,""/html/body/main/div[3]/div[3]/div[2]/ul/li[5]/span[2]/span"")"),"Loading...")</f>
        <v>Loading...</v>
      </c>
      <c r="J420" s="7">
        <f ca="1">IFERROR(__xludf.DUMMYFUNCTION("GOOGLEFINANCE(""NSE:""&amp;D420,""marketcap"")"),42893552177)</f>
        <v>42893552177</v>
      </c>
      <c r="K420" s="7">
        <v>992.8</v>
      </c>
      <c r="L420" s="8">
        <f ca="1">IFERROR(__xludf.DUMMYFUNCTION("GOOGLEFINANCE(""NSE:""&amp;D420,""price"")"),107.61)</f>
        <v>107.61</v>
      </c>
      <c r="M420" s="9">
        <f t="shared" ca="1" si="7"/>
        <v>-885.18999999999994</v>
      </c>
      <c r="N420" s="10">
        <f t="shared" ca="1" si="8"/>
        <v>-89.160958904109592</v>
      </c>
      <c r="O420" s="7">
        <f ca="1">IFERROR(__xludf.DUMMYFUNCTION("GOOGLEFINANCE(""NSE:""&amp;D420,""pe"")"),23.97)</f>
        <v>23.97</v>
      </c>
      <c r="P420" s="7">
        <f ca="1">IFERROR(__xludf.DUMMYFUNCTION("GOOGLEFINANCE(""NSE:""&amp;D420,""EPS"")"),4.49)</f>
        <v>4.49</v>
      </c>
      <c r="Q420" s="7">
        <v>13.5</v>
      </c>
      <c r="R420" s="7" t="str">
        <f ca="1">IFERROR(__xludf.DUMMYFUNCTION("IMPORTXML(E420,""/html/body/main/div[3]/div[3]/div[2]/ul/li[7]/span[2]/span"")"),"Loading...")</f>
        <v>Loading...</v>
      </c>
      <c r="S420" s="7" t="str">
        <f ca="1">IFERROR(__xludf.DUMMYFUNCTION("IMPORTXML(E420,""/html/body/main/div[3]/div[3]/div[2]/ul/li[8]/span[2]/span"")"),"Loading...")</f>
        <v>Loading...</v>
      </c>
      <c r="T420" s="4">
        <v>34.6</v>
      </c>
      <c r="U420" s="4">
        <v>22.7</v>
      </c>
      <c r="V420" s="4">
        <v>2.6</v>
      </c>
      <c r="W420" s="4">
        <v>5.7</v>
      </c>
      <c r="X420" s="4">
        <v>519.92999999999995</v>
      </c>
      <c r="Y420" s="7">
        <f t="shared" ca="1" si="9"/>
        <v>-412.31999999999994</v>
      </c>
    </row>
    <row r="421" spans="1:25" ht="15" x14ac:dyDescent="0.25">
      <c r="A421" s="4">
        <v>466</v>
      </c>
      <c r="C421" s="12" t="s">
        <v>1385</v>
      </c>
      <c r="D421" s="12" t="s">
        <v>1386</v>
      </c>
      <c r="E421" s="5" t="str">
        <f t="shared" si="5"/>
        <v>https://www.screener.in/company/GAEL/consolidated/</v>
      </c>
      <c r="F421" s="4">
        <v>443059</v>
      </c>
      <c r="G421" s="4">
        <v>3832241897</v>
      </c>
      <c r="H421" s="6">
        <f t="shared" ca="1" si="6"/>
        <v>40437.816497143998</v>
      </c>
      <c r="I421" s="7" t="str">
        <f ca="1">IFERROR(__xludf.DUMMYFUNCTION("IMPORTXML(E421,""/html/body/main/div[3]/div[3]/div[2]/ul/li[5]/span[2]/span"")"),"Loading...")</f>
        <v>Loading...</v>
      </c>
      <c r="J421" s="7">
        <f ca="1">IFERROR(__xludf.DUMMYFUNCTION("GOOGLEFINANCE(""NSE:""&amp;D421,""marketcap"")"),48398920172)</f>
        <v>48398920172</v>
      </c>
      <c r="K421" s="7">
        <v>992.8</v>
      </c>
      <c r="L421" s="8">
        <f ca="1">IFERROR(__xludf.DUMMYFUNCTION("GOOGLEFINANCE(""NSE:""&amp;D421,""price"")"),105.52)</f>
        <v>105.52</v>
      </c>
      <c r="M421" s="9">
        <f t="shared" ca="1" si="7"/>
        <v>-887.28</v>
      </c>
      <c r="N421" s="10">
        <f t="shared" ca="1" si="8"/>
        <v>-89.371474617244161</v>
      </c>
      <c r="O421" s="7">
        <f ca="1">IFERROR(__xludf.DUMMYFUNCTION("GOOGLEFINANCE(""NSE:""&amp;D421,""pe"")"),20.35)</f>
        <v>20.350000000000001</v>
      </c>
      <c r="P421" s="7">
        <f ca="1">IFERROR(__xludf.DUMMYFUNCTION("GOOGLEFINANCE(""NSE:""&amp;D421,""EPS"")"),5.19)</f>
        <v>5.19</v>
      </c>
      <c r="Q421" s="7">
        <v>13.5</v>
      </c>
      <c r="R421" s="7" t="str">
        <f ca="1">IFERROR(__xludf.DUMMYFUNCTION("IMPORTXML(E421,""/html/body/main/div[3]/div[3]/div[2]/ul/li[7]/span[2]/span"")"),"Loading...")</f>
        <v>Loading...</v>
      </c>
      <c r="S421" s="7" t="str">
        <f ca="1">IFERROR(__xludf.DUMMYFUNCTION("IMPORTXML(E421,""/html/body/main/div[3]/div[3]/div[2]/ul/li[8]/span[2]/span"")"),"Loading...")</f>
        <v>Loading...</v>
      </c>
      <c r="T421" s="4">
        <v>34.6</v>
      </c>
      <c r="U421" s="4">
        <v>22.7</v>
      </c>
      <c r="V421" s="4">
        <v>2.6</v>
      </c>
      <c r="W421" s="4">
        <v>5.7</v>
      </c>
      <c r="X421" s="4">
        <v>519.92999999999995</v>
      </c>
      <c r="Y421" s="7">
        <f t="shared" ca="1" si="9"/>
        <v>-414.40999999999997</v>
      </c>
    </row>
    <row r="422" spans="1:25" ht="15" x14ac:dyDescent="0.25">
      <c r="A422" s="4">
        <v>1658</v>
      </c>
      <c r="C422" s="12" t="s">
        <v>1387</v>
      </c>
      <c r="D422" s="12" t="s">
        <v>1388</v>
      </c>
      <c r="E422" s="5" t="str">
        <f t="shared" si="5"/>
        <v>https://www.screener.in/company/LAL/consolidated/</v>
      </c>
      <c r="F422" s="4">
        <v>443059</v>
      </c>
      <c r="G422" s="4">
        <v>3832241897</v>
      </c>
      <c r="H422" s="6">
        <f t="shared" ca="1" si="6"/>
        <v>4081.3376203050002</v>
      </c>
      <c r="I422" s="7" t="str">
        <f ca="1">IFERROR(__xludf.DUMMYFUNCTION("IMPORTXML(E422,""/html/body/main/div[3]/div[3]/div[2]/ul/li[5]/span[2]/span"")"),"Loading...")</f>
        <v>Loading...</v>
      </c>
      <c r="J422" s="7">
        <f ca="1">IFERROR(__xludf.DUMMYFUNCTION("GOOGLEFINANCE(""NSE:""&amp;D422,""marketcap"")"),1839643659)</f>
        <v>1839643659</v>
      </c>
      <c r="K422" s="7">
        <v>992.8</v>
      </c>
      <c r="L422" s="8">
        <f ca="1">IFERROR(__xludf.DUMMYFUNCTION("GOOGLEFINANCE(""NSE:""&amp;D422,""price"")"),10.65)</f>
        <v>10.65</v>
      </c>
      <c r="M422" s="9">
        <f t="shared" ca="1" si="7"/>
        <v>-982.15</v>
      </c>
      <c r="N422" s="10">
        <f t="shared" ca="1" si="8"/>
        <v>-98.927276390008061</v>
      </c>
      <c r="O422" s="7">
        <f ca="1">IFERROR(__xludf.DUMMYFUNCTION("GOOGLEFINANCE(""NSE:""&amp;D422,""pe"")"),37.6)</f>
        <v>37.6</v>
      </c>
      <c r="P422" s="7">
        <f ca="1">IFERROR(__xludf.DUMMYFUNCTION("GOOGLEFINANCE(""NSE:""&amp;D422,""EPS"")"),0.28)</f>
        <v>0.28000000000000003</v>
      </c>
      <c r="Q422" s="7">
        <v>13.5</v>
      </c>
      <c r="R422" s="7" t="str">
        <f ca="1">IFERROR(__xludf.DUMMYFUNCTION("IMPORTXML(E422,""/html/body/main/div[3]/div[3]/div[2]/ul/li[7]/span[2]/span"")"),"Loading...")</f>
        <v>Loading...</v>
      </c>
      <c r="S422" s="7" t="str">
        <f ca="1">IFERROR(__xludf.DUMMYFUNCTION("IMPORTXML(E422,""/html/body/main/div[3]/div[3]/div[2]/ul/li[8]/span[2]/span"")"),"Loading...")</f>
        <v>Loading...</v>
      </c>
      <c r="T422" s="4">
        <v>34.6</v>
      </c>
      <c r="U422" s="4">
        <v>22.7</v>
      </c>
      <c r="V422" s="4">
        <v>2.6</v>
      </c>
      <c r="W422" s="4">
        <v>5.7</v>
      </c>
      <c r="X422" s="4">
        <v>519.92999999999995</v>
      </c>
      <c r="Y422" s="7">
        <f t="shared" ca="1" si="9"/>
        <v>-509.28</v>
      </c>
    </row>
    <row r="423" spans="1:25" ht="15" x14ac:dyDescent="0.25">
      <c r="A423" s="4">
        <v>1119</v>
      </c>
      <c r="C423" s="12" t="s">
        <v>1389</v>
      </c>
      <c r="D423" s="12" t="s">
        <v>1390</v>
      </c>
      <c r="E423" s="5" t="str">
        <f t="shared" si="5"/>
        <v>https://www.screener.in/company/INDOAMIN/consolidated/</v>
      </c>
      <c r="F423" s="4">
        <v>443059</v>
      </c>
      <c r="G423" s="4">
        <v>3832241897</v>
      </c>
      <c r="H423" s="6">
        <f t="shared" ca="1" si="6"/>
        <v>55874.086858260009</v>
      </c>
      <c r="I423" s="7" t="str">
        <f ca="1">IFERROR(__xludf.DUMMYFUNCTION("IMPORTXML(E423,""/html/body/main/div[3]/div[3]/div[2]/ul/li[5]/span[2]/span"")"),"Loading...")</f>
        <v>Loading...</v>
      </c>
      <c r="J423" s="7">
        <f ca="1">IFERROR(__xludf.DUMMYFUNCTION("GOOGLEFINANCE(""NSE:""&amp;D423,""marketcap"")"),10583269385)</f>
        <v>10583269385</v>
      </c>
      <c r="K423" s="7">
        <v>992.8</v>
      </c>
      <c r="L423" s="8">
        <f ca="1">IFERROR(__xludf.DUMMYFUNCTION("GOOGLEFINANCE(""NSE:""&amp;D423,""price"")"),145.8)</f>
        <v>145.80000000000001</v>
      </c>
      <c r="M423" s="9">
        <f t="shared" ca="1" si="7"/>
        <v>-847</v>
      </c>
      <c r="N423" s="10">
        <f t="shared" ca="1" si="8"/>
        <v>-85.314262691377934</v>
      </c>
      <c r="O423" s="7">
        <f ca="1">IFERROR(__xludf.DUMMYFUNCTION("GOOGLEFINANCE(""NSE:""&amp;D423,""pe"")"),16.09)</f>
        <v>16.09</v>
      </c>
      <c r="P423" s="7">
        <f ca="1">IFERROR(__xludf.DUMMYFUNCTION("GOOGLEFINANCE(""NSE:""&amp;D423,""EPS"")"),9.06)</f>
        <v>9.06</v>
      </c>
      <c r="Q423" s="7">
        <v>13.5</v>
      </c>
      <c r="R423" s="7" t="str">
        <f ca="1">IFERROR(__xludf.DUMMYFUNCTION("IMPORTXML(E423,""/html/body/main/div[3]/div[3]/div[2]/ul/li[7]/span[2]/span"")"),"Loading...")</f>
        <v>Loading...</v>
      </c>
      <c r="S423" s="7" t="str">
        <f ca="1">IFERROR(__xludf.DUMMYFUNCTION("IMPORTXML(E423,""/html/body/main/div[3]/div[3]/div[2]/ul/li[8]/span[2]/span"")"),"Loading...")</f>
        <v>Loading...</v>
      </c>
      <c r="T423" s="4">
        <v>34.6</v>
      </c>
      <c r="U423" s="4">
        <v>22.7</v>
      </c>
      <c r="V423" s="4">
        <v>2.6</v>
      </c>
      <c r="W423" s="4">
        <v>5.7</v>
      </c>
      <c r="X423" s="4">
        <v>519.92999999999995</v>
      </c>
      <c r="Y423" s="7">
        <f t="shared" ca="1" si="9"/>
        <v>-374.12999999999994</v>
      </c>
    </row>
    <row r="424" spans="1:25" ht="15" x14ac:dyDescent="0.25">
      <c r="A424" s="4">
        <v>726</v>
      </c>
      <c r="C424" s="12" t="s">
        <v>1391</v>
      </c>
      <c r="D424" s="12" t="s">
        <v>1392</v>
      </c>
      <c r="E424" s="5" t="str">
        <f t="shared" si="5"/>
        <v>https://www.screener.in/company/AUTOAXLES/consolidated/</v>
      </c>
      <c r="F424" s="4">
        <v>443059</v>
      </c>
      <c r="G424" s="4">
        <v>3832241897</v>
      </c>
      <c r="H424" s="6">
        <f t="shared" ca="1" si="6"/>
        <v>657229.48533549998</v>
      </c>
      <c r="I424" s="7" t="str">
        <f ca="1">IFERROR(__xludf.DUMMYFUNCTION("IMPORTXML(E424,""/html/body/main/div[3]/div[3]/div[2]/ul/li[5]/span[2]/span"")"),"Loading...")</f>
        <v>Loading...</v>
      </c>
      <c r="J424" s="7">
        <f ca="1">IFERROR(__xludf.DUMMYFUNCTION("GOOGLEFINANCE(""NSE:""&amp;D424,""marketcap"")"),25982020000)</f>
        <v>25982020000</v>
      </c>
      <c r="K424" s="7">
        <v>992.8</v>
      </c>
      <c r="L424" s="8">
        <f ca="1">IFERROR(__xludf.DUMMYFUNCTION("GOOGLEFINANCE(""NSE:""&amp;D424,""price"")"),1715)</f>
        <v>1715</v>
      </c>
      <c r="M424" s="9">
        <f t="shared" ca="1" si="7"/>
        <v>722.2</v>
      </c>
      <c r="N424" s="10">
        <f t="shared" ca="1" si="8"/>
        <v>72.743755036261092</v>
      </c>
      <c r="O424" s="7">
        <f ca="1">IFERROR(__xludf.DUMMYFUNCTION("GOOGLEFINANCE(""NSE:""&amp;D424,""pe"")"),16.49)</f>
        <v>16.489999999999998</v>
      </c>
      <c r="P424" s="7">
        <f ca="1">IFERROR(__xludf.DUMMYFUNCTION("GOOGLEFINANCE(""NSE:""&amp;D424,""EPS"")"),104.03)</f>
        <v>104.03</v>
      </c>
      <c r="Q424" s="7">
        <v>13.5</v>
      </c>
      <c r="R424" s="7" t="str">
        <f ca="1">IFERROR(__xludf.DUMMYFUNCTION("IMPORTXML(E424,""/html/body/main/div[3]/div[3]/div[2]/ul/li[7]/span[2]/span"")"),"Loading...")</f>
        <v>Loading...</v>
      </c>
      <c r="S424" s="7" t="str">
        <f ca="1">IFERROR(__xludf.DUMMYFUNCTION("IMPORTXML(E424,""/html/body/main/div[3]/div[3]/div[2]/ul/li[8]/span[2]/span"")"),"Loading...")</f>
        <v>Loading...</v>
      </c>
      <c r="T424" s="4">
        <v>34.6</v>
      </c>
      <c r="U424" s="4">
        <v>22.7</v>
      </c>
      <c r="V424" s="4">
        <v>2.6</v>
      </c>
      <c r="W424" s="4">
        <v>5.7</v>
      </c>
      <c r="X424" s="4">
        <v>519.92999999999995</v>
      </c>
      <c r="Y424" s="7">
        <f t="shared" ca="1" si="9"/>
        <v>1195.0700000000002</v>
      </c>
    </row>
    <row r="425" spans="1:25" ht="15" x14ac:dyDescent="0.25">
      <c r="A425" s="4">
        <v>2572</v>
      </c>
      <c r="C425" s="12" t="s">
        <v>1393</v>
      </c>
      <c r="D425" s="12" t="s">
        <v>1394</v>
      </c>
      <c r="E425" s="5" t="str">
        <f t="shared" si="5"/>
        <v>https://www.screener.in/company/HOVS/consolidated/</v>
      </c>
      <c r="F425" s="4">
        <v>443059</v>
      </c>
      <c r="G425" s="4">
        <v>3832241897</v>
      </c>
      <c r="H425" s="6" t="e">
        <f t="shared" ca="1" si="6"/>
        <v>#VALUE!</v>
      </c>
      <c r="I425" s="7" t="str">
        <f ca="1">IFERROR(__xludf.DUMMYFUNCTION("IMPORTXML(E425,""/html/body/main/div[3]/div[3]/div[2]/ul/li[5]/span[2]/span"")"),"Loading...")</f>
        <v>Loading...</v>
      </c>
      <c r="J425" s="7" t="str">
        <f ca="1">IFERROR(__xludf.DUMMYFUNCTION("GOOGLEFINANCE(""NSE:""&amp;D425,""marketcap"")"),"#N/A")</f>
        <v>#N/A</v>
      </c>
      <c r="K425" s="7">
        <v>992.8</v>
      </c>
      <c r="L425" s="8" t="str">
        <f ca="1">IFERROR(__xludf.DUMMYFUNCTION("GOOGLEFINANCE(""NSE:""&amp;D425,""price"")"),"#N/A")</f>
        <v>#N/A</v>
      </c>
      <c r="M425" s="9" t="e">
        <f t="shared" ca="1" si="7"/>
        <v>#VALUE!</v>
      </c>
      <c r="N425" s="10" t="e">
        <f t="shared" ca="1" si="8"/>
        <v>#VALUE!</v>
      </c>
      <c r="O425" s="7" t="str">
        <f ca="1">IFERROR(__xludf.DUMMYFUNCTION("GOOGLEFINANCE(""NSE:""&amp;D425,""pe"")"),"#N/A")</f>
        <v>#N/A</v>
      </c>
      <c r="P425" s="7" t="str">
        <f ca="1">IFERROR(__xludf.DUMMYFUNCTION("GOOGLEFINANCE(""NSE:""&amp;D425,""EPS"")"),"#N/A")</f>
        <v>#N/A</v>
      </c>
      <c r="Q425" s="7">
        <v>13.5</v>
      </c>
      <c r="R425" s="7" t="str">
        <f ca="1">IFERROR(__xludf.DUMMYFUNCTION("IMPORTXML(E425,""/html/body/main/div[3]/div[3]/div[2]/ul/li[7]/span[2]/span"")"),"Loading...")</f>
        <v>Loading...</v>
      </c>
      <c r="S425" s="7" t="str">
        <f ca="1">IFERROR(__xludf.DUMMYFUNCTION("IMPORTXML(E425,""/html/body/main/div[3]/div[3]/div[2]/ul/li[8]/span[2]/span"")"),"Loading...")</f>
        <v>Loading...</v>
      </c>
      <c r="T425" s="4">
        <v>34.6</v>
      </c>
      <c r="U425" s="4">
        <v>22.7</v>
      </c>
      <c r="V425" s="4">
        <v>2.6</v>
      </c>
      <c r="W425" s="4">
        <v>5.7</v>
      </c>
      <c r="X425" s="4">
        <v>519.92999999999995</v>
      </c>
      <c r="Y425" s="7" t="e">
        <f t="shared" ca="1" si="9"/>
        <v>#VALUE!</v>
      </c>
    </row>
    <row r="426" spans="1:25" ht="15" x14ac:dyDescent="0.25">
      <c r="A426" s="4">
        <v>1254</v>
      </c>
      <c r="C426" s="12" t="s">
        <v>1395</v>
      </c>
      <c r="D426" s="12" t="s">
        <v>1396</v>
      </c>
      <c r="E426" s="5" t="str">
        <f t="shared" si="5"/>
        <v>https://www.screener.in/company/OSWALAGRO/consolidated/</v>
      </c>
      <c r="F426" s="4">
        <v>443059</v>
      </c>
      <c r="G426" s="4">
        <v>3832241897</v>
      </c>
      <c r="H426" s="6">
        <f t="shared" ca="1" si="6"/>
        <v>28745.646469397005</v>
      </c>
      <c r="I426" s="7" t="str">
        <f ca="1">IFERROR(__xludf.DUMMYFUNCTION("IMPORTXML(E426,""/html/body/main/div[3]/div[3]/div[2]/ul/li[5]/span[2]/span"")"),"Loading...")</f>
        <v>Loading...</v>
      </c>
      <c r="J426" s="7">
        <f ca="1">IFERROR(__xludf.DUMMYFUNCTION("GOOGLEFINANCE(""NSE:""&amp;D426,""marketcap"")"),10035390000)</f>
        <v>10035390000</v>
      </c>
      <c r="K426" s="7">
        <v>992.8</v>
      </c>
      <c r="L426" s="8">
        <f ca="1">IFERROR(__xludf.DUMMYFUNCTION("GOOGLEFINANCE(""NSE:""&amp;D426,""price"")"),75.01)</f>
        <v>75.010000000000005</v>
      </c>
      <c r="M426" s="9">
        <f t="shared" ca="1" si="7"/>
        <v>-917.79</v>
      </c>
      <c r="N426" s="10">
        <f t="shared" ca="1" si="8"/>
        <v>-92.444601128122486</v>
      </c>
      <c r="O426" s="7">
        <f ca="1">IFERROR(__xludf.DUMMYFUNCTION("GOOGLEFINANCE(""NSE:""&amp;D426,""pe"")"),7.96)</f>
        <v>7.96</v>
      </c>
      <c r="P426" s="7">
        <f ca="1">IFERROR(__xludf.DUMMYFUNCTION("GOOGLEFINANCE(""NSE:""&amp;D426,""EPS"")"),9.42)</f>
        <v>9.42</v>
      </c>
      <c r="Q426" s="7">
        <v>13.5</v>
      </c>
      <c r="R426" s="7" t="str">
        <f ca="1">IFERROR(__xludf.DUMMYFUNCTION("IMPORTXML(E426,""/html/body/main/div[3]/div[3]/div[2]/ul/li[7]/span[2]/span"")"),"Loading...")</f>
        <v>Loading...</v>
      </c>
      <c r="S426" s="7" t="str">
        <f ca="1">IFERROR(__xludf.DUMMYFUNCTION("IMPORTXML(E426,""/html/body/main/div[3]/div[3]/div[2]/ul/li[8]/span[2]/span"")"),"Loading...")</f>
        <v>Loading...</v>
      </c>
      <c r="T426" s="4">
        <v>34.6</v>
      </c>
      <c r="U426" s="4">
        <v>22.7</v>
      </c>
      <c r="V426" s="4">
        <v>2.6</v>
      </c>
      <c r="W426" s="4">
        <v>5.7</v>
      </c>
      <c r="X426" s="4">
        <v>519.92999999999995</v>
      </c>
      <c r="Y426" s="7">
        <f t="shared" ca="1" si="9"/>
        <v>-444.91999999999996</v>
      </c>
    </row>
    <row r="427" spans="1:25" ht="15" x14ac:dyDescent="0.25">
      <c r="A427" s="4">
        <v>749</v>
      </c>
      <c r="C427" s="12" t="s">
        <v>1397</v>
      </c>
      <c r="D427" s="12" t="s">
        <v>1398</v>
      </c>
      <c r="E427" s="5" t="str">
        <f t="shared" si="5"/>
        <v>https://www.screener.in/company/SIYSIL/consolidated/</v>
      </c>
      <c r="F427" s="4">
        <v>443059</v>
      </c>
      <c r="G427" s="4">
        <v>3832241897</v>
      </c>
      <c r="H427" s="6">
        <f t="shared" ca="1" si="6"/>
        <v>252736.35310715</v>
      </c>
      <c r="I427" s="7" t="str">
        <f ca="1">IFERROR(__xludf.DUMMYFUNCTION("IMPORTXML(E427,""/html/body/main/div[3]/div[3]/div[2]/ul/li[5]/span[2]/span"")"),"Loading...")</f>
        <v>Loading...</v>
      </c>
      <c r="J427" s="7">
        <f ca="1">IFERROR(__xludf.DUMMYFUNCTION("GOOGLEFINANCE(""NSE:""&amp;D427,""marketcap"")"),29921567760)</f>
        <v>29921567760</v>
      </c>
      <c r="K427" s="7">
        <v>992.8</v>
      </c>
      <c r="L427" s="8">
        <f ca="1">IFERROR(__xludf.DUMMYFUNCTION("GOOGLEFINANCE(""NSE:""&amp;D427,""price"")"),659.5)</f>
        <v>659.5</v>
      </c>
      <c r="M427" s="9">
        <f t="shared" ca="1" si="7"/>
        <v>-333.29999999999995</v>
      </c>
      <c r="N427" s="10">
        <f t="shared" ca="1" si="8"/>
        <v>-33.571716357775983</v>
      </c>
      <c r="O427" s="7">
        <f ca="1">IFERROR(__xludf.DUMMYFUNCTION("GOOGLEFINANCE(""NSE:""&amp;D427,""pe"")"),15.73)</f>
        <v>15.73</v>
      </c>
      <c r="P427" s="7">
        <f ca="1">IFERROR(__xludf.DUMMYFUNCTION("GOOGLEFINANCE(""NSE:""&amp;D427,""EPS"")"),41.93)</f>
        <v>41.93</v>
      </c>
      <c r="Q427" s="7">
        <v>13.5</v>
      </c>
      <c r="R427" s="7" t="str">
        <f ca="1">IFERROR(__xludf.DUMMYFUNCTION("IMPORTXML(E427,""/html/body/main/div[3]/div[3]/div[2]/ul/li[7]/span[2]/span"")"),"Loading...")</f>
        <v>Loading...</v>
      </c>
      <c r="S427" s="7" t="str">
        <f ca="1">IFERROR(__xludf.DUMMYFUNCTION("IMPORTXML(E427,""/html/body/main/div[3]/div[3]/div[2]/ul/li[8]/span[2]/span"")"),"Loading...")</f>
        <v>Loading...</v>
      </c>
      <c r="T427" s="4">
        <v>34.6</v>
      </c>
      <c r="U427" s="4">
        <v>22.7</v>
      </c>
      <c r="V427" s="4">
        <v>2.6</v>
      </c>
      <c r="W427" s="4">
        <v>5.7</v>
      </c>
      <c r="X427" s="4">
        <v>519.92999999999995</v>
      </c>
      <c r="Y427" s="7">
        <f t="shared" ca="1" si="9"/>
        <v>139.57000000000005</v>
      </c>
    </row>
    <row r="428" spans="1:25" ht="15" x14ac:dyDescent="0.25">
      <c r="A428" s="4">
        <v>1016</v>
      </c>
      <c r="C428" s="12" t="s">
        <v>1399</v>
      </c>
      <c r="D428" s="12" t="s">
        <v>1400</v>
      </c>
      <c r="E428" s="5" t="str">
        <f t="shared" si="5"/>
        <v>https://www.screener.in/company/TBZ/consolidated/</v>
      </c>
      <c r="F428" s="4">
        <v>443059</v>
      </c>
      <c r="G428" s="4">
        <v>3832241897</v>
      </c>
      <c r="H428" s="6">
        <f t="shared" ca="1" si="6"/>
        <v>70597.560226533999</v>
      </c>
      <c r="I428" s="7" t="str">
        <f ca="1">IFERROR(__xludf.DUMMYFUNCTION("IMPORTXML(E428,""/html/body/main/div[3]/div[3]/div[2]/ul/li[5]/span[2]/span"")"),"Loading...")</f>
        <v>Loading...</v>
      </c>
      <c r="J428" s="7">
        <f ca="1">IFERROR(__xludf.DUMMYFUNCTION("GOOGLEFINANCE(""NSE:""&amp;D428,""marketcap"")"),12247070000)</f>
        <v>12247070000</v>
      </c>
      <c r="K428" s="7">
        <v>992.8</v>
      </c>
      <c r="L428" s="8">
        <f ca="1">IFERROR(__xludf.DUMMYFUNCTION("GOOGLEFINANCE(""NSE:""&amp;D428,""price"")"),184.22)</f>
        <v>184.22</v>
      </c>
      <c r="M428" s="9">
        <f t="shared" ca="1" si="7"/>
        <v>-808.57999999999993</v>
      </c>
      <c r="N428" s="10">
        <f t="shared" ca="1" si="8"/>
        <v>-81.444399677679286</v>
      </c>
      <c r="O428" s="7">
        <f ca="1">IFERROR(__xludf.DUMMYFUNCTION("GOOGLEFINANCE(""NSE:""&amp;D428,""pe"")"),16.66)</f>
        <v>16.66</v>
      </c>
      <c r="P428" s="7">
        <f ca="1">IFERROR(__xludf.DUMMYFUNCTION("GOOGLEFINANCE(""NSE:""&amp;D428,""EPS"")"),11.06)</f>
        <v>11.06</v>
      </c>
      <c r="Q428" s="7">
        <v>13.5</v>
      </c>
      <c r="R428" s="7" t="str">
        <f ca="1">IFERROR(__xludf.DUMMYFUNCTION("IMPORTXML(E428,""/html/body/main/div[3]/div[3]/div[2]/ul/li[7]/span[2]/span"")"),"Loading...")</f>
        <v>Loading...</v>
      </c>
      <c r="S428" s="7" t="str">
        <f ca="1">IFERROR(__xludf.DUMMYFUNCTION("IMPORTXML(E428,""/html/body/main/div[3]/div[3]/div[2]/ul/li[8]/span[2]/span"")"),"Loading...")</f>
        <v>Loading...</v>
      </c>
      <c r="T428" s="4">
        <v>34.6</v>
      </c>
      <c r="U428" s="4">
        <v>22.7</v>
      </c>
      <c r="V428" s="4">
        <v>2.6</v>
      </c>
      <c r="W428" s="4">
        <v>5.7</v>
      </c>
      <c r="X428" s="4">
        <v>519.92999999999995</v>
      </c>
      <c r="Y428" s="7">
        <f t="shared" ca="1" si="9"/>
        <v>-335.70999999999992</v>
      </c>
    </row>
    <row r="429" spans="1:25" ht="15" x14ac:dyDescent="0.25">
      <c r="A429" s="4">
        <v>432</v>
      </c>
      <c r="C429" s="12" t="s">
        <v>1401</v>
      </c>
      <c r="D429" s="12" t="s">
        <v>1402</v>
      </c>
      <c r="E429" s="5" t="str">
        <f t="shared" si="5"/>
        <v>https://www.screener.in/company/NESCO/consolidated/</v>
      </c>
      <c r="F429" s="4">
        <v>443059</v>
      </c>
      <c r="G429" s="4">
        <v>3832241897</v>
      </c>
      <c r="H429" s="6">
        <f t="shared" ca="1" si="6"/>
        <v>544944.79775340005</v>
      </c>
      <c r="I429" s="7" t="str">
        <f ca="1">IFERROR(__xludf.DUMMYFUNCTION("IMPORTXML(E429,""/html/body/main/div[3]/div[3]/div[2]/ul/li[5]/span[2]/span"")"),"Loading...")</f>
        <v>Loading...</v>
      </c>
      <c r="J429" s="7">
        <f ca="1">IFERROR(__xludf.DUMMYFUNCTION("GOOGLEFINANCE(""NSE:""&amp;D429,""marketcap"")"),100194091560)</f>
        <v>100194091560</v>
      </c>
      <c r="K429" s="7">
        <v>992.8</v>
      </c>
      <c r="L429" s="8">
        <f ca="1">IFERROR(__xludf.DUMMYFUNCTION("GOOGLEFINANCE(""NSE:""&amp;D429,""price"")"),1422)</f>
        <v>1422</v>
      </c>
      <c r="M429" s="9">
        <f t="shared" ca="1" si="7"/>
        <v>429.20000000000005</v>
      </c>
      <c r="N429" s="10">
        <f t="shared" ca="1" si="8"/>
        <v>43.231265108783248</v>
      </c>
      <c r="O429" s="7">
        <f ca="1">IFERROR(__xludf.DUMMYFUNCTION("GOOGLEFINANCE(""NSE:""&amp;D429,""pe"")"),24.96)</f>
        <v>24.96</v>
      </c>
      <c r="P429" s="7">
        <f ca="1">IFERROR(__xludf.DUMMYFUNCTION("GOOGLEFINANCE(""NSE:""&amp;D429,""EPS"")"),56.98)</f>
        <v>56.98</v>
      </c>
      <c r="Q429" s="7">
        <v>13.5</v>
      </c>
      <c r="R429" s="7" t="str">
        <f ca="1">IFERROR(__xludf.DUMMYFUNCTION("IMPORTXML(E429,""/html/body/main/div[3]/div[3]/div[2]/ul/li[7]/span[2]/span"")"),"Loading...")</f>
        <v>Loading...</v>
      </c>
      <c r="S429" s="7" t="str">
        <f ca="1">IFERROR(__xludf.DUMMYFUNCTION("IMPORTXML(E429,""/html/body/main/div[3]/div[3]/div[2]/ul/li[8]/span[2]/span"")"),"Loading...")</f>
        <v>Loading...</v>
      </c>
      <c r="T429" s="4">
        <v>34.6</v>
      </c>
      <c r="U429" s="4">
        <v>22.7</v>
      </c>
      <c r="V429" s="4">
        <v>2.6</v>
      </c>
      <c r="W429" s="4">
        <v>5.7</v>
      </c>
      <c r="X429" s="4">
        <v>519.92999999999995</v>
      </c>
      <c r="Y429" s="7">
        <f t="shared" ca="1" si="9"/>
        <v>902.07</v>
      </c>
    </row>
    <row r="430" spans="1:25" ht="15" x14ac:dyDescent="0.25">
      <c r="A430" s="4">
        <v>2134</v>
      </c>
      <c r="C430" s="12" t="s">
        <v>1403</v>
      </c>
      <c r="D430" s="12" t="s">
        <v>1404</v>
      </c>
      <c r="E430" s="5" t="str">
        <f t="shared" si="5"/>
        <v>https://www.screener.in/company/ATAM/consolidated/</v>
      </c>
      <c r="F430" s="4">
        <v>443059</v>
      </c>
      <c r="G430" s="4">
        <v>3832241897</v>
      </c>
      <c r="H430" s="6">
        <f t="shared" ca="1" si="6"/>
        <v>34739.272796305006</v>
      </c>
      <c r="I430" s="7" t="str">
        <f ca="1">IFERROR(__xludf.DUMMYFUNCTION("IMPORTXML(E430,""/html/body/main/div[3]/div[3]/div[2]/ul/li[5]/span[2]/span"")"),"Loading...")</f>
        <v>Loading...</v>
      </c>
      <c r="J430" s="7">
        <f ca="1">IFERROR(__xludf.DUMMYFUNCTION("GOOGLEFINANCE(""NSE:""&amp;D430,""marketcap"")"),1039120967)</f>
        <v>1039120967</v>
      </c>
      <c r="K430" s="7">
        <v>992.8</v>
      </c>
      <c r="L430" s="8">
        <f ca="1">IFERROR(__xludf.DUMMYFUNCTION("GOOGLEFINANCE(""NSE:""&amp;D430,""price"")"),90.65)</f>
        <v>90.65</v>
      </c>
      <c r="M430" s="9">
        <f t="shared" ca="1" si="7"/>
        <v>-902.15</v>
      </c>
      <c r="N430" s="10">
        <f t="shared" ca="1" si="8"/>
        <v>-90.869258662369063</v>
      </c>
      <c r="O430" s="7">
        <f ca="1">IFERROR(__xludf.DUMMYFUNCTION("GOOGLEFINANCE(""NSE:""&amp;D430,""pe"")"),15.74)</f>
        <v>15.74</v>
      </c>
      <c r="P430" s="7">
        <f ca="1">IFERROR(__xludf.DUMMYFUNCTION("GOOGLEFINANCE(""NSE:""&amp;D430,""EPS"")"),5.76)</f>
        <v>5.76</v>
      </c>
      <c r="Q430" s="7">
        <v>13.5</v>
      </c>
      <c r="R430" s="7" t="str">
        <f ca="1">IFERROR(__xludf.DUMMYFUNCTION("IMPORTXML(E430,""/html/body/main/div[3]/div[3]/div[2]/ul/li[7]/span[2]/span"")"),"Loading...")</f>
        <v>Loading...</v>
      </c>
      <c r="S430" s="7" t="str">
        <f ca="1">IFERROR(__xludf.DUMMYFUNCTION("IMPORTXML(E430,""/html/body/main/div[3]/div[3]/div[2]/ul/li[8]/span[2]/span"")"),"Loading...")</f>
        <v>Loading...</v>
      </c>
      <c r="T430" s="4">
        <v>34.6</v>
      </c>
      <c r="U430" s="4">
        <v>22.7</v>
      </c>
      <c r="V430" s="4">
        <v>2.6</v>
      </c>
      <c r="W430" s="4">
        <v>5.7</v>
      </c>
      <c r="X430" s="4">
        <v>519.92999999999995</v>
      </c>
      <c r="Y430" s="7">
        <f t="shared" ca="1" si="9"/>
        <v>-429.28</v>
      </c>
    </row>
    <row r="431" spans="1:25" ht="15" x14ac:dyDescent="0.25">
      <c r="A431" s="4">
        <v>1227</v>
      </c>
      <c r="C431" s="12" t="s">
        <v>1405</v>
      </c>
      <c r="D431" s="12" t="s">
        <v>1406</v>
      </c>
      <c r="E431" s="5" t="str">
        <f t="shared" si="5"/>
        <v>https://www.screener.in/company/LINC/consolidated/</v>
      </c>
      <c r="F431" s="4">
        <v>443059</v>
      </c>
      <c r="G431" s="4">
        <v>3832241897</v>
      </c>
      <c r="H431" s="6">
        <f t="shared" ca="1" si="6"/>
        <v>52463.391569930005</v>
      </c>
      <c r="I431" s="7" t="str">
        <f ca="1">IFERROR(__xludf.DUMMYFUNCTION("IMPORTXML(E431,""/html/body/main/div[3]/div[3]/div[2]/ul/li[5]/span[2]/span"")"),"Loading...")</f>
        <v>Loading...</v>
      </c>
      <c r="J431" s="7">
        <f ca="1">IFERROR(__xludf.DUMMYFUNCTION("GOOGLEFINANCE(""NSE:""&amp;D431,""marketcap"")"),8144065640)</f>
        <v>8144065640</v>
      </c>
      <c r="K431" s="7">
        <v>992.8</v>
      </c>
      <c r="L431" s="8">
        <f ca="1">IFERROR(__xludf.DUMMYFUNCTION("GOOGLEFINANCE(""NSE:""&amp;D431,""price"")"),136.9)</f>
        <v>136.9</v>
      </c>
      <c r="M431" s="9">
        <f t="shared" ca="1" si="7"/>
        <v>-855.9</v>
      </c>
      <c r="N431" s="10">
        <f t="shared" ca="1" si="8"/>
        <v>-86.210717163577769</v>
      </c>
      <c r="O431" s="7">
        <f ca="1">IFERROR(__xludf.DUMMYFUNCTION("GOOGLEFINANCE(""NSE:""&amp;D431,""pe"")"),22.21)</f>
        <v>22.21</v>
      </c>
      <c r="P431" s="7">
        <f ca="1">IFERROR(__xludf.DUMMYFUNCTION("GOOGLEFINANCE(""NSE:""&amp;D431,""EPS"")"),6.16)</f>
        <v>6.16</v>
      </c>
      <c r="Q431" s="7">
        <v>13.5</v>
      </c>
      <c r="R431" s="7" t="str">
        <f ca="1">IFERROR(__xludf.DUMMYFUNCTION("IMPORTXML(E431,""/html/body/main/div[3]/div[3]/div[2]/ul/li[7]/span[2]/span"")"),"Loading...")</f>
        <v>Loading...</v>
      </c>
      <c r="S431" s="7" t="str">
        <f ca="1">IFERROR(__xludf.DUMMYFUNCTION("IMPORTXML(E431,""/html/body/main/div[3]/div[3]/div[2]/ul/li[8]/span[2]/span"")"),"Loading...")</f>
        <v>Loading...</v>
      </c>
      <c r="T431" s="4">
        <v>34.6</v>
      </c>
      <c r="U431" s="4">
        <v>22.7</v>
      </c>
      <c r="V431" s="4">
        <v>2.6</v>
      </c>
      <c r="W431" s="4">
        <v>5.7</v>
      </c>
      <c r="X431" s="4">
        <v>519.92999999999995</v>
      </c>
      <c r="Y431" s="7">
        <f t="shared" ca="1" si="9"/>
        <v>-383.03</v>
      </c>
    </row>
    <row r="432" spans="1:25" ht="15" x14ac:dyDescent="0.25">
      <c r="A432" s="4">
        <v>1268</v>
      </c>
      <c r="C432" s="12" t="s">
        <v>1407</v>
      </c>
      <c r="D432" s="12" t="s">
        <v>1408</v>
      </c>
      <c r="E432" s="5" t="str">
        <f t="shared" si="5"/>
        <v>https://www.screener.in/company/RUBYMILLS/consolidated/</v>
      </c>
      <c r="F432" s="4">
        <v>443059</v>
      </c>
      <c r="G432" s="4">
        <v>3832241897</v>
      </c>
      <c r="H432" s="6">
        <f t="shared" ca="1" si="6"/>
        <v>85842.218492800006</v>
      </c>
      <c r="I432" s="7" t="str">
        <f ca="1">IFERROR(__xludf.DUMMYFUNCTION("IMPORTXML(E432,""/html/body/main/div[3]/div[3]/div[2]/ul/li[5]/span[2]/span"")"),"Loading...")</f>
        <v>Loading...</v>
      </c>
      <c r="J432" s="7">
        <f ca="1">IFERROR(__xludf.DUMMYFUNCTION("GOOGLEFINANCE(""NSE:""&amp;D432,""marketcap"")"),7482200000)</f>
        <v>7482200000</v>
      </c>
      <c r="K432" s="7">
        <v>992.8</v>
      </c>
      <c r="L432" s="8">
        <f ca="1">IFERROR(__xludf.DUMMYFUNCTION("GOOGLEFINANCE(""NSE:""&amp;D432,""price"")"),224)</f>
        <v>224</v>
      </c>
      <c r="M432" s="9">
        <f t="shared" ca="1" si="7"/>
        <v>-768.8</v>
      </c>
      <c r="N432" s="10">
        <f t="shared" ca="1" si="8"/>
        <v>-77.437550362610793</v>
      </c>
      <c r="O432" s="7">
        <f ca="1">IFERROR(__xludf.DUMMYFUNCTION("GOOGLEFINANCE(""NSE:""&amp;D432,""pe"")"),16.43)</f>
        <v>16.43</v>
      </c>
      <c r="P432" s="7">
        <f ca="1">IFERROR(__xludf.DUMMYFUNCTION("GOOGLEFINANCE(""NSE:""&amp;D432,""EPS"")"),13.63)</f>
        <v>13.63</v>
      </c>
      <c r="Q432" s="7">
        <v>13.5</v>
      </c>
      <c r="R432" s="7" t="str">
        <f ca="1">IFERROR(__xludf.DUMMYFUNCTION("IMPORTXML(E432,""/html/body/main/div[3]/div[3]/div[2]/ul/li[7]/span[2]/span"")"),"Loading...")</f>
        <v>Loading...</v>
      </c>
      <c r="S432" s="7" t="str">
        <f ca="1">IFERROR(__xludf.DUMMYFUNCTION("IMPORTXML(E432,""/html/body/main/div[3]/div[3]/div[2]/ul/li[8]/span[2]/span"")"),"Loading...")</f>
        <v>Loading...</v>
      </c>
      <c r="T432" s="4">
        <v>34.6</v>
      </c>
      <c r="U432" s="4">
        <v>22.7</v>
      </c>
      <c r="V432" s="4">
        <v>2.6</v>
      </c>
      <c r="W432" s="4">
        <v>5.7</v>
      </c>
      <c r="X432" s="4">
        <v>519.92999999999995</v>
      </c>
      <c r="Y432" s="7">
        <f t="shared" ca="1" si="9"/>
        <v>-295.92999999999995</v>
      </c>
    </row>
    <row r="433" spans="1:25" ht="15" x14ac:dyDescent="0.25">
      <c r="A433" s="4">
        <v>68</v>
      </c>
      <c r="C433" s="12" t="s">
        <v>1409</v>
      </c>
      <c r="D433" s="12" t="s">
        <v>1410</v>
      </c>
      <c r="E433" s="5" t="str">
        <f t="shared" si="5"/>
        <v>https://www.screener.in/company/KANSAINER/consolidated/</v>
      </c>
      <c r="F433" s="4">
        <v>443059</v>
      </c>
      <c r="G433" s="4">
        <v>3832241897</v>
      </c>
      <c r="H433" s="6">
        <f t="shared" ca="1" si="6"/>
        <v>93468.379867830008</v>
      </c>
      <c r="I433" s="7" t="str">
        <f ca="1">IFERROR(__xludf.DUMMYFUNCTION("IMPORTXML(E433,""/html/body/main/div[3]/div[3]/div[2]/ul/li[5]/span[2]/span"")"),"Loading...")</f>
        <v>Loading...</v>
      </c>
      <c r="J433" s="7">
        <f ca="1">IFERROR(__xludf.DUMMYFUNCTION("GOOGLEFINANCE(""NSE:""&amp;D433,""marketcap"")"),197193803595)</f>
        <v>197193803595</v>
      </c>
      <c r="K433" s="7">
        <v>992.8</v>
      </c>
      <c r="L433" s="8">
        <f ca="1">IFERROR(__xludf.DUMMYFUNCTION("GOOGLEFINANCE(""NSE:""&amp;D433,""price"")"),243.9)</f>
        <v>243.9</v>
      </c>
      <c r="M433" s="9">
        <f t="shared" ca="1" si="7"/>
        <v>-748.9</v>
      </c>
      <c r="N433" s="10">
        <f t="shared" ca="1" si="8"/>
        <v>-75.433118452860597</v>
      </c>
      <c r="O433" s="7">
        <f ca="1">IFERROR(__xludf.DUMMYFUNCTION("GOOGLEFINANCE(""NSE:""&amp;D433,""pe"")"),17.42)</f>
        <v>17.420000000000002</v>
      </c>
      <c r="P433" s="7">
        <f ca="1">IFERROR(__xludf.DUMMYFUNCTION("GOOGLEFINANCE(""NSE:""&amp;D433,""EPS"")"),14)</f>
        <v>14</v>
      </c>
      <c r="Q433" s="7">
        <v>13.5</v>
      </c>
      <c r="R433" s="7" t="str">
        <f ca="1">IFERROR(__xludf.DUMMYFUNCTION("IMPORTXML(E433,""/html/body/main/div[3]/div[3]/div[2]/ul/li[7]/span[2]/span"")"),"Loading...")</f>
        <v>Loading...</v>
      </c>
      <c r="S433" s="7" t="str">
        <f ca="1">IFERROR(__xludf.DUMMYFUNCTION("IMPORTXML(E433,""/html/body/main/div[3]/div[3]/div[2]/ul/li[8]/span[2]/span"")"),"Loading...")</f>
        <v>Loading...</v>
      </c>
      <c r="T433" s="4">
        <v>34.6</v>
      </c>
      <c r="U433" s="4">
        <v>22.7</v>
      </c>
      <c r="V433" s="4">
        <v>2.6</v>
      </c>
      <c r="W433" s="4">
        <v>5.7</v>
      </c>
      <c r="X433" s="4">
        <v>519.92999999999995</v>
      </c>
      <c r="Y433" s="7">
        <f t="shared" ca="1" si="9"/>
        <v>-276.02999999999997</v>
      </c>
    </row>
    <row r="434" spans="1:25" ht="15" x14ac:dyDescent="0.25">
      <c r="A434" s="4">
        <v>1176</v>
      </c>
      <c r="C434" s="12" t="s">
        <v>1411</v>
      </c>
      <c r="D434" s="12" t="s">
        <v>1412</v>
      </c>
      <c r="E434" s="5" t="str">
        <f t="shared" si="5"/>
        <v>https://www.screener.in/company/ANUHPHR/consolidated/</v>
      </c>
      <c r="F434" s="4">
        <v>443059</v>
      </c>
      <c r="G434" s="4">
        <v>3832241897</v>
      </c>
      <c r="H434" s="6">
        <f t="shared" ca="1" si="6"/>
        <v>32535.733705530005</v>
      </c>
      <c r="I434" s="7" t="str">
        <f ca="1">IFERROR(__xludf.DUMMYFUNCTION("IMPORTXML(E434,""/html/body/main/div[3]/div[3]/div[2]/ul/li[5]/span[2]/span"")"),"Loading...")</f>
        <v>Loading...</v>
      </c>
      <c r="J434" s="7">
        <f ca="1">IFERROR(__xludf.DUMMYFUNCTION("GOOGLEFINANCE(""NSE:""&amp;D434,""marketcap"")"),8509009262)</f>
        <v>8509009262</v>
      </c>
      <c r="K434" s="7">
        <v>992.8</v>
      </c>
      <c r="L434" s="8">
        <f ca="1">IFERROR(__xludf.DUMMYFUNCTION("GOOGLEFINANCE(""NSE:""&amp;D434,""price"")"),84.9)</f>
        <v>84.9</v>
      </c>
      <c r="M434" s="9">
        <f t="shared" ca="1" si="7"/>
        <v>-907.9</v>
      </c>
      <c r="N434" s="10">
        <f t="shared" ca="1" si="8"/>
        <v>-91.44842868654311</v>
      </c>
      <c r="O434" s="7">
        <f ca="1">IFERROR(__xludf.DUMMYFUNCTION("GOOGLEFINANCE(""NSE:""&amp;D434,""pe"")"),18.44)</f>
        <v>18.440000000000001</v>
      </c>
      <c r="P434" s="7">
        <f ca="1">IFERROR(__xludf.DUMMYFUNCTION("GOOGLEFINANCE(""NSE:""&amp;D434,""EPS"")"),4.6)</f>
        <v>4.5999999999999996</v>
      </c>
      <c r="Q434" s="7">
        <v>13.5</v>
      </c>
      <c r="R434" s="7" t="str">
        <f ca="1">IFERROR(__xludf.DUMMYFUNCTION("IMPORTXML(E434,""/html/body/main/div[3]/div[3]/div[2]/ul/li[7]/span[2]/span"")"),"Loading...")</f>
        <v>Loading...</v>
      </c>
      <c r="S434" s="7" t="str">
        <f ca="1">IFERROR(__xludf.DUMMYFUNCTION("IMPORTXML(E434,""/html/body/main/div[3]/div[3]/div[2]/ul/li[8]/span[2]/span"")"),"Loading...")</f>
        <v>Loading...</v>
      </c>
      <c r="T434" s="4">
        <v>34.6</v>
      </c>
      <c r="U434" s="4">
        <v>22.7</v>
      </c>
      <c r="V434" s="4">
        <v>2.6</v>
      </c>
      <c r="W434" s="4">
        <v>5.7</v>
      </c>
      <c r="X434" s="4">
        <v>519.92999999999995</v>
      </c>
      <c r="Y434" s="7">
        <f t="shared" ca="1" si="9"/>
        <v>-435.03</v>
      </c>
    </row>
    <row r="435" spans="1:25" ht="15" x14ac:dyDescent="0.25">
      <c r="A435" s="4">
        <v>1244</v>
      </c>
      <c r="C435" s="12" t="s">
        <v>1413</v>
      </c>
      <c r="D435" s="12" t="s">
        <v>1414</v>
      </c>
      <c r="E435" s="5" t="str">
        <f t="shared" si="5"/>
        <v>https://www.screener.in/company/INNOVANA/consolidated/</v>
      </c>
      <c r="F435" s="4">
        <v>443059</v>
      </c>
      <c r="G435" s="4">
        <v>3832241897</v>
      </c>
      <c r="H435" s="6">
        <f t="shared" ca="1" si="6"/>
        <v>210773.30433499999</v>
      </c>
      <c r="I435" s="7" t="str">
        <f ca="1">IFERROR(__xludf.DUMMYFUNCTION("IMPORTXML(E435,""/html/body/main/div[3]/div[3]/div[2]/ul/li[5]/span[2]/span"")"),"Loading...")</f>
        <v>Loading...</v>
      </c>
      <c r="J435" s="7">
        <f ca="1">IFERROR(__xludf.DUMMYFUNCTION("GOOGLEFINANCE(""NSE:""&amp;D435,""marketcap"")"),11274994500)</f>
        <v>11274994500</v>
      </c>
      <c r="K435" s="7">
        <v>992.8</v>
      </c>
      <c r="L435" s="8">
        <f ca="1">IFERROR(__xludf.DUMMYFUNCTION("GOOGLEFINANCE(""NSE:""&amp;D435,""price"")"),550)</f>
        <v>550</v>
      </c>
      <c r="M435" s="9">
        <f t="shared" ca="1" si="7"/>
        <v>-442.79999999999995</v>
      </c>
      <c r="N435" s="10">
        <f t="shared" ca="1" si="8"/>
        <v>-44.601128122481867</v>
      </c>
      <c r="O435" s="7">
        <f ca="1">IFERROR(__xludf.DUMMYFUNCTION("GOOGLEFINANCE(""NSE:""&amp;D435,""pe"")"),23.74)</f>
        <v>23.74</v>
      </c>
      <c r="P435" s="7">
        <f ca="1">IFERROR(__xludf.DUMMYFUNCTION("GOOGLEFINANCE(""NSE:""&amp;D435,""EPS"")"),23.17)</f>
        <v>23.17</v>
      </c>
      <c r="Q435" s="7">
        <v>13.5</v>
      </c>
      <c r="R435" s="7" t="str">
        <f ca="1">IFERROR(__xludf.DUMMYFUNCTION("IMPORTXML(E435,""/html/body/main/div[3]/div[3]/div[2]/ul/li[7]/span[2]/span"")"),"Loading...")</f>
        <v>Loading...</v>
      </c>
      <c r="S435" s="7" t="str">
        <f ca="1">IFERROR(__xludf.DUMMYFUNCTION("IMPORTXML(E435,""/html/body/main/div[3]/div[3]/div[2]/ul/li[8]/span[2]/span"")"),"Loading...")</f>
        <v>Loading...</v>
      </c>
      <c r="T435" s="4">
        <v>34.6</v>
      </c>
      <c r="U435" s="4">
        <v>22.7</v>
      </c>
      <c r="V435" s="4">
        <v>2.6</v>
      </c>
      <c r="W435" s="4">
        <v>5.7</v>
      </c>
      <c r="X435" s="4">
        <v>519.92999999999995</v>
      </c>
      <c r="Y435" s="7">
        <f t="shared" ca="1" si="9"/>
        <v>30.07000000000005</v>
      </c>
    </row>
    <row r="436" spans="1:25" ht="15" x14ac:dyDescent="0.25">
      <c r="A436" s="4">
        <v>1426</v>
      </c>
      <c r="C436" s="12" t="s">
        <v>1415</v>
      </c>
      <c r="D436" s="12" t="s">
        <v>1416</v>
      </c>
      <c r="E436" s="5" t="str">
        <f t="shared" si="5"/>
        <v>https://www.screener.in/company/MUNJALSHOW/consolidated/</v>
      </c>
      <c r="F436" s="4">
        <v>443059</v>
      </c>
      <c r="G436" s="4">
        <v>3832241897</v>
      </c>
      <c r="H436" s="6">
        <f t="shared" ca="1" si="6"/>
        <v>52769.970921689994</v>
      </c>
      <c r="I436" s="7" t="str">
        <f ca="1">IFERROR(__xludf.DUMMYFUNCTION("IMPORTXML(E436,""/html/body/main/div[3]/div[3]/div[2]/ul/li[5]/span[2]/span"")"),"Loading...")</f>
        <v>Loading...</v>
      </c>
      <c r="J436" s="7">
        <f ca="1">IFERROR(__xludf.DUMMYFUNCTION("GOOGLEFINANCE(""NSE:""&amp;D436,""marketcap"")"),5452918000)</f>
        <v>5452918000</v>
      </c>
      <c r="K436" s="7">
        <v>992.8</v>
      </c>
      <c r="L436" s="8">
        <f ca="1">IFERROR(__xludf.DUMMYFUNCTION("GOOGLEFINANCE(""NSE:""&amp;D436,""price"")"),137.7)</f>
        <v>137.69999999999999</v>
      </c>
      <c r="M436" s="9">
        <f t="shared" ca="1" si="7"/>
        <v>-855.09999999999991</v>
      </c>
      <c r="N436" s="10">
        <f t="shared" ca="1" si="8"/>
        <v>-86.130136986301366</v>
      </c>
      <c r="O436" s="7">
        <f ca="1">IFERROR(__xludf.DUMMYFUNCTION("GOOGLEFINANCE(""NSE:""&amp;D436,""pe"")"),21.86)</f>
        <v>21.86</v>
      </c>
      <c r="P436" s="7">
        <f ca="1">IFERROR(__xludf.DUMMYFUNCTION("GOOGLEFINANCE(""NSE:""&amp;D436,""EPS"")"),6.3)</f>
        <v>6.3</v>
      </c>
      <c r="Q436" s="7">
        <v>13.5</v>
      </c>
      <c r="R436" s="7" t="str">
        <f ca="1">IFERROR(__xludf.DUMMYFUNCTION("IMPORTXML(E436,""/html/body/main/div[3]/div[3]/div[2]/ul/li[7]/span[2]/span"")"),"Loading...")</f>
        <v>Loading...</v>
      </c>
      <c r="S436" s="7" t="str">
        <f ca="1">IFERROR(__xludf.DUMMYFUNCTION("IMPORTXML(E436,""/html/body/main/div[3]/div[3]/div[2]/ul/li[8]/span[2]/span"")"),"Loading...")</f>
        <v>Loading...</v>
      </c>
      <c r="T436" s="4">
        <v>34.6</v>
      </c>
      <c r="U436" s="4">
        <v>22.7</v>
      </c>
      <c r="V436" s="4">
        <v>2.6</v>
      </c>
      <c r="W436" s="4">
        <v>5.7</v>
      </c>
      <c r="X436" s="4">
        <v>519.92999999999995</v>
      </c>
      <c r="Y436" s="7">
        <f t="shared" ca="1" si="9"/>
        <v>-382.22999999999996</v>
      </c>
    </row>
    <row r="437" spans="1:25" ht="15" x14ac:dyDescent="0.25">
      <c r="A437" s="4">
        <v>1166</v>
      </c>
      <c r="C437" s="12" t="s">
        <v>1417</v>
      </c>
      <c r="D437" s="12" t="s">
        <v>1418</v>
      </c>
      <c r="E437" s="5" t="str">
        <f t="shared" si="5"/>
        <v>https://www.screener.in/company/ATL/consolidated/</v>
      </c>
      <c r="F437" s="4">
        <v>443059</v>
      </c>
      <c r="G437" s="4">
        <v>3832241897</v>
      </c>
      <c r="H437" s="6">
        <f t="shared" ca="1" si="6"/>
        <v>10806.92214954</v>
      </c>
      <c r="I437" s="7" t="str">
        <f ca="1">IFERROR(__xludf.DUMMYFUNCTION("IMPORTXML(E437,""/html/body/main/div[3]/div[3]/div[2]/ul/li[5]/span[2]/span"")"),"Loading...")</f>
        <v>Loading...</v>
      </c>
      <c r="J437" s="7">
        <f ca="1">IFERROR(__xludf.DUMMYFUNCTION("GOOGLEFINANCE(""NSE:""&amp;D437,""marketcap"")"),7113143000)</f>
        <v>7113143000</v>
      </c>
      <c r="K437" s="7">
        <v>992.8</v>
      </c>
      <c r="L437" s="8">
        <f ca="1">IFERROR(__xludf.DUMMYFUNCTION("GOOGLEFINANCE(""NSE:""&amp;D437,""price"")"),28.2)</f>
        <v>28.2</v>
      </c>
      <c r="M437" s="9">
        <f t="shared" ca="1" si="7"/>
        <v>-964.59999999999991</v>
      </c>
      <c r="N437" s="10">
        <f t="shared" ca="1" si="8"/>
        <v>-97.15954875100725</v>
      </c>
      <c r="O437" s="7">
        <f ca="1">IFERROR(__xludf.DUMMYFUNCTION("GOOGLEFINANCE(""NSE:""&amp;D437,""pe"")"),22.93)</f>
        <v>22.93</v>
      </c>
      <c r="P437" s="7">
        <f ca="1">IFERROR(__xludf.DUMMYFUNCTION("GOOGLEFINANCE(""NSE:""&amp;D437,""EPS"")"),1.23)</f>
        <v>1.23</v>
      </c>
      <c r="Q437" s="7">
        <v>13.5</v>
      </c>
      <c r="R437" s="7" t="str">
        <f ca="1">IFERROR(__xludf.DUMMYFUNCTION("IMPORTXML(E437,""/html/body/main/div[3]/div[3]/div[2]/ul/li[7]/span[2]/span"")"),"Loading...")</f>
        <v>Loading...</v>
      </c>
      <c r="S437" s="7" t="str">
        <f ca="1">IFERROR(__xludf.DUMMYFUNCTION("IMPORTXML(E437,""/html/body/main/div[3]/div[3]/div[2]/ul/li[8]/span[2]/span"")"),"Loading...")</f>
        <v>Loading...</v>
      </c>
      <c r="T437" s="4">
        <v>34.6</v>
      </c>
      <c r="U437" s="4">
        <v>22.7</v>
      </c>
      <c r="V437" s="4">
        <v>2.6</v>
      </c>
      <c r="W437" s="4">
        <v>5.7</v>
      </c>
      <c r="X437" s="4">
        <v>519.92999999999995</v>
      </c>
      <c r="Y437" s="7">
        <f t="shared" ca="1" si="9"/>
        <v>-491.72999999999996</v>
      </c>
    </row>
    <row r="438" spans="1:25" ht="15" x14ac:dyDescent="0.25">
      <c r="A438" s="4">
        <v>970</v>
      </c>
      <c r="C438" s="12" t="s">
        <v>1419</v>
      </c>
      <c r="D438" s="12" t="s">
        <v>1420</v>
      </c>
      <c r="E438" s="5" t="str">
        <f t="shared" si="5"/>
        <v>https://www.screener.in/company/HIMATSEIDE/consolidated/</v>
      </c>
      <c r="F438" s="4">
        <v>443059</v>
      </c>
      <c r="G438" s="4">
        <v>3832241897</v>
      </c>
      <c r="H438" s="6">
        <f t="shared" ca="1" si="6"/>
        <v>45979.238280206002</v>
      </c>
      <c r="I438" s="7" t="str">
        <f ca="1">IFERROR(__xludf.DUMMYFUNCTION("IMPORTXML(E438,""/html/body/main/div[3]/div[3]/div[2]/ul/li[5]/span[2]/span"")"),"Loading...")</f>
        <v>Loading...</v>
      </c>
      <c r="J438" s="7">
        <f ca="1">IFERROR(__xludf.DUMMYFUNCTION("GOOGLEFINANCE(""NSE:""&amp;D438,""marketcap"")"),15086549578)</f>
        <v>15086549578</v>
      </c>
      <c r="K438" s="7">
        <v>992.8</v>
      </c>
      <c r="L438" s="8">
        <f ca="1">IFERROR(__xludf.DUMMYFUNCTION("GOOGLEFINANCE(""NSE:""&amp;D438,""price"")"),119.98)</f>
        <v>119.98</v>
      </c>
      <c r="M438" s="9">
        <f t="shared" ca="1" si="7"/>
        <v>-872.81999999999994</v>
      </c>
      <c r="N438" s="10">
        <f t="shared" ca="1" si="8"/>
        <v>-87.914987912973402</v>
      </c>
      <c r="O438" s="7">
        <f ca="1">IFERROR(__xludf.DUMMYFUNCTION("GOOGLEFINANCE(""NSE:""&amp;D438,""pe"")"),21.12)</f>
        <v>21.12</v>
      </c>
      <c r="P438" s="7">
        <f ca="1">IFERROR(__xludf.DUMMYFUNCTION("GOOGLEFINANCE(""NSE:""&amp;D438,""EPS"")"),5.68)</f>
        <v>5.68</v>
      </c>
      <c r="Q438" s="7">
        <v>13.5</v>
      </c>
      <c r="R438" s="7" t="str">
        <f ca="1">IFERROR(__xludf.DUMMYFUNCTION("IMPORTXML(E438,""/html/body/main/div[3]/div[3]/div[2]/ul/li[7]/span[2]/span"")"),"Loading...")</f>
        <v>Loading...</v>
      </c>
      <c r="S438" s="7">
        <f ca="1">IFERROR(__xludf.DUMMYFUNCTION("IMPORTXML(E438,""/html/body/main/div[3]/div[3]/div[2]/ul/li[8]/span[2]/span"")"),7.78)</f>
        <v>7.78</v>
      </c>
      <c r="T438" s="4">
        <v>34.6</v>
      </c>
      <c r="U438" s="4">
        <v>22.7</v>
      </c>
      <c r="V438" s="4">
        <v>2.6</v>
      </c>
      <c r="W438" s="4">
        <v>5.7</v>
      </c>
      <c r="X438" s="4">
        <v>519.92999999999995</v>
      </c>
      <c r="Y438" s="7">
        <f t="shared" ca="1" si="9"/>
        <v>-399.94999999999993</v>
      </c>
    </row>
    <row r="439" spans="1:25" ht="15" x14ac:dyDescent="0.25">
      <c r="A439" s="4">
        <v>1472</v>
      </c>
      <c r="C439" s="12" t="s">
        <v>1421</v>
      </c>
      <c r="D439" s="12" t="s">
        <v>1422</v>
      </c>
      <c r="E439" s="5" t="str">
        <f t="shared" si="5"/>
        <v>https://www.screener.in/company/HINDMOTORS/consolidated/</v>
      </c>
      <c r="F439" s="4">
        <v>443059</v>
      </c>
      <c r="G439" s="4">
        <v>3832241897</v>
      </c>
      <c r="H439" s="6">
        <f t="shared" ca="1" si="6"/>
        <v>8967.4460389799988</v>
      </c>
      <c r="I439" s="7" t="str">
        <f ca="1">IFERROR(__xludf.DUMMYFUNCTION("IMPORTXML(E439,""/html/body/main/div[3]/div[3]/div[2]/ul/li[5]/span[2]/span"")"),"Loading...")</f>
        <v>Loading...</v>
      </c>
      <c r="J439" s="7">
        <f ca="1">IFERROR(__xludf.DUMMYFUNCTION("GOOGLEFINANCE(""NSE:""&amp;D439,""marketcap"")"),4897233000)</f>
        <v>4897233000</v>
      </c>
      <c r="K439" s="7">
        <v>992.8</v>
      </c>
      <c r="L439" s="8">
        <f ca="1">IFERROR(__xludf.DUMMYFUNCTION("GOOGLEFINANCE(""NSE:""&amp;D439,""price"")"),23.4)</f>
        <v>23.4</v>
      </c>
      <c r="M439" s="9">
        <f t="shared" ca="1" si="7"/>
        <v>-969.4</v>
      </c>
      <c r="N439" s="10">
        <f t="shared" ca="1" si="8"/>
        <v>-97.643029814665596</v>
      </c>
      <c r="O439" s="7">
        <f ca="1">IFERROR(__xludf.DUMMYFUNCTION("GOOGLEFINANCE(""NSE:""&amp;D439,""pe"")"),42.11)</f>
        <v>42.11</v>
      </c>
      <c r="P439" s="7">
        <f ca="1">IFERROR(__xludf.DUMMYFUNCTION("GOOGLEFINANCE(""NSE:""&amp;D439,""EPS"")"),0.56)</f>
        <v>0.56000000000000005</v>
      </c>
      <c r="Q439" s="7">
        <v>13.5</v>
      </c>
      <c r="R439" s="7" t="str">
        <f ca="1">IFERROR(__xludf.DUMMYFUNCTION("IMPORTXML(E439,""/html/body/main/div[3]/div[3]/div[2]/ul/li[7]/span[2]/span"")"),"Loading...")</f>
        <v>Loading...</v>
      </c>
      <c r="S439" s="7" t="str">
        <f ca="1">IFERROR(__xludf.DUMMYFUNCTION("IMPORTXML(E439,""/html/body/main/div[3]/div[3]/div[2]/ul/li[8]/span[2]/span"")"),"Loading...")</f>
        <v>Loading...</v>
      </c>
      <c r="T439" s="4">
        <v>34.6</v>
      </c>
      <c r="U439" s="4">
        <v>22.7</v>
      </c>
      <c r="V439" s="4">
        <v>2.6</v>
      </c>
      <c r="W439" s="4">
        <v>5.7</v>
      </c>
      <c r="X439" s="4">
        <v>519.92999999999995</v>
      </c>
      <c r="Y439" s="7">
        <f t="shared" ca="1" si="9"/>
        <v>-496.53</v>
      </c>
    </row>
    <row r="440" spans="1:25" ht="15" x14ac:dyDescent="0.25">
      <c r="A440" s="4">
        <v>608</v>
      </c>
      <c r="C440" s="12" t="s">
        <v>1423</v>
      </c>
      <c r="D440" s="12" t="s">
        <v>1424</v>
      </c>
      <c r="E440" s="5" t="str">
        <f t="shared" si="5"/>
        <v>https://www.screener.in/company/INDIAGLYCO/consolidated/</v>
      </c>
      <c r="F440" s="4">
        <v>443059</v>
      </c>
      <c r="G440" s="4">
        <v>3832241897</v>
      </c>
      <c r="H440" s="6">
        <f t="shared" ca="1" si="6"/>
        <v>315815.05473177001</v>
      </c>
      <c r="I440" s="7" t="str">
        <f ca="1">IFERROR(__xludf.DUMMYFUNCTION("IMPORTXML(E440,""/html/body/main/div[3]/div[3]/div[2]/ul/li[5]/span[2]/span"")"),"Loading...")</f>
        <v>Loading...</v>
      </c>
      <c r="J440" s="7">
        <f ca="1">IFERROR(__xludf.DUMMYFUNCTION("GOOGLEFINANCE(""NSE:""&amp;D440,""marketcap"")"),50956440000)</f>
        <v>50956440000</v>
      </c>
      <c r="K440" s="7">
        <v>992.8</v>
      </c>
      <c r="L440" s="8">
        <f ca="1">IFERROR(__xludf.DUMMYFUNCTION("GOOGLEFINANCE(""NSE:""&amp;D440,""price"")"),824.1)</f>
        <v>824.1</v>
      </c>
      <c r="M440" s="9">
        <f t="shared" ca="1" si="7"/>
        <v>-168.69999999999993</v>
      </c>
      <c r="N440" s="10">
        <f t="shared" ca="1" si="8"/>
        <v>-16.992344883158736</v>
      </c>
      <c r="O440" s="7">
        <f ca="1">IFERROR(__xludf.DUMMYFUNCTION("GOOGLEFINANCE(""NSE:""&amp;D440,""pe"")"),20.93)</f>
        <v>20.93</v>
      </c>
      <c r="P440" s="7">
        <f ca="1">IFERROR(__xludf.DUMMYFUNCTION("GOOGLEFINANCE(""NSE:""&amp;D440,""EPS"")"),39.38)</f>
        <v>39.380000000000003</v>
      </c>
      <c r="Q440" s="7">
        <v>13.5</v>
      </c>
      <c r="R440" s="7" t="str">
        <f ca="1">IFERROR(__xludf.DUMMYFUNCTION("IMPORTXML(E440,""/html/body/main/div[3]/div[3]/div[2]/ul/li[7]/span[2]/span"")"),"Loading...")</f>
        <v>Loading...</v>
      </c>
      <c r="S440" s="7" t="str">
        <f ca="1">IFERROR(__xludf.DUMMYFUNCTION("IMPORTXML(E440,""/html/body/main/div[3]/div[3]/div[2]/ul/li[8]/span[2]/span"")"),"Loading...")</f>
        <v>Loading...</v>
      </c>
      <c r="T440" s="4">
        <v>34.6</v>
      </c>
      <c r="U440" s="4">
        <v>22.7</v>
      </c>
      <c r="V440" s="4">
        <v>2.6</v>
      </c>
      <c r="W440" s="4">
        <v>5.7</v>
      </c>
      <c r="X440" s="4">
        <v>519.92999999999995</v>
      </c>
      <c r="Y440" s="7">
        <f t="shared" ca="1" si="9"/>
        <v>304.17000000000007</v>
      </c>
    </row>
    <row r="441" spans="1:25" ht="15" x14ac:dyDescent="0.25">
      <c r="A441" s="4">
        <v>954</v>
      </c>
      <c r="C441" s="12" t="s">
        <v>1425</v>
      </c>
      <c r="D441" s="12" t="s">
        <v>1426</v>
      </c>
      <c r="E441" s="5" t="str">
        <f t="shared" si="5"/>
        <v>https://www.screener.in/company/SUYOG/consolidated/</v>
      </c>
      <c r="F441" s="4">
        <v>443059</v>
      </c>
      <c r="G441" s="4">
        <v>3832241897</v>
      </c>
      <c r="H441" s="6">
        <f t="shared" ca="1" si="6"/>
        <v>301980.66148359998</v>
      </c>
      <c r="I441" s="7" t="str">
        <f ca="1">IFERROR(__xludf.DUMMYFUNCTION("IMPORTXML(E441,""/html/body/main/div[3]/div[3]/div[2]/ul/li[5]/span[2]/span"")"),"Loading...")</f>
        <v>Loading...</v>
      </c>
      <c r="J441" s="7">
        <f ca="1">IFERROR(__xludf.DUMMYFUNCTION("GOOGLEFINANCE(""NSE:""&amp;D441,""marketcap"")"),8817420560)</f>
        <v>8817420560</v>
      </c>
      <c r="K441" s="7">
        <v>992.8</v>
      </c>
      <c r="L441" s="8">
        <f ca="1">IFERROR(__xludf.DUMMYFUNCTION("GOOGLEFINANCE(""NSE:""&amp;D441,""price"")"),788)</f>
        <v>788</v>
      </c>
      <c r="M441" s="9">
        <f t="shared" ca="1" si="7"/>
        <v>-204.79999999999995</v>
      </c>
      <c r="N441" s="10">
        <f t="shared" ca="1" si="8"/>
        <v>-20.628525382755839</v>
      </c>
      <c r="O441" s="7">
        <f ca="1">IFERROR(__xludf.DUMMYFUNCTION("GOOGLEFINANCE(""NSE:""&amp;D441,""pe"")"),20.83)</f>
        <v>20.83</v>
      </c>
      <c r="P441" s="7">
        <f ca="1">IFERROR(__xludf.DUMMYFUNCTION("GOOGLEFINANCE(""NSE:""&amp;D441,""EPS"")"),37.83)</f>
        <v>37.83</v>
      </c>
      <c r="Q441" s="7">
        <v>13.5</v>
      </c>
      <c r="R441" s="7" t="str">
        <f ca="1">IFERROR(__xludf.DUMMYFUNCTION("IMPORTXML(E441,""/html/body/main/div[3]/div[3]/div[2]/ul/li[7]/span[2]/span"")"),"Loading...")</f>
        <v>Loading...</v>
      </c>
      <c r="S441" s="7" t="str">
        <f ca="1">IFERROR(__xludf.DUMMYFUNCTION("IMPORTXML(E441,""/html/body/main/div[3]/div[3]/div[2]/ul/li[8]/span[2]/span"")"),"Loading...")</f>
        <v>Loading...</v>
      </c>
      <c r="T441" s="4">
        <v>34.6</v>
      </c>
      <c r="U441" s="4">
        <v>22.7</v>
      </c>
      <c r="V441" s="4">
        <v>2.6</v>
      </c>
      <c r="W441" s="4">
        <v>5.7</v>
      </c>
      <c r="X441" s="4">
        <v>519.92999999999995</v>
      </c>
      <c r="Y441" s="7">
        <f t="shared" ca="1" si="9"/>
        <v>268.07000000000005</v>
      </c>
    </row>
    <row r="442" spans="1:25" ht="15" x14ac:dyDescent="0.25">
      <c r="A442" s="4">
        <v>102</v>
      </c>
      <c r="C442" s="12" t="s">
        <v>1427</v>
      </c>
      <c r="D442" s="12" t="s">
        <v>1428</v>
      </c>
      <c r="E442" s="5" t="str">
        <f t="shared" si="5"/>
        <v>https://www.screener.in/company/SWANENERGY/consolidated/</v>
      </c>
      <c r="F442" s="4">
        <v>443059</v>
      </c>
      <c r="G442" s="4">
        <v>3832241897</v>
      </c>
      <c r="H442" s="6" t="e">
        <f t="shared" ca="1" si="6"/>
        <v>#VALUE!</v>
      </c>
      <c r="I442" s="7" t="str">
        <f ca="1">IFERROR(__xludf.DUMMYFUNCTION("IMPORTXML(E442,""/html/body/main/div[3]/div[3]/div[2]/ul/li[5]/span[2]/span"")"),"Loading...")</f>
        <v>Loading...</v>
      </c>
      <c r="J442" s="7" t="str">
        <f ca="1">IFERROR(__xludf.DUMMYFUNCTION("GOOGLEFINANCE(""NSE:""&amp;D442,""marketcap"")"),"#N/A")</f>
        <v>#N/A</v>
      </c>
      <c r="K442" s="7">
        <v>992.8</v>
      </c>
      <c r="L442" s="8" t="str">
        <f ca="1">IFERROR(__xludf.DUMMYFUNCTION("GOOGLEFINANCE(""NSE:""&amp;D442,""price"")"),"#N/A")</f>
        <v>#N/A</v>
      </c>
      <c r="M442" s="9" t="e">
        <f t="shared" ca="1" si="7"/>
        <v>#VALUE!</v>
      </c>
      <c r="N442" s="10" t="e">
        <f t="shared" ca="1" si="8"/>
        <v>#VALUE!</v>
      </c>
      <c r="O442" s="7" t="str">
        <f ca="1">IFERROR(__xludf.DUMMYFUNCTION("GOOGLEFINANCE(""NSE:""&amp;D442,""pe"")"),"#N/A")</f>
        <v>#N/A</v>
      </c>
      <c r="P442" s="7" t="str">
        <f ca="1">IFERROR(__xludf.DUMMYFUNCTION("GOOGLEFINANCE(""NSE:""&amp;D442,""EPS"")"),"#N/A")</f>
        <v>#N/A</v>
      </c>
      <c r="Q442" s="7">
        <v>13.5</v>
      </c>
      <c r="R442" s="7" t="str">
        <f ca="1">IFERROR(__xludf.DUMMYFUNCTION("IMPORTXML(E442,""/html/body/main/div[3]/div[3]/div[2]/ul/li[7]/span[2]/span"")"),"Loading...")</f>
        <v>Loading...</v>
      </c>
      <c r="S442" s="7" t="str">
        <f ca="1">IFERROR(__xludf.DUMMYFUNCTION("IMPORTXML(E442,""/html/body/main/div[3]/div[3]/div[2]/ul/li[8]/span[2]/span"")"),"Loading...")</f>
        <v>Loading...</v>
      </c>
      <c r="T442" s="4">
        <v>34.6</v>
      </c>
      <c r="U442" s="4">
        <v>22.7</v>
      </c>
      <c r="V442" s="4">
        <v>2.6</v>
      </c>
      <c r="W442" s="4">
        <v>5.7</v>
      </c>
      <c r="X442" s="4">
        <v>519.92999999999995</v>
      </c>
      <c r="Y442" s="7" t="e">
        <f t="shared" ca="1" si="9"/>
        <v>#VALUE!</v>
      </c>
    </row>
    <row r="443" spans="1:25" ht="15" x14ac:dyDescent="0.25">
      <c r="A443" s="4">
        <v>493</v>
      </c>
      <c r="C443" s="12" t="s">
        <v>1429</v>
      </c>
      <c r="D443" s="12" t="s">
        <v>1430</v>
      </c>
      <c r="E443" s="5" t="str">
        <f t="shared" si="5"/>
        <v>https://www.screener.in/company/BANCOINDIA/consolidated/</v>
      </c>
      <c r="F443" s="4">
        <v>443059</v>
      </c>
      <c r="G443" s="4">
        <v>3832241897</v>
      </c>
      <c r="H443" s="6">
        <f t="shared" ca="1" si="6"/>
        <v>232425.47105304999</v>
      </c>
      <c r="I443" s="7" t="str">
        <f ca="1">IFERROR(__xludf.DUMMYFUNCTION("IMPORTXML(E443,""/html/body/main/div[3]/div[3]/div[2]/ul/li[5]/span[2]/span"")"),"Loading...")</f>
        <v>Loading...</v>
      </c>
      <c r="J443" s="7">
        <f ca="1">IFERROR(__xludf.DUMMYFUNCTION("GOOGLEFINANCE(""NSE:""&amp;D443,""marketcap"")"),87066800000)</f>
        <v>87066800000</v>
      </c>
      <c r="K443" s="7">
        <v>992.8</v>
      </c>
      <c r="L443" s="8">
        <f ca="1">IFERROR(__xludf.DUMMYFUNCTION("GOOGLEFINANCE(""NSE:""&amp;D443,""price"")"),606.5)</f>
        <v>606.5</v>
      </c>
      <c r="M443" s="9">
        <f t="shared" ca="1" si="7"/>
        <v>-386.29999999999995</v>
      </c>
      <c r="N443" s="10">
        <f t="shared" ca="1" si="8"/>
        <v>-38.910153102336821</v>
      </c>
      <c r="O443" s="7">
        <f ca="1">IFERROR(__xludf.DUMMYFUNCTION("GOOGLEFINANCE(""NSE:""&amp;D443,""pe"")"),20.05)</f>
        <v>20.05</v>
      </c>
      <c r="P443" s="7">
        <f ca="1">IFERROR(__xludf.DUMMYFUNCTION("GOOGLEFINANCE(""NSE:""&amp;D443,""EPS"")"),30.25)</f>
        <v>30.25</v>
      </c>
      <c r="Q443" s="7">
        <v>13.5</v>
      </c>
      <c r="R443" s="7" t="str">
        <f ca="1">IFERROR(__xludf.DUMMYFUNCTION("IMPORTXML(E443,""/html/body/main/div[3]/div[3]/div[2]/ul/li[7]/span[2]/span"")"),"Loading...")</f>
        <v>Loading...</v>
      </c>
      <c r="S443" s="7" t="str">
        <f ca="1">IFERROR(__xludf.DUMMYFUNCTION("IMPORTXML(E443,""/html/body/main/div[3]/div[3]/div[2]/ul/li[8]/span[2]/span"")"),"Loading...")</f>
        <v>Loading...</v>
      </c>
      <c r="T443" s="4">
        <v>34.6</v>
      </c>
      <c r="U443" s="4">
        <v>22.7</v>
      </c>
      <c r="V443" s="4">
        <v>2.6</v>
      </c>
      <c r="W443" s="4">
        <v>5.7</v>
      </c>
      <c r="X443" s="4">
        <v>519.92999999999995</v>
      </c>
      <c r="Y443" s="7">
        <f t="shared" ca="1" si="9"/>
        <v>86.57000000000005</v>
      </c>
    </row>
    <row r="444" spans="1:25" ht="15" x14ac:dyDescent="0.25">
      <c r="A444" s="4">
        <v>1650</v>
      </c>
      <c r="C444" s="12" t="s">
        <v>1431</v>
      </c>
      <c r="D444" s="12" t="s">
        <v>1432</v>
      </c>
      <c r="E444" s="5" t="str">
        <f t="shared" si="5"/>
        <v>https://www.screener.in/company/MGEL/consolidated/</v>
      </c>
      <c r="F444" s="4">
        <v>443059</v>
      </c>
      <c r="G444" s="4">
        <v>3832241897</v>
      </c>
      <c r="H444" s="6">
        <f t="shared" ca="1" si="6"/>
        <v>5840.3366510280002</v>
      </c>
      <c r="I444" s="7" t="str">
        <f ca="1">IFERROR(__xludf.DUMMYFUNCTION("IMPORTXML(E444,""/html/body/main/div[3]/div[3]/div[2]/ul/li[5]/span[2]/span"")"),"Loading...")</f>
        <v>Loading...</v>
      </c>
      <c r="J444" s="7">
        <f ca="1">IFERROR(__xludf.DUMMYFUNCTION("GOOGLEFINANCE(""NSE:""&amp;D444,""marketcap"")"),5038692442)</f>
        <v>5038692442</v>
      </c>
      <c r="K444" s="7">
        <v>992.8</v>
      </c>
      <c r="L444" s="8">
        <f ca="1">IFERROR(__xludf.DUMMYFUNCTION("GOOGLEFINANCE(""NSE:""&amp;D444,""price"")"),15.24)</f>
        <v>15.24</v>
      </c>
      <c r="M444" s="9">
        <f t="shared" ca="1" si="7"/>
        <v>-977.56</v>
      </c>
      <c r="N444" s="10">
        <f t="shared" ca="1" si="8"/>
        <v>-98.464947622884765</v>
      </c>
      <c r="O444" s="7">
        <f ca="1">IFERROR(__xludf.DUMMYFUNCTION("GOOGLEFINANCE(""NSE:""&amp;D444,""pe"")"),17.19)</f>
        <v>17.190000000000001</v>
      </c>
      <c r="P444" s="7">
        <f ca="1">IFERROR(__xludf.DUMMYFUNCTION("GOOGLEFINANCE(""NSE:""&amp;D444,""EPS"")"),0.89)</f>
        <v>0.89</v>
      </c>
      <c r="Q444" s="7">
        <v>13.5</v>
      </c>
      <c r="R444" s="7" t="str">
        <f ca="1">IFERROR(__xludf.DUMMYFUNCTION("IMPORTXML(E444,""/html/body/main/div[3]/div[3]/div[2]/ul/li[7]/span[2]/span"")"),"Loading...")</f>
        <v>Loading...</v>
      </c>
      <c r="S444" s="7" t="str">
        <f ca="1">IFERROR(__xludf.DUMMYFUNCTION("IMPORTXML(E444,""/html/body/main/div[3]/div[3]/div[2]/ul/li[8]/span[2]/span"")"),"Loading...")</f>
        <v>Loading...</v>
      </c>
      <c r="T444" s="4">
        <v>34.6</v>
      </c>
      <c r="U444" s="4">
        <v>22.7</v>
      </c>
      <c r="V444" s="4">
        <v>2.6</v>
      </c>
      <c r="W444" s="4">
        <v>5.7</v>
      </c>
      <c r="X444" s="4">
        <v>519.92999999999995</v>
      </c>
      <c r="Y444" s="7">
        <f t="shared" ca="1" si="9"/>
        <v>-504.68999999999994</v>
      </c>
    </row>
    <row r="445" spans="1:25" ht="15" x14ac:dyDescent="0.25">
      <c r="A445" s="4">
        <v>279</v>
      </c>
      <c r="C445" s="12" t="s">
        <v>1433</v>
      </c>
      <c r="D445" s="12" t="s">
        <v>1434</v>
      </c>
      <c r="E445" s="5" t="str">
        <f t="shared" si="5"/>
        <v>https://www.screener.in/company/RTNINDIA/consolidated/</v>
      </c>
      <c r="F445" s="4">
        <v>443059</v>
      </c>
      <c r="G445" s="4">
        <v>3832241897</v>
      </c>
      <c r="H445" s="6">
        <f t="shared" ca="1" si="6"/>
        <v>23759.8997614</v>
      </c>
      <c r="I445" s="7" t="str">
        <f ca="1">IFERROR(__xludf.DUMMYFUNCTION("IMPORTXML(E445,""/html/body/main/div[3]/div[3]/div[2]/ul/li[5]/span[2]/span"")"),"Loading...")</f>
        <v>Loading...</v>
      </c>
      <c r="J445" s="7">
        <f ca="1">IFERROR(__xludf.DUMMYFUNCTION("GOOGLEFINANCE(""NSE:""&amp;D445,""marketcap"")"),85470636504)</f>
        <v>85470636504</v>
      </c>
      <c r="K445" s="7">
        <v>992.8</v>
      </c>
      <c r="L445" s="8">
        <f ca="1">IFERROR(__xludf.DUMMYFUNCTION("GOOGLEFINANCE(""NSE:""&amp;D445,""price"")"),62)</f>
        <v>62</v>
      </c>
      <c r="M445" s="9">
        <f t="shared" ca="1" si="7"/>
        <v>-930.8</v>
      </c>
      <c r="N445" s="10">
        <f t="shared" ca="1" si="8"/>
        <v>-93.755036261079766</v>
      </c>
      <c r="O445" s="7" t="str">
        <f ca="1">IFERROR(__xludf.DUMMYFUNCTION("GOOGLEFINANCE(""NSE:""&amp;D445,""pe"")"),"#N/A")</f>
        <v>#N/A</v>
      </c>
      <c r="P445" s="7">
        <f ca="1">IFERROR(__xludf.DUMMYFUNCTION("GOOGLEFINANCE(""NSE:""&amp;D445,""EPS"")"),-1.92)</f>
        <v>-1.92</v>
      </c>
      <c r="Q445" s="7">
        <v>13.5</v>
      </c>
      <c r="R445" s="7" t="str">
        <f ca="1">IFERROR(__xludf.DUMMYFUNCTION("IMPORTXML(E445,""/html/body/main/div[3]/div[3]/div[2]/ul/li[7]/span[2]/span"")"),"Loading...")</f>
        <v>Loading...</v>
      </c>
      <c r="S445" s="7" t="str">
        <f ca="1">IFERROR(__xludf.DUMMYFUNCTION("IMPORTXML(E445,""/html/body/main/div[3]/div[3]/div[2]/ul/li[8]/span[2]/span"")"),"Loading...")</f>
        <v>Loading...</v>
      </c>
      <c r="T445" s="4">
        <v>34.6</v>
      </c>
      <c r="U445" s="4">
        <v>22.7</v>
      </c>
      <c r="V445" s="4">
        <v>2.6</v>
      </c>
      <c r="W445" s="4">
        <v>5.7</v>
      </c>
      <c r="X445" s="4">
        <v>519.92999999999995</v>
      </c>
      <c r="Y445" s="7">
        <f t="shared" ca="1" si="9"/>
        <v>-457.92999999999995</v>
      </c>
    </row>
    <row r="446" spans="1:25" ht="15" x14ac:dyDescent="0.25">
      <c r="A446" s="4">
        <v>998</v>
      </c>
      <c r="C446" s="12" t="s">
        <v>1435</v>
      </c>
      <c r="D446" s="12" t="s">
        <v>1436</v>
      </c>
      <c r="E446" s="5" t="str">
        <f t="shared" si="5"/>
        <v>https://www.screener.in/company/MONTECARLO/consolidated/</v>
      </c>
      <c r="F446" s="4">
        <v>443059</v>
      </c>
      <c r="G446" s="4">
        <v>3832241897</v>
      </c>
      <c r="H446" s="6">
        <f t="shared" ca="1" si="6"/>
        <v>230700.9621994</v>
      </c>
      <c r="I446" s="7" t="str">
        <f ca="1">IFERROR(__xludf.DUMMYFUNCTION("IMPORTXML(E446,""/html/body/main/div[3]/div[3]/div[2]/ul/li[5]/span[2]/span"")"),"Loading...")</f>
        <v>Loading...</v>
      </c>
      <c r="J446" s="7">
        <f ca="1">IFERROR(__xludf.DUMMYFUNCTION("GOOGLEFINANCE(""NSE:""&amp;D446,""marketcap"")"),12451680000)</f>
        <v>12451680000</v>
      </c>
      <c r="K446" s="7">
        <v>992.8</v>
      </c>
      <c r="L446" s="8">
        <f ca="1">IFERROR(__xludf.DUMMYFUNCTION("GOOGLEFINANCE(""NSE:""&amp;D446,""price"")"),602)</f>
        <v>602</v>
      </c>
      <c r="M446" s="9">
        <f t="shared" ca="1" si="7"/>
        <v>-390.79999999999995</v>
      </c>
      <c r="N446" s="10">
        <f t="shared" ca="1" si="8"/>
        <v>-39.363416599516512</v>
      </c>
      <c r="O446" s="7">
        <f ca="1">IFERROR(__xludf.DUMMYFUNCTION("GOOGLEFINANCE(""NSE:""&amp;D446,""pe"")"),15.96)</f>
        <v>15.96</v>
      </c>
      <c r="P446" s="7">
        <f ca="1">IFERROR(__xludf.DUMMYFUNCTION("GOOGLEFINANCE(""NSE:""&amp;D446,""EPS"")"),37.73)</f>
        <v>37.729999999999997</v>
      </c>
      <c r="Q446" s="7">
        <v>13.5</v>
      </c>
      <c r="R446" s="7" t="str">
        <f ca="1">IFERROR(__xludf.DUMMYFUNCTION("IMPORTXML(E446,""/html/body/main/div[3]/div[3]/div[2]/ul/li[7]/span[2]/span"")"),"Loading...")</f>
        <v>Loading...</v>
      </c>
      <c r="S446" s="7" t="str">
        <f ca="1">IFERROR(__xludf.DUMMYFUNCTION("IMPORTXML(E446,""/html/body/main/div[3]/div[3]/div[2]/ul/li[8]/span[2]/span"")"),"Loading...")</f>
        <v>Loading...</v>
      </c>
      <c r="T446" s="4">
        <v>34.6</v>
      </c>
      <c r="U446" s="4">
        <v>22.7</v>
      </c>
      <c r="V446" s="4">
        <v>2.6</v>
      </c>
      <c r="W446" s="4">
        <v>5.7</v>
      </c>
      <c r="X446" s="4">
        <v>519.92999999999995</v>
      </c>
      <c r="Y446" s="7">
        <f t="shared" ca="1" si="9"/>
        <v>82.07000000000005</v>
      </c>
    </row>
    <row r="447" spans="1:25" ht="15" x14ac:dyDescent="0.25">
      <c r="A447" s="4">
        <v>1709</v>
      </c>
      <c r="C447" s="12" t="s">
        <v>1437</v>
      </c>
      <c r="D447" s="12" t="s">
        <v>1438</v>
      </c>
      <c r="E447" s="5" t="str">
        <f t="shared" si="5"/>
        <v>https://www.screener.in/company/AVONMORE/consolidated/</v>
      </c>
      <c r="F447" s="4">
        <v>443059</v>
      </c>
      <c r="G447" s="4">
        <v>3832241897</v>
      </c>
      <c r="H447" s="6">
        <f t="shared" ca="1" si="6"/>
        <v>7434.5492801799992</v>
      </c>
      <c r="I447" s="7" t="str">
        <f ca="1">IFERROR(__xludf.DUMMYFUNCTION("IMPORTXML(E447,""/html/body/main/div[3]/div[3]/div[2]/ul/li[5]/span[2]/span"")"),"Loading...")</f>
        <v>Loading...</v>
      </c>
      <c r="J447" s="7">
        <f ca="1">IFERROR(__xludf.DUMMYFUNCTION("GOOGLEFINANCE(""NSE:""&amp;D447,""marketcap"")"),5474383072)</f>
        <v>5474383072</v>
      </c>
      <c r="K447" s="7">
        <v>992.8</v>
      </c>
      <c r="L447" s="8">
        <f ca="1">IFERROR(__xludf.DUMMYFUNCTION("GOOGLEFINANCE(""NSE:""&amp;D447,""price"")"),19.4)</f>
        <v>19.399999999999999</v>
      </c>
      <c r="M447" s="9">
        <f t="shared" ca="1" si="7"/>
        <v>-973.4</v>
      </c>
      <c r="N447" s="10">
        <f t="shared" ca="1" si="8"/>
        <v>-98.045930701047553</v>
      </c>
      <c r="O447" s="7">
        <f ca="1">IFERROR(__xludf.DUMMYFUNCTION("GOOGLEFINANCE(""NSE:""&amp;D447,""pe"")"),16.3)</f>
        <v>16.3</v>
      </c>
      <c r="P447" s="7">
        <f ca="1">IFERROR(__xludf.DUMMYFUNCTION("GOOGLEFINANCE(""NSE:""&amp;D447,""EPS"")"),1.19)</f>
        <v>1.19</v>
      </c>
      <c r="Q447" s="7">
        <v>13.5</v>
      </c>
      <c r="R447" s="7" t="str">
        <f ca="1">IFERROR(__xludf.DUMMYFUNCTION("IMPORTXML(E447,""/html/body/main/div[3]/div[3]/div[2]/ul/li[7]/span[2]/span"")"),"Loading...")</f>
        <v>Loading...</v>
      </c>
      <c r="S447" s="7" t="str">
        <f ca="1">IFERROR(__xludf.DUMMYFUNCTION("IMPORTXML(E447,""/html/body/main/div[3]/div[3]/div[2]/ul/li[8]/span[2]/span"")"),"Loading...")</f>
        <v>Loading...</v>
      </c>
      <c r="T447" s="4">
        <v>34.6</v>
      </c>
      <c r="U447" s="4">
        <v>22.7</v>
      </c>
      <c r="V447" s="4">
        <v>2.6</v>
      </c>
      <c r="W447" s="4">
        <v>5.7</v>
      </c>
      <c r="X447" s="4">
        <v>519.92999999999995</v>
      </c>
      <c r="Y447" s="7">
        <f t="shared" ca="1" si="9"/>
        <v>-500.53</v>
      </c>
    </row>
    <row r="448" spans="1:25" ht="15" x14ac:dyDescent="0.25">
      <c r="A448" s="4">
        <v>1552</v>
      </c>
      <c r="C448" s="12" t="s">
        <v>1439</v>
      </c>
      <c r="D448" s="12" t="s">
        <v>1440</v>
      </c>
      <c r="E448" s="5" t="str">
        <f t="shared" si="5"/>
        <v>https://www.screener.in/company/SRGHFL/consolidated/</v>
      </c>
      <c r="F448" s="4">
        <v>443059</v>
      </c>
      <c r="G448" s="4">
        <v>3832241897</v>
      </c>
      <c r="H448" s="6">
        <f t="shared" ca="1" si="6"/>
        <v>115350.4810997</v>
      </c>
      <c r="I448" s="7" t="str">
        <f ca="1">IFERROR(__xludf.DUMMYFUNCTION("IMPORTXML(E448,""/html/body/main/div[3]/div[3]/div[2]/ul/li[5]/span[2]/span"")"),"Loading...")</f>
        <v>Loading...</v>
      </c>
      <c r="J448" s="7">
        <f ca="1">IFERROR(__xludf.DUMMYFUNCTION("GOOGLEFINANCE(""NSE:""&amp;D448,""marketcap"")"),4719809430)</f>
        <v>4719809430</v>
      </c>
      <c r="K448" s="7">
        <v>992.8</v>
      </c>
      <c r="L448" s="8">
        <f ca="1">IFERROR(__xludf.DUMMYFUNCTION("GOOGLEFINANCE(""NSE:""&amp;D448,""price"")"),301)</f>
        <v>301</v>
      </c>
      <c r="M448" s="9">
        <f t="shared" ca="1" si="7"/>
        <v>-691.8</v>
      </c>
      <c r="N448" s="10">
        <f t="shared" ca="1" si="8"/>
        <v>-69.681708299758256</v>
      </c>
      <c r="O448" s="7">
        <f ca="1">IFERROR(__xludf.DUMMYFUNCTION("GOOGLEFINANCE(""NSE:""&amp;D448,""pe"")"),17.34)</f>
        <v>17.34</v>
      </c>
      <c r="P448" s="7">
        <f ca="1">IFERROR(__xludf.DUMMYFUNCTION("GOOGLEFINANCE(""NSE:""&amp;D448,""EPS"")"),17.36)</f>
        <v>17.36</v>
      </c>
      <c r="Q448" s="7">
        <v>13.5</v>
      </c>
      <c r="R448" s="7" t="str">
        <f ca="1">IFERROR(__xludf.DUMMYFUNCTION("IMPORTXML(E448,""/html/body/main/div[3]/div[3]/div[2]/ul/li[7]/span[2]/span"")"),"Loading...")</f>
        <v>Loading...</v>
      </c>
      <c r="S448" s="7" t="str">
        <f ca="1">IFERROR(__xludf.DUMMYFUNCTION("IMPORTXML(E448,""/html/body/main/div[3]/div[3]/div[2]/ul/li[8]/span[2]/span"")"),"Loading...")</f>
        <v>Loading...</v>
      </c>
      <c r="T448" s="4">
        <v>34.6</v>
      </c>
      <c r="U448" s="4">
        <v>22.7</v>
      </c>
      <c r="V448" s="4">
        <v>2.6</v>
      </c>
      <c r="W448" s="4">
        <v>5.7</v>
      </c>
      <c r="X448" s="4">
        <v>519.92999999999995</v>
      </c>
      <c r="Y448" s="7">
        <f t="shared" ca="1" si="9"/>
        <v>-218.92999999999995</v>
      </c>
    </row>
    <row r="449" spans="1:25" ht="15" x14ac:dyDescent="0.25">
      <c r="A449" s="4">
        <v>2272</v>
      </c>
      <c r="C449" s="12" t="s">
        <v>1441</v>
      </c>
      <c r="D449" s="12" t="s">
        <v>1442</v>
      </c>
      <c r="E449" s="5" t="str">
        <f t="shared" si="5"/>
        <v>https://www.screener.in/company/PIONEEREMB/consolidated/</v>
      </c>
      <c r="F449" s="4">
        <v>443059</v>
      </c>
      <c r="G449" s="4">
        <v>3832241897</v>
      </c>
      <c r="H449" s="6">
        <f t="shared" ca="1" si="6"/>
        <v>14121.811390445002</v>
      </c>
      <c r="I449" s="7" t="str">
        <f ca="1">IFERROR(__xludf.DUMMYFUNCTION("IMPORTXML(E449,""/html/body/main/div[3]/div[3]/div[2]/ul/li[5]/span[2]/span"")"),"Loading...")</f>
        <v>Loading...</v>
      </c>
      <c r="J449" s="7">
        <f ca="1">IFERROR(__xludf.DUMMYFUNCTION("GOOGLEFINANCE(""NSE:""&amp;D449,""marketcap"")"),1132776000)</f>
        <v>1132776000</v>
      </c>
      <c r="K449" s="7">
        <v>992.8</v>
      </c>
      <c r="L449" s="8">
        <f ca="1">IFERROR(__xludf.DUMMYFUNCTION("GOOGLEFINANCE(""NSE:""&amp;D449,""price"")"),36.85)</f>
        <v>36.85</v>
      </c>
      <c r="M449" s="9">
        <f t="shared" ca="1" si="7"/>
        <v>-955.94999999999993</v>
      </c>
      <c r="N449" s="10">
        <f t="shared" ca="1" si="8"/>
        <v>-96.288275584206289</v>
      </c>
      <c r="O449" s="7">
        <f ca="1">IFERROR(__xludf.DUMMYFUNCTION("GOOGLEFINANCE(""NSE:""&amp;D449,""pe"")"),21.34)</f>
        <v>21.34</v>
      </c>
      <c r="P449" s="7">
        <f ca="1">IFERROR(__xludf.DUMMYFUNCTION("GOOGLEFINANCE(""NSE:""&amp;D449,""EPS"")"),1.73)</f>
        <v>1.73</v>
      </c>
      <c r="Q449" s="7">
        <v>13.5</v>
      </c>
      <c r="R449" s="7" t="str">
        <f ca="1">IFERROR(__xludf.DUMMYFUNCTION("IMPORTXML(E449,""/html/body/main/div[3]/div[3]/div[2]/ul/li[7]/span[2]/span"")"),"Loading...")</f>
        <v>Loading...</v>
      </c>
      <c r="S449" s="7" t="str">
        <f ca="1">IFERROR(__xludf.DUMMYFUNCTION("IMPORTXML(E449,""/html/body/main/div[3]/div[3]/div[2]/ul/li[8]/span[2]/span"")"),"Loading...")</f>
        <v>Loading...</v>
      </c>
      <c r="T449" s="4">
        <v>34.6</v>
      </c>
      <c r="U449" s="4">
        <v>22.7</v>
      </c>
      <c r="V449" s="4">
        <v>2.6</v>
      </c>
      <c r="W449" s="4">
        <v>5.7</v>
      </c>
      <c r="X449" s="4">
        <v>519.92999999999995</v>
      </c>
      <c r="Y449" s="7">
        <f t="shared" ca="1" si="9"/>
        <v>-483.07999999999993</v>
      </c>
    </row>
    <row r="450" spans="1:25" ht="15" x14ac:dyDescent="0.25">
      <c r="A450" s="4">
        <v>794</v>
      </c>
      <c r="C450" s="12" t="s">
        <v>1443</v>
      </c>
      <c r="D450" s="12" t="s">
        <v>1444</v>
      </c>
      <c r="E450" s="5" t="str">
        <f t="shared" si="5"/>
        <v>https://www.screener.in/company/LUMAXIND/consolidated/</v>
      </c>
      <c r="F450" s="4">
        <v>443059</v>
      </c>
      <c r="G450" s="4">
        <v>3832241897</v>
      </c>
      <c r="H450" s="6">
        <f t="shared" ca="1" si="6"/>
        <v>1594979.0775313999</v>
      </c>
      <c r="I450" s="7" t="str">
        <f ca="1">IFERROR(__xludf.DUMMYFUNCTION("IMPORTXML(E450,""/html/body/main/div[3]/div[3]/div[2]/ul/li[5]/span[2]/span"")"),"Loading...")</f>
        <v>Loading...</v>
      </c>
      <c r="J450" s="7">
        <f ca="1">IFERROR(__xludf.DUMMYFUNCTION("GOOGLEFINANCE(""NSE:""&amp;D450,""marketcap"")"),38722050000)</f>
        <v>38722050000</v>
      </c>
      <c r="K450" s="7">
        <v>992.8</v>
      </c>
      <c r="L450" s="8">
        <f ca="1">IFERROR(__xludf.DUMMYFUNCTION("GOOGLEFINANCE(""NSE:""&amp;D450,""price"")"),4162)</f>
        <v>4162</v>
      </c>
      <c r="M450" s="9">
        <f t="shared" ca="1" si="7"/>
        <v>3169.2</v>
      </c>
      <c r="N450" s="10">
        <f t="shared" ca="1" si="8"/>
        <v>319.21837228041903</v>
      </c>
      <c r="O450" s="7">
        <f ca="1">IFERROR(__xludf.DUMMYFUNCTION("GOOGLEFINANCE(""NSE:""&amp;D450,""pe"")"),27.41)</f>
        <v>27.41</v>
      </c>
      <c r="P450" s="7">
        <f ca="1">IFERROR(__xludf.DUMMYFUNCTION("GOOGLEFINANCE(""NSE:""&amp;D450,""EPS"")"),151.82)</f>
        <v>151.82</v>
      </c>
      <c r="Q450" s="7">
        <v>13.5</v>
      </c>
      <c r="R450" s="7" t="str">
        <f ca="1">IFERROR(__xludf.DUMMYFUNCTION("IMPORTXML(E450,""/html/body/main/div[3]/div[3]/div[2]/ul/li[7]/span[2]/span"")"),"Loading...")</f>
        <v>Loading...</v>
      </c>
      <c r="S450" s="7" t="str">
        <f ca="1">IFERROR(__xludf.DUMMYFUNCTION("IMPORTXML(E450,""/html/body/main/div[3]/div[3]/div[2]/ul/li[8]/span[2]/span"")"),"Loading...")</f>
        <v>Loading...</v>
      </c>
      <c r="T450" s="4">
        <v>34.6</v>
      </c>
      <c r="U450" s="4">
        <v>22.7</v>
      </c>
      <c r="V450" s="4">
        <v>2.6</v>
      </c>
      <c r="W450" s="4">
        <v>5.7</v>
      </c>
      <c r="X450" s="4">
        <v>519.92999999999995</v>
      </c>
      <c r="Y450" s="7">
        <f t="shared" ca="1" si="9"/>
        <v>3642.07</v>
      </c>
    </row>
    <row r="451" spans="1:25" ht="15" x14ac:dyDescent="0.25">
      <c r="A451" s="4">
        <v>668</v>
      </c>
      <c r="C451" s="12" t="s">
        <v>1445</v>
      </c>
      <c r="D451" s="12" t="s">
        <v>1446</v>
      </c>
      <c r="E451" s="5" t="str">
        <f t="shared" si="5"/>
        <v>https://www.screener.in/company/BFUTILITIE/consolidated/</v>
      </c>
      <c r="F451" s="4">
        <v>443059</v>
      </c>
      <c r="G451" s="4">
        <v>3832241897</v>
      </c>
      <c r="H451" s="6">
        <f t="shared" ca="1" si="6"/>
        <v>308418.82787055994</v>
      </c>
      <c r="I451" s="7" t="str">
        <f ca="1">IFERROR(__xludf.DUMMYFUNCTION("IMPORTXML(E451,""/html/body/main/div[3]/div[3]/div[2]/ul/li[5]/span[2]/span"")"),"Loading...")</f>
        <v>Loading...</v>
      </c>
      <c r="J451" s="7">
        <f ca="1">IFERROR(__xludf.DUMMYFUNCTION("GOOGLEFINANCE(""NSE:""&amp;D451,""marketcap"")"),30305380100)</f>
        <v>30305380100</v>
      </c>
      <c r="K451" s="7">
        <v>992.8</v>
      </c>
      <c r="L451" s="8">
        <f ca="1">IFERROR(__xludf.DUMMYFUNCTION("GOOGLEFINANCE(""NSE:""&amp;D451,""price"")"),804.8)</f>
        <v>804.8</v>
      </c>
      <c r="M451" s="9">
        <f t="shared" ca="1" si="7"/>
        <v>-188</v>
      </c>
      <c r="N451" s="10">
        <f t="shared" ca="1" si="8"/>
        <v>-18.936341659951651</v>
      </c>
      <c r="O451" s="7">
        <f ca="1">IFERROR(__xludf.DUMMYFUNCTION("GOOGLEFINANCE(""NSE:""&amp;D451,""pe"")"),20.46)</f>
        <v>20.46</v>
      </c>
      <c r="P451" s="7">
        <f ca="1">IFERROR(__xludf.DUMMYFUNCTION("GOOGLEFINANCE(""NSE:""&amp;D451,""EPS"")"),39.33)</f>
        <v>39.33</v>
      </c>
      <c r="Q451" s="7">
        <v>13.5</v>
      </c>
      <c r="R451" s="7" t="str">
        <f ca="1">IFERROR(__xludf.DUMMYFUNCTION("IMPORTXML(E451,""/html/body/main/div[3]/div[3]/div[2]/ul/li[7]/span[2]/span"")"),"Loading...")</f>
        <v>Loading...</v>
      </c>
      <c r="S451" s="7" t="str">
        <f ca="1">IFERROR(__xludf.DUMMYFUNCTION("IMPORTXML(E451,""/html/body/main/div[3]/div[3]/div[2]/ul/li[8]/span[2]/span"")"),"Loading...")</f>
        <v>Loading...</v>
      </c>
      <c r="T451" s="4">
        <v>34.6</v>
      </c>
      <c r="U451" s="4">
        <v>22.7</v>
      </c>
      <c r="V451" s="4">
        <v>2.6</v>
      </c>
      <c r="W451" s="4">
        <v>5.7</v>
      </c>
      <c r="X451" s="4">
        <v>519.92999999999995</v>
      </c>
      <c r="Y451" s="7">
        <f t="shared" ca="1" si="9"/>
        <v>284.87</v>
      </c>
    </row>
    <row r="452" spans="1:25" ht="15" x14ac:dyDescent="0.25">
      <c r="A452" s="4">
        <v>390</v>
      </c>
      <c r="C452" s="12" t="s">
        <v>1447</v>
      </c>
      <c r="D452" s="12" t="s">
        <v>1448</v>
      </c>
      <c r="E452" s="5" t="str">
        <f t="shared" si="5"/>
        <v>https://www.screener.in/company/ICIL/consolidated/</v>
      </c>
      <c r="F452" s="4">
        <v>443059</v>
      </c>
      <c r="G452" s="4">
        <v>3832241897</v>
      </c>
      <c r="H452" s="6">
        <f t="shared" ca="1" si="6"/>
        <v>90249.29667435</v>
      </c>
      <c r="I452" s="7" t="str">
        <f ca="1">IFERROR(__xludf.DUMMYFUNCTION("IMPORTXML(E452,""/html/body/main/div[3]/div[3]/div[2]/ul/li[5]/span[2]/span"")"),"Loading...")</f>
        <v>Loading...</v>
      </c>
      <c r="J452" s="7">
        <f ca="1">IFERROR(__xludf.DUMMYFUNCTION("GOOGLEFINANCE(""NSE:""&amp;D452,""marketcap"")"),46554650000)</f>
        <v>46554650000</v>
      </c>
      <c r="K452" s="7">
        <v>992.8</v>
      </c>
      <c r="L452" s="8">
        <f ca="1">IFERROR(__xludf.DUMMYFUNCTION("GOOGLEFINANCE(""NSE:""&amp;D452,""price"")"),235.5)</f>
        <v>235.5</v>
      </c>
      <c r="M452" s="9">
        <f t="shared" ca="1" si="7"/>
        <v>-757.3</v>
      </c>
      <c r="N452" s="10">
        <f t="shared" ca="1" si="8"/>
        <v>-76.279210314262684</v>
      </c>
      <c r="O452" s="7">
        <f ca="1">IFERROR(__xludf.DUMMYFUNCTION("GOOGLEFINANCE(""NSE:""&amp;D452,""pe"")"),22.63)</f>
        <v>22.63</v>
      </c>
      <c r="P452" s="7">
        <f ca="1">IFERROR(__xludf.DUMMYFUNCTION("GOOGLEFINANCE(""NSE:""&amp;D452,""EPS"")"),10.4)</f>
        <v>10.4</v>
      </c>
      <c r="Q452" s="7">
        <v>13.5</v>
      </c>
      <c r="R452" s="7" t="str">
        <f ca="1">IFERROR(__xludf.DUMMYFUNCTION("IMPORTXML(E452,""/html/body/main/div[3]/div[3]/div[2]/ul/li[7]/span[2]/span"")"),"Loading...")</f>
        <v>Loading...</v>
      </c>
      <c r="S452" s="7" t="str">
        <f ca="1">IFERROR(__xludf.DUMMYFUNCTION("IMPORTXML(E452,""/html/body/main/div[3]/div[3]/div[2]/ul/li[8]/span[2]/span"")"),"Loading...")</f>
        <v>Loading...</v>
      </c>
      <c r="T452" s="4">
        <v>34.6</v>
      </c>
      <c r="U452" s="4">
        <v>22.7</v>
      </c>
      <c r="V452" s="4">
        <v>2.6</v>
      </c>
      <c r="W452" s="4">
        <v>5.7</v>
      </c>
      <c r="X452" s="4">
        <v>519.92999999999995</v>
      </c>
      <c r="Y452" s="7">
        <f t="shared" ca="1" si="9"/>
        <v>-284.42999999999995</v>
      </c>
    </row>
    <row r="453" spans="1:25" ht="15" x14ac:dyDescent="0.25">
      <c r="A453" s="4">
        <v>795</v>
      </c>
      <c r="C453" s="12" t="s">
        <v>1449</v>
      </c>
      <c r="D453" s="12" t="s">
        <v>1450</v>
      </c>
      <c r="E453" s="5" t="str">
        <f t="shared" si="5"/>
        <v>https://www.screener.in/company/INDIANHUME/consolidated/</v>
      </c>
      <c r="F453" s="4">
        <v>443059</v>
      </c>
      <c r="G453" s="4">
        <v>3832241897</v>
      </c>
      <c r="H453" s="6">
        <f t="shared" ca="1" si="6"/>
        <v>150549.62292364502</v>
      </c>
      <c r="I453" s="7" t="str">
        <f ca="1">IFERROR(__xludf.DUMMYFUNCTION("IMPORTXML(E453,""/html/body/main/div[3]/div[3]/div[2]/ul/li[5]/span[2]/span"")"),"Loading...")</f>
        <v>Loading...</v>
      </c>
      <c r="J453" s="7">
        <f ca="1">IFERROR(__xludf.DUMMYFUNCTION("GOOGLEFINANCE(""NSE:""&amp;D453,""marketcap"")"),20190290000)</f>
        <v>20190290000</v>
      </c>
      <c r="K453" s="7">
        <v>992.8</v>
      </c>
      <c r="L453" s="8">
        <f ca="1">IFERROR(__xludf.DUMMYFUNCTION("GOOGLEFINANCE(""NSE:""&amp;D453,""price"")"),392.85)</f>
        <v>392.85</v>
      </c>
      <c r="M453" s="9">
        <f t="shared" ca="1" si="7"/>
        <v>-599.94999999999993</v>
      </c>
      <c r="N453" s="10">
        <f t="shared" ca="1" si="8"/>
        <v>-60.430096696212729</v>
      </c>
      <c r="O453" s="7">
        <f ca="1">IFERROR(__xludf.DUMMYFUNCTION("GOOGLEFINANCE(""NSE:""&amp;D453,""pe"")"),3.77)</f>
        <v>3.77</v>
      </c>
      <c r="P453" s="7">
        <f ca="1">IFERROR(__xludf.DUMMYFUNCTION("GOOGLEFINANCE(""NSE:""&amp;D453,""EPS"")"),104.13)</f>
        <v>104.13</v>
      </c>
      <c r="Q453" s="7">
        <v>13.5</v>
      </c>
      <c r="R453" s="7" t="str">
        <f ca="1">IFERROR(__xludf.DUMMYFUNCTION("IMPORTXML(E453,""/html/body/main/div[3]/div[3]/div[2]/ul/li[7]/span[2]/span"")"),"Loading...")</f>
        <v>Loading...</v>
      </c>
      <c r="S453" s="7" t="str">
        <f ca="1">IFERROR(__xludf.DUMMYFUNCTION("IMPORTXML(E453,""/html/body/main/div[3]/div[3]/div[2]/ul/li[8]/span[2]/span"")"),"Loading...")</f>
        <v>Loading...</v>
      </c>
      <c r="T453" s="4">
        <v>34.6</v>
      </c>
      <c r="U453" s="4">
        <v>22.7</v>
      </c>
      <c r="V453" s="4">
        <v>2.6</v>
      </c>
      <c r="W453" s="4">
        <v>5.7</v>
      </c>
      <c r="X453" s="4">
        <v>519.92999999999995</v>
      </c>
      <c r="Y453" s="7">
        <f t="shared" ca="1" si="9"/>
        <v>-127.07999999999993</v>
      </c>
    </row>
    <row r="454" spans="1:25" ht="15" x14ac:dyDescent="0.25">
      <c r="A454" s="4">
        <v>1645</v>
      </c>
      <c r="C454" s="12" t="s">
        <v>1451</v>
      </c>
      <c r="D454" s="12" t="s">
        <v>1452</v>
      </c>
      <c r="E454" s="5" t="str">
        <f t="shared" si="5"/>
        <v>https://www.screener.in/company/SCPL/consolidated/</v>
      </c>
      <c r="F454" s="4">
        <v>443059</v>
      </c>
      <c r="G454" s="4">
        <v>3832241897</v>
      </c>
      <c r="H454" s="6">
        <f t="shared" ca="1" si="6"/>
        <v>98373.649495989986</v>
      </c>
      <c r="I454" s="7" t="str">
        <f ca="1">IFERROR(__xludf.DUMMYFUNCTION("IMPORTXML(E454,""/html/body/main/div[3]/div[3]/div[2]/ul/li[5]/span[2]/span"")"),"Loading...")</f>
        <v>Loading...</v>
      </c>
      <c r="J454" s="7">
        <f ca="1">IFERROR(__xludf.DUMMYFUNCTION("GOOGLEFINANCE(""NSE:""&amp;D454,""marketcap"")"),2688205813)</f>
        <v>2688205813</v>
      </c>
      <c r="K454" s="7">
        <v>992.8</v>
      </c>
      <c r="L454" s="8">
        <f ca="1">IFERROR(__xludf.DUMMYFUNCTION("GOOGLEFINANCE(""NSE:""&amp;D454,""price"")"),256.7)</f>
        <v>256.7</v>
      </c>
      <c r="M454" s="9">
        <f t="shared" ca="1" si="7"/>
        <v>-736.09999999999991</v>
      </c>
      <c r="N454" s="10">
        <f t="shared" ca="1" si="8"/>
        <v>-74.143835616438352</v>
      </c>
      <c r="O454" s="7">
        <f ca="1">IFERROR(__xludf.DUMMYFUNCTION("GOOGLEFINANCE(""NSE:""&amp;D454,""pe"")"),18.63)</f>
        <v>18.63</v>
      </c>
      <c r="P454" s="7">
        <f ca="1">IFERROR(__xludf.DUMMYFUNCTION("GOOGLEFINANCE(""NSE:""&amp;D454,""EPS"")"),13.78)</f>
        <v>13.78</v>
      </c>
      <c r="Q454" s="7">
        <v>13.5</v>
      </c>
      <c r="R454" s="7" t="str">
        <f ca="1">IFERROR(__xludf.DUMMYFUNCTION("IMPORTXML(E454,""/html/body/main/div[3]/div[3]/div[2]/ul/li[7]/span[2]/span"")"),"Loading...")</f>
        <v>Loading...</v>
      </c>
      <c r="S454" s="7" t="str">
        <f ca="1">IFERROR(__xludf.DUMMYFUNCTION("IMPORTXML(E454,""/html/body/main/div[3]/div[3]/div[2]/ul/li[8]/span[2]/span"")"),"Loading...")</f>
        <v>Loading...</v>
      </c>
      <c r="T454" s="4">
        <v>34.6</v>
      </c>
      <c r="U454" s="4">
        <v>22.7</v>
      </c>
      <c r="V454" s="4">
        <v>2.6</v>
      </c>
      <c r="W454" s="4">
        <v>5.7</v>
      </c>
      <c r="X454" s="4">
        <v>519.92999999999995</v>
      </c>
      <c r="Y454" s="7">
        <f t="shared" ca="1" si="9"/>
        <v>-263.22999999999996</v>
      </c>
    </row>
    <row r="455" spans="1:25" ht="15" x14ac:dyDescent="0.25">
      <c r="A455" s="4">
        <v>2462</v>
      </c>
      <c r="C455" s="12" t="s">
        <v>1453</v>
      </c>
      <c r="D455" s="12" t="s">
        <v>1454</v>
      </c>
      <c r="E455" s="5" t="str">
        <f t="shared" si="5"/>
        <v>https://www.screener.in/company/MCL/consolidated/</v>
      </c>
      <c r="F455" s="4">
        <v>443059</v>
      </c>
      <c r="G455" s="4">
        <v>3832241897</v>
      </c>
      <c r="H455" s="6">
        <f t="shared" ca="1" si="6"/>
        <v>18049.859334870001</v>
      </c>
      <c r="I455" s="7" t="str">
        <f ca="1">IFERROR(__xludf.DUMMYFUNCTION("IMPORTXML(E455,""/html/body/main/div[3]/div[3]/div[2]/ul/li[5]/span[2]/span"")"),"Loading...")</f>
        <v>Loading...</v>
      </c>
      <c r="J455" s="7">
        <f ca="1">IFERROR(__xludf.DUMMYFUNCTION("GOOGLEFINANCE(""NSE:""&amp;D455,""marketcap"")"),1278425838)</f>
        <v>1278425838</v>
      </c>
      <c r="K455" s="7">
        <v>992.8</v>
      </c>
      <c r="L455" s="8">
        <f ca="1">IFERROR(__xludf.DUMMYFUNCTION("GOOGLEFINANCE(""NSE:""&amp;D455,""price"")"),47.1)</f>
        <v>47.1</v>
      </c>
      <c r="M455" s="9">
        <f t="shared" ca="1" si="7"/>
        <v>-945.69999999999993</v>
      </c>
      <c r="N455" s="10">
        <f t="shared" ca="1" si="8"/>
        <v>-95.255842062852537</v>
      </c>
      <c r="O455" s="7">
        <f ca="1">IFERROR(__xludf.DUMMYFUNCTION("GOOGLEFINANCE(""NSE:""&amp;D455,""pe"")"),27.87)</f>
        <v>27.87</v>
      </c>
      <c r="P455" s="7">
        <f ca="1">IFERROR(__xludf.DUMMYFUNCTION("GOOGLEFINANCE(""NSE:""&amp;D455,""EPS"")"),1.69)</f>
        <v>1.69</v>
      </c>
      <c r="Q455" s="7">
        <v>13.5</v>
      </c>
      <c r="R455" s="7" t="str">
        <f ca="1">IFERROR(__xludf.DUMMYFUNCTION("IMPORTXML(E455,""/html/body/main/div[3]/div[3]/div[2]/ul/li[7]/span[2]/span"")"),"Loading...")</f>
        <v>Loading...</v>
      </c>
      <c r="S455" s="7" t="str">
        <f ca="1">IFERROR(__xludf.DUMMYFUNCTION("IMPORTXML(E455,""/html/body/main/div[3]/div[3]/div[2]/ul/li[8]/span[2]/span"")"),"Loading...")</f>
        <v>Loading...</v>
      </c>
      <c r="T455" s="4">
        <v>34.6</v>
      </c>
      <c r="U455" s="4">
        <v>22.7</v>
      </c>
      <c r="V455" s="4">
        <v>2.6</v>
      </c>
      <c r="W455" s="4">
        <v>5.7</v>
      </c>
      <c r="X455" s="4">
        <v>519.92999999999995</v>
      </c>
      <c r="Y455" s="7">
        <f t="shared" ca="1" si="9"/>
        <v>-472.82999999999993</v>
      </c>
    </row>
    <row r="456" spans="1:25" ht="15" x14ac:dyDescent="0.25">
      <c r="A456" s="4">
        <v>1862</v>
      </c>
      <c r="C456" s="12" t="s">
        <v>1455</v>
      </c>
      <c r="D456" s="12" t="s">
        <v>1456</v>
      </c>
      <c r="E456" s="5" t="str">
        <f t="shared" si="5"/>
        <v>https://www.screener.in/company/CORDSCABLE/consolidated/</v>
      </c>
      <c r="F456" s="4">
        <v>443059</v>
      </c>
      <c r="G456" s="4">
        <v>3832241897</v>
      </c>
      <c r="H456" s="6">
        <f t="shared" ca="1" si="6"/>
        <v>67290.335469422993</v>
      </c>
      <c r="I456" s="7" t="str">
        <f ca="1">IFERROR(__xludf.DUMMYFUNCTION("IMPORTXML(E456,""/html/body/main/div[3]/div[3]/div[2]/ul/li[5]/span[2]/span"")"),"Loading...")</f>
        <v>Loading...</v>
      </c>
      <c r="J456" s="7">
        <f ca="1">IFERROR(__xludf.DUMMYFUNCTION("GOOGLEFINANCE(""NSE:""&amp;D456,""marketcap"")"),2265594000)</f>
        <v>2265594000</v>
      </c>
      <c r="K456" s="7">
        <v>992.8</v>
      </c>
      <c r="L456" s="8">
        <f ca="1">IFERROR(__xludf.DUMMYFUNCTION("GOOGLEFINANCE(""NSE:""&amp;D456,""price"")"),175.59)</f>
        <v>175.59</v>
      </c>
      <c r="M456" s="9">
        <f t="shared" ca="1" si="7"/>
        <v>-817.20999999999992</v>
      </c>
      <c r="N456" s="10">
        <f t="shared" ca="1" si="8"/>
        <v>-82.313658340048349</v>
      </c>
      <c r="O456" s="7">
        <f ca="1">IFERROR(__xludf.DUMMYFUNCTION("GOOGLEFINANCE(""NSE:""&amp;D456,""pe"")"),14.63)</f>
        <v>14.63</v>
      </c>
      <c r="P456" s="7">
        <f ca="1">IFERROR(__xludf.DUMMYFUNCTION("GOOGLEFINANCE(""NSE:""&amp;D456,""EPS"")"),12)</f>
        <v>12</v>
      </c>
      <c r="Q456" s="7">
        <v>13.5</v>
      </c>
      <c r="R456" s="7" t="str">
        <f ca="1">IFERROR(__xludf.DUMMYFUNCTION("IMPORTXML(E456,""/html/body/main/div[3]/div[3]/div[2]/ul/li[7]/span[2]/span"")"),"Loading...")</f>
        <v>Loading...</v>
      </c>
      <c r="S456" s="7" t="str">
        <f ca="1">IFERROR(__xludf.DUMMYFUNCTION("IMPORTXML(E456,""/html/body/main/div[3]/div[3]/div[2]/ul/li[8]/span[2]/span"")"),"Loading...")</f>
        <v>Loading...</v>
      </c>
      <c r="T456" s="4">
        <v>34.6</v>
      </c>
      <c r="U456" s="4">
        <v>22.7</v>
      </c>
      <c r="V456" s="4">
        <v>2.6</v>
      </c>
      <c r="W456" s="4">
        <v>5.7</v>
      </c>
      <c r="X456" s="4">
        <v>519.92999999999995</v>
      </c>
      <c r="Y456" s="7">
        <f t="shared" ca="1" si="9"/>
        <v>-344.33999999999992</v>
      </c>
    </row>
    <row r="457" spans="1:25" ht="15" x14ac:dyDescent="0.25">
      <c r="A457" s="4">
        <v>1103</v>
      </c>
      <c r="C457" s="12" t="s">
        <v>1457</v>
      </c>
      <c r="D457" s="12" t="s">
        <v>1458</v>
      </c>
      <c r="E457" s="5" t="str">
        <f t="shared" si="5"/>
        <v>https://www.screener.in/company/SATINDLTD/consolidated/</v>
      </c>
      <c r="F457" s="4">
        <v>443059</v>
      </c>
      <c r="G457" s="4">
        <v>3832241897</v>
      </c>
      <c r="H457" s="6" t="e">
        <f t="shared" ca="1" si="6"/>
        <v>#VALUE!</v>
      </c>
      <c r="I457" s="7" t="str">
        <f ca="1">IFERROR(__xludf.DUMMYFUNCTION("IMPORTXML(E457,""/html/body/main/div[3]/div[3]/div[2]/ul/li[5]/span[2]/span"")"),"Loading...")</f>
        <v>Loading...</v>
      </c>
      <c r="J457" s="7" t="str">
        <f ca="1">IFERROR(__xludf.DUMMYFUNCTION("GOOGLEFINANCE(""NSE:""&amp;D457,""marketcap"")"),"#N/A")</f>
        <v>#N/A</v>
      </c>
      <c r="K457" s="7">
        <v>992.8</v>
      </c>
      <c r="L457" s="8" t="str">
        <f ca="1">IFERROR(__xludf.DUMMYFUNCTION("GOOGLEFINANCE(""NSE:""&amp;D457,""price"")"),"#N/A")</f>
        <v>#N/A</v>
      </c>
      <c r="M457" s="9" t="e">
        <f t="shared" ca="1" si="7"/>
        <v>#VALUE!</v>
      </c>
      <c r="N457" s="10" t="e">
        <f t="shared" ca="1" si="8"/>
        <v>#VALUE!</v>
      </c>
      <c r="O457" s="7" t="str">
        <f ca="1">IFERROR(__xludf.DUMMYFUNCTION("GOOGLEFINANCE(""NSE:""&amp;D457,""pe"")"),"#N/A")</f>
        <v>#N/A</v>
      </c>
      <c r="P457" s="7" t="str">
        <f ca="1">IFERROR(__xludf.DUMMYFUNCTION("GOOGLEFINANCE(""NSE:""&amp;D457,""EPS"")"),"#N/A")</f>
        <v>#N/A</v>
      </c>
      <c r="Q457" s="7">
        <v>13.5</v>
      </c>
      <c r="R457" s="7" t="str">
        <f ca="1">IFERROR(__xludf.DUMMYFUNCTION("IMPORTXML(E457,""/html/body/main/div[3]/div[3]/div[2]/ul/li[7]/span[2]/span"")"),"Loading...")</f>
        <v>Loading...</v>
      </c>
      <c r="S457" s="7" t="str">
        <f ca="1">IFERROR(__xludf.DUMMYFUNCTION("IMPORTXML(E457,""/html/body/main/div[3]/div[3]/div[2]/ul/li[8]/span[2]/span"")"),"Loading...")</f>
        <v>Loading...</v>
      </c>
      <c r="T457" s="4">
        <v>34.6</v>
      </c>
      <c r="U457" s="4">
        <v>22.7</v>
      </c>
      <c r="V457" s="4">
        <v>2.6</v>
      </c>
      <c r="W457" s="4">
        <v>5.7</v>
      </c>
      <c r="X457" s="4">
        <v>519.92999999999995</v>
      </c>
      <c r="Y457" s="7" t="e">
        <f t="shared" ca="1" si="9"/>
        <v>#VALUE!</v>
      </c>
    </row>
    <row r="458" spans="1:25" ht="15" x14ac:dyDescent="0.25">
      <c r="A458" s="4">
        <v>1555</v>
      </c>
      <c r="C458" s="12" t="s">
        <v>1459</v>
      </c>
      <c r="D458" s="12" t="s">
        <v>1460</v>
      </c>
      <c r="E458" s="5" t="str">
        <f t="shared" si="5"/>
        <v>https://www.screener.in/company/AUTOIND/consolidated/</v>
      </c>
      <c r="F458" s="4">
        <v>443059</v>
      </c>
      <c r="G458" s="4">
        <v>3832241897</v>
      </c>
      <c r="H458" s="6">
        <f t="shared" ca="1" si="6"/>
        <v>28358.590037800001</v>
      </c>
      <c r="I458" s="7" t="str">
        <f ca="1">IFERROR(__xludf.DUMMYFUNCTION("IMPORTXML(E458,""/html/body/main/div[3]/div[3]/div[2]/ul/li[5]/span[2]/span"")"),"Loading...")</f>
        <v>Loading...</v>
      </c>
      <c r="J458" s="7">
        <f ca="1">IFERROR(__xludf.DUMMYFUNCTION("GOOGLEFINANCE(""NSE:""&amp;D458,""marketcap"")"),3352788000)</f>
        <v>3352788000</v>
      </c>
      <c r="K458" s="7">
        <v>992.8</v>
      </c>
      <c r="L458" s="8">
        <f ca="1">IFERROR(__xludf.DUMMYFUNCTION("GOOGLEFINANCE(""NSE:""&amp;D458,""price"")"),74)</f>
        <v>74</v>
      </c>
      <c r="M458" s="9">
        <f t="shared" ca="1" si="7"/>
        <v>-918.8</v>
      </c>
      <c r="N458" s="10">
        <f t="shared" ca="1" si="8"/>
        <v>-92.546333601933924</v>
      </c>
      <c r="O458" s="7">
        <f ca="1">IFERROR(__xludf.DUMMYFUNCTION("GOOGLEFINANCE(""NSE:""&amp;D458,""pe"")"),23.64)</f>
        <v>23.64</v>
      </c>
      <c r="P458" s="7">
        <f ca="1">IFERROR(__xludf.DUMMYFUNCTION("GOOGLEFINANCE(""NSE:""&amp;D458,""EPS"")"),3.13)</f>
        <v>3.13</v>
      </c>
      <c r="Q458" s="7">
        <v>13.5</v>
      </c>
      <c r="R458" s="7" t="str">
        <f ca="1">IFERROR(__xludf.DUMMYFUNCTION("IMPORTXML(E458,""/html/body/main/div[3]/div[3]/div[2]/ul/li[7]/span[2]/span"")"),"Loading...")</f>
        <v>Loading...</v>
      </c>
      <c r="S458" s="7" t="str">
        <f ca="1">IFERROR(__xludf.DUMMYFUNCTION("IMPORTXML(E458,""/html/body/main/div[3]/div[3]/div[2]/ul/li[8]/span[2]/span"")"),"Loading...")</f>
        <v>Loading...</v>
      </c>
      <c r="T458" s="4">
        <v>34.6</v>
      </c>
      <c r="U458" s="4">
        <v>22.7</v>
      </c>
      <c r="V458" s="4">
        <v>2.6</v>
      </c>
      <c r="W458" s="4">
        <v>5.7</v>
      </c>
      <c r="X458" s="4">
        <v>519.92999999999995</v>
      </c>
      <c r="Y458" s="7">
        <f t="shared" ca="1" si="9"/>
        <v>-445.92999999999995</v>
      </c>
    </row>
    <row r="459" spans="1:25" ht="15" x14ac:dyDescent="0.25">
      <c r="A459" s="4">
        <v>1231</v>
      </c>
      <c r="C459" s="12" t="s">
        <v>1461</v>
      </c>
      <c r="D459" s="12" t="s">
        <v>1462</v>
      </c>
      <c r="E459" s="5" t="str">
        <f t="shared" si="5"/>
        <v>https://www.screener.in/company/RUSHIL/consolidated/</v>
      </c>
      <c r="F459" s="4">
        <v>443059</v>
      </c>
      <c r="G459" s="4">
        <v>3832241897</v>
      </c>
      <c r="H459" s="6">
        <f t="shared" ca="1" si="6"/>
        <v>10576.987635720001</v>
      </c>
      <c r="I459" s="7" t="str">
        <f ca="1">IFERROR(__xludf.DUMMYFUNCTION("IMPORTXML(E459,""/html/body/main/div[3]/div[3]/div[2]/ul/li[5]/span[2]/span"")"),"Loading...")</f>
        <v>Loading...</v>
      </c>
      <c r="J459" s="7">
        <f ca="1">IFERROR(__xludf.DUMMYFUNCTION("GOOGLEFINANCE(""NSE:""&amp;D459,""marketcap"")"),8098303791)</f>
        <v>8098303791</v>
      </c>
      <c r="K459" s="7">
        <v>992.8</v>
      </c>
      <c r="L459" s="8">
        <f ca="1">IFERROR(__xludf.DUMMYFUNCTION("GOOGLEFINANCE(""NSE:""&amp;D459,""price"")"),27.6)</f>
        <v>27.6</v>
      </c>
      <c r="M459" s="9">
        <f t="shared" ca="1" si="7"/>
        <v>-965.19999999999993</v>
      </c>
      <c r="N459" s="10">
        <f t="shared" ca="1" si="8"/>
        <v>-97.219983883964545</v>
      </c>
      <c r="O459" s="7">
        <f ca="1">IFERROR(__xludf.DUMMYFUNCTION("GOOGLEFINANCE(""NSE:""&amp;D459,""pe"")"),40)</f>
        <v>40</v>
      </c>
      <c r="P459" s="7">
        <f ca="1">IFERROR(__xludf.DUMMYFUNCTION("GOOGLEFINANCE(""NSE:""&amp;D459,""EPS"")"),0.69)</f>
        <v>0.69</v>
      </c>
      <c r="Q459" s="7">
        <v>13.5</v>
      </c>
      <c r="R459" s="7" t="str">
        <f ca="1">IFERROR(__xludf.DUMMYFUNCTION("IMPORTXML(E459,""/html/body/main/div[3]/div[3]/div[2]/ul/li[7]/span[2]/span"")"),"Loading...")</f>
        <v>Loading...</v>
      </c>
      <c r="S459" s="7" t="str">
        <f ca="1">IFERROR(__xludf.DUMMYFUNCTION("IMPORTXML(E459,""/html/body/main/div[3]/div[3]/div[2]/ul/li[8]/span[2]/span"")"),"Loading...")</f>
        <v>Loading...</v>
      </c>
      <c r="T459" s="4">
        <v>34.6</v>
      </c>
      <c r="U459" s="4">
        <v>22.7</v>
      </c>
      <c r="V459" s="4">
        <v>2.6</v>
      </c>
      <c r="W459" s="4">
        <v>5.7</v>
      </c>
      <c r="X459" s="4">
        <v>519.92999999999995</v>
      </c>
      <c r="Y459" s="7">
        <f t="shared" ca="1" si="9"/>
        <v>-492.32999999999993</v>
      </c>
    </row>
    <row r="460" spans="1:25" ht="15" x14ac:dyDescent="0.25">
      <c r="A460" s="4">
        <v>639</v>
      </c>
      <c r="C460" s="12" t="s">
        <v>1463</v>
      </c>
      <c r="D460" s="12" t="s">
        <v>1464</v>
      </c>
      <c r="E460" s="5" t="str">
        <f t="shared" si="5"/>
        <v>https://www.screener.in/company/DATAMATICS/consolidated/</v>
      </c>
      <c r="F460" s="4">
        <v>443059</v>
      </c>
      <c r="G460" s="4">
        <v>3832241897</v>
      </c>
      <c r="H460" s="6">
        <f t="shared" ca="1" si="6"/>
        <v>370577.7914399</v>
      </c>
      <c r="I460" s="7" t="str">
        <f ca="1">IFERROR(__xludf.DUMMYFUNCTION("IMPORTXML(E460,""/html/body/main/div[3]/div[3]/div[2]/ul/li[5]/span[2]/span"")"),"Loading...")</f>
        <v>Loading...</v>
      </c>
      <c r="J460" s="7">
        <f ca="1">IFERROR(__xludf.DUMMYFUNCTION("GOOGLEFINANCE(""NSE:""&amp;D460,""marketcap"")"),57155869460)</f>
        <v>57155869460</v>
      </c>
      <c r="K460" s="7">
        <v>992.8</v>
      </c>
      <c r="L460" s="8">
        <f ca="1">IFERROR(__xludf.DUMMYFUNCTION("GOOGLEFINANCE(""NSE:""&amp;D460,""price"")"),967)</f>
        <v>967</v>
      </c>
      <c r="M460" s="9">
        <f t="shared" ca="1" si="7"/>
        <v>-25.799999999999955</v>
      </c>
      <c r="N460" s="10">
        <f t="shared" ca="1" si="8"/>
        <v>-2.598710717163573</v>
      </c>
      <c r="O460" s="7">
        <f ca="1">IFERROR(__xludf.DUMMYFUNCTION("GOOGLEFINANCE(""NSE:""&amp;D460,""pe"")"),26.95)</f>
        <v>26.95</v>
      </c>
      <c r="P460" s="7">
        <f ca="1">IFERROR(__xludf.DUMMYFUNCTION("GOOGLEFINANCE(""NSE:""&amp;D460,""EPS"")"),35.88)</f>
        <v>35.880000000000003</v>
      </c>
      <c r="Q460" s="7">
        <v>13.5</v>
      </c>
      <c r="R460" s="7" t="str">
        <f ca="1">IFERROR(__xludf.DUMMYFUNCTION("IMPORTXML(E460,""/html/body/main/div[3]/div[3]/div[2]/ul/li[7]/span[2]/span"")"),"Loading...")</f>
        <v>Loading...</v>
      </c>
      <c r="S460" s="7" t="str">
        <f ca="1">IFERROR(__xludf.DUMMYFUNCTION("IMPORTXML(E460,""/html/body/main/div[3]/div[3]/div[2]/ul/li[8]/span[2]/span"")"),"Loading...")</f>
        <v>Loading...</v>
      </c>
      <c r="T460" s="4">
        <v>34.6</v>
      </c>
      <c r="U460" s="4">
        <v>22.7</v>
      </c>
      <c r="V460" s="4">
        <v>2.6</v>
      </c>
      <c r="W460" s="4">
        <v>5.7</v>
      </c>
      <c r="X460" s="4">
        <v>519.92999999999995</v>
      </c>
      <c r="Y460" s="7">
        <f t="shared" ca="1" si="9"/>
        <v>447.07000000000005</v>
      </c>
    </row>
    <row r="461" spans="1:25" ht="15" x14ac:dyDescent="0.25">
      <c r="A461" s="4">
        <v>327</v>
      </c>
      <c r="C461" s="12" t="s">
        <v>1465</v>
      </c>
      <c r="D461" s="12" t="s">
        <v>1466</v>
      </c>
      <c r="E461" s="5" t="str">
        <f t="shared" si="5"/>
        <v>https://www.screener.in/company/SHRIPISTON/consolidated/</v>
      </c>
      <c r="F461" s="4">
        <v>443059</v>
      </c>
      <c r="G461" s="4">
        <v>3832241897</v>
      </c>
      <c r="H461" s="6">
        <f t="shared" ca="1" si="6"/>
        <v>991017.75456419995</v>
      </c>
      <c r="I461" s="7" t="str">
        <f ca="1">IFERROR(__xludf.DUMMYFUNCTION("IMPORTXML(E461,""/html/body/main/div[3]/div[3]/div[2]/ul/li[5]/span[2]/span"")"),"Loading...")</f>
        <v>Loading...</v>
      </c>
      <c r="J461" s="7">
        <f ca="1">IFERROR(__xludf.DUMMYFUNCTION("GOOGLEFINANCE(""NSE:""&amp;D461,""marketcap"")"),113274056384)</f>
        <v>113274056384</v>
      </c>
      <c r="K461" s="7">
        <v>992.8</v>
      </c>
      <c r="L461" s="8">
        <f ca="1">IFERROR(__xludf.DUMMYFUNCTION("GOOGLEFINANCE(""NSE:""&amp;D461,""price"")"),2586)</f>
        <v>2586</v>
      </c>
      <c r="M461" s="9">
        <f t="shared" ca="1" si="7"/>
        <v>1593.2</v>
      </c>
      <c r="N461" s="10">
        <f t="shared" ca="1" si="8"/>
        <v>160.47542304593071</v>
      </c>
      <c r="O461" s="7">
        <f ca="1">IFERROR(__xludf.DUMMYFUNCTION("GOOGLEFINANCE(""NSE:""&amp;D461,""pe"")"),21.7)</f>
        <v>21.7</v>
      </c>
      <c r="P461" s="7">
        <f ca="1">IFERROR(__xludf.DUMMYFUNCTION("GOOGLEFINANCE(""NSE:""&amp;D461,""EPS"")"),119.16)</f>
        <v>119.16</v>
      </c>
      <c r="Q461" s="7">
        <v>13.5</v>
      </c>
      <c r="R461" s="7" t="str">
        <f ca="1">IFERROR(__xludf.DUMMYFUNCTION("IMPORTXML(E461,""/html/body/main/div[3]/div[3]/div[2]/ul/li[7]/span[2]/span"")"),"Loading...")</f>
        <v>Loading...</v>
      </c>
      <c r="S461" s="7" t="str">
        <f ca="1">IFERROR(__xludf.DUMMYFUNCTION("IMPORTXML(E461,""/html/body/main/div[3]/div[3]/div[2]/ul/li[8]/span[2]/span"")"),"Loading...")</f>
        <v>Loading...</v>
      </c>
      <c r="T461" s="4">
        <v>34.6</v>
      </c>
      <c r="U461" s="4">
        <v>22.7</v>
      </c>
      <c r="V461" s="4">
        <v>2.6</v>
      </c>
      <c r="W461" s="4">
        <v>5.7</v>
      </c>
      <c r="X461" s="4">
        <v>519.92999999999995</v>
      </c>
      <c r="Y461" s="7">
        <f t="shared" ca="1" si="9"/>
        <v>2066.0700000000002</v>
      </c>
    </row>
    <row r="462" spans="1:25" ht="15" x14ac:dyDescent="0.25">
      <c r="A462" s="4">
        <v>655</v>
      </c>
      <c r="C462" s="12" t="s">
        <v>1467</v>
      </c>
      <c r="D462" s="12" t="s">
        <v>1468</v>
      </c>
      <c r="E462" s="5" t="str">
        <f t="shared" si="5"/>
        <v>https://www.screener.in/company/SANDHAR/consolidated/</v>
      </c>
      <c r="F462" s="4">
        <v>443059</v>
      </c>
      <c r="G462" s="4">
        <v>3832241897</v>
      </c>
      <c r="H462" s="6">
        <f t="shared" ca="1" si="6"/>
        <v>176378.93330942499</v>
      </c>
      <c r="I462" s="7" t="str">
        <f ca="1">IFERROR(__xludf.DUMMYFUNCTION("IMPORTXML(E462,""/html/body/main/div[3]/div[3]/div[2]/ul/li[5]/span[2]/span"")"),"Loading...")</f>
        <v>Loading...</v>
      </c>
      <c r="J462" s="7">
        <f ca="1">IFERROR(__xludf.DUMMYFUNCTION("GOOGLEFINANCE(""NSE:""&amp;D462,""marketcap"")"),27859322969)</f>
        <v>27859322969</v>
      </c>
      <c r="K462" s="7">
        <v>992.8</v>
      </c>
      <c r="L462" s="8">
        <f ca="1">IFERROR(__xludf.DUMMYFUNCTION("GOOGLEFINANCE(""NSE:""&amp;D462,""price"")"),460.25)</f>
        <v>460.25</v>
      </c>
      <c r="M462" s="9">
        <f t="shared" ca="1" si="7"/>
        <v>-532.54999999999995</v>
      </c>
      <c r="N462" s="10">
        <f t="shared" ca="1" si="8"/>
        <v>-53.641216760676869</v>
      </c>
      <c r="O462" s="7">
        <f ca="1">IFERROR(__xludf.DUMMYFUNCTION("GOOGLEFINANCE(""NSE:""&amp;D462,""pe"")"),19.71)</f>
        <v>19.71</v>
      </c>
      <c r="P462" s="7">
        <f ca="1">IFERROR(__xludf.DUMMYFUNCTION("GOOGLEFINANCE(""NSE:""&amp;D462,""EPS"")"),23.35)</f>
        <v>23.35</v>
      </c>
      <c r="Q462" s="7">
        <v>13.5</v>
      </c>
      <c r="R462" s="7" t="str">
        <f ca="1">IFERROR(__xludf.DUMMYFUNCTION("IMPORTXML(E462,""/html/body/main/div[3]/div[3]/div[2]/ul/li[7]/span[2]/span"")"),"Loading...")</f>
        <v>Loading...</v>
      </c>
      <c r="S462" s="7" t="str">
        <f ca="1">IFERROR(__xludf.DUMMYFUNCTION("IMPORTXML(E462,""/html/body/main/div[3]/div[3]/div[2]/ul/li[8]/span[2]/span"")"),"Loading...")</f>
        <v>Loading...</v>
      </c>
      <c r="T462" s="4">
        <v>34.6</v>
      </c>
      <c r="U462" s="4">
        <v>22.7</v>
      </c>
      <c r="V462" s="4">
        <v>2.6</v>
      </c>
      <c r="W462" s="4">
        <v>5.7</v>
      </c>
      <c r="X462" s="4">
        <v>519.92999999999995</v>
      </c>
      <c r="Y462" s="7">
        <f t="shared" ca="1" si="9"/>
        <v>-59.67999999999995</v>
      </c>
    </row>
    <row r="463" spans="1:25" ht="15" x14ac:dyDescent="0.25">
      <c r="A463" s="4">
        <v>461</v>
      </c>
      <c r="C463" s="12" t="s">
        <v>1469</v>
      </c>
      <c r="D463" s="12" t="s">
        <v>1470</v>
      </c>
      <c r="E463" s="5" t="str">
        <f t="shared" si="5"/>
        <v>https://www.screener.in/company/GULFOILLUB/consolidated/</v>
      </c>
      <c r="F463" s="4">
        <v>443059</v>
      </c>
      <c r="G463" s="4">
        <v>3832241897</v>
      </c>
      <c r="H463" s="6">
        <f t="shared" ca="1" si="6"/>
        <v>479068.55954396992</v>
      </c>
      <c r="I463" s="7" t="str">
        <f ca="1">IFERROR(__xludf.DUMMYFUNCTION("IMPORTXML(E463,""/html/body/main/div[3]/div[3]/div[2]/ul/li[5]/span[2]/span"")"),"Loading...")</f>
        <v>Loading...</v>
      </c>
      <c r="J463" s="7">
        <f ca="1">IFERROR(__xludf.DUMMYFUNCTION("GOOGLEFINANCE(""NSE:""&amp;D463,""marketcap"")"),61767890000)</f>
        <v>61767890000</v>
      </c>
      <c r="K463" s="7">
        <v>992.8</v>
      </c>
      <c r="L463" s="8">
        <f ca="1">IFERROR(__xludf.DUMMYFUNCTION("GOOGLEFINANCE(""NSE:""&amp;D463,""price"")"),1250.1)</f>
        <v>1250.0999999999999</v>
      </c>
      <c r="M463" s="9">
        <f t="shared" ca="1" si="7"/>
        <v>257.29999999999995</v>
      </c>
      <c r="N463" s="10">
        <f t="shared" ca="1" si="8"/>
        <v>25.916599516518936</v>
      </c>
      <c r="O463" s="7">
        <f ca="1">IFERROR(__xludf.DUMMYFUNCTION("GOOGLEFINANCE(""NSE:""&amp;D463,""pe"")"),16.81)</f>
        <v>16.809999999999999</v>
      </c>
      <c r="P463" s="7">
        <f ca="1">IFERROR(__xludf.DUMMYFUNCTION("GOOGLEFINANCE(""NSE:""&amp;D463,""EPS"")"),74.38)</f>
        <v>74.38</v>
      </c>
      <c r="Q463" s="7">
        <v>13.5</v>
      </c>
      <c r="R463" s="7" t="str">
        <f ca="1">IFERROR(__xludf.DUMMYFUNCTION("IMPORTXML(E463,""/html/body/main/div[3]/div[3]/div[2]/ul/li[7]/span[2]/span"")"),"Loading...")</f>
        <v>Loading...</v>
      </c>
      <c r="S463" s="7" t="str">
        <f ca="1">IFERROR(__xludf.DUMMYFUNCTION("IMPORTXML(E463,""/html/body/main/div[3]/div[3]/div[2]/ul/li[8]/span[2]/span"")"),"Loading...")</f>
        <v>Loading...</v>
      </c>
      <c r="T463" s="4">
        <v>34.6</v>
      </c>
      <c r="U463" s="4">
        <v>22.7</v>
      </c>
      <c r="V463" s="4">
        <v>2.6</v>
      </c>
      <c r="W463" s="4">
        <v>5.7</v>
      </c>
      <c r="X463" s="4">
        <v>519.92999999999995</v>
      </c>
      <c r="Y463" s="7">
        <f t="shared" ca="1" si="9"/>
        <v>730.17</v>
      </c>
    </row>
    <row r="464" spans="1:25" ht="15" x14ac:dyDescent="0.25">
      <c r="A464" s="4">
        <v>616</v>
      </c>
      <c r="C464" s="12" t="s">
        <v>1471</v>
      </c>
      <c r="D464" s="12" t="s">
        <v>1472</v>
      </c>
      <c r="E464" s="5" t="str">
        <f t="shared" si="5"/>
        <v>https://www.screener.in/company/VEEDOL/consolidated/</v>
      </c>
      <c r="F464" s="4">
        <v>443059</v>
      </c>
      <c r="G464" s="4">
        <v>3832241897</v>
      </c>
      <c r="H464" s="6">
        <f t="shared" ca="1" si="6"/>
        <v>623505.75664190005</v>
      </c>
      <c r="I464" s="7" t="str">
        <f ca="1">IFERROR(__xludf.DUMMYFUNCTION("IMPORTXML(E464,""/html/body/main/div[3]/div[3]/div[2]/ul/li[5]/span[2]/span"")"),"Loading...")</f>
        <v>Loading...</v>
      </c>
      <c r="J464" s="7">
        <f ca="1">IFERROR(__xludf.DUMMYFUNCTION("GOOGLEFINANCE(""NSE:""&amp;D464,""marketcap"")"),27650637220)</f>
        <v>27650637220</v>
      </c>
      <c r="K464" s="7">
        <v>992.8</v>
      </c>
      <c r="L464" s="8">
        <f ca="1">IFERROR(__xludf.DUMMYFUNCTION("GOOGLEFINANCE(""NSE:""&amp;D464,""price"")"),1627)</f>
        <v>1627</v>
      </c>
      <c r="M464" s="9">
        <f t="shared" ca="1" si="7"/>
        <v>634.20000000000005</v>
      </c>
      <c r="N464" s="10">
        <f t="shared" ca="1" si="8"/>
        <v>63.879935535858188</v>
      </c>
      <c r="O464" s="7">
        <f ca="1">IFERROR(__xludf.DUMMYFUNCTION("GOOGLEFINANCE(""NSE:""&amp;D464,""pe"")"),15.25)</f>
        <v>15.25</v>
      </c>
      <c r="P464" s="7">
        <f ca="1">IFERROR(__xludf.DUMMYFUNCTION("GOOGLEFINANCE(""NSE:""&amp;D464,""EPS"")"),106.68)</f>
        <v>106.68</v>
      </c>
      <c r="Q464" s="7">
        <v>13.5</v>
      </c>
      <c r="R464" s="7" t="str">
        <f ca="1">IFERROR(__xludf.DUMMYFUNCTION("IMPORTXML(E464,""/html/body/main/div[3]/div[3]/div[2]/ul/li[7]/span[2]/span"")"),"Loading...")</f>
        <v>Loading...</v>
      </c>
      <c r="S464" s="7" t="str">
        <f ca="1">IFERROR(__xludf.DUMMYFUNCTION("IMPORTXML(E464,""/html/body/main/div[3]/div[3]/div[2]/ul/li[8]/span[2]/span"")"),"Loading...")</f>
        <v>Loading...</v>
      </c>
      <c r="T464" s="4">
        <v>34.6</v>
      </c>
      <c r="U464" s="4">
        <v>22.7</v>
      </c>
      <c r="V464" s="4">
        <v>2.6</v>
      </c>
      <c r="W464" s="4">
        <v>5.7</v>
      </c>
      <c r="X464" s="4">
        <v>519.92999999999995</v>
      </c>
      <c r="Y464" s="7">
        <f t="shared" ca="1" si="9"/>
        <v>1107.0700000000002</v>
      </c>
    </row>
    <row r="465" spans="1:25" ht="15" x14ac:dyDescent="0.25">
      <c r="A465" s="4">
        <v>1846</v>
      </c>
      <c r="C465" s="12" t="s">
        <v>1473</v>
      </c>
      <c r="D465" s="12" t="s">
        <v>1474</v>
      </c>
      <c r="E465" s="5" t="str">
        <f t="shared" si="5"/>
        <v>https://www.screener.in/company/TTL/consolidated/</v>
      </c>
      <c r="F465" s="4">
        <v>443059</v>
      </c>
      <c r="G465" s="4">
        <v>3832241897</v>
      </c>
      <c r="H465" s="6">
        <f t="shared" ca="1" si="6"/>
        <v>4215.4660867000002</v>
      </c>
      <c r="I465" s="7" t="str">
        <f ca="1">IFERROR(__xludf.DUMMYFUNCTION("IMPORTXML(E465,""/html/body/main/div[3]/div[3]/div[2]/ul/li[5]/span[2]/span"")"),"Loading...")</f>
        <v>Loading...</v>
      </c>
      <c r="J465" s="7">
        <f ca="1">IFERROR(__xludf.DUMMYFUNCTION("GOOGLEFINANCE(""NSE:""&amp;D465,""marketcap"")"),2831088000)</f>
        <v>2831088000</v>
      </c>
      <c r="K465" s="7">
        <v>992.8</v>
      </c>
      <c r="L465" s="8">
        <f ca="1">IFERROR(__xludf.DUMMYFUNCTION("GOOGLEFINANCE(""NSE:""&amp;D465,""price"")"),11)</f>
        <v>11</v>
      </c>
      <c r="M465" s="9">
        <f t="shared" ca="1" si="7"/>
        <v>-981.8</v>
      </c>
      <c r="N465" s="10">
        <f t="shared" ca="1" si="8"/>
        <v>-98.89202256244964</v>
      </c>
      <c r="O465" s="7" t="str">
        <f ca="1">IFERROR(__xludf.DUMMYFUNCTION("GOOGLEFINANCE(""NSE:""&amp;D465,""pe"")"),"#N/A")</f>
        <v>#N/A</v>
      </c>
      <c r="P465" s="7">
        <f ca="1">IFERROR(__xludf.DUMMYFUNCTION("GOOGLEFINANCE(""NSE:""&amp;D465,""EPS"")"),-0.09)</f>
        <v>-0.09</v>
      </c>
      <c r="Q465" s="7">
        <v>13.5</v>
      </c>
      <c r="R465" s="7" t="str">
        <f ca="1">IFERROR(__xludf.DUMMYFUNCTION("IMPORTXML(E465,""/html/body/main/div[3]/div[3]/div[2]/ul/li[7]/span[2]/span"")"),"Loading...")</f>
        <v>Loading...</v>
      </c>
      <c r="S465" s="7" t="str">
        <f ca="1">IFERROR(__xludf.DUMMYFUNCTION("IMPORTXML(E465,""/html/body/main/div[3]/div[3]/div[2]/ul/li[8]/span[2]/span"")"),"Loading...")</f>
        <v>Loading...</v>
      </c>
      <c r="T465" s="4">
        <v>34.6</v>
      </c>
      <c r="U465" s="4">
        <v>22.7</v>
      </c>
      <c r="V465" s="4">
        <v>2.6</v>
      </c>
      <c r="W465" s="4">
        <v>5.7</v>
      </c>
      <c r="X465" s="4">
        <v>519.92999999999995</v>
      </c>
      <c r="Y465" s="7">
        <f t="shared" ca="1" si="9"/>
        <v>-508.92999999999995</v>
      </c>
    </row>
    <row r="466" spans="1:25" ht="15" x14ac:dyDescent="0.25">
      <c r="A466" s="4">
        <v>2180</v>
      </c>
      <c r="C466" s="12" t="s">
        <v>1475</v>
      </c>
      <c r="D466" s="12" t="s">
        <v>1476</v>
      </c>
      <c r="E466" s="5" t="str">
        <f t="shared" si="5"/>
        <v>https://www.screener.in/company/DIGIDRIVE/consolidated/</v>
      </c>
      <c r="F466" s="4">
        <v>443059</v>
      </c>
      <c r="G466" s="4">
        <v>3832241897</v>
      </c>
      <c r="H466" s="6">
        <f t="shared" ca="1" si="6"/>
        <v>12542.927728880999</v>
      </c>
      <c r="I466" s="7" t="str">
        <f ca="1">IFERROR(__xludf.DUMMYFUNCTION("IMPORTXML(E466,""/html/body/main/div[3]/div[3]/div[2]/ul/li[5]/span[2]/span"")"),"Loading...")</f>
        <v>Loading...</v>
      </c>
      <c r="J466" s="7">
        <f ca="1">IFERROR(__xludf.DUMMYFUNCTION("GOOGLEFINANCE(""NSE:""&amp;D466,""marketcap"")"),1259091334)</f>
        <v>1259091334</v>
      </c>
      <c r="K466" s="7">
        <v>992.8</v>
      </c>
      <c r="L466" s="8">
        <f ca="1">IFERROR(__xludf.DUMMYFUNCTION("GOOGLEFINANCE(""NSE:""&amp;D466,""price"")"),32.73)</f>
        <v>32.729999999999997</v>
      </c>
      <c r="M466" s="9">
        <f t="shared" ca="1" si="7"/>
        <v>-960.06999999999994</v>
      </c>
      <c r="N466" s="10">
        <f t="shared" ca="1" si="8"/>
        <v>-96.703263497179691</v>
      </c>
      <c r="O466" s="7">
        <f ca="1">IFERROR(__xludf.DUMMYFUNCTION("GOOGLEFINANCE(""NSE:""&amp;D466,""pe"")"),19.78)</f>
        <v>19.78</v>
      </c>
      <c r="P466" s="7">
        <f ca="1">IFERROR(__xludf.DUMMYFUNCTION("GOOGLEFINANCE(""NSE:""&amp;D466,""EPS"")"),1.65)</f>
        <v>1.65</v>
      </c>
      <c r="Q466" s="7">
        <v>13.5</v>
      </c>
      <c r="R466" s="7" t="str">
        <f ca="1">IFERROR(__xludf.DUMMYFUNCTION("IMPORTXML(E466,""/html/body/main/div[3]/div[3]/div[2]/ul/li[7]/span[2]/span"")"),"Loading...")</f>
        <v>Loading...</v>
      </c>
      <c r="S466" s="7" t="str">
        <f ca="1">IFERROR(__xludf.DUMMYFUNCTION("IMPORTXML(E466,""/html/body/main/div[3]/div[3]/div[2]/ul/li[8]/span[2]/span"")"),"Loading...")</f>
        <v>Loading...</v>
      </c>
      <c r="T466" s="4">
        <v>34.6</v>
      </c>
      <c r="U466" s="4">
        <v>22.7</v>
      </c>
      <c r="V466" s="4">
        <v>2.6</v>
      </c>
      <c r="W466" s="4">
        <v>5.7</v>
      </c>
      <c r="X466" s="4">
        <v>519.92999999999995</v>
      </c>
      <c r="Y466" s="7">
        <f t="shared" ca="1" si="9"/>
        <v>-487.19999999999993</v>
      </c>
    </row>
    <row r="467" spans="1:25" ht="15" x14ac:dyDescent="0.25">
      <c r="A467" s="4">
        <v>1932</v>
      </c>
      <c r="C467" s="12" t="s">
        <v>1477</v>
      </c>
      <c r="D467" s="12" t="s">
        <v>1478</v>
      </c>
      <c r="E467" s="5" t="str">
        <f t="shared" si="5"/>
        <v>https://www.screener.in/company/GENCON/consolidated/</v>
      </c>
      <c r="F467" s="4">
        <v>443059</v>
      </c>
      <c r="G467" s="4">
        <v>3832241897</v>
      </c>
      <c r="H467" s="6">
        <f t="shared" ca="1" si="6"/>
        <v>16398.163077263001</v>
      </c>
      <c r="I467" s="7" t="str">
        <f ca="1">IFERROR(__xludf.DUMMYFUNCTION("IMPORTXML(E467,""/html/body/main/div[3]/div[3]/div[2]/ul/li[5]/span[2]/span"")"),"Loading...")</f>
        <v>Loading...</v>
      </c>
      <c r="J467" s="7">
        <f ca="1">IFERROR(__xludf.DUMMYFUNCTION("GOOGLEFINANCE(""NSE:""&amp;D467,""marketcap"")"),2438440405)</f>
        <v>2438440405</v>
      </c>
      <c r="K467" s="7">
        <v>992.8</v>
      </c>
      <c r="L467" s="8">
        <f ca="1">IFERROR(__xludf.DUMMYFUNCTION("GOOGLEFINANCE(""NSE:""&amp;D467,""price"")"),42.79)</f>
        <v>42.79</v>
      </c>
      <c r="M467" s="9">
        <f t="shared" ca="1" si="7"/>
        <v>-950.01</v>
      </c>
      <c r="N467" s="10">
        <f t="shared" ca="1" si="8"/>
        <v>-95.68996776792909</v>
      </c>
      <c r="O467" s="7">
        <f ca="1">IFERROR(__xludf.DUMMYFUNCTION("GOOGLEFINANCE(""NSE:""&amp;D467,""pe"")"),18.44)</f>
        <v>18.440000000000001</v>
      </c>
      <c r="P467" s="7">
        <f ca="1">IFERROR(__xludf.DUMMYFUNCTION("GOOGLEFINANCE(""NSE:""&amp;D467,""EPS"")"),2.32)</f>
        <v>2.3199999999999998</v>
      </c>
      <c r="Q467" s="7">
        <v>13.5</v>
      </c>
      <c r="R467" s="7" t="str">
        <f ca="1">IFERROR(__xludf.DUMMYFUNCTION("IMPORTXML(E467,""/html/body/main/div[3]/div[3]/div[2]/ul/li[7]/span[2]/span"")"),"Loading...")</f>
        <v>Loading...</v>
      </c>
      <c r="S467" s="7" t="str">
        <f ca="1">IFERROR(__xludf.DUMMYFUNCTION("IMPORTXML(E467,""/html/body/main/div[3]/div[3]/div[2]/ul/li[8]/span[2]/span"")"),"Loading...")</f>
        <v>Loading...</v>
      </c>
      <c r="T467" s="4">
        <v>34.6</v>
      </c>
      <c r="U467" s="4">
        <v>22.7</v>
      </c>
      <c r="V467" s="4">
        <v>2.6</v>
      </c>
      <c r="W467" s="4">
        <v>5.7</v>
      </c>
      <c r="X467" s="4">
        <v>519.92999999999995</v>
      </c>
      <c r="Y467" s="7">
        <f t="shared" ca="1" si="9"/>
        <v>-477.13999999999993</v>
      </c>
    </row>
    <row r="468" spans="1:25" ht="15" x14ac:dyDescent="0.25">
      <c r="A468" s="4">
        <v>1413</v>
      </c>
      <c r="C468" s="12" t="s">
        <v>1479</v>
      </c>
      <c r="D468" s="12" t="s">
        <v>1480</v>
      </c>
      <c r="E468" s="5" t="str">
        <f t="shared" si="5"/>
        <v>https://www.screener.in/company/IITL/consolidated/</v>
      </c>
      <c r="F468" s="4">
        <v>443059</v>
      </c>
      <c r="G468" s="4">
        <v>3832241897</v>
      </c>
      <c r="H468" s="6">
        <f t="shared" ca="1" si="6"/>
        <v>68999.515355485011</v>
      </c>
      <c r="I468" s="7" t="str">
        <f ca="1">IFERROR(__xludf.DUMMYFUNCTION("IMPORTXML(E468,""/html/body/main/div[3]/div[3]/div[2]/ul/li[5]/span[2]/span"")"),"Loading...")</f>
        <v>Loading...</v>
      </c>
      <c r="J468" s="7">
        <f ca="1">IFERROR(__xludf.DUMMYFUNCTION("GOOGLEFINANCE(""NSE:""&amp;D468,""marketcap"")"),4079528000)</f>
        <v>4079528000</v>
      </c>
      <c r="K468" s="7">
        <v>992.8</v>
      </c>
      <c r="L468" s="8">
        <f ca="1">IFERROR(__xludf.DUMMYFUNCTION("GOOGLEFINANCE(""NSE:""&amp;D468,""price"")"),180.05)</f>
        <v>180.05</v>
      </c>
      <c r="M468" s="9">
        <f t="shared" ca="1" si="7"/>
        <v>-812.75</v>
      </c>
      <c r="N468" s="10">
        <f t="shared" ca="1" si="8"/>
        <v>-81.864423851732482</v>
      </c>
      <c r="O468" s="7">
        <f ca="1">IFERROR(__xludf.DUMMYFUNCTION("GOOGLEFINANCE(""NSE:""&amp;D468,""pe"")"),58.42)</f>
        <v>58.42</v>
      </c>
      <c r="P468" s="7">
        <f ca="1">IFERROR(__xludf.DUMMYFUNCTION("GOOGLEFINANCE(""NSE:""&amp;D468,""EPS"")"),3.08)</f>
        <v>3.08</v>
      </c>
      <c r="Q468" s="7">
        <v>13.5</v>
      </c>
      <c r="R468" s="7" t="str">
        <f ca="1">IFERROR(__xludf.DUMMYFUNCTION("IMPORTXML(E468,""/html/body/main/div[3]/div[3]/div[2]/ul/li[7]/span[2]/span"")"),"Loading...")</f>
        <v>Loading...</v>
      </c>
      <c r="S468" s="7" t="str">
        <f ca="1">IFERROR(__xludf.DUMMYFUNCTION("IMPORTXML(E468,""/html/body/main/div[3]/div[3]/div[2]/ul/li[8]/span[2]/span"")"),"Loading...")</f>
        <v>Loading...</v>
      </c>
      <c r="T468" s="4">
        <v>34.6</v>
      </c>
      <c r="U468" s="4">
        <v>22.7</v>
      </c>
      <c r="V468" s="4">
        <v>2.6</v>
      </c>
      <c r="W468" s="4">
        <v>5.7</v>
      </c>
      <c r="X468" s="4">
        <v>519.92999999999995</v>
      </c>
      <c r="Y468" s="7">
        <f t="shared" ca="1" si="9"/>
        <v>-339.87999999999994</v>
      </c>
    </row>
    <row r="469" spans="1:25" ht="15" x14ac:dyDescent="0.25">
      <c r="A469" s="4">
        <v>1098</v>
      </c>
      <c r="C469" s="12" t="s">
        <v>1481</v>
      </c>
      <c r="D469" s="12" t="s">
        <v>1482</v>
      </c>
      <c r="E469" s="5" t="str">
        <f t="shared" si="5"/>
        <v>https://www.screener.in/company/MUKKA/consolidated/</v>
      </c>
      <c r="F469" s="4">
        <v>443059</v>
      </c>
      <c r="G469" s="4">
        <v>3832241897</v>
      </c>
      <c r="H469" s="6">
        <f t="shared" ca="1" si="6"/>
        <v>10684.290408835999</v>
      </c>
      <c r="I469" s="7" t="str">
        <f ca="1">IFERROR(__xludf.DUMMYFUNCTION("IMPORTXML(E469,""/html/body/main/div[3]/div[3]/div[2]/ul/li[5]/span[2]/span"")"),"Loading...")</f>
        <v>Loading...</v>
      </c>
      <c r="J469" s="7">
        <f ca="1">IFERROR(__xludf.DUMMYFUNCTION("GOOGLEFINANCE(""NSE:""&amp;D469,""marketcap"")"),8289000000)</f>
        <v>8289000000</v>
      </c>
      <c r="K469" s="7">
        <v>992.8</v>
      </c>
      <c r="L469" s="8">
        <f ca="1">IFERROR(__xludf.DUMMYFUNCTION("GOOGLEFINANCE(""NSE:""&amp;D469,""price"")"),27.88)</f>
        <v>27.88</v>
      </c>
      <c r="M469" s="9">
        <f t="shared" ca="1" si="7"/>
        <v>-964.92</v>
      </c>
      <c r="N469" s="10">
        <f t="shared" ca="1" si="8"/>
        <v>-97.191780821917803</v>
      </c>
      <c r="O469" s="7">
        <f ca="1">IFERROR(__xludf.DUMMYFUNCTION("GOOGLEFINANCE(""NSE:""&amp;D469,""pe"")"),19.23)</f>
        <v>19.23</v>
      </c>
      <c r="P469" s="7">
        <f ca="1">IFERROR(__xludf.DUMMYFUNCTION("GOOGLEFINANCE(""NSE:""&amp;D469,""EPS"")"),1.45)</f>
        <v>1.45</v>
      </c>
      <c r="Q469" s="7">
        <v>13.5</v>
      </c>
      <c r="R469" s="7" t="str">
        <f ca="1">IFERROR(__xludf.DUMMYFUNCTION("IMPORTXML(E469,""/html/body/main/div[3]/div[3]/div[2]/ul/li[7]/span[2]/span"")"),"Loading...")</f>
        <v>Loading...</v>
      </c>
      <c r="S469" s="7" t="str">
        <f ca="1">IFERROR(__xludf.DUMMYFUNCTION("IMPORTXML(E469,""/html/body/main/div[3]/div[3]/div[2]/ul/li[8]/span[2]/span"")"),"Loading...")</f>
        <v>Loading...</v>
      </c>
      <c r="T469" s="4">
        <v>34.6</v>
      </c>
      <c r="U469" s="4">
        <v>22.7</v>
      </c>
      <c r="V469" s="4">
        <v>2.6</v>
      </c>
      <c r="W469" s="4">
        <v>5.7</v>
      </c>
      <c r="X469" s="4">
        <v>519.92999999999995</v>
      </c>
      <c r="Y469" s="7">
        <f t="shared" ca="1" si="9"/>
        <v>-492.04999999999995</v>
      </c>
    </row>
    <row r="470" spans="1:25" ht="15" x14ac:dyDescent="0.25">
      <c r="A470" s="4">
        <v>1503</v>
      </c>
      <c r="C470" s="12" t="s">
        <v>1483</v>
      </c>
      <c r="D470" s="12" t="s">
        <v>1484</v>
      </c>
      <c r="E470" s="5" t="str">
        <f t="shared" si="5"/>
        <v>https://www.screener.in/company/BALAXI/consolidated/</v>
      </c>
      <c r="F470" s="4">
        <v>443059</v>
      </c>
      <c r="G470" s="4">
        <v>3832241897</v>
      </c>
      <c r="H470" s="6">
        <f t="shared" ca="1" si="6"/>
        <v>18011.5369159</v>
      </c>
      <c r="I470" s="7" t="str">
        <f ca="1">IFERROR(__xludf.DUMMYFUNCTION("IMPORTXML(E470,""/html/body/main/div[3]/div[3]/div[2]/ul/li[5]/span[2]/span"")"),"Loading...")</f>
        <v>Loading...</v>
      </c>
      <c r="J470" s="7">
        <f ca="1">IFERROR(__xludf.DUMMYFUNCTION("GOOGLEFINANCE(""NSE:""&amp;D470,""marketcap"")"),2586471000)</f>
        <v>2586471000</v>
      </c>
      <c r="K470" s="7">
        <v>992.8</v>
      </c>
      <c r="L470" s="8">
        <f ca="1">IFERROR(__xludf.DUMMYFUNCTION("GOOGLEFINANCE(""NSE:""&amp;D470,""price"")"),47)</f>
        <v>47</v>
      </c>
      <c r="M470" s="9">
        <f t="shared" ca="1" si="7"/>
        <v>-945.8</v>
      </c>
      <c r="N470" s="10">
        <f t="shared" ca="1" si="8"/>
        <v>-95.265914585012084</v>
      </c>
      <c r="O470" s="7">
        <f ca="1">IFERROR(__xludf.DUMMYFUNCTION("GOOGLEFINANCE(""NSE:""&amp;D470,""pe"")"),13.74)</f>
        <v>13.74</v>
      </c>
      <c r="P470" s="7">
        <f ca="1">IFERROR(__xludf.DUMMYFUNCTION("GOOGLEFINANCE(""NSE:""&amp;D470,""EPS"")"),3.42)</f>
        <v>3.42</v>
      </c>
      <c r="Q470" s="7">
        <v>13.5</v>
      </c>
      <c r="R470" s="7" t="str">
        <f ca="1">IFERROR(__xludf.DUMMYFUNCTION("IMPORTXML(E470,""/html/body/main/div[3]/div[3]/div[2]/ul/li[7]/span[2]/span"")"),"Loading...")</f>
        <v>Loading...</v>
      </c>
      <c r="S470" s="7" t="str">
        <f ca="1">IFERROR(__xludf.DUMMYFUNCTION("IMPORTXML(E470,""/html/body/main/div[3]/div[3]/div[2]/ul/li[8]/span[2]/span"")"),"Loading...")</f>
        <v>Loading...</v>
      </c>
      <c r="T470" s="4">
        <v>34.6</v>
      </c>
      <c r="U470" s="4">
        <v>22.7</v>
      </c>
      <c r="V470" s="4">
        <v>2.6</v>
      </c>
      <c r="W470" s="4">
        <v>5.7</v>
      </c>
      <c r="X470" s="4">
        <v>519.92999999999995</v>
      </c>
      <c r="Y470" s="7">
        <f t="shared" ca="1" si="9"/>
        <v>-472.92999999999995</v>
      </c>
    </row>
    <row r="471" spans="1:25" ht="15" x14ac:dyDescent="0.25">
      <c r="A471" s="4">
        <v>1962</v>
      </c>
      <c r="C471" s="12" t="s">
        <v>1485</v>
      </c>
      <c r="D471" s="12" t="s">
        <v>1486</v>
      </c>
      <c r="E471" s="5" t="str">
        <f t="shared" si="5"/>
        <v>https://www.screener.in/company/BSL/consolidated/</v>
      </c>
      <c r="F471" s="4">
        <v>443059</v>
      </c>
      <c r="G471" s="4">
        <v>3832241897</v>
      </c>
      <c r="H471" s="6">
        <f t="shared" ca="1" si="6"/>
        <v>64580.940448244008</v>
      </c>
      <c r="I471" s="7" t="str">
        <f ca="1">IFERROR(__xludf.DUMMYFUNCTION("IMPORTXML(E471,""/html/body/main/div[3]/div[3]/div[2]/ul/li[5]/span[2]/span"")"),"Loading...")</f>
        <v>Loading...</v>
      </c>
      <c r="J471" s="7">
        <f ca="1">IFERROR(__xludf.DUMMYFUNCTION("GOOGLEFINANCE(""NSE:""&amp;D471,""marketcap"")"),1755535000)</f>
        <v>1755535000</v>
      </c>
      <c r="K471" s="7">
        <v>992.8</v>
      </c>
      <c r="L471" s="8">
        <f ca="1">IFERROR(__xludf.DUMMYFUNCTION("GOOGLEFINANCE(""NSE:""&amp;D471,""price"")"),168.52)</f>
        <v>168.52</v>
      </c>
      <c r="M471" s="9">
        <f t="shared" ca="1" si="7"/>
        <v>-824.28</v>
      </c>
      <c r="N471" s="10">
        <f t="shared" ca="1" si="8"/>
        <v>-83.025785656728445</v>
      </c>
      <c r="O471" s="7">
        <f ca="1">IFERROR(__xludf.DUMMYFUNCTION("GOOGLEFINANCE(""NSE:""&amp;D471,""pe"")"),27.47)</f>
        <v>27.47</v>
      </c>
      <c r="P471" s="7">
        <f ca="1">IFERROR(__xludf.DUMMYFUNCTION("GOOGLEFINANCE(""NSE:""&amp;D471,""EPS"")"),6.14)</f>
        <v>6.14</v>
      </c>
      <c r="Q471" s="7">
        <v>13.5</v>
      </c>
      <c r="R471" s="7" t="str">
        <f ca="1">IFERROR(__xludf.DUMMYFUNCTION("IMPORTXML(E471,""/html/body/main/div[3]/div[3]/div[2]/ul/li[7]/span[2]/span"")"),"Loading...")</f>
        <v>Loading...</v>
      </c>
      <c r="S471" s="7" t="str">
        <f ca="1">IFERROR(__xludf.DUMMYFUNCTION("IMPORTXML(E471,""/html/body/main/div[3]/div[3]/div[2]/ul/li[8]/span[2]/span"")"),"Loading...")</f>
        <v>Loading...</v>
      </c>
      <c r="T471" s="4">
        <v>34.6</v>
      </c>
      <c r="U471" s="4">
        <v>22.7</v>
      </c>
      <c r="V471" s="4">
        <v>2.6</v>
      </c>
      <c r="W471" s="4">
        <v>5.7</v>
      </c>
      <c r="X471" s="4">
        <v>519.92999999999995</v>
      </c>
      <c r="Y471" s="7">
        <f t="shared" ca="1" si="9"/>
        <v>-351.40999999999997</v>
      </c>
    </row>
    <row r="472" spans="1:25" ht="15" x14ac:dyDescent="0.25">
      <c r="A472" s="4">
        <v>2189</v>
      </c>
      <c r="C472" s="12" t="s">
        <v>1487</v>
      </c>
      <c r="D472" s="12" t="s">
        <v>1488</v>
      </c>
      <c r="E472" s="5" t="str">
        <f t="shared" si="5"/>
        <v>https://www.screener.in/company/TOUCHWOOD/consolidated/</v>
      </c>
      <c r="F472" s="4">
        <v>443059</v>
      </c>
      <c r="G472" s="4">
        <v>3832241897</v>
      </c>
      <c r="H472" s="6">
        <f t="shared" ca="1" si="6"/>
        <v>39970.282985710001</v>
      </c>
      <c r="I472" s="7" t="str">
        <f ca="1">IFERROR(__xludf.DUMMYFUNCTION("IMPORTXML(E472,""/html/body/main/div[3]/div[3]/div[2]/ul/li[5]/span[2]/span"")"),"Loading...")</f>
        <v>Loading...</v>
      </c>
      <c r="J472" s="7">
        <f ca="1">IFERROR(__xludf.DUMMYFUNCTION("GOOGLEFINANCE(""NSE:""&amp;D472,""marketcap"")"),1155773365)</f>
        <v>1155773365</v>
      </c>
      <c r="K472" s="7">
        <v>992.8</v>
      </c>
      <c r="L472" s="8">
        <f ca="1">IFERROR(__xludf.DUMMYFUNCTION("GOOGLEFINANCE(""NSE:""&amp;D472,""price"")"),104.3)</f>
        <v>104.3</v>
      </c>
      <c r="M472" s="9">
        <f t="shared" ca="1" si="7"/>
        <v>-888.5</v>
      </c>
      <c r="N472" s="10">
        <f t="shared" ca="1" si="8"/>
        <v>-89.494359387590663</v>
      </c>
      <c r="O472" s="7">
        <f ca="1">IFERROR(__xludf.DUMMYFUNCTION("GOOGLEFINANCE(""NSE:""&amp;D472,""pe"")"),18.69)</f>
        <v>18.690000000000001</v>
      </c>
      <c r="P472" s="7">
        <f ca="1">IFERROR(__xludf.DUMMYFUNCTION("GOOGLEFINANCE(""NSE:""&amp;D472,""EPS"")"),5.58)</f>
        <v>5.58</v>
      </c>
      <c r="Q472" s="7">
        <v>13.5</v>
      </c>
      <c r="R472" s="7" t="str">
        <f ca="1">IFERROR(__xludf.DUMMYFUNCTION("IMPORTXML(E472,""/html/body/main/div[3]/div[3]/div[2]/ul/li[7]/span[2]/span"")"),"Loading...")</f>
        <v>Loading...</v>
      </c>
      <c r="S472" s="7" t="str">
        <f ca="1">IFERROR(__xludf.DUMMYFUNCTION("IMPORTXML(E472,""/html/body/main/div[3]/div[3]/div[2]/ul/li[8]/span[2]/span"")"),"Loading...")</f>
        <v>Loading...</v>
      </c>
      <c r="T472" s="4">
        <v>34.6</v>
      </c>
      <c r="U472" s="4">
        <v>22.7</v>
      </c>
      <c r="V472" s="4">
        <v>2.6</v>
      </c>
      <c r="W472" s="4">
        <v>5.7</v>
      </c>
      <c r="X472" s="4">
        <v>519.92999999999995</v>
      </c>
      <c r="Y472" s="7">
        <f t="shared" ca="1" si="9"/>
        <v>-415.62999999999994</v>
      </c>
    </row>
    <row r="473" spans="1:25" ht="15" x14ac:dyDescent="0.25">
      <c r="A473" s="4">
        <v>971</v>
      </c>
      <c r="C473" s="12" t="s">
        <v>1489</v>
      </c>
      <c r="D473" s="12" t="s">
        <v>1490</v>
      </c>
      <c r="E473" s="5" t="str">
        <f t="shared" si="5"/>
        <v>https://www.screener.in/company/INDNIPPON/consolidated/</v>
      </c>
      <c r="F473" s="4">
        <v>443059</v>
      </c>
      <c r="G473" s="4">
        <v>3832241897</v>
      </c>
      <c r="H473" s="6">
        <f t="shared" ca="1" si="6"/>
        <v>337831.28443003498</v>
      </c>
      <c r="I473" s="7" t="str">
        <f ca="1">IFERROR(__xludf.DUMMYFUNCTION("IMPORTXML(E473,""/html/body/main/div[3]/div[3]/div[2]/ul/li[5]/span[2]/span"")"),"Loading...")</f>
        <v>Loading...</v>
      </c>
      <c r="J473" s="7">
        <f ca="1">IFERROR(__xludf.DUMMYFUNCTION("GOOGLEFINANCE(""NSE:""&amp;D473,""marketcap"")"),19955066826)</f>
        <v>19955066826</v>
      </c>
      <c r="K473" s="7">
        <v>992.8</v>
      </c>
      <c r="L473" s="8">
        <f ca="1">IFERROR(__xludf.DUMMYFUNCTION("GOOGLEFINANCE(""NSE:""&amp;D473,""price"")"),881.55)</f>
        <v>881.55</v>
      </c>
      <c r="M473" s="9">
        <f t="shared" ca="1" si="7"/>
        <v>-111.25</v>
      </c>
      <c r="N473" s="10">
        <f t="shared" ca="1" si="8"/>
        <v>-11.205680902497987</v>
      </c>
      <c r="O473" s="7">
        <f ca="1">IFERROR(__xludf.DUMMYFUNCTION("GOOGLEFINANCE(""NSE:""&amp;D473,""pe"")"),22.9)</f>
        <v>22.9</v>
      </c>
      <c r="P473" s="7">
        <f ca="1">IFERROR(__xludf.DUMMYFUNCTION("GOOGLEFINANCE(""NSE:""&amp;D473,""EPS"")"),38.5)</f>
        <v>38.5</v>
      </c>
      <c r="Q473" s="7">
        <v>13.5</v>
      </c>
      <c r="R473" s="7" t="str">
        <f ca="1">IFERROR(__xludf.DUMMYFUNCTION("IMPORTXML(E473,""/html/body/main/div[3]/div[3]/div[2]/ul/li[7]/span[2]/span"")"),"Loading...")</f>
        <v>Loading...</v>
      </c>
      <c r="S473" s="7" t="str">
        <f ca="1">IFERROR(__xludf.DUMMYFUNCTION("IMPORTXML(E473,""/html/body/main/div[3]/div[3]/div[2]/ul/li[8]/span[2]/span"")"),"Loading...")</f>
        <v>Loading...</v>
      </c>
      <c r="T473" s="4">
        <v>34.6</v>
      </c>
      <c r="U473" s="4">
        <v>22.7</v>
      </c>
      <c r="V473" s="4">
        <v>2.6</v>
      </c>
      <c r="W473" s="4">
        <v>5.7</v>
      </c>
      <c r="X473" s="4">
        <v>519.92999999999995</v>
      </c>
      <c r="Y473" s="7">
        <f t="shared" ca="1" si="9"/>
        <v>361.62</v>
      </c>
    </row>
    <row r="474" spans="1:25" ht="15" x14ac:dyDescent="0.25">
      <c r="A474" s="4">
        <v>129</v>
      </c>
      <c r="C474" s="12" t="s">
        <v>1491</v>
      </c>
      <c r="D474" s="12" t="s">
        <v>1492</v>
      </c>
      <c r="E474" s="5" t="str">
        <f t="shared" si="5"/>
        <v>https://www.screener.in/company/CREDITACC/consolidated/</v>
      </c>
      <c r="F474" s="4">
        <v>443059</v>
      </c>
      <c r="G474" s="4">
        <v>3832241897</v>
      </c>
      <c r="H474" s="6">
        <f t="shared" ca="1" si="6"/>
        <v>514286.8625774</v>
      </c>
      <c r="I474" s="7" t="str">
        <f ca="1">IFERROR(__xludf.DUMMYFUNCTION("IMPORTXML(E474,""/html/body/main/div[3]/div[3]/div[2]/ul/li[5]/span[2]/span"")"),"Loading...")</f>
        <v>Loading...</v>
      </c>
      <c r="J474" s="7">
        <f ca="1">IFERROR(__xludf.DUMMYFUNCTION("GOOGLEFINANCE(""NSE:""&amp;D474,""marketcap"")"),214138200000)</f>
        <v>214138200000</v>
      </c>
      <c r="K474" s="7">
        <v>992.8</v>
      </c>
      <c r="L474" s="8">
        <f ca="1">IFERROR(__xludf.DUMMYFUNCTION("GOOGLEFINANCE(""NSE:""&amp;D474,""price"")"),1342)</f>
        <v>1342</v>
      </c>
      <c r="M474" s="9">
        <f t="shared" ca="1" si="7"/>
        <v>349.20000000000005</v>
      </c>
      <c r="N474" s="10">
        <f t="shared" ca="1" si="8"/>
        <v>35.173247381144243</v>
      </c>
      <c r="O474" s="7">
        <f ca="1">IFERROR(__xludf.DUMMYFUNCTION("GOOGLEFINANCE(""NSE:""&amp;D474,""pe"")"),111.03)</f>
        <v>111.03</v>
      </c>
      <c r="P474" s="7">
        <f ca="1">IFERROR(__xludf.DUMMYFUNCTION("GOOGLEFINANCE(""NSE:""&amp;D474,""EPS"")"),12.09)</f>
        <v>12.09</v>
      </c>
      <c r="Q474" s="7">
        <v>13.5</v>
      </c>
      <c r="R474" s="7" t="str">
        <f ca="1">IFERROR(__xludf.DUMMYFUNCTION("IMPORTXML(E474,""/html/body/main/div[3]/div[3]/div[2]/ul/li[7]/span[2]/span"")"),"Loading...")</f>
        <v>Loading...</v>
      </c>
      <c r="S474" s="7" t="str">
        <f ca="1">IFERROR(__xludf.DUMMYFUNCTION("IMPORTXML(E474,""/html/body/main/div[3]/div[3]/div[2]/ul/li[8]/span[2]/span"")"),"Loading...")</f>
        <v>Loading...</v>
      </c>
      <c r="T474" s="4">
        <v>34.6</v>
      </c>
      <c r="U474" s="4">
        <v>22.7</v>
      </c>
      <c r="V474" s="4">
        <v>2.6</v>
      </c>
      <c r="W474" s="4">
        <v>5.7</v>
      </c>
      <c r="X474" s="4">
        <v>519.92999999999995</v>
      </c>
      <c r="Y474" s="7">
        <f t="shared" ca="1" si="9"/>
        <v>822.07</v>
      </c>
    </row>
    <row r="475" spans="1:25" ht="15" x14ac:dyDescent="0.25">
      <c r="A475" s="4">
        <v>1175</v>
      </c>
      <c r="C475" s="12" t="s">
        <v>1493</v>
      </c>
      <c r="D475" s="12" t="s">
        <v>1494</v>
      </c>
      <c r="E475" s="5" t="str">
        <f t="shared" si="5"/>
        <v>https://www.screener.in/company/DHARMAJ/consolidated/</v>
      </c>
      <c r="F475" s="4">
        <v>443059</v>
      </c>
      <c r="G475" s="4">
        <v>3832241897</v>
      </c>
      <c r="H475" s="6">
        <f t="shared" ca="1" si="6"/>
        <v>142865.97792016002</v>
      </c>
      <c r="I475" s="7" t="str">
        <f ca="1">IFERROR(__xludf.DUMMYFUNCTION("IMPORTXML(E475,""/html/body/main/div[3]/div[3]/div[2]/ul/li[5]/span[2]/span"")"),"Loading...")</f>
        <v>Loading...</v>
      </c>
      <c r="J475" s="7">
        <f ca="1">IFERROR(__xludf.DUMMYFUNCTION("GOOGLEFINANCE(""NSE:""&amp;D475,""marketcap"")"),12552450833)</f>
        <v>12552450833</v>
      </c>
      <c r="K475" s="7">
        <v>992.8</v>
      </c>
      <c r="L475" s="8">
        <f ca="1">IFERROR(__xludf.DUMMYFUNCTION("GOOGLEFINANCE(""NSE:""&amp;D475,""price"")"),372.8)</f>
        <v>372.8</v>
      </c>
      <c r="M475" s="9">
        <f t="shared" ca="1" si="7"/>
        <v>-620</v>
      </c>
      <c r="N475" s="10">
        <f t="shared" ca="1" si="8"/>
        <v>-62.449637389202259</v>
      </c>
      <c r="O475" s="7">
        <f ca="1">IFERROR(__xludf.DUMMYFUNCTION("GOOGLEFINANCE(""NSE:""&amp;D475,""pe"")"),24.08)</f>
        <v>24.08</v>
      </c>
      <c r="P475" s="7">
        <f ca="1">IFERROR(__xludf.DUMMYFUNCTION("GOOGLEFINANCE(""NSE:""&amp;D475,""EPS"")"),15.48)</f>
        <v>15.48</v>
      </c>
      <c r="Q475" s="7">
        <v>13.5</v>
      </c>
      <c r="R475" s="7" t="str">
        <f ca="1">IFERROR(__xludf.DUMMYFUNCTION("IMPORTXML(E475,""/html/body/main/div[3]/div[3]/div[2]/ul/li[7]/span[2]/span"")"),"Loading...")</f>
        <v>Loading...</v>
      </c>
      <c r="S475" s="7" t="str">
        <f ca="1">IFERROR(__xludf.DUMMYFUNCTION("IMPORTXML(E475,""/html/body/main/div[3]/div[3]/div[2]/ul/li[8]/span[2]/span"")"),"Loading...")</f>
        <v>Loading...</v>
      </c>
      <c r="T475" s="4">
        <v>34.6</v>
      </c>
      <c r="U475" s="4">
        <v>22.7</v>
      </c>
      <c r="V475" s="4">
        <v>2.6</v>
      </c>
      <c r="W475" s="4">
        <v>5.7</v>
      </c>
      <c r="X475" s="4">
        <v>519.92999999999995</v>
      </c>
      <c r="Y475" s="7">
        <f t="shared" ca="1" si="9"/>
        <v>-147.12999999999994</v>
      </c>
    </row>
    <row r="476" spans="1:25" ht="15" x14ac:dyDescent="0.25">
      <c r="A476" s="4">
        <v>755</v>
      </c>
      <c r="C476" s="12" t="s">
        <v>1495</v>
      </c>
      <c r="D476" s="12" t="s">
        <v>1496</v>
      </c>
      <c r="E476" s="5" t="str">
        <f t="shared" si="5"/>
        <v>https://www.screener.in/company/HUHTAMAKI/consolidated/</v>
      </c>
      <c r="F476" s="4">
        <v>443059</v>
      </c>
      <c r="G476" s="4">
        <v>3832241897</v>
      </c>
      <c r="H476" s="6">
        <f t="shared" ca="1" si="6"/>
        <v>91513.936500360011</v>
      </c>
      <c r="I476" s="7" t="str">
        <f ca="1">IFERROR(__xludf.DUMMYFUNCTION("IMPORTXML(E476,""/html/body/main/div[3]/div[3]/div[2]/ul/li[5]/span[2]/span"")"),"Loading...")</f>
        <v>Loading...</v>
      </c>
      <c r="J476" s="7">
        <f ca="1">IFERROR(__xludf.DUMMYFUNCTION("GOOGLEFINANCE(""NSE:""&amp;D476,""marketcap"")"),17918921820)</f>
        <v>17918921820</v>
      </c>
      <c r="K476" s="7">
        <v>992.8</v>
      </c>
      <c r="L476" s="8">
        <f ca="1">IFERROR(__xludf.DUMMYFUNCTION("GOOGLEFINANCE(""NSE:""&amp;D476,""price"")"),238.8)</f>
        <v>238.8</v>
      </c>
      <c r="M476" s="9">
        <f t="shared" ca="1" si="7"/>
        <v>-754</v>
      </c>
      <c r="N476" s="10">
        <f t="shared" ca="1" si="8"/>
        <v>-75.946817082997583</v>
      </c>
      <c r="O476" s="7">
        <f ca="1">IFERROR(__xludf.DUMMYFUNCTION("GOOGLEFINANCE(""NSE:""&amp;D476,""pe"")"),24.45)</f>
        <v>24.45</v>
      </c>
      <c r="P476" s="7">
        <f ca="1">IFERROR(__xludf.DUMMYFUNCTION("GOOGLEFINANCE(""NSE:""&amp;D476,""EPS"")"),9.77)</f>
        <v>9.77</v>
      </c>
      <c r="Q476" s="7">
        <v>13.5</v>
      </c>
      <c r="R476" s="7" t="str">
        <f ca="1">IFERROR(__xludf.DUMMYFUNCTION("IMPORTXML(E476,""/html/body/main/div[3]/div[3]/div[2]/ul/li[7]/span[2]/span"")"),"Loading...")</f>
        <v>Loading...</v>
      </c>
      <c r="S476" s="7" t="str">
        <f ca="1">IFERROR(__xludf.DUMMYFUNCTION("IMPORTXML(E476,""/html/body/main/div[3]/div[3]/div[2]/ul/li[8]/span[2]/span"")"),"Loading...")</f>
        <v>Loading...</v>
      </c>
      <c r="T476" s="4">
        <v>34.6</v>
      </c>
      <c r="U476" s="4">
        <v>22.7</v>
      </c>
      <c r="V476" s="4">
        <v>2.6</v>
      </c>
      <c r="W476" s="4">
        <v>5.7</v>
      </c>
      <c r="X476" s="4">
        <v>519.92999999999995</v>
      </c>
      <c r="Y476" s="7">
        <f t="shared" ca="1" si="9"/>
        <v>-281.12999999999994</v>
      </c>
    </row>
    <row r="477" spans="1:25" ht="15" x14ac:dyDescent="0.25">
      <c r="A477" s="4">
        <v>1720</v>
      </c>
      <c r="C477" s="12" t="s">
        <v>1497</v>
      </c>
      <c r="D477" s="12" t="s">
        <v>1498</v>
      </c>
      <c r="E477" s="5" t="str">
        <f t="shared" si="5"/>
        <v>https://www.screener.in/company/UMAEXPORTS/consolidated/</v>
      </c>
      <c r="F477" s="4">
        <v>443059</v>
      </c>
      <c r="G477" s="4">
        <v>3832241897</v>
      </c>
      <c r="H477" s="6">
        <f t="shared" ca="1" si="6"/>
        <v>18509.728362509999</v>
      </c>
      <c r="I477" s="7" t="str">
        <f ca="1">IFERROR(__xludf.DUMMYFUNCTION("IMPORTXML(E477,""/html/body/main/div[3]/div[3]/div[2]/ul/li[5]/span[2]/span"")"),"Loading...")</f>
        <v>Loading...</v>
      </c>
      <c r="J477" s="7">
        <f ca="1">IFERROR(__xludf.DUMMYFUNCTION("GOOGLEFINANCE(""NSE:""&amp;D477,""marketcap"")"),1666487000)</f>
        <v>1666487000</v>
      </c>
      <c r="K477" s="7">
        <v>992.8</v>
      </c>
      <c r="L477" s="8">
        <f ca="1">IFERROR(__xludf.DUMMYFUNCTION("GOOGLEFINANCE(""NSE:""&amp;D477,""price"")"),48.3)</f>
        <v>48.3</v>
      </c>
      <c r="M477" s="9">
        <f t="shared" ca="1" si="7"/>
        <v>-944.5</v>
      </c>
      <c r="N477" s="10">
        <f t="shared" ca="1" si="8"/>
        <v>-95.134971796937961</v>
      </c>
      <c r="O477" s="7" t="str">
        <f ca="1">IFERROR(__xludf.DUMMYFUNCTION("GOOGLEFINANCE(""NSE:""&amp;D477,""pe"")"),"#N/A")</f>
        <v>#N/A</v>
      </c>
      <c r="P477" s="7">
        <f ca="1">IFERROR(__xludf.DUMMYFUNCTION("GOOGLEFINANCE(""NSE:""&amp;D477,""EPS"")"),-0.75)</f>
        <v>-0.75</v>
      </c>
      <c r="Q477" s="7">
        <v>13.5</v>
      </c>
      <c r="R477" s="7" t="str">
        <f ca="1">IFERROR(__xludf.DUMMYFUNCTION("IMPORTXML(E477,""/html/body/main/div[3]/div[3]/div[2]/ul/li[7]/span[2]/span"")"),"Loading...")</f>
        <v>Loading...</v>
      </c>
      <c r="S477" s="7" t="str">
        <f ca="1">IFERROR(__xludf.DUMMYFUNCTION("IMPORTXML(E477,""/html/body/main/div[3]/div[3]/div[2]/ul/li[8]/span[2]/span"")"),"Loading...")</f>
        <v>Loading...</v>
      </c>
      <c r="T477" s="4">
        <v>34.6</v>
      </c>
      <c r="U477" s="4">
        <v>22.7</v>
      </c>
      <c r="V477" s="4">
        <v>2.6</v>
      </c>
      <c r="W477" s="4">
        <v>5.7</v>
      </c>
      <c r="X477" s="4">
        <v>519.92999999999995</v>
      </c>
      <c r="Y477" s="7">
        <f t="shared" ca="1" si="9"/>
        <v>-471.62999999999994</v>
      </c>
    </row>
    <row r="478" spans="1:25" ht="15" x14ac:dyDescent="0.25">
      <c r="A478" s="4">
        <v>1330</v>
      </c>
      <c r="C478" s="12" t="s">
        <v>1499</v>
      </c>
      <c r="D478" s="12" t="s">
        <v>1500</v>
      </c>
      <c r="E478" s="5" t="str">
        <f t="shared" si="5"/>
        <v>https://www.screener.in/company/MANBA/consolidated/</v>
      </c>
      <c r="F478" s="4">
        <v>443059</v>
      </c>
      <c r="G478" s="4">
        <v>3832241897</v>
      </c>
      <c r="H478" s="6">
        <f t="shared" ca="1" si="6"/>
        <v>53455.942221253004</v>
      </c>
      <c r="I478" s="7" t="str">
        <f ca="1">IFERROR(__xludf.DUMMYFUNCTION("IMPORTXML(E478,""/html/body/main/div[3]/div[3]/div[2]/ul/li[5]/span[2]/span"")"),"Loading...")</f>
        <v>Loading...</v>
      </c>
      <c r="J478" s="7">
        <f ca="1">IFERROR(__xludf.DUMMYFUNCTION("GOOGLEFINANCE(""NSE:""&amp;D478,""marketcap"")"),7007895576)</f>
        <v>7007895576</v>
      </c>
      <c r="K478" s="7">
        <v>992.8</v>
      </c>
      <c r="L478" s="8">
        <f ca="1">IFERROR(__xludf.DUMMYFUNCTION("GOOGLEFINANCE(""NSE:""&amp;D478,""price"")"),139.49)</f>
        <v>139.49</v>
      </c>
      <c r="M478" s="9">
        <f t="shared" ca="1" si="7"/>
        <v>-853.31</v>
      </c>
      <c r="N478" s="10">
        <f t="shared" ca="1" si="8"/>
        <v>-85.949838839645437</v>
      </c>
      <c r="O478" s="7">
        <f ca="1">IFERROR(__xludf.DUMMYFUNCTION("GOOGLEFINANCE(""NSE:""&amp;D478,""pe"")"),16.53)</f>
        <v>16.53</v>
      </c>
      <c r="P478" s="7">
        <f ca="1">IFERROR(__xludf.DUMMYFUNCTION("GOOGLEFINANCE(""NSE:""&amp;D478,""EPS"")"),8.44)</f>
        <v>8.44</v>
      </c>
      <c r="Q478" s="7">
        <v>13.5</v>
      </c>
      <c r="R478" s="7" t="str">
        <f ca="1">IFERROR(__xludf.DUMMYFUNCTION("IMPORTXML(E478,""/html/body/main/div[3]/div[3]/div[2]/ul/li[7]/span[2]/span"")"),"Loading...")</f>
        <v>Loading...</v>
      </c>
      <c r="S478" s="7" t="str">
        <f ca="1">IFERROR(__xludf.DUMMYFUNCTION("IMPORTXML(E478,""/html/body/main/div[3]/div[3]/div[2]/ul/li[8]/span[2]/span"")"),"Loading...")</f>
        <v>Loading...</v>
      </c>
      <c r="T478" s="4">
        <v>34.6</v>
      </c>
      <c r="U478" s="4">
        <v>22.7</v>
      </c>
      <c r="V478" s="4">
        <v>2.6</v>
      </c>
      <c r="W478" s="4">
        <v>5.7</v>
      </c>
      <c r="X478" s="4">
        <v>519.92999999999995</v>
      </c>
      <c r="Y478" s="7">
        <f t="shared" ca="1" si="9"/>
        <v>-380.43999999999994</v>
      </c>
    </row>
    <row r="479" spans="1:25" ht="15" x14ac:dyDescent="0.25">
      <c r="A479" s="4">
        <v>2416</v>
      </c>
      <c r="C479" s="12" t="s">
        <v>1501</v>
      </c>
      <c r="D479" s="12" t="s">
        <v>1502</v>
      </c>
      <c r="E479" s="5" t="str">
        <f t="shared" si="5"/>
        <v>https://www.screener.in/company/AAKASH/consolidated/</v>
      </c>
      <c r="F479" s="4">
        <v>443059</v>
      </c>
      <c r="G479" s="4">
        <v>3832241897</v>
      </c>
      <c r="H479" s="6">
        <f t="shared" ca="1" si="6"/>
        <v>3931.8801863220001</v>
      </c>
      <c r="I479" s="7" t="str">
        <f ca="1">IFERROR(__xludf.DUMMYFUNCTION("IMPORTXML(E479,""/html/body/main/div[3]/div[3]/div[2]/ul/li[5]/span[2]/span"")"),"Loading...")</f>
        <v>Loading...</v>
      </c>
      <c r="J479" s="7">
        <f ca="1">IFERROR(__xludf.DUMMYFUNCTION("GOOGLEFINANCE(""NSE:""&amp;D479,""marketcap"")"),1035787000)</f>
        <v>1035787000</v>
      </c>
      <c r="K479" s="7">
        <v>992.8</v>
      </c>
      <c r="L479" s="8">
        <f ca="1">IFERROR(__xludf.DUMMYFUNCTION("GOOGLEFINANCE(""NSE:""&amp;D479,""price"")"),10.26)</f>
        <v>10.26</v>
      </c>
      <c r="M479" s="9">
        <f t="shared" ca="1" si="7"/>
        <v>-982.54</v>
      </c>
      <c r="N479" s="10">
        <f t="shared" ca="1" si="8"/>
        <v>-98.966559226430292</v>
      </c>
      <c r="O479" s="7">
        <f ca="1">IFERROR(__xludf.DUMMYFUNCTION("GOOGLEFINANCE(""NSE:""&amp;D479,""pe"")"),88.45)</f>
        <v>88.45</v>
      </c>
      <c r="P479" s="7">
        <f ca="1">IFERROR(__xludf.DUMMYFUNCTION("GOOGLEFINANCE(""NSE:""&amp;D479,""EPS"")"),0.12)</f>
        <v>0.12</v>
      </c>
      <c r="Q479" s="7">
        <v>13.5</v>
      </c>
      <c r="R479" s="7" t="str">
        <f ca="1">IFERROR(__xludf.DUMMYFUNCTION("IMPORTXML(E479,""/html/body/main/div[3]/div[3]/div[2]/ul/li[7]/span[2]/span"")"),"Loading...")</f>
        <v>Loading...</v>
      </c>
      <c r="S479" s="7" t="str">
        <f ca="1">IFERROR(__xludf.DUMMYFUNCTION("IMPORTXML(E479,""/html/body/main/div[3]/div[3]/div[2]/ul/li[8]/span[2]/span"")"),"Loading...")</f>
        <v>Loading...</v>
      </c>
      <c r="T479" s="4">
        <v>34.6</v>
      </c>
      <c r="U479" s="4">
        <v>22.7</v>
      </c>
      <c r="V479" s="4">
        <v>2.6</v>
      </c>
      <c r="W479" s="4">
        <v>5.7</v>
      </c>
      <c r="X479" s="4">
        <v>519.92999999999995</v>
      </c>
      <c r="Y479" s="7">
        <f t="shared" ca="1" si="9"/>
        <v>-509.66999999999996</v>
      </c>
    </row>
    <row r="480" spans="1:25" ht="15" x14ac:dyDescent="0.25">
      <c r="A480" s="4">
        <v>1565</v>
      </c>
      <c r="C480" s="12" t="s">
        <v>1503</v>
      </c>
      <c r="D480" s="12" t="s">
        <v>1504</v>
      </c>
      <c r="E480" s="5" t="str">
        <f t="shared" si="5"/>
        <v>https://www.screener.in/company/UFO/consolidated/</v>
      </c>
      <c r="F480" s="4">
        <v>443059</v>
      </c>
      <c r="G480" s="4">
        <v>3832241897</v>
      </c>
      <c r="H480" s="6">
        <f t="shared" ca="1" si="6"/>
        <v>29469.940187930006</v>
      </c>
      <c r="I480" s="7" t="str">
        <f ca="1">IFERROR(__xludf.DUMMYFUNCTION("IMPORTXML(E480,""/html/body/main/div[3]/div[3]/div[2]/ul/li[5]/span[2]/span"")"),"Loading...")</f>
        <v>Loading...</v>
      </c>
      <c r="J480" s="7">
        <f ca="1">IFERROR(__xludf.DUMMYFUNCTION("GOOGLEFINANCE(""NSE:""&amp;D480,""marketcap"")"),2984854334)</f>
        <v>2984854334</v>
      </c>
      <c r="K480" s="7">
        <v>992.8</v>
      </c>
      <c r="L480" s="8">
        <f ca="1">IFERROR(__xludf.DUMMYFUNCTION("GOOGLEFINANCE(""NSE:""&amp;D480,""price"")"),76.9)</f>
        <v>76.900000000000006</v>
      </c>
      <c r="M480" s="9">
        <f t="shared" ca="1" si="7"/>
        <v>-915.9</v>
      </c>
      <c r="N480" s="10">
        <f t="shared" ca="1" si="8"/>
        <v>-92.25423045930701</v>
      </c>
      <c r="O480" s="7">
        <f ca="1">IFERROR(__xludf.DUMMYFUNCTION("GOOGLEFINANCE(""NSE:""&amp;D480,""pe"")"),14.7)</f>
        <v>14.7</v>
      </c>
      <c r="P480" s="7">
        <f ca="1">IFERROR(__xludf.DUMMYFUNCTION("GOOGLEFINANCE(""NSE:""&amp;D480,""EPS"")"),5.23)</f>
        <v>5.23</v>
      </c>
      <c r="Q480" s="7">
        <v>13.5</v>
      </c>
      <c r="R480" s="7" t="str">
        <f ca="1">IFERROR(__xludf.DUMMYFUNCTION("IMPORTXML(E480,""/html/body/main/div[3]/div[3]/div[2]/ul/li[7]/span[2]/span"")"),"Loading...")</f>
        <v>Loading...</v>
      </c>
      <c r="S480" s="7" t="str">
        <f ca="1">IFERROR(__xludf.DUMMYFUNCTION("IMPORTXML(E480,""/html/body/main/div[3]/div[3]/div[2]/ul/li[8]/span[2]/span"")"),"Loading...")</f>
        <v>Loading...</v>
      </c>
      <c r="T480" s="4">
        <v>34.6</v>
      </c>
      <c r="U480" s="4">
        <v>22.7</v>
      </c>
      <c r="V480" s="4">
        <v>2.6</v>
      </c>
      <c r="W480" s="4">
        <v>5.7</v>
      </c>
      <c r="X480" s="4">
        <v>519.92999999999995</v>
      </c>
      <c r="Y480" s="7">
        <f t="shared" ca="1" si="9"/>
        <v>-443.03</v>
      </c>
    </row>
    <row r="481" spans="1:25" ht="15" x14ac:dyDescent="0.25">
      <c r="A481" s="4">
        <v>516</v>
      </c>
      <c r="C481" s="12" t="s">
        <v>1505</v>
      </c>
      <c r="D481" s="12" t="s">
        <v>1506</v>
      </c>
      <c r="E481" s="5" t="str">
        <f t="shared" si="5"/>
        <v>https://www.screener.in/company/KSCL/consolidated/</v>
      </c>
      <c r="F481" s="4">
        <v>443059</v>
      </c>
      <c r="G481" s="4">
        <v>3832241897</v>
      </c>
      <c r="H481" s="6">
        <f t="shared" ca="1" si="6"/>
        <v>457952.90669149999</v>
      </c>
      <c r="I481" s="7" t="str">
        <f ca="1">IFERROR(__xludf.DUMMYFUNCTION("IMPORTXML(E481,""/html/body/main/div[3]/div[3]/div[2]/ul/li[5]/span[2]/span"")"),"Loading...")</f>
        <v>Loading...</v>
      </c>
      <c r="J481" s="7">
        <f ca="1">IFERROR(__xludf.DUMMYFUNCTION("GOOGLEFINANCE(""NSE:""&amp;D481,""marketcap"")"),61028220000)</f>
        <v>61028220000</v>
      </c>
      <c r="K481" s="7">
        <v>992.8</v>
      </c>
      <c r="L481" s="8">
        <f ca="1">IFERROR(__xludf.DUMMYFUNCTION("GOOGLEFINANCE(""NSE:""&amp;D481,""price"")"),1195)</f>
        <v>1195</v>
      </c>
      <c r="M481" s="9">
        <f t="shared" ca="1" si="7"/>
        <v>202.20000000000005</v>
      </c>
      <c r="N481" s="10">
        <f t="shared" ca="1" si="8"/>
        <v>20.36663980660758</v>
      </c>
      <c r="O481" s="7">
        <f ca="1">IFERROR(__xludf.DUMMYFUNCTION("GOOGLEFINANCE(""NSE:""&amp;D481,""pe"")"),19.3)</f>
        <v>19.3</v>
      </c>
      <c r="P481" s="7">
        <f ca="1">IFERROR(__xludf.DUMMYFUNCTION("GOOGLEFINANCE(""NSE:""&amp;D481,""EPS"")"),61.91)</f>
        <v>61.91</v>
      </c>
      <c r="Q481" s="7">
        <v>13.5</v>
      </c>
      <c r="R481" s="7" t="str">
        <f ca="1">IFERROR(__xludf.DUMMYFUNCTION("IMPORTXML(E481,""/html/body/main/div[3]/div[3]/div[2]/ul/li[7]/span[2]/span"")"),"Loading...")</f>
        <v>Loading...</v>
      </c>
      <c r="S481" s="7" t="str">
        <f ca="1">IFERROR(__xludf.DUMMYFUNCTION("IMPORTXML(E481,""/html/body/main/div[3]/div[3]/div[2]/ul/li[8]/span[2]/span"")"),"Loading...")</f>
        <v>Loading...</v>
      </c>
      <c r="T481" s="4">
        <v>34.6</v>
      </c>
      <c r="U481" s="4">
        <v>22.7</v>
      </c>
      <c r="V481" s="4">
        <v>2.6</v>
      </c>
      <c r="W481" s="4">
        <v>5.7</v>
      </c>
      <c r="X481" s="4">
        <v>519.92999999999995</v>
      </c>
      <c r="Y481" s="7">
        <f t="shared" ca="1" si="9"/>
        <v>675.07</v>
      </c>
    </row>
    <row r="482" spans="1:25" ht="15" x14ac:dyDescent="0.25">
      <c r="A482" s="4">
        <v>1416</v>
      </c>
      <c r="C482" s="12" t="s">
        <v>1507</v>
      </c>
      <c r="D482" s="12" t="s">
        <v>1508</v>
      </c>
      <c r="E482" s="5" t="str">
        <f t="shared" si="5"/>
        <v>https://www.screener.in/company/MOLDTECH/consolidated/</v>
      </c>
      <c r="F482" s="4">
        <v>443059</v>
      </c>
      <c r="G482" s="4">
        <v>3832241897</v>
      </c>
      <c r="H482" s="6">
        <f t="shared" ca="1" si="6"/>
        <v>63768.505166080002</v>
      </c>
      <c r="I482" s="7" t="str">
        <f ca="1">IFERROR(__xludf.DUMMYFUNCTION("IMPORTXML(E482,""/html/body/main/div[3]/div[3]/div[2]/ul/li[5]/span[2]/span"")"),"Loading...")</f>
        <v>Loading...</v>
      </c>
      <c r="J482" s="7">
        <f ca="1">IFERROR(__xludf.DUMMYFUNCTION("GOOGLEFINANCE(""NSE:""&amp;D482,""marketcap"")"),4804240970)</f>
        <v>4804240970</v>
      </c>
      <c r="K482" s="7">
        <v>992.8</v>
      </c>
      <c r="L482" s="8">
        <f ca="1">IFERROR(__xludf.DUMMYFUNCTION("GOOGLEFINANCE(""NSE:""&amp;D482,""price"")"),166.4)</f>
        <v>166.4</v>
      </c>
      <c r="M482" s="9">
        <f t="shared" ca="1" si="7"/>
        <v>-826.4</v>
      </c>
      <c r="N482" s="10">
        <f t="shared" ca="1" si="8"/>
        <v>-83.239323126510882</v>
      </c>
      <c r="O482" s="7">
        <f ca="1">IFERROR(__xludf.DUMMYFUNCTION("GOOGLEFINANCE(""NSE:""&amp;D482,""pe"")"),62.56)</f>
        <v>62.56</v>
      </c>
      <c r="P482" s="7">
        <f ca="1">IFERROR(__xludf.DUMMYFUNCTION("GOOGLEFINANCE(""NSE:""&amp;D482,""EPS"")"),2.66)</f>
        <v>2.66</v>
      </c>
      <c r="Q482" s="7">
        <v>13.5</v>
      </c>
      <c r="R482" s="7" t="str">
        <f ca="1">IFERROR(__xludf.DUMMYFUNCTION("IMPORTXML(E482,""/html/body/main/div[3]/div[3]/div[2]/ul/li[7]/span[2]/span"")"),"Loading...")</f>
        <v>Loading...</v>
      </c>
      <c r="S482" s="7" t="str">
        <f ca="1">IFERROR(__xludf.DUMMYFUNCTION("IMPORTXML(E482,""/html/body/main/div[3]/div[3]/div[2]/ul/li[8]/span[2]/span"")"),"Loading...")</f>
        <v>Loading...</v>
      </c>
      <c r="T482" s="4">
        <v>34.6</v>
      </c>
      <c r="U482" s="4">
        <v>22.7</v>
      </c>
      <c r="V482" s="4">
        <v>2.6</v>
      </c>
      <c r="W482" s="4">
        <v>5.7</v>
      </c>
      <c r="X482" s="4">
        <v>519.92999999999995</v>
      </c>
      <c r="Y482" s="7">
        <f t="shared" ca="1" si="9"/>
        <v>-353.53</v>
      </c>
    </row>
    <row r="483" spans="1:25" ht="15" x14ac:dyDescent="0.25">
      <c r="A483" s="4">
        <v>1766</v>
      </c>
      <c r="C483" s="12" t="s">
        <v>1509</v>
      </c>
      <c r="D483" s="12" t="s">
        <v>1510</v>
      </c>
      <c r="E483" s="5" t="str">
        <f t="shared" si="5"/>
        <v>https://www.screener.in/company/USK/consolidated/</v>
      </c>
      <c r="F483" s="4">
        <v>443059</v>
      </c>
      <c r="G483" s="4">
        <v>3832241897</v>
      </c>
      <c r="H483" s="6">
        <f t="shared" ca="1" si="6"/>
        <v>12880.165015817</v>
      </c>
      <c r="I483" s="7" t="str">
        <f ca="1">IFERROR(__xludf.DUMMYFUNCTION("IMPORTXML(E483,""/html/body/main/div[3]/div[3]/div[2]/ul/li[5]/span[2]/span"")"),"Loading...")</f>
        <v>Loading...</v>
      </c>
      <c r="J483" s="7">
        <f ca="1">IFERROR(__xludf.DUMMYFUNCTION("GOOGLEFINANCE(""NSE:""&amp;D483,""marketcap"")"),1860553509)</f>
        <v>1860553509</v>
      </c>
      <c r="K483" s="7">
        <v>992.8</v>
      </c>
      <c r="L483" s="8">
        <f ca="1">IFERROR(__xludf.DUMMYFUNCTION("GOOGLEFINANCE(""NSE:""&amp;D483,""price"")"),33.61)</f>
        <v>33.61</v>
      </c>
      <c r="M483" s="9">
        <f t="shared" ca="1" si="7"/>
        <v>-959.18999999999994</v>
      </c>
      <c r="N483" s="10">
        <f t="shared" ca="1" si="8"/>
        <v>-96.614625302175654</v>
      </c>
      <c r="O483" s="7" t="str">
        <f ca="1">IFERROR(__xludf.DUMMYFUNCTION("GOOGLEFINANCE(""NSE:""&amp;D483,""pe"")"),"#N/A")</f>
        <v>#N/A</v>
      </c>
      <c r="P483" s="7">
        <f ca="1">IFERROR(__xludf.DUMMYFUNCTION("GOOGLEFINANCE(""NSE:""&amp;D483,""EPS"")"),-3.03)</f>
        <v>-3.03</v>
      </c>
      <c r="Q483" s="7">
        <v>13.5</v>
      </c>
      <c r="R483" s="7" t="str">
        <f ca="1">IFERROR(__xludf.DUMMYFUNCTION("IMPORTXML(E483,""/html/body/main/div[3]/div[3]/div[2]/ul/li[7]/span[2]/span"")"),"Loading...")</f>
        <v>Loading...</v>
      </c>
      <c r="S483" s="7" t="str">
        <f ca="1">IFERROR(__xludf.DUMMYFUNCTION("IMPORTXML(E483,""/html/body/main/div[3]/div[3]/div[2]/ul/li[8]/span[2]/span"")"),"Loading...")</f>
        <v>Loading...</v>
      </c>
      <c r="T483" s="4">
        <v>34.6</v>
      </c>
      <c r="U483" s="4">
        <v>22.7</v>
      </c>
      <c r="V483" s="4">
        <v>2.6</v>
      </c>
      <c r="W483" s="4">
        <v>5.7</v>
      </c>
      <c r="X483" s="4">
        <v>519.92999999999995</v>
      </c>
      <c r="Y483" s="7">
        <f t="shared" ca="1" si="9"/>
        <v>-486.31999999999994</v>
      </c>
    </row>
    <row r="484" spans="1:25" ht="15" x14ac:dyDescent="0.25">
      <c r="A484" s="4">
        <v>2526</v>
      </c>
      <c r="C484" s="12" t="s">
        <v>1511</v>
      </c>
      <c r="D484" s="12" t="s">
        <v>1512</v>
      </c>
      <c r="E484" s="5" t="str">
        <f t="shared" si="5"/>
        <v>https://www.screener.in/company/BLBLIMITED/consolidated/</v>
      </c>
      <c r="F484" s="4">
        <v>443059</v>
      </c>
      <c r="G484" s="4">
        <v>3832241897</v>
      </c>
      <c r="H484" s="6">
        <f t="shared" ca="1" si="6"/>
        <v>5978.2973593199995</v>
      </c>
      <c r="I484" s="7" t="str">
        <f ca="1">IFERROR(__xludf.DUMMYFUNCTION("IMPORTXML(E484,""/html/body/main/div[3]/div[3]/div[2]/ul/li[5]/span[2]/span"")"),"Loading...")</f>
        <v>Loading...</v>
      </c>
      <c r="J484" s="7">
        <f ca="1">IFERROR(__xludf.DUMMYFUNCTION("GOOGLEFINANCE(""NSE:""&amp;D484,""marketcap"")"),827341300)</f>
        <v>827341300</v>
      </c>
      <c r="K484" s="7">
        <v>992.8</v>
      </c>
      <c r="L484" s="8">
        <f ca="1">IFERROR(__xludf.DUMMYFUNCTION("GOOGLEFINANCE(""NSE:""&amp;D484,""price"")"),15.6)</f>
        <v>15.6</v>
      </c>
      <c r="M484" s="9">
        <f t="shared" ca="1" si="7"/>
        <v>-977.19999999999993</v>
      </c>
      <c r="N484" s="10">
        <f t="shared" ca="1" si="8"/>
        <v>-98.428686543110388</v>
      </c>
      <c r="O484" s="7">
        <f ca="1">IFERROR(__xludf.DUMMYFUNCTION("GOOGLEFINANCE(""NSE:""&amp;D484,""pe"")"),12.51)</f>
        <v>12.51</v>
      </c>
      <c r="P484" s="7">
        <f ca="1">IFERROR(__xludf.DUMMYFUNCTION("GOOGLEFINANCE(""NSE:""&amp;D484,""EPS"")"),1.25)</f>
        <v>1.25</v>
      </c>
      <c r="Q484" s="7">
        <v>13.5</v>
      </c>
      <c r="R484" s="7" t="str">
        <f ca="1">IFERROR(__xludf.DUMMYFUNCTION("IMPORTXML(E484,""/html/body/main/div[3]/div[3]/div[2]/ul/li[7]/span[2]/span"")"),"Loading...")</f>
        <v>Loading...</v>
      </c>
      <c r="S484" s="7" t="str">
        <f ca="1">IFERROR(__xludf.DUMMYFUNCTION("IMPORTXML(E484,""/html/body/main/div[3]/div[3]/div[2]/ul/li[8]/span[2]/span"")"),"Loading...")</f>
        <v>Loading...</v>
      </c>
      <c r="T484" s="4">
        <v>34.6</v>
      </c>
      <c r="U484" s="4">
        <v>22.7</v>
      </c>
      <c r="V484" s="4">
        <v>2.6</v>
      </c>
      <c r="W484" s="4">
        <v>5.7</v>
      </c>
      <c r="X484" s="4">
        <v>519.92999999999995</v>
      </c>
      <c r="Y484" s="7">
        <f t="shared" ca="1" si="9"/>
        <v>-504.32999999999993</v>
      </c>
    </row>
    <row r="485" spans="1:25" ht="15" x14ac:dyDescent="0.25">
      <c r="A485" s="4">
        <v>661</v>
      </c>
      <c r="C485" s="12" t="s">
        <v>1513</v>
      </c>
      <c r="D485" s="12" t="s">
        <v>1514</v>
      </c>
      <c r="E485" s="5" t="str">
        <f t="shared" si="5"/>
        <v>https://www.screener.in/company/BAJAJCON/consolidated/</v>
      </c>
      <c r="F485" s="4">
        <v>443059</v>
      </c>
      <c r="G485" s="4">
        <v>3832241897</v>
      </c>
      <c r="H485" s="6">
        <f t="shared" ca="1" si="6"/>
        <v>86876.923804989987</v>
      </c>
      <c r="I485" s="7" t="str">
        <f ca="1">IFERROR(__xludf.DUMMYFUNCTION("IMPORTXML(E485,""/html/body/main/div[3]/div[3]/div[2]/ul/li[5]/span[2]/span"")"),"Loading...")</f>
        <v>Loading...</v>
      </c>
      <c r="J485" s="7">
        <f ca="1">IFERROR(__xludf.DUMMYFUNCTION("GOOGLEFINANCE(""NSE:""&amp;D485,""marketcap"")"),30861550000)</f>
        <v>30861550000</v>
      </c>
      <c r="K485" s="7">
        <v>992.8</v>
      </c>
      <c r="L485" s="8">
        <f ca="1">IFERROR(__xludf.DUMMYFUNCTION("GOOGLEFINANCE(""NSE:""&amp;D485,""price"")"),226.7)</f>
        <v>226.7</v>
      </c>
      <c r="M485" s="9">
        <f t="shared" ca="1" si="7"/>
        <v>-766.09999999999991</v>
      </c>
      <c r="N485" s="10">
        <f t="shared" ca="1" si="8"/>
        <v>-77.165592264302973</v>
      </c>
      <c r="O485" s="7">
        <f ca="1">IFERROR(__xludf.DUMMYFUNCTION("GOOGLEFINANCE(""NSE:""&amp;D485,""pe"")"),24.87)</f>
        <v>24.87</v>
      </c>
      <c r="P485" s="7">
        <f ca="1">IFERROR(__xludf.DUMMYFUNCTION("GOOGLEFINANCE(""NSE:""&amp;D485,""EPS"")"),9.12)</f>
        <v>9.1199999999999992</v>
      </c>
      <c r="Q485" s="7">
        <v>13.5</v>
      </c>
      <c r="R485" s="7" t="str">
        <f ca="1">IFERROR(__xludf.DUMMYFUNCTION("IMPORTXML(E485,""/html/body/main/div[3]/div[3]/div[2]/ul/li[7]/span[2]/span"")"),"Loading...")</f>
        <v>Loading...</v>
      </c>
      <c r="S485" s="7" t="str">
        <f ca="1">IFERROR(__xludf.DUMMYFUNCTION("IMPORTXML(E485,""/html/body/main/div[3]/div[3]/div[2]/ul/li[8]/span[2]/span"")"),"Loading...")</f>
        <v>Loading...</v>
      </c>
      <c r="T485" s="4">
        <v>34.6</v>
      </c>
      <c r="U485" s="4">
        <v>22.7</v>
      </c>
      <c r="V485" s="4">
        <v>2.6</v>
      </c>
      <c r="W485" s="4">
        <v>5.7</v>
      </c>
      <c r="X485" s="4">
        <v>519.92999999999995</v>
      </c>
      <c r="Y485" s="7">
        <f t="shared" ca="1" si="9"/>
        <v>-293.22999999999996</v>
      </c>
    </row>
    <row r="486" spans="1:25" ht="15" x14ac:dyDescent="0.25">
      <c r="A486" s="4">
        <v>1082</v>
      </c>
      <c r="C486" s="12" t="s">
        <v>1515</v>
      </c>
      <c r="D486" s="12" t="s">
        <v>1516</v>
      </c>
      <c r="E486" s="5" t="str">
        <f t="shared" si="5"/>
        <v>https://www.screener.in/company/RGL/consolidated/</v>
      </c>
      <c r="F486" s="4">
        <v>443059</v>
      </c>
      <c r="G486" s="4">
        <v>3832241897</v>
      </c>
      <c r="H486" s="6">
        <f t="shared" ca="1" si="6"/>
        <v>43193.198421087</v>
      </c>
      <c r="I486" s="7" t="str">
        <f ca="1">IFERROR(__xludf.DUMMYFUNCTION("IMPORTXML(E486,""/html/body/main/div[3]/div[3]/div[2]/ul/li[5]/span[2]/span"")"),"Loading...")</f>
        <v>Loading...</v>
      </c>
      <c r="J486" s="7">
        <f ca="1">IFERROR(__xludf.DUMMYFUNCTION("GOOGLEFINANCE(""NSE:""&amp;D486,""marketcap"")"),12092419110)</f>
        <v>12092419110</v>
      </c>
      <c r="K486" s="7">
        <v>992.8</v>
      </c>
      <c r="L486" s="8">
        <f ca="1">IFERROR(__xludf.DUMMYFUNCTION("GOOGLEFINANCE(""NSE:""&amp;D486,""price"")"),112.71)</f>
        <v>112.71</v>
      </c>
      <c r="M486" s="9">
        <f t="shared" ca="1" si="7"/>
        <v>-880.08999999999992</v>
      </c>
      <c r="N486" s="10">
        <f t="shared" ca="1" si="8"/>
        <v>-88.647260273972591</v>
      </c>
      <c r="O486" s="7">
        <f ca="1">IFERROR(__xludf.DUMMYFUNCTION("GOOGLEFINANCE(""NSE:""&amp;D486,""pe"")"),17.26)</f>
        <v>17.260000000000002</v>
      </c>
      <c r="P486" s="7">
        <f ca="1">IFERROR(__xludf.DUMMYFUNCTION("GOOGLEFINANCE(""NSE:""&amp;D486,""EPS"")"),6.53)</f>
        <v>6.53</v>
      </c>
      <c r="Q486" s="7">
        <v>13.5</v>
      </c>
      <c r="R486" s="7" t="str">
        <f ca="1">IFERROR(__xludf.DUMMYFUNCTION("IMPORTXML(E486,""/html/body/main/div[3]/div[3]/div[2]/ul/li[7]/span[2]/span"")"),"Loading...")</f>
        <v>Loading...</v>
      </c>
      <c r="S486" s="7" t="str">
        <f ca="1">IFERROR(__xludf.DUMMYFUNCTION("IMPORTXML(E486,""/html/body/main/div[3]/div[3]/div[2]/ul/li[8]/span[2]/span"")"),"Loading...")</f>
        <v>Loading...</v>
      </c>
      <c r="T486" s="4">
        <v>34.6</v>
      </c>
      <c r="U486" s="4">
        <v>22.7</v>
      </c>
      <c r="V486" s="4">
        <v>2.6</v>
      </c>
      <c r="W486" s="4">
        <v>5.7</v>
      </c>
      <c r="X486" s="4">
        <v>519.92999999999995</v>
      </c>
      <c r="Y486" s="7">
        <f t="shared" ca="1" si="9"/>
        <v>-407.21999999999997</v>
      </c>
    </row>
    <row r="487" spans="1:25" ht="15" x14ac:dyDescent="0.25">
      <c r="A487" s="4">
        <v>1005</v>
      </c>
      <c r="C487" s="12" t="s">
        <v>1517</v>
      </c>
      <c r="D487" s="12" t="s">
        <v>1518</v>
      </c>
      <c r="E487" s="5" t="str">
        <f t="shared" si="5"/>
        <v>https://www.screener.in/company/5PAISA/consolidated/</v>
      </c>
      <c r="F487" s="4">
        <v>443059</v>
      </c>
      <c r="G487" s="4">
        <v>3832241897</v>
      </c>
      <c r="H487" s="6">
        <f t="shared" ca="1" si="6"/>
        <v>138918.76876625</v>
      </c>
      <c r="I487" s="7" t="str">
        <f ca="1">IFERROR(__xludf.DUMMYFUNCTION("IMPORTXML(E487,""/html/body/main/div[3]/div[3]/div[2]/ul/li[5]/span[2]/span"")"),"Loading...")</f>
        <v>Loading...</v>
      </c>
      <c r="J487" s="7">
        <f ca="1">IFERROR(__xludf.DUMMYFUNCTION("GOOGLEFINANCE(""NSE:""&amp;D487,""marketcap"")"),11350778225)</f>
        <v>11350778225</v>
      </c>
      <c r="K487" s="7">
        <v>992.8</v>
      </c>
      <c r="L487" s="8">
        <f ca="1">IFERROR(__xludf.DUMMYFUNCTION("GOOGLEFINANCE(""NSE:""&amp;D487,""price"")"),362.5)</f>
        <v>362.5</v>
      </c>
      <c r="M487" s="9">
        <f t="shared" ca="1" si="7"/>
        <v>-630.29999999999995</v>
      </c>
      <c r="N487" s="10">
        <f t="shared" ca="1" si="8"/>
        <v>-63.48710717163577</v>
      </c>
      <c r="O487" s="7">
        <f ca="1">IFERROR(__xludf.DUMMYFUNCTION("GOOGLEFINANCE(""NSE:""&amp;D487,""pe"")"),19.07)</f>
        <v>19.07</v>
      </c>
      <c r="P487" s="7">
        <f ca="1">IFERROR(__xludf.DUMMYFUNCTION("GOOGLEFINANCE(""NSE:""&amp;D487,""EPS"")"),19.01)</f>
        <v>19.010000000000002</v>
      </c>
      <c r="Q487" s="7">
        <v>13.5</v>
      </c>
      <c r="R487" s="7" t="str">
        <f ca="1">IFERROR(__xludf.DUMMYFUNCTION("IMPORTXML(E487,""/html/body/main/div[3]/div[3]/div[2]/ul/li[7]/span[2]/span"")"),"Loading...")</f>
        <v>Loading...</v>
      </c>
      <c r="S487" s="7" t="str">
        <f ca="1">IFERROR(__xludf.DUMMYFUNCTION("IMPORTXML(E487,""/html/body/main/div[3]/div[3]/div[2]/ul/li[8]/span[2]/span"")"),"Loading...")</f>
        <v>Loading...</v>
      </c>
      <c r="T487" s="4">
        <v>34.6</v>
      </c>
      <c r="U487" s="4">
        <v>22.7</v>
      </c>
      <c r="V487" s="4">
        <v>2.6</v>
      </c>
      <c r="W487" s="4">
        <v>5.7</v>
      </c>
      <c r="X487" s="4">
        <v>519.92999999999995</v>
      </c>
      <c r="Y487" s="7">
        <f t="shared" ca="1" si="9"/>
        <v>-157.42999999999995</v>
      </c>
    </row>
    <row r="488" spans="1:25" ht="15" x14ac:dyDescent="0.25">
      <c r="A488" s="4">
        <v>1396</v>
      </c>
      <c r="C488" s="12" t="s">
        <v>1519</v>
      </c>
      <c r="D488" s="12" t="s">
        <v>1520</v>
      </c>
      <c r="E488" s="5" t="str">
        <f t="shared" si="5"/>
        <v>https://www.screener.in/company/RBZJEWEL/consolidated/</v>
      </c>
      <c r="F488" s="4">
        <v>443059</v>
      </c>
      <c r="G488" s="4">
        <v>3832241897</v>
      </c>
      <c r="H488" s="6">
        <f t="shared" ca="1" si="6"/>
        <v>52697.158325646997</v>
      </c>
      <c r="I488" s="7" t="str">
        <f ca="1">IFERROR(__xludf.DUMMYFUNCTION("IMPORTXML(E488,""/html/body/main/div[3]/div[3]/div[2]/ul/li[5]/span[2]/span"")"),"Loading...")</f>
        <v>Loading...</v>
      </c>
      <c r="J488" s="7">
        <f ca="1">IFERROR(__xludf.DUMMYFUNCTION("GOOGLEFINANCE(""NSE:""&amp;D488,""marketcap"")"),5453898112)</f>
        <v>5453898112</v>
      </c>
      <c r="K488" s="7">
        <v>992.8</v>
      </c>
      <c r="L488" s="8">
        <f ca="1">IFERROR(__xludf.DUMMYFUNCTION("GOOGLEFINANCE(""NSE:""&amp;D488,""price"")"),137.51)</f>
        <v>137.51</v>
      </c>
      <c r="M488" s="9">
        <f t="shared" ca="1" si="7"/>
        <v>-855.29</v>
      </c>
      <c r="N488" s="10">
        <f t="shared" ca="1" si="8"/>
        <v>-86.149274778404518</v>
      </c>
      <c r="O488" s="7">
        <f ca="1">IFERROR(__xludf.DUMMYFUNCTION("GOOGLEFINANCE(""NSE:""&amp;D488,""pe"")"),14.93)</f>
        <v>14.93</v>
      </c>
      <c r="P488" s="7">
        <f ca="1">IFERROR(__xludf.DUMMYFUNCTION("GOOGLEFINANCE(""NSE:""&amp;D488,""EPS"")"),9.21)</f>
        <v>9.2100000000000009</v>
      </c>
      <c r="Q488" s="7">
        <v>13.5</v>
      </c>
      <c r="R488" s="7" t="str">
        <f ca="1">IFERROR(__xludf.DUMMYFUNCTION("IMPORTXML(E488,""/html/body/main/div[3]/div[3]/div[2]/ul/li[7]/span[2]/span"")"),"Loading...")</f>
        <v>Loading...</v>
      </c>
      <c r="S488" s="7" t="str">
        <f ca="1">IFERROR(__xludf.DUMMYFUNCTION("IMPORTXML(E488,""/html/body/main/div[3]/div[3]/div[2]/ul/li[8]/span[2]/span"")"),"Loading...")</f>
        <v>Loading...</v>
      </c>
      <c r="T488" s="4">
        <v>34.6</v>
      </c>
      <c r="U488" s="4">
        <v>22.7</v>
      </c>
      <c r="V488" s="4">
        <v>2.6</v>
      </c>
      <c r="W488" s="4">
        <v>5.7</v>
      </c>
      <c r="X488" s="4">
        <v>519.92999999999995</v>
      </c>
      <c r="Y488" s="7">
        <f t="shared" ca="1" si="9"/>
        <v>-382.41999999999996</v>
      </c>
    </row>
    <row r="489" spans="1:25" ht="15" x14ac:dyDescent="0.25">
      <c r="A489" s="4">
        <v>1532</v>
      </c>
      <c r="C489" s="12" t="s">
        <v>1521</v>
      </c>
      <c r="D489" s="12" t="s">
        <v>1522</v>
      </c>
      <c r="E489" s="5" t="str">
        <f t="shared" si="5"/>
        <v>https://www.screener.in/company/NILAINFRA/consolidated/</v>
      </c>
      <c r="F489" s="4">
        <v>443059</v>
      </c>
      <c r="G489" s="4">
        <v>3832241897</v>
      </c>
      <c r="H489" s="6">
        <f t="shared" ca="1" si="6"/>
        <v>3954.873637704</v>
      </c>
      <c r="I489" s="7" t="str">
        <f ca="1">IFERROR(__xludf.DUMMYFUNCTION("IMPORTXML(E489,""/html/body/main/div[3]/div[3]/div[2]/ul/li[5]/span[2]/span"")"),"Loading...")</f>
        <v>Loading...</v>
      </c>
      <c r="J489" s="7">
        <f ca="1">IFERROR(__xludf.DUMMYFUNCTION("GOOGLEFINANCE(""NSE:""&amp;D489,""marketcap"")"),4064936423)</f>
        <v>4064936423</v>
      </c>
      <c r="K489" s="7">
        <v>992.8</v>
      </c>
      <c r="L489" s="8">
        <f ca="1">IFERROR(__xludf.DUMMYFUNCTION("GOOGLEFINANCE(""NSE:""&amp;D489,""price"")"),10.32)</f>
        <v>10.32</v>
      </c>
      <c r="M489" s="9">
        <f t="shared" ca="1" si="7"/>
        <v>-982.4799999999999</v>
      </c>
      <c r="N489" s="10">
        <f t="shared" ca="1" si="8"/>
        <v>-98.960515713134569</v>
      </c>
      <c r="O489" s="7">
        <f ca="1">IFERROR(__xludf.DUMMYFUNCTION("GOOGLEFINANCE(""NSE:""&amp;D489,""pe"")"),18.09)</f>
        <v>18.09</v>
      </c>
      <c r="P489" s="7">
        <f ca="1">IFERROR(__xludf.DUMMYFUNCTION("GOOGLEFINANCE(""NSE:""&amp;D489,""EPS"")"),0.57)</f>
        <v>0.56999999999999995</v>
      </c>
      <c r="Q489" s="7">
        <v>13.5</v>
      </c>
      <c r="R489" s="7" t="str">
        <f ca="1">IFERROR(__xludf.DUMMYFUNCTION("IMPORTXML(E489,""/html/body/main/div[3]/div[3]/div[2]/ul/li[7]/span[2]/span"")"),"Loading...")</f>
        <v>Loading...</v>
      </c>
      <c r="S489" s="7" t="str">
        <f ca="1">IFERROR(__xludf.DUMMYFUNCTION("IMPORTXML(E489,""/html/body/main/div[3]/div[3]/div[2]/ul/li[8]/span[2]/span"")"),"Loading...")</f>
        <v>Loading...</v>
      </c>
      <c r="T489" s="4">
        <v>34.6</v>
      </c>
      <c r="U489" s="4">
        <v>22.7</v>
      </c>
      <c r="V489" s="4">
        <v>2.6</v>
      </c>
      <c r="W489" s="4">
        <v>5.7</v>
      </c>
      <c r="X489" s="4">
        <v>519.92999999999995</v>
      </c>
      <c r="Y489" s="7">
        <f t="shared" ca="1" si="9"/>
        <v>-509.60999999999996</v>
      </c>
    </row>
    <row r="490" spans="1:25" ht="15" x14ac:dyDescent="0.25">
      <c r="A490" s="4">
        <v>620</v>
      </c>
      <c r="C490" s="12" t="s">
        <v>1523</v>
      </c>
      <c r="D490" s="12" t="s">
        <v>1524</v>
      </c>
      <c r="E490" s="5" t="str">
        <f t="shared" si="5"/>
        <v>https://www.screener.in/company/POLYPLEX/consolidated/</v>
      </c>
      <c r="F490" s="4">
        <v>443059</v>
      </c>
      <c r="G490" s="4">
        <v>3832241897</v>
      </c>
      <c r="H490" s="6">
        <f t="shared" ca="1" si="6"/>
        <v>393916.14459263004</v>
      </c>
      <c r="I490" s="7" t="str">
        <f ca="1">IFERROR(__xludf.DUMMYFUNCTION("IMPORTXML(E490,""/html/body/main/div[3]/div[3]/div[2]/ul/li[5]/span[2]/span"")"),"Loading...")</f>
        <v>Loading...</v>
      </c>
      <c r="J490" s="7">
        <f ca="1">IFERROR(__xludf.DUMMYFUNCTION("GOOGLEFINANCE(""NSE:""&amp;D490,""marketcap"")"),32268310400)</f>
        <v>32268310400</v>
      </c>
      <c r="K490" s="7">
        <v>992.8</v>
      </c>
      <c r="L490" s="8">
        <f ca="1">IFERROR(__xludf.DUMMYFUNCTION("GOOGLEFINANCE(""NSE:""&amp;D490,""price"")"),1027.9)</f>
        <v>1027.9000000000001</v>
      </c>
      <c r="M490" s="9">
        <f t="shared" ca="1" si="7"/>
        <v>35.100000000000136</v>
      </c>
      <c r="N490" s="10">
        <f t="shared" ca="1" si="8"/>
        <v>3.535455278001626</v>
      </c>
      <c r="O490" s="7">
        <f ca="1">IFERROR(__xludf.DUMMYFUNCTION("GOOGLEFINANCE(""NSE:""&amp;D490,""pe"")"),23.66)</f>
        <v>23.66</v>
      </c>
      <c r="P490" s="7">
        <f ca="1">IFERROR(__xludf.DUMMYFUNCTION("GOOGLEFINANCE(""NSE:""&amp;D490,""EPS"")"),43.44)</f>
        <v>43.44</v>
      </c>
      <c r="Q490" s="7">
        <v>13.5</v>
      </c>
      <c r="R490" s="7" t="str">
        <f ca="1">IFERROR(__xludf.DUMMYFUNCTION("IMPORTXML(E490,""/html/body/main/div[3]/div[3]/div[2]/ul/li[7]/span[2]/span"")"),"Loading...")</f>
        <v>Loading...</v>
      </c>
      <c r="S490" s="7" t="str">
        <f ca="1">IFERROR(__xludf.DUMMYFUNCTION("IMPORTXML(E490,""/html/body/main/div[3]/div[3]/div[2]/ul/li[8]/span[2]/span"")"),"Loading...")</f>
        <v>Loading...</v>
      </c>
      <c r="T490" s="4">
        <v>34.6</v>
      </c>
      <c r="U490" s="4">
        <v>22.7</v>
      </c>
      <c r="V490" s="4">
        <v>2.6</v>
      </c>
      <c r="W490" s="4">
        <v>5.7</v>
      </c>
      <c r="X490" s="4">
        <v>519.92999999999995</v>
      </c>
      <c r="Y490" s="7">
        <f t="shared" ca="1" si="9"/>
        <v>507.97000000000014</v>
      </c>
    </row>
    <row r="491" spans="1:25" ht="15" x14ac:dyDescent="0.25">
      <c r="A491" s="4">
        <v>1598</v>
      </c>
      <c r="C491" s="12" t="s">
        <v>1525</v>
      </c>
      <c r="D491" s="12" t="s">
        <v>1526</v>
      </c>
      <c r="E491" s="5" t="str">
        <f t="shared" si="5"/>
        <v>https://www.screener.in/company/KOTARISUG/consolidated/</v>
      </c>
      <c r="F491" s="4">
        <v>443059</v>
      </c>
      <c r="G491" s="4">
        <v>3832241897</v>
      </c>
      <c r="H491" s="6">
        <f t="shared" ca="1" si="6"/>
        <v>12508.437551808</v>
      </c>
      <c r="I491" s="7" t="str">
        <f ca="1">IFERROR(__xludf.DUMMYFUNCTION("IMPORTXML(E491,""/html/body/main/div[3]/div[3]/div[2]/ul/li[5]/span[2]/span"")"),"Loading...")</f>
        <v>Loading...</v>
      </c>
      <c r="J491" s="7">
        <f ca="1">IFERROR(__xludf.DUMMYFUNCTION("GOOGLEFINANCE(""NSE:""&amp;D491,""marketcap"")"),2696365000)</f>
        <v>2696365000</v>
      </c>
      <c r="K491" s="7">
        <v>992.8</v>
      </c>
      <c r="L491" s="8">
        <f ca="1">IFERROR(__xludf.DUMMYFUNCTION("GOOGLEFINANCE(""NSE:""&amp;D491,""price"")"),32.64)</f>
        <v>32.64</v>
      </c>
      <c r="M491" s="9">
        <f t="shared" ca="1" si="7"/>
        <v>-960.16</v>
      </c>
      <c r="N491" s="10">
        <f t="shared" ca="1" si="8"/>
        <v>-96.712328767123296</v>
      </c>
      <c r="O491" s="7">
        <f ca="1">IFERROR(__xludf.DUMMYFUNCTION("GOOGLEFINANCE(""NSE:""&amp;D491,""pe"")"),22.27)</f>
        <v>22.27</v>
      </c>
      <c r="P491" s="7">
        <f ca="1">IFERROR(__xludf.DUMMYFUNCTION("GOOGLEFINANCE(""NSE:""&amp;D491,""EPS"")"),1.47)</f>
        <v>1.47</v>
      </c>
      <c r="Q491" s="7">
        <v>13.5</v>
      </c>
      <c r="R491" s="7" t="str">
        <f ca="1">IFERROR(__xludf.DUMMYFUNCTION("IMPORTXML(E491,""/html/body/main/div[3]/div[3]/div[2]/ul/li[7]/span[2]/span"")"),"Loading...")</f>
        <v>Loading...</v>
      </c>
      <c r="S491" s="7" t="str">
        <f ca="1">IFERROR(__xludf.DUMMYFUNCTION("IMPORTXML(E491,""/html/body/main/div[3]/div[3]/div[2]/ul/li[8]/span[2]/span"")"),"Loading...")</f>
        <v>Loading...</v>
      </c>
      <c r="T491" s="4">
        <v>34.6</v>
      </c>
      <c r="U491" s="4">
        <v>22.7</v>
      </c>
      <c r="V491" s="4">
        <v>2.6</v>
      </c>
      <c r="W491" s="4">
        <v>5.7</v>
      </c>
      <c r="X491" s="4">
        <v>519.92999999999995</v>
      </c>
      <c r="Y491" s="7">
        <f t="shared" ca="1" si="9"/>
        <v>-487.28999999999996</v>
      </c>
    </row>
    <row r="492" spans="1:25" ht="15" x14ac:dyDescent="0.25">
      <c r="A492" s="4">
        <v>2231</v>
      </c>
      <c r="C492" s="12" t="s">
        <v>1527</v>
      </c>
      <c r="D492" s="12" t="s">
        <v>1528</v>
      </c>
      <c r="E492" s="5" t="str">
        <f t="shared" si="5"/>
        <v>https://www.screener.in/company/SALONA/consolidated/</v>
      </c>
      <c r="F492" s="4">
        <v>443059</v>
      </c>
      <c r="G492" s="4">
        <v>3832241897</v>
      </c>
      <c r="H492" s="6">
        <f t="shared" ca="1" si="6"/>
        <v>93276.767772980005</v>
      </c>
      <c r="I492" s="7" t="str">
        <f ca="1">IFERROR(__xludf.DUMMYFUNCTION("IMPORTXML(E492,""/html/body/main/div[3]/div[3]/div[2]/ul/li[5]/span[2]/span"")"),"Loading...")</f>
        <v>Loading...</v>
      </c>
      <c r="J492" s="7">
        <f ca="1">IFERROR(__xludf.DUMMYFUNCTION("GOOGLEFINANCE(""NSE:""&amp;D492,""marketcap"")"),1280868371)</f>
        <v>1280868371</v>
      </c>
      <c r="K492" s="7">
        <v>992.8</v>
      </c>
      <c r="L492" s="8">
        <f ca="1">IFERROR(__xludf.DUMMYFUNCTION("GOOGLEFINANCE(""NSE:""&amp;D492,""price"")"),243.4)</f>
        <v>243.4</v>
      </c>
      <c r="M492" s="9">
        <f t="shared" ca="1" si="7"/>
        <v>-749.4</v>
      </c>
      <c r="N492" s="10">
        <f t="shared" ca="1" si="8"/>
        <v>-75.483481063658346</v>
      </c>
      <c r="O492" s="7">
        <f ca="1">IFERROR(__xludf.DUMMYFUNCTION("GOOGLEFINANCE(""NSE:""&amp;D492,""pe"")"),53.57)</f>
        <v>53.57</v>
      </c>
      <c r="P492" s="7">
        <f ca="1">IFERROR(__xludf.DUMMYFUNCTION("GOOGLEFINANCE(""NSE:""&amp;D492,""EPS"")"),4.54)</f>
        <v>4.54</v>
      </c>
      <c r="Q492" s="7">
        <v>13.5</v>
      </c>
      <c r="R492" s="7" t="str">
        <f ca="1">IFERROR(__xludf.DUMMYFUNCTION("IMPORTXML(E492,""/html/body/main/div[3]/div[3]/div[2]/ul/li[7]/span[2]/span"")"),"Loading...")</f>
        <v>Loading...</v>
      </c>
      <c r="S492" s="7" t="str">
        <f ca="1">IFERROR(__xludf.DUMMYFUNCTION("IMPORTXML(E492,""/html/body/main/div[3]/div[3]/div[2]/ul/li[8]/span[2]/span"")"),"Loading...")</f>
        <v>Loading...</v>
      </c>
      <c r="T492" s="4">
        <v>34.6</v>
      </c>
      <c r="U492" s="4">
        <v>22.7</v>
      </c>
      <c r="V492" s="4">
        <v>2.6</v>
      </c>
      <c r="W492" s="4">
        <v>5.7</v>
      </c>
      <c r="X492" s="4">
        <v>519.92999999999995</v>
      </c>
      <c r="Y492" s="7">
        <f t="shared" ca="1" si="9"/>
        <v>-276.52999999999997</v>
      </c>
    </row>
    <row r="493" spans="1:25" ht="15" x14ac:dyDescent="0.25">
      <c r="A493" s="4">
        <v>1313</v>
      </c>
      <c r="C493" s="12" t="s">
        <v>1529</v>
      </c>
      <c r="D493" s="12" t="s">
        <v>1530</v>
      </c>
      <c r="E493" s="5" t="str">
        <f t="shared" si="5"/>
        <v>https://www.screener.in/company/HINDCOMPOS/consolidated/</v>
      </c>
      <c r="F493" s="4">
        <v>443059</v>
      </c>
      <c r="G493" s="4">
        <v>3832241897</v>
      </c>
      <c r="H493" s="6">
        <f t="shared" ca="1" si="6"/>
        <v>177777.70160182999</v>
      </c>
      <c r="I493" s="7" t="str">
        <f ca="1">IFERROR(__xludf.DUMMYFUNCTION("IMPORTXML(E493,""/html/body/main/div[3]/div[3]/div[2]/ul/li[5]/span[2]/span"")"),"Loading...")</f>
        <v>Loading...</v>
      </c>
      <c r="J493" s="7">
        <f ca="1">IFERROR(__xludf.DUMMYFUNCTION("GOOGLEFINANCE(""NSE:""&amp;D493,""marketcap"")"),6817371000)</f>
        <v>6817371000</v>
      </c>
      <c r="K493" s="7">
        <v>992.8</v>
      </c>
      <c r="L493" s="8">
        <f ca="1">IFERROR(__xludf.DUMMYFUNCTION("GOOGLEFINANCE(""NSE:""&amp;D493,""price"")"),463.9)</f>
        <v>463.9</v>
      </c>
      <c r="M493" s="9">
        <f t="shared" ca="1" si="7"/>
        <v>-528.9</v>
      </c>
      <c r="N493" s="10">
        <f t="shared" ca="1" si="8"/>
        <v>-53.27356970185334</v>
      </c>
      <c r="O493" s="7">
        <f ca="1">IFERROR(__xludf.DUMMYFUNCTION("GOOGLEFINANCE(""NSE:""&amp;D493,""pe"")"),20.27)</f>
        <v>20.27</v>
      </c>
      <c r="P493" s="7">
        <f ca="1">IFERROR(__xludf.DUMMYFUNCTION("GOOGLEFINANCE(""NSE:""&amp;D493,""EPS"")"),22.88)</f>
        <v>22.88</v>
      </c>
      <c r="Q493" s="7">
        <v>13.5</v>
      </c>
      <c r="R493" s="7" t="str">
        <f ca="1">IFERROR(__xludf.DUMMYFUNCTION("IMPORTXML(E493,""/html/body/main/div[3]/div[3]/div[2]/ul/li[7]/span[2]/span"")"),"Loading...")</f>
        <v>Loading...</v>
      </c>
      <c r="S493" s="7" t="str">
        <f ca="1">IFERROR(__xludf.DUMMYFUNCTION("IMPORTXML(E493,""/html/body/main/div[3]/div[3]/div[2]/ul/li[8]/span[2]/span"")"),"Loading...")</f>
        <v>Loading...</v>
      </c>
      <c r="T493" s="4">
        <v>34.6</v>
      </c>
      <c r="U493" s="4">
        <v>22.7</v>
      </c>
      <c r="V493" s="4">
        <v>2.6</v>
      </c>
      <c r="W493" s="4">
        <v>5.7</v>
      </c>
      <c r="X493" s="4">
        <v>519.92999999999995</v>
      </c>
      <c r="Y493" s="7">
        <f t="shared" ca="1" si="9"/>
        <v>-56.029999999999973</v>
      </c>
    </row>
    <row r="494" spans="1:25" ht="15" x14ac:dyDescent="0.25">
      <c r="A494" s="4">
        <v>299</v>
      </c>
      <c r="C494" s="12" t="s">
        <v>1531</v>
      </c>
      <c r="D494" s="12" t="s">
        <v>1532</v>
      </c>
      <c r="E494" s="5" t="str">
        <f t="shared" si="5"/>
        <v>https://www.screener.in/company/ROUTE/consolidated/</v>
      </c>
      <c r="F494" s="4">
        <v>443059</v>
      </c>
      <c r="G494" s="4">
        <v>3832241897</v>
      </c>
      <c r="H494" s="6">
        <f t="shared" ca="1" si="6"/>
        <v>331488.92409049999</v>
      </c>
      <c r="I494" s="7" t="str">
        <f ca="1">IFERROR(__xludf.DUMMYFUNCTION("IMPORTXML(E494,""/html/body/main/div[3]/div[3]/div[2]/ul/li[5]/span[2]/span"")"),"Loading...")</f>
        <v>Loading...</v>
      </c>
      <c r="J494" s="7">
        <f ca="1">IFERROR(__xludf.DUMMYFUNCTION("GOOGLEFINANCE(""NSE:""&amp;D494,""marketcap"")"),54117559019)</f>
        <v>54117559019</v>
      </c>
      <c r="K494" s="7">
        <v>992.8</v>
      </c>
      <c r="L494" s="8">
        <f ca="1">IFERROR(__xludf.DUMMYFUNCTION("GOOGLEFINANCE(""NSE:""&amp;D494,""price"")"),865)</f>
        <v>865</v>
      </c>
      <c r="M494" s="9">
        <f t="shared" ca="1" si="7"/>
        <v>-127.79999999999995</v>
      </c>
      <c r="N494" s="10">
        <f t="shared" ca="1" si="8"/>
        <v>-12.872683319903299</v>
      </c>
      <c r="O494" s="7">
        <f ca="1">IFERROR(__xludf.DUMMYFUNCTION("GOOGLEFINANCE(""NSE:""&amp;D494,""pe"")"),22.96)</f>
        <v>22.96</v>
      </c>
      <c r="P494" s="7">
        <f ca="1">IFERROR(__xludf.DUMMYFUNCTION("GOOGLEFINANCE(""NSE:""&amp;D494,""EPS"")"),37.67)</f>
        <v>37.67</v>
      </c>
      <c r="Q494" s="7">
        <v>13.5</v>
      </c>
      <c r="R494" s="7" t="str">
        <f ca="1">IFERROR(__xludf.DUMMYFUNCTION("IMPORTXML(E494,""/html/body/main/div[3]/div[3]/div[2]/ul/li[7]/span[2]/span"")"),"Loading...")</f>
        <v>Loading...</v>
      </c>
      <c r="S494" s="7" t="str">
        <f ca="1">IFERROR(__xludf.DUMMYFUNCTION("IMPORTXML(E494,""/html/body/main/div[3]/div[3]/div[2]/ul/li[8]/span[2]/span"")"),"Loading...")</f>
        <v>Loading...</v>
      </c>
      <c r="T494" s="4">
        <v>34.6</v>
      </c>
      <c r="U494" s="4">
        <v>22.7</v>
      </c>
      <c r="V494" s="4">
        <v>2.6</v>
      </c>
      <c r="W494" s="4">
        <v>5.7</v>
      </c>
      <c r="X494" s="4">
        <v>519.92999999999995</v>
      </c>
      <c r="Y494" s="7">
        <f t="shared" ca="1" si="9"/>
        <v>345.07000000000005</v>
      </c>
    </row>
    <row r="495" spans="1:25" ht="15" x14ac:dyDescent="0.25">
      <c r="A495" s="4">
        <v>868</v>
      </c>
      <c r="C495" s="12" t="s">
        <v>1533</v>
      </c>
      <c r="D495" s="12" t="s">
        <v>1534</v>
      </c>
      <c r="E495" s="5" t="str">
        <f t="shared" si="5"/>
        <v>https://www.screener.in/company/GANDHAR/consolidated/</v>
      </c>
      <c r="F495" s="4">
        <v>443059</v>
      </c>
      <c r="G495" s="4">
        <v>3832241897</v>
      </c>
      <c r="H495" s="6">
        <f t="shared" ca="1" si="6"/>
        <v>57422.312584647996</v>
      </c>
      <c r="I495" s="7" t="str">
        <f ca="1">IFERROR(__xludf.DUMMYFUNCTION("IMPORTXML(E495,""/html/body/main/div[3]/div[3]/div[2]/ul/li[5]/span[2]/span"")"),"Loading...")</f>
        <v>Loading...</v>
      </c>
      <c r="J495" s="7">
        <f ca="1">IFERROR(__xludf.DUMMYFUNCTION("GOOGLEFINANCE(""NSE:""&amp;D495,""marketcap"")"),14705407732)</f>
        <v>14705407732</v>
      </c>
      <c r="K495" s="7">
        <v>992.8</v>
      </c>
      <c r="L495" s="8">
        <f ca="1">IFERROR(__xludf.DUMMYFUNCTION("GOOGLEFINANCE(""NSE:""&amp;D495,""price"")"),149.84)</f>
        <v>149.84</v>
      </c>
      <c r="M495" s="9">
        <f t="shared" ca="1" si="7"/>
        <v>-842.95999999999992</v>
      </c>
      <c r="N495" s="10">
        <f t="shared" ca="1" si="8"/>
        <v>-84.907332796132152</v>
      </c>
      <c r="O495" s="7">
        <f ca="1">IFERROR(__xludf.DUMMYFUNCTION("GOOGLEFINANCE(""NSE:""&amp;D495,""pe"")"),19.3)</f>
        <v>19.3</v>
      </c>
      <c r="P495" s="7">
        <f ca="1">IFERROR(__xludf.DUMMYFUNCTION("GOOGLEFINANCE(""NSE:""&amp;D495,""EPS"")"),7.76)</f>
        <v>7.76</v>
      </c>
      <c r="Q495" s="7">
        <v>13.5</v>
      </c>
      <c r="R495" s="7" t="str">
        <f ca="1">IFERROR(__xludf.DUMMYFUNCTION("IMPORTXML(E495,""/html/body/main/div[3]/div[3]/div[2]/ul/li[7]/span[2]/span"")"),"Loading...")</f>
        <v>Loading...</v>
      </c>
      <c r="S495" s="7" t="str">
        <f ca="1">IFERROR(__xludf.DUMMYFUNCTION("IMPORTXML(E495,""/html/body/main/div[3]/div[3]/div[2]/ul/li[8]/span[2]/span"")"),"Loading...")</f>
        <v>Loading...</v>
      </c>
      <c r="T495" s="4">
        <v>34.6</v>
      </c>
      <c r="U495" s="4">
        <v>22.7</v>
      </c>
      <c r="V495" s="4">
        <v>2.6</v>
      </c>
      <c r="W495" s="4">
        <v>5.7</v>
      </c>
      <c r="X495" s="4">
        <v>519.92999999999995</v>
      </c>
      <c r="Y495" s="7">
        <f t="shared" ca="1" si="9"/>
        <v>-370.08999999999992</v>
      </c>
    </row>
    <row r="496" spans="1:25" ht="15" x14ac:dyDescent="0.25">
      <c r="A496" s="4">
        <v>1004</v>
      </c>
      <c r="C496" s="12" t="s">
        <v>1535</v>
      </c>
      <c r="D496" s="12" t="s">
        <v>1536</v>
      </c>
      <c r="E496" s="5" t="str">
        <f t="shared" si="5"/>
        <v>https://www.screener.in/company/EIMCOELECO/consolidated/</v>
      </c>
      <c r="F496" s="4">
        <v>443059</v>
      </c>
      <c r="G496" s="4">
        <v>3832241897</v>
      </c>
      <c r="H496" s="6">
        <f t="shared" ca="1" si="6"/>
        <v>743723.18495079002</v>
      </c>
      <c r="I496" s="7" t="str">
        <f ca="1">IFERROR(__xludf.DUMMYFUNCTION("IMPORTXML(E496,""/html/body/main/div[3]/div[3]/div[2]/ul/li[5]/span[2]/span"")"),"Loading...")</f>
        <v>Loading...</v>
      </c>
      <c r="J496" s="7">
        <f ca="1">IFERROR(__xludf.DUMMYFUNCTION("GOOGLEFINANCE(""NSE:""&amp;D496,""marketcap"")"),11101260000)</f>
        <v>11101260000</v>
      </c>
      <c r="K496" s="7">
        <v>992.8</v>
      </c>
      <c r="L496" s="8">
        <f ca="1">IFERROR(__xludf.DUMMYFUNCTION("GOOGLEFINANCE(""NSE:""&amp;D496,""price"")"),1940.7)</f>
        <v>1940.7</v>
      </c>
      <c r="M496" s="9">
        <f t="shared" ca="1" si="7"/>
        <v>947.90000000000009</v>
      </c>
      <c r="N496" s="10">
        <f t="shared" ca="1" si="8"/>
        <v>95.477437550362623</v>
      </c>
      <c r="O496" s="7">
        <f ca="1">IFERROR(__xludf.DUMMYFUNCTION("GOOGLEFINANCE(""NSE:""&amp;D496,""pe"")"),23.03)</f>
        <v>23.03</v>
      </c>
      <c r="P496" s="7">
        <f ca="1">IFERROR(__xludf.DUMMYFUNCTION("GOOGLEFINANCE(""NSE:""&amp;D496,""EPS"")"),84.27)</f>
        <v>84.27</v>
      </c>
      <c r="Q496" s="7">
        <v>13.5</v>
      </c>
      <c r="R496" s="7" t="str">
        <f ca="1">IFERROR(__xludf.DUMMYFUNCTION("IMPORTXML(E496,""/html/body/main/div[3]/div[3]/div[2]/ul/li[7]/span[2]/span"")"),"Loading...")</f>
        <v>Loading...</v>
      </c>
      <c r="S496" s="7" t="str">
        <f ca="1">IFERROR(__xludf.DUMMYFUNCTION("IMPORTXML(E496,""/html/body/main/div[3]/div[3]/div[2]/ul/li[8]/span[2]/span"")"),"Loading...")</f>
        <v>Loading...</v>
      </c>
      <c r="T496" s="4">
        <v>34.6</v>
      </c>
      <c r="U496" s="4">
        <v>22.7</v>
      </c>
      <c r="V496" s="4">
        <v>2.6</v>
      </c>
      <c r="W496" s="4">
        <v>5.7</v>
      </c>
      <c r="X496" s="4">
        <v>519.92999999999995</v>
      </c>
      <c r="Y496" s="7">
        <f t="shared" ca="1" si="9"/>
        <v>1420.77</v>
      </c>
    </row>
    <row r="497" spans="1:25" ht="15" x14ac:dyDescent="0.25">
      <c r="A497" s="4">
        <v>89</v>
      </c>
      <c r="C497" s="12" t="s">
        <v>1537</v>
      </c>
      <c r="D497" s="12" t="s">
        <v>1538</v>
      </c>
      <c r="E497" s="5" t="str">
        <f t="shared" si="5"/>
        <v>https://www.screener.in/company/FINCABLES/consolidated/</v>
      </c>
      <c r="F497" s="4">
        <v>443059</v>
      </c>
      <c r="G497" s="4">
        <v>3832241897</v>
      </c>
      <c r="H497" s="6">
        <f t="shared" ca="1" si="6"/>
        <v>324705.85593280994</v>
      </c>
      <c r="I497" s="7" t="str">
        <f ca="1">IFERROR(__xludf.DUMMYFUNCTION("IMPORTXML(E497,""/html/body/main/div[3]/div[3]/div[2]/ul/li[5]/span[2]/span"")"),"Loading...")</f>
        <v>Loading...</v>
      </c>
      <c r="J497" s="7">
        <f ca="1">IFERROR(__xludf.DUMMYFUNCTION("GOOGLEFINANCE(""NSE:""&amp;D497,""marketcap"")"),129585467023)</f>
        <v>129585467023</v>
      </c>
      <c r="K497" s="7">
        <v>992.8</v>
      </c>
      <c r="L497" s="8">
        <f ca="1">IFERROR(__xludf.DUMMYFUNCTION("GOOGLEFINANCE(""NSE:""&amp;D497,""price"")"),847.3)</f>
        <v>847.3</v>
      </c>
      <c r="M497" s="9">
        <f t="shared" ca="1" si="7"/>
        <v>-145.5</v>
      </c>
      <c r="N497" s="10">
        <f t="shared" ca="1" si="8"/>
        <v>-14.655519742143433</v>
      </c>
      <c r="O497" s="7">
        <f ca="1">IFERROR(__xludf.DUMMYFUNCTION("GOOGLEFINANCE(""NSE:""&amp;D497,""pe"")"),20.92)</f>
        <v>20.92</v>
      </c>
      <c r="P497" s="7">
        <f ca="1">IFERROR(__xludf.DUMMYFUNCTION("GOOGLEFINANCE(""NSE:""&amp;D497,""EPS"")"),40.5)</f>
        <v>40.5</v>
      </c>
      <c r="Q497" s="7">
        <v>13.5</v>
      </c>
      <c r="R497" s="7" t="str">
        <f ca="1">IFERROR(__xludf.DUMMYFUNCTION("IMPORTXML(E497,""/html/body/main/div[3]/div[3]/div[2]/ul/li[7]/span[2]/span"")"),"Loading...")</f>
        <v>Loading...</v>
      </c>
      <c r="S497" s="7" t="str">
        <f ca="1">IFERROR(__xludf.DUMMYFUNCTION("IMPORTXML(E497,""/html/body/main/div[3]/div[3]/div[2]/ul/li[8]/span[2]/span"")"),"Loading...")</f>
        <v>Loading...</v>
      </c>
      <c r="T497" s="4">
        <v>34.6</v>
      </c>
      <c r="U497" s="4">
        <v>22.7</v>
      </c>
      <c r="V497" s="4">
        <v>2.6</v>
      </c>
      <c r="W497" s="4">
        <v>5.7</v>
      </c>
      <c r="X497" s="4">
        <v>519.92999999999995</v>
      </c>
      <c r="Y497" s="7">
        <f t="shared" ca="1" si="9"/>
        <v>327.37</v>
      </c>
    </row>
    <row r="498" spans="1:25" ht="15" x14ac:dyDescent="0.25">
      <c r="A498" s="4">
        <v>1284</v>
      </c>
      <c r="C498" s="12" t="s">
        <v>1539</v>
      </c>
      <c r="D498" s="12" t="s">
        <v>1540</v>
      </c>
      <c r="E498" s="5" t="str">
        <f t="shared" si="5"/>
        <v>https://www.screener.in/company/SHREEPUSHK/consolidated/</v>
      </c>
      <c r="F498" s="4">
        <v>443059</v>
      </c>
      <c r="G498" s="4">
        <v>3832241897</v>
      </c>
      <c r="H498" s="6">
        <f t="shared" ca="1" si="6"/>
        <v>134109.305185515</v>
      </c>
      <c r="I498" s="7" t="str">
        <f ca="1">IFERROR(__xludf.DUMMYFUNCTION("IMPORTXML(E498,""/html/body/main/div[3]/div[3]/div[2]/ul/li[5]/span[2]/span"")"),"Loading...")</f>
        <v>Loading...</v>
      </c>
      <c r="J498" s="7">
        <f ca="1">IFERROR(__xludf.DUMMYFUNCTION("GOOGLEFINANCE(""NSE:""&amp;D498,""marketcap"")"),11316568011)</f>
        <v>11316568011</v>
      </c>
      <c r="K498" s="7">
        <v>992.8</v>
      </c>
      <c r="L498" s="8">
        <f ca="1">IFERROR(__xludf.DUMMYFUNCTION("GOOGLEFINANCE(""NSE:""&amp;D498,""price"")"),349.95)</f>
        <v>349.95</v>
      </c>
      <c r="M498" s="9">
        <f t="shared" ca="1" si="7"/>
        <v>-642.84999999999991</v>
      </c>
      <c r="N498" s="10">
        <f t="shared" ca="1" si="8"/>
        <v>-64.751208702659142</v>
      </c>
      <c r="O498" s="7">
        <f ca="1">IFERROR(__xludf.DUMMYFUNCTION("GOOGLEFINANCE(""NSE:""&amp;D498,""pe"")"),16.94)</f>
        <v>16.940000000000001</v>
      </c>
      <c r="P498" s="7">
        <f ca="1">IFERROR(__xludf.DUMMYFUNCTION("GOOGLEFINANCE(""NSE:""&amp;D498,""EPS"")"),20.66)</f>
        <v>20.66</v>
      </c>
      <c r="Q498" s="7">
        <v>13.5</v>
      </c>
      <c r="R498" s="7" t="str">
        <f ca="1">IFERROR(__xludf.DUMMYFUNCTION("IMPORTXML(E498,""/html/body/main/div[3]/div[3]/div[2]/ul/li[7]/span[2]/span"")"),"Loading...")</f>
        <v>Loading...</v>
      </c>
      <c r="S498" s="7" t="str">
        <f ca="1">IFERROR(__xludf.DUMMYFUNCTION("IMPORTXML(E498,""/html/body/main/div[3]/div[3]/div[2]/ul/li[8]/span[2]/span"")"),"Loading...")</f>
        <v>Loading...</v>
      </c>
      <c r="T498" s="4">
        <v>34.6</v>
      </c>
      <c r="U498" s="4">
        <v>22.7</v>
      </c>
      <c r="V498" s="4">
        <v>2.6</v>
      </c>
      <c r="W498" s="4">
        <v>5.7</v>
      </c>
      <c r="X498" s="4">
        <v>519.92999999999995</v>
      </c>
      <c r="Y498" s="7">
        <f t="shared" ca="1" si="9"/>
        <v>-169.97999999999996</v>
      </c>
    </row>
    <row r="499" spans="1:25" ht="15" x14ac:dyDescent="0.25">
      <c r="A499" s="4">
        <v>803</v>
      </c>
      <c r="C499" s="12" t="s">
        <v>1541</v>
      </c>
      <c r="D499" s="12" t="s">
        <v>1542</v>
      </c>
      <c r="E499" s="5" t="str">
        <f t="shared" si="5"/>
        <v>https://www.screener.in/company/PIXTRANS/consolidated/</v>
      </c>
      <c r="F499" s="4">
        <v>443059</v>
      </c>
      <c r="G499" s="4">
        <v>3832241897</v>
      </c>
      <c r="H499" s="6">
        <f t="shared" ca="1" si="6"/>
        <v>546516.0169311699</v>
      </c>
      <c r="I499" s="7" t="str">
        <f ca="1">IFERROR(__xludf.DUMMYFUNCTION("IMPORTXML(E499,""/html/body/main/div[3]/div[3]/div[2]/ul/li[5]/span[2]/span"")"),"Loading...")</f>
        <v>Loading...</v>
      </c>
      <c r="J499" s="7">
        <f ca="1">IFERROR(__xludf.DUMMYFUNCTION("GOOGLEFINANCE(""NSE:""&amp;D499,""marketcap"")"),19430883126)</f>
        <v>19430883126</v>
      </c>
      <c r="K499" s="7">
        <v>992.8</v>
      </c>
      <c r="L499" s="8">
        <f ca="1">IFERROR(__xludf.DUMMYFUNCTION("GOOGLEFINANCE(""NSE:""&amp;D499,""price"")"),1426.1)</f>
        <v>1426.1</v>
      </c>
      <c r="M499" s="9">
        <f t="shared" ca="1" si="7"/>
        <v>433.29999999999995</v>
      </c>
      <c r="N499" s="10">
        <f t="shared" ca="1" si="8"/>
        <v>43.644238517324737</v>
      </c>
      <c r="O499" s="7">
        <f ca="1">IFERROR(__xludf.DUMMYFUNCTION("GOOGLEFINANCE(""NSE:""&amp;D499,""pe"")"),17.15)</f>
        <v>17.149999999999999</v>
      </c>
      <c r="P499" s="7">
        <f ca="1">IFERROR(__xludf.DUMMYFUNCTION("GOOGLEFINANCE(""NSE:""&amp;D499,""EPS"")"),83.15)</f>
        <v>83.15</v>
      </c>
      <c r="Q499" s="7">
        <v>13.5</v>
      </c>
      <c r="R499" s="7" t="str">
        <f ca="1">IFERROR(__xludf.DUMMYFUNCTION("IMPORTXML(E499,""/html/body/main/div[3]/div[3]/div[2]/ul/li[7]/span[2]/span"")"),"Loading...")</f>
        <v>Loading...</v>
      </c>
      <c r="S499" s="7" t="str">
        <f ca="1">IFERROR(__xludf.DUMMYFUNCTION("IMPORTXML(E499,""/html/body/main/div[3]/div[3]/div[2]/ul/li[8]/span[2]/span"")"),"Loading...")</f>
        <v>Loading...</v>
      </c>
      <c r="T499" s="4">
        <v>34.6</v>
      </c>
      <c r="U499" s="4">
        <v>22.7</v>
      </c>
      <c r="V499" s="4">
        <v>2.6</v>
      </c>
      <c r="W499" s="4">
        <v>5.7</v>
      </c>
      <c r="X499" s="4">
        <v>519.92999999999995</v>
      </c>
      <c r="Y499" s="7">
        <f t="shared" ca="1" si="9"/>
        <v>906.17</v>
      </c>
    </row>
    <row r="500" spans="1:25" ht="15" x14ac:dyDescent="0.25">
      <c r="A500" s="4">
        <v>98</v>
      </c>
      <c r="C500" s="12" t="s">
        <v>1543</v>
      </c>
      <c r="D500" s="12" t="s">
        <v>1544</v>
      </c>
      <c r="E500" s="5" t="str">
        <f t="shared" si="5"/>
        <v>https://www.screener.in/company/CIEINDIA/consolidated/</v>
      </c>
      <c r="F500" s="4">
        <v>443059</v>
      </c>
      <c r="G500" s="4">
        <v>3832241897</v>
      </c>
      <c r="H500" s="6">
        <f t="shared" ca="1" si="6"/>
        <v>151373.5549315</v>
      </c>
      <c r="I500" s="7" t="str">
        <f ca="1">IFERROR(__xludf.DUMMYFUNCTION("IMPORTXML(E500,""/html/body/main/div[3]/div[3]/div[2]/ul/li[5]/span[2]/span"")"),"Loading...")</f>
        <v>Loading...</v>
      </c>
      <c r="J500" s="7">
        <f ca="1">IFERROR(__xludf.DUMMYFUNCTION("GOOGLEFINANCE(""NSE:""&amp;D500,""marketcap"")"),150571674055)</f>
        <v>150571674055</v>
      </c>
      <c r="K500" s="7">
        <v>992.8</v>
      </c>
      <c r="L500" s="8">
        <f ca="1">IFERROR(__xludf.DUMMYFUNCTION("GOOGLEFINANCE(""NSE:""&amp;D500,""price"")"),395)</f>
        <v>395</v>
      </c>
      <c r="M500" s="9">
        <f t="shared" ca="1" si="7"/>
        <v>-597.79999999999995</v>
      </c>
      <c r="N500" s="10">
        <f t="shared" ca="1" si="8"/>
        <v>-60.21353746978243</v>
      </c>
      <c r="O500" s="7">
        <f ca="1">IFERROR(__xludf.DUMMYFUNCTION("GOOGLEFINANCE(""NSE:""&amp;D500,""pe"")"),18.98)</f>
        <v>18.98</v>
      </c>
      <c r="P500" s="7">
        <f ca="1">IFERROR(__xludf.DUMMYFUNCTION("GOOGLEFINANCE(""NSE:""&amp;D500,""EPS"")"),20.81)</f>
        <v>20.81</v>
      </c>
      <c r="Q500" s="7">
        <v>13.5</v>
      </c>
      <c r="R500" s="7" t="str">
        <f ca="1">IFERROR(__xludf.DUMMYFUNCTION("IMPORTXML(E500,""/html/body/main/div[3]/div[3]/div[2]/ul/li[7]/span[2]/span"")"),"Loading...")</f>
        <v>Loading...</v>
      </c>
      <c r="S500" s="7" t="str">
        <f ca="1">IFERROR(__xludf.DUMMYFUNCTION("IMPORTXML(E500,""/html/body/main/div[3]/div[3]/div[2]/ul/li[8]/span[2]/span"")"),"Loading...")</f>
        <v>Loading...</v>
      </c>
      <c r="T500" s="4">
        <v>34.6</v>
      </c>
      <c r="U500" s="4">
        <v>22.7</v>
      </c>
      <c r="V500" s="4">
        <v>2.6</v>
      </c>
      <c r="W500" s="4">
        <v>5.7</v>
      </c>
      <c r="X500" s="4">
        <v>519.92999999999995</v>
      </c>
      <c r="Y500" s="7">
        <f t="shared" ca="1" si="9"/>
        <v>-124.92999999999995</v>
      </c>
    </row>
    <row r="501" spans="1:25" ht="15" x14ac:dyDescent="0.25">
      <c r="A501" s="4">
        <v>717</v>
      </c>
      <c r="C501" s="12" t="s">
        <v>1545</v>
      </c>
      <c r="D501" s="12" t="s">
        <v>1546</v>
      </c>
      <c r="E501" s="5" t="str">
        <f t="shared" si="5"/>
        <v>https://www.screener.in/company/NRBBEARING/consolidated/</v>
      </c>
      <c r="F501" s="4">
        <v>443059</v>
      </c>
      <c r="G501" s="4">
        <v>3832241897</v>
      </c>
      <c r="H501" s="6">
        <f t="shared" ca="1" si="6"/>
        <v>108069.22149539999</v>
      </c>
      <c r="I501" s="7" t="str">
        <f ca="1">IFERROR(__xludf.DUMMYFUNCTION("IMPORTXML(E501,""/html/body/main/div[3]/div[3]/div[2]/ul/li[5]/span[2]/span"")"),"Loading...")</f>
        <v>Loading...</v>
      </c>
      <c r="J501" s="7">
        <f ca="1">IFERROR(__xludf.DUMMYFUNCTION("GOOGLEFINANCE(""NSE:""&amp;D501,""marketcap"")"),27293400000)</f>
        <v>27293400000</v>
      </c>
      <c r="K501" s="7">
        <v>992.8</v>
      </c>
      <c r="L501" s="8">
        <f ca="1">IFERROR(__xludf.DUMMYFUNCTION("GOOGLEFINANCE(""NSE:""&amp;D501,""price"")"),282)</f>
        <v>282</v>
      </c>
      <c r="M501" s="9">
        <f t="shared" ca="1" si="7"/>
        <v>-710.8</v>
      </c>
      <c r="N501" s="10">
        <f t="shared" ca="1" si="8"/>
        <v>-71.595487510072516</v>
      </c>
      <c r="O501" s="7">
        <f ca="1">IFERROR(__xludf.DUMMYFUNCTION("GOOGLEFINANCE(""NSE:""&amp;D501,""pe"")"),31.56)</f>
        <v>31.56</v>
      </c>
      <c r="P501" s="7">
        <f ca="1">IFERROR(__xludf.DUMMYFUNCTION("GOOGLEFINANCE(""NSE:""&amp;D501,""EPS"")"),8.94)</f>
        <v>8.94</v>
      </c>
      <c r="Q501" s="7">
        <v>13.5</v>
      </c>
      <c r="R501" s="7" t="str">
        <f ca="1">IFERROR(__xludf.DUMMYFUNCTION("IMPORTXML(E501,""/html/body/main/div[3]/div[3]/div[2]/ul/li[7]/span[2]/span"")"),"Loading...")</f>
        <v>Loading...</v>
      </c>
      <c r="S501" s="7" t="str">
        <f ca="1">IFERROR(__xludf.DUMMYFUNCTION("IMPORTXML(E501,""/html/body/main/div[3]/div[3]/div[2]/ul/li[8]/span[2]/span"")"),"Loading...")</f>
        <v>Loading...</v>
      </c>
      <c r="T501" s="4">
        <v>34.6</v>
      </c>
      <c r="U501" s="4">
        <v>22.7</v>
      </c>
      <c r="V501" s="4">
        <v>2.6</v>
      </c>
      <c r="W501" s="4">
        <v>5.7</v>
      </c>
      <c r="X501" s="4">
        <v>519.92999999999995</v>
      </c>
      <c r="Y501" s="7">
        <f t="shared" ca="1" si="9"/>
        <v>-237.92999999999995</v>
      </c>
    </row>
    <row r="502" spans="1:25" ht="15" x14ac:dyDescent="0.25">
      <c r="A502" s="4">
        <v>2065</v>
      </c>
      <c r="C502" s="12" t="s">
        <v>1547</v>
      </c>
      <c r="D502" s="12" t="s">
        <v>1548</v>
      </c>
      <c r="E502" s="5" t="str">
        <f t="shared" si="5"/>
        <v>https://www.screener.in/company/BALPHARMA/consolidated/</v>
      </c>
      <c r="F502" s="4">
        <v>443059</v>
      </c>
      <c r="G502" s="4">
        <v>3832241897</v>
      </c>
      <c r="H502" s="6">
        <f t="shared" ca="1" si="6"/>
        <v>34106.9528833</v>
      </c>
      <c r="I502" s="7" t="str">
        <f ca="1">IFERROR(__xludf.DUMMYFUNCTION("IMPORTXML(E502,""/html/body/main/div[3]/div[3]/div[2]/ul/li[5]/span[2]/span"")"),"Loading...")</f>
        <v>Loading...</v>
      </c>
      <c r="J502" s="7">
        <f ca="1">IFERROR(__xludf.DUMMYFUNCTION("GOOGLEFINANCE(""NSE:""&amp;D502,""marketcap"")"),1406927000)</f>
        <v>1406927000</v>
      </c>
      <c r="K502" s="7">
        <v>992.8</v>
      </c>
      <c r="L502" s="8">
        <f ca="1">IFERROR(__xludf.DUMMYFUNCTION("GOOGLEFINANCE(""NSE:""&amp;D502,""price"")"),89)</f>
        <v>89</v>
      </c>
      <c r="M502" s="9">
        <f t="shared" ca="1" si="7"/>
        <v>-903.8</v>
      </c>
      <c r="N502" s="10">
        <f t="shared" ca="1" si="8"/>
        <v>-91.035455278001606</v>
      </c>
      <c r="O502" s="7">
        <f ca="1">IFERROR(__xludf.DUMMYFUNCTION("GOOGLEFINANCE(""NSE:""&amp;D502,""pe"")"),19.73)</f>
        <v>19.73</v>
      </c>
      <c r="P502" s="7">
        <f ca="1">IFERROR(__xludf.DUMMYFUNCTION("GOOGLEFINANCE(""NSE:""&amp;D502,""EPS"")"),4.51)</f>
        <v>4.51</v>
      </c>
      <c r="Q502" s="7">
        <v>13.5</v>
      </c>
      <c r="R502" s="7" t="str">
        <f ca="1">IFERROR(__xludf.DUMMYFUNCTION("IMPORTXML(E502,""/html/body/main/div[3]/div[3]/div[2]/ul/li[7]/span[2]/span"")"),"Loading...")</f>
        <v>Loading...</v>
      </c>
      <c r="S502" s="7">
        <f ca="1">IFERROR(__xludf.DUMMYFUNCTION("IMPORTXML(E502,""/html/body/main/div[3]/div[3]/div[2]/ul/li[8]/span[2]/span"")"),9.84)</f>
        <v>9.84</v>
      </c>
      <c r="T502" s="4">
        <v>34.6</v>
      </c>
      <c r="U502" s="4">
        <v>22.7</v>
      </c>
      <c r="V502" s="4">
        <v>2.6</v>
      </c>
      <c r="W502" s="4">
        <v>5.7</v>
      </c>
      <c r="X502" s="4">
        <v>519.92999999999995</v>
      </c>
      <c r="Y502" s="7">
        <f t="shared" ca="1" si="9"/>
        <v>-430.92999999999995</v>
      </c>
    </row>
    <row r="503" spans="1:25" ht="15" x14ac:dyDescent="0.25">
      <c r="A503" s="4">
        <v>1526</v>
      </c>
      <c r="C503" s="12" t="s">
        <v>1549</v>
      </c>
      <c r="D503" s="12" t="s">
        <v>1550</v>
      </c>
      <c r="E503" s="5" t="str">
        <f t="shared" si="5"/>
        <v>https://www.screener.in/company/TEMBO/consolidated/</v>
      </c>
      <c r="F503" s="4">
        <v>443059</v>
      </c>
      <c r="G503" s="4">
        <v>3832241897</v>
      </c>
      <c r="H503" s="6">
        <f t="shared" ca="1" si="6"/>
        <v>239706.73065735001</v>
      </c>
      <c r="I503" s="7" t="str">
        <f ca="1">IFERROR(__xludf.DUMMYFUNCTION("IMPORTXML(E503,""/html/body/main/div[3]/div[3]/div[2]/ul/li[5]/span[2]/span"")"),"Loading...")</f>
        <v>Loading...</v>
      </c>
      <c r="J503" s="7">
        <f ca="1">IFERROR(__xludf.DUMMYFUNCTION("GOOGLEFINANCE(""NSE:""&amp;D503,""marketcap"")"),9674696070)</f>
        <v>9674696070</v>
      </c>
      <c r="K503" s="7">
        <v>992.8</v>
      </c>
      <c r="L503" s="8">
        <f ca="1">IFERROR(__xludf.DUMMYFUNCTION("GOOGLEFINANCE(""NSE:""&amp;D503,""price"")"),625.5)</f>
        <v>625.5</v>
      </c>
      <c r="M503" s="9">
        <f t="shared" ca="1" si="7"/>
        <v>-367.29999999999995</v>
      </c>
      <c r="N503" s="10">
        <f t="shared" ca="1" si="8"/>
        <v>-36.996373892022561</v>
      </c>
      <c r="O503" s="7">
        <f ca="1">IFERROR(__xludf.DUMMYFUNCTION("GOOGLEFINANCE(""NSE:""&amp;D503,""pe"")"),13.11)</f>
        <v>13.11</v>
      </c>
      <c r="P503" s="7">
        <f ca="1">IFERROR(__xludf.DUMMYFUNCTION("GOOGLEFINANCE(""NSE:""&amp;D503,""EPS"")"),47.7)</f>
        <v>47.7</v>
      </c>
      <c r="Q503" s="7">
        <v>13.5</v>
      </c>
      <c r="R503" s="7" t="str">
        <f ca="1">IFERROR(__xludf.DUMMYFUNCTION("IMPORTXML(E503,""/html/body/main/div[3]/div[3]/div[2]/ul/li[7]/span[2]/span"")"),"Loading...")</f>
        <v>Loading...</v>
      </c>
      <c r="S503" s="7" t="str">
        <f ca="1">IFERROR(__xludf.DUMMYFUNCTION("IMPORTXML(E503,""/html/body/main/div[3]/div[3]/div[2]/ul/li[8]/span[2]/span"")"),"Loading...")</f>
        <v>Loading...</v>
      </c>
      <c r="T503" s="4">
        <v>34.6</v>
      </c>
      <c r="U503" s="4">
        <v>22.7</v>
      </c>
      <c r="V503" s="4">
        <v>2.6</v>
      </c>
      <c r="W503" s="4">
        <v>5.7</v>
      </c>
      <c r="X503" s="4">
        <v>519.92999999999995</v>
      </c>
      <c r="Y503" s="7">
        <f t="shared" ca="1" si="9"/>
        <v>105.57000000000005</v>
      </c>
    </row>
    <row r="504" spans="1:25" ht="15" x14ac:dyDescent="0.25">
      <c r="A504" s="4">
        <v>176</v>
      </c>
      <c r="C504" s="12" t="s">
        <v>1551</v>
      </c>
      <c r="D504" s="12" t="s">
        <v>1552</v>
      </c>
      <c r="E504" s="5" t="str">
        <f t="shared" si="5"/>
        <v>https://www.screener.in/company/ACMESOLAR/consolidated/</v>
      </c>
      <c r="F504" s="4">
        <v>443059</v>
      </c>
      <c r="G504" s="4">
        <v>3832241897</v>
      </c>
      <c r="H504" s="6">
        <f t="shared" ca="1" si="6"/>
        <v>113281.07047532003</v>
      </c>
      <c r="I504" s="7" t="str">
        <f ca="1">IFERROR(__xludf.DUMMYFUNCTION("IMPORTXML(E504,""/html/body/main/div[3]/div[3]/div[2]/ul/li[5]/span[2]/span"")"),"Loading...")</f>
        <v>Loading...</v>
      </c>
      <c r="J504" s="7">
        <f ca="1">IFERROR(__xludf.DUMMYFUNCTION("GOOGLEFINANCE(""NSE:""&amp;D504,""marketcap"")"),178995331570)</f>
        <v>178995331570</v>
      </c>
      <c r="K504" s="7">
        <v>992.8</v>
      </c>
      <c r="L504" s="8">
        <f ca="1">IFERROR(__xludf.DUMMYFUNCTION("GOOGLEFINANCE(""NSE:""&amp;D504,""price"")"),295.6)</f>
        <v>295.60000000000002</v>
      </c>
      <c r="M504" s="9">
        <f t="shared" ca="1" si="7"/>
        <v>-697.19999999999993</v>
      </c>
      <c r="N504" s="10">
        <f t="shared" ca="1" si="8"/>
        <v>-70.225624496373882</v>
      </c>
      <c r="O504" s="7">
        <f ca="1">IFERROR(__xludf.DUMMYFUNCTION("GOOGLEFINANCE(""NSE:""&amp;D504,""pe"")"),44.38)</f>
        <v>44.38</v>
      </c>
      <c r="P504" s="7">
        <f ca="1">IFERROR(__xludf.DUMMYFUNCTION("GOOGLEFINANCE(""NSE:""&amp;D504,""EPS"")"),6.66)</f>
        <v>6.66</v>
      </c>
      <c r="Q504" s="7">
        <v>13.5</v>
      </c>
      <c r="R504" s="7" t="str">
        <f ca="1">IFERROR(__xludf.DUMMYFUNCTION("IMPORTXML(E504,""/html/body/main/div[3]/div[3]/div[2]/ul/li[7]/span[2]/span"")"),"Loading...")</f>
        <v>Loading...</v>
      </c>
      <c r="S504" s="7" t="str">
        <f ca="1">IFERROR(__xludf.DUMMYFUNCTION("IMPORTXML(E504,""/html/body/main/div[3]/div[3]/div[2]/ul/li[8]/span[2]/span"")"),"Loading...")</f>
        <v>Loading...</v>
      </c>
      <c r="T504" s="4">
        <v>34.6</v>
      </c>
      <c r="U504" s="4">
        <v>22.7</v>
      </c>
      <c r="V504" s="4">
        <v>2.6</v>
      </c>
      <c r="W504" s="4">
        <v>5.7</v>
      </c>
      <c r="X504" s="4">
        <v>519.92999999999995</v>
      </c>
      <c r="Y504" s="7">
        <f t="shared" ca="1" si="9"/>
        <v>-224.32999999999993</v>
      </c>
    </row>
    <row r="505" spans="1:25" ht="15" x14ac:dyDescent="0.25">
      <c r="A505" s="4">
        <v>1537</v>
      </c>
      <c r="C505" s="12" t="s">
        <v>1553</v>
      </c>
      <c r="D505" s="12" t="s">
        <v>1554</v>
      </c>
      <c r="E505" s="5" t="str">
        <f t="shared" si="5"/>
        <v>https://www.screener.in/company/BANSWRAS/consolidated/</v>
      </c>
      <c r="F505" s="4">
        <v>443059</v>
      </c>
      <c r="G505" s="4">
        <v>3832241897</v>
      </c>
      <c r="H505" s="6">
        <f t="shared" ca="1" si="6"/>
        <v>48500.853448431997</v>
      </c>
      <c r="I505" s="7" t="str">
        <f ca="1">IFERROR(__xludf.DUMMYFUNCTION("IMPORTXML(E505,""/html/body/main/div[3]/div[3]/div[2]/ul/li[5]/span[2]/span"")"),"Loading...")</f>
        <v>Loading...</v>
      </c>
      <c r="J505" s="7">
        <f ca="1">IFERROR(__xludf.DUMMYFUNCTION("GOOGLEFINANCE(""NSE:""&amp;D505,""marketcap"")"),4403273000)</f>
        <v>4403273000</v>
      </c>
      <c r="K505" s="7">
        <v>992.8</v>
      </c>
      <c r="L505" s="8">
        <f ca="1">IFERROR(__xludf.DUMMYFUNCTION("GOOGLEFINANCE(""NSE:""&amp;D505,""price"")"),126.56)</f>
        <v>126.56</v>
      </c>
      <c r="M505" s="9">
        <f t="shared" ca="1" si="7"/>
        <v>-866.24</v>
      </c>
      <c r="N505" s="10">
        <f t="shared" ca="1" si="8"/>
        <v>-87.252215954875098</v>
      </c>
      <c r="O505" s="7">
        <f ca="1">IFERROR(__xludf.DUMMYFUNCTION("GOOGLEFINANCE(""NSE:""&amp;D505,""pe"")"),22.04)</f>
        <v>22.04</v>
      </c>
      <c r="P505" s="7">
        <f ca="1">IFERROR(__xludf.DUMMYFUNCTION("GOOGLEFINANCE(""NSE:""&amp;D505,""EPS"")"),5.74)</f>
        <v>5.74</v>
      </c>
      <c r="Q505" s="7">
        <v>13.5</v>
      </c>
      <c r="R505" s="7" t="str">
        <f ca="1">IFERROR(__xludf.DUMMYFUNCTION("IMPORTXML(E505,""/html/body/main/div[3]/div[3]/div[2]/ul/li[7]/span[2]/span"")"),"Loading...")</f>
        <v>Loading...</v>
      </c>
      <c r="S505" s="7" t="str">
        <f ca="1">IFERROR(__xludf.DUMMYFUNCTION("IMPORTXML(E505,""/html/body/main/div[3]/div[3]/div[2]/ul/li[8]/span[2]/span"")"),"Loading...")</f>
        <v>Loading...</v>
      </c>
      <c r="T505" s="4">
        <v>34.6</v>
      </c>
      <c r="U505" s="4">
        <v>22.7</v>
      </c>
      <c r="V505" s="4">
        <v>2.6</v>
      </c>
      <c r="W505" s="4">
        <v>5.7</v>
      </c>
      <c r="X505" s="4">
        <v>519.92999999999995</v>
      </c>
      <c r="Y505" s="7">
        <f t="shared" ca="1" si="9"/>
        <v>-393.36999999999995</v>
      </c>
    </row>
    <row r="506" spans="1:25" ht="15" x14ac:dyDescent="0.25">
      <c r="A506" s="4">
        <v>1230</v>
      </c>
      <c r="C506" s="12" t="s">
        <v>1555</v>
      </c>
      <c r="D506" s="12" t="s">
        <v>1556</v>
      </c>
      <c r="E506" s="5" t="str">
        <f t="shared" si="5"/>
        <v>https://www.screener.in/company/RITCO/consolidated/</v>
      </c>
      <c r="F506" s="4">
        <v>443059</v>
      </c>
      <c r="G506" s="4">
        <v>3832241897</v>
      </c>
      <c r="H506" s="6">
        <f t="shared" ca="1" si="6"/>
        <v>103853.7554087</v>
      </c>
      <c r="I506" s="7" t="str">
        <f ca="1">IFERROR(__xludf.DUMMYFUNCTION("IMPORTXML(E506,""/html/body/main/div[3]/div[3]/div[2]/ul/li[5]/span[2]/span"")"),"Loading...")</f>
        <v>Loading...</v>
      </c>
      <c r="J506" s="7">
        <f ca="1">IFERROR(__xludf.DUMMYFUNCTION("GOOGLEFINANCE(""NSE:""&amp;D506,""marketcap"")"),7693215750)</f>
        <v>7693215750</v>
      </c>
      <c r="K506" s="7">
        <v>992.8</v>
      </c>
      <c r="L506" s="8">
        <f ca="1">IFERROR(__xludf.DUMMYFUNCTION("GOOGLEFINANCE(""NSE:""&amp;D506,""price"")"),271)</f>
        <v>271</v>
      </c>
      <c r="M506" s="9">
        <f t="shared" ca="1" si="7"/>
        <v>-721.8</v>
      </c>
      <c r="N506" s="10">
        <f t="shared" ca="1" si="8"/>
        <v>-72.703464947622891</v>
      </c>
      <c r="O506" s="7">
        <f ca="1">IFERROR(__xludf.DUMMYFUNCTION("GOOGLEFINANCE(""NSE:""&amp;D506,""pe"")"),17.9)</f>
        <v>17.899999999999999</v>
      </c>
      <c r="P506" s="7">
        <f ca="1">IFERROR(__xludf.DUMMYFUNCTION("GOOGLEFINANCE(""NSE:""&amp;D506,""EPS"")"),15.14)</f>
        <v>15.14</v>
      </c>
      <c r="Q506" s="7">
        <v>13.5</v>
      </c>
      <c r="R506" s="7" t="str">
        <f ca="1">IFERROR(__xludf.DUMMYFUNCTION("IMPORTXML(E506,""/html/body/main/div[3]/div[3]/div[2]/ul/li[7]/span[2]/span"")"),"Loading...")</f>
        <v>Loading...</v>
      </c>
      <c r="S506" s="7" t="str">
        <f ca="1">IFERROR(__xludf.DUMMYFUNCTION("IMPORTXML(E506,""/html/body/main/div[3]/div[3]/div[2]/ul/li[8]/span[2]/span"")"),"Loading...")</f>
        <v>Loading...</v>
      </c>
      <c r="T506" s="4">
        <v>34.6</v>
      </c>
      <c r="U506" s="4">
        <v>22.7</v>
      </c>
      <c r="V506" s="4">
        <v>2.6</v>
      </c>
      <c r="W506" s="4">
        <v>5.7</v>
      </c>
      <c r="X506" s="4">
        <v>519.92999999999995</v>
      </c>
      <c r="Y506" s="7">
        <f t="shared" ca="1" si="9"/>
        <v>-248.92999999999995</v>
      </c>
    </row>
    <row r="507" spans="1:25" ht="15" x14ac:dyDescent="0.25">
      <c r="A507" s="4">
        <v>71</v>
      </c>
      <c r="C507" s="12" t="s">
        <v>1557</v>
      </c>
      <c r="D507" s="12" t="s">
        <v>1558</v>
      </c>
      <c r="E507" s="5" t="str">
        <f t="shared" si="5"/>
        <v>https://www.screener.in/company/IRCON/consolidated/</v>
      </c>
      <c r="F507" s="4">
        <v>443059</v>
      </c>
      <c r="G507" s="4">
        <v>3832241897</v>
      </c>
      <c r="H507" s="6">
        <f t="shared" ca="1" si="6"/>
        <v>64914.345493282999</v>
      </c>
      <c r="I507" s="7" t="str">
        <f ca="1">IFERROR(__xludf.DUMMYFUNCTION("IMPORTXML(E507,""/html/body/main/div[3]/div[3]/div[2]/ul/li[5]/span[2]/span"")"),"Loading...")</f>
        <v>Loading...</v>
      </c>
      <c r="J507" s="7">
        <f ca="1">IFERROR(__xludf.DUMMYFUNCTION("GOOGLEFINANCE(""NSE:""&amp;D507,""marketcap"")"),159072621156)</f>
        <v>159072621156</v>
      </c>
      <c r="K507" s="7">
        <v>992.8</v>
      </c>
      <c r="L507" s="8">
        <f ca="1">IFERROR(__xludf.DUMMYFUNCTION("GOOGLEFINANCE(""NSE:""&amp;D507,""price"")"),169.39)</f>
        <v>169.39</v>
      </c>
      <c r="M507" s="9">
        <f t="shared" ca="1" si="7"/>
        <v>-823.41</v>
      </c>
      <c r="N507" s="10">
        <f t="shared" ca="1" si="8"/>
        <v>-82.938154713940378</v>
      </c>
      <c r="O507" s="7">
        <f ca="1">IFERROR(__xludf.DUMMYFUNCTION("GOOGLEFINANCE(""NSE:""&amp;D507,""pe"")"),23.84)</f>
        <v>23.84</v>
      </c>
      <c r="P507" s="7">
        <f ca="1">IFERROR(__xludf.DUMMYFUNCTION("GOOGLEFINANCE(""NSE:""&amp;D507,""EPS"")"),7.1)</f>
        <v>7.1</v>
      </c>
      <c r="Q507" s="7">
        <v>13.5</v>
      </c>
      <c r="R507" s="7" t="str">
        <f ca="1">IFERROR(__xludf.DUMMYFUNCTION("IMPORTXML(E507,""/html/body/main/div[3]/div[3]/div[2]/ul/li[7]/span[2]/span"")"),"Loading...")</f>
        <v>Loading...</v>
      </c>
      <c r="S507" s="7" t="str">
        <f ca="1">IFERROR(__xludf.DUMMYFUNCTION("IMPORTXML(E507,""/html/body/main/div[3]/div[3]/div[2]/ul/li[8]/span[2]/span"")"),"Loading...")</f>
        <v>Loading...</v>
      </c>
      <c r="T507" s="4">
        <v>34.6</v>
      </c>
      <c r="U507" s="4">
        <v>22.7</v>
      </c>
      <c r="V507" s="4">
        <v>2.6</v>
      </c>
      <c r="W507" s="4">
        <v>5.7</v>
      </c>
      <c r="X507" s="4">
        <v>519.92999999999995</v>
      </c>
      <c r="Y507" s="7">
        <f t="shared" ca="1" si="9"/>
        <v>-350.53999999999996</v>
      </c>
    </row>
    <row r="508" spans="1:25" ht="15" x14ac:dyDescent="0.25">
      <c r="A508" s="4">
        <v>1384</v>
      </c>
      <c r="C508" s="12" t="s">
        <v>1559</v>
      </c>
      <c r="D508" s="12" t="s">
        <v>1560</v>
      </c>
      <c r="E508" s="5" t="str">
        <f t="shared" si="5"/>
        <v>https://www.screener.in/company/BEDMUTHA/consolidated/</v>
      </c>
      <c r="F508" s="4">
        <v>443059</v>
      </c>
      <c r="G508" s="4">
        <v>3832241897</v>
      </c>
      <c r="H508" s="6">
        <f t="shared" ca="1" si="6"/>
        <v>51735.265609499998</v>
      </c>
      <c r="I508" s="7" t="str">
        <f ca="1">IFERROR(__xludf.DUMMYFUNCTION("IMPORTXML(E508,""/html/body/main/div[3]/div[3]/div[2]/ul/li[5]/span[2]/span"")"),"Loading...")</f>
        <v>Loading...</v>
      </c>
      <c r="J508" s="7">
        <f ca="1">IFERROR(__xludf.DUMMYFUNCTION("GOOGLEFINANCE(""NSE:""&amp;D508,""marketcap"")"),4355623800)</f>
        <v>4355623800</v>
      </c>
      <c r="K508" s="7">
        <v>992.8</v>
      </c>
      <c r="L508" s="8">
        <f ca="1">IFERROR(__xludf.DUMMYFUNCTION("GOOGLEFINANCE(""NSE:""&amp;D508,""price"")"),135)</f>
        <v>135</v>
      </c>
      <c r="M508" s="9">
        <f t="shared" ca="1" si="7"/>
        <v>-857.8</v>
      </c>
      <c r="N508" s="10">
        <f t="shared" ca="1" si="8"/>
        <v>-86.402095084609186</v>
      </c>
      <c r="O508" s="7">
        <f ca="1">IFERROR(__xludf.DUMMYFUNCTION("GOOGLEFINANCE(""NSE:""&amp;D508,""pe"")"),38.03)</f>
        <v>38.03</v>
      </c>
      <c r="P508" s="7">
        <f ca="1">IFERROR(__xludf.DUMMYFUNCTION("GOOGLEFINANCE(""NSE:""&amp;D508,""EPS"")"),3.55)</f>
        <v>3.55</v>
      </c>
      <c r="Q508" s="7">
        <v>13.5</v>
      </c>
      <c r="R508" s="7" t="str">
        <f ca="1">IFERROR(__xludf.DUMMYFUNCTION("IMPORTXML(E508,""/html/body/main/div[3]/div[3]/div[2]/ul/li[7]/span[2]/span"")"),"Loading...")</f>
        <v>Loading...</v>
      </c>
      <c r="S508" s="7" t="str">
        <f ca="1">IFERROR(__xludf.DUMMYFUNCTION("IMPORTXML(E508,""/html/body/main/div[3]/div[3]/div[2]/ul/li[8]/span[2]/span"")"),"Loading...")</f>
        <v>Loading...</v>
      </c>
      <c r="T508" s="4">
        <v>34.6</v>
      </c>
      <c r="U508" s="4">
        <v>22.7</v>
      </c>
      <c r="V508" s="4">
        <v>2.6</v>
      </c>
      <c r="W508" s="4">
        <v>5.7</v>
      </c>
      <c r="X508" s="4">
        <v>519.92999999999995</v>
      </c>
      <c r="Y508" s="7">
        <f t="shared" ca="1" si="9"/>
        <v>-384.92999999999995</v>
      </c>
    </row>
    <row r="509" spans="1:25" ht="15" x14ac:dyDescent="0.25">
      <c r="A509" s="4">
        <v>375</v>
      </c>
      <c r="C509" s="12" t="s">
        <v>1561</v>
      </c>
      <c r="D509" s="12" t="s">
        <v>1562</v>
      </c>
      <c r="E509" s="5" t="str">
        <f t="shared" si="5"/>
        <v>https://www.screener.in/company/MOIL/consolidated/</v>
      </c>
      <c r="F509" s="4">
        <v>443059</v>
      </c>
      <c r="G509" s="4">
        <v>3832241897</v>
      </c>
      <c r="H509" s="6">
        <f t="shared" ca="1" si="6"/>
        <v>135278.13896410001</v>
      </c>
      <c r="I509" s="7" t="str">
        <f ca="1">IFERROR(__xludf.DUMMYFUNCTION("IMPORTXML(E509,""/html/body/main/div[3]/div[3]/div[2]/ul/li[5]/span[2]/span"")"),"Loading...")</f>
        <v>Loading...</v>
      </c>
      <c r="J509" s="7">
        <f ca="1">IFERROR(__xludf.DUMMYFUNCTION("GOOGLEFINANCE(""NSE:""&amp;D509,""marketcap"")"),71586690362)</f>
        <v>71586690362</v>
      </c>
      <c r="K509" s="7">
        <v>992.8</v>
      </c>
      <c r="L509" s="8">
        <f ca="1">IFERROR(__xludf.DUMMYFUNCTION("GOOGLEFINANCE(""NSE:""&amp;D509,""price"")"),353)</f>
        <v>353</v>
      </c>
      <c r="M509" s="9">
        <f t="shared" ca="1" si="7"/>
        <v>-639.79999999999995</v>
      </c>
      <c r="N509" s="10">
        <f t="shared" ca="1" si="8"/>
        <v>-64.443996776792915</v>
      </c>
      <c r="O509" s="7">
        <f ca="1">IFERROR(__xludf.DUMMYFUNCTION("GOOGLEFINANCE(""NSE:""&amp;D509,""pe"")"),25.58)</f>
        <v>25.58</v>
      </c>
      <c r="P509" s="7">
        <f ca="1">IFERROR(__xludf.DUMMYFUNCTION("GOOGLEFINANCE(""NSE:""&amp;D509,""EPS"")"),13.8)</f>
        <v>13.8</v>
      </c>
      <c r="Q509" s="7">
        <v>13.5</v>
      </c>
      <c r="R509" s="7" t="str">
        <f ca="1">IFERROR(__xludf.DUMMYFUNCTION("IMPORTXML(E509,""/html/body/main/div[3]/div[3]/div[2]/ul/li[7]/span[2]/span"")"),"Loading...")</f>
        <v>Loading...</v>
      </c>
      <c r="S509" s="7" t="str">
        <f ca="1">IFERROR(__xludf.DUMMYFUNCTION("IMPORTXML(E509,""/html/body/main/div[3]/div[3]/div[2]/ul/li[8]/span[2]/span"")"),"Loading...")</f>
        <v>Loading...</v>
      </c>
      <c r="T509" s="4">
        <v>34.6</v>
      </c>
      <c r="U509" s="4">
        <v>22.7</v>
      </c>
      <c r="V509" s="4">
        <v>2.6</v>
      </c>
      <c r="W509" s="4">
        <v>5.7</v>
      </c>
      <c r="X509" s="4">
        <v>519.92999999999995</v>
      </c>
      <c r="Y509" s="7">
        <f t="shared" ca="1" si="9"/>
        <v>-166.92999999999995</v>
      </c>
    </row>
    <row r="510" spans="1:25" ht="15" x14ac:dyDescent="0.25">
      <c r="A510" s="4">
        <v>388</v>
      </c>
      <c r="C510" s="12" t="s">
        <v>1563</v>
      </c>
      <c r="D510" s="12" t="s">
        <v>1564</v>
      </c>
      <c r="E510" s="5" t="str">
        <f t="shared" si="5"/>
        <v>https://www.screener.in/company/PARADEEP/consolidated/</v>
      </c>
      <c r="F510" s="4">
        <v>443059</v>
      </c>
      <c r="G510" s="4">
        <v>3832241897</v>
      </c>
      <c r="H510" s="6">
        <f t="shared" ca="1" si="6"/>
        <v>77028.062129700003</v>
      </c>
      <c r="I510" s="7" t="str">
        <f ca="1">IFERROR(__xludf.DUMMYFUNCTION("IMPORTXML(E510,""/html/body/main/div[3]/div[3]/div[2]/ul/li[5]/span[2]/span"")"),"Loading...")</f>
        <v>Loading...</v>
      </c>
      <c r="J510" s="7">
        <f ca="1">IFERROR(__xludf.DUMMYFUNCTION("GOOGLEFINANCE(""NSE:""&amp;D510,""marketcap"")"),163935137700)</f>
        <v>163935137700</v>
      </c>
      <c r="K510" s="7">
        <v>992.8</v>
      </c>
      <c r="L510" s="8">
        <f ca="1">IFERROR(__xludf.DUMMYFUNCTION("GOOGLEFINANCE(""NSE:""&amp;D510,""price"")"),201)</f>
        <v>201</v>
      </c>
      <c r="M510" s="9">
        <f t="shared" ca="1" si="7"/>
        <v>-791.8</v>
      </c>
      <c r="N510" s="10">
        <f t="shared" ca="1" si="8"/>
        <v>-79.75423045930701</v>
      </c>
      <c r="O510" s="7">
        <f ca="1">IFERROR(__xludf.DUMMYFUNCTION("GOOGLEFINANCE(""NSE:""&amp;D510,""pe"")"),20.47)</f>
        <v>20.47</v>
      </c>
      <c r="P510" s="7">
        <f ca="1">IFERROR(__xludf.DUMMYFUNCTION("GOOGLEFINANCE(""NSE:""&amp;D510,""EPS"")"),9.82)</f>
        <v>9.82</v>
      </c>
      <c r="Q510" s="7">
        <v>13.5</v>
      </c>
      <c r="R510" s="7" t="str">
        <f ca="1">IFERROR(__xludf.DUMMYFUNCTION("IMPORTXML(E510,""/html/body/main/div[3]/div[3]/div[2]/ul/li[7]/span[2]/span"")"),"Loading...")</f>
        <v>Loading...</v>
      </c>
      <c r="S510" s="7" t="str">
        <f ca="1">IFERROR(__xludf.DUMMYFUNCTION("IMPORTXML(E510,""/html/body/main/div[3]/div[3]/div[2]/ul/li[8]/span[2]/span"")"),"Loading...")</f>
        <v>Loading...</v>
      </c>
      <c r="T510" s="4">
        <v>34.6</v>
      </c>
      <c r="U510" s="4">
        <v>22.7</v>
      </c>
      <c r="V510" s="4">
        <v>2.6</v>
      </c>
      <c r="W510" s="4">
        <v>5.7</v>
      </c>
      <c r="X510" s="4">
        <v>519.92999999999995</v>
      </c>
      <c r="Y510" s="7">
        <f t="shared" ca="1" si="9"/>
        <v>-318.92999999999995</v>
      </c>
    </row>
    <row r="511" spans="1:25" ht="15" x14ac:dyDescent="0.25">
      <c r="A511" s="4">
        <v>1135</v>
      </c>
      <c r="C511" s="12" t="s">
        <v>1565</v>
      </c>
      <c r="D511" s="12" t="s">
        <v>1566</v>
      </c>
      <c r="E511" s="5" t="str">
        <f t="shared" si="5"/>
        <v>https://www.screener.in/company/RADHIKAJWE/consolidated/</v>
      </c>
      <c r="F511" s="4">
        <v>443059</v>
      </c>
      <c r="G511" s="4">
        <v>3832241897</v>
      </c>
      <c r="H511" s="6">
        <f t="shared" ca="1" si="6"/>
        <v>36214.685926650003</v>
      </c>
      <c r="I511" s="7" t="str">
        <f ca="1">IFERROR(__xludf.DUMMYFUNCTION("IMPORTXML(E511,""/html/body/main/div[3]/div[3]/div[2]/ul/li[5]/span[2]/span"")"),"Loading...")</f>
        <v>Loading...</v>
      </c>
      <c r="J511" s="7">
        <f ca="1">IFERROR(__xludf.DUMMYFUNCTION("GOOGLEFINANCE(""NSE:""&amp;D511,""marketcap"")"),11151000000)</f>
        <v>11151000000</v>
      </c>
      <c r="K511" s="7">
        <v>992.8</v>
      </c>
      <c r="L511" s="8">
        <f ca="1">IFERROR(__xludf.DUMMYFUNCTION("GOOGLEFINANCE(""NSE:""&amp;D511,""price"")"),94.5)</f>
        <v>94.5</v>
      </c>
      <c r="M511" s="9">
        <f t="shared" ca="1" si="7"/>
        <v>-898.3</v>
      </c>
      <c r="N511" s="10">
        <f t="shared" ca="1" si="8"/>
        <v>-90.481466559226433</v>
      </c>
      <c r="O511" s="7">
        <f ca="1">IFERROR(__xludf.DUMMYFUNCTION("GOOGLEFINANCE(""NSE:""&amp;D511,""pe"")"),17.07)</f>
        <v>17.07</v>
      </c>
      <c r="P511" s="7">
        <f ca="1">IFERROR(__xludf.DUMMYFUNCTION("GOOGLEFINANCE(""NSE:""&amp;D511,""EPS"")"),5.53)</f>
        <v>5.53</v>
      </c>
      <c r="Q511" s="7">
        <v>13.5</v>
      </c>
      <c r="R511" s="7" t="str">
        <f ca="1">IFERROR(__xludf.DUMMYFUNCTION("IMPORTXML(E511,""/html/body/main/div[3]/div[3]/div[2]/ul/li[7]/span[2]/span"")"),"Loading...")</f>
        <v>Loading...</v>
      </c>
      <c r="S511" s="7" t="str">
        <f ca="1">IFERROR(__xludf.DUMMYFUNCTION("IMPORTXML(E511,""/html/body/main/div[3]/div[3]/div[2]/ul/li[8]/span[2]/span"")"),"Loading...")</f>
        <v>Loading...</v>
      </c>
      <c r="T511" s="4">
        <v>34.6</v>
      </c>
      <c r="U511" s="4">
        <v>22.7</v>
      </c>
      <c r="V511" s="4">
        <v>2.6</v>
      </c>
      <c r="W511" s="4">
        <v>5.7</v>
      </c>
      <c r="X511" s="4">
        <v>519.92999999999995</v>
      </c>
      <c r="Y511" s="7">
        <f t="shared" ca="1" si="9"/>
        <v>-425.42999999999995</v>
      </c>
    </row>
    <row r="512" spans="1:25" ht="15" x14ac:dyDescent="0.25">
      <c r="A512" s="4">
        <v>137</v>
      </c>
      <c r="C512" s="12" t="s">
        <v>1567</v>
      </c>
      <c r="D512" s="12" t="s">
        <v>1568</v>
      </c>
      <c r="E512" s="5" t="str">
        <f t="shared" ref="E512:E766" si="10">"https://www.screener.in/company/"&amp; D512&amp;"/consolidated/"</f>
        <v>https://www.screener.in/company/KIRLOSENG/consolidated/</v>
      </c>
      <c r="F512" s="4">
        <v>443059</v>
      </c>
      <c r="G512" s="4">
        <v>3832241897</v>
      </c>
      <c r="H512" s="6">
        <f t="shared" ref="H512:H766" ca="1" si="11">(G512*L512)/10^7</f>
        <v>333021.82084930001</v>
      </c>
      <c r="I512" s="7" t="str">
        <f ca="1">IFERROR(__xludf.DUMMYFUNCTION("IMPORTXML(E512,""/html/body/main/div[3]/div[3]/div[2]/ul/li[5]/span[2]/span"")"),"Loading...")</f>
        <v>Loading...</v>
      </c>
      <c r="J512" s="7">
        <f ca="1">IFERROR(__xludf.DUMMYFUNCTION("GOOGLEFINANCE(""NSE:""&amp;D512,""marketcap"")"),126226334300)</f>
        <v>126226334300</v>
      </c>
      <c r="K512" s="7">
        <v>992.8</v>
      </c>
      <c r="L512" s="8">
        <f ca="1">IFERROR(__xludf.DUMMYFUNCTION("GOOGLEFINANCE(""NSE:""&amp;D512,""price"")"),869)</f>
        <v>869</v>
      </c>
      <c r="M512" s="9">
        <f t="shared" ref="M512:M766" ca="1" si="12">L512-K512</f>
        <v>-123.79999999999995</v>
      </c>
      <c r="N512" s="10">
        <f t="shared" ref="N512:N766" ca="1" si="13">(M512/K512)*100</f>
        <v>-12.469782433521349</v>
      </c>
      <c r="O512" s="7">
        <f ca="1">IFERROR(__xludf.DUMMYFUNCTION("GOOGLEFINANCE(""NSE:""&amp;D512,""pe"")"),26.83)</f>
        <v>26.83</v>
      </c>
      <c r="P512" s="7">
        <f ca="1">IFERROR(__xludf.DUMMYFUNCTION("GOOGLEFINANCE(""NSE:""&amp;D512,""EPS"")"),32.39)</f>
        <v>32.39</v>
      </c>
      <c r="Q512" s="7">
        <v>13.5</v>
      </c>
      <c r="R512" s="7" t="str">
        <f ca="1">IFERROR(__xludf.DUMMYFUNCTION("IMPORTXML(E512,""/html/body/main/div[3]/div[3]/div[2]/ul/li[7]/span[2]/span"")"),"Loading...")</f>
        <v>Loading...</v>
      </c>
      <c r="S512" s="7" t="str">
        <f ca="1">IFERROR(__xludf.DUMMYFUNCTION("IMPORTXML(E512,""/html/body/main/div[3]/div[3]/div[2]/ul/li[8]/span[2]/span"")"),"Loading...")</f>
        <v>Loading...</v>
      </c>
      <c r="T512" s="4">
        <v>34.6</v>
      </c>
      <c r="U512" s="4">
        <v>22.7</v>
      </c>
      <c r="V512" s="4">
        <v>2.6</v>
      </c>
      <c r="W512" s="4">
        <v>5.7</v>
      </c>
      <c r="X512" s="4">
        <v>519.92999999999995</v>
      </c>
      <c r="Y512" s="7">
        <f t="shared" ref="Y512:Y766" ca="1" si="14">L512-X512</f>
        <v>349.07000000000005</v>
      </c>
    </row>
    <row r="513" spans="1:25" ht="15" x14ac:dyDescent="0.25">
      <c r="A513" s="4">
        <v>686</v>
      </c>
      <c r="C513" s="12" t="s">
        <v>1569</v>
      </c>
      <c r="D513" s="12" t="s">
        <v>1570</v>
      </c>
      <c r="E513" s="5" t="str">
        <f t="shared" si="10"/>
        <v>https://www.screener.in/company/FLAIR/consolidated/</v>
      </c>
      <c r="F513" s="4">
        <v>443059</v>
      </c>
      <c r="G513" s="4">
        <v>3832241897</v>
      </c>
      <c r="H513" s="6">
        <f t="shared" ca="1" si="11"/>
        <v>123072.44852215498</v>
      </c>
      <c r="I513" s="7" t="str">
        <f ca="1">IFERROR(__xludf.DUMMYFUNCTION("IMPORTXML(E513,""/html/body/main/div[3]/div[3]/div[2]/ul/li[5]/span[2]/span"")"),"Loading...")</f>
        <v>Loading...</v>
      </c>
      <c r="J513" s="7">
        <f ca="1">IFERROR(__xludf.DUMMYFUNCTION("GOOGLEFINANCE(""NSE:""&amp;D513,""marketcap"")"),33847699951)</f>
        <v>33847699951</v>
      </c>
      <c r="K513" s="7">
        <v>992.8</v>
      </c>
      <c r="L513" s="8">
        <f ca="1">IFERROR(__xludf.DUMMYFUNCTION("GOOGLEFINANCE(""NSE:""&amp;D513,""price"")"),321.15)</f>
        <v>321.14999999999998</v>
      </c>
      <c r="M513" s="9">
        <f t="shared" ca="1" si="12"/>
        <v>-671.65</v>
      </c>
      <c r="N513" s="10">
        <f t="shared" ca="1" si="13"/>
        <v>-67.652095084609186</v>
      </c>
      <c r="O513" s="7">
        <f ca="1">IFERROR(__xludf.DUMMYFUNCTION("GOOGLEFINANCE(""NSE:""&amp;D513,""pe"")"),27.82)</f>
        <v>27.82</v>
      </c>
      <c r="P513" s="7">
        <f ca="1">IFERROR(__xludf.DUMMYFUNCTION("GOOGLEFINANCE(""NSE:""&amp;D513,""EPS"")"),11.55)</f>
        <v>11.55</v>
      </c>
      <c r="Q513" s="7">
        <v>13.5</v>
      </c>
      <c r="R513" s="7" t="str">
        <f ca="1">IFERROR(__xludf.DUMMYFUNCTION("IMPORTXML(E513,""/html/body/main/div[3]/div[3]/div[2]/ul/li[7]/span[2]/span"")"),"Loading...")</f>
        <v>Loading...</v>
      </c>
      <c r="S513" s="7" t="str">
        <f ca="1">IFERROR(__xludf.DUMMYFUNCTION("IMPORTXML(E513,""/html/body/main/div[3]/div[3]/div[2]/ul/li[8]/span[2]/span"")"),"Loading...")</f>
        <v>Loading...</v>
      </c>
      <c r="T513" s="4">
        <v>34.6</v>
      </c>
      <c r="U513" s="4">
        <v>22.7</v>
      </c>
      <c r="V513" s="4">
        <v>2.6</v>
      </c>
      <c r="W513" s="4">
        <v>5.7</v>
      </c>
      <c r="X513" s="4">
        <v>519.92999999999995</v>
      </c>
      <c r="Y513" s="7">
        <f t="shared" ca="1" si="14"/>
        <v>-198.77999999999997</v>
      </c>
    </row>
    <row r="514" spans="1:25" ht="15" x14ac:dyDescent="0.25">
      <c r="A514" s="4">
        <v>905</v>
      </c>
      <c r="C514" s="12" t="s">
        <v>1571</v>
      </c>
      <c r="D514" s="12" t="s">
        <v>1572</v>
      </c>
      <c r="E514" s="5" t="str">
        <f t="shared" si="10"/>
        <v>https://www.screener.in/company/HARIOMPIPE/consolidated/</v>
      </c>
      <c r="F514" s="4">
        <v>443059</v>
      </c>
      <c r="G514" s="4">
        <v>3832241897</v>
      </c>
      <c r="H514" s="6">
        <f t="shared" ca="1" si="11"/>
        <v>186093.66651832001</v>
      </c>
      <c r="I514" s="7" t="str">
        <f ca="1">IFERROR(__xludf.DUMMYFUNCTION("IMPORTXML(E514,""/html/body/main/div[3]/div[3]/div[2]/ul/li[5]/span[2]/span"")"),"Loading...")</f>
        <v>Loading...</v>
      </c>
      <c r="J514" s="7">
        <f ca="1">IFERROR(__xludf.DUMMYFUNCTION("GOOGLEFINANCE(""NSE:""&amp;D514,""marketcap"")"),15037716213)</f>
        <v>15037716213</v>
      </c>
      <c r="K514" s="7">
        <v>992.8</v>
      </c>
      <c r="L514" s="8">
        <f ca="1">IFERROR(__xludf.DUMMYFUNCTION("GOOGLEFINANCE(""NSE:""&amp;D514,""price"")"),485.6)</f>
        <v>485.6</v>
      </c>
      <c r="M514" s="9">
        <f t="shared" ca="1" si="12"/>
        <v>-507.19999999999993</v>
      </c>
      <c r="N514" s="10">
        <f t="shared" ca="1" si="13"/>
        <v>-51.08783239323126</v>
      </c>
      <c r="O514" s="7">
        <f ca="1">IFERROR(__xludf.DUMMYFUNCTION("GOOGLEFINANCE(""NSE:""&amp;D514,""pe"")"),22.16)</f>
        <v>22.16</v>
      </c>
      <c r="P514" s="7">
        <f ca="1">IFERROR(__xludf.DUMMYFUNCTION("GOOGLEFINANCE(""NSE:""&amp;D514,""EPS"")"),21.91)</f>
        <v>21.91</v>
      </c>
      <c r="Q514" s="7">
        <v>13.5</v>
      </c>
      <c r="R514" s="7" t="str">
        <f ca="1">IFERROR(__xludf.DUMMYFUNCTION("IMPORTXML(E514,""/html/body/main/div[3]/div[3]/div[2]/ul/li[7]/span[2]/span"")"),"Loading...")</f>
        <v>Loading...</v>
      </c>
      <c r="S514" s="7" t="str">
        <f ca="1">IFERROR(__xludf.DUMMYFUNCTION("IMPORTXML(E514,""/html/body/main/div[3]/div[3]/div[2]/ul/li[8]/span[2]/span"")"),"Loading...")</f>
        <v>Loading...</v>
      </c>
      <c r="T514" s="4">
        <v>34.6</v>
      </c>
      <c r="U514" s="4">
        <v>22.7</v>
      </c>
      <c r="V514" s="4">
        <v>2.6</v>
      </c>
      <c r="W514" s="4">
        <v>5.7</v>
      </c>
      <c r="X514" s="4">
        <v>519.92999999999995</v>
      </c>
      <c r="Y514" s="7">
        <f t="shared" ca="1" si="14"/>
        <v>-34.329999999999927</v>
      </c>
    </row>
    <row r="515" spans="1:25" ht="15" x14ac:dyDescent="0.25">
      <c r="A515" s="4">
        <v>402</v>
      </c>
      <c r="C515" s="12" t="s">
        <v>1573</v>
      </c>
      <c r="D515" s="12" t="s">
        <v>1574</v>
      </c>
      <c r="E515" s="5" t="str">
        <f t="shared" si="10"/>
        <v>https://www.screener.in/company/DHANUKA/consolidated/</v>
      </c>
      <c r="F515" s="4">
        <v>443059</v>
      </c>
      <c r="G515" s="4">
        <v>3832241897</v>
      </c>
      <c r="H515" s="6">
        <f t="shared" ca="1" si="11"/>
        <v>615074.82446849998</v>
      </c>
      <c r="I515" s="7" t="str">
        <f ca="1">IFERROR(__xludf.DUMMYFUNCTION("IMPORTXML(E515,""/html/body/main/div[3]/div[3]/div[2]/ul/li[5]/span[2]/span"")"),"Loading...")</f>
        <v>Loading...</v>
      </c>
      <c r="J515" s="7">
        <f ca="1">IFERROR(__xludf.DUMMYFUNCTION("GOOGLEFINANCE(""NSE:""&amp;D515,""marketcap"")"),72350703600)</f>
        <v>72350703600</v>
      </c>
      <c r="K515" s="7">
        <v>992.8</v>
      </c>
      <c r="L515" s="8">
        <f ca="1">IFERROR(__xludf.DUMMYFUNCTION("GOOGLEFINANCE(""NSE:""&amp;D515,""price"")"),1605)</f>
        <v>1605</v>
      </c>
      <c r="M515" s="9">
        <f t="shared" ca="1" si="12"/>
        <v>612.20000000000005</v>
      </c>
      <c r="N515" s="10">
        <f t="shared" ca="1" si="13"/>
        <v>61.663980660757453</v>
      </c>
      <c r="O515" s="7">
        <f ca="1">IFERROR(__xludf.DUMMYFUNCTION("GOOGLEFINANCE(""NSE:""&amp;D515,""pe"")"),23.91)</f>
        <v>23.91</v>
      </c>
      <c r="P515" s="7">
        <f ca="1">IFERROR(__xludf.DUMMYFUNCTION("GOOGLEFINANCE(""NSE:""&amp;D515,""EPS"")"),67.13)</f>
        <v>67.13</v>
      </c>
      <c r="Q515" s="7">
        <v>13.5</v>
      </c>
      <c r="R515" s="7" t="str">
        <f ca="1">IFERROR(__xludf.DUMMYFUNCTION("IMPORTXML(E515,""/html/body/main/div[3]/div[3]/div[2]/ul/li[7]/span[2]/span"")"),"Loading...")</f>
        <v>Loading...</v>
      </c>
      <c r="S515" s="7" t="str">
        <f ca="1">IFERROR(__xludf.DUMMYFUNCTION("IMPORTXML(E515,""/html/body/main/div[3]/div[3]/div[2]/ul/li[8]/span[2]/span"")"),"Loading...")</f>
        <v>Loading...</v>
      </c>
      <c r="T515" s="4">
        <v>34.6</v>
      </c>
      <c r="U515" s="4">
        <v>22.7</v>
      </c>
      <c r="V515" s="4">
        <v>2.6</v>
      </c>
      <c r="W515" s="4">
        <v>5.7</v>
      </c>
      <c r="X515" s="4">
        <v>519.92999999999995</v>
      </c>
      <c r="Y515" s="7">
        <f t="shared" ca="1" si="14"/>
        <v>1085.0700000000002</v>
      </c>
    </row>
    <row r="516" spans="1:25" ht="15" x14ac:dyDescent="0.25">
      <c r="A516" s="4">
        <v>2206</v>
      </c>
      <c r="C516" s="12" t="s">
        <v>1575</v>
      </c>
      <c r="D516" s="12" t="s">
        <v>1576</v>
      </c>
      <c r="E516" s="5" t="str">
        <f t="shared" si="10"/>
        <v>https://www.screener.in/company/DBSTOCKBRO/consolidated/</v>
      </c>
      <c r="F516" s="4">
        <v>443059</v>
      </c>
      <c r="G516" s="4">
        <v>3832241897</v>
      </c>
      <c r="H516" s="6">
        <f t="shared" ca="1" si="11"/>
        <v>9737.7266602769996</v>
      </c>
      <c r="I516" s="7" t="str">
        <f ca="1">IFERROR(__xludf.DUMMYFUNCTION("IMPORTXML(E516,""/html/body/main/div[3]/div[3]/div[2]/ul/li[5]/span[2]/span"")"),"Loading...")</f>
        <v>Loading...</v>
      </c>
      <c r="J516" s="7">
        <f ca="1">IFERROR(__xludf.DUMMYFUNCTION("GOOGLEFINANCE(""NSE:""&amp;D516,""marketcap"")"),889349994)</f>
        <v>889349994</v>
      </c>
      <c r="K516" s="7">
        <v>992.8</v>
      </c>
      <c r="L516" s="8">
        <f ca="1">IFERROR(__xludf.DUMMYFUNCTION("GOOGLEFINANCE(""NSE:""&amp;D516,""price"")"),25.41)</f>
        <v>25.41</v>
      </c>
      <c r="M516" s="9">
        <f t="shared" ca="1" si="12"/>
        <v>-967.39</v>
      </c>
      <c r="N516" s="10">
        <f t="shared" ca="1" si="13"/>
        <v>-97.440572119258661</v>
      </c>
      <c r="O516" s="7">
        <f ca="1">IFERROR(__xludf.DUMMYFUNCTION("GOOGLEFINANCE(""NSE:""&amp;D516,""pe"")"),18.37)</f>
        <v>18.37</v>
      </c>
      <c r="P516" s="7">
        <f ca="1">IFERROR(__xludf.DUMMYFUNCTION("GOOGLEFINANCE(""NSE:""&amp;D516,""EPS"")"),1.38)</f>
        <v>1.38</v>
      </c>
      <c r="Q516" s="7">
        <v>13.5</v>
      </c>
      <c r="R516" s="7" t="str">
        <f ca="1">IFERROR(__xludf.DUMMYFUNCTION("IMPORTXML(E516,""/html/body/main/div[3]/div[3]/div[2]/ul/li[7]/span[2]/span"")"),"Loading...")</f>
        <v>Loading...</v>
      </c>
      <c r="S516" s="7" t="str">
        <f ca="1">IFERROR(__xludf.DUMMYFUNCTION("IMPORTXML(E516,""/html/body/main/div[3]/div[3]/div[2]/ul/li[8]/span[2]/span"")"),"Loading...")</f>
        <v>Loading...</v>
      </c>
      <c r="T516" s="4">
        <v>34.6</v>
      </c>
      <c r="U516" s="4">
        <v>22.7</v>
      </c>
      <c r="V516" s="4">
        <v>2.6</v>
      </c>
      <c r="W516" s="4">
        <v>5.7</v>
      </c>
      <c r="X516" s="4">
        <v>519.92999999999995</v>
      </c>
      <c r="Y516" s="7">
        <f t="shared" ca="1" si="14"/>
        <v>-494.51999999999992</v>
      </c>
    </row>
    <row r="517" spans="1:25" ht="15" x14ac:dyDescent="0.25">
      <c r="A517" s="4">
        <v>1033</v>
      </c>
      <c r="C517" s="12" t="s">
        <v>1577</v>
      </c>
      <c r="D517" s="12" t="s">
        <v>1578</v>
      </c>
      <c r="E517" s="5" t="str">
        <f t="shared" si="10"/>
        <v>https://www.screener.in/company/SHANKARA/consolidated/</v>
      </c>
      <c r="F517" s="4">
        <v>443059</v>
      </c>
      <c r="G517" s="4">
        <v>3832241897</v>
      </c>
      <c r="H517" s="6">
        <f t="shared" ca="1" si="11"/>
        <v>391195.25284575997</v>
      </c>
      <c r="I517" s="7" t="str">
        <f ca="1">IFERROR(__xludf.DUMMYFUNCTION("IMPORTXML(E517,""/html/body/main/div[3]/div[3]/div[2]/ul/li[5]/span[2]/span"")"),"Loading...")</f>
        <v>Loading...</v>
      </c>
      <c r="J517" s="7">
        <f ca="1">IFERROR(__xludf.DUMMYFUNCTION("GOOGLEFINANCE(""NSE:""&amp;D517,""marketcap"")"),24758408850)</f>
        <v>24758408850</v>
      </c>
      <c r="K517" s="7">
        <v>992.8</v>
      </c>
      <c r="L517" s="8">
        <f ca="1">IFERROR(__xludf.DUMMYFUNCTION("GOOGLEFINANCE(""NSE:""&amp;D517,""price"")"),1020.8)</f>
        <v>1020.8</v>
      </c>
      <c r="M517" s="9">
        <f t="shared" ca="1" si="12"/>
        <v>28</v>
      </c>
      <c r="N517" s="10">
        <f t="shared" ca="1" si="13"/>
        <v>2.8203062046736505</v>
      </c>
      <c r="O517" s="7">
        <f ca="1">IFERROR(__xludf.DUMMYFUNCTION("GOOGLEFINANCE(""NSE:""&amp;D517,""pe"")"),26.35)</f>
        <v>26.35</v>
      </c>
      <c r="P517" s="7">
        <f ca="1">IFERROR(__xludf.DUMMYFUNCTION("GOOGLEFINANCE(""NSE:""&amp;D517,""EPS"")"),38.74)</f>
        <v>38.74</v>
      </c>
      <c r="Q517" s="7">
        <v>13.5</v>
      </c>
      <c r="R517" s="7" t="str">
        <f ca="1">IFERROR(__xludf.DUMMYFUNCTION("IMPORTXML(E517,""/html/body/main/div[3]/div[3]/div[2]/ul/li[7]/span[2]/span"")"),"Loading...")</f>
        <v>Loading...</v>
      </c>
      <c r="S517" s="7" t="str">
        <f ca="1">IFERROR(__xludf.DUMMYFUNCTION("IMPORTXML(E517,""/html/body/main/div[3]/div[3]/div[2]/ul/li[8]/span[2]/span"")"),"Loading...")</f>
        <v>Loading...</v>
      </c>
      <c r="T517" s="4">
        <v>34.6</v>
      </c>
      <c r="U517" s="4">
        <v>22.7</v>
      </c>
      <c r="V517" s="4">
        <v>2.6</v>
      </c>
      <c r="W517" s="4">
        <v>5.7</v>
      </c>
      <c r="X517" s="4">
        <v>519.92999999999995</v>
      </c>
      <c r="Y517" s="7">
        <f t="shared" ca="1" si="14"/>
        <v>500.87</v>
      </c>
    </row>
    <row r="518" spans="1:25" ht="15" x14ac:dyDescent="0.25">
      <c r="A518" s="4">
        <v>281</v>
      </c>
      <c r="C518" s="12" t="s">
        <v>1579</v>
      </c>
      <c r="D518" s="12" t="s">
        <v>1580</v>
      </c>
      <c r="E518" s="5" t="str">
        <f t="shared" si="10"/>
        <v>https://www.screener.in/company/GPPL/consolidated/</v>
      </c>
      <c r="F518" s="4">
        <v>443059</v>
      </c>
      <c r="G518" s="4">
        <v>3832241897</v>
      </c>
      <c r="H518" s="6">
        <f t="shared" ca="1" si="11"/>
        <v>57828.530225730006</v>
      </c>
      <c r="I518" s="7" t="str">
        <f ca="1">IFERROR(__xludf.DUMMYFUNCTION("IMPORTXML(E518,""/html/body/main/div[3]/div[3]/div[2]/ul/li[5]/span[2]/span"")"),"Loading...")</f>
        <v>Loading...</v>
      </c>
      <c r="J518" s="7">
        <f ca="1">IFERROR(__xludf.DUMMYFUNCTION("GOOGLEFINANCE(""NSE:""&amp;D518,""marketcap"")"),72975260000)</f>
        <v>72975260000</v>
      </c>
      <c r="K518" s="7">
        <v>992.8</v>
      </c>
      <c r="L518" s="8">
        <f ca="1">IFERROR(__xludf.DUMMYFUNCTION("GOOGLEFINANCE(""NSE:""&amp;D518,""price"")"),150.9)</f>
        <v>150.9</v>
      </c>
      <c r="M518" s="9">
        <f t="shared" ca="1" si="12"/>
        <v>-841.9</v>
      </c>
      <c r="N518" s="10">
        <f t="shared" ca="1" si="13"/>
        <v>-84.800564061240934</v>
      </c>
      <c r="O518" s="7">
        <f ca="1">IFERROR(__xludf.DUMMYFUNCTION("GOOGLEFINANCE(""NSE:""&amp;D518,""pe"")"),18.64)</f>
        <v>18.64</v>
      </c>
      <c r="P518" s="7">
        <f ca="1">IFERROR(__xludf.DUMMYFUNCTION("GOOGLEFINANCE(""NSE:""&amp;D518,""EPS"")"),8.1)</f>
        <v>8.1</v>
      </c>
      <c r="Q518" s="7">
        <v>13.5</v>
      </c>
      <c r="R518" s="7" t="str">
        <f ca="1">IFERROR(__xludf.DUMMYFUNCTION("IMPORTXML(E518,""/html/body/main/div[3]/div[3]/div[2]/ul/li[7]/span[2]/span"")"),"Loading...")</f>
        <v>Loading...</v>
      </c>
      <c r="S518" s="7" t="str">
        <f ca="1">IFERROR(__xludf.DUMMYFUNCTION("IMPORTXML(E518,""/html/body/main/div[3]/div[3]/div[2]/ul/li[8]/span[2]/span"")"),"Loading...")</f>
        <v>Loading...</v>
      </c>
      <c r="T518" s="4">
        <v>34.6</v>
      </c>
      <c r="U518" s="4">
        <v>22.7</v>
      </c>
      <c r="V518" s="4">
        <v>2.6</v>
      </c>
      <c r="W518" s="4">
        <v>5.7</v>
      </c>
      <c r="X518" s="4">
        <v>519.92999999999995</v>
      </c>
      <c r="Y518" s="7">
        <f t="shared" ca="1" si="14"/>
        <v>-369.03</v>
      </c>
    </row>
    <row r="519" spans="1:25" ht="15" x14ac:dyDescent="0.25">
      <c r="A519" s="4">
        <v>743</v>
      </c>
      <c r="C519" s="12" t="s">
        <v>1581</v>
      </c>
      <c r="D519" s="12" t="s">
        <v>1582</v>
      </c>
      <c r="E519" s="5" t="str">
        <f t="shared" si="10"/>
        <v>https://www.screener.in/company/VENKEYS/consolidated/</v>
      </c>
      <c r="F519" s="4">
        <v>443059</v>
      </c>
      <c r="G519" s="4">
        <v>3832241897</v>
      </c>
      <c r="H519" s="6">
        <f t="shared" ca="1" si="11"/>
        <v>573954.86891369009</v>
      </c>
      <c r="I519" s="7" t="str">
        <f ca="1">IFERROR(__xludf.DUMMYFUNCTION("IMPORTXML(E519,""/html/body/main/div[3]/div[3]/div[2]/ul/li[5]/span[2]/span"")"),"Loading...")</f>
        <v>Loading...</v>
      </c>
      <c r="J519" s="7">
        <f ca="1">IFERROR(__xludf.DUMMYFUNCTION("GOOGLEFINANCE(""NSE:""&amp;D519,""marketcap"")"),21101535117)</f>
        <v>21101535117</v>
      </c>
      <c r="K519" s="7">
        <v>992.8</v>
      </c>
      <c r="L519" s="8">
        <f ca="1">IFERROR(__xludf.DUMMYFUNCTION("GOOGLEFINANCE(""NSE:""&amp;D519,""price"")"),1497.7)</f>
        <v>1497.7</v>
      </c>
      <c r="M519" s="9">
        <f t="shared" ca="1" si="12"/>
        <v>504.90000000000009</v>
      </c>
      <c r="N519" s="10">
        <f t="shared" ca="1" si="13"/>
        <v>50.856164383561655</v>
      </c>
      <c r="O519" s="7">
        <f ca="1">IFERROR(__xludf.DUMMYFUNCTION("GOOGLEFINANCE(""NSE:""&amp;D519,""pe"")"),48.84)</f>
        <v>48.84</v>
      </c>
      <c r="P519" s="7">
        <f ca="1">IFERROR(__xludf.DUMMYFUNCTION("GOOGLEFINANCE(""NSE:""&amp;D519,""EPS"")"),30.66)</f>
        <v>30.66</v>
      </c>
      <c r="Q519" s="7">
        <v>13.5</v>
      </c>
      <c r="R519" s="7" t="str">
        <f ca="1">IFERROR(__xludf.DUMMYFUNCTION("IMPORTXML(E519,""/html/body/main/div[3]/div[3]/div[2]/ul/li[7]/span[2]/span"")"),"Loading...")</f>
        <v>Loading...</v>
      </c>
      <c r="S519" s="7" t="str">
        <f ca="1">IFERROR(__xludf.DUMMYFUNCTION("IMPORTXML(E519,""/html/body/main/div[3]/div[3]/div[2]/ul/li[8]/span[2]/span"")"),"Loading...")</f>
        <v>Loading...</v>
      </c>
      <c r="T519" s="4">
        <v>34.6</v>
      </c>
      <c r="U519" s="4">
        <v>22.7</v>
      </c>
      <c r="V519" s="4">
        <v>2.6</v>
      </c>
      <c r="W519" s="4">
        <v>5.7</v>
      </c>
      <c r="X519" s="4">
        <v>519.92999999999995</v>
      </c>
      <c r="Y519" s="7">
        <f t="shared" ca="1" si="14"/>
        <v>977.7700000000001</v>
      </c>
    </row>
    <row r="520" spans="1:25" ht="15" x14ac:dyDescent="0.25">
      <c r="A520" s="4">
        <v>1193</v>
      </c>
      <c r="C520" s="12" t="s">
        <v>1583</v>
      </c>
      <c r="D520" s="12" t="s">
        <v>1584</v>
      </c>
      <c r="E520" s="5" t="str">
        <f t="shared" si="10"/>
        <v>https://www.screener.in/company/THEINVEST/consolidated/</v>
      </c>
      <c r="F520" s="4">
        <v>443059</v>
      </c>
      <c r="G520" s="4">
        <v>3832241897</v>
      </c>
      <c r="H520" s="6">
        <f t="shared" ca="1" si="11"/>
        <v>59208.137308650003</v>
      </c>
      <c r="I520" s="7" t="str">
        <f ca="1">IFERROR(__xludf.DUMMYFUNCTION("IMPORTXML(E520,""/html/body/main/div[3]/div[3]/div[2]/ul/li[5]/span[2]/span"")"),"Loading...")</f>
        <v>Loading...</v>
      </c>
      <c r="J520" s="7">
        <f ca="1">IFERROR(__xludf.DUMMYFUNCTION("GOOGLEFINANCE(""NSE:""&amp;D520,""marketcap"")"),8149838718)</f>
        <v>8149838718</v>
      </c>
      <c r="K520" s="7">
        <v>992.8</v>
      </c>
      <c r="L520" s="8">
        <f ca="1">IFERROR(__xludf.DUMMYFUNCTION("GOOGLEFINANCE(""NSE:""&amp;D520,""price"")"),154.5)</f>
        <v>154.5</v>
      </c>
      <c r="M520" s="9">
        <f t="shared" ca="1" si="12"/>
        <v>-838.3</v>
      </c>
      <c r="N520" s="10">
        <f t="shared" ca="1" si="13"/>
        <v>-84.437953263497178</v>
      </c>
      <c r="O520" s="7">
        <f ca="1">IFERROR(__xludf.DUMMYFUNCTION("GOOGLEFINANCE(""NSE:""&amp;D520,""pe"")"),20.54)</f>
        <v>20.54</v>
      </c>
      <c r="P520" s="7">
        <f ca="1">IFERROR(__xludf.DUMMYFUNCTION("GOOGLEFINANCE(""NSE:""&amp;D520,""EPS"")"),7.52)</f>
        <v>7.52</v>
      </c>
      <c r="Q520" s="7">
        <v>13.5</v>
      </c>
      <c r="R520" s="7" t="str">
        <f ca="1">IFERROR(__xludf.DUMMYFUNCTION("IMPORTXML(E520,""/html/body/main/div[3]/div[3]/div[2]/ul/li[7]/span[2]/span"")"),"Loading...")</f>
        <v>Loading...</v>
      </c>
      <c r="S520" s="7" t="str">
        <f ca="1">IFERROR(__xludf.DUMMYFUNCTION("IMPORTXML(E520,""/html/body/main/div[3]/div[3]/div[2]/ul/li[8]/span[2]/span"")"),"Loading...")</f>
        <v>Loading...</v>
      </c>
      <c r="T520" s="4">
        <v>34.6</v>
      </c>
      <c r="U520" s="4">
        <v>22.7</v>
      </c>
      <c r="V520" s="4">
        <v>2.6</v>
      </c>
      <c r="W520" s="4">
        <v>5.7</v>
      </c>
      <c r="X520" s="4">
        <v>519.92999999999995</v>
      </c>
      <c r="Y520" s="7">
        <f t="shared" ca="1" si="14"/>
        <v>-365.42999999999995</v>
      </c>
    </row>
    <row r="521" spans="1:25" ht="15" x14ac:dyDescent="0.25">
      <c r="A521" s="4">
        <v>806</v>
      </c>
      <c r="C521" s="12" t="s">
        <v>1585</v>
      </c>
      <c r="D521" s="12" t="s">
        <v>1586</v>
      </c>
      <c r="E521" s="5" t="str">
        <f t="shared" si="10"/>
        <v>https://www.screener.in/company/PARACABLES/consolidated/</v>
      </c>
      <c r="F521" s="4">
        <v>443059</v>
      </c>
      <c r="G521" s="4">
        <v>3832241897</v>
      </c>
      <c r="H521" s="6">
        <f t="shared" ca="1" si="11"/>
        <v>17896.569658990004</v>
      </c>
      <c r="I521" s="7" t="str">
        <f ca="1">IFERROR(__xludf.DUMMYFUNCTION("IMPORTXML(E521,""/html/body/main/div[3]/div[3]/div[2]/ul/li[5]/span[2]/span"")"),"Loading...")</f>
        <v>Loading...</v>
      </c>
      <c r="J521" s="7">
        <f ca="1">IFERROR(__xludf.DUMMYFUNCTION("GOOGLEFINANCE(""NSE:""&amp;D521,""marketcap"")"),14257240000)</f>
        <v>14257240000</v>
      </c>
      <c r="K521" s="7">
        <v>992.8</v>
      </c>
      <c r="L521" s="8">
        <f ca="1">IFERROR(__xludf.DUMMYFUNCTION("GOOGLEFINANCE(""NSE:""&amp;D521,""price"")"),46.7)</f>
        <v>46.7</v>
      </c>
      <c r="M521" s="9">
        <f t="shared" ca="1" si="12"/>
        <v>-946.09999999999991</v>
      </c>
      <c r="N521" s="10">
        <f t="shared" ca="1" si="13"/>
        <v>-95.296132151490724</v>
      </c>
      <c r="O521" s="7">
        <f ca="1">IFERROR(__xludf.DUMMYFUNCTION("GOOGLEFINANCE(""NSE:""&amp;D521,""pe"")"),17.69)</f>
        <v>17.690000000000001</v>
      </c>
      <c r="P521" s="7">
        <f ca="1">IFERROR(__xludf.DUMMYFUNCTION("GOOGLEFINANCE(""NSE:""&amp;D521,""EPS"")"),2.64)</f>
        <v>2.64</v>
      </c>
      <c r="Q521" s="7">
        <v>13.5</v>
      </c>
      <c r="R521" s="7" t="str">
        <f ca="1">IFERROR(__xludf.DUMMYFUNCTION("IMPORTXML(E521,""/html/body/main/div[3]/div[3]/div[2]/ul/li[7]/span[2]/span"")"),"Loading...")</f>
        <v>Loading...</v>
      </c>
      <c r="S521" s="7" t="str">
        <f ca="1">IFERROR(__xludf.DUMMYFUNCTION("IMPORTXML(E521,""/html/body/main/div[3]/div[3]/div[2]/ul/li[8]/span[2]/span"")"),"Loading...")</f>
        <v>Loading...</v>
      </c>
      <c r="T521" s="4">
        <v>34.6</v>
      </c>
      <c r="U521" s="4">
        <v>22.7</v>
      </c>
      <c r="V521" s="4">
        <v>2.6</v>
      </c>
      <c r="W521" s="4">
        <v>5.7</v>
      </c>
      <c r="X521" s="4">
        <v>519.92999999999995</v>
      </c>
      <c r="Y521" s="7">
        <f t="shared" ca="1" si="14"/>
        <v>-473.22999999999996</v>
      </c>
    </row>
    <row r="522" spans="1:25" ht="15" x14ac:dyDescent="0.25">
      <c r="A522" s="4">
        <v>272</v>
      </c>
      <c r="C522" s="12" t="s">
        <v>1587</v>
      </c>
      <c r="D522" s="12" t="s">
        <v>1588</v>
      </c>
      <c r="E522" s="5" t="str">
        <f t="shared" si="10"/>
        <v>https://www.screener.in/company/GRAPHITE/consolidated/</v>
      </c>
      <c r="F522" s="4">
        <v>443059</v>
      </c>
      <c r="G522" s="4">
        <v>3832241897</v>
      </c>
      <c r="H522" s="6">
        <f t="shared" ca="1" si="11"/>
        <v>198126.90607490001</v>
      </c>
      <c r="I522" s="7" t="str">
        <f ca="1">IFERROR(__xludf.DUMMYFUNCTION("IMPORTXML(E522,""/html/body/main/div[3]/div[3]/div[2]/ul/li[5]/span[2]/span"")"),"Loading...")</f>
        <v>Loading...</v>
      </c>
      <c r="J522" s="7">
        <f ca="1">IFERROR(__xludf.DUMMYFUNCTION("GOOGLEFINANCE(""NSE:""&amp;D522,""marketcap"")"),101009185200)</f>
        <v>101009185200</v>
      </c>
      <c r="K522" s="7">
        <v>992.8</v>
      </c>
      <c r="L522" s="8">
        <f ca="1">IFERROR(__xludf.DUMMYFUNCTION("GOOGLEFINANCE(""NSE:""&amp;D522,""price"")"),517)</f>
        <v>517</v>
      </c>
      <c r="M522" s="9">
        <f t="shared" ca="1" si="12"/>
        <v>-475.79999999999995</v>
      </c>
      <c r="N522" s="10">
        <f t="shared" ca="1" si="13"/>
        <v>-47.925060435132956</v>
      </c>
      <c r="O522" s="7">
        <f ca="1">IFERROR(__xludf.DUMMYFUNCTION("GOOGLEFINANCE(""NSE:""&amp;D522,""pe"")"),28.09)</f>
        <v>28.09</v>
      </c>
      <c r="P522" s="7">
        <f ca="1">IFERROR(__xludf.DUMMYFUNCTION("GOOGLEFINANCE(""NSE:""&amp;D522,""EPS"")"),18.41)</f>
        <v>18.41</v>
      </c>
      <c r="Q522" s="7">
        <v>13.5</v>
      </c>
      <c r="R522" s="7" t="str">
        <f ca="1">IFERROR(__xludf.DUMMYFUNCTION("IMPORTXML(E522,""/html/body/main/div[3]/div[3]/div[2]/ul/li[7]/span[2]/span"")"),"Loading...")</f>
        <v>Loading...</v>
      </c>
      <c r="S522" s="7" t="str">
        <f ca="1">IFERROR(__xludf.DUMMYFUNCTION("IMPORTXML(E522,""/html/body/main/div[3]/div[3]/div[2]/ul/li[8]/span[2]/span"")"),"Loading...")</f>
        <v>Loading...</v>
      </c>
      <c r="T522" s="4">
        <v>34.6</v>
      </c>
      <c r="U522" s="4">
        <v>22.7</v>
      </c>
      <c r="V522" s="4">
        <v>2.6</v>
      </c>
      <c r="W522" s="4">
        <v>5.7</v>
      </c>
      <c r="X522" s="4">
        <v>519.92999999999995</v>
      </c>
      <c r="Y522" s="7">
        <f t="shared" ca="1" si="14"/>
        <v>-2.92999999999995</v>
      </c>
    </row>
    <row r="523" spans="1:25" ht="15" x14ac:dyDescent="0.25">
      <c r="A523" s="4">
        <v>1422</v>
      </c>
      <c r="C523" s="12" t="s">
        <v>1589</v>
      </c>
      <c r="D523" s="12" t="s">
        <v>1590</v>
      </c>
      <c r="E523" s="5" t="str">
        <f t="shared" si="10"/>
        <v>https://www.screener.in/company/ALANKIT/consolidated/</v>
      </c>
      <c r="F523" s="4">
        <v>443059</v>
      </c>
      <c r="G523" s="4">
        <v>3832241897</v>
      </c>
      <c r="H523" s="6">
        <f t="shared" ca="1" si="11"/>
        <v>5365.1386558000004</v>
      </c>
      <c r="I523" s="7" t="str">
        <f ca="1">IFERROR(__xludf.DUMMYFUNCTION("IMPORTXML(E523,""/html/body/main/div[3]/div[3]/div[2]/ul/li[5]/span[2]/span"")"),"Loading...")</f>
        <v>Loading...</v>
      </c>
      <c r="J523" s="7">
        <f ca="1">IFERROR(__xludf.DUMMYFUNCTION("GOOGLEFINANCE(""NSE:""&amp;D523,""marketcap"")"),3782816344)</f>
        <v>3782816344</v>
      </c>
      <c r="K523" s="7">
        <v>992.8</v>
      </c>
      <c r="L523" s="8">
        <f ca="1">IFERROR(__xludf.DUMMYFUNCTION("GOOGLEFINANCE(""NSE:""&amp;D523,""price"")"),14)</f>
        <v>14</v>
      </c>
      <c r="M523" s="9">
        <f t="shared" ca="1" si="12"/>
        <v>-978.8</v>
      </c>
      <c r="N523" s="10">
        <f t="shared" ca="1" si="13"/>
        <v>-98.589846897663179</v>
      </c>
      <c r="O523" s="7">
        <f ca="1">IFERROR(__xludf.DUMMYFUNCTION("GOOGLEFINANCE(""NSE:""&amp;D523,""pe"")"),21.21)</f>
        <v>21.21</v>
      </c>
      <c r="P523" s="7">
        <f ca="1">IFERROR(__xludf.DUMMYFUNCTION("GOOGLEFINANCE(""NSE:""&amp;D523,""EPS"")"),0.66)</f>
        <v>0.66</v>
      </c>
      <c r="Q523" s="7">
        <v>13.5</v>
      </c>
      <c r="R523" s="7" t="str">
        <f ca="1">IFERROR(__xludf.DUMMYFUNCTION("IMPORTXML(E523,""/html/body/main/div[3]/div[3]/div[2]/ul/li[7]/span[2]/span"")"),"Loading...")</f>
        <v>Loading...</v>
      </c>
      <c r="S523" s="7" t="str">
        <f ca="1">IFERROR(__xludf.DUMMYFUNCTION("IMPORTXML(E523,""/html/body/main/div[3]/div[3]/div[2]/ul/li[8]/span[2]/span"")"),"Loading...")</f>
        <v>Loading...</v>
      </c>
      <c r="T523" s="4">
        <v>34.6</v>
      </c>
      <c r="U523" s="4">
        <v>22.7</v>
      </c>
      <c r="V523" s="4">
        <v>2.6</v>
      </c>
      <c r="W523" s="4">
        <v>5.7</v>
      </c>
      <c r="X523" s="4">
        <v>519.92999999999995</v>
      </c>
      <c r="Y523" s="7">
        <f t="shared" ca="1" si="14"/>
        <v>-505.92999999999995</v>
      </c>
    </row>
    <row r="524" spans="1:25" ht="15" x14ac:dyDescent="0.25">
      <c r="A524" s="4">
        <v>837</v>
      </c>
      <c r="C524" s="12" t="s">
        <v>1591</v>
      </c>
      <c r="D524" s="12" t="s">
        <v>1592</v>
      </c>
      <c r="E524" s="5" t="str">
        <f t="shared" si="10"/>
        <v>https://www.screener.in/company/SPAL/consolidated/</v>
      </c>
      <c r="F524" s="4">
        <v>443059</v>
      </c>
      <c r="G524" s="4">
        <v>3832241897</v>
      </c>
      <c r="H524" s="6">
        <f t="shared" ca="1" si="11"/>
        <v>283834.99610130501</v>
      </c>
      <c r="I524" s="7" t="str">
        <f ca="1">IFERROR(__xludf.DUMMYFUNCTION("IMPORTXML(E524,""/html/body/main/div[3]/div[3]/div[2]/ul/li[5]/span[2]/span"")"),"Loading...")</f>
        <v>Loading...</v>
      </c>
      <c r="J524" s="7">
        <f ca="1">IFERROR(__xludf.DUMMYFUNCTION("GOOGLEFINANCE(""NSE:""&amp;D524,""marketcap"")"),18584834802)</f>
        <v>18584834802</v>
      </c>
      <c r="K524" s="7">
        <v>992.8</v>
      </c>
      <c r="L524" s="8">
        <f ca="1">IFERROR(__xludf.DUMMYFUNCTION("GOOGLEFINANCE(""NSE:""&amp;D524,""price"")"),740.65)</f>
        <v>740.65</v>
      </c>
      <c r="M524" s="9">
        <f t="shared" ca="1" si="12"/>
        <v>-252.14999999999998</v>
      </c>
      <c r="N524" s="10">
        <f t="shared" ca="1" si="13"/>
        <v>-25.397864625302173</v>
      </c>
      <c r="O524" s="7">
        <f ca="1">IFERROR(__xludf.DUMMYFUNCTION("GOOGLEFINANCE(""NSE:""&amp;D524,""pe"")"),19.04)</f>
        <v>19.04</v>
      </c>
      <c r="P524" s="7">
        <f ca="1">IFERROR(__xludf.DUMMYFUNCTION("GOOGLEFINANCE(""NSE:""&amp;D524,""EPS"")"),38.9)</f>
        <v>38.9</v>
      </c>
      <c r="Q524" s="7">
        <v>13.5</v>
      </c>
      <c r="R524" s="7" t="str">
        <f ca="1">IFERROR(__xludf.DUMMYFUNCTION("IMPORTXML(E524,""/html/body/main/div[3]/div[3]/div[2]/ul/li[7]/span[2]/span"")"),"Loading...")</f>
        <v>Loading...</v>
      </c>
      <c r="S524" s="7" t="str">
        <f ca="1">IFERROR(__xludf.DUMMYFUNCTION("IMPORTXML(E524,""/html/body/main/div[3]/div[3]/div[2]/ul/li[8]/span[2]/span"")"),"Loading...")</f>
        <v>Loading...</v>
      </c>
      <c r="T524" s="4">
        <v>34.6</v>
      </c>
      <c r="U524" s="4">
        <v>22.7</v>
      </c>
      <c r="V524" s="4">
        <v>2.6</v>
      </c>
      <c r="W524" s="4">
        <v>5.7</v>
      </c>
      <c r="X524" s="4">
        <v>519.92999999999995</v>
      </c>
      <c r="Y524" s="7">
        <f t="shared" ca="1" si="14"/>
        <v>220.72000000000003</v>
      </c>
    </row>
    <row r="525" spans="1:25" ht="15" x14ac:dyDescent="0.25">
      <c r="A525" s="4">
        <v>2237</v>
      </c>
      <c r="C525" s="12" t="s">
        <v>1593</v>
      </c>
      <c r="D525" s="12" t="s">
        <v>1594</v>
      </c>
      <c r="E525" s="5" t="str">
        <f t="shared" si="10"/>
        <v>https://www.screener.in/company/AAREYDRUGS/consolidated/</v>
      </c>
      <c r="F525" s="4">
        <v>443059</v>
      </c>
      <c r="G525" s="4">
        <v>3832241897</v>
      </c>
      <c r="H525" s="6">
        <f t="shared" ca="1" si="11"/>
        <v>26082.238350981999</v>
      </c>
      <c r="I525" s="7" t="str">
        <f ca="1">IFERROR(__xludf.DUMMYFUNCTION("IMPORTXML(E525,""/html/body/main/div[3]/div[3]/div[2]/ul/li[5]/span[2]/span"")"),"Loading...")</f>
        <v>Loading...</v>
      </c>
      <c r="J525" s="7">
        <f ca="1">IFERROR(__xludf.DUMMYFUNCTION("GOOGLEFINANCE(""NSE:""&amp;D525,""marketcap"")"),1967066790)</f>
        <v>1967066790</v>
      </c>
      <c r="K525" s="7">
        <v>992.8</v>
      </c>
      <c r="L525" s="8">
        <f ca="1">IFERROR(__xludf.DUMMYFUNCTION("GOOGLEFINANCE(""NSE:""&amp;D525,""price"")"),68.06)</f>
        <v>68.06</v>
      </c>
      <c r="M525" s="9">
        <f t="shared" ca="1" si="12"/>
        <v>-924.74</v>
      </c>
      <c r="N525" s="10">
        <f t="shared" ca="1" si="13"/>
        <v>-93.144641418211123</v>
      </c>
      <c r="O525" s="7">
        <f ca="1">IFERROR(__xludf.DUMMYFUNCTION("GOOGLEFINANCE(""NSE:""&amp;D525,""pe"")"),51.17)</f>
        <v>51.17</v>
      </c>
      <c r="P525" s="7">
        <f ca="1">IFERROR(__xludf.DUMMYFUNCTION("GOOGLEFINANCE(""NSE:""&amp;D525,""EPS"")"),1.33)</f>
        <v>1.33</v>
      </c>
      <c r="Q525" s="7">
        <v>13.5</v>
      </c>
      <c r="R525" s="7" t="str">
        <f ca="1">IFERROR(__xludf.DUMMYFUNCTION("IMPORTXML(E525,""/html/body/main/div[3]/div[3]/div[2]/ul/li[7]/span[2]/span"")"),"Loading...")</f>
        <v>Loading...</v>
      </c>
      <c r="S525" s="7" t="str">
        <f ca="1">IFERROR(__xludf.DUMMYFUNCTION("IMPORTXML(E525,""/html/body/main/div[3]/div[3]/div[2]/ul/li[8]/span[2]/span"")"),"Loading...")</f>
        <v>Loading...</v>
      </c>
      <c r="T525" s="4">
        <v>34.6</v>
      </c>
      <c r="U525" s="4">
        <v>22.7</v>
      </c>
      <c r="V525" s="4">
        <v>2.6</v>
      </c>
      <c r="W525" s="4">
        <v>5.7</v>
      </c>
      <c r="X525" s="4">
        <v>519.92999999999995</v>
      </c>
      <c r="Y525" s="7">
        <f t="shared" ca="1" si="14"/>
        <v>-451.86999999999995</v>
      </c>
    </row>
    <row r="526" spans="1:25" ht="15" x14ac:dyDescent="0.25">
      <c r="A526" s="4">
        <v>3743</v>
      </c>
      <c r="C526" s="12" t="s">
        <v>1595</v>
      </c>
      <c r="D526" s="12" t="s">
        <v>1596</v>
      </c>
      <c r="E526" s="5" t="str">
        <f t="shared" si="10"/>
        <v>https://www.screener.in/company/ARENTERP/consolidated/</v>
      </c>
      <c r="F526" s="4">
        <v>443059</v>
      </c>
      <c r="G526" s="4">
        <v>3832241897</v>
      </c>
      <c r="H526" s="6">
        <f t="shared" ca="1" si="11"/>
        <v>18643.856828904998</v>
      </c>
      <c r="I526" s="7">
        <f ca="1">IFERROR(__xludf.DUMMYFUNCTION("IMPORTXML(E526,""/html/body/main/div[3]/div[3]/div[2]/ul/li[5]/span[2]/span"")"),70.5)</f>
        <v>70.5</v>
      </c>
      <c r="J526" s="7">
        <f ca="1">IFERROR(__xludf.DUMMYFUNCTION("GOOGLEFINANCE(""NSE:""&amp;D526,""marketcap"")"),151218800)</f>
        <v>151218800</v>
      </c>
      <c r="K526" s="7">
        <v>992.8</v>
      </c>
      <c r="L526" s="8">
        <f ca="1">IFERROR(__xludf.DUMMYFUNCTION("GOOGLEFINANCE(""NSE:""&amp;D526,""price"")"),48.65)</f>
        <v>48.65</v>
      </c>
      <c r="M526" s="9">
        <f t="shared" ca="1" si="12"/>
        <v>-944.15</v>
      </c>
      <c r="N526" s="10">
        <f t="shared" ca="1" si="13"/>
        <v>-95.09971796937954</v>
      </c>
      <c r="O526" s="7">
        <f ca="1">IFERROR(__xludf.DUMMYFUNCTION("GOOGLEFINANCE(""NSE:""&amp;D526,""pe"")"),180.19)</f>
        <v>180.19</v>
      </c>
      <c r="P526" s="7">
        <f ca="1">IFERROR(__xludf.DUMMYFUNCTION("GOOGLEFINANCE(""NSE:""&amp;D526,""EPS"")"),0.27)</f>
        <v>0.27</v>
      </c>
      <c r="Q526" s="7">
        <v>13.5</v>
      </c>
      <c r="R526" s="7" t="str">
        <f ca="1">IFERROR(__xludf.DUMMYFUNCTION("IMPORTXML(E526,""/html/body/main/div[3]/div[3]/div[2]/ul/li[7]/span[2]/span"")"),"Loading...")</f>
        <v>Loading...</v>
      </c>
      <c r="S526" s="7" t="str">
        <f ca="1">IFERROR(__xludf.DUMMYFUNCTION("IMPORTXML(E526,""/html/body/main/div[3]/div[3]/div[2]/ul/li[8]/span[2]/span"")"),"Loading...")</f>
        <v>Loading...</v>
      </c>
      <c r="T526" s="4">
        <v>34.6</v>
      </c>
      <c r="U526" s="4">
        <v>22.7</v>
      </c>
      <c r="V526" s="4">
        <v>2.6</v>
      </c>
      <c r="W526" s="4">
        <v>5.7</v>
      </c>
      <c r="X526" s="4">
        <v>519.92999999999995</v>
      </c>
      <c r="Y526" s="7">
        <f t="shared" ca="1" si="14"/>
        <v>-471.28</v>
      </c>
    </row>
    <row r="527" spans="1:25" ht="15" x14ac:dyDescent="0.25">
      <c r="A527" s="4">
        <v>2047</v>
      </c>
      <c r="C527" s="12" t="s">
        <v>1597</v>
      </c>
      <c r="D527" s="12" t="s">
        <v>1598</v>
      </c>
      <c r="E527" s="5" t="str">
        <f t="shared" si="10"/>
        <v>https://www.screener.in/company/GVPTECH/consolidated/</v>
      </c>
      <c r="F527" s="4">
        <v>443059</v>
      </c>
      <c r="G527" s="4">
        <v>3832241897</v>
      </c>
      <c r="H527" s="6">
        <f t="shared" ca="1" si="11"/>
        <v>3851.4031064850005</v>
      </c>
      <c r="I527" s="7" t="str">
        <f ca="1">IFERROR(__xludf.DUMMYFUNCTION("IMPORTXML(E527,""/html/body/main/div[3]/div[3]/div[2]/ul/li[5]/span[2]/span"")"),"Loading...")</f>
        <v>Loading...</v>
      </c>
      <c r="J527" s="7">
        <f ca="1">IFERROR(__xludf.DUMMYFUNCTION("GOOGLEFINANCE(""NSE:""&amp;D527,""marketcap"")"),1734740582)</f>
        <v>1734740582</v>
      </c>
      <c r="K527" s="7">
        <v>992.8</v>
      </c>
      <c r="L527" s="8">
        <f ca="1">IFERROR(__xludf.DUMMYFUNCTION("GOOGLEFINANCE(""NSE:""&amp;D527,""price"")"),10.05)</f>
        <v>10.050000000000001</v>
      </c>
      <c r="M527" s="9">
        <f t="shared" ca="1" si="12"/>
        <v>-982.75</v>
      </c>
      <c r="N527" s="10">
        <f t="shared" ca="1" si="13"/>
        <v>-98.987711522965355</v>
      </c>
      <c r="O527" s="7" t="str">
        <f ca="1">IFERROR(__xludf.DUMMYFUNCTION("GOOGLEFINANCE(""NSE:""&amp;D527,""pe"")"),"#N/A")</f>
        <v>#N/A</v>
      </c>
      <c r="P527" s="7">
        <f ca="1">IFERROR(__xludf.DUMMYFUNCTION("GOOGLEFINANCE(""NSE:""&amp;D527,""EPS"")"),-0.04)</f>
        <v>-0.04</v>
      </c>
      <c r="Q527" s="7">
        <v>13.5</v>
      </c>
      <c r="R527" s="7" t="str">
        <f ca="1">IFERROR(__xludf.DUMMYFUNCTION("IMPORTXML(E527,""/html/body/main/div[3]/div[3]/div[2]/ul/li[7]/span[2]/span"")"),"Loading...")</f>
        <v>Loading...</v>
      </c>
      <c r="S527" s="7" t="str">
        <f ca="1">IFERROR(__xludf.DUMMYFUNCTION("IMPORTXML(E527,""/html/body/main/div[3]/div[3]/div[2]/ul/li[8]/span[2]/span"")"),"Loading...")</f>
        <v>Loading...</v>
      </c>
      <c r="T527" s="4">
        <v>34.6</v>
      </c>
      <c r="U527" s="4">
        <v>22.7</v>
      </c>
      <c r="V527" s="4">
        <v>2.6</v>
      </c>
      <c r="W527" s="4">
        <v>5.7</v>
      </c>
      <c r="X527" s="4">
        <v>519.92999999999995</v>
      </c>
      <c r="Y527" s="7">
        <f t="shared" ca="1" si="14"/>
        <v>-509.87999999999994</v>
      </c>
    </row>
    <row r="528" spans="1:25" ht="15" x14ac:dyDescent="0.25">
      <c r="A528" s="4">
        <v>2986</v>
      </c>
      <c r="C528" s="12" t="s">
        <v>1599</v>
      </c>
      <c r="D528" s="12" t="s">
        <v>1600</v>
      </c>
      <c r="E528" s="5" t="str">
        <f t="shared" si="10"/>
        <v>https://www.screener.in/company/AMBICAAGAR/consolidated/</v>
      </c>
      <c r="F528" s="4">
        <v>443059</v>
      </c>
      <c r="G528" s="4">
        <v>3832241897</v>
      </c>
      <c r="H528" s="6">
        <f t="shared" ca="1" si="11"/>
        <v>10408.368992252001</v>
      </c>
      <c r="I528" s="7" t="str">
        <f ca="1">IFERROR(__xludf.DUMMYFUNCTION("IMPORTXML(E528,""/html/body/main/div[3]/div[3]/div[2]/ul/li[5]/span[2]/span"")"),"Loading...")</f>
        <v>Loading...</v>
      </c>
      <c r="J528" s="7">
        <f ca="1">IFERROR(__xludf.DUMMYFUNCTION("GOOGLEFINANCE(""NSE:""&amp;D528,""marketcap"")"),466538181)</f>
        <v>466538181</v>
      </c>
      <c r="K528" s="7">
        <v>992.8</v>
      </c>
      <c r="L528" s="8">
        <f ca="1">IFERROR(__xludf.DUMMYFUNCTION("GOOGLEFINANCE(""NSE:""&amp;D528,""price"")"),27.16)</f>
        <v>27.16</v>
      </c>
      <c r="M528" s="9">
        <f t="shared" ca="1" si="12"/>
        <v>-965.64</v>
      </c>
      <c r="N528" s="10">
        <f t="shared" ca="1" si="13"/>
        <v>-97.264302981466571</v>
      </c>
      <c r="O528" s="7">
        <f ca="1">IFERROR(__xludf.DUMMYFUNCTION("GOOGLEFINANCE(""NSE:""&amp;D528,""pe"")"),92.59)</f>
        <v>92.59</v>
      </c>
      <c r="P528" s="7">
        <f ca="1">IFERROR(__xludf.DUMMYFUNCTION("GOOGLEFINANCE(""NSE:""&amp;D528,""EPS"")"),0.29)</f>
        <v>0.28999999999999998</v>
      </c>
      <c r="Q528" s="7">
        <v>13.5</v>
      </c>
      <c r="R528" s="7" t="str">
        <f ca="1">IFERROR(__xludf.DUMMYFUNCTION("IMPORTXML(E528,""/html/body/main/div[3]/div[3]/div[2]/ul/li[7]/span[2]/span"")"),"Loading...")</f>
        <v>Loading...</v>
      </c>
      <c r="S528" s="7" t="str">
        <f ca="1">IFERROR(__xludf.DUMMYFUNCTION("IMPORTXML(E528,""/html/body/main/div[3]/div[3]/div[2]/ul/li[8]/span[2]/span"")"),"Loading...")</f>
        <v>Loading...</v>
      </c>
      <c r="T528" s="4">
        <v>34.6</v>
      </c>
      <c r="U528" s="4">
        <v>22.7</v>
      </c>
      <c r="V528" s="4">
        <v>2.6</v>
      </c>
      <c r="W528" s="4">
        <v>5.7</v>
      </c>
      <c r="X528" s="4">
        <v>519.92999999999995</v>
      </c>
      <c r="Y528" s="7">
        <f t="shared" ca="1" si="14"/>
        <v>-492.76999999999992</v>
      </c>
    </row>
    <row r="529" spans="1:25" ht="15" x14ac:dyDescent="0.25">
      <c r="A529" s="4">
        <v>566</v>
      </c>
      <c r="C529" s="12" t="s">
        <v>1601</v>
      </c>
      <c r="D529" s="12" t="s">
        <v>1602</v>
      </c>
      <c r="E529" s="5" t="str">
        <f t="shared" si="10"/>
        <v>https://www.screener.in/company/EMSLIMITED/consolidated/</v>
      </c>
      <c r="F529" s="4">
        <v>443059</v>
      </c>
      <c r="G529" s="4">
        <v>3832241897</v>
      </c>
      <c r="H529" s="6">
        <f t="shared" ca="1" si="11"/>
        <v>221886.80583629999</v>
      </c>
      <c r="I529" s="7" t="str">
        <f ca="1">IFERROR(__xludf.DUMMYFUNCTION("IMPORTXML(E529,""/html/body/main/div[3]/div[3]/div[2]/ul/li[5]/span[2]/span"")"),"Loading...")</f>
        <v>Loading...</v>
      </c>
      <c r="J529" s="7">
        <f ca="1">IFERROR(__xludf.DUMMYFUNCTION("GOOGLEFINANCE(""NSE:""&amp;D529,""marketcap"")"),32007483351)</f>
        <v>32007483351</v>
      </c>
      <c r="K529" s="7">
        <v>992.8</v>
      </c>
      <c r="L529" s="8">
        <f ca="1">IFERROR(__xludf.DUMMYFUNCTION("GOOGLEFINANCE(""NSE:""&amp;D529,""price"")"),579)</f>
        <v>579</v>
      </c>
      <c r="M529" s="9">
        <f t="shared" ca="1" si="12"/>
        <v>-413.79999999999995</v>
      </c>
      <c r="N529" s="10">
        <f t="shared" ca="1" si="13"/>
        <v>-41.680096696212729</v>
      </c>
      <c r="O529" s="7">
        <f ca="1">IFERROR(__xludf.DUMMYFUNCTION("GOOGLEFINANCE(""NSE:""&amp;D529,""pe"")"),17.41)</f>
        <v>17.41</v>
      </c>
      <c r="P529" s="7">
        <f ca="1">IFERROR(__xludf.DUMMYFUNCTION("GOOGLEFINANCE(""NSE:""&amp;D529,""EPS"")"),33.25)</f>
        <v>33.25</v>
      </c>
      <c r="Q529" s="7">
        <v>13.5</v>
      </c>
      <c r="R529" s="7" t="str">
        <f ca="1">IFERROR(__xludf.DUMMYFUNCTION("IMPORTXML(E529,""/html/body/main/div[3]/div[3]/div[2]/ul/li[7]/span[2]/span"")"),"Loading...")</f>
        <v>Loading...</v>
      </c>
      <c r="S529" s="7" t="str">
        <f ca="1">IFERROR(__xludf.DUMMYFUNCTION("IMPORTXML(E529,""/html/body/main/div[3]/div[3]/div[2]/ul/li[8]/span[2]/span"")"),"Loading...")</f>
        <v>Loading...</v>
      </c>
      <c r="T529" s="4">
        <v>34.6</v>
      </c>
      <c r="U529" s="4">
        <v>22.7</v>
      </c>
      <c r="V529" s="4">
        <v>2.6</v>
      </c>
      <c r="W529" s="4">
        <v>5.7</v>
      </c>
      <c r="X529" s="4">
        <v>519.92999999999995</v>
      </c>
      <c r="Y529" s="7">
        <f t="shared" ca="1" si="14"/>
        <v>59.07000000000005</v>
      </c>
    </row>
    <row r="530" spans="1:25" ht="15" x14ac:dyDescent="0.25">
      <c r="A530" s="4">
        <v>513</v>
      </c>
      <c r="C530" s="12" t="s">
        <v>1603</v>
      </c>
      <c r="D530" s="12" t="s">
        <v>1604</v>
      </c>
      <c r="E530" s="5" t="str">
        <f t="shared" si="10"/>
        <v>https://www.screener.in/company/HERITGFOOD/consolidated/</v>
      </c>
      <c r="F530" s="4">
        <v>443059</v>
      </c>
      <c r="G530" s="4">
        <v>3832241897</v>
      </c>
      <c r="H530" s="6">
        <f t="shared" ca="1" si="11"/>
        <v>180766.85028148998</v>
      </c>
      <c r="I530" s="7" t="str">
        <f ca="1">IFERROR(__xludf.DUMMYFUNCTION("IMPORTXML(E530,""/html/body/main/div[3]/div[3]/div[2]/ul/li[5]/span[2]/span"")"),"Loading...")</f>
        <v>Loading...</v>
      </c>
      <c r="J530" s="7">
        <f ca="1">IFERROR(__xludf.DUMMYFUNCTION("GOOGLEFINANCE(""NSE:""&amp;D530,""marketcap"")"),43771874332)</f>
        <v>43771874332</v>
      </c>
      <c r="K530" s="7">
        <v>992.8</v>
      </c>
      <c r="L530" s="8">
        <f ca="1">IFERROR(__xludf.DUMMYFUNCTION("GOOGLEFINANCE(""NSE:""&amp;D530,""price"")"),471.7)</f>
        <v>471.7</v>
      </c>
      <c r="M530" s="9">
        <f t="shared" ca="1" si="12"/>
        <v>-521.09999999999991</v>
      </c>
      <c r="N530" s="10">
        <f t="shared" ca="1" si="13"/>
        <v>-52.487912973408534</v>
      </c>
      <c r="O530" s="7">
        <f ca="1">IFERROR(__xludf.DUMMYFUNCTION("GOOGLEFINANCE(""NSE:""&amp;D530,""pe"")"),25.69)</f>
        <v>25.69</v>
      </c>
      <c r="P530" s="7">
        <f ca="1">IFERROR(__xludf.DUMMYFUNCTION("GOOGLEFINANCE(""NSE:""&amp;D530,""EPS"")"),18.36)</f>
        <v>18.36</v>
      </c>
      <c r="Q530" s="7">
        <v>13.5</v>
      </c>
      <c r="R530" s="7" t="str">
        <f ca="1">IFERROR(__xludf.DUMMYFUNCTION("IMPORTXML(E530,""/html/body/main/div[3]/div[3]/div[2]/ul/li[7]/span[2]/span"")"),"Loading...")</f>
        <v>Loading...</v>
      </c>
      <c r="S530" s="7" t="str">
        <f ca="1">IFERROR(__xludf.DUMMYFUNCTION("IMPORTXML(E530,""/html/body/main/div[3]/div[3]/div[2]/ul/li[8]/span[2]/span"")"),"Loading...")</f>
        <v>Loading...</v>
      </c>
      <c r="T530" s="4">
        <v>34.6</v>
      </c>
      <c r="U530" s="4">
        <v>22.7</v>
      </c>
      <c r="V530" s="4">
        <v>2.6</v>
      </c>
      <c r="W530" s="4">
        <v>5.7</v>
      </c>
      <c r="X530" s="4">
        <v>519.92999999999995</v>
      </c>
      <c r="Y530" s="7">
        <f t="shared" ca="1" si="14"/>
        <v>-48.229999999999961</v>
      </c>
    </row>
    <row r="531" spans="1:25" ht="15" x14ac:dyDescent="0.25">
      <c r="A531" s="4">
        <v>332</v>
      </c>
      <c r="C531" s="12" t="s">
        <v>1605</v>
      </c>
      <c r="D531" s="12" t="s">
        <v>1606</v>
      </c>
      <c r="E531" s="5" t="str">
        <f t="shared" si="10"/>
        <v>https://www.screener.in/company/MASTEK/consolidated/</v>
      </c>
      <c r="F531" s="4">
        <v>443059</v>
      </c>
      <c r="G531" s="4">
        <v>3832241897</v>
      </c>
      <c r="H531" s="6">
        <f t="shared" ca="1" si="11"/>
        <v>938324.42848044995</v>
      </c>
      <c r="I531" s="7" t="str">
        <f ca="1">IFERROR(__xludf.DUMMYFUNCTION("IMPORTXML(E531,""/html/body/main/div[3]/div[3]/div[2]/ul/li[5]/span[2]/span"")"),"Loading...")</f>
        <v>Loading...</v>
      </c>
      <c r="J531" s="7">
        <f ca="1">IFERROR(__xludf.DUMMYFUNCTION("GOOGLEFINANCE(""NSE:""&amp;D531,""marketcap"")"),75841577435)</f>
        <v>75841577435</v>
      </c>
      <c r="K531" s="7">
        <v>992.8</v>
      </c>
      <c r="L531" s="8">
        <f ca="1">IFERROR(__xludf.DUMMYFUNCTION("GOOGLEFINANCE(""NSE:""&amp;D531,""price"")"),2448.5)</f>
        <v>2448.5</v>
      </c>
      <c r="M531" s="9">
        <f t="shared" ca="1" si="12"/>
        <v>1455.7</v>
      </c>
      <c r="N531" s="10">
        <f t="shared" ca="1" si="13"/>
        <v>146.62570507655118</v>
      </c>
      <c r="O531" s="7">
        <f ca="1">IFERROR(__xludf.DUMMYFUNCTION("GOOGLEFINANCE(""NSE:""&amp;D531,""pe"")"),19.25)</f>
        <v>19.25</v>
      </c>
      <c r="P531" s="7">
        <f ca="1">IFERROR(__xludf.DUMMYFUNCTION("GOOGLEFINANCE(""NSE:""&amp;D531,""EPS"")"),127.2)</f>
        <v>127.2</v>
      </c>
      <c r="Q531" s="7">
        <v>13.5</v>
      </c>
      <c r="R531" s="7" t="str">
        <f ca="1">IFERROR(__xludf.DUMMYFUNCTION("IMPORTXML(E531,""/html/body/main/div[3]/div[3]/div[2]/ul/li[7]/span[2]/span"")"),"Loading...")</f>
        <v>Loading...</v>
      </c>
      <c r="S531" s="7" t="str">
        <f ca="1">IFERROR(__xludf.DUMMYFUNCTION("IMPORTXML(E531,""/html/body/main/div[3]/div[3]/div[2]/ul/li[8]/span[2]/span"")"),"Loading...")</f>
        <v>Loading...</v>
      </c>
      <c r="T531" s="4">
        <v>34.6</v>
      </c>
      <c r="U531" s="4">
        <v>22.7</v>
      </c>
      <c r="V531" s="4">
        <v>2.6</v>
      </c>
      <c r="W531" s="4">
        <v>5.7</v>
      </c>
      <c r="X531" s="4">
        <v>519.92999999999995</v>
      </c>
      <c r="Y531" s="7">
        <f t="shared" ca="1" si="14"/>
        <v>1928.5700000000002</v>
      </c>
    </row>
    <row r="532" spans="1:25" ht="15" x14ac:dyDescent="0.25">
      <c r="A532" s="4">
        <v>1910</v>
      </c>
      <c r="C532" s="12" t="s">
        <v>1607</v>
      </c>
      <c r="D532" s="12" t="s">
        <v>1608</v>
      </c>
      <c r="E532" s="5" t="str">
        <f t="shared" si="10"/>
        <v>https://www.screener.in/company/PIGL/consolidated/</v>
      </c>
      <c r="F532" s="4">
        <v>443059</v>
      </c>
      <c r="G532" s="4">
        <v>3832241897</v>
      </c>
      <c r="H532" s="6">
        <f t="shared" ca="1" si="11"/>
        <v>60932.6461623</v>
      </c>
      <c r="I532" s="7" t="str">
        <f ca="1">IFERROR(__xludf.DUMMYFUNCTION("IMPORTXML(E532,""/html/body/main/div[3]/div[3]/div[2]/ul/li[5]/span[2]/span"")"),"Loading...")</f>
        <v>Loading...</v>
      </c>
      <c r="J532" s="7">
        <f ca="1">IFERROR(__xludf.DUMMYFUNCTION("GOOGLEFINANCE(""NSE:""&amp;D532,""marketcap"")"),2826270821)</f>
        <v>2826270821</v>
      </c>
      <c r="K532" s="7">
        <v>992.8</v>
      </c>
      <c r="L532" s="8">
        <f ca="1">IFERROR(__xludf.DUMMYFUNCTION("GOOGLEFINANCE(""NSE:""&amp;D532,""price"")"),159)</f>
        <v>159</v>
      </c>
      <c r="M532" s="9">
        <f t="shared" ca="1" si="12"/>
        <v>-833.8</v>
      </c>
      <c r="N532" s="10">
        <f t="shared" ca="1" si="13"/>
        <v>-83.984689766317487</v>
      </c>
      <c r="O532" s="7">
        <f ca="1">IFERROR(__xludf.DUMMYFUNCTION("GOOGLEFINANCE(""NSE:""&amp;D532,""pe"")"),20.87)</f>
        <v>20.87</v>
      </c>
      <c r="P532" s="7">
        <f ca="1">IFERROR(__xludf.DUMMYFUNCTION("GOOGLEFINANCE(""NSE:""&amp;D532,""EPS"")"),7.62)</f>
        <v>7.62</v>
      </c>
      <c r="Q532" s="7">
        <v>13.5</v>
      </c>
      <c r="R532" s="7" t="str">
        <f ca="1">IFERROR(__xludf.DUMMYFUNCTION("IMPORTXML(E532,""/html/body/main/div[3]/div[3]/div[2]/ul/li[7]/span[2]/span"")"),"Loading...")</f>
        <v>Loading...</v>
      </c>
      <c r="S532" s="7" t="str">
        <f ca="1">IFERROR(__xludf.DUMMYFUNCTION("IMPORTXML(E532,""/html/body/main/div[3]/div[3]/div[2]/ul/li[8]/span[2]/span"")"),"Loading...")</f>
        <v>Loading...</v>
      </c>
      <c r="T532" s="4">
        <v>34.6</v>
      </c>
      <c r="U532" s="4">
        <v>22.7</v>
      </c>
      <c r="V532" s="4">
        <v>2.6</v>
      </c>
      <c r="W532" s="4">
        <v>5.7</v>
      </c>
      <c r="X532" s="4">
        <v>519.92999999999995</v>
      </c>
      <c r="Y532" s="7">
        <f t="shared" ca="1" si="14"/>
        <v>-360.92999999999995</v>
      </c>
    </row>
    <row r="533" spans="1:25" ht="15" x14ac:dyDescent="0.25">
      <c r="A533" s="4">
        <v>2299</v>
      </c>
      <c r="C533" s="12" t="s">
        <v>1609</v>
      </c>
      <c r="D533" s="12" t="s">
        <v>1610</v>
      </c>
      <c r="E533" s="5" t="str">
        <f t="shared" si="10"/>
        <v>https://www.screener.in/company/TPHQ/consolidated/</v>
      </c>
      <c r="F533" s="4">
        <v>443059</v>
      </c>
      <c r="G533" s="4">
        <v>3832241897</v>
      </c>
      <c r="H533" s="6">
        <f t="shared" ca="1" si="11"/>
        <v>287.41814227499998</v>
      </c>
      <c r="I533" s="7" t="str">
        <f ca="1">IFERROR(__xludf.DUMMYFUNCTION("IMPORTXML(E533,""/html/body/main/div[3]/div[3]/div[2]/ul/li[5]/span[2]/span"")"),"Loading...")</f>
        <v>Loading...</v>
      </c>
      <c r="J533" s="7">
        <f ca="1">IFERROR(__xludf.DUMMYFUNCTION("GOOGLEFINANCE(""NSE:""&amp;D533,""marketcap"")"),822164250)</f>
        <v>822164250</v>
      </c>
      <c r="K533" s="7">
        <v>992.8</v>
      </c>
      <c r="L533" s="8">
        <f ca="1">IFERROR(__xludf.DUMMYFUNCTION("GOOGLEFINANCE(""NSE:""&amp;D533,""price"")"),0.75)</f>
        <v>0.75</v>
      </c>
      <c r="M533" s="9">
        <f t="shared" ca="1" si="12"/>
        <v>-992.05</v>
      </c>
      <c r="N533" s="10">
        <f t="shared" ca="1" si="13"/>
        <v>-99.924456083803378</v>
      </c>
      <c r="O533" s="7">
        <f ca="1">IFERROR(__xludf.DUMMYFUNCTION("GOOGLEFINANCE(""NSE:""&amp;D533,""pe"")"),35.15)</f>
        <v>35.15</v>
      </c>
      <c r="P533" s="7">
        <f ca="1">IFERROR(__xludf.DUMMYFUNCTION("GOOGLEFINANCE(""NSE:""&amp;D533,""EPS"")"),0.02)</f>
        <v>0.02</v>
      </c>
      <c r="Q533" s="7">
        <v>13.5</v>
      </c>
      <c r="R533" s="7" t="str">
        <f ca="1">IFERROR(__xludf.DUMMYFUNCTION("IMPORTXML(E533,""/html/body/main/div[3]/div[3]/div[2]/ul/li[7]/span[2]/span"")"),"Loading...")</f>
        <v>Loading...</v>
      </c>
      <c r="S533" s="7" t="str">
        <f ca="1">IFERROR(__xludf.DUMMYFUNCTION("IMPORTXML(E533,""/html/body/main/div[3]/div[3]/div[2]/ul/li[8]/span[2]/span"")"),"Loading...")</f>
        <v>Loading...</v>
      </c>
      <c r="T533" s="4">
        <v>34.6</v>
      </c>
      <c r="U533" s="4">
        <v>22.7</v>
      </c>
      <c r="V533" s="4">
        <v>2.6</v>
      </c>
      <c r="W533" s="4">
        <v>5.7</v>
      </c>
      <c r="X533" s="4">
        <v>519.92999999999995</v>
      </c>
      <c r="Y533" s="7">
        <f t="shared" ca="1" si="14"/>
        <v>-519.17999999999995</v>
      </c>
    </row>
    <row r="534" spans="1:25" ht="15" x14ac:dyDescent="0.25">
      <c r="A534" s="4">
        <v>1430</v>
      </c>
      <c r="C534" s="12" t="s">
        <v>1611</v>
      </c>
      <c r="D534" s="12" t="s">
        <v>1612</v>
      </c>
      <c r="E534" s="5" t="str">
        <f t="shared" si="10"/>
        <v>https://www.screener.in/company/SRM/consolidated/</v>
      </c>
      <c r="F534" s="4">
        <v>443059</v>
      </c>
      <c r="G534" s="4">
        <v>3832241897</v>
      </c>
      <c r="H534" s="6">
        <f t="shared" ca="1" si="11"/>
        <v>189695.97390149999</v>
      </c>
      <c r="I534" s="7" t="str">
        <f ca="1">IFERROR(__xludf.DUMMYFUNCTION("IMPORTXML(E534,""/html/body/main/div[3]/div[3]/div[2]/ul/li[5]/span[2]/span"")"),"Loading...")</f>
        <v>Loading...</v>
      </c>
      <c r="J534" s="7">
        <f ca="1">IFERROR(__xludf.DUMMYFUNCTION("GOOGLEFINANCE(""NSE:""&amp;D534,""marketcap"")"),11357374050)</f>
        <v>11357374050</v>
      </c>
      <c r="K534" s="7">
        <v>992.8</v>
      </c>
      <c r="L534" s="8">
        <f ca="1">IFERROR(__xludf.DUMMYFUNCTION("GOOGLEFINANCE(""NSE:""&amp;D534,""price"")"),495)</f>
        <v>495</v>
      </c>
      <c r="M534" s="9">
        <f t="shared" ca="1" si="12"/>
        <v>-497.79999999999995</v>
      </c>
      <c r="N534" s="10">
        <f t="shared" ca="1" si="13"/>
        <v>-50.141015310233684</v>
      </c>
      <c r="O534" s="7">
        <f ca="1">IFERROR(__xludf.DUMMYFUNCTION("GOOGLEFINANCE(""NSE:""&amp;D534,""pe"")"),17.98)</f>
        <v>17.98</v>
      </c>
      <c r="P534" s="7">
        <f ca="1">IFERROR(__xludf.DUMMYFUNCTION("GOOGLEFINANCE(""NSE:""&amp;D534,""EPS"")"),27.54)</f>
        <v>27.54</v>
      </c>
      <c r="Q534" s="7">
        <v>13.5</v>
      </c>
      <c r="R534" s="7" t="str">
        <f ca="1">IFERROR(__xludf.DUMMYFUNCTION("IMPORTXML(E534,""/html/body/main/div[3]/div[3]/div[2]/ul/li[7]/span[2]/span"")"),"Loading...")</f>
        <v>Loading...</v>
      </c>
      <c r="S534" s="7" t="str">
        <f ca="1">IFERROR(__xludf.DUMMYFUNCTION("IMPORTXML(E534,""/html/body/main/div[3]/div[3]/div[2]/ul/li[8]/span[2]/span"")"),"Loading...")</f>
        <v>Loading...</v>
      </c>
      <c r="T534" s="4">
        <v>34.6</v>
      </c>
      <c r="U534" s="4">
        <v>22.7</v>
      </c>
      <c r="V534" s="4">
        <v>2.6</v>
      </c>
      <c r="W534" s="4">
        <v>5.7</v>
      </c>
      <c r="X534" s="4">
        <v>519.92999999999995</v>
      </c>
      <c r="Y534" s="7">
        <f t="shared" ca="1" si="14"/>
        <v>-24.92999999999995</v>
      </c>
    </row>
    <row r="535" spans="1:25" ht="15" x14ac:dyDescent="0.25">
      <c r="A535" s="4">
        <v>427</v>
      </c>
      <c r="C535" s="12" t="s">
        <v>1613</v>
      </c>
      <c r="D535" s="12" t="s">
        <v>1614</v>
      </c>
      <c r="E535" s="5" t="str">
        <f t="shared" si="10"/>
        <v>https://www.screener.in/company/SURYAROSNI/consolidated/</v>
      </c>
      <c r="F535" s="4">
        <v>443059</v>
      </c>
      <c r="G535" s="4">
        <v>3832241897</v>
      </c>
      <c r="H535" s="6">
        <f t="shared" ca="1" si="11"/>
        <v>114545.71030132998</v>
      </c>
      <c r="I535" s="7" t="str">
        <f ca="1">IFERROR(__xludf.DUMMYFUNCTION("IMPORTXML(E535,""/html/body/main/div[3]/div[3]/div[2]/ul/li[5]/span[2]/span"")"),"Loading...")</f>
        <v>Loading...</v>
      </c>
      <c r="J535" s="7">
        <f ca="1">IFERROR(__xludf.DUMMYFUNCTION("GOOGLEFINANCE(""NSE:""&amp;D535,""marketcap"")"),65038964831)</f>
        <v>65038964831</v>
      </c>
      <c r="K535" s="7">
        <v>992.8</v>
      </c>
      <c r="L535" s="8">
        <f ca="1">IFERROR(__xludf.DUMMYFUNCTION("GOOGLEFINANCE(""NSE:""&amp;D535,""price"")"),298.9)</f>
        <v>298.89999999999998</v>
      </c>
      <c r="M535" s="9">
        <f t="shared" ca="1" si="12"/>
        <v>-693.9</v>
      </c>
      <c r="N535" s="10">
        <f t="shared" ca="1" si="13"/>
        <v>-69.893231265108781</v>
      </c>
      <c r="O535" s="7">
        <f ca="1">IFERROR(__xludf.DUMMYFUNCTION("GOOGLEFINANCE(""NSE:""&amp;D535,""pe"")"),26.77)</f>
        <v>26.77</v>
      </c>
      <c r="P535" s="7">
        <f ca="1">IFERROR(__xludf.DUMMYFUNCTION("GOOGLEFINANCE(""NSE:""&amp;D535,""EPS"")"),11.16)</f>
        <v>11.16</v>
      </c>
      <c r="Q535" s="7">
        <v>13.5</v>
      </c>
      <c r="R535" s="7" t="str">
        <f ca="1">IFERROR(__xludf.DUMMYFUNCTION("IMPORTXML(E535,""/html/body/main/div[3]/div[3]/div[2]/ul/li[7]/span[2]/span"")"),"Loading...")</f>
        <v>Loading...</v>
      </c>
      <c r="S535" s="7" t="str">
        <f ca="1">IFERROR(__xludf.DUMMYFUNCTION("IMPORTXML(E535,""/html/body/main/div[3]/div[3]/div[2]/ul/li[8]/span[2]/span"")"),"Loading...")</f>
        <v>Loading...</v>
      </c>
      <c r="T535" s="4">
        <v>34.6</v>
      </c>
      <c r="U535" s="4">
        <v>22.7</v>
      </c>
      <c r="V535" s="4">
        <v>2.6</v>
      </c>
      <c r="W535" s="4">
        <v>5.7</v>
      </c>
      <c r="X535" s="4">
        <v>519.92999999999995</v>
      </c>
      <c r="Y535" s="7">
        <f t="shared" ca="1" si="14"/>
        <v>-221.02999999999997</v>
      </c>
    </row>
    <row r="536" spans="1:25" ht="15" x14ac:dyDescent="0.25">
      <c r="A536" s="4">
        <v>1188</v>
      </c>
      <c r="C536" s="12" t="s">
        <v>1615</v>
      </c>
      <c r="D536" s="12" t="s">
        <v>1616</v>
      </c>
      <c r="E536" s="5" t="str">
        <f t="shared" si="10"/>
        <v>https://www.screener.in/company/STCINDIA/consolidated/</v>
      </c>
      <c r="F536" s="4">
        <v>443059</v>
      </c>
      <c r="G536" s="4">
        <v>3832241897</v>
      </c>
      <c r="H536" s="6">
        <f t="shared" ca="1" si="11"/>
        <v>45642.000993269998</v>
      </c>
      <c r="I536" s="7">
        <f ca="1">IFERROR(__xludf.DUMMYFUNCTION("IMPORTXML(E536,""/html/body/main/div[3]/div[3]/div[2]/ul/li[5]/span[2]/span"")"),-769)</f>
        <v>-769</v>
      </c>
      <c r="J536" s="7">
        <f ca="1">IFERROR(__xludf.DUMMYFUNCTION("GOOGLEFINANCE(""NSE:""&amp;D536,""marketcap"")"),7145999908)</f>
        <v>7145999908</v>
      </c>
      <c r="K536" s="7">
        <v>992.8</v>
      </c>
      <c r="L536" s="8">
        <f ca="1">IFERROR(__xludf.DUMMYFUNCTION("GOOGLEFINANCE(""NSE:""&amp;D536,""price"")"),119.1)</f>
        <v>119.1</v>
      </c>
      <c r="M536" s="9">
        <f t="shared" ca="1" si="12"/>
        <v>-873.69999999999993</v>
      </c>
      <c r="N536" s="10">
        <f t="shared" ca="1" si="13"/>
        <v>-88.003626107977439</v>
      </c>
      <c r="O536" s="7">
        <f ca="1">IFERROR(__xludf.DUMMYFUNCTION("GOOGLEFINANCE(""NSE:""&amp;D536,""pe"")"),19.98)</f>
        <v>19.98</v>
      </c>
      <c r="P536" s="7">
        <f ca="1">IFERROR(__xludf.DUMMYFUNCTION("GOOGLEFINANCE(""NSE:""&amp;D536,""EPS"")"),5.96)</f>
        <v>5.96</v>
      </c>
      <c r="Q536" s="7">
        <v>13.5</v>
      </c>
      <c r="R536" s="7" t="str">
        <f ca="1">IFERROR(__xludf.DUMMYFUNCTION("IMPORTXML(E536,""/html/body/main/div[3]/div[3]/div[2]/ul/li[7]/span[2]/span"")"),"Loading...")</f>
        <v>Loading...</v>
      </c>
      <c r="S536" s="7" t="str">
        <f ca="1">IFERROR(__xludf.DUMMYFUNCTION("IMPORTXML(E536,""/html/body/main/div[3]/div[3]/div[2]/ul/li[8]/span[2]/span"")"),"Loading...")</f>
        <v>Loading...</v>
      </c>
      <c r="T536" s="4">
        <v>34.6</v>
      </c>
      <c r="U536" s="4">
        <v>22.7</v>
      </c>
      <c r="V536" s="4">
        <v>2.6</v>
      </c>
      <c r="W536" s="4">
        <v>5.7</v>
      </c>
      <c r="X536" s="4">
        <v>519.92999999999995</v>
      </c>
      <c r="Y536" s="7">
        <f t="shared" ca="1" si="14"/>
        <v>-400.82999999999993</v>
      </c>
    </row>
    <row r="537" spans="1:25" ht="15" x14ac:dyDescent="0.25">
      <c r="A537" s="4">
        <v>593</v>
      </c>
      <c r="C537" s="12" t="s">
        <v>1617</v>
      </c>
      <c r="D537" s="12" t="s">
        <v>1618</v>
      </c>
      <c r="E537" s="5" t="str">
        <f t="shared" si="10"/>
        <v>https://www.screener.in/company/FIEMIND/consolidated/</v>
      </c>
      <c r="F537" s="4">
        <v>443059</v>
      </c>
      <c r="G537" s="4">
        <v>3832241897</v>
      </c>
      <c r="H537" s="6">
        <f t="shared" ca="1" si="11"/>
        <v>784843.14050560002</v>
      </c>
      <c r="I537" s="7" t="str">
        <f ca="1">IFERROR(__xludf.DUMMYFUNCTION("IMPORTXML(E537,""/html/body/main/div[3]/div[3]/div[2]/ul/li[5]/span[2]/span"")"),"Loading...")</f>
        <v>Loading...</v>
      </c>
      <c r="J537" s="7">
        <f ca="1">IFERROR(__xludf.DUMMYFUNCTION("GOOGLEFINANCE(""NSE:""&amp;D537,""marketcap"")"),53768430000)</f>
        <v>53768430000</v>
      </c>
      <c r="K537" s="7">
        <v>992.8</v>
      </c>
      <c r="L537" s="8">
        <f ca="1">IFERROR(__xludf.DUMMYFUNCTION("GOOGLEFINANCE(""NSE:""&amp;D537,""price"")"),2048)</f>
        <v>2048</v>
      </c>
      <c r="M537" s="9">
        <f t="shared" ca="1" si="12"/>
        <v>1055.2</v>
      </c>
      <c r="N537" s="10">
        <f t="shared" ca="1" si="13"/>
        <v>106.28525382755842</v>
      </c>
      <c r="O537" s="7">
        <f ca="1">IFERROR(__xludf.DUMMYFUNCTION("GOOGLEFINANCE(""NSE:""&amp;D537,""pe"")"),25.24)</f>
        <v>25.24</v>
      </c>
      <c r="P537" s="7">
        <f ca="1">IFERROR(__xludf.DUMMYFUNCTION("GOOGLEFINANCE(""NSE:""&amp;D537,""EPS"")"),81.13)</f>
        <v>81.13</v>
      </c>
      <c r="Q537" s="7">
        <v>13.5</v>
      </c>
      <c r="R537" s="7" t="str">
        <f ca="1">IFERROR(__xludf.DUMMYFUNCTION("IMPORTXML(E537,""/html/body/main/div[3]/div[3]/div[2]/ul/li[7]/span[2]/span"")"),"Loading...")</f>
        <v>Loading...</v>
      </c>
      <c r="S537" s="7" t="str">
        <f ca="1">IFERROR(__xludf.DUMMYFUNCTION("IMPORTXML(E537,""/html/body/main/div[3]/div[3]/div[2]/ul/li[8]/span[2]/span"")"),"Loading...")</f>
        <v>Loading...</v>
      </c>
      <c r="T537" s="4">
        <v>34.6</v>
      </c>
      <c r="U537" s="4">
        <v>22.7</v>
      </c>
      <c r="V537" s="4">
        <v>2.6</v>
      </c>
      <c r="W537" s="4">
        <v>5.7</v>
      </c>
      <c r="X537" s="4">
        <v>519.92999999999995</v>
      </c>
      <c r="Y537" s="7">
        <f t="shared" ca="1" si="14"/>
        <v>1528.0700000000002</v>
      </c>
    </row>
    <row r="538" spans="1:25" ht="15" x14ac:dyDescent="0.25">
      <c r="A538" s="4">
        <v>817</v>
      </c>
      <c r="C538" s="12" t="s">
        <v>1619</v>
      </c>
      <c r="D538" s="12" t="s">
        <v>1620</v>
      </c>
      <c r="E538" s="5" t="str">
        <f t="shared" si="10"/>
        <v>https://www.screener.in/company/PARAGMILK/consolidated/</v>
      </c>
      <c r="F538" s="4">
        <v>443059</v>
      </c>
      <c r="G538" s="4">
        <v>3832241897</v>
      </c>
      <c r="H538" s="6">
        <f t="shared" ca="1" si="11"/>
        <v>96189.271614700003</v>
      </c>
      <c r="I538" s="7" t="str">
        <f ca="1">IFERROR(__xludf.DUMMYFUNCTION("IMPORTXML(E538,""/html/body/main/div[3]/div[3]/div[2]/ul/li[5]/span[2]/span"")"),"Loading...")</f>
        <v>Loading...</v>
      </c>
      <c r="J538" s="7">
        <f ca="1">IFERROR(__xludf.DUMMYFUNCTION("GOOGLEFINANCE(""NSE:""&amp;D538,""marketcap"")"),29920404800)</f>
        <v>29920404800</v>
      </c>
      <c r="K538" s="7">
        <v>992.8</v>
      </c>
      <c r="L538" s="8">
        <f ca="1">IFERROR(__xludf.DUMMYFUNCTION("GOOGLEFINANCE(""NSE:""&amp;D538,""price"")"),251)</f>
        <v>251</v>
      </c>
      <c r="M538" s="9">
        <f t="shared" ca="1" si="12"/>
        <v>-741.8</v>
      </c>
      <c r="N538" s="10">
        <f t="shared" ca="1" si="13"/>
        <v>-74.717969379532633</v>
      </c>
      <c r="O538" s="7">
        <f ca="1">IFERROR(__xludf.DUMMYFUNCTION("GOOGLEFINANCE(""NSE:""&amp;D538,""pe"")"),26.37)</f>
        <v>26.37</v>
      </c>
      <c r="P538" s="7">
        <f ca="1">IFERROR(__xludf.DUMMYFUNCTION("GOOGLEFINANCE(""NSE:""&amp;D538,""EPS"")"),9.52)</f>
        <v>9.52</v>
      </c>
      <c r="Q538" s="7">
        <v>13.5</v>
      </c>
      <c r="R538" s="7" t="str">
        <f ca="1">IFERROR(__xludf.DUMMYFUNCTION("IMPORTXML(E538,""/html/body/main/div[3]/div[3]/div[2]/ul/li[7]/span[2]/span"")"),"Loading...")</f>
        <v>Loading...</v>
      </c>
      <c r="S538" s="7" t="str">
        <f ca="1">IFERROR(__xludf.DUMMYFUNCTION("IMPORTXML(E538,""/html/body/main/div[3]/div[3]/div[2]/ul/li[8]/span[2]/span"")"),"Loading...")</f>
        <v>Loading...</v>
      </c>
      <c r="T538" s="4">
        <v>34.6</v>
      </c>
      <c r="U538" s="4">
        <v>22.7</v>
      </c>
      <c r="V538" s="4">
        <v>2.6</v>
      </c>
      <c r="W538" s="4">
        <v>5.7</v>
      </c>
      <c r="X538" s="4">
        <v>519.92999999999995</v>
      </c>
      <c r="Y538" s="7">
        <f t="shared" ca="1" si="14"/>
        <v>-268.92999999999995</v>
      </c>
    </row>
    <row r="539" spans="1:25" ht="15" x14ac:dyDescent="0.25">
      <c r="A539" s="4">
        <v>1044</v>
      </c>
      <c r="C539" s="12" t="s">
        <v>1621</v>
      </c>
      <c r="D539" s="12" t="s">
        <v>1622</v>
      </c>
      <c r="E539" s="5" t="str">
        <f t="shared" si="10"/>
        <v>https://www.screener.in/company/JGCHEM/consolidated/</v>
      </c>
      <c r="F539" s="4">
        <v>443059</v>
      </c>
      <c r="G539" s="4">
        <v>3832241897</v>
      </c>
      <c r="H539" s="6">
        <f t="shared" ca="1" si="11"/>
        <v>180881.81753840001</v>
      </c>
      <c r="I539" s="7" t="str">
        <f ca="1">IFERROR(__xludf.DUMMYFUNCTION("IMPORTXML(E539,""/html/body/main/div[3]/div[3]/div[2]/ul/li[5]/span[2]/span"")"),"Loading...")</f>
        <v>Loading...</v>
      </c>
      <c r="J539" s="7">
        <f ca="1">IFERROR(__xludf.DUMMYFUNCTION("GOOGLEFINANCE(""NSE:""&amp;D539,""marketcap"")"),18495815600)</f>
        <v>18495815600</v>
      </c>
      <c r="K539" s="7">
        <v>992.8</v>
      </c>
      <c r="L539" s="8">
        <f ca="1">IFERROR(__xludf.DUMMYFUNCTION("GOOGLEFINANCE(""NSE:""&amp;D539,""price"")"),472)</f>
        <v>472</v>
      </c>
      <c r="M539" s="9">
        <f t="shared" ca="1" si="12"/>
        <v>-520.79999999999995</v>
      </c>
      <c r="N539" s="10">
        <f t="shared" ca="1" si="13"/>
        <v>-52.457695406929894</v>
      </c>
      <c r="O539" s="7">
        <f ca="1">IFERROR(__xludf.DUMMYFUNCTION("GOOGLEFINANCE(""NSE:""&amp;D539,""pe"")"),28.63)</f>
        <v>28.63</v>
      </c>
      <c r="P539" s="7">
        <f ca="1">IFERROR(__xludf.DUMMYFUNCTION("GOOGLEFINANCE(""NSE:""&amp;D539,""EPS"")"),16.49)</f>
        <v>16.489999999999998</v>
      </c>
      <c r="Q539" s="7">
        <v>13.5</v>
      </c>
      <c r="R539" s="7" t="str">
        <f ca="1">IFERROR(__xludf.DUMMYFUNCTION("IMPORTXML(E539,""/html/body/main/div[3]/div[3]/div[2]/ul/li[7]/span[2]/span"")"),"Loading...")</f>
        <v>Loading...</v>
      </c>
      <c r="S539" s="7" t="str">
        <f ca="1">IFERROR(__xludf.DUMMYFUNCTION("IMPORTXML(E539,""/html/body/main/div[3]/div[3]/div[2]/ul/li[8]/span[2]/span"")"),"Loading...")</f>
        <v>Loading...</v>
      </c>
      <c r="T539" s="4">
        <v>34.6</v>
      </c>
      <c r="U539" s="4">
        <v>22.7</v>
      </c>
      <c r="V539" s="4">
        <v>2.6</v>
      </c>
      <c r="W539" s="4">
        <v>5.7</v>
      </c>
      <c r="X539" s="4">
        <v>519.92999999999995</v>
      </c>
      <c r="Y539" s="7">
        <f t="shared" ca="1" si="14"/>
        <v>-47.92999999999995</v>
      </c>
    </row>
    <row r="540" spans="1:25" ht="15" x14ac:dyDescent="0.25">
      <c r="A540" s="4">
        <v>673</v>
      </c>
      <c r="C540" s="12" t="s">
        <v>1623</v>
      </c>
      <c r="D540" s="12" t="s">
        <v>1624</v>
      </c>
      <c r="E540" s="5" t="str">
        <f t="shared" si="10"/>
        <v>https://www.screener.in/company/VPRPL/consolidated/</v>
      </c>
      <c r="F540" s="4">
        <v>443059</v>
      </c>
      <c r="G540" s="4">
        <v>3832241897</v>
      </c>
      <c r="H540" s="6">
        <f t="shared" ca="1" si="11"/>
        <v>46898.976335485997</v>
      </c>
      <c r="I540" s="7" t="str">
        <f ca="1">IFERROR(__xludf.DUMMYFUNCTION("IMPORTXML(E540,""/html/body/main/div[3]/div[3]/div[2]/ul/li[5]/span[2]/span"")"),"Loading...")</f>
        <v>Loading...</v>
      </c>
      <c r="J540" s="7">
        <f ca="1">IFERROR(__xludf.DUMMYFUNCTION("GOOGLEFINANCE(""NSE:""&amp;D540,""marketcap"")"),15253920139)</f>
        <v>15253920139</v>
      </c>
      <c r="K540" s="7">
        <v>992.8</v>
      </c>
      <c r="L540" s="8">
        <f ca="1">IFERROR(__xludf.DUMMYFUNCTION("GOOGLEFINANCE(""NSE:""&amp;D540,""price"")"),122.38)</f>
        <v>122.38</v>
      </c>
      <c r="M540" s="9">
        <f t="shared" ca="1" si="12"/>
        <v>-870.42</v>
      </c>
      <c r="N540" s="10">
        <f t="shared" ca="1" si="13"/>
        <v>-87.673247381144236</v>
      </c>
      <c r="O540" s="7">
        <f ca="1">IFERROR(__xludf.DUMMYFUNCTION("GOOGLEFINANCE(""NSE:""&amp;D540,""pe"")"),30.07)</f>
        <v>30.07</v>
      </c>
      <c r="P540" s="7">
        <f ca="1">IFERROR(__xludf.DUMMYFUNCTION("GOOGLEFINANCE(""NSE:""&amp;D540,""EPS"")"),4.07)</f>
        <v>4.07</v>
      </c>
      <c r="Q540" s="7">
        <v>13.5</v>
      </c>
      <c r="R540" s="7" t="str">
        <f ca="1">IFERROR(__xludf.DUMMYFUNCTION("IMPORTXML(E540,""/html/body/main/div[3]/div[3]/div[2]/ul/li[7]/span[2]/span"")"),"Loading...")</f>
        <v>Loading...</v>
      </c>
      <c r="S540" s="7" t="str">
        <f ca="1">IFERROR(__xludf.DUMMYFUNCTION("IMPORTXML(E540,""/html/body/main/div[3]/div[3]/div[2]/ul/li[8]/span[2]/span"")"),"Loading...")</f>
        <v>Loading...</v>
      </c>
      <c r="T540" s="4">
        <v>34.6</v>
      </c>
      <c r="U540" s="4">
        <v>22.7</v>
      </c>
      <c r="V540" s="4">
        <v>2.6</v>
      </c>
      <c r="W540" s="4">
        <v>5.7</v>
      </c>
      <c r="X540" s="4">
        <v>519.92999999999995</v>
      </c>
      <c r="Y540" s="7">
        <f t="shared" ca="1" si="14"/>
        <v>-397.54999999999995</v>
      </c>
    </row>
    <row r="541" spans="1:25" ht="15" x14ac:dyDescent="0.25">
      <c r="A541" s="4">
        <v>598</v>
      </c>
      <c r="C541" s="12" t="s">
        <v>1625</v>
      </c>
      <c r="D541" s="12" t="s">
        <v>1626</v>
      </c>
      <c r="E541" s="5" t="str">
        <f t="shared" si="10"/>
        <v>https://www.screener.in/company/KKCL/consolidated/</v>
      </c>
      <c r="F541" s="4">
        <v>443059</v>
      </c>
      <c r="G541" s="4">
        <v>3832241897</v>
      </c>
      <c r="H541" s="6">
        <f t="shared" ca="1" si="11"/>
        <v>201288.50563992499</v>
      </c>
      <c r="I541" s="7" t="str">
        <f ca="1">IFERROR(__xludf.DUMMYFUNCTION("IMPORTXML(E541,""/html/body/main/div[3]/div[3]/div[2]/ul/li[5]/span[2]/span"")"),"Loading...")</f>
        <v>Loading...</v>
      </c>
      <c r="J541" s="7">
        <f ca="1">IFERROR(__xludf.DUMMYFUNCTION("GOOGLEFINANCE(""NSE:""&amp;D541,""marketcap"")"),32245380000)</f>
        <v>32245380000</v>
      </c>
      <c r="K541" s="7">
        <v>992.8</v>
      </c>
      <c r="L541" s="8">
        <f ca="1">IFERROR(__xludf.DUMMYFUNCTION("GOOGLEFINANCE(""NSE:""&amp;D541,""price"")"),525.25)</f>
        <v>525.25</v>
      </c>
      <c r="M541" s="9">
        <f t="shared" ca="1" si="12"/>
        <v>-467.54999999999995</v>
      </c>
      <c r="N541" s="10">
        <f t="shared" ca="1" si="13"/>
        <v>-47.094077356970182</v>
      </c>
      <c r="O541" s="7">
        <f ca="1">IFERROR(__xludf.DUMMYFUNCTION("GOOGLEFINANCE(""NSE:""&amp;D541,""pe"")"),20.84)</f>
        <v>20.84</v>
      </c>
      <c r="P541" s="7">
        <f ca="1">IFERROR(__xludf.DUMMYFUNCTION("GOOGLEFINANCE(""NSE:""&amp;D541,""EPS"")"),25.2)</f>
        <v>25.2</v>
      </c>
      <c r="Q541" s="7">
        <v>13.5</v>
      </c>
      <c r="R541" s="7" t="str">
        <f ca="1">IFERROR(__xludf.DUMMYFUNCTION("IMPORTXML(E541,""/html/body/main/div[3]/div[3]/div[2]/ul/li[7]/span[2]/span"")"),"Loading...")</f>
        <v>Loading...</v>
      </c>
      <c r="S541" s="7" t="str">
        <f ca="1">IFERROR(__xludf.DUMMYFUNCTION("IMPORTXML(E541,""/html/body/main/div[3]/div[3]/div[2]/ul/li[8]/span[2]/span"")"),"Loading...")</f>
        <v>Loading...</v>
      </c>
      <c r="T541" s="4">
        <v>34.6</v>
      </c>
      <c r="U541" s="4">
        <v>22.7</v>
      </c>
      <c r="V541" s="4">
        <v>2.6</v>
      </c>
      <c r="W541" s="4">
        <v>5.7</v>
      </c>
      <c r="X541" s="4">
        <v>519.92999999999995</v>
      </c>
      <c r="Y541" s="7">
        <f t="shared" ca="1" si="14"/>
        <v>5.32000000000005</v>
      </c>
    </row>
    <row r="542" spans="1:25" ht="15" x14ac:dyDescent="0.25">
      <c r="A542" s="4">
        <v>742</v>
      </c>
      <c r="C542" s="12" t="s">
        <v>1627</v>
      </c>
      <c r="D542" s="12" t="s">
        <v>1628</v>
      </c>
      <c r="E542" s="5" t="str">
        <f t="shared" si="10"/>
        <v>https://www.screener.in/company/DEEPINDS/consolidated/</v>
      </c>
      <c r="F542" s="4">
        <v>443059</v>
      </c>
      <c r="G542" s="4">
        <v>3832241897</v>
      </c>
      <c r="H542" s="6">
        <f t="shared" ca="1" si="11"/>
        <v>209297.89120465497</v>
      </c>
      <c r="I542" s="7" t="str">
        <f ca="1">IFERROR(__xludf.DUMMYFUNCTION("IMPORTXML(E542,""/html/body/main/div[3]/div[3]/div[2]/ul/li[5]/span[2]/span"")"),"Loading...")</f>
        <v>Loading...</v>
      </c>
      <c r="J542" s="7">
        <f ca="1">IFERROR(__xludf.DUMMYFUNCTION("GOOGLEFINANCE(""NSE:""&amp;D542,""marketcap"")"),34953601562)</f>
        <v>34953601562</v>
      </c>
      <c r="K542" s="7">
        <v>992.8</v>
      </c>
      <c r="L542" s="8">
        <f ca="1">IFERROR(__xludf.DUMMYFUNCTION("GOOGLEFINANCE(""NSE:""&amp;D542,""price"")"),546.15)</f>
        <v>546.15</v>
      </c>
      <c r="M542" s="9">
        <f t="shared" ca="1" si="12"/>
        <v>-446.65</v>
      </c>
      <c r="N542" s="10">
        <f t="shared" ca="1" si="13"/>
        <v>-44.988920225624497</v>
      </c>
      <c r="O542" s="7" t="str">
        <f ca="1">IFERROR(__xludf.DUMMYFUNCTION("GOOGLEFINANCE(""NSE:""&amp;D542,""pe"")"),"#N/A")</f>
        <v>#N/A</v>
      </c>
      <c r="P542" s="7">
        <f ca="1">IFERROR(__xludf.DUMMYFUNCTION("GOOGLEFINANCE(""NSE:""&amp;D542,""EPS"")"),-10.71)</f>
        <v>-10.71</v>
      </c>
      <c r="Q542" s="7">
        <v>13.5</v>
      </c>
      <c r="R542" s="7" t="str">
        <f ca="1">IFERROR(__xludf.DUMMYFUNCTION("IMPORTXML(E542,""/html/body/main/div[3]/div[3]/div[2]/ul/li[7]/span[2]/span"")"),"Loading...")</f>
        <v>Loading...</v>
      </c>
      <c r="S542" s="7" t="str">
        <f ca="1">IFERROR(__xludf.DUMMYFUNCTION("IMPORTXML(E542,""/html/body/main/div[3]/div[3]/div[2]/ul/li[8]/span[2]/span"")"),"Loading...")</f>
        <v>Loading...</v>
      </c>
      <c r="T542" s="4">
        <v>34.6</v>
      </c>
      <c r="U542" s="4">
        <v>22.7</v>
      </c>
      <c r="V542" s="4">
        <v>2.6</v>
      </c>
      <c r="W542" s="4">
        <v>5.7</v>
      </c>
      <c r="X542" s="4">
        <v>519.92999999999995</v>
      </c>
      <c r="Y542" s="7">
        <f t="shared" ca="1" si="14"/>
        <v>26.220000000000027</v>
      </c>
    </row>
    <row r="543" spans="1:25" ht="15" x14ac:dyDescent="0.25">
      <c r="A543" s="4">
        <v>922</v>
      </c>
      <c r="C543" s="12" t="s">
        <v>1629</v>
      </c>
      <c r="D543" s="12" t="s">
        <v>1630</v>
      </c>
      <c r="E543" s="5" t="str">
        <f t="shared" si="10"/>
        <v>https://www.screener.in/company/STERTOOLS/consolidated/</v>
      </c>
      <c r="F543" s="4">
        <v>443059</v>
      </c>
      <c r="G543" s="4">
        <v>3832241897</v>
      </c>
      <c r="H543" s="6">
        <f t="shared" ca="1" si="11"/>
        <v>123666.44601618999</v>
      </c>
      <c r="I543" s="7" t="str">
        <f ca="1">IFERROR(__xludf.DUMMYFUNCTION("IMPORTXML(E543,""/html/body/main/div[3]/div[3]/div[2]/ul/li[5]/span[2]/span"")"),"Loading...")</f>
        <v>Loading...</v>
      </c>
      <c r="J543" s="7">
        <f ca="1">IFERROR(__xludf.DUMMYFUNCTION("GOOGLEFINANCE(""NSE:""&amp;D543,""marketcap"")"),11628038240)</f>
        <v>11628038240</v>
      </c>
      <c r="K543" s="7">
        <v>992.8</v>
      </c>
      <c r="L543" s="8">
        <f ca="1">IFERROR(__xludf.DUMMYFUNCTION("GOOGLEFINANCE(""NSE:""&amp;D543,""price"")"),322.7)</f>
        <v>322.7</v>
      </c>
      <c r="M543" s="9">
        <f t="shared" ca="1" si="12"/>
        <v>-670.09999999999991</v>
      </c>
      <c r="N543" s="10">
        <f t="shared" ca="1" si="13"/>
        <v>-67.495970991136176</v>
      </c>
      <c r="O543" s="7">
        <f ca="1">IFERROR(__xludf.DUMMYFUNCTION("GOOGLEFINANCE(""NSE:""&amp;D543,""pe"")"),24)</f>
        <v>24</v>
      </c>
      <c r="P543" s="7">
        <f ca="1">IFERROR(__xludf.DUMMYFUNCTION("GOOGLEFINANCE(""NSE:""&amp;D543,""EPS"")"),13.45)</f>
        <v>13.45</v>
      </c>
      <c r="Q543" s="7">
        <v>13.5</v>
      </c>
      <c r="R543" s="7" t="str">
        <f ca="1">IFERROR(__xludf.DUMMYFUNCTION("IMPORTXML(E543,""/html/body/main/div[3]/div[3]/div[2]/ul/li[7]/span[2]/span"")"),"Loading...")</f>
        <v>Loading...</v>
      </c>
      <c r="S543" s="7" t="str">
        <f ca="1">IFERROR(__xludf.DUMMYFUNCTION("IMPORTXML(E543,""/html/body/main/div[3]/div[3]/div[2]/ul/li[8]/span[2]/span"")"),"Loading...")</f>
        <v>Loading...</v>
      </c>
      <c r="T543" s="4">
        <v>34.6</v>
      </c>
      <c r="U543" s="4">
        <v>22.7</v>
      </c>
      <c r="V543" s="4">
        <v>2.6</v>
      </c>
      <c r="W543" s="4">
        <v>5.7</v>
      </c>
      <c r="X543" s="4">
        <v>519.92999999999995</v>
      </c>
      <c r="Y543" s="7">
        <f t="shared" ca="1" si="14"/>
        <v>-197.22999999999996</v>
      </c>
    </row>
    <row r="544" spans="1:25" ht="15" x14ac:dyDescent="0.25">
      <c r="A544" s="4">
        <v>82</v>
      </c>
      <c r="C544" s="12" t="s">
        <v>1631</v>
      </c>
      <c r="D544" s="12" t="s">
        <v>1632</v>
      </c>
      <c r="E544" s="5" t="str">
        <f t="shared" si="10"/>
        <v>https://www.screener.in/company/ABSLAMC/consolidated/</v>
      </c>
      <c r="F544" s="4">
        <v>443059</v>
      </c>
      <c r="G544" s="4">
        <v>3832241897</v>
      </c>
      <c r="H544" s="6">
        <f t="shared" ca="1" si="11"/>
        <v>318076.07745099999</v>
      </c>
      <c r="I544" s="7" t="str">
        <f ca="1">IFERROR(__xludf.DUMMYFUNCTION("IMPORTXML(E544,""/html/body/main/div[3]/div[3]/div[2]/ul/li[5]/span[2]/span"")"),"Loading...")</f>
        <v>Loading...</v>
      </c>
      <c r="J544" s="7">
        <f ca="1">IFERROR(__xludf.DUMMYFUNCTION("GOOGLEFINANCE(""NSE:""&amp;D544,""marketcap"")"),239273821302)</f>
        <v>239273821302</v>
      </c>
      <c r="K544" s="7">
        <v>992.8</v>
      </c>
      <c r="L544" s="8">
        <f ca="1">IFERROR(__xludf.DUMMYFUNCTION("GOOGLEFINANCE(""NSE:""&amp;D544,""price"")"),830)</f>
        <v>830</v>
      </c>
      <c r="M544" s="9">
        <f t="shared" ca="1" si="12"/>
        <v>-162.79999999999995</v>
      </c>
      <c r="N544" s="10">
        <f t="shared" ca="1" si="13"/>
        <v>-16.398066075745362</v>
      </c>
      <c r="O544" s="7">
        <f ca="1">IFERROR(__xludf.DUMMYFUNCTION("GOOGLEFINANCE(""NSE:""&amp;D544,""pe"")"),24.68)</f>
        <v>24.68</v>
      </c>
      <c r="P544" s="7">
        <f ca="1">IFERROR(__xludf.DUMMYFUNCTION("GOOGLEFINANCE(""NSE:""&amp;D544,""EPS"")"),33.63)</f>
        <v>33.630000000000003</v>
      </c>
      <c r="Q544" s="7">
        <v>13.5</v>
      </c>
      <c r="R544" s="7" t="str">
        <f ca="1">IFERROR(__xludf.DUMMYFUNCTION("IMPORTXML(E544,""/html/body/main/div[3]/div[3]/div[2]/ul/li[7]/span[2]/span"")"),"Loading...")</f>
        <v>Loading...</v>
      </c>
      <c r="S544" s="7" t="str">
        <f ca="1">IFERROR(__xludf.DUMMYFUNCTION("IMPORTXML(E544,""/html/body/main/div[3]/div[3]/div[2]/ul/li[8]/span[2]/span"")"),"Loading...")</f>
        <v>Loading...</v>
      </c>
      <c r="T544" s="4">
        <v>34.6</v>
      </c>
      <c r="U544" s="4">
        <v>22.7</v>
      </c>
      <c r="V544" s="4">
        <v>2.6</v>
      </c>
      <c r="W544" s="4">
        <v>5.7</v>
      </c>
      <c r="X544" s="4">
        <v>519.92999999999995</v>
      </c>
      <c r="Y544" s="7">
        <f t="shared" ca="1" si="14"/>
        <v>310.07000000000005</v>
      </c>
    </row>
    <row r="545" spans="1:25" ht="15" x14ac:dyDescent="0.25">
      <c r="A545" s="4">
        <v>80</v>
      </c>
      <c r="C545" s="12" t="s">
        <v>1633</v>
      </c>
      <c r="D545" s="12" t="s">
        <v>1634</v>
      </c>
      <c r="E545" s="5" t="str">
        <f t="shared" si="10"/>
        <v>https://www.screener.in/company/FIVESTAR/consolidated/</v>
      </c>
      <c r="F545" s="4">
        <v>443059</v>
      </c>
      <c r="G545" s="4">
        <v>3832241897</v>
      </c>
      <c r="H545" s="6">
        <f t="shared" ca="1" si="11"/>
        <v>203990.23617731</v>
      </c>
      <c r="I545" s="7" t="str">
        <f ca="1">IFERROR(__xludf.DUMMYFUNCTION("IMPORTXML(E545,""/html/body/main/div[3]/div[3]/div[2]/ul/li[5]/span[2]/span"")"),"Loading...")</f>
        <v>Loading...</v>
      </c>
      <c r="J545" s="7">
        <f ca="1">IFERROR(__xludf.DUMMYFUNCTION("GOOGLEFINANCE(""NSE:""&amp;D545,""marketcap"")"),156439944013)</f>
        <v>156439944013</v>
      </c>
      <c r="K545" s="7">
        <v>992.8</v>
      </c>
      <c r="L545" s="8">
        <f ca="1">IFERROR(__xludf.DUMMYFUNCTION("GOOGLEFINANCE(""NSE:""&amp;D545,""price"")"),532.3)</f>
        <v>532.29999999999995</v>
      </c>
      <c r="M545" s="9">
        <f t="shared" ca="1" si="12"/>
        <v>-460.5</v>
      </c>
      <c r="N545" s="10">
        <f t="shared" ca="1" si="13"/>
        <v>-46.383964544721998</v>
      </c>
      <c r="O545" s="7">
        <f ca="1">IFERROR(__xludf.DUMMYFUNCTION("GOOGLEFINANCE(""NSE:""&amp;D545,""pe"")"),14.41)</f>
        <v>14.41</v>
      </c>
      <c r="P545" s="7">
        <f ca="1">IFERROR(__xludf.DUMMYFUNCTION("GOOGLEFINANCE(""NSE:""&amp;D545,""EPS"")"),36.95)</f>
        <v>36.950000000000003</v>
      </c>
      <c r="Q545" s="7">
        <v>13.5</v>
      </c>
      <c r="R545" s="7" t="str">
        <f ca="1">IFERROR(__xludf.DUMMYFUNCTION("IMPORTXML(E545,""/html/body/main/div[3]/div[3]/div[2]/ul/li[7]/span[2]/span"")"),"Loading...")</f>
        <v>Loading...</v>
      </c>
      <c r="S545" s="7" t="str">
        <f ca="1">IFERROR(__xludf.DUMMYFUNCTION("IMPORTXML(E545,""/html/body/main/div[3]/div[3]/div[2]/ul/li[8]/span[2]/span"")"),"Loading...")</f>
        <v>Loading...</v>
      </c>
      <c r="T545" s="4">
        <v>34.6</v>
      </c>
      <c r="U545" s="4">
        <v>22.7</v>
      </c>
      <c r="V545" s="4">
        <v>2.6</v>
      </c>
      <c r="W545" s="4">
        <v>5.7</v>
      </c>
      <c r="X545" s="4">
        <v>519.92999999999995</v>
      </c>
      <c r="Y545" s="7">
        <f t="shared" ca="1" si="14"/>
        <v>12.370000000000005</v>
      </c>
    </row>
    <row r="546" spans="1:25" ht="15" x14ac:dyDescent="0.25">
      <c r="A546" s="4">
        <v>79</v>
      </c>
      <c r="C546" s="12" t="s">
        <v>1635</v>
      </c>
      <c r="D546" s="12" t="s">
        <v>1636</v>
      </c>
      <c r="E546" s="5" t="str">
        <f t="shared" si="10"/>
        <v>https://www.screener.in/company/TEJASNET/consolidated/</v>
      </c>
      <c r="F546" s="4">
        <v>443059</v>
      </c>
      <c r="G546" s="4">
        <v>3832241897</v>
      </c>
      <c r="H546" s="6">
        <f t="shared" ca="1" si="11"/>
        <v>225565.75805742003</v>
      </c>
      <c r="I546" s="7" t="str">
        <f ca="1">IFERROR(__xludf.DUMMYFUNCTION("IMPORTXML(E546,""/html/body/main/div[3]/div[3]/div[2]/ul/li[5]/span[2]/span"")"),"Loading...")</f>
        <v>Loading...</v>
      </c>
      <c r="J546" s="7">
        <f ca="1">IFERROR(__xludf.DUMMYFUNCTION("GOOGLEFINANCE(""NSE:""&amp;D546,""marketcap"")"),103608192982)</f>
        <v>103608192982</v>
      </c>
      <c r="K546" s="7">
        <v>992.8</v>
      </c>
      <c r="L546" s="8">
        <f ca="1">IFERROR(__xludf.DUMMYFUNCTION("GOOGLEFINANCE(""NSE:""&amp;D546,""price"")"),588.6)</f>
        <v>588.6</v>
      </c>
      <c r="M546" s="9">
        <f t="shared" ca="1" si="12"/>
        <v>-404.19999999999993</v>
      </c>
      <c r="N546" s="10">
        <f t="shared" ca="1" si="13"/>
        <v>-40.713134568896045</v>
      </c>
      <c r="O546" s="7">
        <f ca="1">IFERROR(__xludf.DUMMYFUNCTION("GOOGLEFINANCE(""NSE:""&amp;D546,""pe"")"),59.46)</f>
        <v>59.46</v>
      </c>
      <c r="P546" s="7">
        <f ca="1">IFERROR(__xludf.DUMMYFUNCTION("GOOGLEFINANCE(""NSE:""&amp;D546,""EPS"")"),9.9)</f>
        <v>9.9</v>
      </c>
      <c r="Q546" s="7">
        <v>13.5</v>
      </c>
      <c r="R546" s="7" t="str">
        <f ca="1">IFERROR(__xludf.DUMMYFUNCTION("IMPORTXML(E546,""/html/body/main/div[3]/div[3]/div[2]/ul/li[7]/span[2]/span"")"),"Loading...")</f>
        <v>Loading...</v>
      </c>
      <c r="S546" s="7" t="str">
        <f ca="1">IFERROR(__xludf.DUMMYFUNCTION("IMPORTXML(E546,""/html/body/main/div[3]/div[3]/div[2]/ul/li[8]/span[2]/span"")"),"Loading...")</f>
        <v>Loading...</v>
      </c>
      <c r="T546" s="4">
        <v>34.6</v>
      </c>
      <c r="U546" s="4">
        <v>22.7</v>
      </c>
      <c r="V546" s="4">
        <v>2.6</v>
      </c>
      <c r="W546" s="4">
        <v>5.7</v>
      </c>
      <c r="X546" s="4">
        <v>519.92999999999995</v>
      </c>
      <c r="Y546" s="7">
        <f t="shared" ca="1" si="14"/>
        <v>68.670000000000073</v>
      </c>
    </row>
    <row r="547" spans="1:25" ht="15" x14ac:dyDescent="0.25">
      <c r="A547" s="4">
        <v>804</v>
      </c>
      <c r="C547" s="12" t="s">
        <v>1637</v>
      </c>
      <c r="D547" s="12" t="s">
        <v>1638</v>
      </c>
      <c r="E547" s="5" t="str">
        <f t="shared" si="10"/>
        <v>https://www.screener.in/company/ECOSMOBLTY/consolidated/</v>
      </c>
      <c r="F547" s="4">
        <v>443059</v>
      </c>
      <c r="G547" s="4">
        <v>3832241897</v>
      </c>
      <c r="H547" s="6">
        <f t="shared" ca="1" si="11"/>
        <v>107647.67488672999</v>
      </c>
      <c r="I547" s="7" t="str">
        <f ca="1">IFERROR(__xludf.DUMMYFUNCTION("IMPORTXML(E547,""/html/body/main/div[3]/div[3]/div[2]/ul/li[5]/span[2]/span"")"),"Loading...")</f>
        <v>Loading...</v>
      </c>
      <c r="J547" s="7">
        <f ca="1">IFERROR(__xludf.DUMMYFUNCTION("GOOGLEFINANCE(""NSE:""&amp;D547,""marketcap"")"),16818000000)</f>
        <v>16818000000</v>
      </c>
      <c r="K547" s="7">
        <v>992.8</v>
      </c>
      <c r="L547" s="8">
        <f ca="1">IFERROR(__xludf.DUMMYFUNCTION("GOOGLEFINANCE(""NSE:""&amp;D547,""price"")"),280.9)</f>
        <v>280.89999999999998</v>
      </c>
      <c r="M547" s="9">
        <f t="shared" ca="1" si="12"/>
        <v>-711.9</v>
      </c>
      <c r="N547" s="10">
        <f t="shared" ca="1" si="13"/>
        <v>-71.706285253827559</v>
      </c>
      <c r="O547" s="7">
        <f ca="1">IFERROR(__xludf.DUMMYFUNCTION("GOOGLEFINANCE(""NSE:""&amp;D547,""pe"")"),28.17)</f>
        <v>28.17</v>
      </c>
      <c r="P547" s="7">
        <f ca="1">IFERROR(__xludf.DUMMYFUNCTION("GOOGLEFINANCE(""NSE:""&amp;D547,""EPS"")"),9.97)</f>
        <v>9.9700000000000006</v>
      </c>
      <c r="Q547" s="7">
        <v>13.5</v>
      </c>
      <c r="R547" s="7" t="str">
        <f ca="1">IFERROR(__xludf.DUMMYFUNCTION("IMPORTXML(E547,""/html/body/main/div[3]/div[3]/div[2]/ul/li[7]/span[2]/span"")"),"Loading...")</f>
        <v>Loading...</v>
      </c>
      <c r="S547" s="7" t="str">
        <f ca="1">IFERROR(__xludf.DUMMYFUNCTION("IMPORTXML(E547,""/html/body/main/div[3]/div[3]/div[2]/ul/li[8]/span[2]/span"")"),"Loading...")</f>
        <v>Loading...</v>
      </c>
      <c r="T547" s="4">
        <v>34.6</v>
      </c>
      <c r="U547" s="4">
        <v>22.7</v>
      </c>
      <c r="V547" s="4">
        <v>2.6</v>
      </c>
      <c r="W547" s="4">
        <v>5.7</v>
      </c>
      <c r="X547" s="4">
        <v>519.92999999999995</v>
      </c>
      <c r="Y547" s="7">
        <f t="shared" ca="1" si="14"/>
        <v>-239.02999999999997</v>
      </c>
    </row>
    <row r="548" spans="1:25" ht="15" x14ac:dyDescent="0.25">
      <c r="A548" s="4">
        <v>707</v>
      </c>
      <c r="C548" s="12" t="s">
        <v>1639</v>
      </c>
      <c r="D548" s="12" t="s">
        <v>1640</v>
      </c>
      <c r="E548" s="5" t="str">
        <f t="shared" si="10"/>
        <v>https://www.screener.in/company/FINOPB/consolidated/</v>
      </c>
      <c r="F548" s="4">
        <v>443059</v>
      </c>
      <c r="G548" s="4">
        <v>3832241897</v>
      </c>
      <c r="H548" s="6">
        <f t="shared" ca="1" si="11"/>
        <v>103470.531219</v>
      </c>
      <c r="I548" s="7" t="str">
        <f ca="1">IFERROR(__xludf.DUMMYFUNCTION("IMPORTXML(E548,""/html/body/main/div[3]/div[3]/div[2]/ul/li[5]/span[2]/span"")"),"Loading...")</f>
        <v>Loading...</v>
      </c>
      <c r="J548" s="7">
        <f ca="1">IFERROR(__xludf.DUMMYFUNCTION("GOOGLEFINANCE(""NSE:""&amp;D548,""marketcap"")"),22468968000)</f>
        <v>22468968000</v>
      </c>
      <c r="K548" s="7">
        <v>992.8</v>
      </c>
      <c r="L548" s="8">
        <f ca="1">IFERROR(__xludf.DUMMYFUNCTION("GOOGLEFINANCE(""NSE:""&amp;D548,""price"")"),270)</f>
        <v>270</v>
      </c>
      <c r="M548" s="9">
        <f t="shared" ca="1" si="12"/>
        <v>-722.8</v>
      </c>
      <c r="N548" s="10">
        <f t="shared" ca="1" si="13"/>
        <v>-72.804190169218373</v>
      </c>
      <c r="O548" s="7">
        <f ca="1">IFERROR(__xludf.DUMMYFUNCTION("GOOGLEFINANCE(""NSE:""&amp;D548,""pe"")"),26.22)</f>
        <v>26.22</v>
      </c>
      <c r="P548" s="7">
        <f ca="1">IFERROR(__xludf.DUMMYFUNCTION("GOOGLEFINANCE(""NSE:""&amp;D548,""EPS"")"),10.3)</f>
        <v>10.3</v>
      </c>
      <c r="Q548" s="7">
        <v>13.5</v>
      </c>
      <c r="R548" s="7" t="str">
        <f ca="1">IFERROR(__xludf.DUMMYFUNCTION("IMPORTXML(E548,""/html/body/main/div[3]/div[3]/div[2]/ul/li[7]/span[2]/span"")"),"Loading...")</f>
        <v>Loading...</v>
      </c>
      <c r="S548" s="7" t="str">
        <f ca="1">IFERROR(__xludf.DUMMYFUNCTION("IMPORTXML(E548,""/html/body/main/div[3]/div[3]/div[2]/ul/li[8]/span[2]/span"")"),"Loading...")</f>
        <v>Loading...</v>
      </c>
      <c r="T548" s="4">
        <v>34.6</v>
      </c>
      <c r="U548" s="4">
        <v>22.7</v>
      </c>
      <c r="V548" s="4">
        <v>2.6</v>
      </c>
      <c r="W548" s="4">
        <v>5.7</v>
      </c>
      <c r="X548" s="4">
        <v>519.92999999999995</v>
      </c>
      <c r="Y548" s="7">
        <f t="shared" ca="1" si="14"/>
        <v>-249.92999999999995</v>
      </c>
    </row>
    <row r="549" spans="1:25" ht="15" x14ac:dyDescent="0.25">
      <c r="A549" s="4">
        <v>1247</v>
      </c>
      <c r="C549" s="12" t="s">
        <v>1641</v>
      </c>
      <c r="D549" s="12" t="s">
        <v>1642</v>
      </c>
      <c r="E549" s="5" t="str">
        <f t="shared" si="10"/>
        <v>https://www.screener.in/company/MALLCOM/consolidated/</v>
      </c>
      <c r="F549" s="4">
        <v>443059</v>
      </c>
      <c r="G549" s="4">
        <v>3832241897</v>
      </c>
      <c r="H549" s="6">
        <f t="shared" ca="1" si="11"/>
        <v>485545.0483499</v>
      </c>
      <c r="I549" s="7" t="str">
        <f ca="1">IFERROR(__xludf.DUMMYFUNCTION("IMPORTXML(E549,""/html/body/main/div[3]/div[3]/div[2]/ul/li[5]/span[2]/span"")"),"Loading...")</f>
        <v>Loading...</v>
      </c>
      <c r="J549" s="7">
        <f ca="1">IFERROR(__xludf.DUMMYFUNCTION("GOOGLEFINANCE(""NSE:""&amp;D549,""marketcap"")"),7906080000)</f>
        <v>7906080000</v>
      </c>
      <c r="K549" s="7">
        <v>992.8</v>
      </c>
      <c r="L549" s="8">
        <f ca="1">IFERROR(__xludf.DUMMYFUNCTION("GOOGLEFINANCE(""NSE:""&amp;D549,""price"")"),1267)</f>
        <v>1267</v>
      </c>
      <c r="M549" s="9">
        <f t="shared" ca="1" si="12"/>
        <v>274.20000000000005</v>
      </c>
      <c r="N549" s="10">
        <f t="shared" ca="1" si="13"/>
        <v>27.618855761482681</v>
      </c>
      <c r="O549" s="7">
        <f ca="1">IFERROR(__xludf.DUMMYFUNCTION("GOOGLEFINANCE(""NSE:""&amp;D549,""pe"")"),13.46)</f>
        <v>13.46</v>
      </c>
      <c r="P549" s="7">
        <f ca="1">IFERROR(__xludf.DUMMYFUNCTION("GOOGLEFINANCE(""NSE:""&amp;D549,""EPS"")"),94.15)</f>
        <v>94.15</v>
      </c>
      <c r="Q549" s="7">
        <v>13.5</v>
      </c>
      <c r="R549" s="7" t="str">
        <f ca="1">IFERROR(__xludf.DUMMYFUNCTION("IMPORTXML(E549,""/html/body/main/div[3]/div[3]/div[2]/ul/li[7]/span[2]/span"")"),"Loading...")</f>
        <v>Loading...</v>
      </c>
      <c r="S549" s="7" t="str">
        <f ca="1">IFERROR(__xludf.DUMMYFUNCTION("IMPORTXML(E549,""/html/body/main/div[3]/div[3]/div[2]/ul/li[8]/span[2]/span"")"),"Loading...")</f>
        <v>Loading...</v>
      </c>
      <c r="T549" s="4">
        <v>34.6</v>
      </c>
      <c r="U549" s="4">
        <v>22.7</v>
      </c>
      <c r="V549" s="4">
        <v>2.6</v>
      </c>
      <c r="W549" s="4">
        <v>5.7</v>
      </c>
      <c r="X549" s="4">
        <v>519.92999999999995</v>
      </c>
      <c r="Y549" s="7">
        <f t="shared" ca="1" si="14"/>
        <v>747.07</v>
      </c>
    </row>
    <row r="550" spans="1:25" ht="15" x14ac:dyDescent="0.25">
      <c r="A550" s="4">
        <v>135</v>
      </c>
      <c r="C550" s="12" t="s">
        <v>1643</v>
      </c>
      <c r="D550" s="12" t="s">
        <v>1644</v>
      </c>
      <c r="E550" s="5" t="str">
        <f t="shared" si="10"/>
        <v>https://www.screener.in/company/JAIBALAJI/consolidated/</v>
      </c>
      <c r="F550" s="4">
        <v>443059</v>
      </c>
      <c r="G550" s="4">
        <v>3832241897</v>
      </c>
      <c r="H550" s="6">
        <f t="shared" ca="1" si="11"/>
        <v>39088.867349400003</v>
      </c>
      <c r="I550" s="7" t="str">
        <f ca="1">IFERROR(__xludf.DUMMYFUNCTION("IMPORTXML(E550,""/html/body/main/div[3]/div[3]/div[2]/ul/li[5]/span[2]/span"")"),"Loading...")</f>
        <v>Loading...</v>
      </c>
      <c r="J550" s="7">
        <f ca="1">IFERROR(__xludf.DUMMYFUNCTION("GOOGLEFINANCE(""NSE:""&amp;D550,""marketcap"")"),93049650000)</f>
        <v>93049650000</v>
      </c>
      <c r="K550" s="7">
        <v>992.8</v>
      </c>
      <c r="L550" s="8">
        <f ca="1">IFERROR(__xludf.DUMMYFUNCTION("GOOGLEFINANCE(""NSE:""&amp;D550,""price"")"),102)</f>
        <v>102</v>
      </c>
      <c r="M550" s="9">
        <f t="shared" ca="1" si="12"/>
        <v>-890.8</v>
      </c>
      <c r="N550" s="10">
        <f t="shared" ca="1" si="13"/>
        <v>-89.726027397260282</v>
      </c>
      <c r="O550" s="7">
        <f ca="1">IFERROR(__xludf.DUMMYFUNCTION("GOOGLEFINANCE(""NSE:""&amp;D550,""pe"")"),28.75)</f>
        <v>28.75</v>
      </c>
      <c r="P550" s="7">
        <f ca="1">IFERROR(__xludf.DUMMYFUNCTION("GOOGLEFINANCE(""NSE:""&amp;D550,""EPS"")"),3.55)</f>
        <v>3.55</v>
      </c>
      <c r="Q550" s="7">
        <v>13.5</v>
      </c>
      <c r="R550" s="7" t="str">
        <f ca="1">IFERROR(__xludf.DUMMYFUNCTION("IMPORTXML(E550,""/html/body/main/div[3]/div[3]/div[2]/ul/li[7]/span[2]/span"")"),"Loading...")</f>
        <v>Loading...</v>
      </c>
      <c r="S550" s="7" t="str">
        <f ca="1">IFERROR(__xludf.DUMMYFUNCTION("IMPORTXML(E550,""/html/body/main/div[3]/div[3]/div[2]/ul/li[8]/span[2]/span"")"),"Loading...")</f>
        <v>Loading...</v>
      </c>
      <c r="T550" s="4">
        <v>34.6</v>
      </c>
      <c r="U550" s="4">
        <v>22.7</v>
      </c>
      <c r="V550" s="4">
        <v>2.6</v>
      </c>
      <c r="W550" s="4">
        <v>5.7</v>
      </c>
      <c r="X550" s="4">
        <v>519.92999999999995</v>
      </c>
      <c r="Y550" s="7">
        <f t="shared" ca="1" si="14"/>
        <v>-417.92999999999995</v>
      </c>
    </row>
    <row r="551" spans="1:25" ht="15" x14ac:dyDescent="0.25">
      <c r="A551" s="4">
        <v>362</v>
      </c>
      <c r="C551" s="12" t="s">
        <v>1645</v>
      </c>
      <c r="D551" s="12" t="s">
        <v>1646</v>
      </c>
      <c r="E551" s="5" t="str">
        <f t="shared" si="10"/>
        <v>https://www.screener.in/company/TCI/consolidated/</v>
      </c>
      <c r="F551" s="4">
        <v>443059</v>
      </c>
      <c r="G551" s="4">
        <v>3832241897</v>
      </c>
      <c r="H551" s="6">
        <f t="shared" ca="1" si="11"/>
        <v>440707.81815499999</v>
      </c>
      <c r="I551" s="7" t="str">
        <f ca="1">IFERROR(__xludf.DUMMYFUNCTION("IMPORTXML(E551,""/html/body/main/div[3]/div[3]/div[2]/ul/li[5]/span[2]/span"")"),"Loading...")</f>
        <v>Loading...</v>
      </c>
      <c r="J551" s="7">
        <f ca="1">IFERROR(__xludf.DUMMYFUNCTION("GOOGLEFINANCE(""NSE:""&amp;D551,""marketcap"")"),88201960000)</f>
        <v>88201960000</v>
      </c>
      <c r="K551" s="7">
        <v>992.8</v>
      </c>
      <c r="L551" s="8">
        <f ca="1">IFERROR(__xludf.DUMMYFUNCTION("GOOGLEFINANCE(""NSE:""&amp;D551,""price"")"),1150)</f>
        <v>1150</v>
      </c>
      <c r="M551" s="9">
        <f t="shared" ca="1" si="12"/>
        <v>157.20000000000005</v>
      </c>
      <c r="N551" s="10">
        <f t="shared" ca="1" si="13"/>
        <v>15.834004834810642</v>
      </c>
      <c r="O551" s="7">
        <f ca="1">IFERROR(__xludf.DUMMYFUNCTION("GOOGLEFINANCE(""NSE:""&amp;D551,""pe"")"),20.76)</f>
        <v>20.76</v>
      </c>
      <c r="P551" s="7">
        <f ca="1">IFERROR(__xludf.DUMMYFUNCTION("GOOGLEFINANCE(""NSE:""&amp;D551,""EPS"")"),55.39)</f>
        <v>55.39</v>
      </c>
      <c r="Q551" s="7">
        <v>13.5</v>
      </c>
      <c r="R551" s="7" t="str">
        <f ca="1">IFERROR(__xludf.DUMMYFUNCTION("IMPORTXML(E551,""/html/body/main/div[3]/div[3]/div[2]/ul/li[7]/span[2]/span"")"),"Loading...")</f>
        <v>Loading...</v>
      </c>
      <c r="S551" s="7">
        <f ca="1">IFERROR(__xludf.DUMMYFUNCTION("IMPORTXML(E551,""/html/body/main/div[3]/div[3]/div[2]/ul/li[8]/span[2]/span"")"),19.8)</f>
        <v>19.8</v>
      </c>
      <c r="T551" s="4">
        <v>34.6</v>
      </c>
      <c r="U551" s="4">
        <v>22.7</v>
      </c>
      <c r="V551" s="4">
        <v>2.6</v>
      </c>
      <c r="W551" s="4">
        <v>5.7</v>
      </c>
      <c r="X551" s="4">
        <v>519.92999999999995</v>
      </c>
      <c r="Y551" s="7">
        <f t="shared" ca="1" si="14"/>
        <v>630.07000000000005</v>
      </c>
    </row>
    <row r="552" spans="1:25" ht="15" x14ac:dyDescent="0.25">
      <c r="A552" s="4">
        <v>820</v>
      </c>
      <c r="C552" s="12" t="s">
        <v>1647</v>
      </c>
      <c r="D552" s="12" t="s">
        <v>1648</v>
      </c>
      <c r="E552" s="5" t="str">
        <f t="shared" si="10"/>
        <v>https://www.screener.in/company/UNIVCABLES/consolidated/</v>
      </c>
      <c r="F552" s="4">
        <v>443059</v>
      </c>
      <c r="G552" s="4">
        <v>3832241897</v>
      </c>
      <c r="H552" s="6">
        <f t="shared" ca="1" si="11"/>
        <v>273928.65079755994</v>
      </c>
      <c r="I552" s="7" t="str">
        <f ca="1">IFERROR(__xludf.DUMMYFUNCTION("IMPORTXML(E552,""/html/body/main/div[3]/div[3]/div[2]/ul/li[5]/span[2]/span"")"),"Loading...")</f>
        <v>Loading...</v>
      </c>
      <c r="J552" s="7">
        <f ca="1">IFERROR(__xludf.DUMMYFUNCTION("GOOGLEFINANCE(""NSE:""&amp;D552,""marketcap"")"),24559130000)</f>
        <v>24559130000</v>
      </c>
      <c r="K552" s="7">
        <v>992.8</v>
      </c>
      <c r="L552" s="8">
        <f ca="1">IFERROR(__xludf.DUMMYFUNCTION("GOOGLEFINANCE(""NSE:""&amp;D552,""price"")"),714.8)</f>
        <v>714.8</v>
      </c>
      <c r="M552" s="9">
        <f t="shared" ca="1" si="12"/>
        <v>-278</v>
      </c>
      <c r="N552" s="10">
        <f t="shared" ca="1" si="13"/>
        <v>-28.001611603545527</v>
      </c>
      <c r="O552" s="7">
        <f ca="1">IFERROR(__xludf.DUMMYFUNCTION("GOOGLEFINANCE(""NSE:""&amp;D552,""pe"")"),21.25)</f>
        <v>21.25</v>
      </c>
      <c r="P552" s="7">
        <f ca="1">IFERROR(__xludf.DUMMYFUNCTION("GOOGLEFINANCE(""NSE:""&amp;D552,""EPS"")"),33.64)</f>
        <v>33.64</v>
      </c>
      <c r="Q552" s="7">
        <v>13.5</v>
      </c>
      <c r="R552" s="7" t="str">
        <f ca="1">IFERROR(__xludf.DUMMYFUNCTION("IMPORTXML(E552,""/html/body/main/div[3]/div[3]/div[2]/ul/li[7]/span[2]/span"")"),"Loading...")</f>
        <v>Loading...</v>
      </c>
      <c r="S552" s="7" t="str">
        <f ca="1">IFERROR(__xludf.DUMMYFUNCTION("IMPORTXML(E552,""/html/body/main/div[3]/div[3]/div[2]/ul/li[8]/span[2]/span"")"),"Loading...")</f>
        <v>Loading...</v>
      </c>
      <c r="T552" s="4">
        <v>34.6</v>
      </c>
      <c r="U552" s="4">
        <v>22.7</v>
      </c>
      <c r="V552" s="4">
        <v>2.6</v>
      </c>
      <c r="W552" s="4">
        <v>5.7</v>
      </c>
      <c r="X552" s="4">
        <v>519.92999999999995</v>
      </c>
      <c r="Y552" s="7">
        <f t="shared" ca="1" si="14"/>
        <v>194.87</v>
      </c>
    </row>
    <row r="553" spans="1:25" ht="15" x14ac:dyDescent="0.25">
      <c r="A553" s="4">
        <v>1793</v>
      </c>
      <c r="C553" s="12" t="s">
        <v>1649</v>
      </c>
      <c r="D553" s="12" t="s">
        <v>1650</v>
      </c>
      <c r="E553" s="5" t="str">
        <f t="shared" si="10"/>
        <v>https://www.screener.in/company/NECCLTD/consolidated/</v>
      </c>
      <c r="F553" s="4">
        <v>443059</v>
      </c>
      <c r="G553" s="4">
        <v>3832241897</v>
      </c>
      <c r="H553" s="6">
        <f t="shared" ca="1" si="11"/>
        <v>7905.9150335109998</v>
      </c>
      <c r="I553" s="7" t="str">
        <f ca="1">IFERROR(__xludf.DUMMYFUNCTION("IMPORTXML(E553,""/html/body/main/div[3]/div[3]/div[2]/ul/li[5]/span[2]/span"")"),"Loading...")</f>
        <v>Loading...</v>
      </c>
      <c r="J553" s="7">
        <f ca="1">IFERROR(__xludf.DUMMYFUNCTION("GOOGLEFINANCE(""NSE:""&amp;D553,""marketcap"")"),2080991344)</f>
        <v>2080991344</v>
      </c>
      <c r="K553" s="7">
        <v>992.8</v>
      </c>
      <c r="L553" s="8">
        <f ca="1">IFERROR(__xludf.DUMMYFUNCTION("GOOGLEFINANCE(""NSE:""&amp;D553,""price"")"),20.63)</f>
        <v>20.63</v>
      </c>
      <c r="M553" s="9">
        <f t="shared" ca="1" si="12"/>
        <v>-972.17</v>
      </c>
      <c r="N553" s="10">
        <f t="shared" ca="1" si="13"/>
        <v>-97.922038678485094</v>
      </c>
      <c r="O553" s="7">
        <f ca="1">IFERROR(__xludf.DUMMYFUNCTION("GOOGLEFINANCE(""NSE:""&amp;D553,""pe"")"),24.11)</f>
        <v>24.11</v>
      </c>
      <c r="P553" s="7">
        <f ca="1">IFERROR(__xludf.DUMMYFUNCTION("GOOGLEFINANCE(""NSE:""&amp;D553,""EPS"")"),0.86)</f>
        <v>0.86</v>
      </c>
      <c r="Q553" s="7">
        <v>13.5</v>
      </c>
      <c r="R553" s="7" t="str">
        <f ca="1">IFERROR(__xludf.DUMMYFUNCTION("IMPORTXML(E553,""/html/body/main/div[3]/div[3]/div[2]/ul/li[7]/span[2]/span"")"),"Loading...")</f>
        <v>Loading...</v>
      </c>
      <c r="S553" s="7" t="str">
        <f ca="1">IFERROR(__xludf.DUMMYFUNCTION("IMPORTXML(E553,""/html/body/main/div[3]/div[3]/div[2]/ul/li[8]/span[2]/span"")"),"Loading...")</f>
        <v>Loading...</v>
      </c>
      <c r="T553" s="4">
        <v>34.6</v>
      </c>
      <c r="U553" s="4">
        <v>22.7</v>
      </c>
      <c r="V553" s="4">
        <v>2.6</v>
      </c>
      <c r="W553" s="4">
        <v>5.7</v>
      </c>
      <c r="X553" s="4">
        <v>519.92999999999995</v>
      </c>
      <c r="Y553" s="7">
        <f t="shared" ca="1" si="14"/>
        <v>-499.29999999999995</v>
      </c>
    </row>
    <row r="554" spans="1:25" ht="15" x14ac:dyDescent="0.25">
      <c r="A554" s="4">
        <v>216</v>
      </c>
      <c r="C554" s="12" t="s">
        <v>1651</v>
      </c>
      <c r="D554" s="12" t="s">
        <v>1652</v>
      </c>
      <c r="E554" s="5" t="str">
        <f t="shared" si="10"/>
        <v>https://www.screener.in/company/ZEEL/consolidated/</v>
      </c>
      <c r="F554" s="4">
        <v>443059</v>
      </c>
      <c r="G554" s="4">
        <v>3832241897</v>
      </c>
      <c r="H554" s="6">
        <f t="shared" ca="1" si="11"/>
        <v>44492.328424169995</v>
      </c>
      <c r="I554" s="7" t="str">
        <f ca="1">IFERROR(__xludf.DUMMYFUNCTION("IMPORTXML(E554,""/html/body/main/div[3]/div[3]/div[2]/ul/li[5]/span[2]/span"")"),"Loading...")</f>
        <v>Loading...</v>
      </c>
      <c r="J554" s="7">
        <f ca="1">IFERROR(__xludf.DUMMYFUNCTION("GOOGLEFINANCE(""NSE:""&amp;D554,""marketcap"")"),111308217100)</f>
        <v>111308217100</v>
      </c>
      <c r="K554" s="7">
        <v>992.8</v>
      </c>
      <c r="L554" s="8">
        <f ca="1">IFERROR(__xludf.DUMMYFUNCTION("GOOGLEFINANCE(""NSE:""&amp;D554,""price"")"),116.1)</f>
        <v>116.1</v>
      </c>
      <c r="M554" s="9">
        <f t="shared" ca="1" si="12"/>
        <v>-876.69999999999993</v>
      </c>
      <c r="N554" s="10">
        <f t="shared" ca="1" si="13"/>
        <v>-88.305801772763886</v>
      </c>
      <c r="O554" s="7">
        <f ca="1">IFERROR(__xludf.DUMMYFUNCTION("GOOGLEFINANCE(""NSE:""&amp;D554,""pe"")"),15.94)</f>
        <v>15.94</v>
      </c>
      <c r="P554" s="7">
        <f ca="1">IFERROR(__xludf.DUMMYFUNCTION("GOOGLEFINANCE(""NSE:""&amp;D554,""EPS"")"),7.28)</f>
        <v>7.28</v>
      </c>
      <c r="Q554" s="7">
        <v>13.5</v>
      </c>
      <c r="R554" s="7" t="str">
        <f ca="1">IFERROR(__xludf.DUMMYFUNCTION("IMPORTXML(E554,""/html/body/main/div[3]/div[3]/div[2]/ul/li[7]/span[2]/span"")"),"Loading...")</f>
        <v>Loading...</v>
      </c>
      <c r="S554" s="7" t="str">
        <f ca="1">IFERROR(__xludf.DUMMYFUNCTION("IMPORTXML(E554,""/html/body/main/div[3]/div[3]/div[2]/ul/li[8]/span[2]/span"")"),"Loading...")</f>
        <v>Loading...</v>
      </c>
      <c r="T554" s="4">
        <v>34.6</v>
      </c>
      <c r="U554" s="4">
        <v>22.7</v>
      </c>
      <c r="V554" s="4">
        <v>2.6</v>
      </c>
      <c r="W554" s="4">
        <v>5.7</v>
      </c>
      <c r="X554" s="4">
        <v>519.92999999999995</v>
      </c>
      <c r="Y554" s="7">
        <f t="shared" ca="1" si="14"/>
        <v>-403.82999999999993</v>
      </c>
    </row>
    <row r="555" spans="1:25" ht="15" x14ac:dyDescent="0.25">
      <c r="A555" s="4">
        <v>2388</v>
      </c>
      <c r="C555" s="12" t="s">
        <v>1653</v>
      </c>
      <c r="D555" s="12" t="s">
        <v>1654</v>
      </c>
      <c r="E555" s="5" t="str">
        <f t="shared" si="10"/>
        <v>https://www.screener.in/company/AARVEEDEN/consolidated/</v>
      </c>
      <c r="F555" s="4">
        <v>443059</v>
      </c>
      <c r="G555" s="4">
        <v>3832241897</v>
      </c>
      <c r="H555" s="6">
        <f t="shared" ca="1" si="11"/>
        <v>67826.849335003004</v>
      </c>
      <c r="I555" s="7" t="str">
        <f ca="1">IFERROR(__xludf.DUMMYFUNCTION("IMPORTXML(E555,""/html/body/main/div[3]/div[3]/div[2]/ul/li[5]/span[2]/span"")"),"Loading...")</f>
        <v>Loading...</v>
      </c>
      <c r="J555" s="7">
        <f ca="1">IFERROR(__xludf.DUMMYFUNCTION("GOOGLEFINANCE(""NSE:""&amp;D555,""marketcap"")"),4110104933)</f>
        <v>4110104933</v>
      </c>
      <c r="K555" s="7">
        <v>992.8</v>
      </c>
      <c r="L555" s="8">
        <f ca="1">IFERROR(__xludf.DUMMYFUNCTION("GOOGLEFINANCE(""NSE:""&amp;D555,""price"")"),176.99)</f>
        <v>176.99</v>
      </c>
      <c r="M555" s="9">
        <f t="shared" ca="1" si="12"/>
        <v>-815.81</v>
      </c>
      <c r="N555" s="10">
        <f t="shared" ca="1" si="13"/>
        <v>-82.172643029814665</v>
      </c>
      <c r="O555" s="7">
        <f ca="1">IFERROR(__xludf.DUMMYFUNCTION("GOOGLEFINANCE(""NSE:""&amp;D555,""pe"")"),26.54)</f>
        <v>26.54</v>
      </c>
      <c r="P555" s="7">
        <f ca="1">IFERROR(__xludf.DUMMYFUNCTION("GOOGLEFINANCE(""NSE:""&amp;D555,""EPS"")"),6.67)</f>
        <v>6.67</v>
      </c>
      <c r="Q555" s="7">
        <v>13.5</v>
      </c>
      <c r="R555" s="7" t="str">
        <f ca="1">IFERROR(__xludf.DUMMYFUNCTION("IMPORTXML(E555,""/html/body/main/div[3]/div[3]/div[2]/ul/li[7]/span[2]/span"")"),"Loading...")</f>
        <v>Loading...</v>
      </c>
      <c r="S555" s="7" t="str">
        <f ca="1">IFERROR(__xludf.DUMMYFUNCTION("IMPORTXML(E555,""/html/body/main/div[3]/div[3]/div[2]/ul/li[8]/span[2]/span"")"),"Loading...")</f>
        <v>Loading...</v>
      </c>
      <c r="T555" s="4">
        <v>34.6</v>
      </c>
      <c r="U555" s="4">
        <v>22.7</v>
      </c>
      <c r="V555" s="4">
        <v>2.6</v>
      </c>
      <c r="W555" s="4">
        <v>5.7</v>
      </c>
      <c r="X555" s="4">
        <v>519.92999999999995</v>
      </c>
      <c r="Y555" s="7">
        <f t="shared" ca="1" si="14"/>
        <v>-342.93999999999994</v>
      </c>
    </row>
    <row r="556" spans="1:25" ht="15" x14ac:dyDescent="0.25">
      <c r="A556" s="4">
        <v>298</v>
      </c>
      <c r="C556" s="12" t="s">
        <v>1655</v>
      </c>
      <c r="D556" s="12" t="s">
        <v>1656</v>
      </c>
      <c r="E556" s="5" t="str">
        <f t="shared" si="10"/>
        <v>https://www.screener.in/company/FORCEMOT/consolidated/</v>
      </c>
      <c r="F556" s="4">
        <v>443059</v>
      </c>
      <c r="G556" s="4">
        <v>3832241897</v>
      </c>
      <c r="H556" s="6">
        <f t="shared" ca="1" si="11"/>
        <v>6776170.1222754</v>
      </c>
      <c r="I556" s="7" t="str">
        <f ca="1">IFERROR(__xludf.DUMMYFUNCTION("IMPORTXML(E556,""/html/body/main/div[3]/div[3]/div[2]/ul/li[5]/span[2]/span"")"),"Loading...")</f>
        <v>Loading...</v>
      </c>
      <c r="J556" s="7">
        <f ca="1">IFERROR(__xludf.DUMMYFUNCTION("GOOGLEFINANCE(""NSE:""&amp;D556,""marketcap"")"),233312732566)</f>
        <v>233312732566</v>
      </c>
      <c r="K556" s="7">
        <v>992.8</v>
      </c>
      <c r="L556" s="8">
        <f ca="1">IFERROR(__xludf.DUMMYFUNCTION("GOOGLEFINANCE(""NSE:""&amp;D556,""price"")"),17682)</f>
        <v>17682</v>
      </c>
      <c r="M556" s="9">
        <f t="shared" ca="1" si="12"/>
        <v>16689.2</v>
      </c>
      <c r="N556" s="10">
        <f t="shared" ca="1" si="13"/>
        <v>1681.0233682514101</v>
      </c>
      <c r="O556" s="7">
        <f ca="1">IFERROR(__xludf.DUMMYFUNCTION("GOOGLEFINANCE(""NSE:""&amp;D556,""pe"")"),27.05)</f>
        <v>27.05</v>
      </c>
      <c r="P556" s="7">
        <f ca="1">IFERROR(__xludf.DUMMYFUNCTION("GOOGLEFINANCE(""NSE:""&amp;D556,""EPS"")"),653.74)</f>
        <v>653.74</v>
      </c>
      <c r="Q556" s="7">
        <v>13.5</v>
      </c>
      <c r="R556" s="7" t="str">
        <f ca="1">IFERROR(__xludf.DUMMYFUNCTION("IMPORTXML(E556,""/html/body/main/div[3]/div[3]/div[2]/ul/li[7]/span[2]/span"")"),"Loading...")</f>
        <v>Loading...</v>
      </c>
      <c r="S556" s="7" t="str">
        <f ca="1">IFERROR(__xludf.DUMMYFUNCTION("IMPORTXML(E556,""/html/body/main/div[3]/div[3]/div[2]/ul/li[8]/span[2]/span"")"),"Loading...")</f>
        <v>Loading...</v>
      </c>
      <c r="T556" s="4">
        <v>34.6</v>
      </c>
      <c r="U556" s="4">
        <v>22.7</v>
      </c>
      <c r="V556" s="4">
        <v>2.6</v>
      </c>
      <c r="W556" s="4">
        <v>5.7</v>
      </c>
      <c r="X556" s="4">
        <v>519.92999999999995</v>
      </c>
      <c r="Y556" s="7">
        <f t="shared" ca="1" si="14"/>
        <v>17162.07</v>
      </c>
    </row>
    <row r="557" spans="1:25" ht="15" x14ac:dyDescent="0.25">
      <c r="A557" s="4">
        <v>802</v>
      </c>
      <c r="C557" s="12" t="s">
        <v>1657</v>
      </c>
      <c r="D557" s="12" t="s">
        <v>1658</v>
      </c>
      <c r="E557" s="5" t="str">
        <f t="shared" si="10"/>
        <v>https://www.screener.in/company/DREAMFOLKS/consolidated/</v>
      </c>
      <c r="F557" s="4">
        <v>443059</v>
      </c>
      <c r="G557" s="4">
        <v>3832241897</v>
      </c>
      <c r="H557" s="6">
        <f t="shared" ca="1" si="11"/>
        <v>53651.386557999998</v>
      </c>
      <c r="I557" s="7" t="str">
        <f ca="1">IFERROR(__xludf.DUMMYFUNCTION("IMPORTXML(E557,""/html/body/main/div[3]/div[3]/div[2]/ul/li[5]/span[2]/span"")"),"Loading...")</f>
        <v>Loading...</v>
      </c>
      <c r="J557" s="7">
        <f ca="1">IFERROR(__xludf.DUMMYFUNCTION("GOOGLEFINANCE(""NSE:""&amp;D557,""marketcap"")"),7457780400)</f>
        <v>7457780400</v>
      </c>
      <c r="K557" s="7">
        <v>992.8</v>
      </c>
      <c r="L557" s="8">
        <f ca="1">IFERROR(__xludf.DUMMYFUNCTION("GOOGLEFINANCE(""NSE:""&amp;D557,""price"")"),140)</f>
        <v>140</v>
      </c>
      <c r="M557" s="9">
        <f t="shared" ca="1" si="12"/>
        <v>-852.8</v>
      </c>
      <c r="N557" s="10">
        <f t="shared" ca="1" si="13"/>
        <v>-85.898468976631747</v>
      </c>
      <c r="O557" s="7">
        <f ca="1">IFERROR(__xludf.DUMMYFUNCTION("GOOGLEFINANCE(""NSE:""&amp;D557,""pe"")"),10.95)</f>
        <v>10.95</v>
      </c>
      <c r="P557" s="7">
        <f ca="1">IFERROR(__xludf.DUMMYFUNCTION("GOOGLEFINANCE(""NSE:""&amp;D557,""EPS"")"),12.79)</f>
        <v>12.79</v>
      </c>
      <c r="Q557" s="7">
        <v>13.5</v>
      </c>
      <c r="R557" s="7" t="str">
        <f ca="1">IFERROR(__xludf.DUMMYFUNCTION("IMPORTXML(E557,""/html/body/main/div[3]/div[3]/div[2]/ul/li[7]/span[2]/span"")"),"Loading...")</f>
        <v>Loading...</v>
      </c>
      <c r="S557" s="7" t="str">
        <f ca="1">IFERROR(__xludf.DUMMYFUNCTION("IMPORTXML(E557,""/html/body/main/div[3]/div[3]/div[2]/ul/li[8]/span[2]/span"")"),"Loading...")</f>
        <v>Loading...</v>
      </c>
      <c r="T557" s="4">
        <v>34.6</v>
      </c>
      <c r="U557" s="4">
        <v>22.7</v>
      </c>
      <c r="V557" s="4">
        <v>2.6</v>
      </c>
      <c r="W557" s="4">
        <v>5.7</v>
      </c>
      <c r="X557" s="4">
        <v>519.92999999999995</v>
      </c>
      <c r="Y557" s="7">
        <f t="shared" ca="1" si="14"/>
        <v>-379.92999999999995</v>
      </c>
    </row>
    <row r="558" spans="1:25" ht="15" x14ac:dyDescent="0.25">
      <c r="A558" s="4">
        <v>906</v>
      </c>
      <c r="C558" s="12" t="s">
        <v>1659</v>
      </c>
      <c r="D558" s="12" t="s">
        <v>1660</v>
      </c>
      <c r="E558" s="5" t="str">
        <f t="shared" si="10"/>
        <v>https://www.screener.in/company/JINDRILL/consolidated/</v>
      </c>
      <c r="F558" s="4">
        <v>443059</v>
      </c>
      <c r="G558" s="4">
        <v>3832241897</v>
      </c>
      <c r="H558" s="6">
        <f t="shared" ca="1" si="11"/>
        <v>233076.95217554003</v>
      </c>
      <c r="I558" s="7" t="str">
        <f ca="1">IFERROR(__xludf.DUMMYFUNCTION("IMPORTXML(E558,""/html/body/main/div[3]/div[3]/div[2]/ul/li[5]/span[2]/span"")"),"Loading...")</f>
        <v>Loading...</v>
      </c>
      <c r="J558" s="7">
        <f ca="1">IFERROR(__xludf.DUMMYFUNCTION("GOOGLEFINANCE(""NSE:""&amp;D558,""marketcap"")"),17649448238)</f>
        <v>17649448238</v>
      </c>
      <c r="K558" s="7">
        <v>992.8</v>
      </c>
      <c r="L558" s="8">
        <f ca="1">IFERROR(__xludf.DUMMYFUNCTION("GOOGLEFINANCE(""NSE:""&amp;D558,""price"")"),608.2)</f>
        <v>608.20000000000005</v>
      </c>
      <c r="M558" s="9">
        <f t="shared" ca="1" si="12"/>
        <v>-384.59999999999991</v>
      </c>
      <c r="N558" s="10">
        <f t="shared" ca="1" si="13"/>
        <v>-38.73892022562449</v>
      </c>
      <c r="O558" s="7">
        <f ca="1">IFERROR(__xludf.DUMMYFUNCTION("GOOGLEFINANCE(""NSE:""&amp;D558,""pe"")"),7.71)</f>
        <v>7.71</v>
      </c>
      <c r="P558" s="7">
        <f ca="1">IFERROR(__xludf.DUMMYFUNCTION("GOOGLEFINANCE(""NSE:""&amp;D558,""EPS"")"),78.85)</f>
        <v>78.849999999999994</v>
      </c>
      <c r="Q558" s="7">
        <v>13.5</v>
      </c>
      <c r="R558" s="7" t="str">
        <f ca="1">IFERROR(__xludf.DUMMYFUNCTION("IMPORTXML(E558,""/html/body/main/div[3]/div[3]/div[2]/ul/li[7]/span[2]/span"")"),"Loading...")</f>
        <v>Loading...</v>
      </c>
      <c r="S558" s="7" t="str">
        <f ca="1">IFERROR(__xludf.DUMMYFUNCTION("IMPORTXML(E558,""/html/body/main/div[3]/div[3]/div[2]/ul/li[8]/span[2]/span"")"),"Loading...")</f>
        <v>Loading...</v>
      </c>
      <c r="T558" s="4">
        <v>34.6</v>
      </c>
      <c r="U558" s="4">
        <v>22.7</v>
      </c>
      <c r="V558" s="4">
        <v>2.6</v>
      </c>
      <c r="W558" s="4">
        <v>5.7</v>
      </c>
      <c r="X558" s="4">
        <v>519.92999999999995</v>
      </c>
      <c r="Y558" s="7">
        <f t="shared" ca="1" si="14"/>
        <v>88.270000000000095</v>
      </c>
    </row>
    <row r="559" spans="1:25" ht="15" x14ac:dyDescent="0.25">
      <c r="A559" s="4">
        <v>1228</v>
      </c>
      <c r="C559" s="12" t="s">
        <v>1661</v>
      </c>
      <c r="D559" s="12" t="s">
        <v>1662</v>
      </c>
      <c r="E559" s="5" t="str">
        <f t="shared" si="10"/>
        <v>https://www.screener.in/company/PRIMESECU/consolidated/</v>
      </c>
      <c r="F559" s="4">
        <v>443059</v>
      </c>
      <c r="G559" s="4">
        <v>3832241897</v>
      </c>
      <c r="H559" s="6">
        <f t="shared" ca="1" si="11"/>
        <v>102895.69493445</v>
      </c>
      <c r="I559" s="7" t="str">
        <f ca="1">IFERROR(__xludf.DUMMYFUNCTION("IMPORTXML(E559,""/html/body/main/div[3]/div[3]/div[2]/ul/li[5]/span[2]/span"")"),"Loading...")</f>
        <v>Loading...</v>
      </c>
      <c r="J559" s="7">
        <f ca="1">IFERROR(__xludf.DUMMYFUNCTION("GOOGLEFINANCE(""NSE:""&amp;D559,""marketcap"")"),8981619000)</f>
        <v>8981619000</v>
      </c>
      <c r="K559" s="7">
        <v>992.8</v>
      </c>
      <c r="L559" s="8">
        <f ca="1">IFERROR(__xludf.DUMMYFUNCTION("GOOGLEFINANCE(""NSE:""&amp;D559,""price"")"),268.5)</f>
        <v>268.5</v>
      </c>
      <c r="M559" s="9">
        <f t="shared" ca="1" si="12"/>
        <v>-724.3</v>
      </c>
      <c r="N559" s="10">
        <f t="shared" ca="1" si="13"/>
        <v>-72.955278001611603</v>
      </c>
      <c r="O559" s="7">
        <f ca="1">IFERROR(__xludf.DUMMYFUNCTION("GOOGLEFINANCE(""NSE:""&amp;D559,""pe"")"),24.97)</f>
        <v>24.97</v>
      </c>
      <c r="P559" s="7">
        <f ca="1">IFERROR(__xludf.DUMMYFUNCTION("GOOGLEFINANCE(""NSE:""&amp;D559,""EPS"")"),10.75)</f>
        <v>10.75</v>
      </c>
      <c r="Q559" s="7">
        <v>13.5</v>
      </c>
      <c r="R559" s="7" t="str">
        <f ca="1">IFERROR(__xludf.DUMMYFUNCTION("IMPORTXML(E559,""/html/body/main/div[3]/div[3]/div[2]/ul/li[7]/span[2]/span"")"),"Loading...")</f>
        <v>Loading...</v>
      </c>
      <c r="S559" s="7" t="str">
        <f ca="1">IFERROR(__xludf.DUMMYFUNCTION("IMPORTXML(E559,""/html/body/main/div[3]/div[3]/div[2]/ul/li[8]/span[2]/span"")"),"Loading...")</f>
        <v>Loading...</v>
      </c>
      <c r="T559" s="4">
        <v>34.6</v>
      </c>
      <c r="U559" s="4">
        <v>22.7</v>
      </c>
      <c r="V559" s="4">
        <v>2.6</v>
      </c>
      <c r="W559" s="4">
        <v>5.7</v>
      </c>
      <c r="X559" s="4">
        <v>519.92999999999995</v>
      </c>
      <c r="Y559" s="7">
        <f t="shared" ca="1" si="14"/>
        <v>-251.42999999999995</v>
      </c>
    </row>
    <row r="560" spans="1:25" ht="15" x14ac:dyDescent="0.25">
      <c r="A560" s="4">
        <v>395</v>
      </c>
      <c r="C560" s="12" t="s">
        <v>1663</v>
      </c>
      <c r="D560" s="12" t="s">
        <v>1664</v>
      </c>
      <c r="E560" s="5" t="str">
        <f t="shared" si="10"/>
        <v>https://www.screener.in/company/WELENT/consolidated/</v>
      </c>
      <c r="F560" s="4">
        <v>443059</v>
      </c>
      <c r="G560" s="4">
        <v>3832241897</v>
      </c>
      <c r="H560" s="6">
        <f t="shared" ca="1" si="11"/>
        <v>187013.40457360001</v>
      </c>
      <c r="I560" s="7" t="str">
        <f ca="1">IFERROR(__xludf.DUMMYFUNCTION("IMPORTXML(E560,""/html/body/main/div[3]/div[3]/div[2]/ul/li[5]/span[2]/span"")"),"Loading...")</f>
        <v>Loading...</v>
      </c>
      <c r="J560" s="7">
        <f ca="1">IFERROR(__xludf.DUMMYFUNCTION("GOOGLEFINANCE(""NSE:""&amp;D560,""marketcap"")"),66859890000)</f>
        <v>66859890000</v>
      </c>
      <c r="K560" s="7">
        <v>992.8</v>
      </c>
      <c r="L560" s="8">
        <f ca="1">IFERROR(__xludf.DUMMYFUNCTION("GOOGLEFINANCE(""NSE:""&amp;D560,""price"")"),488)</f>
        <v>488</v>
      </c>
      <c r="M560" s="9">
        <f t="shared" ca="1" si="12"/>
        <v>-504.79999999999995</v>
      </c>
      <c r="N560" s="10">
        <f t="shared" ca="1" si="13"/>
        <v>-50.846091861402087</v>
      </c>
      <c r="O560" s="7">
        <f ca="1">IFERROR(__xludf.DUMMYFUNCTION("GOOGLEFINANCE(""NSE:""&amp;D560,""pe"")"),21.42)</f>
        <v>21.42</v>
      </c>
      <c r="P560" s="7">
        <f ca="1">IFERROR(__xludf.DUMMYFUNCTION("GOOGLEFINANCE(""NSE:""&amp;D560,""EPS"")"),22.78)</f>
        <v>22.78</v>
      </c>
      <c r="Q560" s="7">
        <v>13.5</v>
      </c>
      <c r="R560" s="7" t="str">
        <f ca="1">IFERROR(__xludf.DUMMYFUNCTION("IMPORTXML(E560,""/html/body/main/div[3]/div[3]/div[2]/ul/li[7]/span[2]/span"")"),"Loading...")</f>
        <v>Loading...</v>
      </c>
      <c r="S560" s="7" t="str">
        <f ca="1">IFERROR(__xludf.DUMMYFUNCTION("IMPORTXML(E560,""/html/body/main/div[3]/div[3]/div[2]/ul/li[8]/span[2]/span"")"),"Loading...")</f>
        <v>Loading...</v>
      </c>
      <c r="T560" s="4">
        <v>34.6</v>
      </c>
      <c r="U560" s="4">
        <v>22.7</v>
      </c>
      <c r="V560" s="4">
        <v>2.6</v>
      </c>
      <c r="W560" s="4">
        <v>5.7</v>
      </c>
      <c r="X560" s="4">
        <v>519.92999999999995</v>
      </c>
      <c r="Y560" s="7">
        <f t="shared" ca="1" si="14"/>
        <v>-31.92999999999995</v>
      </c>
    </row>
    <row r="561" spans="1:25" ht="15" x14ac:dyDescent="0.25">
      <c r="A561" s="4">
        <v>1308</v>
      </c>
      <c r="C561" s="12" t="s">
        <v>1665</v>
      </c>
      <c r="D561" s="12" t="s">
        <v>1666</v>
      </c>
      <c r="E561" s="5" t="str">
        <f t="shared" si="10"/>
        <v>https://www.screener.in/company/CHEMBOND/consolidated/</v>
      </c>
      <c r="F561" s="4">
        <v>443059</v>
      </c>
      <c r="G561" s="4">
        <v>3832241897</v>
      </c>
      <c r="H561" s="6">
        <f t="shared" ca="1" si="11"/>
        <v>67562.424644110011</v>
      </c>
      <c r="I561" s="7" t="str">
        <f ca="1">IFERROR(__xludf.DUMMYFUNCTION("IMPORTXML(E561,""/html/body/main/div[3]/div[3]/div[2]/ul/li[5]/span[2]/span"")"),"Loading...")</f>
        <v>Loading...</v>
      </c>
      <c r="J561" s="7">
        <f ca="1">IFERROR(__xludf.DUMMYFUNCTION("GOOGLEFINANCE(""NSE:""&amp;D561,""marketcap"")"),2368456751)</f>
        <v>2368456751</v>
      </c>
      <c r="K561" s="7">
        <v>992.8</v>
      </c>
      <c r="L561" s="8">
        <f ca="1">IFERROR(__xludf.DUMMYFUNCTION("GOOGLEFINANCE(""NSE:""&amp;D561,""price"")"),176.3)</f>
        <v>176.3</v>
      </c>
      <c r="M561" s="9">
        <f t="shared" ca="1" si="12"/>
        <v>-816.5</v>
      </c>
      <c r="N561" s="10">
        <f t="shared" ca="1" si="13"/>
        <v>-82.242143432715551</v>
      </c>
      <c r="O561" s="7">
        <f ca="1">IFERROR(__xludf.DUMMYFUNCTION("GOOGLEFINANCE(""NSE:""&amp;D561,""pe"")"),17.46)</f>
        <v>17.46</v>
      </c>
      <c r="P561" s="7">
        <f ca="1">IFERROR(__xludf.DUMMYFUNCTION("GOOGLEFINANCE(""NSE:""&amp;D561,""EPS"")"),10.1)</f>
        <v>10.1</v>
      </c>
      <c r="Q561" s="7">
        <v>13.5</v>
      </c>
      <c r="R561" s="7" t="str">
        <f ca="1">IFERROR(__xludf.DUMMYFUNCTION("IMPORTXML(E561,""/html/body/main/div[3]/div[3]/div[2]/ul/li[7]/span[2]/span"")"),"Loading...")</f>
        <v>Loading...</v>
      </c>
      <c r="S561" s="7" t="str">
        <f ca="1">IFERROR(__xludf.DUMMYFUNCTION("IMPORTXML(E561,""/html/body/main/div[3]/div[3]/div[2]/ul/li[8]/span[2]/span"")"),"Loading...")</f>
        <v>Loading...</v>
      </c>
      <c r="T561" s="4">
        <v>34.6</v>
      </c>
      <c r="U561" s="4">
        <v>22.7</v>
      </c>
      <c r="V561" s="4">
        <v>2.6</v>
      </c>
      <c r="W561" s="4">
        <v>5.7</v>
      </c>
      <c r="X561" s="4">
        <v>519.92999999999995</v>
      </c>
      <c r="Y561" s="7">
        <f t="shared" ca="1" si="14"/>
        <v>-343.62999999999994</v>
      </c>
    </row>
    <row r="562" spans="1:25" ht="15" x14ac:dyDescent="0.25">
      <c r="A562" s="4">
        <v>2064</v>
      </c>
      <c r="C562" s="12" t="s">
        <v>1667</v>
      </c>
      <c r="D562" s="12" t="s">
        <v>1668</v>
      </c>
      <c r="E562" s="5" t="str">
        <f t="shared" si="10"/>
        <v>https://www.screener.in/company/CENTEXT/consolidated/</v>
      </c>
      <c r="F562" s="4">
        <v>443059</v>
      </c>
      <c r="G562" s="4">
        <v>3832241897</v>
      </c>
      <c r="H562" s="6">
        <f t="shared" ca="1" si="11"/>
        <v>8335.1261259750008</v>
      </c>
      <c r="I562" s="7" t="str">
        <f ca="1">IFERROR(__xludf.DUMMYFUNCTION("IMPORTXML(E562,""/html/body/main/div[3]/div[3]/div[2]/ul/li[5]/span[2]/span"")"),"Loading...")</f>
        <v>Loading...</v>
      </c>
      <c r="J562" s="7">
        <f ca="1">IFERROR(__xludf.DUMMYFUNCTION("GOOGLEFINANCE(""NSE:""&amp;D562,""marketcap"")"),1741600000)</f>
        <v>1741600000</v>
      </c>
      <c r="K562" s="7">
        <v>992.8</v>
      </c>
      <c r="L562" s="8">
        <f ca="1">IFERROR(__xludf.DUMMYFUNCTION("GOOGLEFINANCE(""NSE:""&amp;D562,""price"")"),21.75)</f>
        <v>21.75</v>
      </c>
      <c r="M562" s="9">
        <f t="shared" ca="1" si="12"/>
        <v>-971.05</v>
      </c>
      <c r="N562" s="10">
        <f t="shared" ca="1" si="13"/>
        <v>-97.809226430298139</v>
      </c>
      <c r="O562" s="7">
        <f ca="1">IFERROR(__xludf.DUMMYFUNCTION("GOOGLEFINANCE(""NSE:""&amp;D562,""pe"")"),17.51)</f>
        <v>17.510000000000002</v>
      </c>
      <c r="P562" s="7">
        <f ca="1">IFERROR(__xludf.DUMMYFUNCTION("GOOGLEFINANCE(""NSE:""&amp;D562,""EPS"")"),1.24)</f>
        <v>1.24</v>
      </c>
      <c r="Q562" s="7">
        <v>13.5</v>
      </c>
      <c r="R562" s="7" t="str">
        <f ca="1">IFERROR(__xludf.DUMMYFUNCTION("IMPORTXML(E562,""/html/body/main/div[3]/div[3]/div[2]/ul/li[7]/span[2]/span"")"),"Loading...")</f>
        <v>Loading...</v>
      </c>
      <c r="S562" s="7" t="str">
        <f ca="1">IFERROR(__xludf.DUMMYFUNCTION("IMPORTXML(E562,""/html/body/main/div[3]/div[3]/div[2]/ul/li[8]/span[2]/span"")"),"Loading...")</f>
        <v>Loading...</v>
      </c>
      <c r="T562" s="4">
        <v>34.6</v>
      </c>
      <c r="U562" s="4">
        <v>22.7</v>
      </c>
      <c r="V562" s="4">
        <v>2.6</v>
      </c>
      <c r="W562" s="4">
        <v>5.7</v>
      </c>
      <c r="X562" s="4">
        <v>519.92999999999995</v>
      </c>
      <c r="Y562" s="7">
        <f t="shared" ca="1" si="14"/>
        <v>-498.17999999999995</v>
      </c>
    </row>
    <row r="563" spans="1:25" ht="15" x14ac:dyDescent="0.25">
      <c r="A563" s="4">
        <v>1374</v>
      </c>
      <c r="C563" s="12" t="s">
        <v>1669</v>
      </c>
      <c r="D563" s="12" t="s">
        <v>1670</v>
      </c>
      <c r="E563" s="5" t="str">
        <f t="shared" si="10"/>
        <v>https://www.screener.in/company/VINYLINDIA/consolidated/</v>
      </c>
      <c r="F563" s="4">
        <v>443059</v>
      </c>
      <c r="G563" s="4">
        <v>3832241897</v>
      </c>
      <c r="H563" s="6">
        <f t="shared" ca="1" si="11"/>
        <v>116883.3778585</v>
      </c>
      <c r="I563" s="7" t="str">
        <f ca="1">IFERROR(__xludf.DUMMYFUNCTION("IMPORTXML(E563,""/html/body/main/div[3]/div[3]/div[2]/ul/li[5]/span[2]/span"")"),"Loading...")</f>
        <v>Loading...</v>
      </c>
      <c r="J563" s="7">
        <f ca="1">IFERROR(__xludf.DUMMYFUNCTION("GOOGLEFINANCE(""NSE:""&amp;D563,""marketcap"")"),5579066000)</f>
        <v>5579066000</v>
      </c>
      <c r="K563" s="7">
        <v>992.8</v>
      </c>
      <c r="L563" s="8">
        <f ca="1">IFERROR(__xludf.DUMMYFUNCTION("GOOGLEFINANCE(""NSE:""&amp;D563,""price"")"),305)</f>
        <v>305</v>
      </c>
      <c r="M563" s="9">
        <f t="shared" ca="1" si="12"/>
        <v>-687.8</v>
      </c>
      <c r="N563" s="10">
        <f t="shared" ca="1" si="13"/>
        <v>-69.278807413376313</v>
      </c>
      <c r="O563" s="7">
        <f ca="1">IFERROR(__xludf.DUMMYFUNCTION("GOOGLEFINANCE(""NSE:""&amp;D563,""pe"")"),25.56)</f>
        <v>25.56</v>
      </c>
      <c r="P563" s="7">
        <f ca="1">IFERROR(__xludf.DUMMYFUNCTION("GOOGLEFINANCE(""NSE:""&amp;D563,""EPS"")"),11.93)</f>
        <v>11.93</v>
      </c>
      <c r="Q563" s="7">
        <v>13.5</v>
      </c>
      <c r="R563" s="7" t="str">
        <f ca="1">IFERROR(__xludf.DUMMYFUNCTION("IMPORTXML(E563,""/html/body/main/div[3]/div[3]/div[2]/ul/li[7]/span[2]/span"")"),"Loading...")</f>
        <v>Loading...</v>
      </c>
      <c r="S563" s="7" t="str">
        <f ca="1">IFERROR(__xludf.DUMMYFUNCTION("IMPORTXML(E563,""/html/body/main/div[3]/div[3]/div[2]/ul/li[8]/span[2]/span"")"),"Loading...")</f>
        <v>Loading...</v>
      </c>
      <c r="T563" s="4">
        <v>34.6</v>
      </c>
      <c r="U563" s="4">
        <v>22.7</v>
      </c>
      <c r="V563" s="4">
        <v>2.6</v>
      </c>
      <c r="W563" s="4">
        <v>5.7</v>
      </c>
      <c r="X563" s="4">
        <v>519.92999999999995</v>
      </c>
      <c r="Y563" s="7">
        <f t="shared" ca="1" si="14"/>
        <v>-214.92999999999995</v>
      </c>
    </row>
    <row r="564" spans="1:25" ht="15" x14ac:dyDescent="0.25">
      <c r="A564" s="4">
        <v>1987</v>
      </c>
      <c r="C564" s="12" t="s">
        <v>1671</v>
      </c>
      <c r="D564" s="12" t="s">
        <v>1672</v>
      </c>
      <c r="E564" s="5" t="str">
        <f t="shared" si="10"/>
        <v>https://www.screener.in/company/EMMBI/consolidated/</v>
      </c>
      <c r="F564" s="4">
        <v>443059</v>
      </c>
      <c r="G564" s="4">
        <v>3832241897</v>
      </c>
      <c r="H564" s="6">
        <f t="shared" ca="1" si="11"/>
        <v>39679.032601537998</v>
      </c>
      <c r="I564" s="7" t="str">
        <f ca="1">IFERROR(__xludf.DUMMYFUNCTION("IMPORTXML(E564,""/html/body/main/div[3]/div[3]/div[2]/ul/li[5]/span[2]/span"")"),"Loading...")</f>
        <v>Loading...</v>
      </c>
      <c r="J564" s="7">
        <f ca="1">IFERROR(__xludf.DUMMYFUNCTION("GOOGLEFINANCE(""NSE:""&amp;D564,""marketcap"")"),1992135000)</f>
        <v>1992135000</v>
      </c>
      <c r="K564" s="7">
        <v>992.8</v>
      </c>
      <c r="L564" s="8">
        <f ca="1">IFERROR(__xludf.DUMMYFUNCTION("GOOGLEFINANCE(""NSE:""&amp;D564,""price"")"),103.54)</f>
        <v>103.54</v>
      </c>
      <c r="M564" s="9">
        <f t="shared" ca="1" si="12"/>
        <v>-889.26</v>
      </c>
      <c r="N564" s="10">
        <f t="shared" ca="1" si="13"/>
        <v>-89.570910556003227</v>
      </c>
      <c r="O564" s="7">
        <f ca="1">IFERROR(__xludf.DUMMYFUNCTION("GOOGLEFINANCE(""NSE:""&amp;D564,""pe"")"),32.06)</f>
        <v>32.06</v>
      </c>
      <c r="P564" s="7">
        <f ca="1">IFERROR(__xludf.DUMMYFUNCTION("GOOGLEFINANCE(""NSE:""&amp;D564,""EPS"")"),3.23)</f>
        <v>3.23</v>
      </c>
      <c r="Q564" s="7">
        <v>13.5</v>
      </c>
      <c r="R564" s="7" t="str">
        <f ca="1">IFERROR(__xludf.DUMMYFUNCTION("IMPORTXML(E564,""/html/body/main/div[3]/div[3]/div[2]/ul/li[7]/span[2]/span"")"),"Loading...")</f>
        <v>Loading...</v>
      </c>
      <c r="S564" s="7" t="str">
        <f ca="1">IFERROR(__xludf.DUMMYFUNCTION("IMPORTXML(E564,""/html/body/main/div[3]/div[3]/div[2]/ul/li[8]/span[2]/span"")"),"Loading...")</f>
        <v>Loading...</v>
      </c>
      <c r="T564" s="4">
        <v>34.6</v>
      </c>
      <c r="U564" s="4">
        <v>22.7</v>
      </c>
      <c r="V564" s="4">
        <v>2.6</v>
      </c>
      <c r="W564" s="4">
        <v>5.7</v>
      </c>
      <c r="X564" s="4">
        <v>519.92999999999995</v>
      </c>
      <c r="Y564" s="7">
        <f t="shared" ca="1" si="14"/>
        <v>-416.38999999999993</v>
      </c>
    </row>
    <row r="565" spans="1:25" ht="15" x14ac:dyDescent="0.25">
      <c r="A565" s="4">
        <v>1444</v>
      </c>
      <c r="C565" s="12" t="s">
        <v>1673</v>
      </c>
      <c r="D565" s="12" t="s">
        <v>1674</v>
      </c>
      <c r="E565" s="5" t="str">
        <f t="shared" si="10"/>
        <v>https://www.screener.in/company/TARACHAND/consolidated/</v>
      </c>
      <c r="F565" s="4">
        <v>443059</v>
      </c>
      <c r="G565" s="4">
        <v>3832241897</v>
      </c>
      <c r="H565" s="6">
        <f t="shared" ca="1" si="11"/>
        <v>26308.340622905002</v>
      </c>
      <c r="I565" s="7" t="str">
        <f ca="1">IFERROR(__xludf.DUMMYFUNCTION("IMPORTXML(E565,""/html/body/main/div[3]/div[3]/div[2]/ul/li[5]/span[2]/span"")"),"Loading...")</f>
        <v>Loading...</v>
      </c>
      <c r="J565" s="7">
        <f ca="1">IFERROR(__xludf.DUMMYFUNCTION("GOOGLEFINANCE(""NSE:""&amp;D565,""marketcap"")"),5411329505)</f>
        <v>5411329505</v>
      </c>
      <c r="K565" s="7">
        <v>992.8</v>
      </c>
      <c r="L565" s="8">
        <f ca="1">IFERROR(__xludf.DUMMYFUNCTION("GOOGLEFINANCE(""NSE:""&amp;D565,""price"")"),68.65)</f>
        <v>68.650000000000006</v>
      </c>
      <c r="M565" s="9">
        <f t="shared" ca="1" si="12"/>
        <v>-924.15</v>
      </c>
      <c r="N565" s="10">
        <f t="shared" ca="1" si="13"/>
        <v>-93.085213537469784</v>
      </c>
      <c r="O565" s="7">
        <f ca="1">IFERROR(__xludf.DUMMYFUNCTION("GOOGLEFINANCE(""NSE:""&amp;D565,""pe"")"),20.19)</f>
        <v>20.190000000000001</v>
      </c>
      <c r="P565" s="7">
        <f ca="1">IFERROR(__xludf.DUMMYFUNCTION("GOOGLEFINANCE(""NSE:""&amp;D565,""EPS"")"),3.4)</f>
        <v>3.4</v>
      </c>
      <c r="Q565" s="7">
        <v>13.5</v>
      </c>
      <c r="R565" s="7" t="str">
        <f ca="1">IFERROR(__xludf.DUMMYFUNCTION("IMPORTXML(E565,""/html/body/main/div[3]/div[3]/div[2]/ul/li[7]/span[2]/span"")"),"Loading...")</f>
        <v>Loading...</v>
      </c>
      <c r="S565" s="7" t="str">
        <f ca="1">IFERROR(__xludf.DUMMYFUNCTION("IMPORTXML(E565,""/html/body/main/div[3]/div[3]/div[2]/ul/li[8]/span[2]/span"")"),"Loading...")</f>
        <v>Loading...</v>
      </c>
      <c r="T565" s="4">
        <v>34.6</v>
      </c>
      <c r="U565" s="4">
        <v>22.7</v>
      </c>
      <c r="V565" s="4">
        <v>2.6</v>
      </c>
      <c r="W565" s="4">
        <v>5.7</v>
      </c>
      <c r="X565" s="4">
        <v>519.92999999999995</v>
      </c>
      <c r="Y565" s="7">
        <f t="shared" ca="1" si="14"/>
        <v>-451.28</v>
      </c>
    </row>
    <row r="566" spans="1:25" ht="15" x14ac:dyDescent="0.25">
      <c r="A566" s="4">
        <v>849</v>
      </c>
      <c r="C566" s="12" t="s">
        <v>1675</v>
      </c>
      <c r="D566" s="12" t="s">
        <v>1676</v>
      </c>
      <c r="E566" s="5" t="str">
        <f t="shared" si="10"/>
        <v>https://www.screener.in/company/TTKHLTCARE/consolidated/</v>
      </c>
      <c r="F566" s="4">
        <v>443059</v>
      </c>
      <c r="G566" s="4">
        <v>3832241897</v>
      </c>
      <c r="H566" s="6">
        <f t="shared" ca="1" si="11"/>
        <v>437412.09012358001</v>
      </c>
      <c r="I566" s="7" t="str">
        <f ca="1">IFERROR(__xludf.DUMMYFUNCTION("IMPORTXML(E566,""/html/body/main/div[3]/div[3]/div[2]/ul/li[5]/span[2]/span"")"),"Loading...")</f>
        <v>Loading...</v>
      </c>
      <c r="J566" s="7">
        <f ca="1">IFERROR(__xludf.DUMMYFUNCTION("GOOGLEFINANCE(""NSE:""&amp;D566,""marketcap"")"),16128359006)</f>
        <v>16128359006</v>
      </c>
      <c r="K566" s="7">
        <v>992.8</v>
      </c>
      <c r="L566" s="8">
        <f ca="1">IFERROR(__xludf.DUMMYFUNCTION("GOOGLEFINANCE(""NSE:""&amp;D566,""price"")"),1141.4)</f>
        <v>1141.4000000000001</v>
      </c>
      <c r="M566" s="9">
        <f t="shared" ca="1" si="12"/>
        <v>148.60000000000014</v>
      </c>
      <c r="N566" s="10">
        <f t="shared" ca="1" si="13"/>
        <v>14.96776792908946</v>
      </c>
      <c r="O566" s="7">
        <f ca="1">IFERROR(__xludf.DUMMYFUNCTION("GOOGLEFINANCE(""NSE:""&amp;D566,""pe"")"),25.57)</f>
        <v>25.57</v>
      </c>
      <c r="P566" s="7">
        <f ca="1">IFERROR(__xludf.DUMMYFUNCTION("GOOGLEFINANCE(""NSE:""&amp;D566,""EPS"")"),44.64)</f>
        <v>44.64</v>
      </c>
      <c r="Q566" s="7">
        <v>13.5</v>
      </c>
      <c r="R566" s="7" t="str">
        <f ca="1">IFERROR(__xludf.DUMMYFUNCTION("IMPORTXML(E566,""/html/body/main/div[3]/div[3]/div[2]/ul/li[7]/span[2]/span"")"),"Loading...")</f>
        <v>Loading...</v>
      </c>
      <c r="S566" s="7" t="str">
        <f ca="1">IFERROR(__xludf.DUMMYFUNCTION("IMPORTXML(E566,""/html/body/main/div[3]/div[3]/div[2]/ul/li[8]/span[2]/span"")"),"Loading...")</f>
        <v>Loading...</v>
      </c>
      <c r="T566" s="4">
        <v>34.6</v>
      </c>
      <c r="U566" s="4">
        <v>22.7</v>
      </c>
      <c r="V566" s="4">
        <v>2.6</v>
      </c>
      <c r="W566" s="4">
        <v>5.7</v>
      </c>
      <c r="X566" s="4">
        <v>519.92999999999995</v>
      </c>
      <c r="Y566" s="7">
        <f t="shared" ca="1" si="14"/>
        <v>621.47000000000014</v>
      </c>
    </row>
    <row r="567" spans="1:25" ht="15" x14ac:dyDescent="0.25">
      <c r="A567" s="4">
        <v>1439</v>
      </c>
      <c r="C567" s="12" t="s">
        <v>1677</v>
      </c>
      <c r="D567" s="12" t="s">
        <v>1678</v>
      </c>
      <c r="E567" s="5" t="str">
        <f t="shared" si="10"/>
        <v>https://www.screener.in/company/NAHARINDUS/consolidated/</v>
      </c>
      <c r="F567" s="4">
        <v>443059</v>
      </c>
      <c r="G567" s="4">
        <v>3832241897</v>
      </c>
      <c r="H567" s="6">
        <f t="shared" ca="1" si="11"/>
        <v>43400.139483525003</v>
      </c>
      <c r="I567" s="7" t="str">
        <f ca="1">IFERROR(__xludf.DUMMYFUNCTION("IMPORTXML(E567,""/html/body/main/div[3]/div[3]/div[2]/ul/li[5]/span[2]/span"")"),"Loading...")</f>
        <v>Loading...</v>
      </c>
      <c r="J567" s="7">
        <f ca="1">IFERROR(__xludf.DUMMYFUNCTION("GOOGLEFINANCE(""NSE:""&amp;D567,""marketcap"")"),4893031935)</f>
        <v>4893031935</v>
      </c>
      <c r="K567" s="7">
        <v>992.8</v>
      </c>
      <c r="L567" s="8">
        <f ca="1">IFERROR(__xludf.DUMMYFUNCTION("GOOGLEFINANCE(""NSE:""&amp;D567,""price"")"),113.25)</f>
        <v>113.25</v>
      </c>
      <c r="M567" s="9">
        <f t="shared" ca="1" si="12"/>
        <v>-879.55</v>
      </c>
      <c r="N567" s="10">
        <f t="shared" ca="1" si="13"/>
        <v>-88.592868654311047</v>
      </c>
      <c r="O567" s="7">
        <f ca="1">IFERROR(__xludf.DUMMYFUNCTION("GOOGLEFINANCE(""NSE:""&amp;D567,""pe"")"),22.6)</f>
        <v>22.6</v>
      </c>
      <c r="P567" s="7">
        <f ca="1">IFERROR(__xludf.DUMMYFUNCTION("GOOGLEFINANCE(""NSE:""&amp;D567,""EPS"")"),5.01)</f>
        <v>5.01</v>
      </c>
      <c r="Q567" s="7">
        <v>13.5</v>
      </c>
      <c r="R567" s="7" t="str">
        <f ca="1">IFERROR(__xludf.DUMMYFUNCTION("IMPORTXML(E567,""/html/body/main/div[3]/div[3]/div[2]/ul/li[7]/span[2]/span"")"),"Loading...")</f>
        <v>Loading...</v>
      </c>
      <c r="S567" s="7" t="str">
        <f ca="1">IFERROR(__xludf.DUMMYFUNCTION("IMPORTXML(E567,""/html/body/main/div[3]/div[3]/div[2]/ul/li[8]/span[2]/span"")"),"Loading...")</f>
        <v>Loading...</v>
      </c>
      <c r="T567" s="4">
        <v>34.6</v>
      </c>
      <c r="U567" s="4">
        <v>22.7</v>
      </c>
      <c r="V567" s="4">
        <v>2.6</v>
      </c>
      <c r="W567" s="4">
        <v>5.7</v>
      </c>
      <c r="X567" s="4">
        <v>519.92999999999995</v>
      </c>
      <c r="Y567" s="7">
        <f t="shared" ca="1" si="14"/>
        <v>-406.67999999999995</v>
      </c>
    </row>
    <row r="568" spans="1:25" ht="15" x14ac:dyDescent="0.25">
      <c r="A568" s="4">
        <v>956</v>
      </c>
      <c r="C568" s="12" t="s">
        <v>1679</v>
      </c>
      <c r="D568" s="12" t="s">
        <v>1680</v>
      </c>
      <c r="E568" s="5" t="str">
        <f t="shared" si="10"/>
        <v>https://www.screener.in/company/DSSL/consolidated/</v>
      </c>
      <c r="F568" s="4">
        <v>443059</v>
      </c>
      <c r="G568" s="4">
        <v>3832241897</v>
      </c>
      <c r="H568" s="6">
        <f t="shared" ca="1" si="11"/>
        <v>372762.16932119004</v>
      </c>
      <c r="I568" s="7" t="str">
        <f ca="1">IFERROR(__xludf.DUMMYFUNCTION("IMPORTXML(E568,""/html/body/main/div[3]/div[3]/div[2]/ul/li[5]/span[2]/span"")"),"Loading...")</f>
        <v>Loading...</v>
      </c>
      <c r="J568" s="7">
        <f ca="1">IFERROR(__xludf.DUMMYFUNCTION("GOOGLEFINANCE(""NSE:""&amp;D568,""marketcap"")"),12351840000)</f>
        <v>12351840000</v>
      </c>
      <c r="K568" s="7">
        <v>992.8</v>
      </c>
      <c r="L568" s="8">
        <f ca="1">IFERROR(__xludf.DUMMYFUNCTION("GOOGLEFINANCE(""NSE:""&amp;D568,""price"")"),972.7)</f>
        <v>972.7</v>
      </c>
      <c r="M568" s="9">
        <f t="shared" ca="1" si="12"/>
        <v>-20.099999999999909</v>
      </c>
      <c r="N568" s="10">
        <f t="shared" ca="1" si="13"/>
        <v>-2.0245769540692899</v>
      </c>
      <c r="O568" s="7">
        <f ca="1">IFERROR(__xludf.DUMMYFUNCTION("GOOGLEFINANCE(""NSE:""&amp;D568,""pe"")"),16.64)</f>
        <v>16.64</v>
      </c>
      <c r="P568" s="7">
        <f ca="1">IFERROR(__xludf.DUMMYFUNCTION("GOOGLEFINANCE(""NSE:""&amp;D568,""EPS"")"),58.47)</f>
        <v>58.47</v>
      </c>
      <c r="Q568" s="7">
        <v>13.5</v>
      </c>
      <c r="R568" s="7" t="str">
        <f ca="1">IFERROR(__xludf.DUMMYFUNCTION("IMPORTXML(E568,""/html/body/main/div[3]/div[3]/div[2]/ul/li[7]/span[2]/span"")"),"Loading...")</f>
        <v>Loading...</v>
      </c>
      <c r="S568" s="7" t="str">
        <f ca="1">IFERROR(__xludf.DUMMYFUNCTION("IMPORTXML(E568,""/html/body/main/div[3]/div[3]/div[2]/ul/li[8]/span[2]/span"")"),"Loading...")</f>
        <v>Loading...</v>
      </c>
      <c r="T568" s="4">
        <v>34.6</v>
      </c>
      <c r="U568" s="4">
        <v>22.7</v>
      </c>
      <c r="V568" s="4">
        <v>2.6</v>
      </c>
      <c r="W568" s="4">
        <v>5.7</v>
      </c>
      <c r="X568" s="4">
        <v>519.92999999999995</v>
      </c>
      <c r="Y568" s="7">
        <f t="shared" ca="1" si="14"/>
        <v>452.7700000000001</v>
      </c>
    </row>
    <row r="569" spans="1:25" ht="15" x14ac:dyDescent="0.25">
      <c r="A569" s="4">
        <v>1106</v>
      </c>
      <c r="C569" s="12" t="s">
        <v>1681</v>
      </c>
      <c r="D569" s="12" t="s">
        <v>1682</v>
      </c>
      <c r="E569" s="5" t="str">
        <f t="shared" si="10"/>
        <v>https://www.screener.in/company/AVTNPL/consolidated/</v>
      </c>
      <c r="F569" s="4">
        <v>443059</v>
      </c>
      <c r="G569" s="4">
        <v>3832241897</v>
      </c>
      <c r="H569" s="6">
        <f t="shared" ca="1" si="11"/>
        <v>28737.981985602997</v>
      </c>
      <c r="I569" s="7" t="str">
        <f ca="1">IFERROR(__xludf.DUMMYFUNCTION("IMPORTXML(E569,""/html/body/main/div[3]/div[3]/div[2]/ul/li[5]/span[2]/span"")"),"Loading...")</f>
        <v>Loading...</v>
      </c>
      <c r="J569" s="7">
        <f ca="1">IFERROR(__xludf.DUMMYFUNCTION("GOOGLEFINANCE(""NSE:""&amp;D569,""marketcap"")"),11406070000)</f>
        <v>11406070000</v>
      </c>
      <c r="K569" s="7">
        <v>992.8</v>
      </c>
      <c r="L569" s="8">
        <f ca="1">IFERROR(__xludf.DUMMYFUNCTION("GOOGLEFINANCE(""NSE:""&amp;D569,""price"")"),74.99)</f>
        <v>74.989999999999995</v>
      </c>
      <c r="M569" s="9">
        <f t="shared" ca="1" si="12"/>
        <v>-917.81</v>
      </c>
      <c r="N569" s="10">
        <f t="shared" ca="1" si="13"/>
        <v>-92.446615632554384</v>
      </c>
      <c r="O569" s="7">
        <f ca="1">IFERROR(__xludf.DUMMYFUNCTION("GOOGLEFINANCE(""NSE:""&amp;D569,""pe"")"),20.96)</f>
        <v>20.96</v>
      </c>
      <c r="P569" s="7">
        <f ca="1">IFERROR(__xludf.DUMMYFUNCTION("GOOGLEFINANCE(""NSE:""&amp;D569,""EPS"")"),3.58)</f>
        <v>3.58</v>
      </c>
      <c r="Q569" s="7">
        <v>13.5</v>
      </c>
      <c r="R569" s="7" t="str">
        <f ca="1">IFERROR(__xludf.DUMMYFUNCTION("IMPORTXML(E569,""/html/body/main/div[3]/div[3]/div[2]/ul/li[7]/span[2]/span"")"),"Loading...")</f>
        <v>Loading...</v>
      </c>
      <c r="S569" s="7" t="str">
        <f ca="1">IFERROR(__xludf.DUMMYFUNCTION("IMPORTXML(E569,""/html/body/main/div[3]/div[3]/div[2]/ul/li[8]/span[2]/span"")"),"Loading...")</f>
        <v>Loading...</v>
      </c>
      <c r="T569" s="4">
        <v>34.6</v>
      </c>
      <c r="U569" s="4">
        <v>22.7</v>
      </c>
      <c r="V569" s="4">
        <v>2.6</v>
      </c>
      <c r="W569" s="4">
        <v>5.7</v>
      </c>
      <c r="X569" s="4">
        <v>519.92999999999995</v>
      </c>
      <c r="Y569" s="7">
        <f t="shared" ca="1" si="14"/>
        <v>-444.93999999999994</v>
      </c>
    </row>
    <row r="570" spans="1:25" ht="15" x14ac:dyDescent="0.25">
      <c r="A570" s="4">
        <v>1057</v>
      </c>
      <c r="C570" s="12" t="s">
        <v>1683</v>
      </c>
      <c r="D570" s="12" t="s">
        <v>1684</v>
      </c>
      <c r="E570" s="5" t="str">
        <f t="shared" si="10"/>
        <v>https://www.screener.in/company/WEALTH/consolidated/</v>
      </c>
      <c r="F570" s="4">
        <v>443059</v>
      </c>
      <c r="G570" s="4">
        <v>3832241897</v>
      </c>
      <c r="H570" s="6">
        <f t="shared" ca="1" si="11"/>
        <v>441512.58895336994</v>
      </c>
      <c r="I570" s="7" t="str">
        <f ca="1">IFERROR(__xludf.DUMMYFUNCTION("IMPORTXML(E570,""/html/body/main/div[3]/div[3]/div[2]/ul/li[5]/span[2]/span"")"),"Loading...")</f>
        <v>Loading...</v>
      </c>
      <c r="J570" s="7">
        <f ca="1">IFERROR(__xludf.DUMMYFUNCTION("GOOGLEFINANCE(""NSE:""&amp;D570,""marketcap"")"),12275625239)</f>
        <v>12275625239</v>
      </c>
      <c r="K570" s="7">
        <v>992.8</v>
      </c>
      <c r="L570" s="8">
        <f ca="1">IFERROR(__xludf.DUMMYFUNCTION("GOOGLEFINANCE(""NSE:""&amp;D570,""price"")"),1152.1)</f>
        <v>1152.0999999999999</v>
      </c>
      <c r="M570" s="9">
        <f t="shared" ca="1" si="12"/>
        <v>159.29999999999995</v>
      </c>
      <c r="N570" s="10">
        <f t="shared" ca="1" si="13"/>
        <v>16.045527800161157</v>
      </c>
      <c r="O570" s="7">
        <f ca="1">IFERROR(__xludf.DUMMYFUNCTION("GOOGLEFINANCE(""NSE:""&amp;D570,""pe"")"),34.01)</f>
        <v>34.01</v>
      </c>
      <c r="P570" s="7">
        <f ca="1">IFERROR(__xludf.DUMMYFUNCTION("GOOGLEFINANCE(""NSE:""&amp;D570,""EPS"")"),33.87)</f>
        <v>33.869999999999997</v>
      </c>
      <c r="Q570" s="7">
        <v>13.5</v>
      </c>
      <c r="R570" s="7" t="str">
        <f ca="1">IFERROR(__xludf.DUMMYFUNCTION("IMPORTXML(E570,""/html/body/main/div[3]/div[3]/div[2]/ul/li[7]/span[2]/span"")"),"Loading...")</f>
        <v>Loading...</v>
      </c>
      <c r="S570" s="7" t="str">
        <f ca="1">IFERROR(__xludf.DUMMYFUNCTION("IMPORTXML(E570,""/html/body/main/div[3]/div[3]/div[2]/ul/li[8]/span[2]/span"")"),"Loading...")</f>
        <v>Loading...</v>
      </c>
      <c r="T570" s="4">
        <v>34.6</v>
      </c>
      <c r="U570" s="4">
        <v>22.7</v>
      </c>
      <c r="V570" s="4">
        <v>2.6</v>
      </c>
      <c r="W570" s="4">
        <v>5.7</v>
      </c>
      <c r="X570" s="4">
        <v>519.92999999999995</v>
      </c>
      <c r="Y570" s="7">
        <f t="shared" ca="1" si="14"/>
        <v>632.16999999999996</v>
      </c>
    </row>
    <row r="571" spans="1:25" ht="15" x14ac:dyDescent="0.25">
      <c r="A571" s="4">
        <v>1604</v>
      </c>
      <c r="C571" s="12" t="s">
        <v>1685</v>
      </c>
      <c r="D571" s="12" t="s">
        <v>1686</v>
      </c>
      <c r="E571" s="5" t="str">
        <f t="shared" si="10"/>
        <v>https://www.screener.in/company/PRITIKAUTO/consolidated/</v>
      </c>
      <c r="F571" s="4">
        <v>443059</v>
      </c>
      <c r="G571" s="4">
        <v>3832241897</v>
      </c>
      <c r="H571" s="6">
        <f t="shared" ca="1" si="11"/>
        <v>6763.9069482049999</v>
      </c>
      <c r="I571" s="7" t="str">
        <f ca="1">IFERROR(__xludf.DUMMYFUNCTION("IMPORTXML(E571,""/html/body/main/div[3]/div[3]/div[2]/ul/li[5]/span[2]/span"")"),"Loading...")</f>
        <v>Loading...</v>
      </c>
      <c r="J571" s="7">
        <f ca="1">IFERROR(__xludf.DUMMYFUNCTION("GOOGLEFINANCE(""NSE:""&amp;D571,""marketcap"")"),2938947326)</f>
        <v>2938947326</v>
      </c>
      <c r="K571" s="7">
        <v>992.8</v>
      </c>
      <c r="L571" s="8">
        <f ca="1">IFERROR(__xludf.DUMMYFUNCTION("GOOGLEFINANCE(""NSE:""&amp;D571,""price"")"),17.65)</f>
        <v>17.649999999999999</v>
      </c>
      <c r="M571" s="9">
        <f t="shared" ca="1" si="12"/>
        <v>-975.15</v>
      </c>
      <c r="N571" s="10">
        <f t="shared" ca="1" si="13"/>
        <v>-98.222199838839657</v>
      </c>
      <c r="O571" s="7">
        <f ca="1">IFERROR(__xludf.DUMMYFUNCTION("GOOGLEFINANCE(""NSE:""&amp;D571,""pe"")"),16.26)</f>
        <v>16.260000000000002</v>
      </c>
      <c r="P571" s="7">
        <f ca="1">IFERROR(__xludf.DUMMYFUNCTION("GOOGLEFINANCE(""NSE:""&amp;D571,""EPS"")"),1.09)</f>
        <v>1.0900000000000001</v>
      </c>
      <c r="Q571" s="7">
        <v>13.5</v>
      </c>
      <c r="R571" s="7" t="str">
        <f ca="1">IFERROR(__xludf.DUMMYFUNCTION("IMPORTXML(E571,""/html/body/main/div[3]/div[3]/div[2]/ul/li[7]/span[2]/span"")"),"Loading...")</f>
        <v>Loading...</v>
      </c>
      <c r="S571" s="7" t="str">
        <f ca="1">IFERROR(__xludf.DUMMYFUNCTION("IMPORTXML(E571,""/html/body/main/div[3]/div[3]/div[2]/ul/li[8]/span[2]/span"")"),"Loading...")</f>
        <v>Loading...</v>
      </c>
      <c r="T571" s="4">
        <v>34.6</v>
      </c>
      <c r="U571" s="4">
        <v>22.7</v>
      </c>
      <c r="V571" s="4">
        <v>2.6</v>
      </c>
      <c r="W571" s="4">
        <v>5.7</v>
      </c>
      <c r="X571" s="4">
        <v>519.92999999999995</v>
      </c>
      <c r="Y571" s="7">
        <f t="shared" ca="1" si="14"/>
        <v>-502.28</v>
      </c>
    </row>
    <row r="572" spans="1:25" ht="15" x14ac:dyDescent="0.25">
      <c r="A572" s="4">
        <v>1611</v>
      </c>
      <c r="C572" s="12" t="s">
        <v>1687</v>
      </c>
      <c r="D572" s="12" t="s">
        <v>1688</v>
      </c>
      <c r="E572" s="5" t="str">
        <f t="shared" si="10"/>
        <v>https://www.screener.in/company/HITECHCORP/consolidated/</v>
      </c>
      <c r="F572" s="4">
        <v>443059</v>
      </c>
      <c r="G572" s="4">
        <v>3832241897</v>
      </c>
      <c r="H572" s="6">
        <f t="shared" ca="1" si="11"/>
        <v>80438.75741803</v>
      </c>
      <c r="I572" s="7" t="str">
        <f ca="1">IFERROR(__xludf.DUMMYFUNCTION("IMPORTXML(E572,""/html/body/main/div[3]/div[3]/div[2]/ul/li[5]/span[2]/span"")"),"Loading...")</f>
        <v>Loading...</v>
      </c>
      <c r="J572" s="7">
        <f ca="1">IFERROR(__xludf.DUMMYFUNCTION("GOOGLEFINANCE(""NSE:""&amp;D572,""marketcap"")"),3489243000)</f>
        <v>3489243000</v>
      </c>
      <c r="K572" s="7">
        <v>992.8</v>
      </c>
      <c r="L572" s="8">
        <f ca="1">IFERROR(__xludf.DUMMYFUNCTION("GOOGLEFINANCE(""NSE:""&amp;D572,""price"")"),209.9)</f>
        <v>209.9</v>
      </c>
      <c r="M572" s="9">
        <f t="shared" ca="1" si="12"/>
        <v>-782.9</v>
      </c>
      <c r="N572" s="10">
        <f t="shared" ca="1" si="13"/>
        <v>-78.857775987107175</v>
      </c>
      <c r="O572" s="7">
        <f ca="1">IFERROR(__xludf.DUMMYFUNCTION("GOOGLEFINANCE(""NSE:""&amp;D572,""pe"")"),38.01)</f>
        <v>38.01</v>
      </c>
      <c r="P572" s="7">
        <f ca="1">IFERROR(__xludf.DUMMYFUNCTION("GOOGLEFINANCE(""NSE:""&amp;D572,""EPS"")"),5.52)</f>
        <v>5.52</v>
      </c>
      <c r="Q572" s="7">
        <v>13.5</v>
      </c>
      <c r="R572" s="7" t="str">
        <f ca="1">IFERROR(__xludf.DUMMYFUNCTION("IMPORTXML(E572,""/html/body/main/div[3]/div[3]/div[2]/ul/li[7]/span[2]/span"")"),"Loading...")</f>
        <v>Loading...</v>
      </c>
      <c r="S572" s="7" t="str">
        <f ca="1">IFERROR(__xludf.DUMMYFUNCTION("IMPORTXML(E572,""/html/body/main/div[3]/div[3]/div[2]/ul/li[8]/span[2]/span"")"),"Loading...")</f>
        <v>Loading...</v>
      </c>
      <c r="T572" s="4">
        <v>34.6</v>
      </c>
      <c r="U572" s="4">
        <v>22.7</v>
      </c>
      <c r="V572" s="4">
        <v>2.6</v>
      </c>
      <c r="W572" s="4">
        <v>5.7</v>
      </c>
      <c r="X572" s="4">
        <v>519.92999999999995</v>
      </c>
      <c r="Y572" s="7">
        <f t="shared" ca="1" si="14"/>
        <v>-310.02999999999997</v>
      </c>
    </row>
    <row r="573" spans="1:25" ht="15" x14ac:dyDescent="0.25">
      <c r="A573" s="4">
        <v>832</v>
      </c>
      <c r="C573" s="12" t="s">
        <v>1689</v>
      </c>
      <c r="D573" s="12" t="s">
        <v>1690</v>
      </c>
      <c r="E573" s="5" t="str">
        <f t="shared" si="10"/>
        <v>https://www.screener.in/company/RUPA/consolidated/</v>
      </c>
      <c r="F573" s="4">
        <v>443059</v>
      </c>
      <c r="G573" s="4">
        <v>3832241897</v>
      </c>
      <c r="H573" s="6">
        <f t="shared" ca="1" si="11"/>
        <v>75686.777465749998</v>
      </c>
      <c r="I573" s="7" t="str">
        <f ca="1">IFERROR(__xludf.DUMMYFUNCTION("IMPORTXML(E573,""/html/body/main/div[3]/div[3]/div[2]/ul/li[5]/span[2]/span"")"),"Loading...")</f>
        <v>Loading...</v>
      </c>
      <c r="J573" s="7">
        <f ca="1">IFERROR(__xludf.DUMMYFUNCTION("GOOGLEFINANCE(""NSE:""&amp;D573,""marketcap"")"),15678840279)</f>
        <v>15678840279</v>
      </c>
      <c r="K573" s="7">
        <v>992.8</v>
      </c>
      <c r="L573" s="8">
        <f ca="1">IFERROR(__xludf.DUMMYFUNCTION("GOOGLEFINANCE(""NSE:""&amp;D573,""price"")"),197.5)</f>
        <v>197.5</v>
      </c>
      <c r="M573" s="9">
        <f t="shared" ca="1" si="12"/>
        <v>-795.3</v>
      </c>
      <c r="N573" s="10">
        <f t="shared" ca="1" si="13"/>
        <v>-80.106768734891219</v>
      </c>
      <c r="O573" s="7">
        <f ca="1">IFERROR(__xludf.DUMMYFUNCTION("GOOGLEFINANCE(""NSE:""&amp;D573,""pe"")"),20.07)</f>
        <v>20.07</v>
      </c>
      <c r="P573" s="7">
        <f ca="1">IFERROR(__xludf.DUMMYFUNCTION("GOOGLEFINANCE(""NSE:""&amp;D573,""EPS"")"),9.84)</f>
        <v>9.84</v>
      </c>
      <c r="Q573" s="7">
        <v>13.5</v>
      </c>
      <c r="R573" s="7" t="str">
        <f ca="1">IFERROR(__xludf.DUMMYFUNCTION("IMPORTXML(E573,""/html/body/main/div[3]/div[3]/div[2]/ul/li[7]/span[2]/span"")"),"Loading...")</f>
        <v>Loading...</v>
      </c>
      <c r="S573" s="7" t="str">
        <f ca="1">IFERROR(__xludf.DUMMYFUNCTION("IMPORTXML(E573,""/html/body/main/div[3]/div[3]/div[2]/ul/li[8]/span[2]/span"")"),"Loading...")</f>
        <v>Loading...</v>
      </c>
      <c r="T573" s="4">
        <v>34.6</v>
      </c>
      <c r="U573" s="4">
        <v>22.7</v>
      </c>
      <c r="V573" s="4">
        <v>2.6</v>
      </c>
      <c r="W573" s="4">
        <v>5.7</v>
      </c>
      <c r="X573" s="4">
        <v>519.92999999999995</v>
      </c>
      <c r="Y573" s="7">
        <f t="shared" ca="1" si="14"/>
        <v>-322.42999999999995</v>
      </c>
    </row>
    <row r="574" spans="1:25" ht="15" x14ac:dyDescent="0.25">
      <c r="A574" s="4">
        <v>779</v>
      </c>
      <c r="C574" s="12" t="s">
        <v>1691</v>
      </c>
      <c r="D574" s="12" t="s">
        <v>1692</v>
      </c>
      <c r="E574" s="5" t="str">
        <f t="shared" si="10"/>
        <v>https://www.screener.in/company/ACCELYA/consolidated/</v>
      </c>
      <c r="F574" s="4">
        <v>443059</v>
      </c>
      <c r="G574" s="4">
        <v>3832241897</v>
      </c>
      <c r="H574" s="6">
        <f t="shared" ca="1" si="11"/>
        <v>538046.76233880001</v>
      </c>
      <c r="I574" s="7" t="str">
        <f ca="1">IFERROR(__xludf.DUMMYFUNCTION("IMPORTXML(E574,""/html/body/main/div[3]/div[3]/div[2]/ul/li[5]/span[2]/span"")"),"Loading...")</f>
        <v>Loading...</v>
      </c>
      <c r="J574" s="7">
        <f ca="1">IFERROR(__xludf.DUMMYFUNCTION("GOOGLEFINANCE(""NSE:""&amp;D574,""marketcap"")"),20956469040)</f>
        <v>20956469040</v>
      </c>
      <c r="K574" s="7">
        <v>992.8</v>
      </c>
      <c r="L574" s="8">
        <f ca="1">IFERROR(__xludf.DUMMYFUNCTION("GOOGLEFINANCE(""NSE:""&amp;D574,""price"")"),1404)</f>
        <v>1404</v>
      </c>
      <c r="M574" s="9">
        <f t="shared" ca="1" si="12"/>
        <v>411.20000000000005</v>
      </c>
      <c r="N574" s="10">
        <f t="shared" ca="1" si="13"/>
        <v>41.41821112006447</v>
      </c>
      <c r="O574" s="7">
        <f ca="1">IFERROR(__xludf.DUMMYFUNCTION("GOOGLEFINANCE(""NSE:""&amp;D574,""pe"")"),16.24)</f>
        <v>16.239999999999998</v>
      </c>
      <c r="P574" s="7">
        <f ca="1">IFERROR(__xludf.DUMMYFUNCTION("GOOGLEFINANCE(""NSE:""&amp;D574,""EPS"")"),86.44)</f>
        <v>86.44</v>
      </c>
      <c r="Q574" s="7">
        <v>13.5</v>
      </c>
      <c r="R574" s="7" t="str">
        <f ca="1">IFERROR(__xludf.DUMMYFUNCTION("IMPORTXML(E574,""/html/body/main/div[3]/div[3]/div[2]/ul/li[7]/span[2]/span"")"),"Loading...")</f>
        <v>Loading...</v>
      </c>
      <c r="S574" s="7" t="str">
        <f ca="1">IFERROR(__xludf.DUMMYFUNCTION("IMPORTXML(E574,""/html/body/main/div[3]/div[3]/div[2]/ul/li[8]/span[2]/span"")"),"Loading...")</f>
        <v>Loading...</v>
      </c>
      <c r="T574" s="4">
        <v>34.6</v>
      </c>
      <c r="U574" s="4">
        <v>22.7</v>
      </c>
      <c r="V574" s="4">
        <v>2.6</v>
      </c>
      <c r="W574" s="4">
        <v>5.7</v>
      </c>
      <c r="X574" s="4">
        <v>519.92999999999995</v>
      </c>
      <c r="Y574" s="7">
        <f t="shared" ca="1" si="14"/>
        <v>884.07</v>
      </c>
    </row>
    <row r="575" spans="1:25" ht="15" x14ac:dyDescent="0.25">
      <c r="A575" s="4">
        <v>1214</v>
      </c>
      <c r="C575" s="12" t="s">
        <v>1693</v>
      </c>
      <c r="D575" s="12" t="s">
        <v>1694</v>
      </c>
      <c r="E575" s="5" t="str">
        <f t="shared" si="10"/>
        <v>https://www.screener.in/company/DHANBANK/consolidated/</v>
      </c>
      <c r="F575" s="4">
        <v>443059</v>
      </c>
      <c r="G575" s="4">
        <v>3832241897</v>
      </c>
      <c r="H575" s="6">
        <f t="shared" ca="1" si="11"/>
        <v>9611.2626776759989</v>
      </c>
      <c r="I575" s="7" t="str">
        <f ca="1">IFERROR(__xludf.DUMMYFUNCTION("IMPORTXML(E575,""/html/body/main/div[3]/div[3]/div[2]/ul/li[5]/span[2]/span"")"),"Loading...")</f>
        <v>Loading...</v>
      </c>
      <c r="J575" s="7">
        <f ca="1">IFERROR(__xludf.DUMMYFUNCTION("GOOGLEFINANCE(""NSE:""&amp;D575,""marketcap"")"),9843789000)</f>
        <v>9843789000</v>
      </c>
      <c r="K575" s="7">
        <v>992.8</v>
      </c>
      <c r="L575" s="8">
        <f ca="1">IFERROR(__xludf.DUMMYFUNCTION("GOOGLEFINANCE(""NSE:""&amp;D575,""price"")"),25.08)</f>
        <v>25.08</v>
      </c>
      <c r="M575" s="9">
        <f t="shared" ca="1" si="12"/>
        <v>-967.71999999999991</v>
      </c>
      <c r="N575" s="10">
        <f t="shared" ca="1" si="13"/>
        <v>-97.47381144238517</v>
      </c>
      <c r="O575" s="7">
        <f ca="1">IFERROR(__xludf.DUMMYFUNCTION("GOOGLEFINANCE(""NSE:""&amp;D575,""pe"")"),10.07)</f>
        <v>10.07</v>
      </c>
      <c r="P575" s="7">
        <f ca="1">IFERROR(__xludf.DUMMYFUNCTION("GOOGLEFINANCE(""NSE:""&amp;D575,""EPS"")"),2.49)</f>
        <v>2.4900000000000002</v>
      </c>
      <c r="Q575" s="7">
        <v>13.5</v>
      </c>
      <c r="R575" s="7" t="str">
        <f ca="1">IFERROR(__xludf.DUMMYFUNCTION("IMPORTXML(E575,""/html/body/main/div[3]/div[3]/div[2]/ul/li[7]/span[2]/span"")"),"Loading...")</f>
        <v>Loading...</v>
      </c>
      <c r="S575" s="7" t="str">
        <f ca="1">IFERROR(__xludf.DUMMYFUNCTION("IMPORTXML(E575,""/html/body/main/div[3]/div[3]/div[2]/ul/li[8]/span[2]/span"")"),"Loading...")</f>
        <v>Loading...</v>
      </c>
      <c r="T575" s="4">
        <v>34.6</v>
      </c>
      <c r="U575" s="4">
        <v>22.7</v>
      </c>
      <c r="V575" s="4">
        <v>2.6</v>
      </c>
      <c r="W575" s="4">
        <v>5.7</v>
      </c>
      <c r="X575" s="4">
        <v>519.92999999999995</v>
      </c>
      <c r="Y575" s="7">
        <f t="shared" ca="1" si="14"/>
        <v>-494.84999999999997</v>
      </c>
    </row>
    <row r="576" spans="1:25" ht="15" x14ac:dyDescent="0.25">
      <c r="A576" s="4">
        <v>1002</v>
      </c>
      <c r="C576" s="12" t="s">
        <v>1695</v>
      </c>
      <c r="D576" s="12" t="s">
        <v>1696</v>
      </c>
      <c r="E576" s="5" t="str">
        <f t="shared" si="10"/>
        <v>https://www.screener.in/company/ALLDIGI/consolidated/</v>
      </c>
      <c r="F576" s="4">
        <v>443059</v>
      </c>
      <c r="G576" s="4">
        <v>3832241897</v>
      </c>
      <c r="H576" s="6">
        <f t="shared" ca="1" si="11"/>
        <v>360230.73831799999</v>
      </c>
      <c r="I576" s="7" t="str">
        <f ca="1">IFERROR(__xludf.DUMMYFUNCTION("IMPORTXML(E576,""/html/body/main/div[3]/div[3]/div[2]/ul/li[5]/span[2]/span"")"),"Loading...")</f>
        <v>Loading...</v>
      </c>
      <c r="J576" s="7">
        <f ca="1">IFERROR(__xludf.DUMMYFUNCTION("GOOGLEFINANCE(""NSE:""&amp;D576,""marketcap"")"),14324020800)</f>
        <v>14324020800</v>
      </c>
      <c r="K576" s="7">
        <v>992.8</v>
      </c>
      <c r="L576" s="8">
        <f ca="1">IFERROR(__xludf.DUMMYFUNCTION("GOOGLEFINANCE(""NSE:""&amp;D576,""price"")"),940)</f>
        <v>940</v>
      </c>
      <c r="M576" s="9">
        <f t="shared" ca="1" si="12"/>
        <v>-52.799999999999955</v>
      </c>
      <c r="N576" s="10">
        <f t="shared" ca="1" si="13"/>
        <v>-5.318291700241736</v>
      </c>
      <c r="O576" s="7">
        <f ca="1">IFERROR(__xludf.DUMMYFUNCTION("GOOGLEFINANCE(""NSE:""&amp;D576,""pe"")"),20.53)</f>
        <v>20.53</v>
      </c>
      <c r="P576" s="7">
        <f ca="1">IFERROR(__xludf.DUMMYFUNCTION("GOOGLEFINANCE(""NSE:""&amp;D576,""EPS"")"),52.62)</f>
        <v>52.62</v>
      </c>
      <c r="Q576" s="7">
        <v>13.5</v>
      </c>
      <c r="R576" s="7" t="str">
        <f ca="1">IFERROR(__xludf.DUMMYFUNCTION("IMPORTXML(E576,""/html/body/main/div[3]/div[3]/div[2]/ul/li[7]/span[2]/span"")"),"Loading...")</f>
        <v>Loading...</v>
      </c>
      <c r="S576" s="7" t="str">
        <f ca="1">IFERROR(__xludf.DUMMYFUNCTION("IMPORTXML(E576,""/html/body/main/div[3]/div[3]/div[2]/ul/li[8]/span[2]/span"")"),"Loading...")</f>
        <v>Loading...</v>
      </c>
      <c r="T576" s="4">
        <v>34.6</v>
      </c>
      <c r="U576" s="4">
        <v>22.7</v>
      </c>
      <c r="V576" s="4">
        <v>2.6</v>
      </c>
      <c r="W576" s="4">
        <v>5.7</v>
      </c>
      <c r="X576" s="4">
        <v>519.92999999999995</v>
      </c>
      <c r="Y576" s="7">
        <f t="shared" ca="1" si="14"/>
        <v>420.07000000000005</v>
      </c>
    </row>
    <row r="577" spans="1:25" ht="15" x14ac:dyDescent="0.25">
      <c r="A577" s="4">
        <v>338</v>
      </c>
      <c r="C577" s="12" t="s">
        <v>1697</v>
      </c>
      <c r="D577" s="12" t="s">
        <v>1698</v>
      </c>
      <c r="E577" s="5" t="str">
        <f t="shared" si="10"/>
        <v>https://www.screener.in/company/CMSINFO/consolidated/</v>
      </c>
      <c r="F577" s="4">
        <v>443059</v>
      </c>
      <c r="G577" s="4">
        <v>3832241897</v>
      </c>
      <c r="H577" s="6">
        <f t="shared" ca="1" si="11"/>
        <v>160762.54757915001</v>
      </c>
      <c r="I577" s="7" t="str">
        <f ca="1">IFERROR(__xludf.DUMMYFUNCTION("IMPORTXML(E577,""/html/body/main/div[3]/div[3]/div[2]/ul/li[5]/span[2]/span"")"),"Loading...")</f>
        <v>Loading...</v>
      </c>
      <c r="J577" s="7">
        <f ca="1">IFERROR(__xludf.DUMMYFUNCTION("GOOGLEFINANCE(""NSE:""&amp;D577,""marketcap"")"),68996213750)</f>
        <v>68996213750</v>
      </c>
      <c r="K577" s="7">
        <v>992.8</v>
      </c>
      <c r="L577" s="8">
        <f ca="1">IFERROR(__xludf.DUMMYFUNCTION("GOOGLEFINANCE(""NSE:""&amp;D577,""price"")"),419.5)</f>
        <v>419.5</v>
      </c>
      <c r="M577" s="9">
        <f t="shared" ca="1" si="12"/>
        <v>-573.29999999999995</v>
      </c>
      <c r="N577" s="10">
        <f t="shared" ca="1" si="13"/>
        <v>-57.74576954069299</v>
      </c>
      <c r="O577" s="7">
        <f ca="1">IFERROR(__xludf.DUMMYFUNCTION("GOOGLEFINANCE(""NSE:""&amp;D577,""pe"")"),18.69)</f>
        <v>18.690000000000001</v>
      </c>
      <c r="P577" s="7">
        <f ca="1">IFERROR(__xludf.DUMMYFUNCTION("GOOGLEFINANCE(""NSE:""&amp;D577,""EPS"")"),22.44)</f>
        <v>22.44</v>
      </c>
      <c r="Q577" s="7">
        <v>13.5</v>
      </c>
      <c r="R577" s="7" t="str">
        <f ca="1">IFERROR(__xludf.DUMMYFUNCTION("IMPORTXML(E577,""/html/body/main/div[3]/div[3]/div[2]/ul/li[7]/span[2]/span"")"),"Loading...")</f>
        <v>Loading...</v>
      </c>
      <c r="S577" s="7" t="str">
        <f ca="1">IFERROR(__xludf.DUMMYFUNCTION("IMPORTXML(E577,""/html/body/main/div[3]/div[3]/div[2]/ul/li[8]/span[2]/span"")"),"Loading...")</f>
        <v>Loading...</v>
      </c>
      <c r="T577" s="4">
        <v>34.6</v>
      </c>
      <c r="U577" s="4">
        <v>22.7</v>
      </c>
      <c r="V577" s="4">
        <v>2.6</v>
      </c>
      <c r="W577" s="4">
        <v>5.7</v>
      </c>
      <c r="X577" s="4">
        <v>519.92999999999995</v>
      </c>
      <c r="Y577" s="7">
        <f t="shared" ca="1" si="14"/>
        <v>-100.42999999999995</v>
      </c>
    </row>
    <row r="578" spans="1:25" ht="15" x14ac:dyDescent="0.25">
      <c r="A578" s="4">
        <v>478</v>
      </c>
      <c r="C578" s="12" t="s">
        <v>1699</v>
      </c>
      <c r="D578" s="12" t="s">
        <v>1700</v>
      </c>
      <c r="E578" s="5" t="str">
        <f t="shared" si="10"/>
        <v>https://www.screener.in/company/SIS/consolidated/</v>
      </c>
      <c r="F578" s="4">
        <v>443059</v>
      </c>
      <c r="G578" s="4">
        <v>3832241897</v>
      </c>
      <c r="H578" s="6">
        <f t="shared" ca="1" si="11"/>
        <v>136140.39339092499</v>
      </c>
      <c r="I578" s="7" t="str">
        <f ca="1">IFERROR(__xludf.DUMMYFUNCTION("IMPORTXML(E578,""/html/body/main/div[3]/div[3]/div[2]/ul/li[5]/span[2]/span"")"),"Loading...")</f>
        <v>Loading...</v>
      </c>
      <c r="J578" s="7">
        <f ca="1">IFERROR(__xludf.DUMMYFUNCTION("GOOGLEFINANCE(""NSE:""&amp;D578,""marketcap"")"),50220140000)</f>
        <v>50220140000</v>
      </c>
      <c r="K578" s="7">
        <v>992.8</v>
      </c>
      <c r="L578" s="8">
        <f ca="1">IFERROR(__xludf.DUMMYFUNCTION("GOOGLEFINANCE(""NSE:""&amp;D578,""price"")"),355.25)</f>
        <v>355.25</v>
      </c>
      <c r="M578" s="9">
        <f t="shared" ca="1" si="12"/>
        <v>-637.54999999999995</v>
      </c>
      <c r="N578" s="10">
        <f t="shared" ca="1" si="13"/>
        <v>-64.217365028203062</v>
      </c>
      <c r="O578" s="7">
        <f ca="1">IFERROR(__xludf.DUMMYFUNCTION("GOOGLEFINANCE(""NSE:""&amp;D578,""pe"")"),132.6)</f>
        <v>132.6</v>
      </c>
      <c r="P578" s="7">
        <f ca="1">IFERROR(__xludf.DUMMYFUNCTION("GOOGLEFINANCE(""NSE:""&amp;D578,""EPS"")"),2.68)</f>
        <v>2.68</v>
      </c>
      <c r="Q578" s="7">
        <v>13.5</v>
      </c>
      <c r="R578" s="7" t="str">
        <f ca="1">IFERROR(__xludf.DUMMYFUNCTION("IMPORTXML(E578,""/html/body/main/div[3]/div[3]/div[2]/ul/li[7]/span[2]/span"")"),"Loading...")</f>
        <v>Loading...</v>
      </c>
      <c r="S578" s="7" t="str">
        <f ca="1">IFERROR(__xludf.DUMMYFUNCTION("IMPORTXML(E578,""/html/body/main/div[3]/div[3]/div[2]/ul/li[8]/span[2]/span"")"),"Loading...")</f>
        <v>Loading...</v>
      </c>
      <c r="T578" s="4">
        <v>34.6</v>
      </c>
      <c r="U578" s="4">
        <v>22.7</v>
      </c>
      <c r="V578" s="4">
        <v>2.6</v>
      </c>
      <c r="W578" s="4">
        <v>5.7</v>
      </c>
      <c r="X578" s="4">
        <v>519.92999999999995</v>
      </c>
      <c r="Y578" s="7">
        <f t="shared" ca="1" si="14"/>
        <v>-164.67999999999995</v>
      </c>
    </row>
    <row r="579" spans="1:25" ht="15" x14ac:dyDescent="0.25">
      <c r="A579" s="4">
        <v>1375</v>
      </c>
      <c r="C579" s="12" t="s">
        <v>1701</v>
      </c>
      <c r="D579" s="12" t="s">
        <v>1702</v>
      </c>
      <c r="E579" s="5" t="str">
        <f t="shared" si="10"/>
        <v>https://www.screener.in/company/PYRAMID/consolidated/</v>
      </c>
      <c r="F579" s="4">
        <v>443059</v>
      </c>
      <c r="G579" s="4">
        <v>3832241897</v>
      </c>
      <c r="H579" s="6">
        <f t="shared" ca="1" si="11"/>
        <v>65148.112248999998</v>
      </c>
      <c r="I579" s="7" t="str">
        <f ca="1">IFERROR(__xludf.DUMMYFUNCTION("IMPORTXML(E579,""/html/body/main/div[3]/div[3]/div[2]/ul/li[5]/span[2]/span"")"),"Loading...")</f>
        <v>Loading...</v>
      </c>
      <c r="J579" s="7">
        <f ca="1">IFERROR(__xludf.DUMMYFUNCTION("GOOGLEFINANCE(""NSE:""&amp;D579,""marketcap"")"),6253416000)</f>
        <v>6253416000</v>
      </c>
      <c r="K579" s="7">
        <v>992.8</v>
      </c>
      <c r="L579" s="8">
        <f ca="1">IFERROR(__xludf.DUMMYFUNCTION("GOOGLEFINANCE(""NSE:""&amp;D579,""price"")"),170)</f>
        <v>170</v>
      </c>
      <c r="M579" s="9">
        <f t="shared" ca="1" si="12"/>
        <v>-822.8</v>
      </c>
      <c r="N579" s="10">
        <f t="shared" ca="1" si="13"/>
        <v>-82.876712328767127</v>
      </c>
      <c r="O579" s="7">
        <f ca="1">IFERROR(__xludf.DUMMYFUNCTION("GOOGLEFINANCE(""NSE:""&amp;D579,""pe"")"),22.76)</f>
        <v>22.76</v>
      </c>
      <c r="P579" s="7">
        <f ca="1">IFERROR(__xludf.DUMMYFUNCTION("GOOGLEFINANCE(""NSE:""&amp;D579,""EPS"")"),7.47)</f>
        <v>7.47</v>
      </c>
      <c r="Q579" s="7">
        <v>13.5</v>
      </c>
      <c r="R579" s="7" t="str">
        <f ca="1">IFERROR(__xludf.DUMMYFUNCTION("IMPORTXML(E579,""/html/body/main/div[3]/div[3]/div[2]/ul/li[7]/span[2]/span"")"),"Loading...")</f>
        <v>Loading...</v>
      </c>
      <c r="S579" s="7" t="str">
        <f ca="1">IFERROR(__xludf.DUMMYFUNCTION("IMPORTXML(E579,""/html/body/main/div[3]/div[3]/div[2]/ul/li[8]/span[2]/span"")"),"Loading...")</f>
        <v>Loading...</v>
      </c>
      <c r="T579" s="4">
        <v>34.6</v>
      </c>
      <c r="U579" s="4">
        <v>22.7</v>
      </c>
      <c r="V579" s="4">
        <v>2.6</v>
      </c>
      <c r="W579" s="4">
        <v>5.7</v>
      </c>
      <c r="X579" s="4">
        <v>519.92999999999995</v>
      </c>
      <c r="Y579" s="7">
        <f t="shared" ca="1" si="14"/>
        <v>-349.92999999999995</v>
      </c>
    </row>
    <row r="580" spans="1:25" ht="15" x14ac:dyDescent="0.25">
      <c r="A580" s="4">
        <v>632</v>
      </c>
      <c r="C580" s="12" t="s">
        <v>1703</v>
      </c>
      <c r="D580" s="12" t="s">
        <v>1704</v>
      </c>
      <c r="E580" s="5" t="str">
        <f t="shared" si="10"/>
        <v>https://www.screener.in/company/INDRAMEDCO/consolidated/</v>
      </c>
      <c r="F580" s="4">
        <v>443059</v>
      </c>
      <c r="G580" s="4">
        <v>3832241897</v>
      </c>
      <c r="H580" s="6">
        <f t="shared" ca="1" si="11"/>
        <v>185288.89571995</v>
      </c>
      <c r="I580" s="7" t="str">
        <f ca="1">IFERROR(__xludf.DUMMYFUNCTION("IMPORTXML(E580,""/html/body/main/div[3]/div[3]/div[2]/ul/li[5]/span[2]/span"")"),"Loading...")</f>
        <v>Loading...</v>
      </c>
      <c r="J580" s="7">
        <f ca="1">IFERROR(__xludf.DUMMYFUNCTION("GOOGLEFINANCE(""NSE:""&amp;D580,""marketcap"")"),44218565084)</f>
        <v>44218565084</v>
      </c>
      <c r="K580" s="7">
        <v>992.8</v>
      </c>
      <c r="L580" s="8">
        <f ca="1">IFERROR(__xludf.DUMMYFUNCTION("GOOGLEFINANCE(""NSE:""&amp;D580,""price"")"),483.5)</f>
        <v>483.5</v>
      </c>
      <c r="M580" s="9">
        <f t="shared" ca="1" si="12"/>
        <v>-509.29999999999995</v>
      </c>
      <c r="N580" s="10">
        <f t="shared" ca="1" si="13"/>
        <v>-51.299355358581792</v>
      </c>
      <c r="O580" s="7">
        <f ca="1">IFERROR(__xludf.DUMMYFUNCTION("GOOGLEFINANCE(""NSE:""&amp;D580,""pe"")"),26.44)</f>
        <v>26.44</v>
      </c>
      <c r="P580" s="7">
        <f ca="1">IFERROR(__xludf.DUMMYFUNCTION("GOOGLEFINANCE(""NSE:""&amp;D580,""EPS"")"),18.29)</f>
        <v>18.29</v>
      </c>
      <c r="Q580" s="7">
        <v>13.5</v>
      </c>
      <c r="R580" s="7" t="str">
        <f ca="1">IFERROR(__xludf.DUMMYFUNCTION("IMPORTXML(E580,""/html/body/main/div[3]/div[3]/div[2]/ul/li[7]/span[2]/span"")"),"Loading...")</f>
        <v>Loading...</v>
      </c>
      <c r="S580" s="7" t="str">
        <f ca="1">IFERROR(__xludf.DUMMYFUNCTION("IMPORTXML(E580,""/html/body/main/div[3]/div[3]/div[2]/ul/li[8]/span[2]/span"")"),"Loading...")</f>
        <v>Loading...</v>
      </c>
      <c r="T580" s="4">
        <v>34.6</v>
      </c>
      <c r="U580" s="4">
        <v>22.7</v>
      </c>
      <c r="V580" s="4">
        <v>2.6</v>
      </c>
      <c r="W580" s="4">
        <v>5.7</v>
      </c>
      <c r="X580" s="4">
        <v>519.92999999999995</v>
      </c>
      <c r="Y580" s="7">
        <f t="shared" ca="1" si="14"/>
        <v>-36.42999999999995</v>
      </c>
    </row>
    <row r="581" spans="1:25" ht="15" x14ac:dyDescent="0.25">
      <c r="A581" s="4">
        <v>1304</v>
      </c>
      <c r="C581" s="12" t="s">
        <v>1705</v>
      </c>
      <c r="D581" s="12" t="s">
        <v>1706</v>
      </c>
      <c r="E581" s="5" t="str">
        <f t="shared" si="10"/>
        <v>https://www.screener.in/company/FOCUS/consolidated/</v>
      </c>
      <c r="F581" s="4">
        <v>443059</v>
      </c>
      <c r="G581" s="4">
        <v>3832241897</v>
      </c>
      <c r="H581" s="6">
        <f t="shared" ca="1" si="11"/>
        <v>36674.554954290004</v>
      </c>
      <c r="I581" s="7" t="str">
        <f ca="1">IFERROR(__xludf.DUMMYFUNCTION("IMPORTXML(E581,""/html/body/main/div[3]/div[3]/div[2]/ul/li[5]/span[2]/span"")"),"Loading...")</f>
        <v>Loading...</v>
      </c>
      <c r="J581" s="7">
        <f ca="1">IFERROR(__xludf.DUMMYFUNCTION("GOOGLEFINANCE(""NSE:""&amp;D581,""marketcap"")"),6384119043)</f>
        <v>6384119043</v>
      </c>
      <c r="K581" s="7">
        <v>992.8</v>
      </c>
      <c r="L581" s="8">
        <f ca="1">IFERROR(__xludf.DUMMYFUNCTION("GOOGLEFINANCE(""NSE:""&amp;D581,""price"")"),95.7)</f>
        <v>95.7</v>
      </c>
      <c r="M581" s="9">
        <f t="shared" ca="1" si="12"/>
        <v>-897.09999999999991</v>
      </c>
      <c r="N581" s="10">
        <f t="shared" ca="1" si="13"/>
        <v>-90.360596293311843</v>
      </c>
      <c r="O581" s="7">
        <f ca="1">IFERROR(__xludf.DUMMYFUNCTION("GOOGLEFINANCE(""NSE:""&amp;D581,""pe"")"),77.93)</f>
        <v>77.930000000000007</v>
      </c>
      <c r="P581" s="7">
        <f ca="1">IFERROR(__xludf.DUMMYFUNCTION("GOOGLEFINANCE(""NSE:""&amp;D581,""EPS"")"),1.23)</f>
        <v>1.23</v>
      </c>
      <c r="Q581" s="7">
        <v>13.5</v>
      </c>
      <c r="R581" s="7" t="str">
        <f ca="1">IFERROR(__xludf.DUMMYFUNCTION("IMPORTXML(E581,""/html/body/main/div[3]/div[3]/div[2]/ul/li[7]/span[2]/span"")"),"Loading...")</f>
        <v>Loading...</v>
      </c>
      <c r="S581" s="7" t="str">
        <f ca="1">IFERROR(__xludf.DUMMYFUNCTION("IMPORTXML(E581,""/html/body/main/div[3]/div[3]/div[2]/ul/li[8]/span[2]/span"")"),"Loading...")</f>
        <v>Loading...</v>
      </c>
      <c r="T581" s="4">
        <v>34.6</v>
      </c>
      <c r="U581" s="4">
        <v>22.7</v>
      </c>
      <c r="V581" s="4">
        <v>2.6</v>
      </c>
      <c r="W581" s="4">
        <v>5.7</v>
      </c>
      <c r="X581" s="4">
        <v>519.92999999999995</v>
      </c>
      <c r="Y581" s="7">
        <f t="shared" ca="1" si="14"/>
        <v>-424.22999999999996</v>
      </c>
    </row>
    <row r="582" spans="1:25" ht="15" x14ac:dyDescent="0.25">
      <c r="A582" s="4">
        <v>723</v>
      </c>
      <c r="C582" s="12" t="s">
        <v>1707</v>
      </c>
      <c r="D582" s="12" t="s">
        <v>1708</v>
      </c>
      <c r="E582" s="5" t="str">
        <f t="shared" si="10"/>
        <v>https://www.screener.in/company/VADILALIND/consolidated/</v>
      </c>
      <c r="F582" s="4">
        <v>443059</v>
      </c>
      <c r="G582" s="4">
        <v>3832241897</v>
      </c>
      <c r="H582" s="6">
        <f t="shared" ca="1" si="11"/>
        <v>2010777.3233558999</v>
      </c>
      <c r="I582" s="7" t="str">
        <f ca="1">IFERROR(__xludf.DUMMYFUNCTION("IMPORTXML(E582,""/html/body/main/div[3]/div[3]/div[2]/ul/li[5]/span[2]/span"")"),"Loading...")</f>
        <v>Loading...</v>
      </c>
      <c r="J582" s="7">
        <f ca="1">IFERROR(__xludf.DUMMYFUNCTION("GOOGLEFINANCE(""NSE:""&amp;D582,""marketcap"")"),37570790000)</f>
        <v>37570790000</v>
      </c>
      <c r="K582" s="7">
        <v>992.8</v>
      </c>
      <c r="L582" s="8">
        <f ca="1">IFERROR(__xludf.DUMMYFUNCTION("GOOGLEFINANCE(""NSE:""&amp;D582,""price"")"),5247)</f>
        <v>5247</v>
      </c>
      <c r="M582" s="9">
        <f t="shared" ca="1" si="12"/>
        <v>4254.2</v>
      </c>
      <c r="N582" s="10">
        <f t="shared" ca="1" si="13"/>
        <v>428.50523771152302</v>
      </c>
      <c r="O582" s="7">
        <f ca="1">IFERROR(__xludf.DUMMYFUNCTION("GOOGLEFINANCE(""NSE:""&amp;D582,""pe"")"),26.99)</f>
        <v>26.99</v>
      </c>
      <c r="P582" s="7">
        <f ca="1">IFERROR(__xludf.DUMMYFUNCTION("GOOGLEFINANCE(""NSE:""&amp;D582,""EPS"")"),194.42)</f>
        <v>194.42</v>
      </c>
      <c r="Q582" s="7">
        <v>13.5</v>
      </c>
      <c r="R582" s="7" t="str">
        <f ca="1">IFERROR(__xludf.DUMMYFUNCTION("IMPORTXML(E582,""/html/body/main/div[3]/div[3]/div[2]/ul/li[7]/span[2]/span"")"),"Loading...")</f>
        <v>Loading...</v>
      </c>
      <c r="S582" s="7" t="str">
        <f ca="1">IFERROR(__xludf.DUMMYFUNCTION("IMPORTXML(E582,""/html/body/main/div[3]/div[3]/div[2]/ul/li[8]/span[2]/span"")"),"Loading...")</f>
        <v>Loading...</v>
      </c>
      <c r="T582" s="4">
        <v>34.6</v>
      </c>
      <c r="U582" s="4">
        <v>22.7</v>
      </c>
      <c r="V582" s="4">
        <v>2.6</v>
      </c>
      <c r="W582" s="4">
        <v>5.7</v>
      </c>
      <c r="X582" s="4">
        <v>519.92999999999995</v>
      </c>
      <c r="Y582" s="7">
        <f t="shared" ca="1" si="14"/>
        <v>4727.07</v>
      </c>
    </row>
    <row r="583" spans="1:25" ht="15" x14ac:dyDescent="0.25">
      <c r="A583" s="4">
        <v>588</v>
      </c>
      <c r="C583" s="12" t="s">
        <v>1709</v>
      </c>
      <c r="D583" s="12" t="s">
        <v>1710</v>
      </c>
      <c r="E583" s="5" t="str">
        <f t="shared" si="10"/>
        <v>https://www.screener.in/company/MOREPENLAB/consolidated/</v>
      </c>
      <c r="F583" s="4">
        <v>443059</v>
      </c>
      <c r="G583" s="4">
        <v>3832241897</v>
      </c>
      <c r="H583" s="6">
        <f t="shared" ca="1" si="11"/>
        <v>18969.59739015</v>
      </c>
      <c r="I583" s="7" t="str">
        <f ca="1">IFERROR(__xludf.DUMMYFUNCTION("IMPORTXML(E583,""/html/body/main/div[3]/div[3]/div[2]/ul/li[5]/span[2]/span"")"),"Loading...")</f>
        <v>Loading...</v>
      </c>
      <c r="J583" s="7">
        <f ca="1">IFERROR(__xludf.DUMMYFUNCTION("GOOGLEFINANCE(""NSE:""&amp;D583,""marketcap"")"),26986900237)</f>
        <v>26986900237</v>
      </c>
      <c r="K583" s="7">
        <v>992.8</v>
      </c>
      <c r="L583" s="8">
        <f ca="1">IFERROR(__xludf.DUMMYFUNCTION("GOOGLEFINANCE(""NSE:""&amp;D583,""price"")"),49.5)</f>
        <v>49.5</v>
      </c>
      <c r="M583" s="9">
        <f t="shared" ca="1" si="12"/>
        <v>-943.3</v>
      </c>
      <c r="N583" s="10">
        <f t="shared" ca="1" si="13"/>
        <v>-95.014101531023371</v>
      </c>
      <c r="O583" s="7">
        <f ca="1">IFERROR(__xludf.DUMMYFUNCTION("GOOGLEFINANCE(""NSE:""&amp;D583,""pe"")"),29.03)</f>
        <v>29.03</v>
      </c>
      <c r="P583" s="7">
        <f ca="1">IFERROR(__xludf.DUMMYFUNCTION("GOOGLEFINANCE(""NSE:""&amp;D583,""EPS"")"),1.7)</f>
        <v>1.7</v>
      </c>
      <c r="Q583" s="7">
        <v>13.5</v>
      </c>
      <c r="R583" s="7" t="str">
        <f ca="1">IFERROR(__xludf.DUMMYFUNCTION("IMPORTXML(E583,""/html/body/main/div[3]/div[3]/div[2]/ul/li[7]/span[2]/span"")"),"Loading...")</f>
        <v>Loading...</v>
      </c>
      <c r="S583" s="7" t="str">
        <f ca="1">IFERROR(__xludf.DUMMYFUNCTION("IMPORTXML(E583,""/html/body/main/div[3]/div[3]/div[2]/ul/li[8]/span[2]/span"")"),"Loading...")</f>
        <v>Loading...</v>
      </c>
      <c r="T583" s="4">
        <v>34.6</v>
      </c>
      <c r="U583" s="4">
        <v>22.7</v>
      </c>
      <c r="V583" s="4">
        <v>2.6</v>
      </c>
      <c r="W583" s="4">
        <v>5.7</v>
      </c>
      <c r="X583" s="4">
        <v>519.92999999999995</v>
      </c>
      <c r="Y583" s="7">
        <f t="shared" ca="1" si="14"/>
        <v>-470.42999999999995</v>
      </c>
    </row>
    <row r="584" spans="1:25" ht="15" x14ac:dyDescent="0.25">
      <c r="A584" s="4">
        <v>1147</v>
      </c>
      <c r="C584" s="12" t="s">
        <v>1711</v>
      </c>
      <c r="D584" s="12" t="s">
        <v>1712</v>
      </c>
      <c r="E584" s="5" t="str">
        <f t="shared" si="10"/>
        <v>https://www.screener.in/company/PAKKA/consolidated/</v>
      </c>
      <c r="F584" s="4">
        <v>443059</v>
      </c>
      <c r="G584" s="4">
        <v>3832241897</v>
      </c>
      <c r="H584" s="6">
        <f t="shared" ca="1" si="11"/>
        <v>58269.238043885009</v>
      </c>
      <c r="I584" s="7" t="str">
        <f ca="1">IFERROR(__xludf.DUMMYFUNCTION("IMPORTXML(E584,""/html/body/main/div[3]/div[3]/div[2]/ul/li[5]/span[2]/span"")"),"Loading...")</f>
        <v>Loading...</v>
      </c>
      <c r="J584" s="7">
        <f ca="1">IFERROR(__xludf.DUMMYFUNCTION("GOOGLEFINANCE(""NSE:""&amp;D584,""marketcap"")"),6834358742)</f>
        <v>6834358742</v>
      </c>
      <c r="K584" s="7">
        <v>992.8</v>
      </c>
      <c r="L584" s="8">
        <f ca="1">IFERROR(__xludf.DUMMYFUNCTION("GOOGLEFINANCE(""NSE:""&amp;D584,""price"")"),152.05)</f>
        <v>152.05000000000001</v>
      </c>
      <c r="M584" s="9">
        <f t="shared" ca="1" si="12"/>
        <v>-840.75</v>
      </c>
      <c r="N584" s="10">
        <f t="shared" ca="1" si="13"/>
        <v>-84.684730056406138</v>
      </c>
      <c r="O584" s="7">
        <f ca="1">IFERROR(__xludf.DUMMYFUNCTION("GOOGLEFINANCE(""NSE:""&amp;D584,""pe"")"),18.77)</f>
        <v>18.77</v>
      </c>
      <c r="P584" s="7">
        <f ca="1">IFERROR(__xludf.DUMMYFUNCTION("GOOGLEFINANCE(""NSE:""&amp;D584,""EPS"")"),8.1)</f>
        <v>8.1</v>
      </c>
      <c r="Q584" s="7">
        <v>13.5</v>
      </c>
      <c r="R584" s="7" t="str">
        <f ca="1">IFERROR(__xludf.DUMMYFUNCTION("IMPORTXML(E584,""/html/body/main/div[3]/div[3]/div[2]/ul/li[7]/span[2]/span"")"),"Loading...")</f>
        <v>Loading...</v>
      </c>
      <c r="S584" s="7" t="str">
        <f ca="1">IFERROR(__xludf.DUMMYFUNCTION("IMPORTXML(E584,""/html/body/main/div[3]/div[3]/div[2]/ul/li[8]/span[2]/span"")"),"Loading...")</f>
        <v>Loading...</v>
      </c>
      <c r="T584" s="4">
        <v>34.6</v>
      </c>
      <c r="U584" s="4">
        <v>22.7</v>
      </c>
      <c r="V584" s="4">
        <v>2.6</v>
      </c>
      <c r="W584" s="4">
        <v>5.7</v>
      </c>
      <c r="X584" s="4">
        <v>519.92999999999995</v>
      </c>
      <c r="Y584" s="7">
        <f t="shared" ca="1" si="14"/>
        <v>-367.87999999999994</v>
      </c>
    </row>
    <row r="585" spans="1:25" ht="15" x14ac:dyDescent="0.25">
      <c r="A585" s="4">
        <v>1902</v>
      </c>
      <c r="C585" s="12" t="s">
        <v>1713</v>
      </c>
      <c r="D585" s="12" t="s">
        <v>1714</v>
      </c>
      <c r="E585" s="5" t="str">
        <f t="shared" si="10"/>
        <v>https://www.screener.in/company/UNITEDPOLY/consolidated/</v>
      </c>
      <c r="F585" s="4">
        <v>443059</v>
      </c>
      <c r="G585" s="4">
        <v>3832241897</v>
      </c>
      <c r="H585" s="6">
        <f t="shared" ca="1" si="11"/>
        <v>12623.404808718</v>
      </c>
      <c r="I585" s="7" t="str">
        <f ca="1">IFERROR(__xludf.DUMMYFUNCTION("IMPORTXML(E585,""/html/body/main/div[3]/div[3]/div[2]/ul/li[5]/span[2]/span"")"),"Loading...")</f>
        <v>Loading...</v>
      </c>
      <c r="J585" s="7">
        <f ca="1">IFERROR(__xludf.DUMMYFUNCTION("GOOGLEFINANCE(""NSE:""&amp;D585,""marketcap"")"),3706675000)</f>
        <v>3706675000</v>
      </c>
      <c r="K585" s="7">
        <v>992.8</v>
      </c>
      <c r="L585" s="8">
        <f ca="1">IFERROR(__xludf.DUMMYFUNCTION("GOOGLEFINANCE(""NSE:""&amp;D585,""price"")"),32.94)</f>
        <v>32.94</v>
      </c>
      <c r="M585" s="9">
        <f t="shared" ca="1" si="12"/>
        <v>-959.8599999999999</v>
      </c>
      <c r="N585" s="10">
        <f t="shared" ca="1" si="13"/>
        <v>-96.682111200644641</v>
      </c>
      <c r="O585" s="7">
        <f ca="1">IFERROR(__xludf.DUMMYFUNCTION("GOOGLEFINANCE(""NSE:""&amp;D585,""pe"")"),19.06)</f>
        <v>19.059999999999999</v>
      </c>
      <c r="P585" s="7">
        <f ca="1">IFERROR(__xludf.DUMMYFUNCTION("GOOGLEFINANCE(""NSE:""&amp;D585,""EPS"")"),1.73)</f>
        <v>1.73</v>
      </c>
      <c r="Q585" s="7">
        <v>13.5</v>
      </c>
      <c r="R585" s="7" t="str">
        <f ca="1">IFERROR(__xludf.DUMMYFUNCTION("IMPORTXML(E585,""/html/body/main/div[3]/div[3]/div[2]/ul/li[7]/span[2]/span"")"),"Loading...")</f>
        <v>Loading...</v>
      </c>
      <c r="S585" s="7" t="str">
        <f ca="1">IFERROR(__xludf.DUMMYFUNCTION("IMPORTXML(E585,""/html/body/main/div[3]/div[3]/div[2]/ul/li[8]/span[2]/span"")"),"Loading...")</f>
        <v>Loading...</v>
      </c>
      <c r="T585" s="4">
        <v>34.6</v>
      </c>
      <c r="U585" s="4">
        <v>22.7</v>
      </c>
      <c r="V585" s="4">
        <v>2.6</v>
      </c>
      <c r="W585" s="4">
        <v>5.7</v>
      </c>
      <c r="X585" s="4">
        <v>519.92999999999995</v>
      </c>
      <c r="Y585" s="7">
        <f t="shared" ca="1" si="14"/>
        <v>-486.98999999999995</v>
      </c>
    </row>
    <row r="586" spans="1:25" ht="15" x14ac:dyDescent="0.25">
      <c r="A586" s="4">
        <v>1205</v>
      </c>
      <c r="C586" s="12" t="s">
        <v>1715</v>
      </c>
      <c r="D586" s="12" t="s">
        <v>1716</v>
      </c>
      <c r="E586" s="5" t="str">
        <f t="shared" si="10"/>
        <v>https://www.screener.in/company/NCLIND/consolidated/</v>
      </c>
      <c r="F586" s="4">
        <v>443059</v>
      </c>
      <c r="G586" s="4">
        <v>3832241897</v>
      </c>
      <c r="H586" s="6">
        <f t="shared" ca="1" si="11"/>
        <v>81914.170548374997</v>
      </c>
      <c r="I586" s="7" t="str">
        <f ca="1">IFERROR(__xludf.DUMMYFUNCTION("IMPORTXML(E586,""/html/body/main/div[3]/div[3]/div[2]/ul/li[5]/span[2]/span"")"),"Loading...")</f>
        <v>Loading...</v>
      </c>
      <c r="J586" s="7">
        <f ca="1">IFERROR(__xludf.DUMMYFUNCTION("GOOGLEFINANCE(""NSE:""&amp;D586,""marketcap"")"),9675746000)</f>
        <v>9675746000</v>
      </c>
      <c r="K586" s="7">
        <v>992.8</v>
      </c>
      <c r="L586" s="8">
        <f ca="1">IFERROR(__xludf.DUMMYFUNCTION("GOOGLEFINANCE(""NSE:""&amp;D586,""price"")"),213.75)</f>
        <v>213.75</v>
      </c>
      <c r="M586" s="9">
        <f t="shared" ca="1" si="12"/>
        <v>-779.05</v>
      </c>
      <c r="N586" s="10">
        <f t="shared" ca="1" si="13"/>
        <v>-78.469983883964545</v>
      </c>
      <c r="O586" s="7">
        <f ca="1">IFERROR(__xludf.DUMMYFUNCTION("GOOGLEFINANCE(""NSE:""&amp;D586,""pe"")"),29.77)</f>
        <v>29.77</v>
      </c>
      <c r="P586" s="7">
        <f ca="1">IFERROR(__xludf.DUMMYFUNCTION("GOOGLEFINANCE(""NSE:""&amp;D586,""EPS"")"),7.18)</f>
        <v>7.18</v>
      </c>
      <c r="Q586" s="7">
        <v>13.5</v>
      </c>
      <c r="R586" s="7" t="str">
        <f ca="1">IFERROR(__xludf.DUMMYFUNCTION("IMPORTXML(E586,""/html/body/main/div[3]/div[3]/div[2]/ul/li[7]/span[2]/span"")"),"Loading...")</f>
        <v>Loading...</v>
      </c>
      <c r="S586" s="7" t="str">
        <f ca="1">IFERROR(__xludf.DUMMYFUNCTION("IMPORTXML(E586,""/html/body/main/div[3]/div[3]/div[2]/ul/li[8]/span[2]/span"")"),"Loading...")</f>
        <v>Loading...</v>
      </c>
      <c r="T586" s="4">
        <v>34.6</v>
      </c>
      <c r="U586" s="4">
        <v>22.7</v>
      </c>
      <c r="V586" s="4">
        <v>2.6</v>
      </c>
      <c r="W586" s="4">
        <v>5.7</v>
      </c>
      <c r="X586" s="4">
        <v>519.92999999999995</v>
      </c>
      <c r="Y586" s="7">
        <f t="shared" ca="1" si="14"/>
        <v>-306.17999999999995</v>
      </c>
    </row>
    <row r="587" spans="1:25" ht="15" x14ac:dyDescent="0.25">
      <c r="A587" s="4">
        <v>789</v>
      </c>
      <c r="C587" s="12" t="s">
        <v>1717</v>
      </c>
      <c r="D587" s="12" t="s">
        <v>1718</v>
      </c>
      <c r="E587" s="5" t="str">
        <f t="shared" si="10"/>
        <v>https://www.screener.in/company/IOLCP/consolidated/</v>
      </c>
      <c r="F587" s="4">
        <v>443059</v>
      </c>
      <c r="G587" s="4">
        <v>3832241897</v>
      </c>
      <c r="H587" s="6">
        <f t="shared" ca="1" si="11"/>
        <v>37287.713657809996</v>
      </c>
      <c r="I587" s="7" t="str">
        <f ca="1">IFERROR(__xludf.DUMMYFUNCTION("IMPORTXML(E587,""/html/body/main/div[3]/div[3]/div[2]/ul/li[5]/span[2]/span"")"),"Loading...")</f>
        <v>Loading...</v>
      </c>
      <c r="J587" s="7">
        <f ca="1">IFERROR(__xludf.DUMMYFUNCTION("GOOGLEFINANCE(""NSE:""&amp;D587,""marketcap"")"),28560226645)</f>
        <v>28560226645</v>
      </c>
      <c r="K587" s="7">
        <v>992.8</v>
      </c>
      <c r="L587" s="8">
        <f ca="1">IFERROR(__xludf.DUMMYFUNCTION("GOOGLEFINANCE(""NSE:""&amp;D587,""price"")"),97.3)</f>
        <v>97.3</v>
      </c>
      <c r="M587" s="9">
        <f t="shared" ca="1" si="12"/>
        <v>-895.5</v>
      </c>
      <c r="N587" s="10">
        <f t="shared" ca="1" si="13"/>
        <v>-90.199435938759066</v>
      </c>
      <c r="O587" s="7">
        <f ca="1">IFERROR(__xludf.DUMMYFUNCTION("GOOGLEFINANCE(""NSE:""&amp;D587,""pe"")"),27.17)</f>
        <v>27.17</v>
      </c>
      <c r="P587" s="7">
        <f ca="1">IFERROR(__xludf.DUMMYFUNCTION("GOOGLEFINANCE(""NSE:""&amp;D587,""EPS"")"),3.58)</f>
        <v>3.58</v>
      </c>
      <c r="Q587" s="7">
        <v>13.5</v>
      </c>
      <c r="R587" s="7" t="str">
        <f ca="1">IFERROR(__xludf.DUMMYFUNCTION("IMPORTXML(E587,""/html/body/main/div[3]/div[3]/div[2]/ul/li[7]/span[2]/span"")"),"Loading...")</f>
        <v>Loading...</v>
      </c>
      <c r="S587" s="7" t="str">
        <f ca="1">IFERROR(__xludf.DUMMYFUNCTION("IMPORTXML(E587,""/html/body/main/div[3]/div[3]/div[2]/ul/li[8]/span[2]/span"")"),"Loading...")</f>
        <v>Loading...</v>
      </c>
      <c r="T587" s="4">
        <v>34.6</v>
      </c>
      <c r="U587" s="4">
        <v>22.7</v>
      </c>
      <c r="V587" s="4">
        <v>2.6</v>
      </c>
      <c r="W587" s="4">
        <v>5.7</v>
      </c>
      <c r="X587" s="4">
        <v>519.92999999999995</v>
      </c>
      <c r="Y587" s="7">
        <f t="shared" ca="1" si="14"/>
        <v>-422.62999999999994</v>
      </c>
    </row>
    <row r="588" spans="1:25" ht="15" x14ac:dyDescent="0.25">
      <c r="A588" s="4">
        <v>485</v>
      </c>
      <c r="C588" s="12" t="s">
        <v>1719</v>
      </c>
      <c r="D588" s="12" t="s">
        <v>1720</v>
      </c>
      <c r="E588" s="5" t="str">
        <f t="shared" si="10"/>
        <v>https://www.screener.in/company/SHARDACROP/consolidated/</v>
      </c>
      <c r="F588" s="4">
        <v>443059</v>
      </c>
      <c r="G588" s="4">
        <v>3832241897</v>
      </c>
      <c r="H588" s="6">
        <f t="shared" ca="1" si="11"/>
        <v>348369.94964678498</v>
      </c>
      <c r="I588" s="7" t="str">
        <f ca="1">IFERROR(__xludf.DUMMYFUNCTION("IMPORTXML(E588,""/html/body/main/div[3]/div[3]/div[2]/ul/li[5]/span[2]/span"")"),"Loading...")</f>
        <v>Loading...</v>
      </c>
      <c r="J588" s="7">
        <f ca="1">IFERROR(__xludf.DUMMYFUNCTION("GOOGLEFINANCE(""NSE:""&amp;D588,""marketcap"")"),82014935333)</f>
        <v>82014935333</v>
      </c>
      <c r="K588" s="7">
        <v>992.8</v>
      </c>
      <c r="L588" s="8">
        <f ca="1">IFERROR(__xludf.DUMMYFUNCTION("GOOGLEFINANCE(""NSE:""&amp;D588,""price"")"),909.05)</f>
        <v>909.05</v>
      </c>
      <c r="M588" s="9">
        <f t="shared" ca="1" si="12"/>
        <v>-83.75</v>
      </c>
      <c r="N588" s="10">
        <f t="shared" ca="1" si="13"/>
        <v>-8.4357373086220786</v>
      </c>
      <c r="O588" s="7">
        <f ca="1">IFERROR(__xludf.DUMMYFUNCTION("GOOGLEFINANCE(""NSE:""&amp;D588,""pe"")"),19.52)</f>
        <v>19.52</v>
      </c>
      <c r="P588" s="7">
        <f ca="1">IFERROR(__xludf.DUMMYFUNCTION("GOOGLEFINANCE(""NSE:""&amp;D588,""EPS"")"),46.57)</f>
        <v>46.57</v>
      </c>
      <c r="Q588" s="7">
        <v>13.5</v>
      </c>
      <c r="R588" s="7" t="str">
        <f ca="1">IFERROR(__xludf.DUMMYFUNCTION("IMPORTXML(E588,""/html/body/main/div[3]/div[3]/div[2]/ul/li[7]/span[2]/span"")"),"Loading...")</f>
        <v>Loading...</v>
      </c>
      <c r="S588" s="7" t="str">
        <f ca="1">IFERROR(__xludf.DUMMYFUNCTION("IMPORTXML(E588,""/html/body/main/div[3]/div[3]/div[2]/ul/li[8]/span[2]/span"")"),"Loading...")</f>
        <v>Loading...</v>
      </c>
      <c r="T588" s="4">
        <v>34.6</v>
      </c>
      <c r="U588" s="4">
        <v>22.7</v>
      </c>
      <c r="V588" s="4">
        <v>2.6</v>
      </c>
      <c r="W588" s="4">
        <v>5.7</v>
      </c>
      <c r="X588" s="4">
        <v>519.92999999999995</v>
      </c>
      <c r="Y588" s="7">
        <f t="shared" ca="1" si="14"/>
        <v>389.12</v>
      </c>
    </row>
    <row r="589" spans="1:25" ht="15" x14ac:dyDescent="0.25">
      <c r="A589" s="4">
        <v>774</v>
      </c>
      <c r="C589" s="12" t="s">
        <v>1721</v>
      </c>
      <c r="D589" s="12" t="s">
        <v>1722</v>
      </c>
      <c r="E589" s="5" t="str">
        <f t="shared" si="10"/>
        <v>https://www.screener.in/company/PENIND/consolidated/</v>
      </c>
      <c r="F589" s="4">
        <v>443059</v>
      </c>
      <c r="G589" s="4">
        <v>3832241897</v>
      </c>
      <c r="H589" s="6">
        <f t="shared" ca="1" si="11"/>
        <v>94821.161257471002</v>
      </c>
      <c r="I589" s="7" t="str">
        <f ca="1">IFERROR(__xludf.DUMMYFUNCTION("IMPORTXML(E589,""/html/body/main/div[3]/div[3]/div[2]/ul/li[5]/span[2]/span"")"),"Loading...")</f>
        <v>Loading...</v>
      </c>
      <c r="J589" s="7">
        <f ca="1">IFERROR(__xludf.DUMMYFUNCTION("GOOGLEFINANCE(""NSE:""&amp;D589,""marketcap"")"),33389737277)</f>
        <v>33389737277</v>
      </c>
      <c r="K589" s="7">
        <v>992.8</v>
      </c>
      <c r="L589" s="8">
        <f ca="1">IFERROR(__xludf.DUMMYFUNCTION("GOOGLEFINANCE(""NSE:""&amp;D589,""price"")"),247.43)</f>
        <v>247.43</v>
      </c>
      <c r="M589" s="9">
        <f t="shared" ca="1" si="12"/>
        <v>-745.36999999999989</v>
      </c>
      <c r="N589" s="10">
        <f t="shared" ca="1" si="13"/>
        <v>-75.07755842062852</v>
      </c>
      <c r="O589" s="7">
        <f ca="1">IFERROR(__xludf.DUMMYFUNCTION("GOOGLEFINANCE(""NSE:""&amp;D589,""pe"")"),26.75)</f>
        <v>26.75</v>
      </c>
      <c r="P589" s="7">
        <f ca="1">IFERROR(__xludf.DUMMYFUNCTION("GOOGLEFINANCE(""NSE:""&amp;D589,""EPS"")"),9.25)</f>
        <v>9.25</v>
      </c>
      <c r="Q589" s="7">
        <v>13.5</v>
      </c>
      <c r="R589" s="7" t="str">
        <f ca="1">IFERROR(__xludf.DUMMYFUNCTION("IMPORTXML(E589,""/html/body/main/div[3]/div[3]/div[2]/ul/li[7]/span[2]/span"")"),"Loading...")</f>
        <v>Loading...</v>
      </c>
      <c r="S589" s="7" t="str">
        <f ca="1">IFERROR(__xludf.DUMMYFUNCTION("IMPORTXML(E589,""/html/body/main/div[3]/div[3]/div[2]/ul/li[8]/span[2]/span"")"),"Loading...")</f>
        <v>Loading...</v>
      </c>
      <c r="T589" s="4">
        <v>34.6</v>
      </c>
      <c r="U589" s="4">
        <v>22.7</v>
      </c>
      <c r="V589" s="4">
        <v>2.6</v>
      </c>
      <c r="W589" s="4">
        <v>5.7</v>
      </c>
      <c r="X589" s="4">
        <v>519.92999999999995</v>
      </c>
      <c r="Y589" s="7">
        <f t="shared" ca="1" si="14"/>
        <v>-272.49999999999994</v>
      </c>
    </row>
    <row r="590" spans="1:25" ht="15" x14ac:dyDescent="0.25">
      <c r="A590" s="4">
        <v>225</v>
      </c>
      <c r="C590" s="12" t="s">
        <v>1723</v>
      </c>
      <c r="D590" s="12" t="s">
        <v>1724</v>
      </c>
      <c r="E590" s="5" t="str">
        <f t="shared" si="10"/>
        <v>https://www.screener.in/company/CHENNPETRO/consolidated/</v>
      </c>
      <c r="F590" s="4">
        <v>443059</v>
      </c>
      <c r="G590" s="4">
        <v>3832241897</v>
      </c>
      <c r="H590" s="6">
        <f t="shared" ca="1" si="11"/>
        <v>269023.3811694</v>
      </c>
      <c r="I590" s="7" t="str">
        <f ca="1">IFERROR(__xludf.DUMMYFUNCTION("IMPORTXML(E590,""/html/body/main/div[3]/div[3]/div[2]/ul/li[5]/span[2]/span"")"),"Loading...")</f>
        <v>Loading...</v>
      </c>
      <c r="J590" s="7">
        <f ca="1">IFERROR(__xludf.DUMMYFUNCTION("GOOGLEFINANCE(""NSE:""&amp;D590,""marketcap"")"),104535802800)</f>
        <v>104535802800</v>
      </c>
      <c r="K590" s="7">
        <v>992.8</v>
      </c>
      <c r="L590" s="8">
        <f ca="1">IFERROR(__xludf.DUMMYFUNCTION("GOOGLEFINANCE(""NSE:""&amp;D590,""price"")"),702)</f>
        <v>702</v>
      </c>
      <c r="M590" s="9">
        <f t="shared" ca="1" si="12"/>
        <v>-290.79999999999995</v>
      </c>
      <c r="N590" s="10">
        <f t="shared" ca="1" si="13"/>
        <v>-29.290894439967762</v>
      </c>
      <c r="O590" s="7" t="str">
        <f ca="1">IFERROR(__xludf.DUMMYFUNCTION("GOOGLEFINANCE(""NSE:""&amp;D590,""pe"")"),"#N/A")</f>
        <v>#N/A</v>
      </c>
      <c r="P590" s="7">
        <f ca="1">IFERROR(__xludf.DUMMYFUNCTION("GOOGLEFINANCE(""NSE:""&amp;D590,""EPS"")"),-12.29)</f>
        <v>-12.29</v>
      </c>
      <c r="Q590" s="7">
        <v>13.5</v>
      </c>
      <c r="R590" s="7" t="str">
        <f ca="1">IFERROR(__xludf.DUMMYFUNCTION("IMPORTXML(E590,""/html/body/main/div[3]/div[3]/div[2]/ul/li[7]/span[2]/span"")"),"Loading...")</f>
        <v>Loading...</v>
      </c>
      <c r="S590" s="7" t="str">
        <f ca="1">IFERROR(__xludf.DUMMYFUNCTION("IMPORTXML(E590,""/html/body/main/div[3]/div[3]/div[2]/ul/li[8]/span[2]/span"")"),"Loading...")</f>
        <v>Loading...</v>
      </c>
      <c r="T590" s="4">
        <v>34.6</v>
      </c>
      <c r="U590" s="4">
        <v>22.7</v>
      </c>
      <c r="V590" s="4">
        <v>2.6</v>
      </c>
      <c r="W590" s="4">
        <v>5.7</v>
      </c>
      <c r="X590" s="4">
        <v>519.92999999999995</v>
      </c>
      <c r="Y590" s="7">
        <f t="shared" ca="1" si="14"/>
        <v>182.07000000000005</v>
      </c>
    </row>
    <row r="591" spans="1:25" ht="15" x14ac:dyDescent="0.25">
      <c r="A591" s="4">
        <v>463</v>
      </c>
      <c r="C591" s="12" t="s">
        <v>1725</v>
      </c>
      <c r="D591" s="12" t="s">
        <v>1726</v>
      </c>
      <c r="E591" s="5" t="str">
        <f t="shared" si="10"/>
        <v>https://www.screener.in/company/PCJEWELLER/consolidated/</v>
      </c>
      <c r="F591" s="4">
        <v>443059</v>
      </c>
      <c r="G591" s="4">
        <v>3832241897</v>
      </c>
      <c r="H591" s="6">
        <f t="shared" ca="1" si="11"/>
        <v>5108.3784487009998</v>
      </c>
      <c r="I591" s="7" t="str">
        <f ca="1">IFERROR(__xludf.DUMMYFUNCTION("IMPORTXML(E591,""/html/body/main/div[3]/div[3]/div[2]/ul/li[5]/span[2]/span"")"),"Loading...")</f>
        <v>Loading...</v>
      </c>
      <c r="J591" s="7">
        <f ca="1">IFERROR(__xludf.DUMMYFUNCTION("GOOGLEFINANCE(""NSE:""&amp;D591,""marketcap"")"),91777977744)</f>
        <v>91777977744</v>
      </c>
      <c r="K591" s="7">
        <v>992.8</v>
      </c>
      <c r="L591" s="8">
        <f ca="1">IFERROR(__xludf.DUMMYFUNCTION("GOOGLEFINANCE(""NSE:""&amp;D591,""price"")"),13.33)</f>
        <v>13.33</v>
      </c>
      <c r="M591" s="9">
        <f t="shared" ca="1" si="12"/>
        <v>-979.46999999999991</v>
      </c>
      <c r="N591" s="10">
        <f t="shared" ca="1" si="13"/>
        <v>-98.657332796132152</v>
      </c>
      <c r="O591" s="7">
        <f ca="1">IFERROR(__xludf.DUMMYFUNCTION("GOOGLEFINANCE(""NSE:""&amp;D591,""pe"")"),16.58)</f>
        <v>16.579999999999998</v>
      </c>
      <c r="P591" s="7">
        <f ca="1">IFERROR(__xludf.DUMMYFUNCTION("GOOGLEFINANCE(""NSE:""&amp;D591,""EPS"")"),0.8)</f>
        <v>0.8</v>
      </c>
      <c r="Q591" s="7">
        <v>13.5</v>
      </c>
      <c r="R591" s="7" t="str">
        <f ca="1">IFERROR(__xludf.DUMMYFUNCTION("IMPORTXML(E591,""/html/body/main/div[3]/div[3]/div[2]/ul/li[7]/span[2]/span"")"),"Loading...")</f>
        <v>Loading...</v>
      </c>
      <c r="S591" s="7" t="str">
        <f ca="1">IFERROR(__xludf.DUMMYFUNCTION("IMPORTXML(E591,""/html/body/main/div[3]/div[3]/div[2]/ul/li[8]/span[2]/span"")"),"Loading...")</f>
        <v>Loading...</v>
      </c>
      <c r="T591" s="4">
        <v>34.6</v>
      </c>
      <c r="U591" s="4">
        <v>22.7</v>
      </c>
      <c r="V591" s="4">
        <v>2.6</v>
      </c>
      <c r="W591" s="4">
        <v>5.7</v>
      </c>
      <c r="X591" s="4">
        <v>519.92999999999995</v>
      </c>
      <c r="Y591" s="7">
        <f t="shared" ca="1" si="14"/>
        <v>-506.59999999999997</v>
      </c>
    </row>
    <row r="592" spans="1:25" ht="15" x14ac:dyDescent="0.25">
      <c r="A592" s="4">
        <v>1402</v>
      </c>
      <c r="C592" s="12" t="s">
        <v>1727</v>
      </c>
      <c r="D592" s="12" t="s">
        <v>1728</v>
      </c>
      <c r="E592" s="5" t="str">
        <f t="shared" si="10"/>
        <v>https://www.screener.in/company/ADVANIHOTR/consolidated/</v>
      </c>
      <c r="F592" s="4">
        <v>443059</v>
      </c>
      <c r="G592" s="4">
        <v>3832241897</v>
      </c>
      <c r="H592" s="6">
        <f t="shared" ca="1" si="11"/>
        <v>23185.063476849999</v>
      </c>
      <c r="I592" s="7" t="str">
        <f ca="1">IFERROR(__xludf.DUMMYFUNCTION("IMPORTXML(E592,""/html/body/main/div[3]/div[3]/div[2]/ul/li[5]/span[2]/span"")"),"Loading...")</f>
        <v>Loading...</v>
      </c>
      <c r="J592" s="7">
        <f ca="1">IFERROR(__xludf.DUMMYFUNCTION("GOOGLEFINANCE(""NSE:""&amp;D592,""marketcap"")"),5562024593)</f>
        <v>5562024593</v>
      </c>
      <c r="K592" s="7">
        <v>992.8</v>
      </c>
      <c r="L592" s="8">
        <f ca="1">IFERROR(__xludf.DUMMYFUNCTION("GOOGLEFINANCE(""NSE:""&amp;D592,""price"")"),60.5)</f>
        <v>60.5</v>
      </c>
      <c r="M592" s="9">
        <f t="shared" ca="1" si="12"/>
        <v>-932.3</v>
      </c>
      <c r="N592" s="10">
        <f t="shared" ca="1" si="13"/>
        <v>-93.906124093473011</v>
      </c>
      <c r="O592" s="7">
        <f ca="1">IFERROR(__xludf.DUMMYFUNCTION("GOOGLEFINANCE(""NSE:""&amp;D592,""pe"")"),22.24)</f>
        <v>22.24</v>
      </c>
      <c r="P592" s="7">
        <f ca="1">IFERROR(__xludf.DUMMYFUNCTION("GOOGLEFINANCE(""NSE:""&amp;D592,""EPS"")"),2.72)</f>
        <v>2.72</v>
      </c>
      <c r="Q592" s="7">
        <v>13.5</v>
      </c>
      <c r="R592" s="7" t="str">
        <f ca="1">IFERROR(__xludf.DUMMYFUNCTION("IMPORTXML(E592,""/html/body/main/div[3]/div[3]/div[2]/ul/li[7]/span[2]/span"")"),"Loading...")</f>
        <v>Loading...</v>
      </c>
      <c r="S592" s="7" t="str">
        <f ca="1">IFERROR(__xludf.DUMMYFUNCTION("IMPORTXML(E592,""/html/body/main/div[3]/div[3]/div[2]/ul/li[8]/span[2]/span"")"),"Loading...")</f>
        <v>Loading...</v>
      </c>
      <c r="T592" s="4">
        <v>34.6</v>
      </c>
      <c r="U592" s="4">
        <v>22.7</v>
      </c>
      <c r="V592" s="4">
        <v>2.6</v>
      </c>
      <c r="W592" s="4">
        <v>5.7</v>
      </c>
      <c r="X592" s="4">
        <v>519.92999999999995</v>
      </c>
      <c r="Y592" s="7">
        <f t="shared" ca="1" si="14"/>
        <v>-459.42999999999995</v>
      </c>
    </row>
    <row r="593" spans="1:25" ht="15" x14ac:dyDescent="0.25">
      <c r="A593" s="4">
        <v>1724</v>
      </c>
      <c r="C593" s="12" t="s">
        <v>1729</v>
      </c>
      <c r="D593" s="12" t="s">
        <v>1730</v>
      </c>
      <c r="E593" s="5" t="str">
        <f t="shared" si="10"/>
        <v>https://www.screener.in/company/DRCSYSTEMS/consolidated/</v>
      </c>
      <c r="F593" s="4">
        <v>443059</v>
      </c>
      <c r="G593" s="4">
        <v>3832241897</v>
      </c>
      <c r="H593" s="6">
        <f t="shared" ca="1" si="11"/>
        <v>8032.3790161120014</v>
      </c>
      <c r="I593" s="7" t="str">
        <f ca="1">IFERROR(__xludf.DUMMYFUNCTION("IMPORTXML(E593,""/html/body/main/div[3]/div[3]/div[2]/ul/li[5]/span[2]/span"")"),"Loading...")</f>
        <v>Loading...</v>
      </c>
      <c r="J593" s="7">
        <f ca="1">IFERROR(__xludf.DUMMYFUNCTION("GOOGLEFINANCE(""NSE:""&amp;D593,""marketcap"")"),2810343925)</f>
        <v>2810343925</v>
      </c>
      <c r="K593" s="7">
        <v>992.8</v>
      </c>
      <c r="L593" s="8">
        <f ca="1">IFERROR(__xludf.DUMMYFUNCTION("GOOGLEFINANCE(""NSE:""&amp;D593,""price"")"),20.96)</f>
        <v>20.96</v>
      </c>
      <c r="M593" s="9">
        <f t="shared" ca="1" si="12"/>
        <v>-971.83999999999992</v>
      </c>
      <c r="N593" s="10">
        <f t="shared" ca="1" si="13"/>
        <v>-97.888799355358586</v>
      </c>
      <c r="O593" s="7">
        <f ca="1">IFERROR(__xludf.DUMMYFUNCTION("GOOGLEFINANCE(""NSE:""&amp;D593,""pe"")"),18.19)</f>
        <v>18.190000000000001</v>
      </c>
      <c r="P593" s="7">
        <f ca="1">IFERROR(__xludf.DUMMYFUNCTION("GOOGLEFINANCE(""NSE:""&amp;D593,""EPS"")"),1.15)</f>
        <v>1.1499999999999999</v>
      </c>
      <c r="Q593" s="7">
        <v>13.5</v>
      </c>
      <c r="R593" s="7" t="str">
        <f ca="1">IFERROR(__xludf.DUMMYFUNCTION("IMPORTXML(E593,""/html/body/main/div[3]/div[3]/div[2]/ul/li[7]/span[2]/span"")"),"Loading...")</f>
        <v>Loading...</v>
      </c>
      <c r="S593" s="7" t="str">
        <f ca="1">IFERROR(__xludf.DUMMYFUNCTION("IMPORTXML(E593,""/html/body/main/div[3]/div[3]/div[2]/ul/li[8]/span[2]/span"")"),"Loading...")</f>
        <v>Loading...</v>
      </c>
      <c r="T593" s="4">
        <v>34.6</v>
      </c>
      <c r="U593" s="4">
        <v>22.7</v>
      </c>
      <c r="V593" s="4">
        <v>2.6</v>
      </c>
      <c r="W593" s="4">
        <v>5.7</v>
      </c>
      <c r="X593" s="4">
        <v>519.92999999999995</v>
      </c>
      <c r="Y593" s="7">
        <f t="shared" ca="1" si="14"/>
        <v>-498.96999999999997</v>
      </c>
    </row>
    <row r="594" spans="1:25" ht="15" x14ac:dyDescent="0.25">
      <c r="A594" s="4">
        <v>892</v>
      </c>
      <c r="C594" s="12" t="s">
        <v>1731</v>
      </c>
      <c r="D594" s="12" t="s">
        <v>1732</v>
      </c>
      <c r="E594" s="5" t="str">
        <f t="shared" si="10"/>
        <v>https://www.screener.in/company/ALICON/consolidated/</v>
      </c>
      <c r="F594" s="4">
        <v>443059</v>
      </c>
      <c r="G594" s="4">
        <v>3832241897</v>
      </c>
      <c r="H594" s="6">
        <f t="shared" ca="1" si="11"/>
        <v>322061.60902387998</v>
      </c>
      <c r="I594" s="7" t="str">
        <f ca="1">IFERROR(__xludf.DUMMYFUNCTION("IMPORTXML(E594,""/html/body/main/div[3]/div[3]/div[2]/ul/li[5]/span[2]/span"")"),"Loading...")</f>
        <v>Loading...</v>
      </c>
      <c r="J594" s="7">
        <f ca="1">IFERROR(__xludf.DUMMYFUNCTION("GOOGLEFINANCE(""NSE:""&amp;D594,""marketcap"")"),13717230000)</f>
        <v>13717230000</v>
      </c>
      <c r="K594" s="7">
        <v>992.8</v>
      </c>
      <c r="L594" s="8">
        <f ca="1">IFERROR(__xludf.DUMMYFUNCTION("GOOGLEFINANCE(""NSE:""&amp;D594,""price"")"),840.4)</f>
        <v>840.4</v>
      </c>
      <c r="M594" s="9">
        <f t="shared" ca="1" si="12"/>
        <v>-152.39999999999998</v>
      </c>
      <c r="N594" s="10">
        <f t="shared" ca="1" si="13"/>
        <v>-15.350523771152295</v>
      </c>
      <c r="O594" s="7">
        <f ca="1">IFERROR(__xludf.DUMMYFUNCTION("GOOGLEFINANCE(""NSE:""&amp;D594,""pe"")"),37.89)</f>
        <v>37.89</v>
      </c>
      <c r="P594" s="7">
        <f ca="1">IFERROR(__xludf.DUMMYFUNCTION("GOOGLEFINANCE(""NSE:""&amp;D594,""EPS"")"),22.18)</f>
        <v>22.18</v>
      </c>
      <c r="Q594" s="7">
        <v>13.5</v>
      </c>
      <c r="R594" s="7" t="str">
        <f ca="1">IFERROR(__xludf.DUMMYFUNCTION("IMPORTXML(E594,""/html/body/main/div[3]/div[3]/div[2]/ul/li[7]/span[2]/span"")"),"Loading...")</f>
        <v>Loading...</v>
      </c>
      <c r="S594" s="7" t="str">
        <f ca="1">IFERROR(__xludf.DUMMYFUNCTION("IMPORTXML(E594,""/html/body/main/div[3]/div[3]/div[2]/ul/li[8]/span[2]/span"")"),"Loading...")</f>
        <v>Loading...</v>
      </c>
      <c r="T594" s="4">
        <v>34.6</v>
      </c>
      <c r="U594" s="4">
        <v>22.7</v>
      </c>
      <c r="V594" s="4">
        <v>2.6</v>
      </c>
      <c r="W594" s="4">
        <v>5.7</v>
      </c>
      <c r="X594" s="4">
        <v>519.92999999999995</v>
      </c>
      <c r="Y594" s="7">
        <f t="shared" ca="1" si="14"/>
        <v>320.47000000000003</v>
      </c>
    </row>
    <row r="595" spans="1:25" ht="15" x14ac:dyDescent="0.25">
      <c r="A595" s="4">
        <v>1040</v>
      </c>
      <c r="C595" s="12" t="s">
        <v>1733</v>
      </c>
      <c r="D595" s="12" t="s">
        <v>1734</v>
      </c>
      <c r="E595" s="5" t="str">
        <f t="shared" si="10"/>
        <v>https://www.screener.in/company/KRISHANA/consolidated/</v>
      </c>
      <c r="F595" s="4">
        <v>443059</v>
      </c>
      <c r="G595" s="4">
        <v>3832241897</v>
      </c>
      <c r="H595" s="6">
        <f t="shared" ca="1" si="11"/>
        <v>217671.33974960001</v>
      </c>
      <c r="I595" s="7" t="str">
        <f ca="1">IFERROR(__xludf.DUMMYFUNCTION("IMPORTXML(E595,""/html/body/main/div[3]/div[3]/div[2]/ul/li[5]/span[2]/span"")"),"Loading...")</f>
        <v>Loading...</v>
      </c>
      <c r="J595" s="7">
        <f ca="1">IFERROR(__xludf.DUMMYFUNCTION("GOOGLEFINANCE(""NSE:""&amp;D595,""marketcap"")"),34994420000)</f>
        <v>34994420000</v>
      </c>
      <c r="K595" s="7">
        <v>992.8</v>
      </c>
      <c r="L595" s="8">
        <f ca="1">IFERROR(__xludf.DUMMYFUNCTION("GOOGLEFINANCE(""NSE:""&amp;D595,""price"")"),568)</f>
        <v>568</v>
      </c>
      <c r="M595" s="9">
        <f t="shared" ca="1" si="12"/>
        <v>-424.79999999999995</v>
      </c>
      <c r="N595" s="10">
        <f t="shared" ca="1" si="13"/>
        <v>-42.788074133763097</v>
      </c>
      <c r="O595" s="7">
        <f ca="1">IFERROR(__xludf.DUMMYFUNCTION("GOOGLEFINANCE(""NSE:""&amp;D595,""pe"")"),34.85)</f>
        <v>34.85</v>
      </c>
      <c r="P595" s="7">
        <f ca="1">IFERROR(__xludf.DUMMYFUNCTION("GOOGLEFINANCE(""NSE:""&amp;D595,""EPS"")"),16.3)</f>
        <v>16.3</v>
      </c>
      <c r="Q595" s="7">
        <v>13.5</v>
      </c>
      <c r="R595" s="7" t="str">
        <f ca="1">IFERROR(__xludf.DUMMYFUNCTION("IMPORTXML(E595,""/html/body/main/div[3]/div[3]/div[2]/ul/li[7]/span[2]/span"")"),"Loading...")</f>
        <v>Loading...</v>
      </c>
      <c r="S595" s="7" t="str">
        <f ca="1">IFERROR(__xludf.DUMMYFUNCTION("IMPORTXML(E595,""/html/body/main/div[3]/div[3]/div[2]/ul/li[8]/span[2]/span"")"),"Loading...")</f>
        <v>Loading...</v>
      </c>
      <c r="T595" s="4">
        <v>34.6</v>
      </c>
      <c r="U595" s="4">
        <v>22.7</v>
      </c>
      <c r="V595" s="4">
        <v>2.6</v>
      </c>
      <c r="W595" s="4">
        <v>5.7</v>
      </c>
      <c r="X595" s="4">
        <v>519.92999999999995</v>
      </c>
      <c r="Y595" s="7">
        <f t="shared" ca="1" si="14"/>
        <v>48.07000000000005</v>
      </c>
    </row>
    <row r="596" spans="1:25" ht="15" x14ac:dyDescent="0.25">
      <c r="A596" s="4">
        <v>1226</v>
      </c>
      <c r="C596" s="12" t="s">
        <v>1735</v>
      </c>
      <c r="D596" s="12" t="s">
        <v>1736</v>
      </c>
      <c r="E596" s="5" t="str">
        <f t="shared" si="10"/>
        <v>https://www.screener.in/company/ROHLTD/consolidated/</v>
      </c>
      <c r="F596" s="4">
        <v>443059</v>
      </c>
      <c r="G596" s="4">
        <v>3832241897</v>
      </c>
      <c r="H596" s="6">
        <f t="shared" ca="1" si="11"/>
        <v>206941.06243799999</v>
      </c>
      <c r="I596" s="7" t="str">
        <f ca="1">IFERROR(__xludf.DUMMYFUNCTION("IMPORTXML(E596,""/html/body/main/div[3]/div[3]/div[2]/ul/li[5]/span[2]/span"")"),"Loading...")</f>
        <v>Loading...</v>
      </c>
      <c r="J596" s="7">
        <f ca="1">IFERROR(__xludf.DUMMYFUNCTION("GOOGLEFINANCE(""NSE:""&amp;D596,""marketcap"")"),14799428290)</f>
        <v>14799428290</v>
      </c>
      <c r="K596" s="7">
        <v>992.8</v>
      </c>
      <c r="L596" s="8">
        <f ca="1">IFERROR(__xludf.DUMMYFUNCTION("GOOGLEFINANCE(""NSE:""&amp;D596,""price"")"),540)</f>
        <v>540</v>
      </c>
      <c r="M596" s="9">
        <f t="shared" ca="1" si="12"/>
        <v>-452.79999999999995</v>
      </c>
      <c r="N596" s="10">
        <f t="shared" ca="1" si="13"/>
        <v>-45.608380338436746</v>
      </c>
      <c r="O596" s="7">
        <f ca="1">IFERROR(__xludf.DUMMYFUNCTION("GOOGLEFINANCE(""NSE:""&amp;D596,""pe"")"),30)</f>
        <v>30</v>
      </c>
      <c r="P596" s="7">
        <f ca="1">IFERROR(__xludf.DUMMYFUNCTION("GOOGLEFINANCE(""NSE:""&amp;D596,""EPS"")"),18)</f>
        <v>18</v>
      </c>
      <c r="Q596" s="7">
        <v>13.5</v>
      </c>
      <c r="R596" s="7" t="str">
        <f ca="1">IFERROR(__xludf.DUMMYFUNCTION("IMPORTXML(E596,""/html/body/main/div[3]/div[3]/div[2]/ul/li[7]/span[2]/span"")"),"Loading...")</f>
        <v>Loading...</v>
      </c>
      <c r="S596" s="7" t="str">
        <f ca="1">IFERROR(__xludf.DUMMYFUNCTION("IMPORTXML(E596,""/html/body/main/div[3]/div[3]/div[2]/ul/li[8]/span[2]/span"")"),"Loading...")</f>
        <v>Loading...</v>
      </c>
      <c r="T596" s="4">
        <v>34.6</v>
      </c>
      <c r="U596" s="4">
        <v>22.7</v>
      </c>
      <c r="V596" s="4">
        <v>2.6</v>
      </c>
      <c r="W596" s="4">
        <v>5.7</v>
      </c>
      <c r="X596" s="4">
        <v>519.92999999999995</v>
      </c>
      <c r="Y596" s="7">
        <f t="shared" ca="1" si="14"/>
        <v>20.07000000000005</v>
      </c>
    </row>
    <row r="597" spans="1:25" ht="15" x14ac:dyDescent="0.25">
      <c r="A597" s="4">
        <v>732</v>
      </c>
      <c r="C597" s="12" t="s">
        <v>1737</v>
      </c>
      <c r="D597" s="12" t="s">
        <v>1738</v>
      </c>
      <c r="E597" s="5" t="str">
        <f t="shared" si="10"/>
        <v>https://www.screener.in/company/SUMMITSEC/consolidated/</v>
      </c>
      <c r="F597" s="4">
        <v>443059</v>
      </c>
      <c r="G597" s="4">
        <v>3832241897</v>
      </c>
      <c r="H597" s="6">
        <f t="shared" ca="1" si="11"/>
        <v>855739.61560010002</v>
      </c>
      <c r="I597" s="7" t="str">
        <f ca="1">IFERROR(__xludf.DUMMYFUNCTION("IMPORTXML(E597,""/html/body/main/div[3]/div[3]/div[2]/ul/li[5]/span[2]/span"")"),"Loading...")</f>
        <v>Loading...</v>
      </c>
      <c r="J597" s="7">
        <f ca="1">IFERROR(__xludf.DUMMYFUNCTION("GOOGLEFINANCE(""NSE:""&amp;D597,""marketcap"")"),24343674740)</f>
        <v>24343674740</v>
      </c>
      <c r="K597" s="7">
        <v>992.8</v>
      </c>
      <c r="L597" s="8">
        <f ca="1">IFERROR(__xludf.DUMMYFUNCTION("GOOGLEFINANCE(""NSE:""&amp;D597,""price"")"),2233)</f>
        <v>2233</v>
      </c>
      <c r="M597" s="9">
        <f t="shared" ca="1" si="12"/>
        <v>1240.2</v>
      </c>
      <c r="N597" s="10">
        <f t="shared" ca="1" si="13"/>
        <v>124.91941982272361</v>
      </c>
      <c r="O597" s="7">
        <f ca="1">IFERROR(__xludf.DUMMYFUNCTION("GOOGLEFINANCE(""NSE:""&amp;D597,""pe"")"),28.36)</f>
        <v>28.36</v>
      </c>
      <c r="P597" s="7">
        <f ca="1">IFERROR(__xludf.DUMMYFUNCTION("GOOGLEFINANCE(""NSE:""&amp;D597,""EPS"")"),78.73)</f>
        <v>78.73</v>
      </c>
      <c r="Q597" s="7">
        <v>13.5</v>
      </c>
      <c r="R597" s="7" t="str">
        <f ca="1">IFERROR(__xludf.DUMMYFUNCTION("IMPORTXML(E597,""/html/body/main/div[3]/div[3]/div[2]/ul/li[7]/span[2]/span"")"),"Loading...")</f>
        <v>Loading...</v>
      </c>
      <c r="S597" s="7" t="str">
        <f ca="1">IFERROR(__xludf.DUMMYFUNCTION("IMPORTXML(E597,""/html/body/main/div[3]/div[3]/div[2]/ul/li[8]/span[2]/span"")"),"Loading...")</f>
        <v>Loading...</v>
      </c>
      <c r="T597" s="4">
        <v>34.6</v>
      </c>
      <c r="U597" s="4">
        <v>22.7</v>
      </c>
      <c r="V597" s="4">
        <v>2.6</v>
      </c>
      <c r="W597" s="4">
        <v>5.7</v>
      </c>
      <c r="X597" s="4">
        <v>519.92999999999995</v>
      </c>
      <c r="Y597" s="7">
        <f t="shared" ca="1" si="14"/>
        <v>1713.0700000000002</v>
      </c>
    </row>
    <row r="598" spans="1:25" ht="15" x14ac:dyDescent="0.25">
      <c r="A598" s="4">
        <v>885</v>
      </c>
      <c r="C598" s="12" t="s">
        <v>1739</v>
      </c>
      <c r="D598" s="12" t="s">
        <v>1740</v>
      </c>
      <c r="E598" s="5" t="str">
        <f t="shared" si="10"/>
        <v>https://www.screener.in/company/BLKASHYAP/consolidated/</v>
      </c>
      <c r="F598" s="4">
        <v>443059</v>
      </c>
      <c r="G598" s="4">
        <v>3832241897</v>
      </c>
      <c r="H598" s="6">
        <f t="shared" ca="1" si="11"/>
        <v>26419.475637918</v>
      </c>
      <c r="I598" s="7" t="str">
        <f ca="1">IFERROR(__xludf.DUMMYFUNCTION("IMPORTXML(E598,""/html/body/main/div[3]/div[3]/div[2]/ul/li[5]/span[2]/span"")"),"Loading...")</f>
        <v>Loading...</v>
      </c>
      <c r="J598" s="7">
        <f ca="1">IFERROR(__xludf.DUMMYFUNCTION("GOOGLEFINANCE(""NSE:""&amp;D598,""marketcap"")"),15541827256)</f>
        <v>15541827256</v>
      </c>
      <c r="K598" s="7">
        <v>992.8</v>
      </c>
      <c r="L598" s="8">
        <f ca="1">IFERROR(__xludf.DUMMYFUNCTION("GOOGLEFINANCE(""NSE:""&amp;D598,""price"")"),68.94)</f>
        <v>68.94</v>
      </c>
      <c r="M598" s="9">
        <f t="shared" ca="1" si="12"/>
        <v>-923.8599999999999</v>
      </c>
      <c r="N598" s="10">
        <f t="shared" ca="1" si="13"/>
        <v>-93.056003223207085</v>
      </c>
      <c r="O598" s="7">
        <f ca="1">IFERROR(__xludf.DUMMYFUNCTION("GOOGLEFINANCE(""NSE:""&amp;D598,""pe"")"),85.9)</f>
        <v>85.9</v>
      </c>
      <c r="P598" s="7">
        <f ca="1">IFERROR(__xludf.DUMMYFUNCTION("GOOGLEFINANCE(""NSE:""&amp;D598,""EPS"")"),0.8)</f>
        <v>0.8</v>
      </c>
      <c r="Q598" s="7">
        <v>13.5</v>
      </c>
      <c r="R598" s="7" t="str">
        <f ca="1">IFERROR(__xludf.DUMMYFUNCTION("IMPORTXML(E598,""/html/body/main/div[3]/div[3]/div[2]/ul/li[7]/span[2]/span"")"),"Loading...")</f>
        <v>Loading...</v>
      </c>
      <c r="S598" s="7" t="str">
        <f ca="1">IFERROR(__xludf.DUMMYFUNCTION("IMPORTXML(E598,""/html/body/main/div[3]/div[3]/div[2]/ul/li[8]/span[2]/span"")"),"Loading...")</f>
        <v>Loading...</v>
      </c>
      <c r="T598" s="4">
        <v>34.6</v>
      </c>
      <c r="U598" s="4">
        <v>22.7</v>
      </c>
      <c r="V598" s="4">
        <v>2.6</v>
      </c>
      <c r="W598" s="4">
        <v>5.7</v>
      </c>
      <c r="X598" s="4">
        <v>519.92999999999995</v>
      </c>
      <c r="Y598" s="7">
        <f t="shared" ca="1" si="14"/>
        <v>-450.98999999999995</v>
      </c>
    </row>
    <row r="599" spans="1:25" ht="15" x14ac:dyDescent="0.25">
      <c r="A599" s="4">
        <v>899</v>
      </c>
      <c r="C599" s="12" t="s">
        <v>1741</v>
      </c>
      <c r="D599" s="12" t="s">
        <v>1742</v>
      </c>
      <c r="E599" s="5" t="str">
        <f t="shared" si="10"/>
        <v>https://www.screener.in/company/AWHCL/consolidated/</v>
      </c>
      <c r="F599" s="4">
        <v>443059</v>
      </c>
      <c r="G599" s="4">
        <v>3832241897</v>
      </c>
      <c r="H599" s="6">
        <f t="shared" ca="1" si="11"/>
        <v>221503.58164660001</v>
      </c>
      <c r="I599" s="7" t="str">
        <f ca="1">IFERROR(__xludf.DUMMYFUNCTION("IMPORTXML(E599,""/html/body/main/div[3]/div[3]/div[2]/ul/li[5]/span[2]/span"")"),"Loading...")</f>
        <v>Loading...</v>
      </c>
      <c r="J599" s="7">
        <f ca="1">IFERROR(__xludf.DUMMYFUNCTION("GOOGLEFINANCE(""NSE:""&amp;D599,""marketcap"")"),16394912200)</f>
        <v>16394912200</v>
      </c>
      <c r="K599" s="7">
        <v>992.8</v>
      </c>
      <c r="L599" s="8">
        <f ca="1">IFERROR(__xludf.DUMMYFUNCTION("GOOGLEFINANCE(""NSE:""&amp;D599,""price"")"),578)</f>
        <v>578</v>
      </c>
      <c r="M599" s="9">
        <f t="shared" ca="1" si="12"/>
        <v>-414.79999999999995</v>
      </c>
      <c r="N599" s="10">
        <f t="shared" ca="1" si="13"/>
        <v>-41.780821917808211</v>
      </c>
      <c r="O599" s="7">
        <f ca="1">IFERROR(__xludf.DUMMYFUNCTION("GOOGLEFINANCE(""NSE:""&amp;D599,""pe"")"),19.22)</f>
        <v>19.22</v>
      </c>
      <c r="P599" s="7">
        <f ca="1">IFERROR(__xludf.DUMMYFUNCTION("GOOGLEFINANCE(""NSE:""&amp;D599,""EPS"")"),30.08)</f>
        <v>30.08</v>
      </c>
      <c r="Q599" s="7">
        <v>13.5</v>
      </c>
      <c r="R599" s="7" t="str">
        <f ca="1">IFERROR(__xludf.DUMMYFUNCTION("IMPORTXML(E599,""/html/body/main/div[3]/div[3]/div[2]/ul/li[7]/span[2]/span"")"),"Loading...")</f>
        <v>Loading...</v>
      </c>
      <c r="S599" s="7" t="str">
        <f ca="1">IFERROR(__xludf.DUMMYFUNCTION("IMPORTXML(E599,""/html/body/main/div[3]/div[3]/div[2]/ul/li[8]/span[2]/span"")"),"Loading...")</f>
        <v>Loading...</v>
      </c>
      <c r="T599" s="4">
        <v>34.6</v>
      </c>
      <c r="U599" s="4">
        <v>22.7</v>
      </c>
      <c r="V599" s="4">
        <v>2.6</v>
      </c>
      <c r="W599" s="4">
        <v>5.7</v>
      </c>
      <c r="X599" s="4">
        <v>519.92999999999995</v>
      </c>
      <c r="Y599" s="7">
        <f t="shared" ca="1" si="14"/>
        <v>58.07000000000005</v>
      </c>
    </row>
    <row r="600" spans="1:25" ht="15" x14ac:dyDescent="0.25">
      <c r="A600" s="4">
        <v>762</v>
      </c>
      <c r="C600" s="12" t="s">
        <v>1743</v>
      </c>
      <c r="D600" s="12" t="s">
        <v>1744</v>
      </c>
      <c r="E600" s="5" t="str">
        <f t="shared" si="10"/>
        <v>https://www.screener.in/company/KALAMANDIR/consolidated/</v>
      </c>
      <c r="F600" s="4">
        <v>443059</v>
      </c>
      <c r="G600" s="4">
        <v>3832241897</v>
      </c>
      <c r="H600" s="6">
        <f t="shared" ca="1" si="11"/>
        <v>65420.201423687002</v>
      </c>
      <c r="I600" s="7" t="str">
        <f ca="1">IFERROR(__xludf.DUMMYFUNCTION("IMPORTXML(E600,""/html/body/main/div[3]/div[3]/div[2]/ul/li[5]/span[2]/span"")"),"Loading...")</f>
        <v>Loading...</v>
      </c>
      <c r="J600" s="7">
        <f ca="1">IFERROR(__xludf.DUMMYFUNCTION("GOOGLEFINANCE(""NSE:""&amp;D600,""marketcap"")"),25185282714)</f>
        <v>25185282714</v>
      </c>
      <c r="K600" s="7">
        <v>992.8</v>
      </c>
      <c r="L600" s="8">
        <f ca="1">IFERROR(__xludf.DUMMYFUNCTION("GOOGLEFINANCE(""NSE:""&amp;D600,""price"")"),170.71)</f>
        <v>170.71</v>
      </c>
      <c r="M600" s="9">
        <f t="shared" ca="1" si="12"/>
        <v>-822.08999999999992</v>
      </c>
      <c r="N600" s="10">
        <f t="shared" ca="1" si="13"/>
        <v>-82.805197421434315</v>
      </c>
      <c r="O600" s="7">
        <f ca="1">IFERROR(__xludf.DUMMYFUNCTION("GOOGLEFINANCE(""NSE:""&amp;D600,""pe"")"),22.21)</f>
        <v>22.21</v>
      </c>
      <c r="P600" s="7">
        <f ca="1">IFERROR(__xludf.DUMMYFUNCTION("GOOGLEFINANCE(""NSE:""&amp;D600,""EPS"")"),7.69)</f>
        <v>7.69</v>
      </c>
      <c r="Q600" s="7">
        <v>13.5</v>
      </c>
      <c r="R600" s="7" t="str">
        <f ca="1">IFERROR(__xludf.DUMMYFUNCTION("IMPORTXML(E600,""/html/body/main/div[3]/div[3]/div[2]/ul/li[7]/span[2]/span"")"),"Loading...")</f>
        <v>Loading...</v>
      </c>
      <c r="S600" s="7" t="str">
        <f ca="1">IFERROR(__xludf.DUMMYFUNCTION("IMPORTXML(E600,""/html/body/main/div[3]/div[3]/div[2]/ul/li[8]/span[2]/span"")"),"Loading...")</f>
        <v>Loading...</v>
      </c>
      <c r="T600" s="4">
        <v>34.6</v>
      </c>
      <c r="U600" s="4">
        <v>22.7</v>
      </c>
      <c r="V600" s="4">
        <v>2.6</v>
      </c>
      <c r="W600" s="4">
        <v>5.7</v>
      </c>
      <c r="X600" s="4">
        <v>519.92999999999995</v>
      </c>
      <c r="Y600" s="7">
        <f t="shared" ca="1" si="14"/>
        <v>-349.21999999999991</v>
      </c>
    </row>
    <row r="601" spans="1:25" ht="15" x14ac:dyDescent="0.25">
      <c r="A601" s="4">
        <v>444</v>
      </c>
      <c r="C601" s="12" t="s">
        <v>1745</v>
      </c>
      <c r="D601" s="12" t="s">
        <v>1746</v>
      </c>
      <c r="E601" s="5" t="str">
        <f t="shared" si="10"/>
        <v>https://www.screener.in/company/STAR/consolidated/</v>
      </c>
      <c r="F601" s="4">
        <v>443059</v>
      </c>
      <c r="G601" s="4">
        <v>3832241897</v>
      </c>
      <c r="H601" s="6">
        <f t="shared" ca="1" si="11"/>
        <v>341759.33237445995</v>
      </c>
      <c r="I601" s="7" t="str">
        <f ca="1">IFERROR(__xludf.DUMMYFUNCTION("IMPORTXML(E601,""/html/body/main/div[3]/div[3]/div[2]/ul/li[5]/span[2]/span"")"),"Loading...")</f>
        <v>Loading...</v>
      </c>
      <c r="J601" s="7">
        <f ca="1">IFERROR(__xludf.DUMMYFUNCTION("GOOGLEFINANCE(""NSE:""&amp;D601,""marketcap"")"),82199621652)</f>
        <v>82199621652</v>
      </c>
      <c r="K601" s="7">
        <v>992.8</v>
      </c>
      <c r="L601" s="8">
        <f ca="1">IFERROR(__xludf.DUMMYFUNCTION("GOOGLEFINANCE(""NSE:""&amp;D601,""price"")"),891.8)</f>
        <v>891.8</v>
      </c>
      <c r="M601" s="9">
        <f t="shared" ca="1" si="12"/>
        <v>-101</v>
      </c>
      <c r="N601" s="10">
        <f t="shared" ca="1" si="13"/>
        <v>-10.17324738114424</v>
      </c>
      <c r="O601" s="7">
        <f ca="1">IFERROR(__xludf.DUMMYFUNCTION("GOOGLEFINANCE(""NSE:""&amp;D601,""pe"")"),22.63)</f>
        <v>22.63</v>
      </c>
      <c r="P601" s="7">
        <f ca="1">IFERROR(__xludf.DUMMYFUNCTION("GOOGLEFINANCE(""NSE:""&amp;D601,""EPS"")"),39.41)</f>
        <v>39.409999999999997</v>
      </c>
      <c r="Q601" s="7">
        <v>13.5</v>
      </c>
      <c r="R601" s="7" t="str">
        <f ca="1">IFERROR(__xludf.DUMMYFUNCTION("IMPORTXML(E601,""/html/body/main/div[3]/div[3]/div[2]/ul/li[7]/span[2]/span"")"),"Loading...")</f>
        <v>Loading...</v>
      </c>
      <c r="S601" s="7" t="str">
        <f ca="1">IFERROR(__xludf.DUMMYFUNCTION("IMPORTXML(E601,""/html/body/main/div[3]/div[3]/div[2]/ul/li[8]/span[2]/span"")"),"Loading...")</f>
        <v>Loading...</v>
      </c>
      <c r="T601" s="4">
        <v>34.6</v>
      </c>
      <c r="U601" s="4">
        <v>22.7</v>
      </c>
      <c r="V601" s="4">
        <v>2.6</v>
      </c>
      <c r="W601" s="4">
        <v>5.7</v>
      </c>
      <c r="X601" s="4">
        <v>519.92999999999995</v>
      </c>
      <c r="Y601" s="7">
        <f t="shared" ca="1" si="14"/>
        <v>371.87</v>
      </c>
    </row>
    <row r="602" spans="1:25" ht="15" x14ac:dyDescent="0.25">
      <c r="A602" s="4">
        <v>357</v>
      </c>
      <c r="C602" s="12" t="s">
        <v>1747</v>
      </c>
      <c r="D602" s="12" t="s">
        <v>1748</v>
      </c>
      <c r="E602" s="5" t="str">
        <f t="shared" si="10"/>
        <v>https://www.screener.in/company/GALLANTT/consolidated/</v>
      </c>
      <c r="F602" s="4">
        <v>443059</v>
      </c>
      <c r="G602" s="4">
        <v>3832241897</v>
      </c>
      <c r="H602" s="6">
        <f t="shared" ca="1" si="11"/>
        <v>244305.42093374999</v>
      </c>
      <c r="I602" s="7" t="str">
        <f ca="1">IFERROR(__xludf.DUMMYFUNCTION("IMPORTXML(E602,""/html/body/main/div[3]/div[3]/div[2]/ul/li[5]/span[2]/span"")"),"Loading...")</f>
        <v>Loading...</v>
      </c>
      <c r="J602" s="7">
        <f ca="1">IFERROR(__xludf.DUMMYFUNCTION("GOOGLEFINANCE(""NSE:""&amp;D602,""marketcap"")"),153816510000)</f>
        <v>153816510000</v>
      </c>
      <c r="K602" s="7">
        <v>992.8</v>
      </c>
      <c r="L602" s="8">
        <f ca="1">IFERROR(__xludf.DUMMYFUNCTION("GOOGLEFINANCE(""NSE:""&amp;D602,""price"")"),637.5)</f>
        <v>637.5</v>
      </c>
      <c r="M602" s="9">
        <f t="shared" ca="1" si="12"/>
        <v>-355.29999999999995</v>
      </c>
      <c r="N602" s="10">
        <f t="shared" ca="1" si="13"/>
        <v>-35.787671232876711</v>
      </c>
      <c r="O602" s="7">
        <f ca="1">IFERROR(__xludf.DUMMYFUNCTION("GOOGLEFINANCE(""NSE:""&amp;D602,""pe"")"),33.98)</f>
        <v>33.979999999999997</v>
      </c>
      <c r="P602" s="7">
        <f ca="1">IFERROR(__xludf.DUMMYFUNCTION("GOOGLEFINANCE(""NSE:""&amp;D602,""EPS"")"),18.76)</f>
        <v>18.760000000000002</v>
      </c>
      <c r="Q602" s="7">
        <v>13.5</v>
      </c>
      <c r="R602" s="7" t="str">
        <f ca="1">IFERROR(__xludf.DUMMYFUNCTION("IMPORTXML(E602,""/html/body/main/div[3]/div[3]/div[2]/ul/li[7]/span[2]/span"")"),"Loading...")</f>
        <v>Loading...</v>
      </c>
      <c r="S602" s="7" t="str">
        <f ca="1">IFERROR(__xludf.DUMMYFUNCTION("IMPORTXML(E602,""/html/body/main/div[3]/div[3]/div[2]/ul/li[8]/span[2]/span"")"),"Loading...")</f>
        <v>Loading...</v>
      </c>
      <c r="T602" s="4">
        <v>34.6</v>
      </c>
      <c r="U602" s="4">
        <v>22.7</v>
      </c>
      <c r="V602" s="4">
        <v>2.6</v>
      </c>
      <c r="W602" s="4">
        <v>5.7</v>
      </c>
      <c r="X602" s="4">
        <v>519.92999999999995</v>
      </c>
      <c r="Y602" s="7">
        <f t="shared" ca="1" si="14"/>
        <v>117.57000000000005</v>
      </c>
    </row>
    <row r="603" spans="1:25" ht="15" x14ac:dyDescent="0.25">
      <c r="A603" s="4">
        <v>701</v>
      </c>
      <c r="C603" s="12" t="s">
        <v>1749</v>
      </c>
      <c r="D603" s="12" t="s">
        <v>1750</v>
      </c>
      <c r="E603" s="5" t="str">
        <f t="shared" si="10"/>
        <v>https://www.screener.in/company/SAKSOFT/consolidated/</v>
      </c>
      <c r="F603" s="4">
        <v>443059</v>
      </c>
      <c r="G603" s="4">
        <v>3832241897</v>
      </c>
      <c r="H603" s="6">
        <f t="shared" ca="1" si="11"/>
        <v>80523.066739764006</v>
      </c>
      <c r="I603" s="7" t="str">
        <f ca="1">IFERROR(__xludf.DUMMYFUNCTION("IMPORTXML(E603,""/html/body/main/div[3]/div[3]/div[2]/ul/li[5]/span[2]/span"")"),"Loading...")</f>
        <v>Loading...</v>
      </c>
      <c r="J603" s="7">
        <f ca="1">IFERROR(__xludf.DUMMYFUNCTION("GOOGLEFINANCE(""NSE:""&amp;D603,""marketcap"")"),26840328336)</f>
        <v>26840328336</v>
      </c>
      <c r="K603" s="7">
        <v>992.8</v>
      </c>
      <c r="L603" s="8">
        <f ca="1">IFERROR(__xludf.DUMMYFUNCTION("GOOGLEFINANCE(""NSE:""&amp;D603,""price"")"),210.12)</f>
        <v>210.12</v>
      </c>
      <c r="M603" s="9">
        <f t="shared" ca="1" si="12"/>
        <v>-782.68</v>
      </c>
      <c r="N603" s="10">
        <f t="shared" ca="1" si="13"/>
        <v>-78.835616438356155</v>
      </c>
      <c r="O603" s="7">
        <f ca="1">IFERROR(__xludf.DUMMYFUNCTION("GOOGLEFINANCE(""NSE:""&amp;D603,""pe"")"),24.25)</f>
        <v>24.25</v>
      </c>
      <c r="P603" s="7">
        <f ca="1">IFERROR(__xludf.DUMMYFUNCTION("GOOGLEFINANCE(""NSE:""&amp;D603,""EPS"")"),8.66)</f>
        <v>8.66</v>
      </c>
      <c r="Q603" s="7">
        <v>13.5</v>
      </c>
      <c r="R603" s="7" t="str">
        <f ca="1">IFERROR(__xludf.DUMMYFUNCTION("IMPORTXML(E603,""/html/body/main/div[3]/div[3]/div[2]/ul/li[7]/span[2]/span"")"),"Loading...")</f>
        <v>Loading...</v>
      </c>
      <c r="S603" s="7" t="str">
        <f ca="1">IFERROR(__xludf.DUMMYFUNCTION("IMPORTXML(E603,""/html/body/main/div[3]/div[3]/div[2]/ul/li[8]/span[2]/span"")"),"Loading...")</f>
        <v>Loading...</v>
      </c>
      <c r="T603" s="4">
        <v>34.6</v>
      </c>
      <c r="U603" s="4">
        <v>22.7</v>
      </c>
      <c r="V603" s="4">
        <v>2.6</v>
      </c>
      <c r="W603" s="4">
        <v>5.7</v>
      </c>
      <c r="X603" s="4">
        <v>519.92999999999995</v>
      </c>
      <c r="Y603" s="7">
        <f t="shared" ca="1" si="14"/>
        <v>-309.80999999999995</v>
      </c>
    </row>
    <row r="604" spans="1:25" ht="15" x14ac:dyDescent="0.25">
      <c r="A604" s="4">
        <v>1502</v>
      </c>
      <c r="C604" s="12" t="s">
        <v>1751</v>
      </c>
      <c r="D604" s="12" t="s">
        <v>1752</v>
      </c>
      <c r="E604" s="5" t="str">
        <f t="shared" si="10"/>
        <v>https://www.screener.in/company/MODISONLTD/consolidated/</v>
      </c>
      <c r="F604" s="4">
        <v>443059</v>
      </c>
      <c r="G604" s="4">
        <v>3832241897</v>
      </c>
      <c r="H604" s="6">
        <f t="shared" ca="1" si="11"/>
        <v>62488.536372482005</v>
      </c>
      <c r="I604" s="7" t="str">
        <f ca="1">IFERROR(__xludf.DUMMYFUNCTION("IMPORTXML(E604,""/html/body/main/div[3]/div[3]/div[2]/ul/li[5]/span[2]/span"")"),"Loading...")</f>
        <v>Loading...</v>
      </c>
      <c r="J604" s="7">
        <f ca="1">IFERROR(__xludf.DUMMYFUNCTION("GOOGLEFINANCE(""NSE:""&amp;D604,""marketcap"")"),5291296920)</f>
        <v>5291296920</v>
      </c>
      <c r="K604" s="7">
        <v>992.8</v>
      </c>
      <c r="L604" s="8">
        <f ca="1">IFERROR(__xludf.DUMMYFUNCTION("GOOGLEFINANCE(""NSE:""&amp;D604,""price"")"),163.06)</f>
        <v>163.06</v>
      </c>
      <c r="M604" s="9">
        <f t="shared" ca="1" si="12"/>
        <v>-829.74</v>
      </c>
      <c r="N604" s="10">
        <f t="shared" ca="1" si="13"/>
        <v>-83.575745366639808</v>
      </c>
      <c r="O604" s="7">
        <f ca="1">IFERROR(__xludf.DUMMYFUNCTION("GOOGLEFINANCE(""NSE:""&amp;D604,""pe"")"),18.66)</f>
        <v>18.66</v>
      </c>
      <c r="P604" s="7">
        <f ca="1">IFERROR(__xludf.DUMMYFUNCTION("GOOGLEFINANCE(""NSE:""&amp;D604,""EPS"")"),8.74)</f>
        <v>8.74</v>
      </c>
      <c r="Q604" s="7">
        <v>13.5</v>
      </c>
      <c r="R604" s="7" t="str">
        <f ca="1">IFERROR(__xludf.DUMMYFUNCTION("IMPORTXML(E604,""/html/body/main/div[3]/div[3]/div[2]/ul/li[7]/span[2]/span"")"),"Loading...")</f>
        <v>Loading...</v>
      </c>
      <c r="S604" s="7" t="str">
        <f ca="1">IFERROR(__xludf.DUMMYFUNCTION("IMPORTXML(E604,""/html/body/main/div[3]/div[3]/div[2]/ul/li[8]/span[2]/span"")"),"Loading...")</f>
        <v>Loading...</v>
      </c>
      <c r="T604" s="4">
        <v>34.6</v>
      </c>
      <c r="U604" s="4">
        <v>22.7</v>
      </c>
      <c r="V604" s="4">
        <v>2.6</v>
      </c>
      <c r="W604" s="4">
        <v>5.7</v>
      </c>
      <c r="X604" s="4">
        <v>519.92999999999995</v>
      </c>
      <c r="Y604" s="7">
        <f t="shared" ca="1" si="14"/>
        <v>-356.86999999999995</v>
      </c>
    </row>
    <row r="605" spans="1:25" ht="15" x14ac:dyDescent="0.25">
      <c r="A605" s="4">
        <v>503</v>
      </c>
      <c r="C605" s="12" t="s">
        <v>1753</v>
      </c>
      <c r="D605" s="12" t="s">
        <v>1754</v>
      </c>
      <c r="E605" s="5" t="str">
        <f t="shared" si="10"/>
        <v>https://www.screener.in/company/KIRLOSIND/consolidated/</v>
      </c>
      <c r="F605" s="4">
        <v>443059</v>
      </c>
      <c r="G605" s="4">
        <v>3832241897</v>
      </c>
      <c r="H605" s="6">
        <f t="shared" ca="1" si="11"/>
        <v>1430192.6759603999</v>
      </c>
      <c r="I605" s="7" t="str">
        <f ca="1">IFERROR(__xludf.DUMMYFUNCTION("IMPORTXML(E605,""/html/body/main/div[3]/div[3]/div[2]/ul/li[5]/span[2]/span"")"),"Loading...")</f>
        <v>Loading...</v>
      </c>
      <c r="J605" s="7">
        <f ca="1">IFERROR(__xludf.DUMMYFUNCTION("GOOGLEFINANCE(""NSE:""&amp;D605,""marketcap"")"),38853988289)</f>
        <v>38853988289</v>
      </c>
      <c r="K605" s="7">
        <v>992.8</v>
      </c>
      <c r="L605" s="8">
        <f ca="1">IFERROR(__xludf.DUMMYFUNCTION("GOOGLEFINANCE(""NSE:""&amp;D605,""price"")"),3732)</f>
        <v>3732</v>
      </c>
      <c r="M605" s="9">
        <f t="shared" ca="1" si="12"/>
        <v>2739.2</v>
      </c>
      <c r="N605" s="10">
        <f t="shared" ca="1" si="13"/>
        <v>275.90652699435935</v>
      </c>
      <c r="O605" s="7">
        <f ca="1">IFERROR(__xludf.DUMMYFUNCTION("GOOGLEFINANCE(""NSE:""&amp;D605,""pe"")"),23.92)</f>
        <v>23.92</v>
      </c>
      <c r="P605" s="7">
        <f ca="1">IFERROR(__xludf.DUMMYFUNCTION("GOOGLEFINANCE(""NSE:""&amp;D605,""EPS"")"),155.99)</f>
        <v>155.99</v>
      </c>
      <c r="Q605" s="7">
        <v>13.5</v>
      </c>
      <c r="R605" s="7" t="str">
        <f ca="1">IFERROR(__xludf.DUMMYFUNCTION("IMPORTXML(E605,""/html/body/main/div[3]/div[3]/div[2]/ul/li[7]/span[2]/span"")"),"Loading...")</f>
        <v>Loading...</v>
      </c>
      <c r="S605" s="7" t="str">
        <f ca="1">IFERROR(__xludf.DUMMYFUNCTION("IMPORTXML(E605,""/html/body/main/div[3]/div[3]/div[2]/ul/li[8]/span[2]/span"")"),"Loading...")</f>
        <v>Loading...</v>
      </c>
      <c r="T605" s="4">
        <v>34.6</v>
      </c>
      <c r="U605" s="4">
        <v>22.7</v>
      </c>
      <c r="V605" s="4">
        <v>2.6</v>
      </c>
      <c r="W605" s="4">
        <v>5.7</v>
      </c>
      <c r="X605" s="4">
        <v>519.92999999999995</v>
      </c>
      <c r="Y605" s="7">
        <f t="shared" ca="1" si="14"/>
        <v>3212.07</v>
      </c>
    </row>
    <row r="606" spans="1:25" ht="15" x14ac:dyDescent="0.25">
      <c r="A606" s="4">
        <v>1186</v>
      </c>
      <c r="C606" s="12" t="s">
        <v>1755</v>
      </c>
      <c r="D606" s="12" t="s">
        <v>1756</v>
      </c>
      <c r="E606" s="5" t="str">
        <f t="shared" si="10"/>
        <v>https://www.screener.in/company/INFOBEAN/consolidated/</v>
      </c>
      <c r="F606" s="4">
        <v>443059</v>
      </c>
      <c r="G606" s="4">
        <v>3832241897</v>
      </c>
      <c r="H606" s="6">
        <f t="shared" ca="1" si="11"/>
        <v>215027.09284067003</v>
      </c>
      <c r="I606" s="7" t="str">
        <f ca="1">IFERROR(__xludf.DUMMYFUNCTION("IMPORTXML(E606,""/html/body/main/div[3]/div[3]/div[2]/ul/li[5]/span[2]/span"")"),"Loading...")</f>
        <v>Loading...</v>
      </c>
      <c r="J606" s="7">
        <f ca="1">IFERROR(__xludf.DUMMYFUNCTION("GOOGLEFINANCE(""NSE:""&amp;D606,""marketcap"")"),13635143762)</f>
        <v>13635143762</v>
      </c>
      <c r="K606" s="7">
        <v>992.8</v>
      </c>
      <c r="L606" s="8">
        <f ca="1">IFERROR(__xludf.DUMMYFUNCTION("GOOGLEFINANCE(""NSE:""&amp;D606,""price"")"),561.1)</f>
        <v>561.1</v>
      </c>
      <c r="M606" s="9">
        <f t="shared" ca="1" si="12"/>
        <v>-431.69999999999993</v>
      </c>
      <c r="N606" s="10">
        <f t="shared" ca="1" si="13"/>
        <v>-43.483078162771953</v>
      </c>
      <c r="O606" s="7">
        <f ca="1">IFERROR(__xludf.DUMMYFUNCTION("GOOGLEFINANCE(""NSE:""&amp;D606,""pe"")"),25.64)</f>
        <v>25.64</v>
      </c>
      <c r="P606" s="7">
        <f ca="1">IFERROR(__xludf.DUMMYFUNCTION("GOOGLEFINANCE(""NSE:""&amp;D606,""EPS"")"),21.89)</f>
        <v>21.89</v>
      </c>
      <c r="Q606" s="7">
        <v>13.5</v>
      </c>
      <c r="R606" s="7" t="str">
        <f ca="1">IFERROR(__xludf.DUMMYFUNCTION("IMPORTXML(E606,""/html/body/main/div[3]/div[3]/div[2]/ul/li[7]/span[2]/span"")"),"Loading...")</f>
        <v>Loading...</v>
      </c>
      <c r="S606" s="7" t="str">
        <f ca="1">IFERROR(__xludf.DUMMYFUNCTION("IMPORTXML(E606,""/html/body/main/div[3]/div[3]/div[2]/ul/li[8]/span[2]/span"")"),"Loading...")</f>
        <v>Loading...</v>
      </c>
      <c r="T606" s="4">
        <v>34.6</v>
      </c>
      <c r="U606" s="4">
        <v>22.7</v>
      </c>
      <c r="V606" s="4">
        <v>2.6</v>
      </c>
      <c r="W606" s="4">
        <v>5.7</v>
      </c>
      <c r="X606" s="4">
        <v>519.92999999999995</v>
      </c>
      <c r="Y606" s="7">
        <f t="shared" ca="1" si="14"/>
        <v>41.170000000000073</v>
      </c>
    </row>
    <row r="607" spans="1:25" ht="15" x14ac:dyDescent="0.25">
      <c r="A607" s="4">
        <v>156</v>
      </c>
      <c r="C607" s="12" t="s">
        <v>1757</v>
      </c>
      <c r="D607" s="12" t="s">
        <v>1758</v>
      </c>
      <c r="E607" s="5" t="str">
        <f t="shared" si="10"/>
        <v>https://www.screener.in/company/APTUS/consolidated/</v>
      </c>
      <c r="F607" s="4">
        <v>443059</v>
      </c>
      <c r="G607" s="4">
        <v>3832241897</v>
      </c>
      <c r="H607" s="6">
        <f t="shared" ca="1" si="11"/>
        <v>130066.28998417998</v>
      </c>
      <c r="I607" s="7" t="str">
        <f ca="1">IFERROR(__xludf.DUMMYFUNCTION("IMPORTXML(E607,""/html/body/main/div[3]/div[3]/div[2]/ul/li[5]/span[2]/span"")"),"Loading...")</f>
        <v>Loading...</v>
      </c>
      <c r="J607" s="7">
        <f ca="1">IFERROR(__xludf.DUMMYFUNCTION("GOOGLEFINANCE(""NSE:""&amp;D607,""marketcap"")"),169901430844)</f>
        <v>169901430844</v>
      </c>
      <c r="K607" s="7">
        <v>992.8</v>
      </c>
      <c r="L607" s="8">
        <f ca="1">IFERROR(__xludf.DUMMYFUNCTION("GOOGLEFINANCE(""NSE:""&amp;D607,""price"")"),339.4)</f>
        <v>339.4</v>
      </c>
      <c r="M607" s="9">
        <f t="shared" ca="1" si="12"/>
        <v>-653.4</v>
      </c>
      <c r="N607" s="10">
        <f t="shared" ca="1" si="13"/>
        <v>-65.813859790491534</v>
      </c>
      <c r="O607" s="7">
        <f ca="1">IFERROR(__xludf.DUMMYFUNCTION("GOOGLEFINANCE(""NSE:""&amp;D607,""pe"")"),21.26)</f>
        <v>21.26</v>
      </c>
      <c r="P607" s="7">
        <f ca="1">IFERROR(__xludf.DUMMYFUNCTION("GOOGLEFINANCE(""NSE:""&amp;D607,""EPS"")"),15.96)</f>
        <v>15.96</v>
      </c>
      <c r="Q607" s="7">
        <v>13.5</v>
      </c>
      <c r="R607" s="7" t="str">
        <f ca="1">IFERROR(__xludf.DUMMYFUNCTION("IMPORTXML(E607,""/html/body/main/div[3]/div[3]/div[2]/ul/li[7]/span[2]/span"")"),"Loading...")</f>
        <v>Loading...</v>
      </c>
      <c r="S607" s="7" t="str">
        <f ca="1">IFERROR(__xludf.DUMMYFUNCTION("IMPORTXML(E607,""/html/body/main/div[3]/div[3]/div[2]/ul/li[8]/span[2]/span"")"),"Loading...")</f>
        <v>Loading...</v>
      </c>
      <c r="T607" s="4">
        <v>34.6</v>
      </c>
      <c r="U607" s="4">
        <v>22.7</v>
      </c>
      <c r="V607" s="4">
        <v>2.6</v>
      </c>
      <c r="W607" s="4">
        <v>5.7</v>
      </c>
      <c r="X607" s="4">
        <v>519.92999999999995</v>
      </c>
      <c r="Y607" s="7">
        <f t="shared" ca="1" si="14"/>
        <v>-180.52999999999997</v>
      </c>
    </row>
    <row r="608" spans="1:25" ht="15" x14ac:dyDescent="0.25">
      <c r="A608" s="4">
        <v>1768</v>
      </c>
      <c r="C608" s="12" t="s">
        <v>1759</v>
      </c>
      <c r="D608" s="12" t="s">
        <v>1760</v>
      </c>
      <c r="E608" s="5" t="str">
        <f t="shared" si="10"/>
        <v>https://www.screener.in/company/BHAGYANGR/consolidated/</v>
      </c>
      <c r="F608" s="4">
        <v>443059</v>
      </c>
      <c r="G608" s="4">
        <v>3832241897</v>
      </c>
      <c r="H608" s="6">
        <f t="shared" ca="1" si="11"/>
        <v>34681.789167850002</v>
      </c>
      <c r="I608" s="7" t="str">
        <f ca="1">IFERROR(__xludf.DUMMYFUNCTION("IMPORTXML(E608,""/html/body/main/div[3]/div[3]/div[2]/ul/li[5]/span[2]/span"")"),"Loading...")</f>
        <v>Loading...</v>
      </c>
      <c r="J608" s="7">
        <f ca="1">IFERROR(__xludf.DUMMYFUNCTION("GOOGLEFINANCE(""NSE:""&amp;D608,""marketcap"")"),2974931810)</f>
        <v>2974931810</v>
      </c>
      <c r="K608" s="7">
        <v>992.8</v>
      </c>
      <c r="L608" s="8">
        <f ca="1">IFERROR(__xludf.DUMMYFUNCTION("GOOGLEFINANCE(""NSE:""&amp;D608,""price"")"),90.5)</f>
        <v>90.5</v>
      </c>
      <c r="M608" s="9">
        <f t="shared" ca="1" si="12"/>
        <v>-902.3</v>
      </c>
      <c r="N608" s="10">
        <f t="shared" ca="1" si="13"/>
        <v>-90.884367445608376</v>
      </c>
      <c r="O608" s="7">
        <f ca="1">IFERROR(__xludf.DUMMYFUNCTION("GOOGLEFINANCE(""NSE:""&amp;D608,""pe"")"),14.53)</f>
        <v>14.53</v>
      </c>
      <c r="P608" s="7">
        <f ca="1">IFERROR(__xludf.DUMMYFUNCTION("GOOGLEFINANCE(""NSE:""&amp;D608,""EPS"")"),6.23)</f>
        <v>6.23</v>
      </c>
      <c r="Q608" s="7">
        <v>13.5</v>
      </c>
      <c r="R608" s="7" t="str">
        <f ca="1">IFERROR(__xludf.DUMMYFUNCTION("IMPORTXML(E608,""/html/body/main/div[3]/div[3]/div[2]/ul/li[7]/span[2]/span"")"),"Loading...")</f>
        <v>Loading...</v>
      </c>
      <c r="S608" s="7" t="str">
        <f ca="1">IFERROR(__xludf.DUMMYFUNCTION("IMPORTXML(E608,""/html/body/main/div[3]/div[3]/div[2]/ul/li[8]/span[2]/span"")"),"Loading...")</f>
        <v>Loading...</v>
      </c>
      <c r="T608" s="4">
        <v>34.6</v>
      </c>
      <c r="U608" s="4">
        <v>22.7</v>
      </c>
      <c r="V608" s="4">
        <v>2.6</v>
      </c>
      <c r="W608" s="4">
        <v>5.7</v>
      </c>
      <c r="X608" s="4">
        <v>519.92999999999995</v>
      </c>
      <c r="Y608" s="7">
        <f t="shared" ca="1" si="14"/>
        <v>-429.42999999999995</v>
      </c>
    </row>
    <row r="609" spans="1:25" ht="15" x14ac:dyDescent="0.25">
      <c r="A609" s="4">
        <v>400</v>
      </c>
      <c r="C609" s="12" t="s">
        <v>1761</v>
      </c>
      <c r="D609" s="12" t="s">
        <v>1762</v>
      </c>
      <c r="E609" s="5" t="str">
        <f t="shared" si="10"/>
        <v>https://www.screener.in/company/MANINFRA/consolidated/</v>
      </c>
      <c r="F609" s="4">
        <v>443059</v>
      </c>
      <c r="G609" s="4">
        <v>3832241897</v>
      </c>
      <c r="H609" s="6">
        <f t="shared" ca="1" si="11"/>
        <v>61335.031561485011</v>
      </c>
      <c r="I609" s="7" t="str">
        <f ca="1">IFERROR(__xludf.DUMMYFUNCTION("IMPORTXML(E609,""/html/body/main/div[3]/div[3]/div[2]/ul/li[5]/span[2]/span"")"),"Loading...")</f>
        <v>Loading...</v>
      </c>
      <c r="J609" s="7">
        <f ca="1">IFERROR(__xludf.DUMMYFUNCTION("GOOGLEFINANCE(""NSE:""&amp;D609,""marketcap"")"),64744070000)</f>
        <v>64744070000</v>
      </c>
      <c r="K609" s="7">
        <v>992.8</v>
      </c>
      <c r="L609" s="8">
        <f ca="1">IFERROR(__xludf.DUMMYFUNCTION("GOOGLEFINANCE(""NSE:""&amp;D609,""price"")"),160.05)</f>
        <v>160.05000000000001</v>
      </c>
      <c r="M609" s="9">
        <f t="shared" ca="1" si="12"/>
        <v>-832.75</v>
      </c>
      <c r="N609" s="10">
        <f t="shared" ca="1" si="13"/>
        <v>-83.878928283642225</v>
      </c>
      <c r="O609" s="7">
        <f ca="1">IFERROR(__xludf.DUMMYFUNCTION("GOOGLEFINANCE(""NSE:""&amp;D609,""pe"")"),23.32)</f>
        <v>23.32</v>
      </c>
      <c r="P609" s="7">
        <f ca="1">IFERROR(__xludf.DUMMYFUNCTION("GOOGLEFINANCE(""NSE:""&amp;D609,""EPS"")"),6.86)</f>
        <v>6.86</v>
      </c>
      <c r="Q609" s="7">
        <v>13.5</v>
      </c>
      <c r="R609" s="7" t="str">
        <f ca="1">IFERROR(__xludf.DUMMYFUNCTION("IMPORTXML(E609,""/html/body/main/div[3]/div[3]/div[2]/ul/li[7]/span[2]/span"")"),"Loading...")</f>
        <v>Loading...</v>
      </c>
      <c r="S609" s="7" t="str">
        <f ca="1">IFERROR(__xludf.DUMMYFUNCTION("IMPORTXML(E609,""/html/body/main/div[3]/div[3]/div[2]/ul/li[8]/span[2]/span"")"),"Loading...")</f>
        <v>Loading...</v>
      </c>
      <c r="T609" s="4">
        <v>34.6</v>
      </c>
      <c r="U609" s="4">
        <v>22.7</v>
      </c>
      <c r="V609" s="4">
        <v>2.6</v>
      </c>
      <c r="W609" s="4">
        <v>5.7</v>
      </c>
      <c r="X609" s="4">
        <v>519.92999999999995</v>
      </c>
      <c r="Y609" s="7">
        <f t="shared" ca="1" si="14"/>
        <v>-359.87999999999994</v>
      </c>
    </row>
    <row r="610" spans="1:25" ht="15" x14ac:dyDescent="0.25">
      <c r="A610" s="4">
        <v>1088</v>
      </c>
      <c r="C610" s="12" t="s">
        <v>1763</v>
      </c>
      <c r="D610" s="12" t="s">
        <v>1764</v>
      </c>
      <c r="E610" s="5" t="str">
        <f t="shared" si="10"/>
        <v>https://www.screener.in/company/NGLFINE/consolidated/</v>
      </c>
      <c r="F610" s="4">
        <v>443059</v>
      </c>
      <c r="G610" s="4">
        <v>3832241897</v>
      </c>
      <c r="H610" s="6">
        <f t="shared" ca="1" si="11"/>
        <v>576752.40549849998</v>
      </c>
      <c r="I610" s="7" t="str">
        <f ca="1">IFERROR(__xludf.DUMMYFUNCTION("IMPORTXML(E610,""/html/body/main/div[3]/div[3]/div[2]/ul/li[5]/span[2]/span"")"),"Loading...")</f>
        <v>Loading...</v>
      </c>
      <c r="J610" s="7">
        <f ca="1">IFERROR(__xludf.DUMMYFUNCTION("GOOGLEFINANCE(""NSE:""&amp;D610,""marketcap"")"),9297926120)</f>
        <v>9297926120</v>
      </c>
      <c r="K610" s="7">
        <v>992.8</v>
      </c>
      <c r="L610" s="8">
        <f ca="1">IFERROR(__xludf.DUMMYFUNCTION("GOOGLEFINANCE(""NSE:""&amp;D610,""price"")"),1505)</f>
        <v>1505</v>
      </c>
      <c r="M610" s="9">
        <f t="shared" ca="1" si="12"/>
        <v>512.20000000000005</v>
      </c>
      <c r="N610" s="10">
        <f t="shared" ca="1" si="13"/>
        <v>51.591458501208706</v>
      </c>
      <c r="O610" s="7">
        <f ca="1">IFERROR(__xludf.DUMMYFUNCTION("GOOGLEFINANCE(""NSE:""&amp;D610,""pe"")"),43.95)</f>
        <v>43.95</v>
      </c>
      <c r="P610" s="7">
        <f ca="1">IFERROR(__xludf.DUMMYFUNCTION("GOOGLEFINANCE(""NSE:""&amp;D610,""EPS"")"),34.24)</f>
        <v>34.24</v>
      </c>
      <c r="Q610" s="7">
        <v>13.5</v>
      </c>
      <c r="R610" s="7" t="str">
        <f ca="1">IFERROR(__xludf.DUMMYFUNCTION("IMPORTXML(E610,""/html/body/main/div[3]/div[3]/div[2]/ul/li[7]/span[2]/span"")"),"Loading...")</f>
        <v>Loading...</v>
      </c>
      <c r="S610" s="7" t="str">
        <f ca="1">IFERROR(__xludf.DUMMYFUNCTION("IMPORTXML(E610,""/html/body/main/div[3]/div[3]/div[2]/ul/li[8]/span[2]/span"")"),"Loading...")</f>
        <v>Loading...</v>
      </c>
      <c r="T610" s="4">
        <v>34.6</v>
      </c>
      <c r="U610" s="4">
        <v>22.7</v>
      </c>
      <c r="V610" s="4">
        <v>2.6</v>
      </c>
      <c r="W610" s="4">
        <v>5.7</v>
      </c>
      <c r="X610" s="4">
        <v>519.92999999999995</v>
      </c>
      <c r="Y610" s="7">
        <f t="shared" ca="1" si="14"/>
        <v>985.07</v>
      </c>
    </row>
    <row r="611" spans="1:25" ht="15" x14ac:dyDescent="0.25">
      <c r="A611" s="4">
        <v>942</v>
      </c>
      <c r="C611" s="12" t="s">
        <v>1765</v>
      </c>
      <c r="D611" s="12" t="s">
        <v>1766</v>
      </c>
      <c r="E611" s="5" t="str">
        <f t="shared" si="10"/>
        <v>https://www.screener.in/company/HERANBA/consolidated/</v>
      </c>
      <c r="F611" s="4">
        <v>443059</v>
      </c>
      <c r="G611" s="4">
        <v>3832241897</v>
      </c>
      <c r="H611" s="6">
        <f t="shared" ca="1" si="11"/>
        <v>128380.1035495</v>
      </c>
      <c r="I611" s="7" t="str">
        <f ca="1">IFERROR(__xludf.DUMMYFUNCTION("IMPORTXML(E611,""/html/body/main/div[3]/div[3]/div[2]/ul/li[5]/span[2]/span"")"),"Loading...")</f>
        <v>Loading...</v>
      </c>
      <c r="J611" s="7">
        <f ca="1">IFERROR(__xludf.DUMMYFUNCTION("GOOGLEFINANCE(""NSE:""&amp;D611,""marketcap"")"),13388510000)</f>
        <v>13388510000</v>
      </c>
      <c r="K611" s="7">
        <v>992.8</v>
      </c>
      <c r="L611" s="8">
        <f ca="1">IFERROR(__xludf.DUMMYFUNCTION("GOOGLEFINANCE(""NSE:""&amp;D611,""price"")"),335)</f>
        <v>335</v>
      </c>
      <c r="M611" s="9">
        <f t="shared" ca="1" si="12"/>
        <v>-657.8</v>
      </c>
      <c r="N611" s="10">
        <f t="shared" ca="1" si="13"/>
        <v>-66.257050765511678</v>
      </c>
      <c r="O611" s="7" t="str">
        <f ca="1">IFERROR(__xludf.DUMMYFUNCTION("GOOGLEFINANCE(""NSE:""&amp;D611,""pe"")"),"#N/A")</f>
        <v>#N/A</v>
      </c>
      <c r="P611" s="7">
        <f ca="1">IFERROR(__xludf.DUMMYFUNCTION("GOOGLEFINANCE(""NSE:""&amp;D611,""EPS"")"),-1.9)</f>
        <v>-1.9</v>
      </c>
      <c r="Q611" s="7">
        <v>13.5</v>
      </c>
      <c r="R611" s="7" t="str">
        <f ca="1">IFERROR(__xludf.DUMMYFUNCTION("IMPORTXML(E611,""/html/body/main/div[3]/div[3]/div[2]/ul/li[7]/span[2]/span"")"),"Loading...")</f>
        <v>Loading...</v>
      </c>
      <c r="S611" s="7" t="str">
        <f ca="1">IFERROR(__xludf.DUMMYFUNCTION("IMPORTXML(E611,""/html/body/main/div[3]/div[3]/div[2]/ul/li[8]/span[2]/span"")"),"Loading...")</f>
        <v>Loading...</v>
      </c>
      <c r="T611" s="4">
        <v>34.6</v>
      </c>
      <c r="U611" s="4">
        <v>22.7</v>
      </c>
      <c r="V611" s="4">
        <v>2.6</v>
      </c>
      <c r="W611" s="4">
        <v>5.7</v>
      </c>
      <c r="X611" s="4">
        <v>519.92999999999995</v>
      </c>
      <c r="Y611" s="7">
        <f t="shared" ca="1" si="14"/>
        <v>-184.92999999999995</v>
      </c>
    </row>
    <row r="612" spans="1:25" ht="15" x14ac:dyDescent="0.25">
      <c r="A612" s="4">
        <v>1744</v>
      </c>
      <c r="C612" s="12" t="s">
        <v>1767</v>
      </c>
      <c r="D612" s="12" t="s">
        <v>1768</v>
      </c>
      <c r="E612" s="5" t="str">
        <f t="shared" si="10"/>
        <v>https://www.screener.in/company/TREJHARA/consolidated/</v>
      </c>
      <c r="F612" s="4">
        <v>443059</v>
      </c>
      <c r="G612" s="4">
        <v>3832241897</v>
      </c>
      <c r="H612" s="6">
        <f t="shared" ca="1" si="11"/>
        <v>73019.537105437994</v>
      </c>
      <c r="I612" s="7" t="str">
        <f ca="1">IFERROR(__xludf.DUMMYFUNCTION("IMPORTXML(E612,""/html/body/main/div[3]/div[3]/div[2]/ul/li[5]/span[2]/span"")"),"Loading...")</f>
        <v>Loading...</v>
      </c>
      <c r="J612" s="7">
        <f ca="1">IFERROR(__xludf.DUMMYFUNCTION("GOOGLEFINANCE(""NSE:""&amp;D612,""marketcap"")"),2822391445)</f>
        <v>2822391445</v>
      </c>
      <c r="K612" s="7">
        <v>992.8</v>
      </c>
      <c r="L612" s="8">
        <f ca="1">IFERROR(__xludf.DUMMYFUNCTION("GOOGLEFINANCE(""NSE:""&amp;D612,""price"")"),190.54)</f>
        <v>190.54</v>
      </c>
      <c r="M612" s="9">
        <f t="shared" ca="1" si="12"/>
        <v>-802.26</v>
      </c>
      <c r="N612" s="10">
        <f t="shared" ca="1" si="13"/>
        <v>-80.807816277195812</v>
      </c>
      <c r="O612" s="7">
        <f ca="1">IFERROR(__xludf.DUMMYFUNCTION("GOOGLEFINANCE(""NSE:""&amp;D612,""pe"")"),90.73)</f>
        <v>90.73</v>
      </c>
      <c r="P612" s="7">
        <f ca="1">IFERROR(__xludf.DUMMYFUNCTION("GOOGLEFINANCE(""NSE:""&amp;D612,""EPS"")"),2.1)</f>
        <v>2.1</v>
      </c>
      <c r="Q612" s="7">
        <v>13.5</v>
      </c>
      <c r="R612" s="7" t="str">
        <f ca="1">IFERROR(__xludf.DUMMYFUNCTION("IMPORTXML(E612,""/html/body/main/div[3]/div[3]/div[2]/ul/li[7]/span[2]/span"")"),"Loading...")</f>
        <v>Loading...</v>
      </c>
      <c r="S612" s="7">
        <f ca="1">IFERROR(__xludf.DUMMYFUNCTION("IMPORTXML(E612,""/html/body/main/div[3]/div[3]/div[2]/ul/li[8]/span[2]/span"")"),1.47)</f>
        <v>1.47</v>
      </c>
      <c r="T612" s="4">
        <v>34.6</v>
      </c>
      <c r="U612" s="4">
        <v>22.7</v>
      </c>
      <c r="V612" s="4">
        <v>2.6</v>
      </c>
      <c r="W612" s="4">
        <v>5.7</v>
      </c>
      <c r="X612" s="4">
        <v>519.92999999999995</v>
      </c>
      <c r="Y612" s="7">
        <f t="shared" ca="1" si="14"/>
        <v>-329.39</v>
      </c>
    </row>
    <row r="613" spans="1:25" ht="15" x14ac:dyDescent="0.25">
      <c r="A613" s="4">
        <v>966</v>
      </c>
      <c r="C613" s="12" t="s">
        <v>1769</v>
      </c>
      <c r="D613" s="12" t="s">
        <v>1770</v>
      </c>
      <c r="E613" s="5" t="str">
        <f t="shared" si="10"/>
        <v>https://www.screener.in/company/IRMENERGY/consolidated/</v>
      </c>
      <c r="F613" s="4">
        <v>443059</v>
      </c>
      <c r="G613" s="4">
        <v>3832241897</v>
      </c>
      <c r="H613" s="6">
        <f t="shared" ca="1" si="11"/>
        <v>107111.16102114999</v>
      </c>
      <c r="I613" s="7" t="str">
        <f ca="1">IFERROR(__xludf.DUMMYFUNCTION("IMPORTXML(E613,""/html/body/main/div[3]/div[3]/div[2]/ul/li[5]/span[2]/span"")"),"Loading...")</f>
        <v>Loading...</v>
      </c>
      <c r="J613" s="7">
        <f ca="1">IFERROR(__xludf.DUMMYFUNCTION("GOOGLEFINANCE(""NSE:""&amp;D613,""marketcap"")"),11476177765)</f>
        <v>11476177765</v>
      </c>
      <c r="K613" s="7">
        <v>992.8</v>
      </c>
      <c r="L613" s="8">
        <f ca="1">IFERROR(__xludf.DUMMYFUNCTION("GOOGLEFINANCE(""NSE:""&amp;D613,""price"")"),279.5)</f>
        <v>279.5</v>
      </c>
      <c r="M613" s="9">
        <f t="shared" ca="1" si="12"/>
        <v>-713.3</v>
      </c>
      <c r="N613" s="10">
        <f t="shared" ca="1" si="13"/>
        <v>-71.847300564061243</v>
      </c>
      <c r="O613" s="7">
        <f ca="1">IFERROR(__xludf.DUMMYFUNCTION("GOOGLEFINANCE(""NSE:""&amp;D613,""pe"")"),28.4)</f>
        <v>28.4</v>
      </c>
      <c r="P613" s="7">
        <f ca="1">IFERROR(__xludf.DUMMYFUNCTION("GOOGLEFINANCE(""NSE:""&amp;D613,""EPS"")"),9.84)</f>
        <v>9.84</v>
      </c>
      <c r="Q613" s="7">
        <v>13.5</v>
      </c>
      <c r="R613" s="7" t="str">
        <f ca="1">IFERROR(__xludf.DUMMYFUNCTION("IMPORTXML(E613,""/html/body/main/div[3]/div[3]/div[2]/ul/li[7]/span[2]/span"")"),"Loading...")</f>
        <v>Loading...</v>
      </c>
      <c r="S613" s="7">
        <f ca="1">IFERROR(__xludf.DUMMYFUNCTION("IMPORTXML(E613,""/html/body/main/div[3]/div[3]/div[2]/ul/li[8]/span[2]/span"")"),4.86)</f>
        <v>4.8600000000000003</v>
      </c>
      <c r="T613" s="4">
        <v>34.6</v>
      </c>
      <c r="U613" s="4">
        <v>22.7</v>
      </c>
      <c r="V613" s="4">
        <v>2.6</v>
      </c>
      <c r="W613" s="4">
        <v>5.7</v>
      </c>
      <c r="X613" s="4">
        <v>519.92999999999995</v>
      </c>
      <c r="Y613" s="7">
        <f t="shared" ca="1" si="14"/>
        <v>-240.42999999999995</v>
      </c>
    </row>
    <row r="614" spans="1:25" ht="15" x14ac:dyDescent="0.25">
      <c r="A614" s="4">
        <v>227</v>
      </c>
      <c r="C614" s="12" t="s">
        <v>1771</v>
      </c>
      <c r="D614" s="12" t="s">
        <v>1772</v>
      </c>
      <c r="E614" s="5" t="str">
        <f t="shared" si="10"/>
        <v>https://www.screener.in/company/VOLTAMP/consolidated/</v>
      </c>
      <c r="F614" s="4">
        <v>443059</v>
      </c>
      <c r="G614" s="4">
        <v>3832241897</v>
      </c>
      <c r="H614" s="6">
        <f t="shared" ca="1" si="11"/>
        <v>3012142.1310419999</v>
      </c>
      <c r="I614" s="7" t="str">
        <f ca="1">IFERROR(__xludf.DUMMYFUNCTION("IMPORTXML(E614,""/html/body/main/div[3]/div[3]/div[2]/ul/li[5]/span[2]/span"")"),"Loading...")</f>
        <v>Loading...</v>
      </c>
      <c r="J614" s="7">
        <f ca="1">IFERROR(__xludf.DUMMYFUNCTION("GOOGLEFINANCE(""NSE:""&amp;D614,""marketcap"")"),79741878750)</f>
        <v>79741878750</v>
      </c>
      <c r="K614" s="7">
        <v>992.8</v>
      </c>
      <c r="L614" s="8">
        <f ca="1">IFERROR(__xludf.DUMMYFUNCTION("GOOGLEFINANCE(""NSE:""&amp;D614,""price"")"),7860)</f>
        <v>7860</v>
      </c>
      <c r="M614" s="9">
        <f t="shared" ca="1" si="12"/>
        <v>6867.2</v>
      </c>
      <c r="N614" s="10">
        <f t="shared" ca="1" si="13"/>
        <v>691.70024174053185</v>
      </c>
      <c r="O614" s="7">
        <f ca="1">IFERROR(__xludf.DUMMYFUNCTION("GOOGLEFINANCE(""NSE:""&amp;D614,""pe"")"),24.43)</f>
        <v>24.43</v>
      </c>
      <c r="P614" s="7">
        <f ca="1">IFERROR(__xludf.DUMMYFUNCTION("GOOGLEFINANCE(""NSE:""&amp;D614,""EPS"")"),321.76)</f>
        <v>321.76</v>
      </c>
      <c r="Q614" s="7">
        <v>13.5</v>
      </c>
      <c r="R614" s="7" t="str">
        <f ca="1">IFERROR(__xludf.DUMMYFUNCTION("IMPORTXML(E614,""/html/body/main/div[3]/div[3]/div[2]/ul/li[7]/span[2]/span"")"),"Loading...")</f>
        <v>Loading...</v>
      </c>
      <c r="S614" s="7" t="str">
        <f ca="1">IFERROR(__xludf.DUMMYFUNCTION("IMPORTXML(E614,""/html/body/main/div[3]/div[3]/div[2]/ul/li[8]/span[2]/span"")"),"Loading...")</f>
        <v>Loading...</v>
      </c>
      <c r="T614" s="4">
        <v>34.6</v>
      </c>
      <c r="U614" s="4">
        <v>22.7</v>
      </c>
      <c r="V614" s="4">
        <v>2.6</v>
      </c>
      <c r="W614" s="4">
        <v>5.7</v>
      </c>
      <c r="X614" s="4">
        <v>519.92999999999995</v>
      </c>
      <c r="Y614" s="7">
        <f t="shared" ca="1" si="14"/>
        <v>7340.07</v>
      </c>
    </row>
    <row r="615" spans="1:25" ht="15" x14ac:dyDescent="0.25">
      <c r="A615" s="4">
        <v>962</v>
      </c>
      <c r="C615" s="12" t="s">
        <v>1773</v>
      </c>
      <c r="D615" s="12" t="s">
        <v>1774</v>
      </c>
      <c r="E615" s="5" t="str">
        <f t="shared" si="10"/>
        <v>https://www.screener.in/company/SWELECTES/consolidated/</v>
      </c>
      <c r="F615" s="4">
        <v>443059</v>
      </c>
      <c r="G615" s="4">
        <v>3832241897</v>
      </c>
      <c r="H615" s="6">
        <f t="shared" ca="1" si="11"/>
        <v>294373.661318055</v>
      </c>
      <c r="I615" s="7" t="str">
        <f ca="1">IFERROR(__xludf.DUMMYFUNCTION("IMPORTXML(E615,""/html/body/main/div[3]/div[3]/div[2]/ul/li[5]/span[2]/span"")"),"Loading...")</f>
        <v>Loading...</v>
      </c>
      <c r="J615" s="7">
        <f ca="1">IFERROR(__xludf.DUMMYFUNCTION("GOOGLEFINANCE(""NSE:""&amp;D615,""marketcap"")"),11644194182)</f>
        <v>11644194182</v>
      </c>
      <c r="K615" s="7">
        <v>992.8</v>
      </c>
      <c r="L615" s="8">
        <f ca="1">IFERROR(__xludf.DUMMYFUNCTION("GOOGLEFINANCE(""NSE:""&amp;D615,""price"")"),768.15)</f>
        <v>768.15</v>
      </c>
      <c r="M615" s="9">
        <f t="shared" ca="1" si="12"/>
        <v>-224.64999999999998</v>
      </c>
      <c r="N615" s="10">
        <f t="shared" ca="1" si="13"/>
        <v>-22.627921031426268</v>
      </c>
      <c r="O615" s="7">
        <f ca="1">IFERROR(__xludf.DUMMYFUNCTION("GOOGLEFINANCE(""NSE:""&amp;D615,""pe"")"),40.79)</f>
        <v>40.79</v>
      </c>
      <c r="P615" s="7">
        <f ca="1">IFERROR(__xludf.DUMMYFUNCTION("GOOGLEFINANCE(""NSE:""&amp;D615,""EPS"")"),18.83)</f>
        <v>18.829999999999998</v>
      </c>
      <c r="Q615" s="7">
        <v>13.5</v>
      </c>
      <c r="R615" s="7" t="str">
        <f ca="1">IFERROR(__xludf.DUMMYFUNCTION("IMPORTXML(E615,""/html/body/main/div[3]/div[3]/div[2]/ul/li[7]/span[2]/span"")"),"Loading...")</f>
        <v>Loading...</v>
      </c>
      <c r="S615" s="7" t="str">
        <f ca="1">IFERROR(__xludf.DUMMYFUNCTION("IMPORTXML(E615,""/html/body/main/div[3]/div[3]/div[2]/ul/li[8]/span[2]/span"")"),"Loading...")</f>
        <v>Loading...</v>
      </c>
      <c r="T615" s="4">
        <v>34.6</v>
      </c>
      <c r="U615" s="4">
        <v>22.7</v>
      </c>
      <c r="V615" s="4">
        <v>2.6</v>
      </c>
      <c r="W615" s="4">
        <v>5.7</v>
      </c>
      <c r="X615" s="4">
        <v>519.92999999999995</v>
      </c>
      <c r="Y615" s="7">
        <f t="shared" ca="1" si="14"/>
        <v>248.22000000000003</v>
      </c>
    </row>
    <row r="616" spans="1:25" ht="15" x14ac:dyDescent="0.25">
      <c r="A616" s="4">
        <v>2081</v>
      </c>
      <c r="C616" s="12" t="s">
        <v>1775</v>
      </c>
      <c r="D616" s="12" t="s">
        <v>1776</v>
      </c>
      <c r="E616" s="5" t="str">
        <f t="shared" si="10"/>
        <v>https://www.screener.in/company/PRITI/consolidated/</v>
      </c>
      <c r="F616" s="4">
        <v>443059</v>
      </c>
      <c r="G616" s="4">
        <v>3832241897</v>
      </c>
      <c r="H616" s="6">
        <f t="shared" ca="1" si="11"/>
        <v>28741.814227499999</v>
      </c>
      <c r="I616" s="7" t="str">
        <f ca="1">IFERROR(__xludf.DUMMYFUNCTION("IMPORTXML(E616,""/html/body/main/div[3]/div[3]/div[2]/ul/li[5]/span[2]/span"")"),"Loading...")</f>
        <v>Loading...</v>
      </c>
      <c r="J616" s="7">
        <f ca="1">IFERROR(__xludf.DUMMYFUNCTION("GOOGLEFINANCE(""NSE:""&amp;D616,""marketcap"")"),1001499000)</f>
        <v>1001499000</v>
      </c>
      <c r="K616" s="7">
        <v>992.8</v>
      </c>
      <c r="L616" s="8">
        <f ca="1">IFERROR(__xludf.DUMMYFUNCTION("GOOGLEFINANCE(""NSE:""&amp;D616,""price"")"),75)</f>
        <v>75</v>
      </c>
      <c r="M616" s="9">
        <f t="shared" ca="1" si="12"/>
        <v>-917.8</v>
      </c>
      <c r="N616" s="10">
        <f t="shared" ca="1" si="13"/>
        <v>-92.445608380338442</v>
      </c>
      <c r="O616" s="7">
        <f ca="1">IFERROR(__xludf.DUMMYFUNCTION("GOOGLEFINANCE(""NSE:""&amp;D616,""pe"")"),32.89)</f>
        <v>32.89</v>
      </c>
      <c r="P616" s="7">
        <f ca="1">IFERROR(__xludf.DUMMYFUNCTION("GOOGLEFINANCE(""NSE:""&amp;D616,""EPS"")"),2.28)</f>
        <v>2.2799999999999998</v>
      </c>
      <c r="Q616" s="7">
        <v>13.5</v>
      </c>
      <c r="R616" s="7" t="str">
        <f ca="1">IFERROR(__xludf.DUMMYFUNCTION("IMPORTXML(E616,""/html/body/main/div[3]/div[3]/div[2]/ul/li[7]/span[2]/span"")"),"Loading...")</f>
        <v>Loading...</v>
      </c>
      <c r="S616" s="7" t="str">
        <f ca="1">IFERROR(__xludf.DUMMYFUNCTION("IMPORTXML(E616,""/html/body/main/div[3]/div[3]/div[2]/ul/li[8]/span[2]/span"")"),"Loading...")</f>
        <v>Loading...</v>
      </c>
      <c r="T616" s="4">
        <v>34.6</v>
      </c>
      <c r="U616" s="4">
        <v>22.7</v>
      </c>
      <c r="V616" s="4">
        <v>2.6</v>
      </c>
      <c r="W616" s="4">
        <v>5.7</v>
      </c>
      <c r="X616" s="4">
        <v>519.92999999999995</v>
      </c>
      <c r="Y616" s="7">
        <f t="shared" ca="1" si="14"/>
        <v>-444.92999999999995</v>
      </c>
    </row>
    <row r="617" spans="1:25" ht="15" x14ac:dyDescent="0.25">
      <c r="A617" s="4">
        <v>315</v>
      </c>
      <c r="C617" s="12" t="s">
        <v>1777</v>
      </c>
      <c r="D617" s="12" t="s">
        <v>1778</v>
      </c>
      <c r="E617" s="5" t="str">
        <f t="shared" si="10"/>
        <v>https://www.screener.in/company/POWERMECH/consolidated/</v>
      </c>
      <c r="F617" s="4">
        <v>443059</v>
      </c>
      <c r="G617" s="4">
        <v>3832241897</v>
      </c>
      <c r="H617" s="6">
        <f t="shared" ca="1" si="11"/>
        <v>1171631.3151698101</v>
      </c>
      <c r="I617" s="7" t="str">
        <f ca="1">IFERROR(__xludf.DUMMYFUNCTION("IMPORTXML(E617,""/html/body/main/div[3]/div[3]/div[2]/ul/li[5]/span[2]/span"")"),"Loading...")</f>
        <v>Loading...</v>
      </c>
      <c r="J617" s="7">
        <f ca="1">IFERROR(__xludf.DUMMYFUNCTION("GOOGLEFINANCE(""NSE:""&amp;D617,""marketcap"")"),96660484960)</f>
        <v>96660484960</v>
      </c>
      <c r="K617" s="7">
        <v>992.8</v>
      </c>
      <c r="L617" s="8">
        <f ca="1">IFERROR(__xludf.DUMMYFUNCTION("GOOGLEFINANCE(""NSE:""&amp;D617,""price"")"),3057.3)</f>
        <v>3057.3</v>
      </c>
      <c r="M617" s="9">
        <f t="shared" ca="1" si="12"/>
        <v>2064.5</v>
      </c>
      <c r="N617" s="10">
        <f t="shared" ca="1" si="13"/>
        <v>207.94721998388397</v>
      </c>
      <c r="O617" s="7">
        <f ca="1">IFERROR(__xludf.DUMMYFUNCTION("GOOGLEFINANCE(""NSE:""&amp;D617,""pe"")"),30.32)</f>
        <v>30.32</v>
      </c>
      <c r="P617" s="7">
        <f ca="1">IFERROR(__xludf.DUMMYFUNCTION("GOOGLEFINANCE(""NSE:""&amp;D617,""EPS"")"),100.85)</f>
        <v>100.85</v>
      </c>
      <c r="Q617" s="7">
        <v>13.5</v>
      </c>
      <c r="R617" s="7" t="str">
        <f ca="1">IFERROR(__xludf.DUMMYFUNCTION("IMPORTXML(E617,""/html/body/main/div[3]/div[3]/div[2]/ul/li[7]/span[2]/span"")"),"Loading...")</f>
        <v>Loading...</v>
      </c>
      <c r="S617" s="7" t="str">
        <f ca="1">IFERROR(__xludf.DUMMYFUNCTION("IMPORTXML(E617,""/html/body/main/div[3]/div[3]/div[2]/ul/li[8]/span[2]/span"")"),"Loading...")</f>
        <v>Loading...</v>
      </c>
      <c r="T617" s="4">
        <v>34.6</v>
      </c>
      <c r="U617" s="4">
        <v>22.7</v>
      </c>
      <c r="V617" s="4">
        <v>2.6</v>
      </c>
      <c r="W617" s="4">
        <v>5.7</v>
      </c>
      <c r="X617" s="4">
        <v>519.92999999999995</v>
      </c>
      <c r="Y617" s="7">
        <f t="shared" ca="1" si="14"/>
        <v>2537.3700000000003</v>
      </c>
    </row>
    <row r="618" spans="1:25" ht="15" x14ac:dyDescent="0.25">
      <c r="A618" s="4">
        <v>233</v>
      </c>
      <c r="C618" s="12" t="s">
        <v>1779</v>
      </c>
      <c r="D618" s="12" t="s">
        <v>1780</v>
      </c>
      <c r="E618" s="5" t="str">
        <f t="shared" si="10"/>
        <v>https://www.screener.in/company/ENGINERSIN/consolidated/</v>
      </c>
      <c r="F618" s="4">
        <v>443059</v>
      </c>
      <c r="G618" s="4">
        <v>3832241897</v>
      </c>
      <c r="H618" s="6">
        <f t="shared" ca="1" si="11"/>
        <v>77334.641481460014</v>
      </c>
      <c r="I618" s="7" t="str">
        <f ca="1">IFERROR(__xludf.DUMMYFUNCTION("IMPORTXML(E618,""/html/body/main/div[3]/div[3]/div[2]/ul/li[5]/span[2]/span"")"),"Loading...")</f>
        <v>Loading...</v>
      </c>
      <c r="J618" s="7">
        <f ca="1">IFERROR(__xludf.DUMMYFUNCTION("GOOGLEFINANCE(""NSE:""&amp;D618,""marketcap"")"),113420158035)</f>
        <v>113420158035</v>
      </c>
      <c r="K618" s="7">
        <v>992.8</v>
      </c>
      <c r="L618" s="8">
        <f ca="1">IFERROR(__xludf.DUMMYFUNCTION("GOOGLEFINANCE(""NSE:""&amp;D618,""price"")"),201.8)</f>
        <v>201.8</v>
      </c>
      <c r="M618" s="9">
        <f t="shared" ca="1" si="12"/>
        <v>-791</v>
      </c>
      <c r="N618" s="10">
        <f t="shared" ca="1" si="13"/>
        <v>-79.673650282030621</v>
      </c>
      <c r="O618" s="7">
        <f ca="1">IFERROR(__xludf.DUMMYFUNCTION("GOOGLEFINANCE(""NSE:""&amp;D618,""pe"")"),20.51)</f>
        <v>20.51</v>
      </c>
      <c r="P618" s="7">
        <f ca="1">IFERROR(__xludf.DUMMYFUNCTION("GOOGLEFINANCE(""NSE:""&amp;D618,""EPS"")"),9.84)</f>
        <v>9.84</v>
      </c>
      <c r="Q618" s="7">
        <v>13.5</v>
      </c>
      <c r="R618" s="7" t="str">
        <f ca="1">IFERROR(__xludf.DUMMYFUNCTION("IMPORTXML(E618,""/html/body/main/div[3]/div[3]/div[2]/ul/li[7]/span[2]/span"")"),"Loading...")</f>
        <v>Loading...</v>
      </c>
      <c r="S618" s="7" t="str">
        <f ca="1">IFERROR(__xludf.DUMMYFUNCTION("IMPORTXML(E618,""/html/body/main/div[3]/div[3]/div[2]/ul/li[8]/span[2]/span"")"),"Loading...")</f>
        <v>Loading...</v>
      </c>
      <c r="T618" s="4">
        <v>34.6</v>
      </c>
      <c r="U618" s="4">
        <v>22.7</v>
      </c>
      <c r="V618" s="4">
        <v>2.6</v>
      </c>
      <c r="W618" s="4">
        <v>5.7</v>
      </c>
      <c r="X618" s="4">
        <v>519.92999999999995</v>
      </c>
      <c r="Y618" s="7">
        <f t="shared" ca="1" si="14"/>
        <v>-318.12999999999994</v>
      </c>
    </row>
    <row r="619" spans="1:25" ht="15" x14ac:dyDescent="0.25">
      <c r="A619" s="4">
        <v>242</v>
      </c>
      <c r="C619" s="12" t="s">
        <v>1781</v>
      </c>
      <c r="D619" s="12" t="s">
        <v>1782</v>
      </c>
      <c r="E619" s="5" t="str">
        <f t="shared" si="10"/>
        <v>https://www.screener.in/company/CEATLTD/consolidated/</v>
      </c>
      <c r="F619" s="4">
        <v>443059</v>
      </c>
      <c r="G619" s="4">
        <v>3832241897</v>
      </c>
      <c r="H619" s="6">
        <f t="shared" ca="1" si="11"/>
        <v>1285142.3201589501</v>
      </c>
      <c r="I619" s="7" t="str">
        <f ca="1">IFERROR(__xludf.DUMMYFUNCTION("IMPORTXML(E619,""/html/body/main/div[3]/div[3]/div[2]/ul/li[5]/span[2]/span"")"),"Loading...")</f>
        <v>Loading...</v>
      </c>
      <c r="J619" s="7">
        <f ca="1">IFERROR(__xludf.DUMMYFUNCTION("GOOGLEFINANCE(""NSE:""&amp;D619,""marketcap"")"),135536100000)</f>
        <v>135536100000</v>
      </c>
      <c r="K619" s="7">
        <v>992.8</v>
      </c>
      <c r="L619" s="8">
        <f ca="1">IFERROR(__xludf.DUMMYFUNCTION("GOOGLEFINANCE(""NSE:""&amp;D619,""price"")"),3353.5)</f>
        <v>3353.5</v>
      </c>
      <c r="M619" s="9">
        <f t="shared" ca="1" si="12"/>
        <v>2360.6999999999998</v>
      </c>
      <c r="N619" s="10">
        <f t="shared" ca="1" si="13"/>
        <v>237.78203062046734</v>
      </c>
      <c r="O619" s="7">
        <f ca="1">IFERROR(__xludf.DUMMYFUNCTION("GOOGLEFINANCE(""NSE:""&amp;D619,""pe"")"),31.48)</f>
        <v>31.48</v>
      </c>
      <c r="P619" s="7">
        <f ca="1">IFERROR(__xludf.DUMMYFUNCTION("GOOGLEFINANCE(""NSE:""&amp;D619,""EPS"")"),106.54)</f>
        <v>106.54</v>
      </c>
      <c r="Q619" s="7">
        <v>13.5</v>
      </c>
      <c r="R619" s="7">
        <f ca="1">IFERROR(__xludf.DUMMYFUNCTION("IMPORTXML(E619,""/html/body/main/div[3]/div[3]/div[2]/ul/li[7]/span[2]/span"")"),15.4)</f>
        <v>15.4</v>
      </c>
      <c r="S619" s="7" t="str">
        <f ca="1">IFERROR(__xludf.DUMMYFUNCTION("IMPORTXML(E619,""/html/body/main/div[3]/div[3]/div[2]/ul/li[8]/span[2]/span"")"),"Loading...")</f>
        <v>Loading...</v>
      </c>
      <c r="T619" s="4">
        <v>34.6</v>
      </c>
      <c r="U619" s="4">
        <v>22.7</v>
      </c>
      <c r="V619" s="4">
        <v>2.6</v>
      </c>
      <c r="W619" s="4">
        <v>5.7</v>
      </c>
      <c r="X619" s="4">
        <v>519.92999999999995</v>
      </c>
      <c r="Y619" s="7">
        <f t="shared" ca="1" si="14"/>
        <v>2833.57</v>
      </c>
    </row>
    <row r="620" spans="1:25" ht="15" x14ac:dyDescent="0.25">
      <c r="A620" s="4">
        <v>345</v>
      </c>
      <c r="C620" s="12" t="s">
        <v>1783</v>
      </c>
      <c r="D620" s="12" t="s">
        <v>1784</v>
      </c>
      <c r="E620" s="5" t="str">
        <f t="shared" si="10"/>
        <v>https://www.screener.in/company/EQUITASBNK/consolidated/</v>
      </c>
      <c r="F620" s="4">
        <v>443059</v>
      </c>
      <c r="G620" s="4">
        <v>3832241897</v>
      </c>
      <c r="H620" s="6">
        <f t="shared" ca="1" si="11"/>
        <v>20100.108749765004</v>
      </c>
      <c r="I620" s="7" t="str">
        <f ca="1">IFERROR(__xludf.DUMMYFUNCTION("IMPORTXML(E620,""/html/body/main/div[3]/div[3]/div[2]/ul/li[5]/span[2]/span"")"),"Loading...")</f>
        <v>Loading...</v>
      </c>
      <c r="J620" s="7">
        <f ca="1">IFERROR(__xludf.DUMMYFUNCTION("GOOGLEFINANCE(""NSE:""&amp;D620,""marketcap"")"),59850472500)</f>
        <v>59850472500</v>
      </c>
      <c r="K620" s="7">
        <v>992.8</v>
      </c>
      <c r="L620" s="8">
        <f ca="1">IFERROR(__xludf.DUMMYFUNCTION("GOOGLEFINANCE(""NSE:""&amp;D620,""price"")"),52.45)</f>
        <v>52.45</v>
      </c>
      <c r="M620" s="9">
        <f t="shared" ca="1" si="12"/>
        <v>-940.34999999999991</v>
      </c>
      <c r="N620" s="10">
        <f t="shared" ca="1" si="13"/>
        <v>-94.716962127316677</v>
      </c>
      <c r="O620" s="7" t="str">
        <f ca="1">IFERROR(__xludf.DUMMYFUNCTION("GOOGLEFINANCE(""NSE:""&amp;D620,""pe"")"),"#N/A")</f>
        <v>#N/A</v>
      </c>
      <c r="P620" s="7">
        <f ca="1">IFERROR(__xludf.DUMMYFUNCTION("GOOGLEFINANCE(""NSE:""&amp;D620,""EPS"")"),-0.9)</f>
        <v>-0.9</v>
      </c>
      <c r="Q620" s="7">
        <v>13.5</v>
      </c>
      <c r="R620" s="7" t="str">
        <f ca="1">IFERROR(__xludf.DUMMYFUNCTION("IMPORTXML(E620,""/html/body/main/div[3]/div[3]/div[2]/ul/li[7]/span[2]/span"")"),"Loading...")</f>
        <v>Loading...</v>
      </c>
      <c r="S620" s="7" t="str">
        <f ca="1">IFERROR(__xludf.DUMMYFUNCTION("IMPORTXML(E620,""/html/body/main/div[3]/div[3]/div[2]/ul/li[8]/span[2]/span"")"),"Loading...")</f>
        <v>Loading...</v>
      </c>
      <c r="T620" s="4">
        <v>34.6</v>
      </c>
      <c r="U620" s="4">
        <v>22.7</v>
      </c>
      <c r="V620" s="4">
        <v>2.6</v>
      </c>
      <c r="W620" s="4">
        <v>5.7</v>
      </c>
      <c r="X620" s="4">
        <v>519.92999999999995</v>
      </c>
      <c r="Y620" s="7">
        <f t="shared" ca="1" si="14"/>
        <v>-467.47999999999996</v>
      </c>
    </row>
    <row r="621" spans="1:25" ht="15" x14ac:dyDescent="0.25">
      <c r="A621" s="4">
        <v>70</v>
      </c>
      <c r="C621" s="12" t="s">
        <v>1785</v>
      </c>
      <c r="D621" s="12" t="s">
        <v>1786</v>
      </c>
      <c r="E621" s="5" t="str">
        <f t="shared" si="10"/>
        <v>https://www.screener.in/company/NUVAMA/consolidated/</v>
      </c>
      <c r="F621" s="4">
        <v>443059</v>
      </c>
      <c r="G621" s="4">
        <v>3832241897</v>
      </c>
      <c r="H621" s="6">
        <f t="shared" ca="1" si="11"/>
        <v>2500537.8377924999</v>
      </c>
      <c r="I621" s="7" t="str">
        <f ca="1">IFERROR(__xludf.DUMMYFUNCTION("IMPORTXML(E621,""/html/body/main/div[3]/div[3]/div[2]/ul/li[5]/span[2]/span"")"),"Loading...")</f>
        <v>Loading...</v>
      </c>
      <c r="J621" s="7">
        <f ca="1">IFERROR(__xludf.DUMMYFUNCTION("GOOGLEFINANCE(""NSE:""&amp;D621,""marketcap"")"),235104624000)</f>
        <v>235104624000</v>
      </c>
      <c r="K621" s="7">
        <v>992.8</v>
      </c>
      <c r="L621" s="8">
        <f ca="1">IFERROR(__xludf.DUMMYFUNCTION("GOOGLEFINANCE(""NSE:""&amp;D621,""price"")"),6525)</f>
        <v>6525</v>
      </c>
      <c r="M621" s="9">
        <f t="shared" ca="1" si="12"/>
        <v>5532.2</v>
      </c>
      <c r="N621" s="10">
        <f t="shared" ca="1" si="13"/>
        <v>557.23207091055599</v>
      </c>
      <c r="O621" s="7">
        <f ca="1">IFERROR(__xludf.DUMMYFUNCTION("GOOGLEFINANCE(""NSE:""&amp;D621,""pe"")"),23.41)</f>
        <v>23.41</v>
      </c>
      <c r="P621" s="7">
        <f ca="1">IFERROR(__xludf.DUMMYFUNCTION("GOOGLEFINANCE(""NSE:""&amp;D621,""EPS"")"),278.76)</f>
        <v>278.76</v>
      </c>
      <c r="Q621" s="7">
        <v>13.5</v>
      </c>
      <c r="R621" s="7" t="str">
        <f ca="1">IFERROR(__xludf.DUMMYFUNCTION("IMPORTXML(E621,""/html/body/main/div[3]/div[3]/div[2]/ul/li[7]/span[2]/span"")"),"Loading...")</f>
        <v>Loading...</v>
      </c>
      <c r="S621" s="7" t="str">
        <f ca="1">IFERROR(__xludf.DUMMYFUNCTION("IMPORTXML(E621,""/html/body/main/div[3]/div[3]/div[2]/ul/li[8]/span[2]/span"")"),"Loading...")</f>
        <v>Loading...</v>
      </c>
      <c r="T621" s="4">
        <v>34.6</v>
      </c>
      <c r="U621" s="4">
        <v>22.7</v>
      </c>
      <c r="V621" s="4">
        <v>2.6</v>
      </c>
      <c r="W621" s="4">
        <v>5.7</v>
      </c>
      <c r="X621" s="4">
        <v>519.92999999999995</v>
      </c>
      <c r="Y621" s="7">
        <f t="shared" ca="1" si="14"/>
        <v>6005.07</v>
      </c>
    </row>
    <row r="622" spans="1:25" ht="15" x14ac:dyDescent="0.25">
      <c r="A622" s="4">
        <v>2550</v>
      </c>
      <c r="C622" s="12" t="s">
        <v>1787</v>
      </c>
      <c r="D622" s="12" t="s">
        <v>1788</v>
      </c>
      <c r="E622" s="5" t="str">
        <f t="shared" si="10"/>
        <v>https://www.screener.in/company/ATALREAL/consolidated/</v>
      </c>
      <c r="F622" s="4">
        <v>443059</v>
      </c>
      <c r="G622" s="4">
        <v>3832241897</v>
      </c>
      <c r="H622" s="6">
        <f t="shared" ca="1" si="11"/>
        <v>7453.7104896649998</v>
      </c>
      <c r="I622" s="7" t="str">
        <f ca="1">IFERROR(__xludf.DUMMYFUNCTION("IMPORTXML(E622,""/html/body/main/div[3]/div[3]/div[2]/ul/li[5]/span[2]/span"")"),"Loading...")</f>
        <v>Loading...</v>
      </c>
      <c r="J622" s="7">
        <f ca="1">IFERROR(__xludf.DUMMYFUNCTION("GOOGLEFINANCE(""NSE:""&amp;D622,""marketcap"")"),2193934702)</f>
        <v>2193934702</v>
      </c>
      <c r="K622" s="7">
        <v>992.8</v>
      </c>
      <c r="L622" s="8">
        <f ca="1">IFERROR(__xludf.DUMMYFUNCTION("GOOGLEFINANCE(""NSE:""&amp;D622,""price"")"),19.45)</f>
        <v>19.45</v>
      </c>
      <c r="M622" s="9">
        <f t="shared" ca="1" si="12"/>
        <v>-973.34999999999991</v>
      </c>
      <c r="N622" s="10">
        <f t="shared" ca="1" si="13"/>
        <v>-98.040894439967758</v>
      </c>
      <c r="O622" s="7">
        <f ca="1">IFERROR(__xludf.DUMMYFUNCTION("GOOGLEFINANCE(""NSE:""&amp;D622,""pe"")"),36.7)</f>
        <v>36.700000000000003</v>
      </c>
      <c r="P622" s="7">
        <f ca="1">IFERROR(__xludf.DUMMYFUNCTION("GOOGLEFINANCE(""NSE:""&amp;D622,""EPS"")"),0.53)</f>
        <v>0.53</v>
      </c>
      <c r="Q622" s="7">
        <v>13.5</v>
      </c>
      <c r="R622" s="7" t="str">
        <f ca="1">IFERROR(__xludf.DUMMYFUNCTION("IMPORTXML(E622,""/html/body/main/div[3]/div[3]/div[2]/ul/li[7]/span[2]/span"")"),"Loading...")</f>
        <v>Loading...</v>
      </c>
      <c r="S622" s="7" t="str">
        <f ca="1">IFERROR(__xludf.DUMMYFUNCTION("IMPORTXML(E622,""/html/body/main/div[3]/div[3]/div[2]/ul/li[8]/span[2]/span"")"),"Loading...")</f>
        <v>Loading...</v>
      </c>
      <c r="T622" s="4">
        <v>34.6</v>
      </c>
      <c r="U622" s="4">
        <v>22.7</v>
      </c>
      <c r="V622" s="4">
        <v>2.6</v>
      </c>
      <c r="W622" s="4">
        <v>5.7</v>
      </c>
      <c r="X622" s="4">
        <v>519.92999999999995</v>
      </c>
      <c r="Y622" s="7">
        <f t="shared" ca="1" si="14"/>
        <v>-500.47999999999996</v>
      </c>
    </row>
    <row r="623" spans="1:25" ht="15" x14ac:dyDescent="0.25">
      <c r="A623" s="4">
        <v>812</v>
      </c>
      <c r="C623" s="12" t="s">
        <v>1789</v>
      </c>
      <c r="D623" s="12" t="s">
        <v>1790</v>
      </c>
      <c r="E623" s="5" t="str">
        <f t="shared" si="10"/>
        <v>https://www.screener.in/company/HMAAGRO/consolidated/</v>
      </c>
      <c r="F623" s="4">
        <v>443059</v>
      </c>
      <c r="G623" s="4">
        <v>3832241897</v>
      </c>
      <c r="H623" s="6">
        <f t="shared" ca="1" si="11"/>
        <v>11726.660204820002</v>
      </c>
      <c r="I623" s="7" t="str">
        <f ca="1">IFERROR(__xludf.DUMMYFUNCTION("IMPORTXML(E623,""/html/body/main/div[3]/div[3]/div[2]/ul/li[5]/span[2]/span"")"),"Loading...")</f>
        <v>Loading...</v>
      </c>
      <c r="J623" s="7">
        <f ca="1">IFERROR(__xludf.DUMMYFUNCTION("GOOGLEFINANCE(""NSE:""&amp;D623,""marketcap"")"),15323553011)</f>
        <v>15323553011</v>
      </c>
      <c r="K623" s="7">
        <v>992.8</v>
      </c>
      <c r="L623" s="8">
        <f ca="1">IFERROR(__xludf.DUMMYFUNCTION("GOOGLEFINANCE(""NSE:""&amp;D623,""price"")"),30.6)</f>
        <v>30.6</v>
      </c>
      <c r="M623" s="9">
        <f t="shared" ca="1" si="12"/>
        <v>-962.19999999999993</v>
      </c>
      <c r="N623" s="10">
        <f t="shared" ca="1" si="13"/>
        <v>-96.917808219178085</v>
      </c>
      <c r="O623" s="7">
        <f ca="1">IFERROR(__xludf.DUMMYFUNCTION("GOOGLEFINANCE(""NSE:""&amp;D623,""pe"")"),17.65)</f>
        <v>17.649999999999999</v>
      </c>
      <c r="P623" s="7">
        <f ca="1">IFERROR(__xludf.DUMMYFUNCTION("GOOGLEFINANCE(""NSE:""&amp;D623,""EPS"")"),1.73)</f>
        <v>1.73</v>
      </c>
      <c r="Q623" s="7">
        <v>13.5</v>
      </c>
      <c r="R623" s="7" t="str">
        <f ca="1">IFERROR(__xludf.DUMMYFUNCTION("IMPORTXML(E623,""/html/body/main/div[3]/div[3]/div[2]/ul/li[7]/span[2]/span"")"),"Loading...")</f>
        <v>Loading...</v>
      </c>
      <c r="S623" s="7" t="str">
        <f ca="1">IFERROR(__xludf.DUMMYFUNCTION("IMPORTXML(E623,""/html/body/main/div[3]/div[3]/div[2]/ul/li[8]/span[2]/span"")"),"Loading...")</f>
        <v>Loading...</v>
      </c>
      <c r="T623" s="4">
        <v>34.6</v>
      </c>
      <c r="U623" s="4">
        <v>22.7</v>
      </c>
      <c r="V623" s="4">
        <v>2.6</v>
      </c>
      <c r="W623" s="4">
        <v>5.7</v>
      </c>
      <c r="X623" s="4">
        <v>519.92999999999995</v>
      </c>
      <c r="Y623" s="7">
        <f t="shared" ca="1" si="14"/>
        <v>-489.32999999999993</v>
      </c>
    </row>
    <row r="624" spans="1:25" ht="15" x14ac:dyDescent="0.25">
      <c r="A624" s="4">
        <v>87</v>
      </c>
      <c r="C624" s="12" t="s">
        <v>1791</v>
      </c>
      <c r="D624" s="12" t="s">
        <v>1792</v>
      </c>
      <c r="E624" s="5" t="str">
        <f t="shared" si="10"/>
        <v>https://www.screener.in/company/CYIENT/consolidated/</v>
      </c>
      <c r="F624" s="4">
        <v>443059</v>
      </c>
      <c r="G624" s="4">
        <v>3832241897</v>
      </c>
      <c r="H624" s="6">
        <f t="shared" ca="1" si="11"/>
        <v>449521.97451809997</v>
      </c>
      <c r="I624" s="7" t="str">
        <f ca="1">IFERROR(__xludf.DUMMYFUNCTION("IMPORTXML(E624,""/html/body/main/div[3]/div[3]/div[2]/ul/li[5]/span[2]/span"")"),"Loading...")</f>
        <v>Loading...</v>
      </c>
      <c r="J624" s="7">
        <f ca="1">IFERROR(__xludf.DUMMYFUNCTION("GOOGLEFINANCE(""NSE:""&amp;D624,""marketcap"")"),129421547400)</f>
        <v>129421547400</v>
      </c>
      <c r="K624" s="7">
        <v>992.8</v>
      </c>
      <c r="L624" s="8">
        <f ca="1">IFERROR(__xludf.DUMMYFUNCTION("GOOGLEFINANCE(""NSE:""&amp;D624,""price"")"),1173)</f>
        <v>1173</v>
      </c>
      <c r="M624" s="9">
        <f t="shared" ca="1" si="12"/>
        <v>180.20000000000005</v>
      </c>
      <c r="N624" s="10">
        <f t="shared" ca="1" si="13"/>
        <v>18.150684931506856</v>
      </c>
      <c r="O624" s="7">
        <f ca="1">IFERROR(__xludf.DUMMYFUNCTION("GOOGLEFINANCE(""NSE:""&amp;D624,""pe"")"),20.8)</f>
        <v>20.8</v>
      </c>
      <c r="P624" s="7">
        <f ca="1">IFERROR(__xludf.DUMMYFUNCTION("GOOGLEFINANCE(""NSE:""&amp;D624,""EPS"")"),56.39)</f>
        <v>56.39</v>
      </c>
      <c r="Q624" s="7">
        <v>13.5</v>
      </c>
      <c r="R624" s="7" t="str">
        <f ca="1">IFERROR(__xludf.DUMMYFUNCTION("IMPORTXML(E624,""/html/body/main/div[3]/div[3]/div[2]/ul/li[7]/span[2]/span"")"),"Loading...")</f>
        <v>Loading...</v>
      </c>
      <c r="S624" s="7">
        <f ca="1">IFERROR(__xludf.DUMMYFUNCTION("IMPORTXML(E624,""/html/body/main/div[3]/div[3]/div[2]/ul/li[8]/span[2]/span"")"),12.8)</f>
        <v>12.8</v>
      </c>
      <c r="T624" s="4">
        <v>34.6</v>
      </c>
      <c r="U624" s="4">
        <v>22.7</v>
      </c>
      <c r="V624" s="4">
        <v>2.6</v>
      </c>
      <c r="W624" s="4">
        <v>5.7</v>
      </c>
      <c r="X624" s="4">
        <v>519.92999999999995</v>
      </c>
      <c r="Y624" s="7">
        <f t="shared" ca="1" si="14"/>
        <v>653.07000000000005</v>
      </c>
    </row>
    <row r="625" spans="1:25" ht="15" x14ac:dyDescent="0.25">
      <c r="A625" s="4">
        <v>1038</v>
      </c>
      <c r="C625" s="12" t="s">
        <v>1793</v>
      </c>
      <c r="D625" s="12" t="s">
        <v>1794</v>
      </c>
      <c r="E625" s="5" t="str">
        <f t="shared" si="10"/>
        <v>https://www.screener.in/company/ANDHRSUGAR/consolidated/</v>
      </c>
      <c r="F625" s="4">
        <v>443059</v>
      </c>
      <c r="G625" s="4">
        <v>3832241897</v>
      </c>
      <c r="H625" s="6">
        <f t="shared" ca="1" si="11"/>
        <v>29374.134140505004</v>
      </c>
      <c r="I625" s="7" t="str">
        <f ca="1">IFERROR(__xludf.DUMMYFUNCTION("IMPORTXML(E625,""/html/body/main/div[3]/div[3]/div[2]/ul/li[5]/span[2]/span"")"),"Loading...")</f>
        <v>Loading...</v>
      </c>
      <c r="J625" s="7">
        <f ca="1">IFERROR(__xludf.DUMMYFUNCTION("GOOGLEFINANCE(""NSE:""&amp;D625,""marketcap"")"),10394210000)</f>
        <v>10394210000</v>
      </c>
      <c r="K625" s="7">
        <v>992.8</v>
      </c>
      <c r="L625" s="8">
        <f ca="1">IFERROR(__xludf.DUMMYFUNCTION("GOOGLEFINANCE(""NSE:""&amp;D625,""price"")"),76.65)</f>
        <v>76.650000000000006</v>
      </c>
      <c r="M625" s="9">
        <f t="shared" ca="1" si="12"/>
        <v>-916.15</v>
      </c>
      <c r="N625" s="10">
        <f t="shared" ca="1" si="13"/>
        <v>-92.279411764705884</v>
      </c>
      <c r="O625" s="7">
        <f ca="1">IFERROR(__xludf.DUMMYFUNCTION("GOOGLEFINANCE(""NSE:""&amp;D625,""pe"")"),30.06)</f>
        <v>30.06</v>
      </c>
      <c r="P625" s="7">
        <f ca="1">IFERROR(__xludf.DUMMYFUNCTION("GOOGLEFINANCE(""NSE:""&amp;D625,""EPS"")"),2.55)</f>
        <v>2.5499999999999998</v>
      </c>
      <c r="Q625" s="7">
        <v>13.5</v>
      </c>
      <c r="R625" s="7" t="str">
        <f ca="1">IFERROR(__xludf.DUMMYFUNCTION("IMPORTXML(E625,""/html/body/main/div[3]/div[3]/div[2]/ul/li[7]/span[2]/span"")"),"Loading...")</f>
        <v>Loading...</v>
      </c>
      <c r="S625" s="7" t="str">
        <f ca="1">IFERROR(__xludf.DUMMYFUNCTION("IMPORTXML(E625,""/html/body/main/div[3]/div[3]/div[2]/ul/li[8]/span[2]/span"")"),"Loading...")</f>
        <v>Loading...</v>
      </c>
      <c r="T625" s="4">
        <v>34.6</v>
      </c>
      <c r="U625" s="4">
        <v>22.7</v>
      </c>
      <c r="V625" s="4">
        <v>2.6</v>
      </c>
      <c r="W625" s="4">
        <v>5.7</v>
      </c>
      <c r="X625" s="4">
        <v>519.92999999999995</v>
      </c>
      <c r="Y625" s="7">
        <f t="shared" ca="1" si="14"/>
        <v>-443.28</v>
      </c>
    </row>
    <row r="626" spans="1:25" ht="15" x14ac:dyDescent="0.25">
      <c r="A626" s="4">
        <v>1071</v>
      </c>
      <c r="C626" s="12" t="s">
        <v>1795</v>
      </c>
      <c r="D626" s="12" t="s">
        <v>1796</v>
      </c>
      <c r="E626" s="5" t="str">
        <f t="shared" si="10"/>
        <v>https://www.screener.in/company/BLISSGVS/consolidated/</v>
      </c>
      <c r="F626" s="4">
        <v>443059</v>
      </c>
      <c r="G626" s="4">
        <v>3832241897</v>
      </c>
      <c r="H626" s="6">
        <f t="shared" ca="1" si="11"/>
        <v>59675.670820083993</v>
      </c>
      <c r="I626" s="7" t="str">
        <f ca="1">IFERROR(__xludf.DUMMYFUNCTION("IMPORTXML(E626,""/html/body/main/div[3]/div[3]/div[2]/ul/li[5]/span[2]/span"")"),"Loading...")</f>
        <v>Loading...</v>
      </c>
      <c r="J626" s="7">
        <f ca="1">IFERROR(__xludf.DUMMYFUNCTION("GOOGLEFINANCE(""NSE:""&amp;D626,""marketcap"")"),16445511468)</f>
        <v>16445511468</v>
      </c>
      <c r="K626" s="7">
        <v>992.8</v>
      </c>
      <c r="L626" s="8">
        <f ca="1">IFERROR(__xludf.DUMMYFUNCTION("GOOGLEFINANCE(""NSE:""&amp;D626,""price"")"),155.72)</f>
        <v>155.72</v>
      </c>
      <c r="M626" s="9">
        <f t="shared" ca="1" si="12"/>
        <v>-837.07999999999993</v>
      </c>
      <c r="N626" s="10">
        <f t="shared" ca="1" si="13"/>
        <v>-84.315068493150676</v>
      </c>
      <c r="O626" s="7">
        <f ca="1">IFERROR(__xludf.DUMMYFUNCTION("GOOGLEFINANCE(""NSE:""&amp;D626,""pe"")"),15.48)</f>
        <v>15.48</v>
      </c>
      <c r="P626" s="7">
        <f ca="1">IFERROR(__xludf.DUMMYFUNCTION("GOOGLEFINANCE(""NSE:""&amp;D626,""EPS"")"),10.06)</f>
        <v>10.06</v>
      </c>
      <c r="Q626" s="7">
        <v>13.5</v>
      </c>
      <c r="R626" s="7" t="str">
        <f ca="1">IFERROR(__xludf.DUMMYFUNCTION("IMPORTXML(E626,""/html/body/main/div[3]/div[3]/div[2]/ul/li[7]/span[2]/span"")"),"Loading...")</f>
        <v>Loading...</v>
      </c>
      <c r="S626" s="7" t="str">
        <f ca="1">IFERROR(__xludf.DUMMYFUNCTION("IMPORTXML(E626,""/html/body/main/div[3]/div[3]/div[2]/ul/li[8]/span[2]/span"")"),"Loading...")</f>
        <v>Loading...</v>
      </c>
      <c r="T626" s="4">
        <v>34.6</v>
      </c>
      <c r="U626" s="4">
        <v>22.7</v>
      </c>
      <c r="V626" s="4">
        <v>2.6</v>
      </c>
      <c r="W626" s="4">
        <v>5.7</v>
      </c>
      <c r="X626" s="4">
        <v>519.92999999999995</v>
      </c>
      <c r="Y626" s="7">
        <f t="shared" ca="1" si="14"/>
        <v>-364.20999999999992</v>
      </c>
    </row>
    <row r="627" spans="1:25" ht="15" x14ac:dyDescent="0.25">
      <c r="A627" s="4">
        <v>1037</v>
      </c>
      <c r="C627" s="12" t="s">
        <v>1797</v>
      </c>
      <c r="D627" s="12" t="s">
        <v>1798</v>
      </c>
      <c r="E627" s="5" t="str">
        <f t="shared" si="10"/>
        <v>https://www.screener.in/company/GPTHEALTH/consolidated/</v>
      </c>
      <c r="F627" s="4">
        <v>443059</v>
      </c>
      <c r="G627" s="4">
        <v>3832241897</v>
      </c>
      <c r="H627" s="6">
        <f t="shared" ca="1" si="11"/>
        <v>58790.422941877005</v>
      </c>
      <c r="I627" s="7" t="str">
        <f ca="1">IFERROR(__xludf.DUMMYFUNCTION("IMPORTXML(E627,""/html/body/main/div[3]/div[3]/div[2]/ul/li[5]/span[2]/span"")"),"Loading...")</f>
        <v>Loading...</v>
      </c>
      <c r="J627" s="7">
        <f ca="1">IFERROR(__xludf.DUMMYFUNCTION("GOOGLEFINANCE(""NSE:""&amp;D627,""marketcap"")"),12626609574)</f>
        <v>12626609574</v>
      </c>
      <c r="K627" s="7">
        <v>992.8</v>
      </c>
      <c r="L627" s="8">
        <f ca="1">IFERROR(__xludf.DUMMYFUNCTION("GOOGLEFINANCE(""NSE:""&amp;D627,""price"")"),153.41)</f>
        <v>153.41</v>
      </c>
      <c r="M627" s="9">
        <f t="shared" ca="1" si="12"/>
        <v>-839.39</v>
      </c>
      <c r="N627" s="10">
        <f t="shared" ca="1" si="13"/>
        <v>-84.547743755036265</v>
      </c>
      <c r="O627" s="7">
        <f ca="1">IFERROR(__xludf.DUMMYFUNCTION("GOOGLEFINANCE(""NSE:""&amp;D627,""pe"")"),26.39)</f>
        <v>26.39</v>
      </c>
      <c r="P627" s="7">
        <f ca="1">IFERROR(__xludf.DUMMYFUNCTION("GOOGLEFINANCE(""NSE:""&amp;D627,""EPS"")"),5.81)</f>
        <v>5.81</v>
      </c>
      <c r="Q627" s="7">
        <v>13.5</v>
      </c>
      <c r="R627" s="7" t="str">
        <f ca="1">IFERROR(__xludf.DUMMYFUNCTION("IMPORTXML(E627,""/html/body/main/div[3]/div[3]/div[2]/ul/li[7]/span[2]/span"")"),"Loading...")</f>
        <v>Loading...</v>
      </c>
      <c r="S627" s="7" t="str">
        <f ca="1">IFERROR(__xludf.DUMMYFUNCTION("IMPORTXML(E627,""/html/body/main/div[3]/div[3]/div[2]/ul/li[8]/span[2]/span"")"),"Loading...")</f>
        <v>Loading...</v>
      </c>
      <c r="T627" s="4">
        <v>34.6</v>
      </c>
      <c r="U627" s="4">
        <v>22.7</v>
      </c>
      <c r="V627" s="4">
        <v>2.6</v>
      </c>
      <c r="W627" s="4">
        <v>5.7</v>
      </c>
      <c r="X627" s="4">
        <v>519.92999999999995</v>
      </c>
      <c r="Y627" s="7">
        <f t="shared" ca="1" si="14"/>
        <v>-366.52</v>
      </c>
    </row>
    <row r="628" spans="1:25" ht="15" x14ac:dyDescent="0.25">
      <c r="A628" s="4">
        <v>730</v>
      </c>
      <c r="C628" s="12" t="s">
        <v>1799</v>
      </c>
      <c r="D628" s="12" t="s">
        <v>1800</v>
      </c>
      <c r="E628" s="5" t="str">
        <f t="shared" si="10"/>
        <v>https://www.screener.in/company/NILKAMAL/consolidated/</v>
      </c>
      <c r="F628" s="4">
        <v>443059</v>
      </c>
      <c r="G628" s="4">
        <v>3832241897</v>
      </c>
      <c r="H628" s="6">
        <f t="shared" ca="1" si="11"/>
        <v>592081.37308649998</v>
      </c>
      <c r="I628" s="7" t="str">
        <f ca="1">IFERROR(__xludf.DUMMYFUNCTION("IMPORTXML(E628,""/html/body/main/div[3]/div[3]/div[2]/ul/li[5]/span[2]/span"")"),"Loading...")</f>
        <v>Loading...</v>
      </c>
      <c r="J628" s="7">
        <f ca="1">IFERROR(__xludf.DUMMYFUNCTION("GOOGLEFINANCE(""NSE:""&amp;D628,""marketcap"")"),23006060000)</f>
        <v>23006060000</v>
      </c>
      <c r="K628" s="7">
        <v>992.8</v>
      </c>
      <c r="L628" s="8">
        <f ca="1">IFERROR(__xludf.DUMMYFUNCTION("GOOGLEFINANCE(""NSE:""&amp;D628,""price"")"),1545)</f>
        <v>1545</v>
      </c>
      <c r="M628" s="9">
        <f t="shared" ca="1" si="12"/>
        <v>552.20000000000005</v>
      </c>
      <c r="N628" s="10">
        <f t="shared" ca="1" si="13"/>
        <v>55.620467365028212</v>
      </c>
      <c r="O628" s="7">
        <f ca="1">IFERROR(__xludf.DUMMYFUNCTION("GOOGLEFINANCE(""NSE:""&amp;D628,""pe"")"),22.3)</f>
        <v>22.3</v>
      </c>
      <c r="P628" s="7">
        <f ca="1">IFERROR(__xludf.DUMMYFUNCTION("GOOGLEFINANCE(""NSE:""&amp;D628,""EPS"")"),69.28)</f>
        <v>69.28</v>
      </c>
      <c r="Q628" s="7">
        <v>13.5</v>
      </c>
      <c r="R628" s="7" t="str">
        <f ca="1">IFERROR(__xludf.DUMMYFUNCTION("IMPORTXML(E628,""/html/body/main/div[3]/div[3]/div[2]/ul/li[7]/span[2]/span"")"),"Loading...")</f>
        <v>Loading...</v>
      </c>
      <c r="S628" s="7" t="str">
        <f ca="1">IFERROR(__xludf.DUMMYFUNCTION("IMPORTXML(E628,""/html/body/main/div[3]/div[3]/div[2]/ul/li[8]/span[2]/span"")"),"Loading...")</f>
        <v>Loading...</v>
      </c>
      <c r="T628" s="4">
        <v>34.6</v>
      </c>
      <c r="U628" s="4">
        <v>22.7</v>
      </c>
      <c r="V628" s="4">
        <v>2.6</v>
      </c>
      <c r="W628" s="4">
        <v>5.7</v>
      </c>
      <c r="X628" s="4">
        <v>519.92999999999995</v>
      </c>
      <c r="Y628" s="7">
        <f t="shared" ca="1" si="14"/>
        <v>1025.0700000000002</v>
      </c>
    </row>
    <row r="629" spans="1:25" ht="15" x14ac:dyDescent="0.25">
      <c r="A629" s="4">
        <v>545</v>
      </c>
      <c r="C629" s="12" t="s">
        <v>1801</v>
      </c>
      <c r="D629" s="12" t="s">
        <v>1802</v>
      </c>
      <c r="E629" s="5" t="str">
        <f t="shared" si="10"/>
        <v>https://www.screener.in/company/AARTIDRUGS/consolidated/</v>
      </c>
      <c r="F629" s="4">
        <v>443059</v>
      </c>
      <c r="G629" s="4">
        <v>3832241897</v>
      </c>
      <c r="H629" s="6">
        <f t="shared" ca="1" si="11"/>
        <v>181188.39689016002</v>
      </c>
      <c r="I629" s="7" t="str">
        <f ca="1">IFERROR(__xludf.DUMMYFUNCTION("IMPORTXML(E629,""/html/body/main/div[3]/div[3]/div[2]/ul/li[5]/span[2]/span"")"),"Loading...")</f>
        <v>Loading...</v>
      </c>
      <c r="J629" s="7">
        <f ca="1">IFERROR(__xludf.DUMMYFUNCTION("GOOGLEFINANCE(""NSE:""&amp;D629,""marketcap"")"),43001860000)</f>
        <v>43001860000</v>
      </c>
      <c r="K629" s="7">
        <v>992.8</v>
      </c>
      <c r="L629" s="8">
        <f ca="1">IFERROR(__xludf.DUMMYFUNCTION("GOOGLEFINANCE(""NSE:""&amp;D629,""price"")"),472.8)</f>
        <v>472.8</v>
      </c>
      <c r="M629" s="9">
        <f t="shared" ca="1" si="12"/>
        <v>-520</v>
      </c>
      <c r="N629" s="10">
        <f t="shared" ca="1" si="13"/>
        <v>-52.377115229653505</v>
      </c>
      <c r="O629" s="7">
        <f ca="1">IFERROR(__xludf.DUMMYFUNCTION("GOOGLEFINANCE(""NSE:""&amp;D629,""pe"")"),22.98)</f>
        <v>22.98</v>
      </c>
      <c r="P629" s="7">
        <f ca="1">IFERROR(__xludf.DUMMYFUNCTION("GOOGLEFINANCE(""NSE:""&amp;D629,""EPS"")"),20.57)</f>
        <v>20.57</v>
      </c>
      <c r="Q629" s="7">
        <v>13.5</v>
      </c>
      <c r="R629" s="7" t="str">
        <f ca="1">IFERROR(__xludf.DUMMYFUNCTION("IMPORTXML(E629,""/html/body/main/div[3]/div[3]/div[2]/ul/li[7]/span[2]/span"")"),"Loading...")</f>
        <v>Loading...</v>
      </c>
      <c r="S629" s="7" t="str">
        <f ca="1">IFERROR(__xludf.DUMMYFUNCTION("IMPORTXML(E629,""/html/body/main/div[3]/div[3]/div[2]/ul/li[8]/span[2]/span"")"),"Loading...")</f>
        <v>Loading...</v>
      </c>
      <c r="T629" s="4">
        <v>34.6</v>
      </c>
      <c r="U629" s="4">
        <v>22.7</v>
      </c>
      <c r="V629" s="4">
        <v>2.6</v>
      </c>
      <c r="W629" s="4">
        <v>5.7</v>
      </c>
      <c r="X629" s="4">
        <v>519.92999999999995</v>
      </c>
      <c r="Y629" s="7">
        <f t="shared" ca="1" si="14"/>
        <v>-47.129999999999939</v>
      </c>
    </row>
    <row r="630" spans="1:25" ht="15" x14ac:dyDescent="0.25">
      <c r="A630" s="4">
        <v>367</v>
      </c>
      <c r="C630" s="12" t="s">
        <v>1803</v>
      </c>
      <c r="D630" s="12" t="s">
        <v>1804</v>
      </c>
      <c r="E630" s="5" t="str">
        <f t="shared" si="10"/>
        <v>https://www.screener.in/company/EPIGRAL/consolidated/</v>
      </c>
      <c r="F630" s="4">
        <v>443059</v>
      </c>
      <c r="G630" s="4">
        <v>3832241897</v>
      </c>
      <c r="H630" s="6">
        <f t="shared" ca="1" si="11"/>
        <v>682139.05766599998</v>
      </c>
      <c r="I630" s="7" t="str">
        <f ca="1">IFERROR(__xludf.DUMMYFUNCTION("IMPORTXML(E630,""/html/body/main/div[3]/div[3]/div[2]/ul/li[5]/span[2]/span"")"),"Loading...")</f>
        <v>Loading...</v>
      </c>
      <c r="J630" s="7">
        <f ca="1">IFERROR(__xludf.DUMMYFUNCTION("GOOGLEFINANCE(""NSE:""&amp;D630,""marketcap"")"),76791567400)</f>
        <v>76791567400</v>
      </c>
      <c r="K630" s="7">
        <v>992.8</v>
      </c>
      <c r="L630" s="8">
        <f ca="1">IFERROR(__xludf.DUMMYFUNCTION("GOOGLEFINANCE(""NSE:""&amp;D630,""price"")"),1780)</f>
        <v>1780</v>
      </c>
      <c r="M630" s="9">
        <f t="shared" ca="1" si="12"/>
        <v>787.2</v>
      </c>
      <c r="N630" s="10">
        <f t="shared" ca="1" si="13"/>
        <v>79.290894439967772</v>
      </c>
      <c r="O630" s="7">
        <f ca="1">IFERROR(__xludf.DUMMYFUNCTION("GOOGLEFINANCE(""NSE:""&amp;D630,""pe"")"),17.58)</f>
        <v>17.579999999999998</v>
      </c>
      <c r="P630" s="7">
        <f ca="1">IFERROR(__xludf.DUMMYFUNCTION("GOOGLEFINANCE(""NSE:""&amp;D630,""EPS"")"),101.23)</f>
        <v>101.23</v>
      </c>
      <c r="Q630" s="7">
        <v>13.5</v>
      </c>
      <c r="R630" s="7" t="str">
        <f ca="1">IFERROR(__xludf.DUMMYFUNCTION("IMPORTXML(E630,""/html/body/main/div[3]/div[3]/div[2]/ul/li[7]/span[2]/span"")"),"Loading...")</f>
        <v>Loading...</v>
      </c>
      <c r="S630" s="7" t="str">
        <f ca="1">IFERROR(__xludf.DUMMYFUNCTION("IMPORTXML(E630,""/html/body/main/div[3]/div[3]/div[2]/ul/li[8]/span[2]/span"")"),"Loading...")</f>
        <v>Loading...</v>
      </c>
      <c r="T630" s="4">
        <v>34.6</v>
      </c>
      <c r="U630" s="4">
        <v>22.7</v>
      </c>
      <c r="V630" s="4">
        <v>2.6</v>
      </c>
      <c r="W630" s="4">
        <v>5.7</v>
      </c>
      <c r="X630" s="4">
        <v>519.92999999999995</v>
      </c>
      <c r="Y630" s="7">
        <f t="shared" ca="1" si="14"/>
        <v>1260.0700000000002</v>
      </c>
    </row>
    <row r="631" spans="1:25" ht="15" x14ac:dyDescent="0.25">
      <c r="A631" s="4">
        <v>324</v>
      </c>
      <c r="C631" s="12" t="s">
        <v>1805</v>
      </c>
      <c r="D631" s="12" t="s">
        <v>1806</v>
      </c>
      <c r="E631" s="5" t="str">
        <f t="shared" si="10"/>
        <v>https://www.screener.in/company/TEXRAIL/consolidated/</v>
      </c>
      <c r="F631" s="4">
        <v>443059</v>
      </c>
      <c r="G631" s="4">
        <v>3832241897</v>
      </c>
      <c r="H631" s="6">
        <f t="shared" ca="1" si="11"/>
        <v>53229.839949330002</v>
      </c>
      <c r="I631" s="7" t="str">
        <f ca="1">IFERROR(__xludf.DUMMYFUNCTION("IMPORTXML(E631,""/html/body/main/div[3]/div[3]/div[2]/ul/li[5]/span[2]/span"")"),"Loading...")</f>
        <v>Loading...</v>
      </c>
      <c r="J631" s="7">
        <f ca="1">IFERROR(__xludf.DUMMYFUNCTION("GOOGLEFINANCE(""NSE:""&amp;D631,""marketcap"")"),55338210000)</f>
        <v>55338210000</v>
      </c>
      <c r="K631" s="7">
        <v>992.8</v>
      </c>
      <c r="L631" s="8">
        <f ca="1">IFERROR(__xludf.DUMMYFUNCTION("GOOGLEFINANCE(""NSE:""&amp;D631,""price"")"),138.9)</f>
        <v>138.9</v>
      </c>
      <c r="M631" s="9">
        <f t="shared" ca="1" si="12"/>
        <v>-853.9</v>
      </c>
      <c r="N631" s="10">
        <f t="shared" ca="1" si="13"/>
        <v>-86.00926672038679</v>
      </c>
      <c r="O631" s="7">
        <f ca="1">IFERROR(__xludf.DUMMYFUNCTION("GOOGLEFINANCE(""NSE:""&amp;D631,""pe"")"),25.49)</f>
        <v>25.49</v>
      </c>
      <c r="P631" s="7">
        <f ca="1">IFERROR(__xludf.DUMMYFUNCTION("GOOGLEFINANCE(""NSE:""&amp;D631,""EPS"")"),5.45)</f>
        <v>5.45</v>
      </c>
      <c r="Q631" s="7">
        <v>13.5</v>
      </c>
      <c r="R631" s="7" t="str">
        <f ca="1">IFERROR(__xludf.DUMMYFUNCTION("IMPORTXML(E631,""/html/body/main/div[3]/div[3]/div[2]/ul/li[7]/span[2]/span"")"),"Loading...")</f>
        <v>Loading...</v>
      </c>
      <c r="S631" s="7" t="str">
        <f ca="1">IFERROR(__xludf.DUMMYFUNCTION("IMPORTXML(E631,""/html/body/main/div[3]/div[3]/div[2]/ul/li[8]/span[2]/span"")"),"Loading...")</f>
        <v>Loading...</v>
      </c>
      <c r="T631" s="4">
        <v>34.6</v>
      </c>
      <c r="U631" s="4">
        <v>22.7</v>
      </c>
      <c r="V631" s="4">
        <v>2.6</v>
      </c>
      <c r="W631" s="4">
        <v>5.7</v>
      </c>
      <c r="X631" s="4">
        <v>519.92999999999995</v>
      </c>
      <c r="Y631" s="7">
        <f t="shared" ca="1" si="14"/>
        <v>-381.03</v>
      </c>
    </row>
    <row r="632" spans="1:25" ht="15" x14ac:dyDescent="0.25">
      <c r="A632" s="4">
        <v>1573</v>
      </c>
      <c r="C632" s="12" t="s">
        <v>1807</v>
      </c>
      <c r="D632" s="12" t="s">
        <v>1808</v>
      </c>
      <c r="E632" s="5" t="str">
        <f t="shared" si="10"/>
        <v>https://www.screener.in/company/VARDHACRLC/consolidated/</v>
      </c>
      <c r="F632" s="4">
        <v>443059</v>
      </c>
      <c r="G632" s="4">
        <v>3832241897</v>
      </c>
      <c r="H632" s="6">
        <f t="shared" ca="1" si="11"/>
        <v>17735.615499316002</v>
      </c>
      <c r="I632" s="7" t="str">
        <f ca="1">IFERROR(__xludf.DUMMYFUNCTION("IMPORTXML(E632,""/html/body/main/div[3]/div[3]/div[2]/ul/li[5]/span[2]/span"")"),"Loading...")</f>
        <v>Loading...</v>
      </c>
      <c r="J632" s="7">
        <f ca="1">IFERROR(__xludf.DUMMYFUNCTION("GOOGLEFINANCE(""NSE:""&amp;D632,""marketcap"")"),3719234251)</f>
        <v>3719234251</v>
      </c>
      <c r="K632" s="7">
        <v>992.8</v>
      </c>
      <c r="L632" s="8">
        <f ca="1">IFERROR(__xludf.DUMMYFUNCTION("GOOGLEFINANCE(""NSE:""&amp;D632,""price"")"),46.28)</f>
        <v>46.28</v>
      </c>
      <c r="M632" s="9">
        <f t="shared" ca="1" si="12"/>
        <v>-946.52</v>
      </c>
      <c r="N632" s="10">
        <f t="shared" ca="1" si="13"/>
        <v>-95.338436744560838</v>
      </c>
      <c r="O632" s="7">
        <f ca="1">IFERROR(__xludf.DUMMYFUNCTION("GOOGLEFINANCE(""NSE:""&amp;D632,""pe"")"),40.6)</f>
        <v>40.6</v>
      </c>
      <c r="P632" s="7">
        <f ca="1">IFERROR(__xludf.DUMMYFUNCTION("GOOGLEFINANCE(""NSE:""&amp;D632,""EPS"")"),1.14)</f>
        <v>1.1399999999999999</v>
      </c>
      <c r="Q632" s="7">
        <v>13.5</v>
      </c>
      <c r="R632" s="7" t="str">
        <f ca="1">IFERROR(__xludf.DUMMYFUNCTION("IMPORTXML(E632,""/html/body/main/div[3]/div[3]/div[2]/ul/li[7]/span[2]/span"")"),"Loading...")</f>
        <v>Loading...</v>
      </c>
      <c r="S632" s="7" t="str">
        <f ca="1">IFERROR(__xludf.DUMMYFUNCTION("IMPORTXML(E632,""/html/body/main/div[3]/div[3]/div[2]/ul/li[8]/span[2]/span"")"),"Loading...")</f>
        <v>Loading...</v>
      </c>
      <c r="T632" s="4">
        <v>34.6</v>
      </c>
      <c r="U632" s="4">
        <v>22.7</v>
      </c>
      <c r="V632" s="4">
        <v>2.6</v>
      </c>
      <c r="W632" s="4">
        <v>5.7</v>
      </c>
      <c r="X632" s="4">
        <v>519.92999999999995</v>
      </c>
      <c r="Y632" s="7">
        <f t="shared" ca="1" si="14"/>
        <v>-473.65</v>
      </c>
    </row>
    <row r="633" spans="1:25" ht="15" x14ac:dyDescent="0.25">
      <c r="A633" s="4">
        <v>344</v>
      </c>
      <c r="C633" s="12" t="s">
        <v>1809</v>
      </c>
      <c r="D633" s="12" t="s">
        <v>1810</v>
      </c>
      <c r="E633" s="5" t="str">
        <f t="shared" si="10"/>
        <v>https://www.screener.in/company/AVANTIFEED/consolidated/</v>
      </c>
      <c r="F633" s="4">
        <v>443059</v>
      </c>
      <c r="G633" s="4">
        <v>3832241897</v>
      </c>
      <c r="H633" s="6">
        <f t="shared" ca="1" si="11"/>
        <v>248290.95250662998</v>
      </c>
      <c r="I633" s="7" t="str">
        <f ca="1">IFERROR(__xludf.DUMMYFUNCTION("IMPORTXML(E633,""/html/body/main/div[3]/div[3]/div[2]/ul/li[5]/span[2]/span"")"),"Loading...")</f>
        <v>Loading...</v>
      </c>
      <c r="J633" s="7">
        <f ca="1">IFERROR(__xludf.DUMMYFUNCTION("GOOGLEFINANCE(""NSE:""&amp;D633,""marketcap"")"),88273527566)</f>
        <v>88273527566</v>
      </c>
      <c r="K633" s="7">
        <v>992.8</v>
      </c>
      <c r="L633" s="8">
        <f ca="1">IFERROR(__xludf.DUMMYFUNCTION("GOOGLEFINANCE(""NSE:""&amp;D633,""price"")"),647.9)</f>
        <v>647.9</v>
      </c>
      <c r="M633" s="9">
        <f t="shared" ca="1" si="12"/>
        <v>-344.9</v>
      </c>
      <c r="N633" s="10">
        <f t="shared" ca="1" si="13"/>
        <v>-34.740128928283639</v>
      </c>
      <c r="O633" s="7">
        <f ca="1">IFERROR(__xludf.DUMMYFUNCTION("GOOGLEFINANCE(""NSE:""&amp;D633,""pe"")"),15.25)</f>
        <v>15.25</v>
      </c>
      <c r="P633" s="7">
        <f ca="1">IFERROR(__xludf.DUMMYFUNCTION("GOOGLEFINANCE(""NSE:""&amp;D633,""EPS"")"),42.49)</f>
        <v>42.49</v>
      </c>
      <c r="Q633" s="7">
        <v>13.5</v>
      </c>
      <c r="R633" s="7" t="str">
        <f ca="1">IFERROR(__xludf.DUMMYFUNCTION("IMPORTXML(E633,""/html/body/main/div[3]/div[3]/div[2]/ul/li[7]/span[2]/span"")"),"Loading...")</f>
        <v>Loading...</v>
      </c>
      <c r="S633" s="7" t="str">
        <f ca="1">IFERROR(__xludf.DUMMYFUNCTION("IMPORTXML(E633,""/html/body/main/div[3]/div[3]/div[2]/ul/li[8]/span[2]/span"")"),"Loading...")</f>
        <v>Loading...</v>
      </c>
      <c r="T633" s="4">
        <v>34.6</v>
      </c>
      <c r="U633" s="4">
        <v>22.7</v>
      </c>
      <c r="V633" s="4">
        <v>2.6</v>
      </c>
      <c r="W633" s="4">
        <v>5.7</v>
      </c>
      <c r="X633" s="4">
        <v>519.92999999999995</v>
      </c>
      <c r="Y633" s="7">
        <f t="shared" ca="1" si="14"/>
        <v>127.97000000000003</v>
      </c>
    </row>
    <row r="634" spans="1:25" ht="15" x14ac:dyDescent="0.25">
      <c r="A634" s="4">
        <v>939</v>
      </c>
      <c r="C634" s="12" t="s">
        <v>1811</v>
      </c>
      <c r="D634" s="12" t="s">
        <v>1812</v>
      </c>
      <c r="E634" s="5" t="str">
        <f t="shared" si="10"/>
        <v>https://www.screener.in/company/SIGACHI/consolidated/</v>
      </c>
      <c r="F634" s="4">
        <v>443059</v>
      </c>
      <c r="G634" s="4">
        <v>3832241897</v>
      </c>
      <c r="H634" s="6">
        <f t="shared" ca="1" si="11"/>
        <v>12106.052152623</v>
      </c>
      <c r="I634" s="7" t="str">
        <f ca="1">IFERROR(__xludf.DUMMYFUNCTION("IMPORTXML(E634,""/html/body/main/div[3]/div[3]/div[2]/ul/li[5]/span[2]/span"")"),"Loading...")</f>
        <v>Loading...</v>
      </c>
      <c r="J634" s="7">
        <f ca="1">IFERROR(__xludf.DUMMYFUNCTION("GOOGLEFINANCE(""NSE:""&amp;D634,""marketcap"")"),11986928770)</f>
        <v>11986928770</v>
      </c>
      <c r="K634" s="7">
        <v>992.8</v>
      </c>
      <c r="L634" s="8">
        <f ca="1">IFERROR(__xludf.DUMMYFUNCTION("GOOGLEFINANCE(""NSE:""&amp;D634,""price"")"),31.59)</f>
        <v>31.59</v>
      </c>
      <c r="M634" s="9">
        <f t="shared" ca="1" si="12"/>
        <v>-961.20999999999992</v>
      </c>
      <c r="N634" s="10">
        <f t="shared" ca="1" si="13"/>
        <v>-96.818090249798544</v>
      </c>
      <c r="O634" s="7" t="str">
        <f ca="1">IFERROR(__xludf.DUMMYFUNCTION("GOOGLEFINANCE(""NSE:""&amp;D634,""pe"")"),"#N/A")</f>
        <v>#N/A</v>
      </c>
      <c r="P634" s="7">
        <f ca="1">IFERROR(__xludf.DUMMYFUNCTION("GOOGLEFINANCE(""NSE:""&amp;D634,""EPS"")"),-1.21)</f>
        <v>-1.21</v>
      </c>
      <c r="Q634" s="7">
        <v>13.5</v>
      </c>
      <c r="R634" s="7" t="str">
        <f ca="1">IFERROR(__xludf.DUMMYFUNCTION("IMPORTXML(E634,""/html/body/main/div[3]/div[3]/div[2]/ul/li[7]/span[2]/span"")"),"Loading...")</f>
        <v>Loading...</v>
      </c>
      <c r="S634" s="7" t="str">
        <f ca="1">IFERROR(__xludf.DUMMYFUNCTION("IMPORTXML(E634,""/html/body/main/div[3]/div[3]/div[2]/ul/li[8]/span[2]/span"")"),"Loading...")</f>
        <v>Loading...</v>
      </c>
      <c r="T634" s="4">
        <v>34.6</v>
      </c>
      <c r="U634" s="4">
        <v>22.7</v>
      </c>
      <c r="V634" s="4">
        <v>2.6</v>
      </c>
      <c r="W634" s="4">
        <v>5.7</v>
      </c>
      <c r="X634" s="4">
        <v>519.92999999999995</v>
      </c>
      <c r="Y634" s="7">
        <f t="shared" ca="1" si="14"/>
        <v>-488.34</v>
      </c>
    </row>
    <row r="635" spans="1:25" ht="15" x14ac:dyDescent="0.25">
      <c r="A635" s="4">
        <v>629</v>
      </c>
      <c r="C635" s="12" t="s">
        <v>1813</v>
      </c>
      <c r="D635" s="12" t="s">
        <v>1814</v>
      </c>
      <c r="E635" s="5" t="str">
        <f t="shared" si="10"/>
        <v>https://www.screener.in/company/STYLAMIND/consolidated/</v>
      </c>
      <c r="F635" s="4">
        <v>443059</v>
      </c>
      <c r="G635" s="4">
        <v>3832241897</v>
      </c>
      <c r="H635" s="6">
        <f t="shared" ca="1" si="11"/>
        <v>636726.99118655</v>
      </c>
      <c r="I635" s="7" t="str">
        <f ca="1">IFERROR(__xludf.DUMMYFUNCTION("IMPORTXML(E635,""/html/body/main/div[3]/div[3]/div[2]/ul/li[5]/span[2]/span"")"),"Loading...")</f>
        <v>Loading...</v>
      </c>
      <c r="J635" s="7">
        <f ca="1">IFERROR(__xludf.DUMMYFUNCTION("GOOGLEFINANCE(""NSE:""&amp;D635,""marketcap"")"),28159201690)</f>
        <v>28159201690</v>
      </c>
      <c r="K635" s="7">
        <v>992.8</v>
      </c>
      <c r="L635" s="8">
        <f ca="1">IFERROR(__xludf.DUMMYFUNCTION("GOOGLEFINANCE(""NSE:""&amp;D635,""price"")"),1661.5)</f>
        <v>1661.5</v>
      </c>
      <c r="M635" s="9">
        <f t="shared" ca="1" si="12"/>
        <v>668.7</v>
      </c>
      <c r="N635" s="10">
        <f t="shared" ca="1" si="13"/>
        <v>67.354955680902506</v>
      </c>
      <c r="O635" s="7">
        <f ca="1">IFERROR(__xludf.DUMMYFUNCTION("GOOGLEFINANCE(""NSE:""&amp;D635,""pe"")"),23.31)</f>
        <v>23.31</v>
      </c>
      <c r="P635" s="7">
        <f ca="1">IFERROR(__xludf.DUMMYFUNCTION("GOOGLEFINANCE(""NSE:""&amp;D635,""EPS"")"),71.29)</f>
        <v>71.290000000000006</v>
      </c>
      <c r="Q635" s="7">
        <v>13.5</v>
      </c>
      <c r="R635" s="7" t="str">
        <f ca="1">IFERROR(__xludf.DUMMYFUNCTION("IMPORTXML(E635,""/html/body/main/div[3]/div[3]/div[2]/ul/li[7]/span[2]/span"")"),"Loading...")</f>
        <v>Loading...</v>
      </c>
      <c r="S635" s="7" t="str">
        <f ca="1">IFERROR(__xludf.DUMMYFUNCTION("IMPORTXML(E635,""/html/body/main/div[3]/div[3]/div[2]/ul/li[8]/span[2]/span"")"),"Loading...")</f>
        <v>Loading...</v>
      </c>
      <c r="T635" s="4">
        <v>34.6</v>
      </c>
      <c r="U635" s="4">
        <v>22.7</v>
      </c>
      <c r="V635" s="4">
        <v>2.6</v>
      </c>
      <c r="W635" s="4">
        <v>5.7</v>
      </c>
      <c r="X635" s="4">
        <v>519.92999999999995</v>
      </c>
      <c r="Y635" s="7">
        <f t="shared" ca="1" si="14"/>
        <v>1141.5700000000002</v>
      </c>
    </row>
    <row r="636" spans="1:25" ht="15" x14ac:dyDescent="0.25">
      <c r="A636" s="4">
        <v>1123</v>
      </c>
      <c r="C636" s="12" t="s">
        <v>1815</v>
      </c>
      <c r="D636" s="12" t="s">
        <v>1816</v>
      </c>
      <c r="E636" s="5" t="str">
        <f t="shared" si="10"/>
        <v>https://www.screener.in/company/CONTROLPR/consolidated/</v>
      </c>
      <c r="F636" s="4">
        <v>443059</v>
      </c>
      <c r="G636" s="4">
        <v>3832241897</v>
      </c>
      <c r="H636" s="6">
        <f t="shared" ca="1" si="11"/>
        <v>300543.57077222498</v>
      </c>
      <c r="I636" s="7" t="str">
        <f ca="1">IFERROR(__xludf.DUMMYFUNCTION("IMPORTXML(E636,""/html/body/main/div[3]/div[3]/div[2]/ul/li[5]/span[2]/span"")"),"Loading...")</f>
        <v>Loading...</v>
      </c>
      <c r="J636" s="7">
        <f ca="1">IFERROR(__xludf.DUMMYFUNCTION("GOOGLEFINANCE(""NSE:""&amp;D636,""marketcap"")"),12522670000)</f>
        <v>12522670000</v>
      </c>
      <c r="K636" s="7">
        <v>992.8</v>
      </c>
      <c r="L636" s="8">
        <f ca="1">IFERROR(__xludf.DUMMYFUNCTION("GOOGLEFINANCE(""NSE:""&amp;D636,""price"")"),784.25)</f>
        <v>784.25</v>
      </c>
      <c r="M636" s="9">
        <f t="shared" ca="1" si="12"/>
        <v>-208.54999999999995</v>
      </c>
      <c r="N636" s="10">
        <f t="shared" ca="1" si="13"/>
        <v>-21.006244963738915</v>
      </c>
      <c r="O636" s="7">
        <f ca="1">IFERROR(__xludf.DUMMYFUNCTION("GOOGLEFINANCE(""NSE:""&amp;D636,""pe"")"),12.94)</f>
        <v>12.94</v>
      </c>
      <c r="P636" s="7">
        <f ca="1">IFERROR(__xludf.DUMMYFUNCTION("GOOGLEFINANCE(""NSE:""&amp;D636,""EPS"")"),60.63)</f>
        <v>60.63</v>
      </c>
      <c r="Q636" s="7">
        <v>13.5</v>
      </c>
      <c r="R636" s="7" t="str">
        <f ca="1">IFERROR(__xludf.DUMMYFUNCTION("IMPORTXML(E636,""/html/body/main/div[3]/div[3]/div[2]/ul/li[7]/span[2]/span"")"),"Loading...")</f>
        <v>Loading...</v>
      </c>
      <c r="S636" s="7" t="str">
        <f ca="1">IFERROR(__xludf.DUMMYFUNCTION("IMPORTXML(E636,""/html/body/main/div[3]/div[3]/div[2]/ul/li[8]/span[2]/span"")"),"Loading...")</f>
        <v>Loading...</v>
      </c>
      <c r="T636" s="4">
        <v>34.6</v>
      </c>
      <c r="U636" s="4">
        <v>22.7</v>
      </c>
      <c r="V636" s="4">
        <v>2.6</v>
      </c>
      <c r="W636" s="4">
        <v>5.7</v>
      </c>
      <c r="X636" s="4">
        <v>519.92999999999995</v>
      </c>
      <c r="Y636" s="7">
        <f t="shared" ca="1" si="14"/>
        <v>264.32000000000005</v>
      </c>
    </row>
    <row r="637" spans="1:25" ht="15" x14ac:dyDescent="0.25">
      <c r="A637" s="4">
        <v>587</v>
      </c>
      <c r="C637" s="12" t="s">
        <v>1817</v>
      </c>
      <c r="D637" s="12" t="s">
        <v>1818</v>
      </c>
      <c r="E637" s="5" t="str">
        <f t="shared" si="10"/>
        <v>https://www.screener.in/company/FCL/consolidated/</v>
      </c>
      <c r="F637" s="4">
        <v>443059</v>
      </c>
      <c r="G637" s="4">
        <v>3832241897</v>
      </c>
      <c r="H637" s="6">
        <f t="shared" ca="1" si="11"/>
        <v>91015.745053749997</v>
      </c>
      <c r="I637" s="7" t="str">
        <f ca="1">IFERROR(__xludf.DUMMYFUNCTION("IMPORTXML(E637,""/html/body/main/div[3]/div[3]/div[2]/ul/li[5]/span[2]/span"")"),"Loading...")</f>
        <v>Loading...</v>
      </c>
      <c r="J637" s="7">
        <f ca="1">IFERROR(__xludf.DUMMYFUNCTION("GOOGLEFINANCE(""NSE:""&amp;D637,""marketcap"")"),27211586250)</f>
        <v>27211586250</v>
      </c>
      <c r="K637" s="7">
        <v>992.8</v>
      </c>
      <c r="L637" s="8">
        <f ca="1">IFERROR(__xludf.DUMMYFUNCTION("GOOGLEFINANCE(""NSE:""&amp;D637,""price"")"),237.5)</f>
        <v>237.5</v>
      </c>
      <c r="M637" s="9">
        <f t="shared" ca="1" si="12"/>
        <v>-755.3</v>
      </c>
      <c r="N637" s="10">
        <f t="shared" ca="1" si="13"/>
        <v>-76.07775987107172</v>
      </c>
      <c r="O637" s="7">
        <f ca="1">IFERROR(__xludf.DUMMYFUNCTION("GOOGLEFINANCE(""NSE:""&amp;D637,""pe"")"),25.91)</f>
        <v>25.91</v>
      </c>
      <c r="P637" s="7">
        <f ca="1">IFERROR(__xludf.DUMMYFUNCTION("GOOGLEFINANCE(""NSE:""&amp;D637,""EPS"")"),9.17)</f>
        <v>9.17</v>
      </c>
      <c r="Q637" s="7">
        <v>13.5</v>
      </c>
      <c r="R637" s="7" t="str">
        <f ca="1">IFERROR(__xludf.DUMMYFUNCTION("IMPORTXML(E637,""/html/body/main/div[3]/div[3]/div[2]/ul/li[7]/span[2]/span"")"),"Loading...")</f>
        <v>Loading...</v>
      </c>
      <c r="S637" s="7" t="str">
        <f ca="1">IFERROR(__xludf.DUMMYFUNCTION("IMPORTXML(E637,""/html/body/main/div[3]/div[3]/div[2]/ul/li[8]/span[2]/span"")"),"Loading...")</f>
        <v>Loading...</v>
      </c>
      <c r="T637" s="4">
        <v>34.6</v>
      </c>
      <c r="U637" s="4">
        <v>22.7</v>
      </c>
      <c r="V637" s="4">
        <v>2.6</v>
      </c>
      <c r="W637" s="4">
        <v>5.7</v>
      </c>
      <c r="X637" s="4">
        <v>519.92999999999995</v>
      </c>
      <c r="Y637" s="7">
        <f t="shared" ca="1" si="14"/>
        <v>-282.42999999999995</v>
      </c>
    </row>
    <row r="638" spans="1:25" ht="15" x14ac:dyDescent="0.25">
      <c r="A638" s="4">
        <v>619</v>
      </c>
      <c r="C638" s="12" t="s">
        <v>1819</v>
      </c>
      <c r="D638" s="12" t="s">
        <v>1820</v>
      </c>
      <c r="E638" s="5" t="str">
        <f t="shared" si="10"/>
        <v>https://www.screener.in/company/LUMAXTECH/consolidated/</v>
      </c>
      <c r="F638" s="4">
        <v>443059</v>
      </c>
      <c r="G638" s="4">
        <v>3832241897</v>
      </c>
      <c r="H638" s="6">
        <f t="shared" ca="1" si="11"/>
        <v>412272.58327925997</v>
      </c>
      <c r="I638" s="7" t="str">
        <f ca="1">IFERROR(__xludf.DUMMYFUNCTION("IMPORTXML(E638,""/html/body/main/div[3]/div[3]/div[2]/ul/li[5]/span[2]/span"")"),"Loading...")</f>
        <v>Loading...</v>
      </c>
      <c r="J638" s="7">
        <f ca="1">IFERROR(__xludf.DUMMYFUNCTION("GOOGLEFINANCE(""NSE:""&amp;D638,""marketcap"")"),72840140000)</f>
        <v>72840140000</v>
      </c>
      <c r="K638" s="7">
        <v>992.8</v>
      </c>
      <c r="L638" s="8">
        <f ca="1">IFERROR(__xludf.DUMMYFUNCTION("GOOGLEFINANCE(""NSE:""&amp;D638,""price"")"),1075.8)</f>
        <v>1075.8</v>
      </c>
      <c r="M638" s="9">
        <f t="shared" ca="1" si="12"/>
        <v>83</v>
      </c>
      <c r="N638" s="10">
        <f t="shared" ca="1" si="13"/>
        <v>8.3601933924254634</v>
      </c>
      <c r="O638" s="7">
        <f ca="1">IFERROR(__xludf.DUMMYFUNCTION("GOOGLEFINANCE(""NSE:""&amp;D638,""pe"")"),39.11)</f>
        <v>39.11</v>
      </c>
      <c r="P638" s="7">
        <f ca="1">IFERROR(__xludf.DUMMYFUNCTION("GOOGLEFINANCE(""NSE:""&amp;D638,""EPS"")"),27.51)</f>
        <v>27.51</v>
      </c>
      <c r="Q638" s="7">
        <v>13.5</v>
      </c>
      <c r="R638" s="7" t="str">
        <f ca="1">IFERROR(__xludf.DUMMYFUNCTION("IMPORTXML(E638,""/html/body/main/div[3]/div[3]/div[2]/ul/li[7]/span[2]/span"")"),"Loading...")</f>
        <v>Loading...</v>
      </c>
      <c r="S638" s="7" t="str">
        <f ca="1">IFERROR(__xludf.DUMMYFUNCTION("IMPORTXML(E638,""/html/body/main/div[3]/div[3]/div[2]/ul/li[8]/span[2]/span"")"),"Loading...")</f>
        <v>Loading...</v>
      </c>
      <c r="T638" s="4">
        <v>34.6</v>
      </c>
      <c r="U638" s="4">
        <v>22.7</v>
      </c>
      <c r="V638" s="4">
        <v>2.6</v>
      </c>
      <c r="W638" s="4">
        <v>5.7</v>
      </c>
      <c r="X638" s="4">
        <v>519.92999999999995</v>
      </c>
      <c r="Y638" s="7">
        <f t="shared" ca="1" si="14"/>
        <v>555.87</v>
      </c>
    </row>
    <row r="639" spans="1:25" ht="15" x14ac:dyDescent="0.25">
      <c r="A639" s="4">
        <v>1878</v>
      </c>
      <c r="C639" s="12" t="s">
        <v>1821</v>
      </c>
      <c r="D639" s="12" t="s">
        <v>1822</v>
      </c>
      <c r="E639" s="5" t="str">
        <f t="shared" si="10"/>
        <v>https://www.screener.in/company/SHIVATEX/consolidated/</v>
      </c>
      <c r="F639" s="4">
        <v>443059</v>
      </c>
      <c r="G639" s="4">
        <v>3832241897</v>
      </c>
      <c r="H639" s="6">
        <f t="shared" ca="1" si="11"/>
        <v>71268.202558509001</v>
      </c>
      <c r="I639" s="7" t="str">
        <f ca="1">IFERROR(__xludf.DUMMYFUNCTION("IMPORTXML(E639,""/html/body/main/div[3]/div[3]/div[2]/ul/li[5]/span[2]/span"")"),"Loading...")</f>
        <v>Loading...</v>
      </c>
      <c r="J639" s="7">
        <f ca="1">IFERROR(__xludf.DUMMYFUNCTION("GOOGLEFINANCE(""NSE:""&amp;D639,""marketcap"")"),2204996540)</f>
        <v>2204996540</v>
      </c>
      <c r="K639" s="7">
        <v>992.8</v>
      </c>
      <c r="L639" s="8">
        <f ca="1">IFERROR(__xludf.DUMMYFUNCTION("GOOGLEFINANCE(""NSE:""&amp;D639,""price"")"),185.97)</f>
        <v>185.97</v>
      </c>
      <c r="M639" s="9">
        <f t="shared" ca="1" si="12"/>
        <v>-806.82999999999993</v>
      </c>
      <c r="N639" s="10">
        <f t="shared" ca="1" si="13"/>
        <v>-81.268130539887181</v>
      </c>
      <c r="O639" s="7">
        <f ca="1">IFERROR(__xludf.DUMMYFUNCTION("GOOGLEFINANCE(""NSE:""&amp;D639,""pe"")"),18.32)</f>
        <v>18.32</v>
      </c>
      <c r="P639" s="7">
        <f ca="1">IFERROR(__xludf.DUMMYFUNCTION("GOOGLEFINANCE(""NSE:""&amp;D639,""EPS"")"),10.15)</f>
        <v>10.15</v>
      </c>
      <c r="Q639" s="7">
        <v>13.5</v>
      </c>
      <c r="R639" s="7" t="str">
        <f ca="1">IFERROR(__xludf.DUMMYFUNCTION("IMPORTXML(E639,""/html/body/main/div[3]/div[3]/div[2]/ul/li[7]/span[2]/span"")"),"Loading...")</f>
        <v>Loading...</v>
      </c>
      <c r="S639" s="7" t="str">
        <f ca="1">IFERROR(__xludf.DUMMYFUNCTION("IMPORTXML(E639,""/html/body/main/div[3]/div[3]/div[2]/ul/li[8]/span[2]/span"")"),"Loading...")</f>
        <v>Loading...</v>
      </c>
      <c r="T639" s="4">
        <v>34.6</v>
      </c>
      <c r="U639" s="4">
        <v>22.7</v>
      </c>
      <c r="V639" s="4">
        <v>2.6</v>
      </c>
      <c r="W639" s="4">
        <v>5.7</v>
      </c>
      <c r="X639" s="4">
        <v>519.92999999999995</v>
      </c>
      <c r="Y639" s="7">
        <f t="shared" ca="1" si="14"/>
        <v>-333.95999999999992</v>
      </c>
    </row>
    <row r="640" spans="1:25" ht="15" x14ac:dyDescent="0.25">
      <c r="A640" s="4">
        <v>252</v>
      </c>
      <c r="C640" s="12" t="s">
        <v>1823</v>
      </c>
      <c r="D640" s="12" t="s">
        <v>1824</v>
      </c>
      <c r="E640" s="5" t="str">
        <f t="shared" si="10"/>
        <v>https://www.screener.in/company/BALRAMCHIN/consolidated/</v>
      </c>
      <c r="F640" s="4">
        <v>443059</v>
      </c>
      <c r="G640" s="4">
        <v>3832241897</v>
      </c>
      <c r="H640" s="6">
        <f t="shared" ca="1" si="11"/>
        <v>210466.72498324001</v>
      </c>
      <c r="I640" s="7" t="str">
        <f ca="1">IFERROR(__xludf.DUMMYFUNCTION("IMPORTXML(E640,""/html/body/main/div[3]/div[3]/div[2]/ul/li[5]/span[2]/span"")"),"Loading...")</f>
        <v>Loading...</v>
      </c>
      <c r="J640" s="7">
        <f ca="1">IFERROR(__xludf.DUMMYFUNCTION("GOOGLEFINANCE(""NSE:""&amp;D640,""marketcap"")"),110958100000)</f>
        <v>110958100000</v>
      </c>
      <c r="K640" s="7">
        <v>992.8</v>
      </c>
      <c r="L640" s="8">
        <f ca="1">IFERROR(__xludf.DUMMYFUNCTION("GOOGLEFINANCE(""NSE:""&amp;D640,""price"")"),549.2)</f>
        <v>549.20000000000005</v>
      </c>
      <c r="M640" s="9">
        <f t="shared" ca="1" si="12"/>
        <v>-443.59999999999991</v>
      </c>
      <c r="N640" s="10">
        <f t="shared" ca="1" si="13"/>
        <v>-44.681708299758256</v>
      </c>
      <c r="O640" s="7">
        <f ca="1">IFERROR(__xludf.DUMMYFUNCTION("GOOGLEFINANCE(""NSE:""&amp;D640,""pe"")"),26.63)</f>
        <v>26.63</v>
      </c>
      <c r="P640" s="7">
        <f ca="1">IFERROR(__xludf.DUMMYFUNCTION("GOOGLEFINANCE(""NSE:""&amp;D640,""EPS"")"),20.62)</f>
        <v>20.62</v>
      </c>
      <c r="Q640" s="7">
        <v>13.5</v>
      </c>
      <c r="R640" s="7" t="str">
        <f ca="1">IFERROR(__xludf.DUMMYFUNCTION("IMPORTXML(E640,""/html/body/main/div[3]/div[3]/div[2]/ul/li[7]/span[2]/span"")"),"Loading...")</f>
        <v>Loading...</v>
      </c>
      <c r="S640" s="7" t="str">
        <f ca="1">IFERROR(__xludf.DUMMYFUNCTION("IMPORTXML(E640,""/html/body/main/div[3]/div[3]/div[2]/ul/li[8]/span[2]/span"")"),"Loading...")</f>
        <v>Loading...</v>
      </c>
      <c r="T640" s="4">
        <v>34.6</v>
      </c>
      <c r="U640" s="4">
        <v>22.7</v>
      </c>
      <c r="V640" s="4">
        <v>2.6</v>
      </c>
      <c r="W640" s="4">
        <v>5.7</v>
      </c>
      <c r="X640" s="4">
        <v>519.92999999999995</v>
      </c>
      <c r="Y640" s="7">
        <f t="shared" ca="1" si="14"/>
        <v>29.270000000000095</v>
      </c>
    </row>
    <row r="641" spans="1:25" ht="15" x14ac:dyDescent="0.25">
      <c r="A641" s="4">
        <v>1818</v>
      </c>
      <c r="C641" s="12" t="s">
        <v>1825</v>
      </c>
      <c r="D641" s="12" t="s">
        <v>1826</v>
      </c>
      <c r="E641" s="5" t="str">
        <f t="shared" si="10"/>
        <v>https://www.screener.in/company/LANCORHOL/consolidated/</v>
      </c>
      <c r="F641" s="4">
        <v>443059</v>
      </c>
      <c r="G641" s="4">
        <v>3832241897</v>
      </c>
      <c r="H641" s="6">
        <f t="shared" ca="1" si="11"/>
        <v>9963.8289322000001</v>
      </c>
      <c r="I641" s="7" t="str">
        <f ca="1">IFERROR(__xludf.DUMMYFUNCTION("IMPORTXML(E641,""/html/body/main/div[3]/div[3]/div[2]/ul/li[5]/span[2]/span"")"),"Loading...")</f>
        <v>Loading...</v>
      </c>
      <c r="J641" s="7">
        <f ca="1">IFERROR(__xludf.DUMMYFUNCTION("GOOGLEFINANCE(""NSE:""&amp;D641,""marketcap"")"),1912314040)</f>
        <v>1912314040</v>
      </c>
      <c r="K641" s="7">
        <v>992.8</v>
      </c>
      <c r="L641" s="8">
        <f ca="1">IFERROR(__xludf.DUMMYFUNCTION("GOOGLEFINANCE(""NSE:""&amp;D641,""price"")"),26)</f>
        <v>26</v>
      </c>
      <c r="M641" s="9">
        <f t="shared" ca="1" si="12"/>
        <v>-966.8</v>
      </c>
      <c r="N641" s="10">
        <f t="shared" ca="1" si="13"/>
        <v>-97.381144238517322</v>
      </c>
      <c r="O641" s="7">
        <f ca="1">IFERROR(__xludf.DUMMYFUNCTION("GOOGLEFINANCE(""NSE:""&amp;D641,""pe"")"),98.51)</f>
        <v>98.51</v>
      </c>
      <c r="P641" s="7">
        <f ca="1">IFERROR(__xludf.DUMMYFUNCTION("GOOGLEFINANCE(""NSE:""&amp;D641,""EPS"")"),0.26)</f>
        <v>0.26</v>
      </c>
      <c r="Q641" s="7">
        <v>13.5</v>
      </c>
      <c r="R641" s="7" t="str">
        <f ca="1">IFERROR(__xludf.DUMMYFUNCTION("IMPORTXML(E641,""/html/body/main/div[3]/div[3]/div[2]/ul/li[7]/span[2]/span"")"),"Loading...")</f>
        <v>Loading...</v>
      </c>
      <c r="S641" s="7" t="str">
        <f ca="1">IFERROR(__xludf.DUMMYFUNCTION("IMPORTXML(E641,""/html/body/main/div[3]/div[3]/div[2]/ul/li[8]/span[2]/span"")"),"Loading...")</f>
        <v>Loading...</v>
      </c>
      <c r="T641" s="4">
        <v>34.6</v>
      </c>
      <c r="U641" s="4">
        <v>22.7</v>
      </c>
      <c r="V641" s="4">
        <v>2.6</v>
      </c>
      <c r="W641" s="4">
        <v>5.7</v>
      </c>
      <c r="X641" s="4">
        <v>519.92999999999995</v>
      </c>
      <c r="Y641" s="7">
        <f t="shared" ca="1" si="14"/>
        <v>-493.92999999999995</v>
      </c>
    </row>
    <row r="642" spans="1:25" ht="15" x14ac:dyDescent="0.25">
      <c r="A642" s="4">
        <v>1052</v>
      </c>
      <c r="C642" s="12" t="s">
        <v>1827</v>
      </c>
      <c r="D642" s="12" t="s">
        <v>1828</v>
      </c>
      <c r="E642" s="5" t="str">
        <f t="shared" si="10"/>
        <v>https://www.screener.in/company/ADSL/consolidated/</v>
      </c>
      <c r="F642" s="4">
        <v>443059</v>
      </c>
      <c r="G642" s="4">
        <v>3832241897</v>
      </c>
      <c r="H642" s="6">
        <f t="shared" ca="1" si="11"/>
        <v>63381.448734482998</v>
      </c>
      <c r="I642" s="7" t="str">
        <f ca="1">IFERROR(__xludf.DUMMYFUNCTION("IMPORTXML(E642,""/html/body/main/div[3]/div[3]/div[2]/ul/li[5]/span[2]/span"")"),"Loading...")</f>
        <v>Loading...</v>
      </c>
      <c r="J642" s="7">
        <f ca="1">IFERROR(__xludf.DUMMYFUNCTION("GOOGLEFINANCE(""NSE:""&amp;D642,""marketcap"")"),9227197994)</f>
        <v>9227197994</v>
      </c>
      <c r="K642" s="7">
        <v>992.8</v>
      </c>
      <c r="L642" s="8">
        <f ca="1">IFERROR(__xludf.DUMMYFUNCTION("GOOGLEFINANCE(""NSE:""&amp;D642,""price"")"),165.39)</f>
        <v>165.39</v>
      </c>
      <c r="M642" s="9">
        <f t="shared" ca="1" si="12"/>
        <v>-827.41</v>
      </c>
      <c r="N642" s="10">
        <f t="shared" ca="1" si="13"/>
        <v>-83.341055600322321</v>
      </c>
      <c r="O642" s="7">
        <f ca="1">IFERROR(__xludf.DUMMYFUNCTION("GOOGLEFINANCE(""NSE:""&amp;D642,""pe"")"),33.86)</f>
        <v>33.86</v>
      </c>
      <c r="P642" s="7">
        <f ca="1">IFERROR(__xludf.DUMMYFUNCTION("GOOGLEFINANCE(""NSE:""&amp;D642,""EPS"")"),4.88)</f>
        <v>4.88</v>
      </c>
      <c r="Q642" s="7">
        <v>13.5</v>
      </c>
      <c r="R642" s="7" t="str">
        <f ca="1">IFERROR(__xludf.DUMMYFUNCTION("IMPORTXML(E642,""/html/body/main/div[3]/div[3]/div[2]/ul/li[7]/span[2]/span"")"),"Loading...")</f>
        <v>Loading...</v>
      </c>
      <c r="S642" s="7" t="str">
        <f ca="1">IFERROR(__xludf.DUMMYFUNCTION("IMPORTXML(E642,""/html/body/main/div[3]/div[3]/div[2]/ul/li[8]/span[2]/span"")"),"Loading...")</f>
        <v>Loading...</v>
      </c>
      <c r="T642" s="4">
        <v>34.6</v>
      </c>
      <c r="U642" s="4">
        <v>22.7</v>
      </c>
      <c r="V642" s="4">
        <v>2.6</v>
      </c>
      <c r="W642" s="4">
        <v>5.7</v>
      </c>
      <c r="X642" s="4">
        <v>519.92999999999995</v>
      </c>
      <c r="Y642" s="7">
        <f t="shared" ca="1" si="14"/>
        <v>-354.53999999999996</v>
      </c>
    </row>
    <row r="643" spans="1:25" ht="15" x14ac:dyDescent="0.25">
      <c r="A643" s="4">
        <v>417</v>
      </c>
      <c r="C643" s="12" t="s">
        <v>1829</v>
      </c>
      <c r="D643" s="12" t="s">
        <v>1830</v>
      </c>
      <c r="E643" s="5" t="str">
        <f t="shared" si="10"/>
        <v>https://www.screener.in/company/TIIL/consolidated/</v>
      </c>
      <c r="F643" s="4">
        <v>443059</v>
      </c>
      <c r="G643" s="4">
        <v>3832241897</v>
      </c>
      <c r="H643" s="6">
        <f t="shared" ca="1" si="11"/>
        <v>943114.73085169995</v>
      </c>
      <c r="I643" s="7" t="str">
        <f ca="1">IFERROR(__xludf.DUMMYFUNCTION("IMPORTXML(E643,""/html/body/main/div[3]/div[3]/div[2]/ul/li[5]/span[2]/span"")"),"Loading...")</f>
        <v>Loading...</v>
      </c>
      <c r="J643" s="7">
        <f ca="1">IFERROR(__xludf.DUMMYFUNCTION("GOOGLEFINANCE(""NSE:""&amp;D643,""marketcap"")"),55797736190)</f>
        <v>55797736190</v>
      </c>
      <c r="K643" s="7">
        <v>992.8</v>
      </c>
      <c r="L643" s="8">
        <f ca="1">IFERROR(__xludf.DUMMYFUNCTION("GOOGLEFINANCE(""NSE:""&amp;D643,""price"")"),2461)</f>
        <v>2461</v>
      </c>
      <c r="M643" s="9">
        <f t="shared" ca="1" si="12"/>
        <v>1468.2</v>
      </c>
      <c r="N643" s="10">
        <f t="shared" ca="1" si="13"/>
        <v>147.88477034649478</v>
      </c>
      <c r="O643" s="7">
        <f ca="1">IFERROR(__xludf.DUMMYFUNCTION("GOOGLEFINANCE(""NSE:""&amp;D643,""pe"")"),21.91)</f>
        <v>21.91</v>
      </c>
      <c r="P643" s="7">
        <f ca="1">IFERROR(__xludf.DUMMYFUNCTION("GOOGLEFINANCE(""NSE:""&amp;D643,""EPS"")"),112.31)</f>
        <v>112.31</v>
      </c>
      <c r="Q643" s="7">
        <v>13.5</v>
      </c>
      <c r="R643" s="7" t="str">
        <f ca="1">IFERROR(__xludf.DUMMYFUNCTION("IMPORTXML(E643,""/html/body/main/div[3]/div[3]/div[2]/ul/li[7]/span[2]/span"")"),"Loading...")</f>
        <v>Loading...</v>
      </c>
      <c r="S643" s="7" t="str">
        <f ca="1">IFERROR(__xludf.DUMMYFUNCTION("IMPORTXML(E643,""/html/body/main/div[3]/div[3]/div[2]/ul/li[8]/span[2]/span"")"),"Loading...")</f>
        <v>Loading...</v>
      </c>
      <c r="T643" s="4">
        <v>34.6</v>
      </c>
      <c r="U643" s="4">
        <v>22.7</v>
      </c>
      <c r="V643" s="4">
        <v>2.6</v>
      </c>
      <c r="W643" s="4">
        <v>5.7</v>
      </c>
      <c r="X643" s="4">
        <v>519.92999999999995</v>
      </c>
      <c r="Y643" s="7">
        <f t="shared" ca="1" si="14"/>
        <v>1941.0700000000002</v>
      </c>
    </row>
    <row r="644" spans="1:25" ht="15" x14ac:dyDescent="0.25">
      <c r="A644" s="4">
        <v>159</v>
      </c>
      <c r="C644" s="12" t="s">
        <v>1831</v>
      </c>
      <c r="D644" s="12" t="s">
        <v>1832</v>
      </c>
      <c r="E644" s="5" t="str">
        <f t="shared" si="10"/>
        <v>https://www.screener.in/company/JUBLPHARMA/consolidated/</v>
      </c>
      <c r="F644" s="4">
        <v>443059</v>
      </c>
      <c r="G644" s="4">
        <v>3832241897</v>
      </c>
      <c r="H644" s="6">
        <f t="shared" ca="1" si="11"/>
        <v>410049.88297899999</v>
      </c>
      <c r="I644" s="7" t="str">
        <f ca="1">IFERROR(__xludf.DUMMYFUNCTION("IMPORTXML(E644,""/html/body/main/div[3]/div[3]/div[2]/ul/li[5]/span[2]/span"")"),"Loading...")</f>
        <v>Loading...</v>
      </c>
      <c r="J644" s="7">
        <f ca="1">IFERROR(__xludf.DUMMYFUNCTION("GOOGLEFINANCE(""NSE:""&amp;D644,""marketcap"")"),169484362000)</f>
        <v>169484362000</v>
      </c>
      <c r="K644" s="7">
        <v>992.8</v>
      </c>
      <c r="L644" s="8">
        <f ca="1">IFERROR(__xludf.DUMMYFUNCTION("GOOGLEFINANCE(""NSE:""&amp;D644,""price"")"),1070)</f>
        <v>1070</v>
      </c>
      <c r="M644" s="9">
        <f t="shared" ca="1" si="12"/>
        <v>77.200000000000045</v>
      </c>
      <c r="N644" s="10">
        <f t="shared" ca="1" si="13"/>
        <v>7.7759871071716402</v>
      </c>
      <c r="O644" s="7">
        <f ca="1">IFERROR(__xludf.DUMMYFUNCTION("GOOGLEFINANCE(""NSE:""&amp;D644,""pe"")"),36.95)</f>
        <v>36.950000000000003</v>
      </c>
      <c r="P644" s="7">
        <f ca="1">IFERROR(__xludf.DUMMYFUNCTION("GOOGLEFINANCE(""NSE:""&amp;D644,""EPS"")"),28.96)</f>
        <v>28.96</v>
      </c>
      <c r="Q644" s="7">
        <v>13.5</v>
      </c>
      <c r="R644" s="7" t="str">
        <f ca="1">IFERROR(__xludf.DUMMYFUNCTION("IMPORTXML(E644,""/html/body/main/div[3]/div[3]/div[2]/ul/li[7]/span[2]/span"")"),"Loading...")</f>
        <v>Loading...</v>
      </c>
      <c r="S644" s="7" t="str">
        <f ca="1">IFERROR(__xludf.DUMMYFUNCTION("IMPORTXML(E644,""/html/body/main/div[3]/div[3]/div[2]/ul/li[8]/span[2]/span"")"),"Loading...")</f>
        <v>Loading...</v>
      </c>
      <c r="T644" s="4">
        <v>34.6</v>
      </c>
      <c r="U644" s="4">
        <v>22.7</v>
      </c>
      <c r="V644" s="4">
        <v>2.6</v>
      </c>
      <c r="W644" s="4">
        <v>5.7</v>
      </c>
      <c r="X644" s="4">
        <v>519.92999999999995</v>
      </c>
      <c r="Y644" s="7">
        <f t="shared" ca="1" si="14"/>
        <v>550.07000000000005</v>
      </c>
    </row>
    <row r="645" spans="1:25" ht="15" x14ac:dyDescent="0.25">
      <c r="A645" s="4">
        <v>1432</v>
      </c>
      <c r="C645" s="12" t="s">
        <v>1833</v>
      </c>
      <c r="D645" s="12" t="s">
        <v>1834</v>
      </c>
      <c r="E645" s="5" t="str">
        <f t="shared" si="10"/>
        <v>https://www.screener.in/company/KRONOX/consolidated/</v>
      </c>
      <c r="F645" s="4">
        <v>443059</v>
      </c>
      <c r="G645" s="4">
        <v>3832241897</v>
      </c>
      <c r="H645" s="6">
        <f t="shared" ca="1" si="11"/>
        <v>64925.842218974001</v>
      </c>
      <c r="I645" s="7" t="str">
        <f ca="1">IFERROR(__xludf.DUMMYFUNCTION("IMPORTXML(E645,""/html/body/main/div[3]/div[3]/div[2]/ul/li[5]/span[2]/span"")"),"Loading...")</f>
        <v>Loading...</v>
      </c>
      <c r="J645" s="7">
        <f ca="1">IFERROR(__xludf.DUMMYFUNCTION("GOOGLEFINANCE(""NSE:""&amp;D645,""marketcap"")"),6286157917)</f>
        <v>6286157917</v>
      </c>
      <c r="K645" s="7">
        <v>992.8</v>
      </c>
      <c r="L645" s="8">
        <f ca="1">IFERROR(__xludf.DUMMYFUNCTION("GOOGLEFINANCE(""NSE:""&amp;D645,""price"")"),169.42)</f>
        <v>169.42</v>
      </c>
      <c r="M645" s="9">
        <f t="shared" ca="1" si="12"/>
        <v>-823.38</v>
      </c>
      <c r="N645" s="10">
        <f t="shared" ca="1" si="13"/>
        <v>-82.93513295729251</v>
      </c>
      <c r="O645" s="7">
        <f ca="1">IFERROR(__xludf.DUMMYFUNCTION("GOOGLEFINANCE(""NSE:""&amp;D645,""pe"")"),24.57)</f>
        <v>24.57</v>
      </c>
      <c r="P645" s="7">
        <f ca="1">IFERROR(__xludf.DUMMYFUNCTION("GOOGLEFINANCE(""NSE:""&amp;D645,""EPS"")"),6.9)</f>
        <v>6.9</v>
      </c>
      <c r="Q645" s="7">
        <v>13.5</v>
      </c>
      <c r="R645" s="7" t="str">
        <f ca="1">IFERROR(__xludf.DUMMYFUNCTION("IMPORTXML(E645,""/html/body/main/div[3]/div[3]/div[2]/ul/li[7]/span[2]/span"")"),"#N/A")</f>
        <v>#N/A</v>
      </c>
      <c r="S645" s="7" t="str">
        <f ca="1">IFERROR(__xludf.DUMMYFUNCTION("IMPORTXML(E645,""/html/body/main/div[3]/div[3]/div[2]/ul/li[8]/span[2]/span"")"),"Loading...")</f>
        <v>Loading...</v>
      </c>
      <c r="T645" s="4">
        <v>34.6</v>
      </c>
      <c r="U645" s="4">
        <v>22.7</v>
      </c>
      <c r="V645" s="4">
        <v>2.6</v>
      </c>
      <c r="W645" s="4">
        <v>5.7</v>
      </c>
      <c r="X645" s="4">
        <v>519.92999999999995</v>
      </c>
      <c r="Y645" s="7">
        <f t="shared" ca="1" si="14"/>
        <v>-350.51</v>
      </c>
    </row>
    <row r="646" spans="1:25" ht="15" x14ac:dyDescent="0.25">
      <c r="A646" s="4">
        <v>1371</v>
      </c>
      <c r="C646" s="12" t="s">
        <v>1835</v>
      </c>
      <c r="D646" s="12" t="s">
        <v>1836</v>
      </c>
      <c r="E646" s="5" t="str">
        <f t="shared" si="10"/>
        <v>https://www.screener.in/company/MENONBE/consolidated/</v>
      </c>
      <c r="F646" s="4">
        <v>443059</v>
      </c>
      <c r="G646" s="4">
        <v>3832241897</v>
      </c>
      <c r="H646" s="6">
        <f t="shared" ca="1" si="11"/>
        <v>48017.990969409999</v>
      </c>
      <c r="I646" s="7" t="str">
        <f ca="1">IFERROR(__xludf.DUMMYFUNCTION("IMPORTXML(E646,""/html/body/main/div[3]/div[3]/div[2]/ul/li[5]/span[2]/span"")"),"Loading...")</f>
        <v>Loading...</v>
      </c>
      <c r="J646" s="7">
        <f ca="1">IFERROR(__xludf.DUMMYFUNCTION("GOOGLEFINANCE(""NSE:""&amp;D646,""marketcap"")"),7011725000)</f>
        <v>7011725000</v>
      </c>
      <c r="K646" s="7">
        <v>992.8</v>
      </c>
      <c r="L646" s="8">
        <f ca="1">IFERROR(__xludf.DUMMYFUNCTION("GOOGLEFINANCE(""NSE:""&amp;D646,""price"")"),125.3)</f>
        <v>125.3</v>
      </c>
      <c r="M646" s="9">
        <f t="shared" ca="1" si="12"/>
        <v>-867.5</v>
      </c>
      <c r="N646" s="10">
        <f t="shared" ca="1" si="13"/>
        <v>-87.37912973408541</v>
      </c>
      <c r="O646" s="7">
        <f ca="1">IFERROR(__xludf.DUMMYFUNCTION("GOOGLEFINANCE(""NSE:""&amp;D646,""pe"")"),25.78)</f>
        <v>25.78</v>
      </c>
      <c r="P646" s="7">
        <f ca="1">IFERROR(__xludf.DUMMYFUNCTION("GOOGLEFINANCE(""NSE:""&amp;D646,""EPS"")"),4.86)</f>
        <v>4.8600000000000003</v>
      </c>
      <c r="Q646" s="7">
        <v>13.5</v>
      </c>
      <c r="R646" s="7" t="str">
        <f ca="1">IFERROR(__xludf.DUMMYFUNCTION("IMPORTXML(E646,""/html/body/main/div[3]/div[3]/div[2]/ul/li[7]/span[2]/span"")"),"Loading...")</f>
        <v>Loading...</v>
      </c>
      <c r="S646" s="7" t="str">
        <f ca="1">IFERROR(__xludf.DUMMYFUNCTION("IMPORTXML(E646,""/html/body/main/div[3]/div[3]/div[2]/ul/li[8]/span[2]/span"")"),"Loading...")</f>
        <v>Loading...</v>
      </c>
      <c r="T646" s="4">
        <v>34.6</v>
      </c>
      <c r="U646" s="4">
        <v>22.7</v>
      </c>
      <c r="V646" s="4">
        <v>2.6</v>
      </c>
      <c r="W646" s="4">
        <v>5.7</v>
      </c>
      <c r="X646" s="4">
        <v>519.92999999999995</v>
      </c>
      <c r="Y646" s="7">
        <f t="shared" ca="1" si="14"/>
        <v>-394.62999999999994</v>
      </c>
    </row>
    <row r="647" spans="1:25" ht="15" x14ac:dyDescent="0.25">
      <c r="A647" s="4">
        <v>1262</v>
      </c>
      <c r="C647" s="12" t="s">
        <v>1837</v>
      </c>
      <c r="D647" s="12" t="s">
        <v>1838</v>
      </c>
      <c r="E647" s="5" t="str">
        <f t="shared" si="10"/>
        <v>https://www.screener.in/company/BHAGERIA/consolidated/</v>
      </c>
      <c r="F647" s="4">
        <v>443059</v>
      </c>
      <c r="G647" s="4">
        <v>3832241897</v>
      </c>
      <c r="H647" s="6">
        <f t="shared" ca="1" si="11"/>
        <v>75495.165370899995</v>
      </c>
      <c r="I647" s="7" t="str">
        <f ca="1">IFERROR(__xludf.DUMMYFUNCTION("IMPORTXML(E647,""/html/body/main/div[3]/div[3]/div[2]/ul/li[5]/span[2]/span"")"),"Loading...")</f>
        <v>Loading...</v>
      </c>
      <c r="J647" s="7">
        <f ca="1">IFERROR(__xludf.DUMMYFUNCTION("GOOGLEFINANCE(""NSE:""&amp;D647,""marketcap"")"),8735335847)</f>
        <v>8735335847</v>
      </c>
      <c r="K647" s="7">
        <v>992.8</v>
      </c>
      <c r="L647" s="8">
        <f ca="1">IFERROR(__xludf.DUMMYFUNCTION("GOOGLEFINANCE(""NSE:""&amp;D647,""price"")"),197)</f>
        <v>197</v>
      </c>
      <c r="M647" s="9">
        <f t="shared" ca="1" si="12"/>
        <v>-795.8</v>
      </c>
      <c r="N647" s="10">
        <f t="shared" ca="1" si="13"/>
        <v>-80.157131345688953</v>
      </c>
      <c r="O647" s="7">
        <f ca="1">IFERROR(__xludf.DUMMYFUNCTION("GOOGLEFINANCE(""NSE:""&amp;D647,""pe"")"),18.83)</f>
        <v>18.829999999999998</v>
      </c>
      <c r="P647" s="7">
        <f ca="1">IFERROR(__xludf.DUMMYFUNCTION("GOOGLEFINANCE(""NSE:""&amp;D647,""EPS"")"),10.46)</f>
        <v>10.46</v>
      </c>
      <c r="Q647" s="7">
        <v>13.5</v>
      </c>
      <c r="R647" s="7" t="str">
        <f ca="1">IFERROR(__xludf.DUMMYFUNCTION("IMPORTXML(E647,""/html/body/main/div[3]/div[3]/div[2]/ul/li[7]/span[2]/span"")"),"Loading...")</f>
        <v>Loading...</v>
      </c>
      <c r="S647" s="7" t="str">
        <f ca="1">IFERROR(__xludf.DUMMYFUNCTION("IMPORTXML(E647,""/html/body/main/div[3]/div[3]/div[2]/ul/li[8]/span[2]/span"")"),"Loading...")</f>
        <v>Loading...</v>
      </c>
      <c r="T647" s="4">
        <v>34.6</v>
      </c>
      <c r="U647" s="4">
        <v>22.7</v>
      </c>
      <c r="V647" s="4">
        <v>2.6</v>
      </c>
      <c r="W647" s="4">
        <v>5.7</v>
      </c>
      <c r="X647" s="4">
        <v>519.92999999999995</v>
      </c>
      <c r="Y647" s="7">
        <f t="shared" ca="1" si="14"/>
        <v>-322.92999999999995</v>
      </c>
    </row>
    <row r="648" spans="1:25" ht="15" x14ac:dyDescent="0.25">
      <c r="A648" s="4">
        <v>1089</v>
      </c>
      <c r="C648" s="12" t="s">
        <v>1839</v>
      </c>
      <c r="D648" s="12" t="s">
        <v>1840</v>
      </c>
      <c r="E648" s="5" t="str">
        <f t="shared" si="10"/>
        <v>https://www.screener.in/company/XCHANGING/consolidated/</v>
      </c>
      <c r="F648" s="4">
        <v>443059</v>
      </c>
      <c r="G648" s="4">
        <v>3832241897</v>
      </c>
      <c r="H648" s="6">
        <f t="shared" ca="1" si="11"/>
        <v>34386.706541781001</v>
      </c>
      <c r="I648" s="7" t="str">
        <f ca="1">IFERROR(__xludf.DUMMYFUNCTION("IMPORTXML(E648,""/html/body/main/div[3]/div[3]/div[2]/ul/li[5]/span[2]/span"")"),"Loading...")</f>
        <v>Loading...</v>
      </c>
      <c r="J648" s="7">
        <f ca="1">IFERROR(__xludf.DUMMYFUNCTION("GOOGLEFINANCE(""NSE:""&amp;D648,""marketcap"")"),9950580000)</f>
        <v>9950580000</v>
      </c>
      <c r="K648" s="7">
        <v>992.8</v>
      </c>
      <c r="L648" s="8">
        <f ca="1">IFERROR(__xludf.DUMMYFUNCTION("GOOGLEFINANCE(""NSE:""&amp;D648,""price"")"),89.73)</f>
        <v>89.73</v>
      </c>
      <c r="M648" s="9">
        <f t="shared" ca="1" si="12"/>
        <v>-903.06999999999994</v>
      </c>
      <c r="N648" s="10">
        <f t="shared" ca="1" si="13"/>
        <v>-90.961925866236896</v>
      </c>
      <c r="O648" s="7">
        <f ca="1">IFERROR(__xludf.DUMMYFUNCTION("GOOGLEFINANCE(""NSE:""&amp;D648,""pe"")"),18.97)</f>
        <v>18.97</v>
      </c>
      <c r="P648" s="7">
        <f ca="1">IFERROR(__xludf.DUMMYFUNCTION("GOOGLEFINANCE(""NSE:""&amp;D648,""EPS"")"),4.73)</f>
        <v>4.7300000000000004</v>
      </c>
      <c r="Q648" s="7">
        <v>13.5</v>
      </c>
      <c r="R648" s="7" t="str">
        <f ca="1">IFERROR(__xludf.DUMMYFUNCTION("IMPORTXML(E648,""/html/body/main/div[3]/div[3]/div[2]/ul/li[7]/span[2]/span"")"),"Loading...")</f>
        <v>Loading...</v>
      </c>
      <c r="S648" s="7" t="str">
        <f ca="1">IFERROR(__xludf.DUMMYFUNCTION("IMPORTXML(E648,""/html/body/main/div[3]/div[3]/div[2]/ul/li[8]/span[2]/span"")"),"Loading...")</f>
        <v>Loading...</v>
      </c>
      <c r="T648" s="4">
        <v>34.6</v>
      </c>
      <c r="U648" s="4">
        <v>22.7</v>
      </c>
      <c r="V648" s="4">
        <v>2.6</v>
      </c>
      <c r="W648" s="4">
        <v>5.7</v>
      </c>
      <c r="X648" s="4">
        <v>519.92999999999995</v>
      </c>
      <c r="Y648" s="7">
        <f t="shared" ca="1" si="14"/>
        <v>-430.19999999999993</v>
      </c>
    </row>
    <row r="649" spans="1:25" ht="15" x14ac:dyDescent="0.25">
      <c r="A649" s="4">
        <v>1571</v>
      </c>
      <c r="C649" s="12" t="s">
        <v>1841</v>
      </c>
      <c r="D649" s="12" t="s">
        <v>1842</v>
      </c>
      <c r="E649" s="5" t="str">
        <f t="shared" si="10"/>
        <v>https://www.screener.in/company/VSTL/consolidated/</v>
      </c>
      <c r="F649" s="4">
        <v>443059</v>
      </c>
      <c r="G649" s="4">
        <v>3832241897</v>
      </c>
      <c r="H649" s="6">
        <f t="shared" ca="1" si="11"/>
        <v>61699.094541699997</v>
      </c>
      <c r="I649" s="7" t="str">
        <f ca="1">IFERROR(__xludf.DUMMYFUNCTION("IMPORTXML(E649,""/html/body/main/div[3]/div[3]/div[2]/ul/li[5]/span[2]/span"")"),"Loading...")</f>
        <v>Loading...</v>
      </c>
      <c r="J649" s="7">
        <f ca="1">IFERROR(__xludf.DUMMYFUNCTION("GOOGLEFINANCE(""NSE:""&amp;D649,""marketcap"")"),3051057000)</f>
        <v>3051057000</v>
      </c>
      <c r="K649" s="7">
        <v>992.8</v>
      </c>
      <c r="L649" s="8">
        <f ca="1">IFERROR(__xludf.DUMMYFUNCTION("GOOGLEFINANCE(""NSE:""&amp;D649,""price"")"),161)</f>
        <v>161</v>
      </c>
      <c r="M649" s="9">
        <f t="shared" ca="1" si="12"/>
        <v>-831.8</v>
      </c>
      <c r="N649" s="10">
        <f t="shared" ca="1" si="13"/>
        <v>-83.783239323126509</v>
      </c>
      <c r="O649" s="7">
        <f ca="1">IFERROR(__xludf.DUMMYFUNCTION("GOOGLEFINANCE(""NSE:""&amp;D649,""pe"")"),25.64)</f>
        <v>25.64</v>
      </c>
      <c r="P649" s="7">
        <f ca="1">IFERROR(__xludf.DUMMYFUNCTION("GOOGLEFINANCE(""NSE:""&amp;D649,""EPS"")"),6.28)</f>
        <v>6.28</v>
      </c>
      <c r="Q649" s="7">
        <v>13.5</v>
      </c>
      <c r="R649" s="7" t="str">
        <f ca="1">IFERROR(__xludf.DUMMYFUNCTION("IMPORTXML(E649,""/html/body/main/div[3]/div[3]/div[2]/ul/li[7]/span[2]/span"")"),"Loading...")</f>
        <v>Loading...</v>
      </c>
      <c r="S649" s="7" t="str">
        <f ca="1">IFERROR(__xludf.DUMMYFUNCTION("IMPORTXML(E649,""/html/body/main/div[3]/div[3]/div[2]/ul/li[8]/span[2]/span"")"),"Loading...")</f>
        <v>Loading...</v>
      </c>
      <c r="T649" s="4">
        <v>34.6</v>
      </c>
      <c r="U649" s="4">
        <v>22.7</v>
      </c>
      <c r="V649" s="4">
        <v>2.6</v>
      </c>
      <c r="W649" s="4">
        <v>5.7</v>
      </c>
      <c r="X649" s="4">
        <v>519.92999999999995</v>
      </c>
      <c r="Y649" s="7">
        <f t="shared" ca="1" si="14"/>
        <v>-358.92999999999995</v>
      </c>
    </row>
    <row r="650" spans="1:25" ht="15" x14ac:dyDescent="0.25">
      <c r="A650" s="4">
        <v>2139</v>
      </c>
      <c r="C650" s="12" t="s">
        <v>1843</v>
      </c>
      <c r="D650" s="12" t="s">
        <v>1844</v>
      </c>
      <c r="E650" s="5" t="str">
        <f t="shared" si="10"/>
        <v>https://www.screener.in/company/SIKKO/consolidated/</v>
      </c>
      <c r="F650" s="4">
        <v>443059</v>
      </c>
      <c r="G650" s="4">
        <v>3832241897</v>
      </c>
      <c r="H650" s="6">
        <f t="shared" ca="1" si="11"/>
        <v>26825.693278999999</v>
      </c>
      <c r="I650" s="7" t="str">
        <f ca="1">IFERROR(__xludf.DUMMYFUNCTION("IMPORTXML(E650,""/html/body/main/div[3]/div[3]/div[2]/ul/li[5]/span[2]/span"")"),"Loading...")</f>
        <v>Loading...</v>
      </c>
      <c r="J650" s="7">
        <f ca="1">IFERROR(__xludf.DUMMYFUNCTION("GOOGLEFINANCE(""NSE:""&amp;D650,""marketcap"")"),1528799300)</f>
        <v>1528799300</v>
      </c>
      <c r="K650" s="7">
        <v>992.8</v>
      </c>
      <c r="L650" s="8">
        <f ca="1">IFERROR(__xludf.DUMMYFUNCTION("GOOGLEFINANCE(""NSE:""&amp;D650,""price"")"),70)</f>
        <v>70</v>
      </c>
      <c r="M650" s="9">
        <f t="shared" ca="1" si="12"/>
        <v>-922.8</v>
      </c>
      <c r="N650" s="10">
        <f t="shared" ca="1" si="13"/>
        <v>-92.949234488315881</v>
      </c>
      <c r="O650" s="7">
        <f ca="1">IFERROR(__xludf.DUMMYFUNCTION("GOOGLEFINANCE(""NSE:""&amp;D650,""pe"")"),27.92)</f>
        <v>27.92</v>
      </c>
      <c r="P650" s="7">
        <f ca="1">IFERROR(__xludf.DUMMYFUNCTION("GOOGLEFINANCE(""NSE:""&amp;D650,""EPS"")"),2.51)</f>
        <v>2.5099999999999998</v>
      </c>
      <c r="Q650" s="7">
        <v>13.5</v>
      </c>
      <c r="R650" s="7" t="str">
        <f ca="1">IFERROR(__xludf.DUMMYFUNCTION("IMPORTXML(E650,""/html/body/main/div[3]/div[3]/div[2]/ul/li[7]/span[2]/span"")"),"Loading...")</f>
        <v>Loading...</v>
      </c>
      <c r="S650" s="7" t="str">
        <f ca="1">IFERROR(__xludf.DUMMYFUNCTION("IMPORTXML(E650,""/html/body/main/div[3]/div[3]/div[2]/ul/li[8]/span[2]/span"")"),"Loading...")</f>
        <v>Loading...</v>
      </c>
      <c r="T650" s="4">
        <v>34.6</v>
      </c>
      <c r="U650" s="4">
        <v>22.7</v>
      </c>
      <c r="V650" s="4">
        <v>2.6</v>
      </c>
      <c r="W650" s="4">
        <v>5.7</v>
      </c>
      <c r="X650" s="4">
        <v>519.92999999999995</v>
      </c>
      <c r="Y650" s="7">
        <f t="shared" ca="1" si="14"/>
        <v>-449.92999999999995</v>
      </c>
    </row>
    <row r="651" spans="1:25" ht="15" x14ac:dyDescent="0.25">
      <c r="A651" s="4">
        <v>1557</v>
      </c>
      <c r="C651" s="12" t="s">
        <v>1845</v>
      </c>
      <c r="D651" s="12" t="s">
        <v>1846</v>
      </c>
      <c r="E651" s="5" t="str">
        <f t="shared" si="10"/>
        <v>https://www.screener.in/company/DYNPRO/consolidated/</v>
      </c>
      <c r="F651" s="4">
        <v>443059</v>
      </c>
      <c r="G651" s="4">
        <v>3832241897</v>
      </c>
      <c r="H651" s="6">
        <f t="shared" ca="1" si="11"/>
        <v>138861.28513779503</v>
      </c>
      <c r="I651" s="7" t="str">
        <f ca="1">IFERROR(__xludf.DUMMYFUNCTION("IMPORTXML(E651,""/html/body/main/div[3]/div[3]/div[2]/ul/li[5]/span[2]/span"")"),"Loading...")</f>
        <v>Loading...</v>
      </c>
      <c r="J651" s="7">
        <f ca="1">IFERROR(__xludf.DUMMYFUNCTION("GOOGLEFINANCE(""NSE:""&amp;D651,""marketcap"")"),4582346000)</f>
        <v>4582346000</v>
      </c>
      <c r="K651" s="7">
        <v>992.8</v>
      </c>
      <c r="L651" s="8">
        <f ca="1">IFERROR(__xludf.DUMMYFUNCTION("GOOGLEFINANCE(""NSE:""&amp;D651,""price"")"),362.35)</f>
        <v>362.35</v>
      </c>
      <c r="M651" s="9">
        <f t="shared" ca="1" si="12"/>
        <v>-630.44999999999993</v>
      </c>
      <c r="N651" s="10">
        <f t="shared" ca="1" si="13"/>
        <v>-63.502215954875098</v>
      </c>
      <c r="O651" s="7">
        <f ca="1">IFERROR(__xludf.DUMMYFUNCTION("GOOGLEFINANCE(""NSE:""&amp;D651,""pe"")"),26.09)</f>
        <v>26.09</v>
      </c>
      <c r="P651" s="7">
        <f ca="1">IFERROR(__xludf.DUMMYFUNCTION("GOOGLEFINANCE(""NSE:""&amp;D651,""EPS"")"),13.89)</f>
        <v>13.89</v>
      </c>
      <c r="Q651" s="7">
        <v>13.5</v>
      </c>
      <c r="R651" s="7" t="str">
        <f ca="1">IFERROR(__xludf.DUMMYFUNCTION("IMPORTXML(E651,""/html/body/main/div[3]/div[3]/div[2]/ul/li[7]/span[2]/span"")"),"Loading...")</f>
        <v>Loading...</v>
      </c>
      <c r="S651" s="7" t="str">
        <f ca="1">IFERROR(__xludf.DUMMYFUNCTION("IMPORTXML(E651,""/html/body/main/div[3]/div[3]/div[2]/ul/li[8]/span[2]/span"")"),"Loading...")</f>
        <v>Loading...</v>
      </c>
      <c r="T651" s="4">
        <v>34.6</v>
      </c>
      <c r="U651" s="4">
        <v>22.7</v>
      </c>
      <c r="V651" s="4">
        <v>2.6</v>
      </c>
      <c r="W651" s="4">
        <v>5.7</v>
      </c>
      <c r="X651" s="4">
        <v>519.92999999999995</v>
      </c>
      <c r="Y651" s="7">
        <f t="shared" ca="1" si="14"/>
        <v>-157.57999999999993</v>
      </c>
    </row>
    <row r="652" spans="1:25" ht="15" x14ac:dyDescent="0.25">
      <c r="A652" s="4">
        <v>1480</v>
      </c>
      <c r="C652" s="12" t="s">
        <v>1847</v>
      </c>
      <c r="D652" s="12" t="s">
        <v>1848</v>
      </c>
      <c r="E652" s="5" t="str">
        <f t="shared" si="10"/>
        <v>https://www.screener.in/company/BPL/consolidated/</v>
      </c>
      <c r="F652" s="4">
        <v>443059</v>
      </c>
      <c r="G652" s="4">
        <v>3832241897</v>
      </c>
      <c r="H652" s="6">
        <f t="shared" ca="1" si="11"/>
        <v>32968.777039891007</v>
      </c>
      <c r="I652" s="7" t="str">
        <f ca="1">IFERROR(__xludf.DUMMYFUNCTION("IMPORTXML(E652,""/html/body/main/div[3]/div[3]/div[2]/ul/li[5]/span[2]/span"")"),"Loading...")</f>
        <v>Loading...</v>
      </c>
      <c r="J652" s="7">
        <f ca="1">IFERROR(__xludf.DUMMYFUNCTION("GOOGLEFINANCE(""NSE:""&amp;D652,""marketcap"")"),4213383712)</f>
        <v>4213383712</v>
      </c>
      <c r="K652" s="7">
        <v>992.8</v>
      </c>
      <c r="L652" s="8">
        <f ca="1">IFERROR(__xludf.DUMMYFUNCTION("GOOGLEFINANCE(""NSE:""&amp;D652,""price"")"),86.03)</f>
        <v>86.03</v>
      </c>
      <c r="M652" s="9">
        <f t="shared" ca="1" si="12"/>
        <v>-906.77</v>
      </c>
      <c r="N652" s="10">
        <f t="shared" ca="1" si="13"/>
        <v>-91.334609186140213</v>
      </c>
      <c r="O652" s="7" t="str">
        <f ca="1">IFERROR(__xludf.DUMMYFUNCTION("GOOGLEFINANCE(""NSE:""&amp;D652,""pe"")"),"#N/A")</f>
        <v>#N/A</v>
      </c>
      <c r="P652" s="7">
        <f ca="1">IFERROR(__xludf.DUMMYFUNCTION("GOOGLEFINANCE(""NSE:""&amp;D652,""EPS"")"),-2.15)</f>
        <v>-2.15</v>
      </c>
      <c r="Q652" s="7">
        <v>13.5</v>
      </c>
      <c r="R652" s="7" t="str">
        <f ca="1">IFERROR(__xludf.DUMMYFUNCTION("IMPORTXML(E652,""/html/body/main/div[3]/div[3]/div[2]/ul/li[7]/span[2]/span"")"),"Loading...")</f>
        <v>Loading...</v>
      </c>
      <c r="S652" s="7" t="str">
        <f ca="1">IFERROR(__xludf.DUMMYFUNCTION("IMPORTXML(E652,""/html/body/main/div[3]/div[3]/div[2]/ul/li[8]/span[2]/span"")"),"Loading...")</f>
        <v>Loading...</v>
      </c>
      <c r="T652" s="4">
        <v>34.6</v>
      </c>
      <c r="U652" s="4">
        <v>22.7</v>
      </c>
      <c r="V652" s="4">
        <v>2.6</v>
      </c>
      <c r="W652" s="4">
        <v>5.7</v>
      </c>
      <c r="X652" s="4">
        <v>519.92999999999995</v>
      </c>
      <c r="Y652" s="7">
        <f t="shared" ca="1" si="14"/>
        <v>-433.9</v>
      </c>
    </row>
    <row r="653" spans="1:25" ht="15" x14ac:dyDescent="0.25">
      <c r="A653" s="4">
        <v>462</v>
      </c>
      <c r="C653" s="12" t="s">
        <v>1849</v>
      </c>
      <c r="D653" s="12" t="s">
        <v>1850</v>
      </c>
      <c r="E653" s="5" t="str">
        <f t="shared" si="10"/>
        <v>https://www.screener.in/company/LUXIND/consolidated/</v>
      </c>
      <c r="F653" s="4">
        <v>443059</v>
      </c>
      <c r="G653" s="4">
        <v>3832241897</v>
      </c>
      <c r="H653" s="6">
        <f t="shared" ca="1" si="11"/>
        <v>498574.67079970002</v>
      </c>
      <c r="I653" s="7" t="str">
        <f ca="1">IFERROR(__xludf.DUMMYFUNCTION("IMPORTXML(E653,""/html/body/main/div[3]/div[3]/div[2]/ul/li[5]/span[2]/span"")"),"Loading...")</f>
        <v>Loading...</v>
      </c>
      <c r="J653" s="7">
        <f ca="1">IFERROR(__xludf.DUMMYFUNCTION("GOOGLEFINANCE(""NSE:""&amp;D653,""marketcap"")"),39123255680)</f>
        <v>39123255680</v>
      </c>
      <c r="K653" s="7">
        <v>992.8</v>
      </c>
      <c r="L653" s="8">
        <f ca="1">IFERROR(__xludf.DUMMYFUNCTION("GOOGLEFINANCE(""NSE:""&amp;D653,""price"")"),1301)</f>
        <v>1301</v>
      </c>
      <c r="M653" s="9">
        <f t="shared" ca="1" si="12"/>
        <v>308.20000000000005</v>
      </c>
      <c r="N653" s="10">
        <f t="shared" ca="1" si="13"/>
        <v>31.043513295729259</v>
      </c>
      <c r="O653" s="7">
        <f ca="1">IFERROR(__xludf.DUMMYFUNCTION("GOOGLEFINANCE(""NSE:""&amp;D653,""pe"")"),25.26)</f>
        <v>25.26</v>
      </c>
      <c r="P653" s="7">
        <f ca="1">IFERROR(__xludf.DUMMYFUNCTION("GOOGLEFINANCE(""NSE:""&amp;D653,""EPS"")"),51.51)</f>
        <v>51.51</v>
      </c>
      <c r="Q653" s="7">
        <v>13.5</v>
      </c>
      <c r="R653" s="7" t="str">
        <f ca="1">IFERROR(__xludf.DUMMYFUNCTION("IMPORTXML(E653,""/html/body/main/div[3]/div[3]/div[2]/ul/li[7]/span[2]/span"")"),"Loading...")</f>
        <v>Loading...</v>
      </c>
      <c r="S653" s="7" t="str">
        <f ca="1">IFERROR(__xludf.DUMMYFUNCTION("IMPORTXML(E653,""/html/body/main/div[3]/div[3]/div[2]/ul/li[8]/span[2]/span"")"),"Loading...")</f>
        <v>Loading...</v>
      </c>
      <c r="T653" s="4">
        <v>34.6</v>
      </c>
      <c r="U653" s="4">
        <v>22.7</v>
      </c>
      <c r="V653" s="4">
        <v>2.6</v>
      </c>
      <c r="W653" s="4">
        <v>5.7</v>
      </c>
      <c r="X653" s="4">
        <v>519.92999999999995</v>
      </c>
      <c r="Y653" s="7">
        <f t="shared" ca="1" si="14"/>
        <v>781.07</v>
      </c>
    </row>
    <row r="654" spans="1:25" ht="15" x14ac:dyDescent="0.25">
      <c r="A654" s="4">
        <v>715</v>
      </c>
      <c r="C654" s="12" t="s">
        <v>1851</v>
      </c>
      <c r="D654" s="12" t="s">
        <v>1852</v>
      </c>
      <c r="E654" s="5" t="str">
        <f t="shared" si="10"/>
        <v>https://www.screener.in/company/AJMERA/consolidated/</v>
      </c>
      <c r="F654" s="4">
        <v>443059</v>
      </c>
      <c r="G654" s="4">
        <v>3832241897</v>
      </c>
      <c r="H654" s="6">
        <f t="shared" ca="1" si="11"/>
        <v>382649.35341545002</v>
      </c>
      <c r="I654" s="7" t="str">
        <f ca="1">IFERROR(__xludf.DUMMYFUNCTION("IMPORTXML(E654,""/html/body/main/div[3]/div[3]/div[2]/ul/li[5]/span[2]/span"")"),"Loading...")</f>
        <v>Loading...</v>
      </c>
      <c r="J654" s="7">
        <f ca="1">IFERROR(__xludf.DUMMYFUNCTION("GOOGLEFINANCE(""NSE:""&amp;D654,""marketcap"")"),39217440000)</f>
        <v>39217440000</v>
      </c>
      <c r="K654" s="7">
        <v>992.8</v>
      </c>
      <c r="L654" s="8">
        <f ca="1">IFERROR(__xludf.DUMMYFUNCTION("GOOGLEFINANCE(""NSE:""&amp;D654,""price"")"),998.5)</f>
        <v>998.5</v>
      </c>
      <c r="M654" s="9">
        <f t="shared" ca="1" si="12"/>
        <v>5.7000000000000455</v>
      </c>
      <c r="N654" s="10">
        <f t="shared" ca="1" si="13"/>
        <v>0.57413376309428343</v>
      </c>
      <c r="O654" s="7">
        <f ca="1">IFERROR(__xludf.DUMMYFUNCTION("GOOGLEFINANCE(""NSE:""&amp;D654,""pe"")"),28.55)</f>
        <v>28.55</v>
      </c>
      <c r="P654" s="7">
        <f ca="1">IFERROR(__xludf.DUMMYFUNCTION("GOOGLEFINANCE(""NSE:""&amp;D654,""EPS"")"),34.98)</f>
        <v>34.979999999999997</v>
      </c>
      <c r="Q654" s="7">
        <v>13.5</v>
      </c>
      <c r="R654" s="7" t="str">
        <f ca="1">IFERROR(__xludf.DUMMYFUNCTION("IMPORTXML(E654,""/html/body/main/div[3]/div[3]/div[2]/ul/li[7]/span[2]/span"")"),"Loading...")</f>
        <v>Loading...</v>
      </c>
      <c r="S654" s="7" t="str">
        <f ca="1">IFERROR(__xludf.DUMMYFUNCTION("IMPORTXML(E654,""/html/body/main/div[3]/div[3]/div[2]/ul/li[8]/span[2]/span"")"),"Loading...")</f>
        <v>Loading...</v>
      </c>
      <c r="T654" s="4">
        <v>34.6</v>
      </c>
      <c r="U654" s="4">
        <v>22.7</v>
      </c>
      <c r="V654" s="4">
        <v>2.6</v>
      </c>
      <c r="W654" s="4">
        <v>5.7</v>
      </c>
      <c r="X654" s="4">
        <v>519.92999999999995</v>
      </c>
      <c r="Y654" s="7">
        <f t="shared" ca="1" si="14"/>
        <v>478.57000000000005</v>
      </c>
    </row>
    <row r="655" spans="1:25" ht="15" x14ac:dyDescent="0.25">
      <c r="A655" s="4">
        <v>414</v>
      </c>
      <c r="C655" s="12" t="s">
        <v>1853</v>
      </c>
      <c r="D655" s="12" t="s">
        <v>1854</v>
      </c>
      <c r="E655" s="5" t="str">
        <f t="shared" si="10"/>
        <v>https://www.screener.in/company/BALAMINES/consolidated/</v>
      </c>
      <c r="F655" s="4">
        <v>443059</v>
      </c>
      <c r="G655" s="4">
        <v>3832241897</v>
      </c>
      <c r="H655" s="6">
        <f t="shared" ca="1" si="11"/>
        <v>569087.92170449998</v>
      </c>
      <c r="I655" s="7" t="str">
        <f ca="1">IFERROR(__xludf.DUMMYFUNCTION("IMPORTXML(E655,""/html/body/main/div[3]/div[3]/div[2]/ul/li[5]/span[2]/span"")"),"Loading...")</f>
        <v>Loading...</v>
      </c>
      <c r="J655" s="7">
        <f ca="1">IFERROR(__xludf.DUMMYFUNCTION("GOOGLEFINANCE(""NSE:""&amp;D655,""marketcap"")"),48190010000)</f>
        <v>48190010000</v>
      </c>
      <c r="K655" s="7">
        <v>992.8</v>
      </c>
      <c r="L655" s="8">
        <f ca="1">IFERROR(__xludf.DUMMYFUNCTION("GOOGLEFINANCE(""NSE:""&amp;D655,""price"")"),1485)</f>
        <v>1485</v>
      </c>
      <c r="M655" s="9">
        <f t="shared" ca="1" si="12"/>
        <v>492.20000000000005</v>
      </c>
      <c r="N655" s="10">
        <f t="shared" ca="1" si="13"/>
        <v>49.576954069298964</v>
      </c>
      <c r="O655" s="7">
        <f ca="1">IFERROR(__xludf.DUMMYFUNCTION("GOOGLEFINANCE(""NSE:""&amp;D655,""pe"")"),31.61)</f>
        <v>31.61</v>
      </c>
      <c r="P655" s="7">
        <f ca="1">IFERROR(__xludf.DUMMYFUNCTION("GOOGLEFINANCE(""NSE:""&amp;D655,""EPS"")"),46.99)</f>
        <v>46.99</v>
      </c>
      <c r="Q655" s="7">
        <v>13.5</v>
      </c>
      <c r="R655" s="7" t="str">
        <f ca="1">IFERROR(__xludf.DUMMYFUNCTION("IMPORTXML(E655,""/html/body/main/div[3]/div[3]/div[2]/ul/li[7]/span[2]/span"")"),"Loading...")</f>
        <v>Loading...</v>
      </c>
      <c r="S655" s="7" t="str">
        <f ca="1">IFERROR(__xludf.DUMMYFUNCTION("IMPORTXML(E655,""/html/body/main/div[3]/div[3]/div[2]/ul/li[8]/span[2]/span"")"),"Loading...")</f>
        <v>Loading...</v>
      </c>
      <c r="T655" s="4">
        <v>34.6</v>
      </c>
      <c r="U655" s="4">
        <v>22.7</v>
      </c>
      <c r="V655" s="4">
        <v>2.6</v>
      </c>
      <c r="W655" s="4">
        <v>5.7</v>
      </c>
      <c r="X655" s="4">
        <v>519.92999999999995</v>
      </c>
      <c r="Y655" s="7">
        <f t="shared" ca="1" si="14"/>
        <v>965.07</v>
      </c>
    </row>
    <row r="656" spans="1:25" ht="15" x14ac:dyDescent="0.25">
      <c r="A656" s="4">
        <v>621</v>
      </c>
      <c r="C656" s="12" t="s">
        <v>1855</v>
      </c>
      <c r="D656" s="12" t="s">
        <v>1856</v>
      </c>
      <c r="E656" s="5" t="str">
        <f t="shared" si="10"/>
        <v>https://www.screener.in/company/SWARAJENG/consolidated/</v>
      </c>
      <c r="F656" s="4">
        <v>443059</v>
      </c>
      <c r="G656" s="4">
        <v>3832241897</v>
      </c>
      <c r="H656" s="6">
        <f t="shared" ca="1" si="11"/>
        <v>1610691.2693091</v>
      </c>
      <c r="I656" s="7" t="str">
        <f ca="1">IFERROR(__xludf.DUMMYFUNCTION("IMPORTXML(E656,""/html/body/main/div[3]/div[3]/div[2]/ul/li[5]/span[2]/span"")"),"Loading...")</f>
        <v>Loading...</v>
      </c>
      <c r="J656" s="7">
        <f ca="1">IFERROR(__xludf.DUMMYFUNCTION("GOOGLEFINANCE(""NSE:""&amp;D656,""marketcap"")"),50893020000)</f>
        <v>50893020000</v>
      </c>
      <c r="K656" s="7">
        <v>992.8</v>
      </c>
      <c r="L656" s="8">
        <f ca="1">IFERROR(__xludf.DUMMYFUNCTION("GOOGLEFINANCE(""NSE:""&amp;D656,""price"")"),4203)</f>
        <v>4203</v>
      </c>
      <c r="M656" s="9">
        <f t="shared" ca="1" si="12"/>
        <v>3210.2</v>
      </c>
      <c r="N656" s="10">
        <f t="shared" ca="1" si="13"/>
        <v>323.34810636583404</v>
      </c>
      <c r="O656" s="7">
        <f ca="1">IFERROR(__xludf.DUMMYFUNCTION("GOOGLEFINANCE(""NSE:""&amp;D656,""pe"")"),29.56)</f>
        <v>29.56</v>
      </c>
      <c r="P656" s="7">
        <f ca="1">IFERROR(__xludf.DUMMYFUNCTION("GOOGLEFINANCE(""NSE:""&amp;D656,""EPS"")"),142.19)</f>
        <v>142.19</v>
      </c>
      <c r="Q656" s="7">
        <v>13.5</v>
      </c>
      <c r="R656" s="7" t="str">
        <f ca="1">IFERROR(__xludf.DUMMYFUNCTION("IMPORTXML(E656,""/html/body/main/div[3]/div[3]/div[2]/ul/li[7]/span[2]/span"")"),"Loading...")</f>
        <v>Loading...</v>
      </c>
      <c r="S656" s="7" t="str">
        <f ca="1">IFERROR(__xludf.DUMMYFUNCTION("IMPORTXML(E656,""/html/body/main/div[3]/div[3]/div[2]/ul/li[8]/span[2]/span"")"),"Loading...")</f>
        <v>Loading...</v>
      </c>
      <c r="T656" s="4">
        <v>34.6</v>
      </c>
      <c r="U656" s="4">
        <v>22.7</v>
      </c>
      <c r="V656" s="4">
        <v>2.6</v>
      </c>
      <c r="W656" s="4">
        <v>5.7</v>
      </c>
      <c r="X656" s="4">
        <v>519.92999999999995</v>
      </c>
      <c r="Y656" s="7">
        <f t="shared" ca="1" si="14"/>
        <v>3683.07</v>
      </c>
    </row>
    <row r="657" spans="1:25" ht="15" x14ac:dyDescent="0.25">
      <c r="A657" s="4">
        <v>385</v>
      </c>
      <c r="C657" s="12" t="s">
        <v>1857</v>
      </c>
      <c r="D657" s="12" t="s">
        <v>1858</v>
      </c>
      <c r="E657" s="5" t="str">
        <f t="shared" si="10"/>
        <v>https://www.screener.in/company/INFIBEAM/consolidated/</v>
      </c>
      <c r="F657" s="4">
        <v>443059</v>
      </c>
      <c r="G657" s="4">
        <v>3832241897</v>
      </c>
      <c r="H657" s="6">
        <f t="shared" ca="1" si="11"/>
        <v>6215.8963569339994</v>
      </c>
      <c r="I657" s="7" t="str">
        <f ca="1">IFERROR(__xludf.DUMMYFUNCTION("IMPORTXML(E657,""/html/body/main/div[3]/div[3]/div[2]/ul/li[5]/span[2]/span"")"),"Loading...")</f>
        <v>Loading...</v>
      </c>
      <c r="J657" s="7">
        <f ca="1">IFERROR(__xludf.DUMMYFUNCTION("GOOGLEFINANCE(""NSE:""&amp;D657,""marketcap"")"),63469351483)</f>
        <v>63469351483</v>
      </c>
      <c r="K657" s="7">
        <v>992.8</v>
      </c>
      <c r="L657" s="8">
        <f ca="1">IFERROR(__xludf.DUMMYFUNCTION("GOOGLEFINANCE(""NSE:""&amp;D657,""price"")"),16.22)</f>
        <v>16.22</v>
      </c>
      <c r="M657" s="9">
        <f t="shared" ca="1" si="12"/>
        <v>-976.57999999999993</v>
      </c>
      <c r="N657" s="10">
        <f t="shared" ca="1" si="13"/>
        <v>-98.366236905721195</v>
      </c>
      <c r="O657" s="7">
        <f ca="1">IFERROR(__xludf.DUMMYFUNCTION("GOOGLEFINANCE(""NSE:""&amp;D657,""pe"")"),21.99)</f>
        <v>21.99</v>
      </c>
      <c r="P657" s="7">
        <f ca="1">IFERROR(__xludf.DUMMYFUNCTION("GOOGLEFINANCE(""NSE:""&amp;D657,""EPS"")"),0.74)</f>
        <v>0.74</v>
      </c>
      <c r="Q657" s="7">
        <v>13.5</v>
      </c>
      <c r="R657" s="7">
        <f ca="1">IFERROR(__xludf.DUMMYFUNCTION("IMPORTXML(E657,""/html/body/main/div[3]/div[3]/div[2]/ul/li[7]/span[2]/span"")"),8.27)</f>
        <v>8.27</v>
      </c>
      <c r="S657" s="7" t="str">
        <f ca="1">IFERROR(__xludf.DUMMYFUNCTION("IMPORTXML(E657,""/html/body/main/div[3]/div[3]/div[2]/ul/li[8]/span[2]/span"")"),"Loading...")</f>
        <v>Loading...</v>
      </c>
      <c r="T657" s="4">
        <v>34.6</v>
      </c>
      <c r="U657" s="4">
        <v>22.7</v>
      </c>
      <c r="V657" s="4">
        <v>2.6</v>
      </c>
      <c r="W657" s="4">
        <v>5.7</v>
      </c>
      <c r="X657" s="4">
        <v>519.92999999999995</v>
      </c>
      <c r="Y657" s="7">
        <f t="shared" ca="1" si="14"/>
        <v>-503.70999999999992</v>
      </c>
    </row>
    <row r="658" spans="1:25" ht="15" x14ac:dyDescent="0.25">
      <c r="A658" s="4">
        <v>1116</v>
      </c>
      <c r="C658" s="12" t="s">
        <v>1859</v>
      </c>
      <c r="D658" s="12" t="s">
        <v>1860</v>
      </c>
      <c r="E658" s="5" t="str">
        <f t="shared" si="10"/>
        <v>https://www.screener.in/company/STEELXIND/consolidated/</v>
      </c>
      <c r="F658" s="4">
        <v>443059</v>
      </c>
      <c r="G658" s="4">
        <v>3832241897</v>
      </c>
      <c r="H658" s="6">
        <f t="shared" ca="1" si="11"/>
        <v>3540.9915128279999</v>
      </c>
      <c r="I658" s="7" t="str">
        <f ca="1">IFERROR(__xludf.DUMMYFUNCTION("IMPORTXML(E658,""/html/body/main/div[3]/div[3]/div[2]/ul/li[5]/span[2]/span"")"),"Loading...")</f>
        <v>Loading...</v>
      </c>
      <c r="J658" s="7">
        <f ca="1">IFERROR(__xludf.DUMMYFUNCTION("GOOGLEFINANCE(""NSE:""&amp;D658,""marketcap"")"),11524501000)</f>
        <v>11524501000</v>
      </c>
      <c r="K658" s="7">
        <v>992.8</v>
      </c>
      <c r="L658" s="8">
        <f ca="1">IFERROR(__xludf.DUMMYFUNCTION("GOOGLEFINANCE(""NSE:""&amp;D658,""price"")"),9.24)</f>
        <v>9.24</v>
      </c>
      <c r="M658" s="9">
        <f t="shared" ca="1" si="12"/>
        <v>-983.56</v>
      </c>
      <c r="N658" s="10">
        <f t="shared" ca="1" si="13"/>
        <v>-99.0692989524577</v>
      </c>
      <c r="O658" s="7">
        <f ca="1">IFERROR(__xludf.DUMMYFUNCTION("GOOGLEFINANCE(""NSE:""&amp;D658,""pe"")"),33)</f>
        <v>33</v>
      </c>
      <c r="P658" s="7">
        <f ca="1">IFERROR(__xludf.DUMMYFUNCTION("GOOGLEFINANCE(""NSE:""&amp;D658,""EPS"")"),0.28)</f>
        <v>0.28000000000000003</v>
      </c>
      <c r="Q658" s="7">
        <v>13.5</v>
      </c>
      <c r="R658" s="7" t="str">
        <f ca="1">IFERROR(__xludf.DUMMYFUNCTION("IMPORTXML(E658,""/html/body/main/div[3]/div[3]/div[2]/ul/li[7]/span[2]/span"")"),"Loading...")</f>
        <v>Loading...</v>
      </c>
      <c r="S658" s="7" t="str">
        <f ca="1">IFERROR(__xludf.DUMMYFUNCTION("IMPORTXML(E658,""/html/body/main/div[3]/div[3]/div[2]/ul/li[8]/span[2]/span"")"),"Loading...")</f>
        <v>Loading...</v>
      </c>
      <c r="T658" s="4">
        <v>34.6</v>
      </c>
      <c r="U658" s="4">
        <v>22.7</v>
      </c>
      <c r="V658" s="4">
        <v>2.6</v>
      </c>
      <c r="W658" s="4">
        <v>5.7</v>
      </c>
      <c r="X658" s="4">
        <v>519.92999999999995</v>
      </c>
      <c r="Y658" s="7">
        <f t="shared" ca="1" si="14"/>
        <v>-510.68999999999994</v>
      </c>
    </row>
    <row r="659" spans="1:25" ht="15" x14ac:dyDescent="0.25">
      <c r="A659" s="4">
        <v>767</v>
      </c>
      <c r="C659" s="12" t="s">
        <v>1861</v>
      </c>
      <c r="D659" s="12" t="s">
        <v>1862</v>
      </c>
      <c r="E659" s="5" t="str">
        <f t="shared" si="10"/>
        <v>https://www.screener.in/company/CONFIPET/consolidated/</v>
      </c>
      <c r="F659" s="4">
        <v>443059</v>
      </c>
      <c r="G659" s="4">
        <v>3832241897</v>
      </c>
      <c r="H659" s="6">
        <f t="shared" ca="1" si="11"/>
        <v>18586.373200450002</v>
      </c>
      <c r="I659" s="7" t="str">
        <f ca="1">IFERROR(__xludf.DUMMYFUNCTION("IMPORTXML(E659,""/html/body/main/div[3]/div[3]/div[2]/ul/li[5]/span[2]/span"")"),"Loading...")</f>
        <v>Loading...</v>
      </c>
      <c r="J659" s="7">
        <f ca="1">IFERROR(__xludf.DUMMYFUNCTION("GOOGLEFINANCE(""NSE:""&amp;D659,""marketcap"")"),16113683650)</f>
        <v>16113683650</v>
      </c>
      <c r="K659" s="7">
        <v>992.8</v>
      </c>
      <c r="L659" s="8">
        <f ca="1">IFERROR(__xludf.DUMMYFUNCTION("GOOGLEFINANCE(""NSE:""&amp;D659,""price"")"),48.5)</f>
        <v>48.5</v>
      </c>
      <c r="M659" s="9">
        <f t="shared" ca="1" si="12"/>
        <v>-944.3</v>
      </c>
      <c r="N659" s="10">
        <f t="shared" ca="1" si="13"/>
        <v>-95.114826752618853</v>
      </c>
      <c r="O659" s="7">
        <f ca="1">IFERROR(__xludf.DUMMYFUNCTION("GOOGLEFINANCE(""NSE:""&amp;D659,""pe"")"),17.64)</f>
        <v>17.64</v>
      </c>
      <c r="P659" s="7">
        <f ca="1">IFERROR(__xludf.DUMMYFUNCTION("GOOGLEFINANCE(""NSE:""&amp;D659,""EPS"")"),2.75)</f>
        <v>2.75</v>
      </c>
      <c r="Q659" s="7">
        <v>13.5</v>
      </c>
      <c r="R659" s="7" t="str">
        <f ca="1">IFERROR(__xludf.DUMMYFUNCTION("IMPORTXML(E659,""/html/body/main/div[3]/div[3]/div[2]/ul/li[7]/span[2]/span"")"),"Loading...")</f>
        <v>Loading...</v>
      </c>
      <c r="S659" s="7" t="str">
        <f ca="1">IFERROR(__xludf.DUMMYFUNCTION("IMPORTXML(E659,""/html/body/main/div[3]/div[3]/div[2]/ul/li[8]/span[2]/span"")"),"Loading...")</f>
        <v>Loading...</v>
      </c>
      <c r="T659" s="4">
        <v>34.6</v>
      </c>
      <c r="U659" s="4">
        <v>22.7</v>
      </c>
      <c r="V659" s="4">
        <v>2.6</v>
      </c>
      <c r="W659" s="4">
        <v>5.7</v>
      </c>
      <c r="X659" s="4">
        <v>519.92999999999995</v>
      </c>
      <c r="Y659" s="7">
        <f t="shared" ca="1" si="14"/>
        <v>-471.42999999999995</v>
      </c>
    </row>
    <row r="660" spans="1:25" ht="15" x14ac:dyDescent="0.25">
      <c r="A660" s="4">
        <v>1521</v>
      </c>
      <c r="C660" s="12" t="s">
        <v>1863</v>
      </c>
      <c r="D660" s="12" t="s">
        <v>1864</v>
      </c>
      <c r="E660" s="5" t="str">
        <f t="shared" si="10"/>
        <v>https://www.screener.in/company/IFBAGRO/consolidated/</v>
      </c>
      <c r="F660" s="4">
        <v>443059</v>
      </c>
      <c r="G660" s="4">
        <v>3832241897</v>
      </c>
      <c r="H660" s="6">
        <f t="shared" ca="1" si="11"/>
        <v>300984.27859037998</v>
      </c>
      <c r="I660" s="7" t="str">
        <f ca="1">IFERROR(__xludf.DUMMYFUNCTION("IMPORTXML(E660,""/html/body/main/div[3]/div[3]/div[2]/ul/li[5]/span[2]/span"")"),"Loading...")</f>
        <v>Loading...</v>
      </c>
      <c r="J660" s="7">
        <f ca="1">IFERROR(__xludf.DUMMYFUNCTION("GOOGLEFINANCE(""NSE:""&amp;D660,""marketcap"")"),7333979000)</f>
        <v>7333979000</v>
      </c>
      <c r="K660" s="7">
        <v>992.8</v>
      </c>
      <c r="L660" s="8">
        <f ca="1">IFERROR(__xludf.DUMMYFUNCTION("GOOGLEFINANCE(""NSE:""&amp;D660,""price"")"),785.4)</f>
        <v>785.4</v>
      </c>
      <c r="M660" s="9">
        <f t="shared" ca="1" si="12"/>
        <v>-207.39999999999998</v>
      </c>
      <c r="N660" s="10">
        <f t="shared" ca="1" si="13"/>
        <v>-20.890410958904106</v>
      </c>
      <c r="O660" s="7">
        <f ca="1">IFERROR(__xludf.DUMMYFUNCTION("GOOGLEFINANCE(""NSE:""&amp;D660,""pe"")"),23.59)</f>
        <v>23.59</v>
      </c>
      <c r="P660" s="7">
        <f ca="1">IFERROR(__xludf.DUMMYFUNCTION("GOOGLEFINANCE(""NSE:""&amp;D660,""EPS"")"),33.29)</f>
        <v>33.29</v>
      </c>
      <c r="Q660" s="7">
        <v>13.5</v>
      </c>
      <c r="R660" s="7" t="str">
        <f ca="1">IFERROR(__xludf.DUMMYFUNCTION("IMPORTXML(E660,""/html/body/main/div[3]/div[3]/div[2]/ul/li[7]/span[2]/span"")"),"Loading...")</f>
        <v>Loading...</v>
      </c>
      <c r="S660" s="7" t="str">
        <f ca="1">IFERROR(__xludf.DUMMYFUNCTION("IMPORTXML(E660,""/html/body/main/div[3]/div[3]/div[2]/ul/li[8]/span[2]/span"")"),"Loading...")</f>
        <v>Loading...</v>
      </c>
      <c r="T660" s="4">
        <v>34.6</v>
      </c>
      <c r="U660" s="4">
        <v>22.7</v>
      </c>
      <c r="V660" s="4">
        <v>2.6</v>
      </c>
      <c r="W660" s="4">
        <v>5.7</v>
      </c>
      <c r="X660" s="4">
        <v>519.92999999999995</v>
      </c>
      <c r="Y660" s="7">
        <f t="shared" ca="1" si="14"/>
        <v>265.47000000000003</v>
      </c>
    </row>
    <row r="661" spans="1:25" ht="15" x14ac:dyDescent="0.25">
      <c r="A661" s="4">
        <v>1536</v>
      </c>
      <c r="C661" s="12" t="s">
        <v>1865</v>
      </c>
      <c r="D661" s="12" t="s">
        <v>1866</v>
      </c>
      <c r="E661" s="5" t="str">
        <f t="shared" si="10"/>
        <v>https://www.screener.in/company/ALMONDZ/consolidated/</v>
      </c>
      <c r="F661" s="4">
        <v>443059</v>
      </c>
      <c r="G661" s="4">
        <v>3832241897</v>
      </c>
      <c r="H661" s="6">
        <f t="shared" ca="1" si="11"/>
        <v>7411.5558287979993</v>
      </c>
      <c r="I661" s="7" t="str">
        <f ca="1">IFERROR(__xludf.DUMMYFUNCTION("IMPORTXML(E661,""/html/body/main/div[3]/div[3]/div[2]/ul/li[5]/span[2]/span"")"),"Loading...")</f>
        <v>Loading...</v>
      </c>
      <c r="J661" s="7">
        <f ca="1">IFERROR(__xludf.DUMMYFUNCTION("GOOGLEFINANCE(""NSE:""&amp;D661,""marketcap"")"),3358327204)</f>
        <v>3358327204</v>
      </c>
      <c r="K661" s="7">
        <v>992.8</v>
      </c>
      <c r="L661" s="8">
        <f ca="1">IFERROR(__xludf.DUMMYFUNCTION("GOOGLEFINANCE(""NSE:""&amp;D661,""price"")"),19.34)</f>
        <v>19.34</v>
      </c>
      <c r="M661" s="9">
        <f t="shared" ca="1" si="12"/>
        <v>-973.45999999999992</v>
      </c>
      <c r="N661" s="10">
        <f t="shared" ca="1" si="13"/>
        <v>-98.051974214343275</v>
      </c>
      <c r="O661" s="7">
        <f ca="1">IFERROR(__xludf.DUMMYFUNCTION("GOOGLEFINANCE(""NSE:""&amp;D661,""pe"")"),18.25)</f>
        <v>18.25</v>
      </c>
      <c r="P661" s="7">
        <f ca="1">IFERROR(__xludf.DUMMYFUNCTION("GOOGLEFINANCE(""NSE:""&amp;D661,""EPS"")"),1.06)</f>
        <v>1.06</v>
      </c>
      <c r="Q661" s="7">
        <v>13.5</v>
      </c>
      <c r="R661" s="7" t="str">
        <f ca="1">IFERROR(__xludf.DUMMYFUNCTION("IMPORTXML(E661,""/html/body/main/div[3]/div[3]/div[2]/ul/li[7]/span[2]/span"")"),"Loading...")</f>
        <v>Loading...</v>
      </c>
      <c r="S661" s="7" t="str">
        <f ca="1">IFERROR(__xludf.DUMMYFUNCTION("IMPORTXML(E661,""/html/body/main/div[3]/div[3]/div[2]/ul/li[8]/span[2]/span"")"),"Loading...")</f>
        <v>Loading...</v>
      </c>
      <c r="T661" s="4">
        <v>34.6</v>
      </c>
      <c r="U661" s="4">
        <v>22.7</v>
      </c>
      <c r="V661" s="4">
        <v>2.6</v>
      </c>
      <c r="W661" s="4">
        <v>5.7</v>
      </c>
      <c r="X661" s="4">
        <v>519.92999999999995</v>
      </c>
      <c r="Y661" s="7">
        <f t="shared" ca="1" si="14"/>
        <v>-500.59</v>
      </c>
    </row>
    <row r="662" spans="1:25" ht="15" x14ac:dyDescent="0.25">
      <c r="A662" s="4">
        <v>508</v>
      </c>
      <c r="C662" s="12" t="s">
        <v>1867</v>
      </c>
      <c r="D662" s="12" t="s">
        <v>1868</v>
      </c>
      <c r="E662" s="5" t="str">
        <f t="shared" si="10"/>
        <v>https://www.screener.in/company/BBL/consolidated/</v>
      </c>
      <c r="F662" s="4">
        <v>443059</v>
      </c>
      <c r="G662" s="4">
        <v>3832241897</v>
      </c>
      <c r="H662" s="6">
        <f t="shared" ca="1" si="11"/>
        <v>1156608.9269335698</v>
      </c>
      <c r="I662" s="7" t="str">
        <f ca="1">IFERROR(__xludf.DUMMYFUNCTION("IMPORTXML(E662,""/html/body/main/div[3]/div[3]/div[2]/ul/li[5]/span[2]/span"")"),"Loading...")</f>
        <v>Loading...</v>
      </c>
      <c r="J662" s="7">
        <f ca="1">IFERROR(__xludf.DUMMYFUNCTION("GOOGLEFINANCE(""NSE:""&amp;D662,""marketcap"")"),34101510000)</f>
        <v>34101510000</v>
      </c>
      <c r="K662" s="7">
        <v>992.8</v>
      </c>
      <c r="L662" s="8">
        <f ca="1">IFERROR(__xludf.DUMMYFUNCTION("GOOGLEFINANCE(""NSE:""&amp;D662,""price"")"),3018.1)</f>
        <v>3018.1</v>
      </c>
      <c r="M662" s="9">
        <f t="shared" ca="1" si="12"/>
        <v>2025.3</v>
      </c>
      <c r="N662" s="10">
        <f t="shared" ca="1" si="13"/>
        <v>203.99879129734083</v>
      </c>
      <c r="O662" s="7">
        <f ca="1">IFERROR(__xludf.DUMMYFUNCTION("GOOGLEFINANCE(""NSE:""&amp;D662,""pe"")"),24.79)</f>
        <v>24.79</v>
      </c>
      <c r="P662" s="7">
        <f ca="1">IFERROR(__xludf.DUMMYFUNCTION("GOOGLEFINANCE(""NSE:""&amp;D662,""EPS"")"),121.73)</f>
        <v>121.73</v>
      </c>
      <c r="Q662" s="7">
        <v>13.5</v>
      </c>
      <c r="R662" s="7" t="str">
        <f ca="1">IFERROR(__xludf.DUMMYFUNCTION("IMPORTXML(E662,""/html/body/main/div[3]/div[3]/div[2]/ul/li[7]/span[2]/span"")"),"Loading...")</f>
        <v>Loading...</v>
      </c>
      <c r="S662" s="7" t="str">
        <f ca="1">IFERROR(__xludf.DUMMYFUNCTION("IMPORTXML(E662,""/html/body/main/div[3]/div[3]/div[2]/ul/li[8]/span[2]/span"")"),"Loading...")</f>
        <v>Loading...</v>
      </c>
      <c r="T662" s="4">
        <v>34.6</v>
      </c>
      <c r="U662" s="4">
        <v>22.7</v>
      </c>
      <c r="V662" s="4">
        <v>2.6</v>
      </c>
      <c r="W662" s="4">
        <v>5.7</v>
      </c>
      <c r="X662" s="4">
        <v>519.92999999999995</v>
      </c>
      <c r="Y662" s="7">
        <f t="shared" ca="1" si="14"/>
        <v>2498.17</v>
      </c>
    </row>
    <row r="663" spans="1:25" ht="15" x14ac:dyDescent="0.25">
      <c r="A663" s="4">
        <v>1234</v>
      </c>
      <c r="C663" s="12" t="s">
        <v>1869</v>
      </c>
      <c r="D663" s="12" t="s">
        <v>1870</v>
      </c>
      <c r="E663" s="5" t="str">
        <f t="shared" si="10"/>
        <v>https://www.screener.in/company/MINDTECK/consolidated/</v>
      </c>
      <c r="F663" s="4">
        <v>443059</v>
      </c>
      <c r="G663" s="4">
        <v>3832241897</v>
      </c>
      <c r="H663" s="6">
        <f t="shared" ca="1" si="11"/>
        <v>80668.69193185</v>
      </c>
      <c r="I663" s="7" t="str">
        <f ca="1">IFERROR(__xludf.DUMMYFUNCTION("IMPORTXML(E663,""/html/body/main/div[3]/div[3]/div[2]/ul/li[5]/span[2]/span"")"),"Loading...")</f>
        <v>Loading...</v>
      </c>
      <c r="J663" s="7">
        <f ca="1">IFERROR(__xludf.DUMMYFUNCTION("GOOGLEFINANCE(""NSE:""&amp;D663,""marketcap"")"),6723706000)</f>
        <v>6723706000</v>
      </c>
      <c r="K663" s="7">
        <v>992.8</v>
      </c>
      <c r="L663" s="8">
        <f ca="1">IFERROR(__xludf.DUMMYFUNCTION("GOOGLEFINANCE(""NSE:""&amp;D663,""price"")"),210.5)</f>
        <v>210.5</v>
      </c>
      <c r="M663" s="9">
        <f t="shared" ca="1" si="12"/>
        <v>-782.3</v>
      </c>
      <c r="N663" s="10">
        <f t="shared" ca="1" si="13"/>
        <v>-78.79734085414988</v>
      </c>
      <c r="O663" s="7">
        <f ca="1">IFERROR(__xludf.DUMMYFUNCTION("GOOGLEFINANCE(""NSE:""&amp;D663,""pe"")"),21.73)</f>
        <v>21.73</v>
      </c>
      <c r="P663" s="7">
        <f ca="1">IFERROR(__xludf.DUMMYFUNCTION("GOOGLEFINANCE(""NSE:""&amp;D663,""EPS"")"),9.69)</f>
        <v>9.69</v>
      </c>
      <c r="Q663" s="7">
        <v>13.5</v>
      </c>
      <c r="R663" s="7" t="str">
        <f ca="1">IFERROR(__xludf.DUMMYFUNCTION("IMPORTXML(E663,""/html/body/main/div[3]/div[3]/div[2]/ul/li[7]/span[2]/span"")"),"Loading...")</f>
        <v>Loading...</v>
      </c>
      <c r="S663" s="7" t="str">
        <f ca="1">IFERROR(__xludf.DUMMYFUNCTION("IMPORTXML(E663,""/html/body/main/div[3]/div[3]/div[2]/ul/li[8]/span[2]/span"")"),"Loading...")</f>
        <v>Loading...</v>
      </c>
      <c r="T663" s="4">
        <v>34.6</v>
      </c>
      <c r="U663" s="4">
        <v>22.7</v>
      </c>
      <c r="V663" s="4">
        <v>2.6</v>
      </c>
      <c r="W663" s="4">
        <v>5.7</v>
      </c>
      <c r="X663" s="4">
        <v>519.92999999999995</v>
      </c>
      <c r="Y663" s="7">
        <f t="shared" ca="1" si="14"/>
        <v>-309.42999999999995</v>
      </c>
    </row>
    <row r="664" spans="1:25" ht="15" x14ac:dyDescent="0.25">
      <c r="A664" s="4">
        <v>984</v>
      </c>
      <c r="C664" s="12" t="s">
        <v>1871</v>
      </c>
      <c r="D664" s="12" t="s">
        <v>1872</v>
      </c>
      <c r="E664" s="5" t="str">
        <f t="shared" si="10"/>
        <v>https://www.screener.in/company/HITECHGEAR/consolidated/</v>
      </c>
      <c r="F664" s="4">
        <v>443059</v>
      </c>
      <c r="G664" s="4">
        <v>3832241897</v>
      </c>
      <c r="H664" s="6">
        <f t="shared" ca="1" si="11"/>
        <v>259059.5522372</v>
      </c>
      <c r="I664" s="7" t="str">
        <f ca="1">IFERROR(__xludf.DUMMYFUNCTION("IMPORTXML(E664,""/html/body/main/div[3]/div[3]/div[2]/ul/li[5]/span[2]/span"")"),"Loading...")</f>
        <v>Loading...</v>
      </c>
      <c r="J664" s="7">
        <f ca="1">IFERROR(__xludf.DUMMYFUNCTION("GOOGLEFINANCE(""NSE:""&amp;D664,""marketcap"")"),12688240000)</f>
        <v>12688240000</v>
      </c>
      <c r="K664" s="7">
        <v>992.8</v>
      </c>
      <c r="L664" s="8">
        <f ca="1">IFERROR(__xludf.DUMMYFUNCTION("GOOGLEFINANCE(""NSE:""&amp;D664,""price"")"),676)</f>
        <v>676</v>
      </c>
      <c r="M664" s="9">
        <f t="shared" ca="1" si="12"/>
        <v>-316.79999999999995</v>
      </c>
      <c r="N664" s="10">
        <f t="shared" ca="1" si="13"/>
        <v>-31.909750201450436</v>
      </c>
      <c r="O664" s="7">
        <f ca="1">IFERROR(__xludf.DUMMYFUNCTION("GOOGLEFINANCE(""NSE:""&amp;D664,""pe"")"),39.56)</f>
        <v>39.56</v>
      </c>
      <c r="P664" s="7">
        <f ca="1">IFERROR(__xludf.DUMMYFUNCTION("GOOGLEFINANCE(""NSE:""&amp;D664,""EPS"")"),17.09)</f>
        <v>17.09</v>
      </c>
      <c r="Q664" s="7">
        <v>13.5</v>
      </c>
      <c r="R664" s="7" t="str">
        <f ca="1">IFERROR(__xludf.DUMMYFUNCTION("IMPORTXML(E664,""/html/body/main/div[3]/div[3]/div[2]/ul/li[7]/span[2]/span"")"),"Loading...")</f>
        <v>Loading...</v>
      </c>
      <c r="S664" s="7" t="str">
        <f ca="1">IFERROR(__xludf.DUMMYFUNCTION("IMPORTXML(E664,""/html/body/main/div[3]/div[3]/div[2]/ul/li[8]/span[2]/span"")"),"Loading...")</f>
        <v>Loading...</v>
      </c>
      <c r="T664" s="4">
        <v>34.6</v>
      </c>
      <c r="U664" s="4">
        <v>22.7</v>
      </c>
      <c r="V664" s="4">
        <v>2.6</v>
      </c>
      <c r="W664" s="4">
        <v>5.7</v>
      </c>
      <c r="X664" s="4">
        <v>519.92999999999995</v>
      </c>
      <c r="Y664" s="7">
        <f t="shared" ca="1" si="14"/>
        <v>156.07000000000005</v>
      </c>
    </row>
    <row r="665" spans="1:25" ht="15" x14ac:dyDescent="0.25">
      <c r="A665" s="4">
        <v>1872</v>
      </c>
      <c r="C665" s="12" t="s">
        <v>1873</v>
      </c>
      <c r="D665" s="12" t="s">
        <v>1874</v>
      </c>
      <c r="E665" s="5" t="str">
        <f t="shared" si="10"/>
        <v>https://www.screener.in/company/STARTECK/consolidated/</v>
      </c>
      <c r="F665" s="4">
        <v>443059</v>
      </c>
      <c r="G665" s="4">
        <v>3832241897</v>
      </c>
      <c r="H665" s="6">
        <f t="shared" ca="1" si="11"/>
        <v>120715.6197555</v>
      </c>
      <c r="I665" s="7" t="str">
        <f ca="1">IFERROR(__xludf.DUMMYFUNCTION("IMPORTXML(E665,""/html/body/main/div[3]/div[3]/div[2]/ul/li[5]/span[2]/span"")"),"Loading...")</f>
        <v>Loading...</v>
      </c>
      <c r="J665" s="7">
        <f ca="1">IFERROR(__xludf.DUMMYFUNCTION("GOOGLEFINANCE(""NSE:""&amp;D665,""marketcap"")"),3121754265)</f>
        <v>3121754265</v>
      </c>
      <c r="K665" s="7">
        <v>992.8</v>
      </c>
      <c r="L665" s="8">
        <f ca="1">IFERROR(__xludf.DUMMYFUNCTION("GOOGLEFINANCE(""NSE:""&amp;D665,""price"")"),315)</f>
        <v>315</v>
      </c>
      <c r="M665" s="9">
        <f t="shared" ca="1" si="12"/>
        <v>-677.8</v>
      </c>
      <c r="N665" s="10">
        <f t="shared" ca="1" si="13"/>
        <v>-68.271555197421435</v>
      </c>
      <c r="O665" s="7">
        <f ca="1">IFERROR(__xludf.DUMMYFUNCTION("GOOGLEFINANCE(""NSE:""&amp;D665,""pe"")"),25.55)</f>
        <v>25.55</v>
      </c>
      <c r="P665" s="7">
        <f ca="1">IFERROR(__xludf.DUMMYFUNCTION("GOOGLEFINANCE(""NSE:""&amp;D665,""EPS"")"),12.33)</f>
        <v>12.33</v>
      </c>
      <c r="Q665" s="7">
        <v>13.5</v>
      </c>
      <c r="R665" s="7" t="str">
        <f ca="1">IFERROR(__xludf.DUMMYFUNCTION("IMPORTXML(E665,""/html/body/main/div[3]/div[3]/div[2]/ul/li[7]/span[2]/span"")"),"Loading...")</f>
        <v>Loading...</v>
      </c>
      <c r="S665" s="7" t="str">
        <f ca="1">IFERROR(__xludf.DUMMYFUNCTION("IMPORTXML(E665,""/html/body/main/div[3]/div[3]/div[2]/ul/li[8]/span[2]/span"")"),"Loading...")</f>
        <v>Loading...</v>
      </c>
      <c r="T665" s="4">
        <v>34.6</v>
      </c>
      <c r="U665" s="4">
        <v>22.7</v>
      </c>
      <c r="V665" s="4">
        <v>2.6</v>
      </c>
      <c r="W665" s="4">
        <v>5.7</v>
      </c>
      <c r="X665" s="4">
        <v>519.92999999999995</v>
      </c>
      <c r="Y665" s="7">
        <f t="shared" ca="1" si="14"/>
        <v>-204.92999999999995</v>
      </c>
    </row>
    <row r="666" spans="1:25" ht="15" x14ac:dyDescent="0.25">
      <c r="A666" s="4">
        <v>1006</v>
      </c>
      <c r="C666" s="12" t="s">
        <v>1875</v>
      </c>
      <c r="D666" s="12" t="s">
        <v>1876</v>
      </c>
      <c r="E666" s="5" t="str">
        <f t="shared" si="10"/>
        <v>https://www.screener.in/company/MATRIMONY/consolidated/</v>
      </c>
      <c r="F666" s="4">
        <v>443059</v>
      </c>
      <c r="G666" s="4">
        <v>3832241897</v>
      </c>
      <c r="H666" s="6">
        <f t="shared" ca="1" si="11"/>
        <v>195827.5609367</v>
      </c>
      <c r="I666" s="7" t="str">
        <f ca="1">IFERROR(__xludf.DUMMYFUNCTION("IMPORTXML(E666,""/html/body/main/div[3]/div[3]/div[2]/ul/li[5]/span[2]/span"")"),"Loading...")</f>
        <v>Loading...</v>
      </c>
      <c r="J666" s="7">
        <f ca="1">IFERROR(__xludf.DUMMYFUNCTION("GOOGLEFINANCE(""NSE:""&amp;D666,""marketcap"")"),11018902510)</f>
        <v>11018902510</v>
      </c>
      <c r="K666" s="7">
        <v>992.8</v>
      </c>
      <c r="L666" s="8">
        <f ca="1">IFERROR(__xludf.DUMMYFUNCTION("GOOGLEFINANCE(""NSE:""&amp;D666,""price"")"),511)</f>
        <v>511</v>
      </c>
      <c r="M666" s="9">
        <f t="shared" ca="1" si="12"/>
        <v>-481.79999999999995</v>
      </c>
      <c r="N666" s="10">
        <f t="shared" ca="1" si="13"/>
        <v>-48.529411764705884</v>
      </c>
      <c r="O666" s="7">
        <f ca="1">IFERROR(__xludf.DUMMYFUNCTION("GOOGLEFINANCE(""NSE:""&amp;D666,""pe"")"),28.19)</f>
        <v>28.19</v>
      </c>
      <c r="P666" s="7">
        <f ca="1">IFERROR(__xludf.DUMMYFUNCTION("GOOGLEFINANCE(""NSE:""&amp;D666,""EPS"")"),18.13)</f>
        <v>18.13</v>
      </c>
      <c r="Q666" s="7">
        <v>13.5</v>
      </c>
      <c r="R666" s="7" t="str">
        <f ca="1">IFERROR(__xludf.DUMMYFUNCTION("IMPORTXML(E666,""/html/body/main/div[3]/div[3]/div[2]/ul/li[7]/span[2]/span"")"),"Loading...")</f>
        <v>Loading...</v>
      </c>
      <c r="S666" s="7" t="str">
        <f ca="1">IFERROR(__xludf.DUMMYFUNCTION("IMPORTXML(E666,""/html/body/main/div[3]/div[3]/div[2]/ul/li[8]/span[2]/span"")"),"Loading...")</f>
        <v>Loading...</v>
      </c>
      <c r="T666" s="4">
        <v>34.6</v>
      </c>
      <c r="U666" s="4">
        <v>22.7</v>
      </c>
      <c r="V666" s="4">
        <v>2.6</v>
      </c>
      <c r="W666" s="4">
        <v>5.7</v>
      </c>
      <c r="X666" s="4">
        <v>519.92999999999995</v>
      </c>
      <c r="Y666" s="7">
        <f t="shared" ca="1" si="14"/>
        <v>-8.92999999999995</v>
      </c>
    </row>
    <row r="667" spans="1:25" ht="15" x14ac:dyDescent="0.25">
      <c r="A667" s="4">
        <v>206</v>
      </c>
      <c r="C667" s="12" t="s">
        <v>1877</v>
      </c>
      <c r="D667" s="12" t="s">
        <v>1878</v>
      </c>
      <c r="E667" s="5" t="str">
        <f t="shared" si="10"/>
        <v>https://www.screener.in/company/AAVAS/consolidated/</v>
      </c>
      <c r="F667" s="4">
        <v>443059</v>
      </c>
      <c r="G667" s="4">
        <v>3832241897</v>
      </c>
      <c r="H667" s="6">
        <f t="shared" ca="1" si="11"/>
        <v>610092.91000240005</v>
      </c>
      <c r="I667" s="7" t="str">
        <f ca="1">IFERROR(__xludf.DUMMYFUNCTION("IMPORTXML(E667,""/html/body/main/div[3]/div[3]/div[2]/ul/li[5]/span[2]/span"")"),"Loading...")</f>
        <v>Loading...</v>
      </c>
      <c r="J667" s="7">
        <f ca="1">IFERROR(__xludf.DUMMYFUNCTION("GOOGLEFINANCE(""NSE:""&amp;D667,""marketcap"")"),125818545597)</f>
        <v>125818545597</v>
      </c>
      <c r="K667" s="7">
        <v>992.8</v>
      </c>
      <c r="L667" s="8">
        <f ca="1">IFERROR(__xludf.DUMMYFUNCTION("GOOGLEFINANCE(""NSE:""&amp;D667,""price"")"),1592)</f>
        <v>1592</v>
      </c>
      <c r="M667" s="9">
        <f t="shared" ca="1" si="12"/>
        <v>599.20000000000005</v>
      </c>
      <c r="N667" s="10">
        <f t="shared" ca="1" si="13"/>
        <v>60.354552780016121</v>
      </c>
      <c r="O667" s="7">
        <f ca="1">IFERROR(__xludf.DUMMYFUNCTION("GOOGLEFINANCE(""NSE:""&amp;D667,""pe"")"),21.64)</f>
        <v>21.64</v>
      </c>
      <c r="P667" s="7">
        <f ca="1">IFERROR(__xludf.DUMMYFUNCTION("GOOGLEFINANCE(""NSE:""&amp;D667,""EPS"")"),73.56)</f>
        <v>73.56</v>
      </c>
      <c r="Q667" s="7">
        <v>13.5</v>
      </c>
      <c r="R667" s="7" t="str">
        <f ca="1">IFERROR(__xludf.DUMMYFUNCTION("IMPORTXML(E667,""/html/body/main/div[3]/div[3]/div[2]/ul/li[7]/span[2]/span"")"),"Loading...")</f>
        <v>Loading...</v>
      </c>
      <c r="S667" s="7" t="str">
        <f ca="1">IFERROR(__xludf.DUMMYFUNCTION("IMPORTXML(E667,""/html/body/main/div[3]/div[3]/div[2]/ul/li[8]/span[2]/span"")"),"Loading...")</f>
        <v>Loading...</v>
      </c>
      <c r="T667" s="4">
        <v>34.6</v>
      </c>
      <c r="U667" s="4">
        <v>22.7</v>
      </c>
      <c r="V667" s="4">
        <v>2.6</v>
      </c>
      <c r="W667" s="4">
        <v>5.7</v>
      </c>
      <c r="X667" s="4">
        <v>519.92999999999995</v>
      </c>
      <c r="Y667" s="7">
        <f t="shared" ca="1" si="14"/>
        <v>1072.0700000000002</v>
      </c>
    </row>
    <row r="668" spans="1:25" ht="15" x14ac:dyDescent="0.25">
      <c r="A668" s="4">
        <v>354</v>
      </c>
      <c r="C668" s="12" t="s">
        <v>1879</v>
      </c>
      <c r="D668" s="12" t="s">
        <v>1880</v>
      </c>
      <c r="E668" s="5" t="str">
        <f t="shared" si="10"/>
        <v>https://www.screener.in/company/FDC/consolidated/</v>
      </c>
      <c r="F668" s="4">
        <v>443059</v>
      </c>
      <c r="G668" s="4">
        <v>3832241897</v>
      </c>
      <c r="H668" s="6">
        <f t="shared" ca="1" si="11"/>
        <v>180900.978747885</v>
      </c>
      <c r="I668" s="7" t="str">
        <f ca="1">IFERROR(__xludf.DUMMYFUNCTION("IMPORTXML(E668,""/html/body/main/div[3]/div[3]/div[2]/ul/li[5]/span[2]/span"")"),"Loading...")</f>
        <v>Loading...</v>
      </c>
      <c r="J668" s="7">
        <f ca="1">IFERROR(__xludf.DUMMYFUNCTION("GOOGLEFINANCE(""NSE:""&amp;D668,""marketcap"")"),76675410000)</f>
        <v>76675410000</v>
      </c>
      <c r="K668" s="7">
        <v>992.8</v>
      </c>
      <c r="L668" s="8">
        <f ca="1">IFERROR(__xludf.DUMMYFUNCTION("GOOGLEFINANCE(""NSE:""&amp;D668,""price"")"),472.05)</f>
        <v>472.05</v>
      </c>
      <c r="M668" s="9">
        <f t="shared" ca="1" si="12"/>
        <v>-520.75</v>
      </c>
      <c r="N668" s="10">
        <f t="shared" ca="1" si="13"/>
        <v>-52.45265914585012</v>
      </c>
      <c r="O668" s="7">
        <f ca="1">IFERROR(__xludf.DUMMYFUNCTION("GOOGLEFINANCE(""NSE:""&amp;D668,""pe"")"),28.56)</f>
        <v>28.56</v>
      </c>
      <c r="P668" s="7">
        <f ca="1">IFERROR(__xludf.DUMMYFUNCTION("GOOGLEFINANCE(""NSE:""&amp;D668,""EPS"")"),16.53)</f>
        <v>16.53</v>
      </c>
      <c r="Q668" s="7">
        <v>13.5</v>
      </c>
      <c r="R668" s="7" t="str">
        <f ca="1">IFERROR(__xludf.DUMMYFUNCTION("IMPORTXML(E668,""/html/body/main/div[3]/div[3]/div[2]/ul/li[7]/span[2]/span"")"),"Loading...")</f>
        <v>Loading...</v>
      </c>
      <c r="S668" s="7" t="str">
        <f ca="1">IFERROR(__xludf.DUMMYFUNCTION("IMPORTXML(E668,""/html/body/main/div[3]/div[3]/div[2]/ul/li[8]/span[2]/span"")"),"Loading...")</f>
        <v>Loading...</v>
      </c>
      <c r="T668" s="4">
        <v>34.6</v>
      </c>
      <c r="U668" s="4">
        <v>22.7</v>
      </c>
      <c r="V668" s="4">
        <v>2.6</v>
      </c>
      <c r="W668" s="4">
        <v>5.7</v>
      </c>
      <c r="X668" s="4">
        <v>519.92999999999995</v>
      </c>
      <c r="Y668" s="7">
        <f t="shared" ca="1" si="14"/>
        <v>-47.879999999999939</v>
      </c>
    </row>
    <row r="669" spans="1:25" ht="15" x14ac:dyDescent="0.25">
      <c r="A669" s="4">
        <v>1292</v>
      </c>
      <c r="C669" s="12" t="s">
        <v>1881</v>
      </c>
      <c r="D669" s="12" t="s">
        <v>1882</v>
      </c>
      <c r="E669" s="5" t="str">
        <f t="shared" si="10"/>
        <v>https://www.screener.in/company/HPAL/consolidated/</v>
      </c>
      <c r="F669" s="4">
        <v>443059</v>
      </c>
      <c r="G669" s="4">
        <v>3832241897</v>
      </c>
      <c r="H669" s="6">
        <f t="shared" ca="1" si="11"/>
        <v>17620.648242406001</v>
      </c>
      <c r="I669" s="7" t="str">
        <f ca="1">IFERROR(__xludf.DUMMYFUNCTION("IMPORTXML(E669,""/html/body/main/div[3]/div[3]/div[2]/ul/li[5]/span[2]/span"")"),"Loading...")</f>
        <v>Loading...</v>
      </c>
      <c r="J669" s="7">
        <f ca="1">IFERROR(__xludf.DUMMYFUNCTION("GOOGLEFINANCE(""NSE:""&amp;D669,""marketcap"")"),4241031321)</f>
        <v>4241031321</v>
      </c>
      <c r="K669" s="7">
        <v>992.8</v>
      </c>
      <c r="L669" s="8">
        <f ca="1">IFERROR(__xludf.DUMMYFUNCTION("GOOGLEFINANCE(""NSE:""&amp;D669,""price"")"),45.98)</f>
        <v>45.98</v>
      </c>
      <c r="M669" s="9">
        <f t="shared" ca="1" si="12"/>
        <v>-946.81999999999994</v>
      </c>
      <c r="N669" s="10">
        <f t="shared" ca="1" si="13"/>
        <v>-95.368654311039478</v>
      </c>
      <c r="O669" s="7">
        <f ca="1">IFERROR(__xludf.DUMMYFUNCTION("GOOGLEFINANCE(""NSE:""&amp;D669,""pe"")"),25.13)</f>
        <v>25.13</v>
      </c>
      <c r="P669" s="7">
        <f ca="1">IFERROR(__xludf.DUMMYFUNCTION("GOOGLEFINANCE(""NSE:""&amp;D669,""EPS"")"),1.83)</f>
        <v>1.83</v>
      </c>
      <c r="Q669" s="7">
        <v>13.5</v>
      </c>
      <c r="R669" s="7" t="str">
        <f ca="1">IFERROR(__xludf.DUMMYFUNCTION("IMPORTXML(E669,""/html/body/main/div[3]/div[3]/div[2]/ul/li[7]/span[2]/span"")"),"Loading...")</f>
        <v>Loading...</v>
      </c>
      <c r="S669" s="7" t="str">
        <f ca="1">IFERROR(__xludf.DUMMYFUNCTION("IMPORTXML(E669,""/html/body/main/div[3]/div[3]/div[2]/ul/li[8]/span[2]/span"")"),"Loading...")</f>
        <v>Loading...</v>
      </c>
      <c r="T669" s="4">
        <v>34.6</v>
      </c>
      <c r="U669" s="4">
        <v>22.7</v>
      </c>
      <c r="V669" s="4">
        <v>2.6</v>
      </c>
      <c r="W669" s="4">
        <v>5.7</v>
      </c>
      <c r="X669" s="4">
        <v>519.92999999999995</v>
      </c>
      <c r="Y669" s="7">
        <f t="shared" ca="1" si="14"/>
        <v>-473.94999999999993</v>
      </c>
    </row>
    <row r="670" spans="1:25" ht="15" x14ac:dyDescent="0.25">
      <c r="A670" s="4">
        <v>745</v>
      </c>
      <c r="C670" s="12" t="s">
        <v>1883</v>
      </c>
      <c r="D670" s="12" t="s">
        <v>1884</v>
      </c>
      <c r="E670" s="5" t="str">
        <f t="shared" si="10"/>
        <v>https://www.screener.in/company/KICL/consolidated/</v>
      </c>
      <c r="F670" s="4">
        <v>443059</v>
      </c>
      <c r="G670" s="4">
        <v>3832241897</v>
      </c>
      <c r="H670" s="6">
        <f t="shared" ca="1" si="11"/>
        <v>1817249.1075573999</v>
      </c>
      <c r="I670" s="7" t="str">
        <f ca="1">IFERROR(__xludf.DUMMYFUNCTION("IMPORTXML(E670,""/html/body/main/div[3]/div[3]/div[2]/ul/li[5]/span[2]/span"")"),"Loading...")</f>
        <v>Loading...</v>
      </c>
      <c r="J670" s="7">
        <f ca="1">IFERROR(__xludf.DUMMYFUNCTION("GOOGLEFINANCE(""NSE:""&amp;D670,""marketcap"")"),20699410000)</f>
        <v>20699410000</v>
      </c>
      <c r="K670" s="7">
        <v>992.8</v>
      </c>
      <c r="L670" s="8">
        <f ca="1">IFERROR(__xludf.DUMMYFUNCTION("GOOGLEFINANCE(""NSE:""&amp;D670,""price"")"),4742)</f>
        <v>4742</v>
      </c>
      <c r="M670" s="9">
        <f t="shared" ca="1" si="12"/>
        <v>3749.2</v>
      </c>
      <c r="N670" s="10">
        <f t="shared" ca="1" si="13"/>
        <v>377.63900080580174</v>
      </c>
      <c r="O670" s="7">
        <f ca="1">IFERROR(__xludf.DUMMYFUNCTION("GOOGLEFINANCE(""NSE:""&amp;D670,""pe"")"),32.25)</f>
        <v>32.25</v>
      </c>
      <c r="P670" s="7">
        <f ca="1">IFERROR(__xludf.DUMMYFUNCTION("GOOGLEFINANCE(""NSE:""&amp;D670,""EPS"")"),147.06)</f>
        <v>147.06</v>
      </c>
      <c r="Q670" s="7">
        <v>13.5</v>
      </c>
      <c r="R670" s="7" t="str">
        <f ca="1">IFERROR(__xludf.DUMMYFUNCTION("IMPORTXML(E670,""/html/body/main/div[3]/div[3]/div[2]/ul/li[7]/span[2]/span"")"),"Loading...")</f>
        <v>Loading...</v>
      </c>
      <c r="S670" s="7" t="str">
        <f ca="1">IFERROR(__xludf.DUMMYFUNCTION("IMPORTXML(E670,""/html/body/main/div[3]/div[3]/div[2]/ul/li[8]/span[2]/span"")"),"Loading...")</f>
        <v>Loading...</v>
      </c>
      <c r="T670" s="4">
        <v>34.6</v>
      </c>
      <c r="U670" s="4">
        <v>22.7</v>
      </c>
      <c r="V670" s="4">
        <v>2.6</v>
      </c>
      <c r="W670" s="4">
        <v>5.7</v>
      </c>
      <c r="X670" s="4">
        <v>519.92999999999995</v>
      </c>
      <c r="Y670" s="7">
        <f t="shared" ca="1" si="14"/>
        <v>4222.07</v>
      </c>
    </row>
    <row r="671" spans="1:25" ht="15" x14ac:dyDescent="0.25">
      <c r="A671" s="4">
        <v>329</v>
      </c>
      <c r="C671" s="12" t="s">
        <v>1885</v>
      </c>
      <c r="D671" s="12" t="s">
        <v>1886</v>
      </c>
      <c r="E671" s="5" t="str">
        <f t="shared" si="10"/>
        <v>https://www.screener.in/company/TIMETECHNO/consolidated/</v>
      </c>
      <c r="F671" s="4">
        <v>443059</v>
      </c>
      <c r="G671" s="4">
        <v>3832241897</v>
      </c>
      <c r="H671" s="6">
        <f t="shared" ca="1" si="11"/>
        <v>182088.97373595499</v>
      </c>
      <c r="I671" s="7" t="str">
        <f ca="1">IFERROR(__xludf.DUMMYFUNCTION("IMPORTXML(E671,""/html/body/main/div[3]/div[3]/div[2]/ul/li[5]/span[2]/span"")"),"Loading...")</f>
        <v>Loading...</v>
      </c>
      <c r="J671" s="7">
        <f ca="1">IFERROR(__xludf.DUMMYFUNCTION("GOOGLEFINANCE(""NSE:""&amp;D671,""marketcap"")"),107825312964)</f>
        <v>107825312964</v>
      </c>
      <c r="K671" s="7">
        <v>992.8</v>
      </c>
      <c r="L671" s="8">
        <f ca="1">IFERROR(__xludf.DUMMYFUNCTION("GOOGLEFINANCE(""NSE:""&amp;D671,""price"")"),475.15)</f>
        <v>475.15</v>
      </c>
      <c r="M671" s="9">
        <f t="shared" ca="1" si="12"/>
        <v>-517.65</v>
      </c>
      <c r="N671" s="10">
        <f t="shared" ca="1" si="13"/>
        <v>-52.140410958904106</v>
      </c>
      <c r="O671" s="7">
        <f ca="1">IFERROR(__xludf.DUMMYFUNCTION("GOOGLEFINANCE(""NSE:""&amp;D671,""pe"")"),26.72)</f>
        <v>26.72</v>
      </c>
      <c r="P671" s="7">
        <f ca="1">IFERROR(__xludf.DUMMYFUNCTION("GOOGLEFINANCE(""NSE:""&amp;D671,""EPS"")"),17.79)</f>
        <v>17.79</v>
      </c>
      <c r="Q671" s="7">
        <v>13.5</v>
      </c>
      <c r="R671" s="7">
        <f ca="1">IFERROR(__xludf.DUMMYFUNCTION("IMPORTXML(E671,""/html/body/main/div[3]/div[3]/div[2]/ul/li[7]/span[2]/span"")"),17.4)</f>
        <v>17.399999999999999</v>
      </c>
      <c r="S671" s="7" t="str">
        <f ca="1">IFERROR(__xludf.DUMMYFUNCTION("IMPORTXML(E671,""/html/body/main/div[3]/div[3]/div[2]/ul/li[8]/span[2]/span"")"),"Loading...")</f>
        <v>Loading...</v>
      </c>
      <c r="T671" s="4">
        <v>34.6</v>
      </c>
      <c r="U671" s="4">
        <v>22.7</v>
      </c>
      <c r="V671" s="4">
        <v>2.6</v>
      </c>
      <c r="W671" s="4">
        <v>5.7</v>
      </c>
      <c r="X671" s="4">
        <v>519.92999999999995</v>
      </c>
      <c r="Y671" s="7">
        <f t="shared" ca="1" si="14"/>
        <v>-44.779999999999973</v>
      </c>
    </row>
    <row r="672" spans="1:25" ht="15" x14ac:dyDescent="0.25">
      <c r="A672" s="4">
        <v>866</v>
      </c>
      <c r="C672" s="12" t="s">
        <v>1887</v>
      </c>
      <c r="D672" s="12" t="s">
        <v>1888</v>
      </c>
      <c r="E672" s="5" t="str">
        <f t="shared" si="10"/>
        <v>https://www.screener.in/company/SDBL/consolidated/</v>
      </c>
      <c r="F672" s="4">
        <v>443059</v>
      </c>
      <c r="G672" s="4">
        <v>3832241897</v>
      </c>
      <c r="H672" s="6">
        <f t="shared" ca="1" si="11"/>
        <v>52501.713988900003</v>
      </c>
      <c r="I672" s="7" t="str">
        <f ca="1">IFERROR(__xludf.DUMMYFUNCTION("IMPORTXML(E672,""/html/body/main/div[3]/div[3]/div[2]/ul/li[5]/span[2]/span"")"),"Loading...")</f>
        <v>Loading...</v>
      </c>
      <c r="J672" s="7">
        <f ca="1">IFERROR(__xludf.DUMMYFUNCTION("GOOGLEFINANCE(""NSE:""&amp;D672,""marketcap"")"),28482478100)</f>
        <v>28482478100</v>
      </c>
      <c r="K672" s="7">
        <v>992.8</v>
      </c>
      <c r="L672" s="8">
        <f ca="1">IFERROR(__xludf.DUMMYFUNCTION("GOOGLEFINANCE(""NSE:""&amp;D672,""price"")"),137)</f>
        <v>137</v>
      </c>
      <c r="M672" s="9">
        <f t="shared" ca="1" si="12"/>
        <v>-855.8</v>
      </c>
      <c r="N672" s="10">
        <f t="shared" ca="1" si="13"/>
        <v>-86.200644641418208</v>
      </c>
      <c r="O672" s="7">
        <f ca="1">IFERROR(__xludf.DUMMYFUNCTION("GOOGLEFINANCE(""NSE:""&amp;D672,""pe"")"),26.25)</f>
        <v>26.25</v>
      </c>
      <c r="P672" s="7">
        <f ca="1">IFERROR(__xludf.DUMMYFUNCTION("GOOGLEFINANCE(""NSE:""&amp;D672,""EPS"")"),5.22)</f>
        <v>5.22</v>
      </c>
      <c r="Q672" s="7">
        <v>13.5</v>
      </c>
      <c r="R672" s="7" t="str">
        <f ca="1">IFERROR(__xludf.DUMMYFUNCTION("IMPORTXML(E672,""/html/body/main/div[3]/div[3]/div[2]/ul/li[7]/span[2]/span"")"),"Loading...")</f>
        <v>Loading...</v>
      </c>
      <c r="S672" s="7" t="str">
        <f ca="1">IFERROR(__xludf.DUMMYFUNCTION("IMPORTXML(E672,""/html/body/main/div[3]/div[3]/div[2]/ul/li[8]/span[2]/span"")"),"Loading...")</f>
        <v>Loading...</v>
      </c>
      <c r="T672" s="4">
        <v>34.6</v>
      </c>
      <c r="U672" s="4">
        <v>22.7</v>
      </c>
      <c r="V672" s="4">
        <v>2.6</v>
      </c>
      <c r="W672" s="4">
        <v>5.7</v>
      </c>
      <c r="X672" s="4">
        <v>519.92999999999995</v>
      </c>
      <c r="Y672" s="7">
        <f t="shared" ca="1" si="14"/>
        <v>-382.92999999999995</v>
      </c>
    </row>
    <row r="673" spans="1:25" ht="15" x14ac:dyDescent="0.25">
      <c r="A673" s="4">
        <v>945</v>
      </c>
      <c r="C673" s="12" t="s">
        <v>1889</v>
      </c>
      <c r="D673" s="12" t="s">
        <v>1890</v>
      </c>
      <c r="E673" s="5" t="str">
        <f t="shared" si="10"/>
        <v>https://www.screener.in/company/ADORWELD/consolidated/</v>
      </c>
      <c r="F673" s="4">
        <v>443059</v>
      </c>
      <c r="G673" s="4">
        <v>3832241897</v>
      </c>
      <c r="H673" s="6" t="e">
        <f t="shared" ca="1" si="11"/>
        <v>#VALUE!</v>
      </c>
      <c r="I673" s="7" t="str">
        <f ca="1">IFERROR(__xludf.DUMMYFUNCTION("IMPORTXML(E673,""/html/body/main/div[3]/div[3]/div[2]/ul/li[5]/span[2]/span"")"),"Loading...")</f>
        <v>Loading...</v>
      </c>
      <c r="J673" s="7" t="str">
        <f ca="1">IFERROR(__xludf.DUMMYFUNCTION("GOOGLEFINANCE(""NSE:""&amp;D673,""marketcap"")"),"#N/A")</f>
        <v>#N/A</v>
      </c>
      <c r="K673" s="7">
        <v>992.8</v>
      </c>
      <c r="L673" s="8" t="str">
        <f ca="1">IFERROR(__xludf.DUMMYFUNCTION("GOOGLEFINANCE(""NSE:""&amp;D673,""price"")"),"#N/A")</f>
        <v>#N/A</v>
      </c>
      <c r="M673" s="9" t="e">
        <f t="shared" ca="1" si="12"/>
        <v>#VALUE!</v>
      </c>
      <c r="N673" s="10" t="e">
        <f t="shared" ca="1" si="13"/>
        <v>#VALUE!</v>
      </c>
      <c r="O673" s="7" t="str">
        <f ca="1">IFERROR(__xludf.DUMMYFUNCTION("GOOGLEFINANCE(""NSE:""&amp;D673,""pe"")"),"#N/A")</f>
        <v>#N/A</v>
      </c>
      <c r="P673" s="7" t="str">
        <f ca="1">IFERROR(__xludf.DUMMYFUNCTION("GOOGLEFINANCE(""NSE:""&amp;D673,""EPS"")"),"#N/A")</f>
        <v>#N/A</v>
      </c>
      <c r="Q673" s="7">
        <v>13.5</v>
      </c>
      <c r="R673" s="7" t="str">
        <f ca="1">IFERROR(__xludf.DUMMYFUNCTION("IMPORTXML(E673,""/html/body/main/div[3]/div[3]/div[2]/ul/li[7]/span[2]/span"")"),"Loading...")</f>
        <v>Loading...</v>
      </c>
      <c r="S673" s="7" t="str">
        <f ca="1">IFERROR(__xludf.DUMMYFUNCTION("IMPORTXML(E673,""/html/body/main/div[3]/div[3]/div[2]/ul/li[8]/span[2]/span"")"),"Loading...")</f>
        <v>Loading...</v>
      </c>
      <c r="T673" s="4">
        <v>34.6</v>
      </c>
      <c r="U673" s="4">
        <v>22.7</v>
      </c>
      <c r="V673" s="4">
        <v>2.6</v>
      </c>
      <c r="W673" s="4">
        <v>5.7</v>
      </c>
      <c r="X673" s="4">
        <v>519.92999999999995</v>
      </c>
      <c r="Y673" s="7" t="e">
        <f t="shared" ca="1" si="14"/>
        <v>#VALUE!</v>
      </c>
    </row>
    <row r="674" spans="1:25" ht="15" x14ac:dyDescent="0.25">
      <c r="A674" s="4">
        <v>387</v>
      </c>
      <c r="C674" s="12" t="s">
        <v>1891</v>
      </c>
      <c r="D674" s="12" t="s">
        <v>1892</v>
      </c>
      <c r="E674" s="5" t="str">
        <f t="shared" si="10"/>
        <v>https://www.screener.in/company/INDIASHLTR/consolidated/</v>
      </c>
      <c r="F674" s="4">
        <v>443059</v>
      </c>
      <c r="G674" s="4">
        <v>3832241897</v>
      </c>
      <c r="H674" s="6">
        <f t="shared" ca="1" si="11"/>
        <v>343982.03267472005</v>
      </c>
      <c r="I674" s="7" t="str">
        <f ca="1">IFERROR(__xludf.DUMMYFUNCTION("IMPORTXML(E674,""/html/body/main/div[3]/div[3]/div[2]/ul/li[5]/span[2]/span"")"),"Loading...")</f>
        <v>Loading...</v>
      </c>
      <c r="J674" s="7">
        <f ca="1">IFERROR(__xludf.DUMMYFUNCTION("GOOGLEFINANCE(""NSE:""&amp;D674,""marketcap"")"),97143654957)</f>
        <v>97143654957</v>
      </c>
      <c r="K674" s="7">
        <v>992.8</v>
      </c>
      <c r="L674" s="8">
        <f ca="1">IFERROR(__xludf.DUMMYFUNCTION("GOOGLEFINANCE(""NSE:""&amp;D674,""price"")"),897.6)</f>
        <v>897.6</v>
      </c>
      <c r="M674" s="9">
        <f t="shared" ca="1" si="12"/>
        <v>-95.199999999999932</v>
      </c>
      <c r="N674" s="10">
        <f t="shared" ca="1" si="13"/>
        <v>-9.5890410958904049</v>
      </c>
      <c r="O674" s="7">
        <f ca="1">IFERROR(__xludf.DUMMYFUNCTION("GOOGLEFINANCE(""NSE:""&amp;D674,""pe"")"),24.23)</f>
        <v>24.23</v>
      </c>
      <c r="P674" s="7">
        <f ca="1">IFERROR(__xludf.DUMMYFUNCTION("GOOGLEFINANCE(""NSE:""&amp;D674,""EPS"")"),37.05)</f>
        <v>37.049999999999997</v>
      </c>
      <c r="Q674" s="7">
        <v>13.5</v>
      </c>
      <c r="R674" s="7" t="str">
        <f ca="1">IFERROR(__xludf.DUMMYFUNCTION("IMPORTXML(E674,""/html/body/main/div[3]/div[3]/div[2]/ul/li[7]/span[2]/span"")"),"Loading...")</f>
        <v>Loading...</v>
      </c>
      <c r="S674" s="7" t="str">
        <f ca="1">IFERROR(__xludf.DUMMYFUNCTION("IMPORTXML(E674,""/html/body/main/div[3]/div[3]/div[2]/ul/li[8]/span[2]/span"")"),"Loading...")</f>
        <v>Loading...</v>
      </c>
      <c r="T674" s="4">
        <v>34.6</v>
      </c>
      <c r="U674" s="4">
        <v>22.7</v>
      </c>
      <c r="V674" s="4">
        <v>2.6</v>
      </c>
      <c r="W674" s="4">
        <v>5.7</v>
      </c>
      <c r="X674" s="4">
        <v>519.92999999999995</v>
      </c>
      <c r="Y674" s="7">
        <f t="shared" ca="1" si="14"/>
        <v>377.67000000000007</v>
      </c>
    </row>
    <row r="675" spans="1:25" ht="15" x14ac:dyDescent="0.25">
      <c r="A675" s="4">
        <v>1527</v>
      </c>
      <c r="C675" s="12" t="s">
        <v>1893</v>
      </c>
      <c r="D675" s="12" t="s">
        <v>1894</v>
      </c>
      <c r="E675" s="5" t="str">
        <f t="shared" si="10"/>
        <v>https://www.screener.in/company/UYFINCORP/consolidated/</v>
      </c>
      <c r="F675" s="4">
        <v>443059</v>
      </c>
      <c r="G675" s="4">
        <v>3832241897</v>
      </c>
      <c r="H675" s="6">
        <f t="shared" ca="1" si="11"/>
        <v>5050.8948202459997</v>
      </c>
      <c r="I675" s="7">
        <f ca="1">IFERROR(__xludf.DUMMYFUNCTION("IMPORTXML(E675,""/html/body/main/div[3]/div[3]/div[2]/ul/li[5]/span[2]/span"")"),13.1)</f>
        <v>13.1</v>
      </c>
      <c r="J675" s="7">
        <f ca="1">IFERROR(__xludf.DUMMYFUNCTION("GOOGLEFINANCE(""NSE:""&amp;D675,""marketcap"")"),2507340852)</f>
        <v>2507340852</v>
      </c>
      <c r="K675" s="7">
        <v>992.8</v>
      </c>
      <c r="L675" s="8">
        <f ca="1">IFERROR(__xludf.DUMMYFUNCTION("GOOGLEFINANCE(""NSE:""&amp;D675,""price"")"),13.18)</f>
        <v>13.18</v>
      </c>
      <c r="M675" s="9">
        <f t="shared" ca="1" si="12"/>
        <v>-979.62</v>
      </c>
      <c r="N675" s="10">
        <f t="shared" ca="1" si="13"/>
        <v>-98.67244157937148</v>
      </c>
      <c r="O675" s="7">
        <f ca="1">IFERROR(__xludf.DUMMYFUNCTION("GOOGLEFINANCE(""NSE:""&amp;D675,""pe"")"),19.97)</f>
        <v>19.97</v>
      </c>
      <c r="P675" s="7">
        <f ca="1">IFERROR(__xludf.DUMMYFUNCTION("GOOGLEFINANCE(""NSE:""&amp;D675,""EPS"")"),0.66)</f>
        <v>0.66</v>
      </c>
      <c r="Q675" s="7">
        <v>13.5</v>
      </c>
      <c r="R675" s="7" t="str">
        <f ca="1">IFERROR(__xludf.DUMMYFUNCTION("IMPORTXML(E675,""/html/body/main/div[3]/div[3]/div[2]/ul/li[7]/span[2]/span"")"),"Loading...")</f>
        <v>Loading...</v>
      </c>
      <c r="S675" s="7" t="str">
        <f ca="1">IFERROR(__xludf.DUMMYFUNCTION("IMPORTXML(E675,""/html/body/main/div[3]/div[3]/div[2]/ul/li[8]/span[2]/span"")"),"Loading...")</f>
        <v>Loading...</v>
      </c>
      <c r="T675" s="4">
        <v>34.6</v>
      </c>
      <c r="U675" s="4">
        <v>22.7</v>
      </c>
      <c r="V675" s="4">
        <v>2.6</v>
      </c>
      <c r="W675" s="4">
        <v>5.7</v>
      </c>
      <c r="X675" s="4">
        <v>519.92999999999995</v>
      </c>
      <c r="Y675" s="7">
        <f t="shared" ca="1" si="14"/>
        <v>-506.74999999999994</v>
      </c>
    </row>
    <row r="676" spans="1:25" ht="15" x14ac:dyDescent="0.25">
      <c r="A676" s="4">
        <v>5</v>
      </c>
      <c r="C676" s="12" t="s">
        <v>1895</v>
      </c>
      <c r="D676" s="12" t="s">
        <v>1896</v>
      </c>
      <c r="E676" s="5" t="str">
        <f t="shared" si="10"/>
        <v>https://www.screener.in/company/MRPL/consolidated/</v>
      </c>
      <c r="F676" s="4">
        <v>443059</v>
      </c>
      <c r="G676" s="4">
        <v>3832241897</v>
      </c>
      <c r="H676" s="6">
        <f t="shared" ca="1" si="11"/>
        <v>48592.82725396</v>
      </c>
      <c r="I676" s="7" t="str">
        <f ca="1">IFERROR(__xludf.DUMMYFUNCTION("IMPORTXML(E676,""/html/body/main/div[3]/div[3]/div[2]/ul/li[5]/span[2]/span"")"),"Loading...")</f>
        <v>Loading...</v>
      </c>
      <c r="J676" s="7">
        <f ca="1">IFERROR(__xludf.DUMMYFUNCTION("GOOGLEFINANCE(""NSE:""&amp;D676,""marketcap"")"),221736031000)</f>
        <v>221736031000</v>
      </c>
      <c r="K676" s="7">
        <v>992.8</v>
      </c>
      <c r="L676" s="8">
        <f ca="1">IFERROR(__xludf.DUMMYFUNCTION("GOOGLEFINANCE(""NSE:""&amp;D676,""price"")"),126.8)</f>
        <v>126.8</v>
      </c>
      <c r="M676" s="9">
        <f t="shared" ca="1" si="12"/>
        <v>-866</v>
      </c>
      <c r="N676" s="10">
        <f t="shared" ca="1" si="13"/>
        <v>-87.228041901692194</v>
      </c>
      <c r="O676" s="7" t="str">
        <f ca="1">IFERROR(__xludf.DUMMYFUNCTION("GOOGLEFINANCE(""NSE:""&amp;D676,""pe"")"),"#N/A")</f>
        <v>#N/A</v>
      </c>
      <c r="P676" s="7">
        <f ca="1">IFERROR(__xludf.DUMMYFUNCTION("GOOGLEFINANCE(""NSE:""&amp;D676,""EPS"")"),-1.63)</f>
        <v>-1.63</v>
      </c>
      <c r="Q676" s="7">
        <v>13.5</v>
      </c>
      <c r="R676" s="7" t="str">
        <f ca="1">IFERROR(__xludf.DUMMYFUNCTION("IMPORTXML(E676,""/html/body/main/div[3]/div[3]/div[2]/ul/li[7]/span[2]/span"")"),"Loading...")</f>
        <v>Loading...</v>
      </c>
      <c r="S676" s="7" t="str">
        <f ca="1">IFERROR(__xludf.DUMMYFUNCTION("IMPORTXML(E676,""/html/body/main/div[3]/div[3]/div[2]/ul/li[8]/span[2]/span"")"),"Loading...")</f>
        <v>Loading...</v>
      </c>
      <c r="T676" s="4">
        <v>34.6</v>
      </c>
      <c r="U676" s="4">
        <v>22.7</v>
      </c>
      <c r="V676" s="4">
        <v>2.6</v>
      </c>
      <c r="W676" s="4">
        <v>5.7</v>
      </c>
      <c r="X676" s="4">
        <v>519.92999999999995</v>
      </c>
      <c r="Y676" s="7">
        <f t="shared" ca="1" si="14"/>
        <v>-393.12999999999994</v>
      </c>
    </row>
    <row r="677" spans="1:25" ht="15" x14ac:dyDescent="0.25">
      <c r="A677" s="4">
        <v>203</v>
      </c>
      <c r="C677" s="12" t="s">
        <v>1897</v>
      </c>
      <c r="D677" s="12" t="s">
        <v>1898</v>
      </c>
      <c r="E677" s="5" t="str">
        <f t="shared" si="10"/>
        <v>https://www.screener.in/company/SARDAEN/consolidated/</v>
      </c>
      <c r="F677" s="4">
        <v>443059</v>
      </c>
      <c r="G677" s="4">
        <v>3832241897</v>
      </c>
      <c r="H677" s="6">
        <f t="shared" ca="1" si="11"/>
        <v>217939.59668239002</v>
      </c>
      <c r="I677" s="7" t="str">
        <f ca="1">IFERROR(__xludf.DUMMYFUNCTION("IMPORTXML(E677,""/html/body/main/div[3]/div[3]/div[2]/ul/li[5]/span[2]/span"")"),"Loading...")</f>
        <v>Loading...</v>
      </c>
      <c r="J677" s="7">
        <f ca="1">IFERROR(__xludf.DUMMYFUNCTION("GOOGLEFINANCE(""NSE:""&amp;D677,""marketcap"")"),200943006450)</f>
        <v>200943006450</v>
      </c>
      <c r="K677" s="7">
        <v>992.8</v>
      </c>
      <c r="L677" s="8">
        <f ca="1">IFERROR(__xludf.DUMMYFUNCTION("GOOGLEFINANCE(""NSE:""&amp;D677,""price"")"),568.7)</f>
        <v>568.70000000000005</v>
      </c>
      <c r="M677" s="9">
        <f t="shared" ca="1" si="12"/>
        <v>-424.09999999999991</v>
      </c>
      <c r="N677" s="10">
        <f t="shared" ca="1" si="13"/>
        <v>-42.717566478646248</v>
      </c>
      <c r="O677" s="7">
        <f ca="1">IFERROR(__xludf.DUMMYFUNCTION("GOOGLEFINANCE(""NSE:""&amp;D677,""pe"")"),21.42)</f>
        <v>21.42</v>
      </c>
      <c r="P677" s="7">
        <f ca="1">IFERROR(__xludf.DUMMYFUNCTION("GOOGLEFINANCE(""NSE:""&amp;D677,""EPS"")"),26.55)</f>
        <v>26.55</v>
      </c>
      <c r="Q677" s="7">
        <v>13.5</v>
      </c>
      <c r="R677" s="7" t="str">
        <f ca="1">IFERROR(__xludf.DUMMYFUNCTION("IMPORTXML(E677,""/html/body/main/div[3]/div[3]/div[2]/ul/li[7]/span[2]/span"")"),"Loading...")</f>
        <v>Loading...</v>
      </c>
      <c r="S677" s="7" t="str">
        <f ca="1">IFERROR(__xludf.DUMMYFUNCTION("IMPORTXML(E677,""/html/body/main/div[3]/div[3]/div[2]/ul/li[8]/span[2]/span"")"),"Loading...")</f>
        <v>Loading...</v>
      </c>
      <c r="T677" s="4">
        <v>34.6</v>
      </c>
      <c r="U677" s="4">
        <v>22.7</v>
      </c>
      <c r="V677" s="4">
        <v>2.6</v>
      </c>
      <c r="W677" s="4">
        <v>5.7</v>
      </c>
      <c r="X677" s="4">
        <v>519.92999999999995</v>
      </c>
      <c r="Y677" s="7">
        <f t="shared" ca="1" si="14"/>
        <v>48.770000000000095</v>
      </c>
    </row>
    <row r="678" spans="1:25" ht="15" x14ac:dyDescent="0.25">
      <c r="A678" s="4">
        <v>1732</v>
      </c>
      <c r="C678" s="12" t="s">
        <v>1899</v>
      </c>
      <c r="D678" s="12" t="s">
        <v>1900</v>
      </c>
      <c r="E678" s="5" t="str">
        <f t="shared" si="10"/>
        <v>https://www.screener.in/company/REPL/consolidated/</v>
      </c>
      <c r="F678" s="4">
        <v>443059</v>
      </c>
      <c r="G678" s="4">
        <v>3832241897</v>
      </c>
      <c r="H678" s="6">
        <f t="shared" ca="1" si="11"/>
        <v>62082.318731400002</v>
      </c>
      <c r="I678" s="7" t="str">
        <f ca="1">IFERROR(__xludf.DUMMYFUNCTION("IMPORTXML(E678,""/html/body/main/div[3]/div[3]/div[2]/ul/li[5]/span[2]/span"")"),"Loading...")</f>
        <v>Loading...</v>
      </c>
      <c r="J678" s="7">
        <f ca="1">IFERROR(__xludf.DUMMYFUNCTION("GOOGLEFINANCE(""NSE:""&amp;D678,""marketcap"")"),2935843380)</f>
        <v>2935843380</v>
      </c>
      <c r="K678" s="7">
        <v>992.8</v>
      </c>
      <c r="L678" s="8">
        <f ca="1">IFERROR(__xludf.DUMMYFUNCTION("GOOGLEFINANCE(""NSE:""&amp;D678,""price"")"),162)</f>
        <v>162</v>
      </c>
      <c r="M678" s="9">
        <f t="shared" ca="1" si="12"/>
        <v>-830.8</v>
      </c>
      <c r="N678" s="10">
        <f t="shared" ca="1" si="13"/>
        <v>-83.682514101531027</v>
      </c>
      <c r="O678" s="7">
        <f ca="1">IFERROR(__xludf.DUMMYFUNCTION("GOOGLEFINANCE(""NSE:""&amp;D678,""pe"")"),21.71)</f>
        <v>21.71</v>
      </c>
      <c r="P678" s="7">
        <f ca="1">IFERROR(__xludf.DUMMYFUNCTION("GOOGLEFINANCE(""NSE:""&amp;D678,""EPS"")"),7.46)</f>
        <v>7.46</v>
      </c>
      <c r="Q678" s="7">
        <v>13.5</v>
      </c>
      <c r="R678" s="7" t="str">
        <f ca="1">IFERROR(__xludf.DUMMYFUNCTION("IMPORTXML(E678,""/html/body/main/div[3]/div[3]/div[2]/ul/li[7]/span[2]/span"")"),"Loading...")</f>
        <v>Loading...</v>
      </c>
      <c r="S678" s="7" t="str">
        <f ca="1">IFERROR(__xludf.DUMMYFUNCTION("IMPORTXML(E678,""/html/body/main/div[3]/div[3]/div[2]/ul/li[8]/span[2]/span"")"),"Loading...")</f>
        <v>Loading...</v>
      </c>
      <c r="T678" s="4">
        <v>34.6</v>
      </c>
      <c r="U678" s="4">
        <v>22.7</v>
      </c>
      <c r="V678" s="4">
        <v>2.6</v>
      </c>
      <c r="W678" s="4">
        <v>5.7</v>
      </c>
      <c r="X678" s="4">
        <v>519.92999999999995</v>
      </c>
      <c r="Y678" s="7">
        <f t="shared" ca="1" si="14"/>
        <v>-357.92999999999995</v>
      </c>
    </row>
    <row r="679" spans="1:25" ht="15" x14ac:dyDescent="0.25">
      <c r="A679" s="4">
        <v>240</v>
      </c>
      <c r="C679" s="12" t="s">
        <v>1901</v>
      </c>
      <c r="D679" s="12" t="s">
        <v>1902</v>
      </c>
      <c r="E679" s="5" t="str">
        <f t="shared" si="10"/>
        <v>https://www.screener.in/company/JMFINANCIL/consolidated/</v>
      </c>
      <c r="F679" s="4">
        <v>443059</v>
      </c>
      <c r="G679" s="4">
        <v>3832241897</v>
      </c>
      <c r="H679" s="6">
        <f t="shared" ca="1" si="11"/>
        <v>70689.534032062002</v>
      </c>
      <c r="I679" s="7" t="str">
        <f ca="1">IFERROR(__xludf.DUMMYFUNCTION("IMPORTXML(E679,""/html/body/main/div[3]/div[3]/div[2]/ul/li[5]/span[2]/span"")"),"Loading...")</f>
        <v>Loading...</v>
      </c>
      <c r="J679" s="7">
        <f ca="1">IFERROR(__xludf.DUMMYFUNCTION("GOOGLEFINANCE(""NSE:""&amp;D679,""marketcap"")"),176312735799)</f>
        <v>176312735799</v>
      </c>
      <c r="K679" s="7">
        <v>992.8</v>
      </c>
      <c r="L679" s="8">
        <f ca="1">IFERROR(__xludf.DUMMYFUNCTION("GOOGLEFINANCE(""NSE:""&amp;D679,""price"")"),184.46)</f>
        <v>184.46</v>
      </c>
      <c r="M679" s="9">
        <f t="shared" ca="1" si="12"/>
        <v>-808.33999999999992</v>
      </c>
      <c r="N679" s="10">
        <f t="shared" ca="1" si="13"/>
        <v>-81.420225624496368</v>
      </c>
      <c r="O679" s="7">
        <f ca="1">IFERROR(__xludf.DUMMYFUNCTION("GOOGLEFINANCE(""NSE:""&amp;D679,""pe"")"),15.98)</f>
        <v>15.98</v>
      </c>
      <c r="P679" s="7">
        <f ca="1">IFERROR(__xludf.DUMMYFUNCTION("GOOGLEFINANCE(""NSE:""&amp;D679,""EPS"")"),11.54)</f>
        <v>11.54</v>
      </c>
      <c r="Q679" s="7">
        <v>13.5</v>
      </c>
      <c r="R679" s="7" t="str">
        <f ca="1">IFERROR(__xludf.DUMMYFUNCTION("IMPORTXML(E679,""/html/body/main/div[3]/div[3]/div[2]/ul/li[7]/span[2]/span"")"),"Loading...")</f>
        <v>Loading...</v>
      </c>
      <c r="S679" s="7" t="str">
        <f ca="1">IFERROR(__xludf.DUMMYFUNCTION("IMPORTXML(E679,""/html/body/main/div[3]/div[3]/div[2]/ul/li[8]/span[2]/span"")"),"Loading...")</f>
        <v>Loading...</v>
      </c>
      <c r="T679" s="4">
        <v>34.6</v>
      </c>
      <c r="U679" s="4">
        <v>22.7</v>
      </c>
      <c r="V679" s="4">
        <v>2.6</v>
      </c>
      <c r="W679" s="4">
        <v>5.7</v>
      </c>
      <c r="X679" s="4">
        <v>519.92999999999995</v>
      </c>
      <c r="Y679" s="7">
        <f t="shared" ca="1" si="14"/>
        <v>-335.46999999999991</v>
      </c>
    </row>
    <row r="680" spans="1:25" ht="15" x14ac:dyDescent="0.25">
      <c r="A680" s="4">
        <v>531</v>
      </c>
      <c r="C680" s="12" t="s">
        <v>1903</v>
      </c>
      <c r="D680" s="12" t="s">
        <v>1904</v>
      </c>
      <c r="E680" s="5" t="str">
        <f t="shared" si="10"/>
        <v>https://www.screener.in/company/ADVENZYMES/consolidated/</v>
      </c>
      <c r="F680" s="4">
        <v>443059</v>
      </c>
      <c r="G680" s="4">
        <v>3832241897</v>
      </c>
      <c r="H680" s="6">
        <f t="shared" ca="1" si="11"/>
        <v>130545.32022130498</v>
      </c>
      <c r="I680" s="7" t="str">
        <f ca="1">IFERROR(__xludf.DUMMYFUNCTION("IMPORTXML(E680,""/html/body/main/div[3]/div[3]/div[2]/ul/li[5]/span[2]/span"")"),"Loading...")</f>
        <v>Loading...</v>
      </c>
      <c r="J680" s="7">
        <f ca="1">IFERROR(__xludf.DUMMYFUNCTION("GOOGLEFINANCE(""NSE:""&amp;D680,""marketcap"")"),38415722100)</f>
        <v>38415722100</v>
      </c>
      <c r="K680" s="7">
        <v>992.8</v>
      </c>
      <c r="L680" s="8">
        <f ca="1">IFERROR(__xludf.DUMMYFUNCTION("GOOGLEFINANCE(""NSE:""&amp;D680,""price"")"),340.65)</f>
        <v>340.65</v>
      </c>
      <c r="M680" s="9">
        <f t="shared" ca="1" si="12"/>
        <v>-652.15</v>
      </c>
      <c r="N680" s="10">
        <f t="shared" ca="1" si="13"/>
        <v>-65.687953263497178</v>
      </c>
      <c r="O680" s="7">
        <f ca="1">IFERROR(__xludf.DUMMYFUNCTION("GOOGLEFINANCE(""NSE:""&amp;D680,""pe"")"),27.86)</f>
        <v>27.86</v>
      </c>
      <c r="P680" s="7">
        <f ca="1">IFERROR(__xludf.DUMMYFUNCTION("GOOGLEFINANCE(""NSE:""&amp;D680,""EPS"")"),12.23)</f>
        <v>12.23</v>
      </c>
      <c r="Q680" s="7">
        <v>13.5</v>
      </c>
      <c r="R680" s="7" t="str">
        <f ca="1">IFERROR(__xludf.DUMMYFUNCTION("IMPORTXML(E680,""/html/body/main/div[3]/div[3]/div[2]/ul/li[7]/span[2]/span"")"),"Loading...")</f>
        <v>Loading...</v>
      </c>
      <c r="S680" s="7" t="str">
        <f ca="1">IFERROR(__xludf.DUMMYFUNCTION("IMPORTXML(E680,""/html/body/main/div[3]/div[3]/div[2]/ul/li[8]/span[2]/span"")"),"Loading...")</f>
        <v>Loading...</v>
      </c>
      <c r="T680" s="4">
        <v>34.6</v>
      </c>
      <c r="U680" s="4">
        <v>22.7</v>
      </c>
      <c r="V680" s="4">
        <v>2.6</v>
      </c>
      <c r="W680" s="4">
        <v>5.7</v>
      </c>
      <c r="X680" s="4">
        <v>519.92999999999995</v>
      </c>
      <c r="Y680" s="7">
        <f t="shared" ca="1" si="14"/>
        <v>-179.27999999999997</v>
      </c>
    </row>
    <row r="681" spans="1:25" ht="15" x14ac:dyDescent="0.25">
      <c r="A681" s="4">
        <v>1423</v>
      </c>
      <c r="C681" s="12" t="s">
        <v>1905</v>
      </c>
      <c r="D681" s="12" t="s">
        <v>1906</v>
      </c>
      <c r="E681" s="5" t="str">
        <f t="shared" si="10"/>
        <v>https://www.screener.in/company/SREEL/consolidated/</v>
      </c>
      <c r="F681" s="4">
        <v>443059</v>
      </c>
      <c r="G681" s="4">
        <v>3832241897</v>
      </c>
      <c r="H681" s="6">
        <f t="shared" ca="1" si="11"/>
        <v>90632.520864050006</v>
      </c>
      <c r="I681" s="7" t="str">
        <f ca="1">IFERROR(__xludf.DUMMYFUNCTION("IMPORTXML(E681,""/html/body/main/div[3]/div[3]/div[2]/ul/li[5]/span[2]/span"")"),"Loading...")</f>
        <v>Loading...</v>
      </c>
      <c r="J681" s="7">
        <f ca="1">IFERROR(__xludf.DUMMYFUNCTION("GOOGLEFINANCE(""NSE:""&amp;D681,""marketcap"")"),5476159865)</f>
        <v>5476159865</v>
      </c>
      <c r="K681" s="7">
        <v>992.8</v>
      </c>
      <c r="L681" s="8">
        <f ca="1">IFERROR(__xludf.DUMMYFUNCTION("GOOGLEFINANCE(""NSE:""&amp;D681,""price"")"),236.5)</f>
        <v>236.5</v>
      </c>
      <c r="M681" s="9">
        <f t="shared" ca="1" si="12"/>
        <v>-756.3</v>
      </c>
      <c r="N681" s="10">
        <f t="shared" ca="1" si="13"/>
        <v>-76.178485092667202</v>
      </c>
      <c r="O681" s="7">
        <f ca="1">IFERROR(__xludf.DUMMYFUNCTION("GOOGLEFINANCE(""NSE:""&amp;D681,""pe"")"),26.19)</f>
        <v>26.19</v>
      </c>
      <c r="P681" s="7">
        <f ca="1">IFERROR(__xludf.DUMMYFUNCTION("GOOGLEFINANCE(""NSE:""&amp;D681,""EPS"")"),9.03)</f>
        <v>9.0299999999999994</v>
      </c>
      <c r="Q681" s="7">
        <v>13.5</v>
      </c>
      <c r="R681" s="7" t="str">
        <f ca="1">IFERROR(__xludf.DUMMYFUNCTION("IMPORTXML(E681,""/html/body/main/div[3]/div[3]/div[2]/ul/li[7]/span[2]/span"")"),"Loading...")</f>
        <v>Loading...</v>
      </c>
      <c r="S681" s="7" t="str">
        <f ca="1">IFERROR(__xludf.DUMMYFUNCTION("IMPORTXML(E681,""/html/body/main/div[3]/div[3]/div[2]/ul/li[8]/span[2]/span"")"),"Loading...")</f>
        <v>Loading...</v>
      </c>
      <c r="T681" s="4">
        <v>34.6</v>
      </c>
      <c r="U681" s="4">
        <v>22.7</v>
      </c>
      <c r="V681" s="4">
        <v>2.6</v>
      </c>
      <c r="W681" s="4">
        <v>5.7</v>
      </c>
      <c r="X681" s="4">
        <v>519.92999999999995</v>
      </c>
      <c r="Y681" s="7">
        <f t="shared" ca="1" si="14"/>
        <v>-283.42999999999995</v>
      </c>
    </row>
    <row r="682" spans="1:25" ht="15" x14ac:dyDescent="0.25">
      <c r="A682" s="4">
        <v>1869</v>
      </c>
      <c r="C682" s="12" t="s">
        <v>1907</v>
      </c>
      <c r="D682" s="12" t="s">
        <v>1908</v>
      </c>
      <c r="E682" s="5" t="str">
        <f t="shared" si="10"/>
        <v>https://www.screener.in/company/MANCREDIT/consolidated/</v>
      </c>
      <c r="F682" s="4">
        <v>443059</v>
      </c>
      <c r="G682" s="4">
        <v>3832241897</v>
      </c>
      <c r="H682" s="6">
        <f t="shared" ca="1" si="11"/>
        <v>71260.53807471499</v>
      </c>
      <c r="I682" s="7" t="str">
        <f ca="1">IFERROR(__xludf.DUMMYFUNCTION("IMPORTXML(E682,""/html/body/main/div[3]/div[3]/div[2]/ul/li[5]/span[2]/span"")"),"Loading...")</f>
        <v>Loading...</v>
      </c>
      <c r="J682" s="7">
        <f ca="1">IFERROR(__xludf.DUMMYFUNCTION("GOOGLEFINANCE(""NSE:""&amp;D682,""marketcap"")"),3926144516)</f>
        <v>3926144516</v>
      </c>
      <c r="K682" s="7">
        <v>992.8</v>
      </c>
      <c r="L682" s="8">
        <f ca="1">IFERROR(__xludf.DUMMYFUNCTION("GOOGLEFINANCE(""NSE:""&amp;D682,""price"")"),185.95)</f>
        <v>185.95</v>
      </c>
      <c r="M682" s="9">
        <f t="shared" ca="1" si="12"/>
        <v>-806.84999999999991</v>
      </c>
      <c r="N682" s="10">
        <f t="shared" ca="1" si="13"/>
        <v>-81.270145044319094</v>
      </c>
      <c r="O682" s="7">
        <f ca="1">IFERROR(__xludf.DUMMYFUNCTION("GOOGLEFINANCE(""NSE:""&amp;D682,""pe"")"),30)</f>
        <v>30</v>
      </c>
      <c r="P682" s="7">
        <f ca="1">IFERROR(__xludf.DUMMYFUNCTION("GOOGLEFINANCE(""NSE:""&amp;D682,""EPS"")"),6.2)</f>
        <v>6.2</v>
      </c>
      <c r="Q682" s="7">
        <v>13.5</v>
      </c>
      <c r="R682" s="7" t="str">
        <f ca="1">IFERROR(__xludf.DUMMYFUNCTION("IMPORTXML(E682,""/html/body/main/div[3]/div[3]/div[2]/ul/li[7]/span[2]/span"")"),"Loading...")</f>
        <v>Loading...</v>
      </c>
      <c r="S682" s="7" t="str">
        <f ca="1">IFERROR(__xludf.DUMMYFUNCTION("IMPORTXML(E682,""/html/body/main/div[3]/div[3]/div[2]/ul/li[8]/span[2]/span"")"),"Loading...")</f>
        <v>Loading...</v>
      </c>
      <c r="T682" s="4">
        <v>34.6</v>
      </c>
      <c r="U682" s="4">
        <v>22.7</v>
      </c>
      <c r="V682" s="4">
        <v>2.6</v>
      </c>
      <c r="W682" s="4">
        <v>5.7</v>
      </c>
      <c r="X682" s="4">
        <v>519.92999999999995</v>
      </c>
      <c r="Y682" s="7">
        <f t="shared" ca="1" si="14"/>
        <v>-333.97999999999996</v>
      </c>
    </row>
    <row r="683" spans="1:25" ht="15" x14ac:dyDescent="0.25">
      <c r="A683" s="4">
        <v>248</v>
      </c>
      <c r="C683" s="12" t="s">
        <v>1909</v>
      </c>
      <c r="D683" s="12" t="s">
        <v>1910</v>
      </c>
      <c r="E683" s="5" t="str">
        <f t="shared" si="10"/>
        <v>https://www.screener.in/company/USHAMART/consolidated/</v>
      </c>
      <c r="F683" s="4">
        <v>443059</v>
      </c>
      <c r="G683" s="4">
        <v>3832241897</v>
      </c>
      <c r="H683" s="6">
        <f t="shared" ca="1" si="11"/>
        <v>146794.02586458501</v>
      </c>
      <c r="I683" s="7" t="str">
        <f ca="1">IFERROR(__xludf.DUMMYFUNCTION("IMPORTXML(E683,""/html/body/main/div[3]/div[3]/div[2]/ul/li[5]/span[2]/span"")"),"Loading...")</f>
        <v>Loading...</v>
      </c>
      <c r="J683" s="7">
        <f ca="1">IFERROR(__xludf.DUMMYFUNCTION("GOOGLEFINANCE(""NSE:""&amp;D683,""marketcap"")"),116323500000)</f>
        <v>116323500000</v>
      </c>
      <c r="K683" s="7">
        <v>992.8</v>
      </c>
      <c r="L683" s="8">
        <f ca="1">IFERROR(__xludf.DUMMYFUNCTION("GOOGLEFINANCE(""NSE:""&amp;D683,""price"")"),383.05)</f>
        <v>383.05</v>
      </c>
      <c r="M683" s="9">
        <f t="shared" ca="1" si="12"/>
        <v>-609.75</v>
      </c>
      <c r="N683" s="10">
        <f t="shared" ca="1" si="13"/>
        <v>-61.417203867848514</v>
      </c>
      <c r="O683" s="7">
        <f ca="1">IFERROR(__xludf.DUMMYFUNCTION("GOOGLEFINANCE(""NSE:""&amp;D683,""pe"")"),28.89)</f>
        <v>28.89</v>
      </c>
      <c r="P683" s="7">
        <f ca="1">IFERROR(__xludf.DUMMYFUNCTION("GOOGLEFINANCE(""NSE:""&amp;D683,""EPS"")"),13.26)</f>
        <v>13.26</v>
      </c>
      <c r="Q683" s="7">
        <v>13.5</v>
      </c>
      <c r="R683" s="7" t="str">
        <f ca="1">IFERROR(__xludf.DUMMYFUNCTION("IMPORTXML(E683,""/html/body/main/div[3]/div[3]/div[2]/ul/li[7]/span[2]/span"")"),"Loading...")</f>
        <v>Loading...</v>
      </c>
      <c r="S683" s="7" t="str">
        <f ca="1">IFERROR(__xludf.DUMMYFUNCTION("IMPORTXML(E683,""/html/body/main/div[3]/div[3]/div[2]/ul/li[8]/span[2]/span"")"),"Loading...")</f>
        <v>Loading...</v>
      </c>
      <c r="T683" s="4">
        <v>34.6</v>
      </c>
      <c r="U683" s="4">
        <v>22.7</v>
      </c>
      <c r="V683" s="4">
        <v>2.6</v>
      </c>
      <c r="W683" s="4">
        <v>5.7</v>
      </c>
      <c r="X683" s="4">
        <v>519.92999999999995</v>
      </c>
      <c r="Y683" s="7">
        <f t="shared" ca="1" si="14"/>
        <v>-136.87999999999994</v>
      </c>
    </row>
    <row r="684" spans="1:25" ht="15" x14ac:dyDescent="0.25">
      <c r="A684" s="4">
        <v>1034</v>
      </c>
      <c r="C684" s="12" t="s">
        <v>1911</v>
      </c>
      <c r="D684" s="12" t="s">
        <v>1912</v>
      </c>
      <c r="E684" s="5" t="str">
        <f t="shared" si="10"/>
        <v>https://www.screener.in/company/ORIENTTECH/consolidated/</v>
      </c>
      <c r="F684" s="4">
        <v>443059</v>
      </c>
      <c r="G684" s="4">
        <v>3832241897</v>
      </c>
      <c r="H684" s="6">
        <f t="shared" ca="1" si="11"/>
        <v>116461.83124982998</v>
      </c>
      <c r="I684" s="7" t="str">
        <f ca="1">IFERROR(__xludf.DUMMYFUNCTION("IMPORTXML(E684,""/html/body/main/div[3]/div[3]/div[2]/ul/li[5]/span[2]/span"")"),"Loading...")</f>
        <v>Loading...</v>
      </c>
      <c r="J684" s="7">
        <f ca="1">IFERROR(__xludf.DUMMYFUNCTION("GOOGLEFINANCE(""NSE:""&amp;D684,""marketcap"")"),12654921492)</f>
        <v>12654921492</v>
      </c>
      <c r="K684" s="7">
        <v>992.8</v>
      </c>
      <c r="L684" s="8">
        <f ca="1">IFERROR(__xludf.DUMMYFUNCTION("GOOGLEFINANCE(""NSE:""&amp;D684,""price"")"),303.9)</f>
        <v>303.89999999999998</v>
      </c>
      <c r="M684" s="9">
        <f t="shared" ca="1" si="12"/>
        <v>-688.9</v>
      </c>
      <c r="N684" s="10">
        <f t="shared" ca="1" si="13"/>
        <v>-69.389605157131356</v>
      </c>
      <c r="O684" s="7">
        <f ca="1">IFERROR(__xludf.DUMMYFUNCTION("GOOGLEFINANCE(""NSE:""&amp;D684,""pe"")"),22.78)</f>
        <v>22.78</v>
      </c>
      <c r="P684" s="7">
        <f ca="1">IFERROR(__xludf.DUMMYFUNCTION("GOOGLEFINANCE(""NSE:""&amp;D684,""EPS"")"),13.34)</f>
        <v>13.34</v>
      </c>
      <c r="Q684" s="7">
        <v>13.5</v>
      </c>
      <c r="R684" s="7" t="str">
        <f ca="1">IFERROR(__xludf.DUMMYFUNCTION("IMPORTXML(E684,""/html/body/main/div[3]/div[3]/div[2]/ul/li[7]/span[2]/span"")"),"Loading...")</f>
        <v>Loading...</v>
      </c>
      <c r="S684" s="7" t="str">
        <f ca="1">IFERROR(__xludf.DUMMYFUNCTION("IMPORTXML(E684,""/html/body/main/div[3]/div[3]/div[2]/ul/li[8]/span[2]/span"")"),"Loading...")</f>
        <v>Loading...</v>
      </c>
      <c r="T684" s="4">
        <v>34.6</v>
      </c>
      <c r="U684" s="4">
        <v>22.7</v>
      </c>
      <c r="V684" s="4">
        <v>2.6</v>
      </c>
      <c r="W684" s="4">
        <v>5.7</v>
      </c>
      <c r="X684" s="4">
        <v>519.92999999999995</v>
      </c>
      <c r="Y684" s="7">
        <f t="shared" ca="1" si="14"/>
        <v>-216.02999999999997</v>
      </c>
    </row>
    <row r="685" spans="1:25" ht="15" x14ac:dyDescent="0.25">
      <c r="A685" s="4">
        <v>623</v>
      </c>
      <c r="C685" s="12" t="s">
        <v>1913</v>
      </c>
      <c r="D685" s="12" t="s">
        <v>1914</v>
      </c>
      <c r="E685" s="5" t="str">
        <f t="shared" si="10"/>
        <v>https://www.screener.in/company/KINGFA/consolidated/</v>
      </c>
      <c r="F685" s="4">
        <v>443059</v>
      </c>
      <c r="G685" s="4">
        <v>3832241897</v>
      </c>
      <c r="H685" s="6">
        <f t="shared" ca="1" si="11"/>
        <v>1641732.4286748001</v>
      </c>
      <c r="I685" s="7" t="str">
        <f ca="1">IFERROR(__xludf.DUMMYFUNCTION("IMPORTXML(E685,""/html/body/main/div[3]/div[3]/div[2]/ul/li[5]/span[2]/span"")"),"Loading...")</f>
        <v>Loading...</v>
      </c>
      <c r="J685" s="7">
        <f ca="1">IFERROR(__xludf.DUMMYFUNCTION("GOOGLEFINANCE(""NSE:""&amp;D685,""marketcap"")"),51608730000)</f>
        <v>51608730000</v>
      </c>
      <c r="K685" s="7">
        <v>992.8</v>
      </c>
      <c r="L685" s="8">
        <f ca="1">IFERROR(__xludf.DUMMYFUNCTION("GOOGLEFINANCE(""NSE:""&amp;D685,""price"")"),4284)</f>
        <v>4284</v>
      </c>
      <c r="M685" s="9">
        <f t="shared" ca="1" si="12"/>
        <v>3291.2</v>
      </c>
      <c r="N685" s="10">
        <f t="shared" ca="1" si="13"/>
        <v>331.50684931506851</v>
      </c>
      <c r="O685" s="7">
        <f ca="1">IFERROR(__xludf.DUMMYFUNCTION("GOOGLEFINANCE(""NSE:""&amp;D685,""pe"")"),33.78)</f>
        <v>33.78</v>
      </c>
      <c r="P685" s="7">
        <f ca="1">IFERROR(__xludf.DUMMYFUNCTION("GOOGLEFINANCE(""NSE:""&amp;D685,""EPS"")"),126.81)</f>
        <v>126.81</v>
      </c>
      <c r="Q685" s="7">
        <v>13.5</v>
      </c>
      <c r="R685" s="7" t="str">
        <f ca="1">IFERROR(__xludf.DUMMYFUNCTION("IMPORTXML(E685,""/html/body/main/div[3]/div[3]/div[2]/ul/li[7]/span[2]/span"")"),"Loading...")</f>
        <v>Loading...</v>
      </c>
      <c r="S685" s="7" t="str">
        <f ca="1">IFERROR(__xludf.DUMMYFUNCTION("IMPORTXML(E685,""/html/body/main/div[3]/div[3]/div[2]/ul/li[8]/span[2]/span"")"),"Loading...")</f>
        <v>Loading...</v>
      </c>
      <c r="T685" s="4">
        <v>34.6</v>
      </c>
      <c r="U685" s="4">
        <v>22.7</v>
      </c>
      <c r="V685" s="4">
        <v>2.6</v>
      </c>
      <c r="W685" s="4">
        <v>5.7</v>
      </c>
      <c r="X685" s="4">
        <v>519.92999999999995</v>
      </c>
      <c r="Y685" s="7">
        <f t="shared" ca="1" si="14"/>
        <v>3764.07</v>
      </c>
    </row>
    <row r="686" spans="1:25" ht="15" x14ac:dyDescent="0.25">
      <c r="A686" s="4">
        <v>932</v>
      </c>
      <c r="C686" s="12" t="s">
        <v>1915</v>
      </c>
      <c r="D686" s="12" t="s">
        <v>1916</v>
      </c>
      <c r="E686" s="5" t="str">
        <f t="shared" si="10"/>
        <v>https://www.screener.in/company/SALZERELEC/consolidated/</v>
      </c>
      <c r="F686" s="4">
        <v>443059</v>
      </c>
      <c r="G686" s="4">
        <v>3832241897</v>
      </c>
      <c r="H686" s="6">
        <f t="shared" ca="1" si="11"/>
        <v>309261.9210879</v>
      </c>
      <c r="I686" s="7" t="str">
        <f ca="1">IFERROR(__xludf.DUMMYFUNCTION("IMPORTXML(E686,""/html/body/main/div[3]/div[3]/div[2]/ul/li[5]/span[2]/span"")"),"Loading...")</f>
        <v>Loading...</v>
      </c>
      <c r="J686" s="7">
        <f ca="1">IFERROR(__xludf.DUMMYFUNCTION("GOOGLEFINANCE(""NSE:""&amp;D686,""marketcap"")"),14244330000)</f>
        <v>14244330000</v>
      </c>
      <c r="K686" s="7">
        <v>992.8</v>
      </c>
      <c r="L686" s="8">
        <f ca="1">IFERROR(__xludf.DUMMYFUNCTION("GOOGLEFINANCE(""NSE:""&amp;D686,""price"")"),807)</f>
        <v>807</v>
      </c>
      <c r="M686" s="9">
        <f t="shared" ca="1" si="12"/>
        <v>-185.79999999999995</v>
      </c>
      <c r="N686" s="10">
        <f t="shared" ca="1" si="13"/>
        <v>-18.714746172441576</v>
      </c>
      <c r="O686" s="7">
        <f ca="1">IFERROR(__xludf.DUMMYFUNCTION("GOOGLEFINANCE(""NSE:""&amp;D686,""pe"")"),26.07)</f>
        <v>26.07</v>
      </c>
      <c r="P686" s="7">
        <f ca="1">IFERROR(__xludf.DUMMYFUNCTION("GOOGLEFINANCE(""NSE:""&amp;D686,""EPS"")"),30.96)</f>
        <v>30.96</v>
      </c>
      <c r="Q686" s="7">
        <v>13.5</v>
      </c>
      <c r="R686" s="7" t="str">
        <f ca="1">IFERROR(__xludf.DUMMYFUNCTION("IMPORTXML(E686,""/html/body/main/div[3]/div[3]/div[2]/ul/li[7]/span[2]/span"")"),"Loading...")</f>
        <v>Loading...</v>
      </c>
      <c r="S686" s="7" t="str">
        <f ca="1">IFERROR(__xludf.DUMMYFUNCTION("IMPORTXML(E686,""/html/body/main/div[3]/div[3]/div[2]/ul/li[8]/span[2]/span"")"),"Loading...")</f>
        <v>Loading...</v>
      </c>
      <c r="T686" s="4">
        <v>34.6</v>
      </c>
      <c r="U686" s="4">
        <v>22.7</v>
      </c>
      <c r="V686" s="4">
        <v>2.6</v>
      </c>
      <c r="W686" s="4">
        <v>5.7</v>
      </c>
      <c r="X686" s="4">
        <v>519.92999999999995</v>
      </c>
      <c r="Y686" s="7">
        <f t="shared" ca="1" si="14"/>
        <v>287.07000000000005</v>
      </c>
    </row>
    <row r="687" spans="1:25" ht="15" x14ac:dyDescent="0.25">
      <c r="A687" s="4">
        <v>2032</v>
      </c>
      <c r="C687" s="12" t="s">
        <v>1917</v>
      </c>
      <c r="D687" s="12" t="s">
        <v>1918</v>
      </c>
      <c r="E687" s="5" t="str">
        <f t="shared" si="10"/>
        <v>https://www.screener.in/company/TEXMOPIPES/consolidated/</v>
      </c>
      <c r="F687" s="4">
        <v>443059</v>
      </c>
      <c r="G687" s="4">
        <v>3832241897</v>
      </c>
      <c r="H687" s="6">
        <f t="shared" ca="1" si="11"/>
        <v>21767.133974959997</v>
      </c>
      <c r="I687" s="7" t="str">
        <f ca="1">IFERROR(__xludf.DUMMYFUNCTION("IMPORTXML(E687,""/html/body/main/div[3]/div[3]/div[2]/ul/li[5]/span[2]/span"")"),"Loading...")</f>
        <v>Loading...</v>
      </c>
      <c r="J687" s="7">
        <f ca="1">IFERROR(__xludf.DUMMYFUNCTION("GOOGLEFINANCE(""NSE:""&amp;D687,""marketcap"")"),1661196000)</f>
        <v>1661196000</v>
      </c>
      <c r="K687" s="7">
        <v>992.8</v>
      </c>
      <c r="L687" s="8">
        <f ca="1">IFERROR(__xludf.DUMMYFUNCTION("GOOGLEFINANCE(""NSE:""&amp;D687,""price"")"),56.8)</f>
        <v>56.8</v>
      </c>
      <c r="M687" s="9">
        <f t="shared" ca="1" si="12"/>
        <v>-936</v>
      </c>
      <c r="N687" s="10">
        <f t="shared" ca="1" si="13"/>
        <v>-94.278807413376313</v>
      </c>
      <c r="O687" s="7">
        <f ca="1">IFERROR(__xludf.DUMMYFUNCTION("GOOGLEFINANCE(""NSE:""&amp;D687,""pe"")"),9.16)</f>
        <v>9.16</v>
      </c>
      <c r="P687" s="7">
        <f ca="1">IFERROR(__xludf.DUMMYFUNCTION("GOOGLEFINANCE(""NSE:""&amp;D687,""EPS"")"),6.2)</f>
        <v>6.2</v>
      </c>
      <c r="Q687" s="7">
        <v>13.5</v>
      </c>
      <c r="R687" s="7" t="str">
        <f ca="1">IFERROR(__xludf.DUMMYFUNCTION("IMPORTXML(E687,""/html/body/main/div[3]/div[3]/div[2]/ul/li[7]/span[2]/span"")"),"Loading...")</f>
        <v>Loading...</v>
      </c>
      <c r="S687" s="7" t="str">
        <f ca="1">IFERROR(__xludf.DUMMYFUNCTION("IMPORTXML(E687,""/html/body/main/div[3]/div[3]/div[2]/ul/li[8]/span[2]/span"")"),"Loading...")</f>
        <v>Loading...</v>
      </c>
      <c r="T687" s="4">
        <v>34.6</v>
      </c>
      <c r="U687" s="4">
        <v>22.7</v>
      </c>
      <c r="V687" s="4">
        <v>2.6</v>
      </c>
      <c r="W687" s="4">
        <v>5.7</v>
      </c>
      <c r="X687" s="4">
        <v>519.92999999999995</v>
      </c>
      <c r="Y687" s="7">
        <f t="shared" ca="1" si="14"/>
        <v>-463.12999999999994</v>
      </c>
    </row>
    <row r="688" spans="1:25" ht="15" x14ac:dyDescent="0.25">
      <c r="A688" s="4">
        <v>782</v>
      </c>
      <c r="C688" s="12" t="s">
        <v>1919</v>
      </c>
      <c r="D688" s="12" t="s">
        <v>1920</v>
      </c>
      <c r="E688" s="5" t="str">
        <f t="shared" si="10"/>
        <v>https://www.screener.in/company/EIHAHOTELS/consolidated/</v>
      </c>
      <c r="F688" s="4">
        <v>443059</v>
      </c>
      <c r="G688" s="4">
        <v>3832241897</v>
      </c>
      <c r="H688" s="6">
        <f t="shared" ca="1" si="11"/>
        <v>157888.36615640001</v>
      </c>
      <c r="I688" s="7" t="str">
        <f ca="1">IFERROR(__xludf.DUMMYFUNCTION("IMPORTXML(E688,""/html/body/main/div[3]/div[3]/div[2]/ul/li[5]/span[2]/span"")"),"Loading...")</f>
        <v>Loading...</v>
      </c>
      <c r="J688" s="7">
        <f ca="1">IFERROR(__xludf.DUMMYFUNCTION("GOOGLEFINANCE(""NSE:""&amp;D688,""marketcap"")"),24929040000)</f>
        <v>24929040000</v>
      </c>
      <c r="K688" s="7">
        <v>992.8</v>
      </c>
      <c r="L688" s="8">
        <f ca="1">IFERROR(__xludf.DUMMYFUNCTION("GOOGLEFINANCE(""NSE:""&amp;D688,""price"")"),412)</f>
        <v>412</v>
      </c>
      <c r="M688" s="9">
        <f t="shared" ca="1" si="12"/>
        <v>-580.79999999999995</v>
      </c>
      <c r="N688" s="10">
        <f t="shared" ca="1" si="13"/>
        <v>-58.501208702659149</v>
      </c>
      <c r="O688" s="7">
        <f ca="1">IFERROR(__xludf.DUMMYFUNCTION("GOOGLEFINANCE(""NSE:""&amp;D688,""pe"")"),26.6)</f>
        <v>26.6</v>
      </c>
      <c r="P688" s="7">
        <f ca="1">IFERROR(__xludf.DUMMYFUNCTION("GOOGLEFINANCE(""NSE:""&amp;D688,""EPS"")"),15.49)</f>
        <v>15.49</v>
      </c>
      <c r="Q688" s="7">
        <v>13.5</v>
      </c>
      <c r="R688" s="7" t="str">
        <f ca="1">IFERROR(__xludf.DUMMYFUNCTION("IMPORTXML(E688,""/html/body/main/div[3]/div[3]/div[2]/ul/li[7]/span[2]/span"")"),"Loading...")</f>
        <v>Loading...</v>
      </c>
      <c r="S688" s="7" t="str">
        <f ca="1">IFERROR(__xludf.DUMMYFUNCTION("IMPORTXML(E688,""/html/body/main/div[3]/div[3]/div[2]/ul/li[8]/span[2]/span"")"),"Loading...")</f>
        <v>Loading...</v>
      </c>
      <c r="T688" s="4">
        <v>34.6</v>
      </c>
      <c r="U688" s="4">
        <v>22.7</v>
      </c>
      <c r="V688" s="4">
        <v>2.6</v>
      </c>
      <c r="W688" s="4">
        <v>5.7</v>
      </c>
      <c r="X688" s="4">
        <v>519.92999999999995</v>
      </c>
      <c r="Y688" s="7">
        <f t="shared" ca="1" si="14"/>
        <v>-107.92999999999995</v>
      </c>
    </row>
    <row r="689" spans="1:25" ht="15" x14ac:dyDescent="0.25">
      <c r="A689" s="4">
        <v>736</v>
      </c>
      <c r="C689" s="12" t="s">
        <v>1921</v>
      </c>
      <c r="D689" s="12" t="s">
        <v>1922</v>
      </c>
      <c r="E689" s="5" t="str">
        <f t="shared" si="10"/>
        <v>https://www.screener.in/company/VISHNU/consolidated/</v>
      </c>
      <c r="F689" s="4">
        <v>443059</v>
      </c>
      <c r="G689" s="4">
        <v>3832241897</v>
      </c>
      <c r="H689" s="6">
        <f t="shared" ca="1" si="11"/>
        <v>187013.40457360001</v>
      </c>
      <c r="I689" s="7" t="str">
        <f ca="1">IFERROR(__xludf.DUMMYFUNCTION("IMPORTXML(E689,""/html/body/main/div[3]/div[3]/div[2]/ul/li[5]/span[2]/span"")"),"Loading...")</f>
        <v>Loading...</v>
      </c>
      <c r="J689" s="7">
        <f ca="1">IFERROR(__xludf.DUMMYFUNCTION("GOOGLEFINANCE(""NSE:""&amp;D689,""marketcap"")"),32318070000)</f>
        <v>32318070000</v>
      </c>
      <c r="K689" s="7">
        <v>992.8</v>
      </c>
      <c r="L689" s="8">
        <f ca="1">IFERROR(__xludf.DUMMYFUNCTION("GOOGLEFINANCE(""NSE:""&amp;D689,""price"")"),488)</f>
        <v>488</v>
      </c>
      <c r="M689" s="9">
        <f t="shared" ca="1" si="12"/>
        <v>-504.79999999999995</v>
      </c>
      <c r="N689" s="10">
        <f t="shared" ca="1" si="13"/>
        <v>-50.846091861402087</v>
      </c>
      <c r="O689" s="7">
        <f ca="1">IFERROR(__xludf.DUMMYFUNCTION("GOOGLEFINANCE(""NSE:""&amp;D689,""pe"")"),25.2)</f>
        <v>25.2</v>
      </c>
      <c r="P689" s="7">
        <f ca="1">IFERROR(__xludf.DUMMYFUNCTION("GOOGLEFINANCE(""NSE:""&amp;D689,""EPS"")"),19.36)</f>
        <v>19.36</v>
      </c>
      <c r="Q689" s="7">
        <v>13.5</v>
      </c>
      <c r="R689" s="7" t="str">
        <f ca="1">IFERROR(__xludf.DUMMYFUNCTION("IMPORTXML(E689,""/html/body/main/div[3]/div[3]/div[2]/ul/li[7]/span[2]/span"")"),"Loading...")</f>
        <v>Loading...</v>
      </c>
      <c r="S689" s="7" t="str">
        <f ca="1">IFERROR(__xludf.DUMMYFUNCTION("IMPORTXML(E689,""/html/body/main/div[3]/div[3]/div[2]/ul/li[8]/span[2]/span"")"),"Loading...")</f>
        <v>Loading...</v>
      </c>
      <c r="T689" s="4">
        <v>34.6</v>
      </c>
      <c r="U689" s="4">
        <v>22.7</v>
      </c>
      <c r="V689" s="4">
        <v>2.6</v>
      </c>
      <c r="W689" s="4">
        <v>5.7</v>
      </c>
      <c r="X689" s="4">
        <v>519.92999999999995</v>
      </c>
      <c r="Y689" s="7">
        <f t="shared" ca="1" si="14"/>
        <v>-31.92999999999995</v>
      </c>
    </row>
    <row r="690" spans="1:25" ht="15" x14ac:dyDescent="0.25">
      <c r="A690" s="4">
        <v>835</v>
      </c>
      <c r="C690" s="12" t="s">
        <v>1923</v>
      </c>
      <c r="D690" s="12" t="s">
        <v>1924</v>
      </c>
      <c r="E690" s="5" t="str">
        <f t="shared" si="10"/>
        <v>https://www.screener.in/company/CARYSIL/consolidated/</v>
      </c>
      <c r="F690" s="4">
        <v>443059</v>
      </c>
      <c r="G690" s="4">
        <v>3832241897</v>
      </c>
      <c r="H690" s="6">
        <f t="shared" ca="1" si="11"/>
        <v>367895.22211199999</v>
      </c>
      <c r="I690" s="7" t="str">
        <f ca="1">IFERROR(__xludf.DUMMYFUNCTION("IMPORTXML(E690,""/html/body/main/div[3]/div[3]/div[2]/ul/li[5]/span[2]/span"")"),"Loading...")</f>
        <v>Loading...</v>
      </c>
      <c r="J690" s="7">
        <f ca="1">IFERROR(__xludf.DUMMYFUNCTION("GOOGLEFINANCE(""NSE:""&amp;D690,""marketcap"")"),27304896000)</f>
        <v>27304896000</v>
      </c>
      <c r="K690" s="7">
        <v>992.8</v>
      </c>
      <c r="L690" s="8">
        <f ca="1">IFERROR(__xludf.DUMMYFUNCTION("GOOGLEFINANCE(""NSE:""&amp;D690,""price"")"),960)</f>
        <v>960</v>
      </c>
      <c r="M690" s="9">
        <f t="shared" ca="1" si="12"/>
        <v>-32.799999999999955</v>
      </c>
      <c r="N690" s="10">
        <f t="shared" ca="1" si="13"/>
        <v>-3.3037872683319862</v>
      </c>
      <c r="O690" s="7">
        <f ca="1">IFERROR(__xludf.DUMMYFUNCTION("GOOGLEFINANCE(""NSE:""&amp;D690,""pe"")"),39.17)</f>
        <v>39.17</v>
      </c>
      <c r="P690" s="7">
        <f ca="1">IFERROR(__xludf.DUMMYFUNCTION("GOOGLEFINANCE(""NSE:""&amp;D690,""EPS"")"),24.51)</f>
        <v>24.51</v>
      </c>
      <c r="Q690" s="7">
        <v>13.5</v>
      </c>
      <c r="R690" s="7" t="str">
        <f ca="1">IFERROR(__xludf.DUMMYFUNCTION("IMPORTXML(E690,""/html/body/main/div[3]/div[3]/div[2]/ul/li[7]/span[2]/span"")"),"Loading...")</f>
        <v>Loading...</v>
      </c>
      <c r="S690" s="7" t="str">
        <f ca="1">IFERROR(__xludf.DUMMYFUNCTION("IMPORTXML(E690,""/html/body/main/div[3]/div[3]/div[2]/ul/li[8]/span[2]/span"")"),"Loading...")</f>
        <v>Loading...</v>
      </c>
      <c r="T690" s="4">
        <v>34.6</v>
      </c>
      <c r="U690" s="4">
        <v>22.7</v>
      </c>
      <c r="V690" s="4">
        <v>2.6</v>
      </c>
      <c r="W690" s="4">
        <v>5.7</v>
      </c>
      <c r="X690" s="4">
        <v>519.92999999999995</v>
      </c>
      <c r="Y690" s="7">
        <f t="shared" ca="1" si="14"/>
        <v>440.07000000000005</v>
      </c>
    </row>
    <row r="691" spans="1:25" ht="15" x14ac:dyDescent="0.25">
      <c r="A691" s="4">
        <v>374</v>
      </c>
      <c r="C691" s="12" t="s">
        <v>1925</v>
      </c>
      <c r="D691" s="12" t="s">
        <v>1926</v>
      </c>
      <c r="E691" s="5" t="str">
        <f t="shared" si="10"/>
        <v>https://www.screener.in/company/EPL/consolidated/</v>
      </c>
      <c r="F691" s="4">
        <v>443059</v>
      </c>
      <c r="G691" s="4">
        <v>3832241897</v>
      </c>
      <c r="H691" s="6">
        <f t="shared" ca="1" si="11"/>
        <v>88026.59637408999</v>
      </c>
      <c r="I691" s="7" t="str">
        <f ca="1">IFERROR(__xludf.DUMMYFUNCTION("IMPORTXML(E691,""/html/body/main/div[3]/div[3]/div[2]/ul/li[5]/span[2]/span"")"),"Loading...")</f>
        <v>Loading...</v>
      </c>
      <c r="J691" s="7">
        <f ca="1">IFERROR(__xludf.DUMMYFUNCTION("GOOGLEFINANCE(""NSE:""&amp;D691,""marketcap"")"),73511808823)</f>
        <v>73511808823</v>
      </c>
      <c r="K691" s="7">
        <v>992.8</v>
      </c>
      <c r="L691" s="8">
        <f ca="1">IFERROR(__xludf.DUMMYFUNCTION("GOOGLEFINANCE(""NSE:""&amp;D691,""price"")"),229.7)</f>
        <v>229.7</v>
      </c>
      <c r="M691" s="9">
        <f t="shared" ca="1" si="12"/>
        <v>-763.09999999999991</v>
      </c>
      <c r="N691" s="10">
        <f t="shared" ca="1" si="13"/>
        <v>-76.863416599516512</v>
      </c>
      <c r="O691" s="7">
        <f ca="1">IFERROR(__xludf.DUMMYFUNCTION("GOOGLEFINANCE(""NSE:""&amp;D691,""pe"")"),18.63)</f>
        <v>18.63</v>
      </c>
      <c r="P691" s="7">
        <f ca="1">IFERROR(__xludf.DUMMYFUNCTION("GOOGLEFINANCE(""NSE:""&amp;D691,""EPS"")"),12.33)</f>
        <v>12.33</v>
      </c>
      <c r="Q691" s="7">
        <v>13.5</v>
      </c>
      <c r="R691" s="7" t="str">
        <f ca="1">IFERROR(__xludf.DUMMYFUNCTION("IMPORTXML(E691,""/html/body/main/div[3]/div[3]/div[2]/ul/li[7]/span[2]/span"")"),"Loading...")</f>
        <v>Loading...</v>
      </c>
      <c r="S691" s="7" t="str">
        <f ca="1">IFERROR(__xludf.DUMMYFUNCTION("IMPORTXML(E691,""/html/body/main/div[3]/div[3]/div[2]/ul/li[8]/span[2]/span"")"),"Loading...")</f>
        <v>Loading...</v>
      </c>
      <c r="T691" s="4">
        <v>34.6</v>
      </c>
      <c r="U691" s="4">
        <v>22.7</v>
      </c>
      <c r="V691" s="4">
        <v>2.6</v>
      </c>
      <c r="W691" s="4">
        <v>5.7</v>
      </c>
      <c r="X691" s="4">
        <v>519.92999999999995</v>
      </c>
      <c r="Y691" s="7">
        <f t="shared" ca="1" si="14"/>
        <v>-290.22999999999996</v>
      </c>
    </row>
    <row r="692" spans="1:25" ht="15" x14ac:dyDescent="0.25">
      <c r="A692" s="4">
        <v>1078</v>
      </c>
      <c r="C692" s="12" t="s">
        <v>1927</v>
      </c>
      <c r="D692" s="12" t="s">
        <v>1928</v>
      </c>
      <c r="E692" s="5" t="str">
        <f t="shared" si="10"/>
        <v>https://www.screener.in/company/GRMOVER/consolidated/</v>
      </c>
      <c r="F692" s="4">
        <v>443059</v>
      </c>
      <c r="G692" s="4">
        <v>3832241897</v>
      </c>
      <c r="H692" s="6">
        <f t="shared" ca="1" si="11"/>
        <v>138727.15667140001</v>
      </c>
      <c r="I692" s="7" t="str">
        <f ca="1">IFERROR(__xludf.DUMMYFUNCTION("IMPORTXML(E692,""/html/body/main/div[3]/div[3]/div[2]/ul/li[5]/span[2]/span"")"),"Loading...")</f>
        <v>Loading...</v>
      </c>
      <c r="J692" s="7">
        <f ca="1">IFERROR(__xludf.DUMMYFUNCTION("GOOGLEFINANCE(""NSE:""&amp;D692,""marketcap"")"),22209424000)</f>
        <v>22209424000</v>
      </c>
      <c r="K692" s="7">
        <v>992.8</v>
      </c>
      <c r="L692" s="8">
        <f ca="1">IFERROR(__xludf.DUMMYFUNCTION("GOOGLEFINANCE(""NSE:""&amp;D692,""price"")"),362)</f>
        <v>362</v>
      </c>
      <c r="M692" s="9">
        <f t="shared" ca="1" si="12"/>
        <v>-630.79999999999995</v>
      </c>
      <c r="N692" s="10">
        <f t="shared" ca="1" si="13"/>
        <v>-63.537469782433519</v>
      </c>
      <c r="O692" s="7">
        <f ca="1">IFERROR(__xludf.DUMMYFUNCTION("GOOGLEFINANCE(""NSE:""&amp;D692,""pe"")"),38.63)</f>
        <v>38.630000000000003</v>
      </c>
      <c r="P692" s="7">
        <f ca="1">IFERROR(__xludf.DUMMYFUNCTION("GOOGLEFINANCE(""NSE:""&amp;D692,""EPS"")"),9.37)</f>
        <v>9.3699999999999992</v>
      </c>
      <c r="Q692" s="7">
        <v>13.5</v>
      </c>
      <c r="R692" s="7" t="str">
        <f ca="1">IFERROR(__xludf.DUMMYFUNCTION("IMPORTXML(E692,""/html/body/main/div[3]/div[3]/div[2]/ul/li[7]/span[2]/span"")"),"Loading...")</f>
        <v>Loading...</v>
      </c>
      <c r="S692" s="7" t="str">
        <f ca="1">IFERROR(__xludf.DUMMYFUNCTION("IMPORTXML(E692,""/html/body/main/div[3]/div[3]/div[2]/ul/li[8]/span[2]/span"")"),"Loading...")</f>
        <v>Loading...</v>
      </c>
      <c r="T692" s="4">
        <v>34.6</v>
      </c>
      <c r="U692" s="4">
        <v>22.7</v>
      </c>
      <c r="V692" s="4">
        <v>2.6</v>
      </c>
      <c r="W692" s="4">
        <v>5.7</v>
      </c>
      <c r="X692" s="4">
        <v>519.92999999999995</v>
      </c>
      <c r="Y692" s="7">
        <f t="shared" ca="1" si="14"/>
        <v>-157.92999999999995</v>
      </c>
    </row>
    <row r="693" spans="1:25" ht="15" x14ac:dyDescent="0.25">
      <c r="A693" s="4">
        <v>2281</v>
      </c>
      <c r="C693" s="12" t="s">
        <v>1929</v>
      </c>
      <c r="D693" s="12" t="s">
        <v>1930</v>
      </c>
      <c r="E693" s="5" t="str">
        <f t="shared" si="10"/>
        <v>https://www.screener.in/company/CUBEXTUB/consolidated/</v>
      </c>
      <c r="F693" s="4">
        <v>443059</v>
      </c>
      <c r="G693" s="4">
        <v>3832241897</v>
      </c>
      <c r="H693" s="6">
        <f t="shared" ca="1" si="11"/>
        <v>32171.670725315002</v>
      </c>
      <c r="I693" s="7" t="str">
        <f ca="1">IFERROR(__xludf.DUMMYFUNCTION("IMPORTXML(E693,""/html/body/main/div[3]/div[3]/div[2]/ul/li[5]/span[2]/span"")"),"Loading...")</f>
        <v>Loading...</v>
      </c>
      <c r="J693" s="7">
        <f ca="1">IFERROR(__xludf.DUMMYFUNCTION("GOOGLEFINANCE(""NSE:""&amp;D693,""marketcap"")"),1195348000)</f>
        <v>1195348000</v>
      </c>
      <c r="K693" s="7">
        <v>992.8</v>
      </c>
      <c r="L693" s="8">
        <f ca="1">IFERROR(__xludf.DUMMYFUNCTION("GOOGLEFINANCE(""NSE:""&amp;D693,""price"")"),83.95)</f>
        <v>83.95</v>
      </c>
      <c r="M693" s="9">
        <f t="shared" ca="1" si="12"/>
        <v>-908.84999999999991</v>
      </c>
      <c r="N693" s="10">
        <f t="shared" ca="1" si="13"/>
        <v>-91.544117647058826</v>
      </c>
      <c r="O693" s="7">
        <f ca="1">IFERROR(__xludf.DUMMYFUNCTION("GOOGLEFINANCE(""NSE:""&amp;D693,""pe"")"),17.2)</f>
        <v>17.2</v>
      </c>
      <c r="P693" s="7">
        <f ca="1">IFERROR(__xludf.DUMMYFUNCTION("GOOGLEFINANCE(""NSE:""&amp;D693,""EPS"")"),4.88)</f>
        <v>4.88</v>
      </c>
      <c r="Q693" s="7">
        <v>13.5</v>
      </c>
      <c r="R693" s="7" t="str">
        <f ca="1">IFERROR(__xludf.DUMMYFUNCTION("IMPORTXML(E693,""/html/body/main/div[3]/div[3]/div[2]/ul/li[7]/span[2]/span"")"),"Loading...")</f>
        <v>Loading...</v>
      </c>
      <c r="S693" s="7" t="str">
        <f ca="1">IFERROR(__xludf.DUMMYFUNCTION("IMPORTXML(E693,""/html/body/main/div[3]/div[3]/div[2]/ul/li[8]/span[2]/span"")"),"Loading...")</f>
        <v>Loading...</v>
      </c>
      <c r="T693" s="4">
        <v>34.6</v>
      </c>
      <c r="U693" s="4">
        <v>22.7</v>
      </c>
      <c r="V693" s="4">
        <v>2.6</v>
      </c>
      <c r="W693" s="4">
        <v>5.7</v>
      </c>
      <c r="X693" s="4">
        <v>519.92999999999995</v>
      </c>
      <c r="Y693" s="7">
        <f t="shared" ca="1" si="14"/>
        <v>-435.97999999999996</v>
      </c>
    </row>
    <row r="694" spans="1:25" ht="15" x14ac:dyDescent="0.25">
      <c r="A694" s="4">
        <v>198</v>
      </c>
      <c r="C694" s="12" t="s">
        <v>1931</v>
      </c>
      <c r="D694" s="12" t="s">
        <v>1932</v>
      </c>
      <c r="E694" s="5" t="str">
        <f t="shared" si="10"/>
        <v>https://www.screener.in/company/GRANULES/consolidated/</v>
      </c>
      <c r="F694" s="4">
        <v>443059</v>
      </c>
      <c r="G694" s="4">
        <v>3832241897</v>
      </c>
      <c r="H694" s="6">
        <f t="shared" ca="1" si="11"/>
        <v>196383.23601176502</v>
      </c>
      <c r="I694" s="7" t="str">
        <f ca="1">IFERROR(__xludf.DUMMYFUNCTION("IMPORTXML(E694,""/html/body/main/div[3]/div[3]/div[2]/ul/li[5]/span[2]/span"")"),"Loading...")</f>
        <v>Loading...</v>
      </c>
      <c r="J694" s="7">
        <f ca="1">IFERROR(__xludf.DUMMYFUNCTION("GOOGLEFINANCE(""NSE:""&amp;D694,""marketcap"")"),124342715781)</f>
        <v>124342715781</v>
      </c>
      <c r="K694" s="7">
        <v>992.8</v>
      </c>
      <c r="L694" s="8">
        <f ca="1">IFERROR(__xludf.DUMMYFUNCTION("GOOGLEFINANCE(""NSE:""&amp;D694,""price"")"),512.45)</f>
        <v>512.45000000000005</v>
      </c>
      <c r="M694" s="9">
        <f t="shared" ca="1" si="12"/>
        <v>-480.34999999999991</v>
      </c>
      <c r="N694" s="10">
        <f t="shared" ca="1" si="13"/>
        <v>-48.383360193392413</v>
      </c>
      <c r="O694" s="7">
        <f ca="1">IFERROR(__xludf.DUMMYFUNCTION("GOOGLEFINANCE(""NSE:""&amp;D694,""pe"")"),25.92)</f>
        <v>25.92</v>
      </c>
      <c r="P694" s="7">
        <f ca="1">IFERROR(__xludf.DUMMYFUNCTION("GOOGLEFINANCE(""NSE:""&amp;D694,""EPS"")"),19.77)</f>
        <v>19.77</v>
      </c>
      <c r="Q694" s="7">
        <v>13.5</v>
      </c>
      <c r="R694" s="7" t="str">
        <f ca="1">IFERROR(__xludf.DUMMYFUNCTION("IMPORTXML(E694,""/html/body/main/div[3]/div[3]/div[2]/ul/li[7]/span[2]/span"")"),"Loading...")</f>
        <v>Loading...</v>
      </c>
      <c r="S694" s="7" t="str">
        <f ca="1">IFERROR(__xludf.DUMMYFUNCTION("IMPORTXML(E694,""/html/body/main/div[3]/div[3]/div[2]/ul/li[8]/span[2]/span"")"),"Loading...")</f>
        <v>Loading...</v>
      </c>
      <c r="T694" s="4">
        <v>34.6</v>
      </c>
      <c r="U694" s="4">
        <v>22.7</v>
      </c>
      <c r="V694" s="4">
        <v>2.6</v>
      </c>
      <c r="W694" s="4">
        <v>5.7</v>
      </c>
      <c r="X694" s="4">
        <v>519.92999999999995</v>
      </c>
      <c r="Y694" s="7">
        <f t="shared" ca="1" si="14"/>
        <v>-7.4799999999999045</v>
      </c>
    </row>
    <row r="695" spans="1:25" ht="15" x14ac:dyDescent="0.25">
      <c r="A695" s="4">
        <v>1705</v>
      </c>
      <c r="C695" s="12" t="s">
        <v>1933</v>
      </c>
      <c r="D695" s="12" t="s">
        <v>1934</v>
      </c>
      <c r="E695" s="5" t="str">
        <f t="shared" si="10"/>
        <v>https://www.screener.in/company/VARDMNPOLY/consolidated/</v>
      </c>
      <c r="F695" s="4">
        <v>443059</v>
      </c>
      <c r="G695" s="4">
        <v>3832241897</v>
      </c>
      <c r="H695" s="6">
        <f t="shared" ca="1" si="11"/>
        <v>3422.192014021</v>
      </c>
      <c r="I695" s="7" t="str">
        <f ca="1">IFERROR(__xludf.DUMMYFUNCTION("IMPORTXML(E695,""/html/body/main/div[3]/div[3]/div[2]/ul/li[5]/span[2]/span"")"),"Loading...")</f>
        <v>Loading...</v>
      </c>
      <c r="J695" s="7">
        <f ca="1">IFERROR(__xludf.DUMMYFUNCTION("GOOGLEFINANCE(""NSE:""&amp;D695,""marketcap"")"),4088746000)</f>
        <v>4088746000</v>
      </c>
      <c r="K695" s="7">
        <v>992.8</v>
      </c>
      <c r="L695" s="8">
        <f ca="1">IFERROR(__xludf.DUMMYFUNCTION("GOOGLEFINANCE(""NSE:""&amp;D695,""price"")"),8.93)</f>
        <v>8.93</v>
      </c>
      <c r="M695" s="9">
        <f t="shared" ca="1" si="12"/>
        <v>-983.87</v>
      </c>
      <c r="N695" s="10">
        <f t="shared" ca="1" si="13"/>
        <v>-99.100523771152311</v>
      </c>
      <c r="O695" s="7">
        <f ca="1">IFERROR(__xludf.DUMMYFUNCTION("GOOGLEFINANCE(""NSE:""&amp;D695,""pe"")"),12.28)</f>
        <v>12.28</v>
      </c>
      <c r="P695" s="7">
        <f ca="1">IFERROR(__xludf.DUMMYFUNCTION("GOOGLEFINANCE(""NSE:""&amp;D695,""EPS"")"),0.73)</f>
        <v>0.73</v>
      </c>
      <c r="Q695" s="7">
        <v>13.5</v>
      </c>
      <c r="R695" s="7" t="str">
        <f ca="1">IFERROR(__xludf.DUMMYFUNCTION("IMPORTXML(E695,""/html/body/main/div[3]/div[3]/div[2]/ul/li[7]/span[2]/span"")"),"Loading...")</f>
        <v>Loading...</v>
      </c>
      <c r="S695" s="7" t="str">
        <f ca="1">IFERROR(__xludf.DUMMYFUNCTION("IMPORTXML(E695,""/html/body/main/div[3]/div[3]/div[2]/ul/li[8]/span[2]/span"")"),"Loading...")</f>
        <v>Loading...</v>
      </c>
      <c r="T695" s="4">
        <v>34.6</v>
      </c>
      <c r="U695" s="4">
        <v>22.7</v>
      </c>
      <c r="V695" s="4">
        <v>2.6</v>
      </c>
      <c r="W695" s="4">
        <v>5.7</v>
      </c>
      <c r="X695" s="4">
        <v>519.92999999999995</v>
      </c>
      <c r="Y695" s="7">
        <f t="shared" ca="1" si="14"/>
        <v>-510.99999999999994</v>
      </c>
    </row>
    <row r="696" spans="1:25" ht="15" x14ac:dyDescent="0.25">
      <c r="A696" s="4">
        <v>1257</v>
      </c>
      <c r="C696" s="12" t="s">
        <v>1935</v>
      </c>
      <c r="D696" s="12" t="s">
        <v>1936</v>
      </c>
      <c r="E696" s="5" t="str">
        <f t="shared" si="10"/>
        <v>https://www.screener.in/company/ELDEHSG/consolidated/</v>
      </c>
      <c r="F696" s="4">
        <v>443059</v>
      </c>
      <c r="G696" s="4">
        <v>3832241897</v>
      </c>
      <c r="H696" s="6">
        <f t="shared" ca="1" si="11"/>
        <v>289334.26322349999</v>
      </c>
      <c r="I696" s="7" t="str">
        <f ca="1">IFERROR(__xludf.DUMMYFUNCTION("IMPORTXML(E696,""/html/body/main/div[3]/div[3]/div[2]/ul/li[5]/span[2]/span"")"),"Loading...")</f>
        <v>Loading...</v>
      </c>
      <c r="J696" s="7">
        <f ca="1">IFERROR(__xludf.DUMMYFUNCTION("GOOGLEFINANCE(""NSE:""&amp;D696,""marketcap"")"),7423915000)</f>
        <v>7423915000</v>
      </c>
      <c r="K696" s="7">
        <v>992.8</v>
      </c>
      <c r="L696" s="8">
        <f ca="1">IFERROR(__xludf.DUMMYFUNCTION("GOOGLEFINANCE(""NSE:""&amp;D696,""price"")"),755)</f>
        <v>755</v>
      </c>
      <c r="M696" s="9">
        <f t="shared" ca="1" si="12"/>
        <v>-237.79999999999995</v>
      </c>
      <c r="N696" s="10">
        <f t="shared" ca="1" si="13"/>
        <v>-23.952457695406927</v>
      </c>
      <c r="O696" s="7">
        <f ca="1">IFERROR(__xludf.DUMMYFUNCTION("GOOGLEFINANCE(""NSE:""&amp;D696,""pe"")"),44.57)</f>
        <v>44.57</v>
      </c>
      <c r="P696" s="7">
        <f ca="1">IFERROR(__xludf.DUMMYFUNCTION("GOOGLEFINANCE(""NSE:""&amp;D696,""EPS"")"),16.94)</f>
        <v>16.940000000000001</v>
      </c>
      <c r="Q696" s="7">
        <v>13.5</v>
      </c>
      <c r="R696" s="7" t="str">
        <f ca="1">IFERROR(__xludf.DUMMYFUNCTION("IMPORTXML(E696,""/html/body/main/div[3]/div[3]/div[2]/ul/li[7]/span[2]/span"")"),"Loading...")</f>
        <v>Loading...</v>
      </c>
      <c r="S696" s="7" t="str">
        <f ca="1">IFERROR(__xludf.DUMMYFUNCTION("IMPORTXML(E696,""/html/body/main/div[3]/div[3]/div[2]/ul/li[8]/span[2]/span"")"),"Loading...")</f>
        <v>Loading...</v>
      </c>
      <c r="T696" s="4">
        <v>34.6</v>
      </c>
      <c r="U696" s="4">
        <v>22.7</v>
      </c>
      <c r="V696" s="4">
        <v>2.6</v>
      </c>
      <c r="W696" s="4">
        <v>5.7</v>
      </c>
      <c r="X696" s="4">
        <v>519.92999999999995</v>
      </c>
      <c r="Y696" s="7">
        <f t="shared" ca="1" si="14"/>
        <v>235.07000000000005</v>
      </c>
    </row>
    <row r="697" spans="1:25" ht="15" x14ac:dyDescent="0.25">
      <c r="A697" s="4">
        <v>997</v>
      </c>
      <c r="C697" s="12" t="s">
        <v>1937</v>
      </c>
      <c r="D697" s="12" t="s">
        <v>1938</v>
      </c>
      <c r="E697" s="5" t="str">
        <f t="shared" si="10"/>
        <v>https://www.screener.in/company/CEWATER/consolidated/</v>
      </c>
      <c r="F697" s="4">
        <v>443059</v>
      </c>
      <c r="G697" s="4">
        <v>3832241897</v>
      </c>
      <c r="H697" s="6">
        <f t="shared" ca="1" si="11"/>
        <v>204220.17069112998</v>
      </c>
      <c r="I697" s="7" t="str">
        <f ca="1">IFERROR(__xludf.DUMMYFUNCTION("IMPORTXML(E697,""/html/body/main/div[3]/div[3]/div[2]/ul/li[5]/span[2]/span"")"),"Loading...")</f>
        <v>Loading...</v>
      </c>
      <c r="J697" s="7">
        <f ca="1">IFERROR(__xludf.DUMMYFUNCTION("GOOGLEFINANCE(""NSE:""&amp;D697,""marketcap"")"),11029021472)</f>
        <v>11029021472</v>
      </c>
      <c r="K697" s="7">
        <v>992.8</v>
      </c>
      <c r="L697" s="8">
        <f ca="1">IFERROR(__xludf.DUMMYFUNCTION("GOOGLEFINANCE(""NSE:""&amp;D697,""price"")"),532.9)</f>
        <v>532.9</v>
      </c>
      <c r="M697" s="9">
        <f t="shared" ca="1" si="12"/>
        <v>-459.9</v>
      </c>
      <c r="N697" s="10">
        <f t="shared" ca="1" si="13"/>
        <v>-46.32352941176471</v>
      </c>
      <c r="O697" s="7">
        <f ca="1">IFERROR(__xludf.DUMMYFUNCTION("GOOGLEFINANCE(""NSE:""&amp;D697,""pe"")"),12.57)</f>
        <v>12.57</v>
      </c>
      <c r="P697" s="7">
        <f ca="1">IFERROR(__xludf.DUMMYFUNCTION("GOOGLEFINANCE(""NSE:""&amp;D697,""EPS"")"),42.39)</f>
        <v>42.39</v>
      </c>
      <c r="Q697" s="7">
        <v>13.5</v>
      </c>
      <c r="R697" s="7" t="str">
        <f ca="1">IFERROR(__xludf.DUMMYFUNCTION("IMPORTXML(E697,""/html/body/main/div[3]/div[3]/div[2]/ul/li[7]/span[2]/span"")"),"Loading...")</f>
        <v>Loading...</v>
      </c>
      <c r="S697" s="7" t="str">
        <f ca="1">IFERROR(__xludf.DUMMYFUNCTION("IMPORTXML(E697,""/html/body/main/div[3]/div[3]/div[2]/ul/li[8]/span[2]/span"")"),"Loading...")</f>
        <v>Loading...</v>
      </c>
      <c r="T697" s="4">
        <v>34.6</v>
      </c>
      <c r="U697" s="4">
        <v>22.7</v>
      </c>
      <c r="V697" s="4">
        <v>2.6</v>
      </c>
      <c r="W697" s="4">
        <v>5.7</v>
      </c>
      <c r="X697" s="4">
        <v>519.92999999999995</v>
      </c>
      <c r="Y697" s="7">
        <f t="shared" ca="1" si="14"/>
        <v>12.970000000000027</v>
      </c>
    </row>
    <row r="698" spans="1:25" ht="15" x14ac:dyDescent="0.25">
      <c r="A698" s="4">
        <v>108</v>
      </c>
      <c r="C698" s="12" t="s">
        <v>1939</v>
      </c>
      <c r="D698" s="12" t="s">
        <v>1940</v>
      </c>
      <c r="E698" s="5" t="str">
        <f t="shared" si="10"/>
        <v>https://www.screener.in/company/IIFL/consolidated/</v>
      </c>
      <c r="F698" s="4">
        <v>443059</v>
      </c>
      <c r="G698" s="4">
        <v>3832241897</v>
      </c>
      <c r="H698" s="6">
        <f t="shared" ca="1" si="11"/>
        <v>167085.7467092</v>
      </c>
      <c r="I698" s="7" t="str">
        <f ca="1">IFERROR(__xludf.DUMMYFUNCTION("IMPORTXML(E698,""/html/body/main/div[3]/div[3]/div[2]/ul/li[5]/span[2]/span"")"),"Loading...")</f>
        <v>Loading...</v>
      </c>
      <c r="J698" s="7">
        <f ca="1">IFERROR(__xludf.DUMMYFUNCTION("GOOGLEFINANCE(""NSE:""&amp;D698,""marketcap"")"),185295901600)</f>
        <v>185295901600</v>
      </c>
      <c r="K698" s="7">
        <v>992.8</v>
      </c>
      <c r="L698" s="8">
        <f ca="1">IFERROR(__xludf.DUMMYFUNCTION("GOOGLEFINANCE(""NSE:""&amp;D698,""price"")"),436)</f>
        <v>436</v>
      </c>
      <c r="M698" s="9">
        <f t="shared" ca="1" si="12"/>
        <v>-556.79999999999995</v>
      </c>
      <c r="N698" s="10">
        <f t="shared" ca="1" si="13"/>
        <v>-56.083803384367449</v>
      </c>
      <c r="O698" s="7">
        <f ca="1">IFERROR(__xludf.DUMMYFUNCTION("GOOGLEFINANCE(""NSE:""&amp;D698,""pe"")"),58.53)</f>
        <v>58.53</v>
      </c>
      <c r="P698" s="7">
        <f ca="1">IFERROR(__xludf.DUMMYFUNCTION("GOOGLEFINANCE(""NSE:""&amp;D698,""EPS"")"),7.45)</f>
        <v>7.45</v>
      </c>
      <c r="Q698" s="7">
        <v>13.5</v>
      </c>
      <c r="R698" s="7" t="str">
        <f ca="1">IFERROR(__xludf.DUMMYFUNCTION("IMPORTXML(E698,""/html/body/main/div[3]/div[3]/div[2]/ul/li[7]/span[2]/span"")"),"Loading...")</f>
        <v>Loading...</v>
      </c>
      <c r="S698" s="7" t="str">
        <f ca="1">IFERROR(__xludf.DUMMYFUNCTION("IMPORTXML(E698,""/html/body/main/div[3]/div[3]/div[2]/ul/li[8]/span[2]/span"")"),"Loading...")</f>
        <v>Loading...</v>
      </c>
      <c r="T698" s="4">
        <v>34.6</v>
      </c>
      <c r="U698" s="4">
        <v>22.7</v>
      </c>
      <c r="V698" s="4">
        <v>2.6</v>
      </c>
      <c r="W698" s="4">
        <v>5.7</v>
      </c>
      <c r="X698" s="4">
        <v>519.92999999999995</v>
      </c>
      <c r="Y698" s="7">
        <f t="shared" ca="1" si="14"/>
        <v>-83.92999999999995</v>
      </c>
    </row>
    <row r="699" spans="1:25" ht="15" x14ac:dyDescent="0.25">
      <c r="A699" s="4">
        <v>910</v>
      </c>
      <c r="C699" s="12" t="s">
        <v>1941</v>
      </c>
      <c r="D699" s="12" t="s">
        <v>1942</v>
      </c>
      <c r="E699" s="5" t="str">
        <f t="shared" si="10"/>
        <v>https://www.screener.in/company/SHRIRAMPPS/consolidated/</v>
      </c>
      <c r="F699" s="4">
        <v>443059</v>
      </c>
      <c r="G699" s="4">
        <v>3832241897</v>
      </c>
      <c r="H699" s="6">
        <f t="shared" ca="1" si="11"/>
        <v>34723.943828716998</v>
      </c>
      <c r="I699" s="7" t="str">
        <f ca="1">IFERROR(__xludf.DUMMYFUNCTION("IMPORTXML(E699,""/html/body/main/div[3]/div[3]/div[2]/ul/li[5]/span[2]/span"")"),"Loading...")</f>
        <v>Loading...</v>
      </c>
      <c r="J699" s="7">
        <f ca="1">IFERROR(__xludf.DUMMYFUNCTION("GOOGLEFINANCE(""NSE:""&amp;D699,""marketcap"")"),15435676372)</f>
        <v>15435676372</v>
      </c>
      <c r="K699" s="7">
        <v>992.8</v>
      </c>
      <c r="L699" s="8">
        <f ca="1">IFERROR(__xludf.DUMMYFUNCTION("GOOGLEFINANCE(""NSE:""&amp;D699,""price"")"),90.61)</f>
        <v>90.61</v>
      </c>
      <c r="M699" s="9">
        <f t="shared" ca="1" si="12"/>
        <v>-902.18999999999994</v>
      </c>
      <c r="N699" s="10">
        <f t="shared" ca="1" si="13"/>
        <v>-90.873287671232873</v>
      </c>
      <c r="O699" s="7">
        <f ca="1">IFERROR(__xludf.DUMMYFUNCTION("GOOGLEFINANCE(""NSE:""&amp;D699,""pe"")"),19.2)</f>
        <v>19.2</v>
      </c>
      <c r="P699" s="7">
        <f ca="1">IFERROR(__xludf.DUMMYFUNCTION("GOOGLEFINANCE(""NSE:""&amp;D699,""EPS"")"),4.72)</f>
        <v>4.72</v>
      </c>
      <c r="Q699" s="7">
        <v>13.5</v>
      </c>
      <c r="R699" s="7" t="str">
        <f ca="1">IFERROR(__xludf.DUMMYFUNCTION("IMPORTXML(E699,""/html/body/main/div[3]/div[3]/div[2]/ul/li[7]/span[2]/span"")"),"Loading...")</f>
        <v>Loading...</v>
      </c>
      <c r="S699" s="7" t="str">
        <f ca="1">IFERROR(__xludf.DUMMYFUNCTION("IMPORTXML(E699,""/html/body/main/div[3]/div[3]/div[2]/ul/li[8]/span[2]/span"")"),"Loading...")</f>
        <v>Loading...</v>
      </c>
      <c r="T699" s="4">
        <v>34.6</v>
      </c>
      <c r="U699" s="4">
        <v>22.7</v>
      </c>
      <c r="V699" s="4">
        <v>2.6</v>
      </c>
      <c r="W699" s="4">
        <v>5.7</v>
      </c>
      <c r="X699" s="4">
        <v>519.92999999999995</v>
      </c>
      <c r="Y699" s="7">
        <f t="shared" ca="1" si="14"/>
        <v>-429.31999999999994</v>
      </c>
    </row>
    <row r="700" spans="1:25" ht="15" x14ac:dyDescent="0.25">
      <c r="A700" s="4">
        <v>594</v>
      </c>
      <c r="C700" s="12" t="s">
        <v>1943</v>
      </c>
      <c r="D700" s="12" t="s">
        <v>1944</v>
      </c>
      <c r="E700" s="5" t="str">
        <f t="shared" si="10"/>
        <v>https://www.screener.in/company/CIGNITITEC/consolidated/</v>
      </c>
      <c r="F700" s="4">
        <v>443059</v>
      </c>
      <c r="G700" s="4">
        <v>3832241897</v>
      </c>
      <c r="H700" s="6">
        <f t="shared" ca="1" si="11"/>
        <v>602390.10378943011</v>
      </c>
      <c r="I700" s="7" t="str">
        <f ca="1">IFERROR(__xludf.DUMMYFUNCTION("IMPORTXML(E700,""/html/body/main/div[3]/div[3]/div[2]/ul/li[5]/span[2]/span"")"),"Loading...")</f>
        <v>Loading...</v>
      </c>
      <c r="J700" s="7">
        <f ca="1">IFERROR(__xludf.DUMMYFUNCTION("GOOGLEFINANCE(""NSE:""&amp;D700,""marketcap"")"),42983090000)</f>
        <v>42983090000</v>
      </c>
      <c r="K700" s="7">
        <v>992.8</v>
      </c>
      <c r="L700" s="8">
        <f ca="1">IFERROR(__xludf.DUMMYFUNCTION("GOOGLEFINANCE(""NSE:""&amp;D700,""price"")"),1571.9)</f>
        <v>1571.9</v>
      </c>
      <c r="M700" s="9">
        <f t="shared" ca="1" si="12"/>
        <v>579.10000000000014</v>
      </c>
      <c r="N700" s="10">
        <f t="shared" ca="1" si="13"/>
        <v>58.329975825946832</v>
      </c>
      <c r="O700" s="7">
        <f ca="1">IFERROR(__xludf.DUMMYFUNCTION("GOOGLEFINANCE(""NSE:""&amp;D700,""pe"")"),17.02)</f>
        <v>17.02</v>
      </c>
      <c r="P700" s="7">
        <f ca="1">IFERROR(__xludf.DUMMYFUNCTION("GOOGLEFINANCE(""NSE:""&amp;D700,""EPS"")"),92.35)</f>
        <v>92.35</v>
      </c>
      <c r="Q700" s="7">
        <v>13.5</v>
      </c>
      <c r="R700" s="7" t="str">
        <f ca="1">IFERROR(__xludf.DUMMYFUNCTION("IMPORTXML(E700,""/html/body/main/div[3]/div[3]/div[2]/ul/li[7]/span[2]/span"")"),"Loading...")</f>
        <v>Loading...</v>
      </c>
      <c r="S700" s="7" t="str">
        <f ca="1">IFERROR(__xludf.DUMMYFUNCTION("IMPORTXML(E700,""/html/body/main/div[3]/div[3]/div[2]/ul/li[8]/span[2]/span"")"),"Loading...")</f>
        <v>Loading...</v>
      </c>
      <c r="T700" s="4">
        <v>34.6</v>
      </c>
      <c r="U700" s="4">
        <v>22.7</v>
      </c>
      <c r="V700" s="4">
        <v>2.6</v>
      </c>
      <c r="W700" s="4">
        <v>5.7</v>
      </c>
      <c r="X700" s="4">
        <v>519.92999999999995</v>
      </c>
      <c r="Y700" s="7">
        <f t="shared" ca="1" si="14"/>
        <v>1051.9700000000003</v>
      </c>
    </row>
    <row r="701" spans="1:25" ht="15" x14ac:dyDescent="0.25">
      <c r="A701" s="4">
        <v>718</v>
      </c>
      <c r="C701" s="12" t="s">
        <v>1945</v>
      </c>
      <c r="D701" s="12" t="s">
        <v>1946</v>
      </c>
      <c r="E701" s="5" t="str">
        <f t="shared" si="10"/>
        <v>https://www.screener.in/company/DOLLAR/consolidated/</v>
      </c>
      <c r="F701" s="4">
        <v>443059</v>
      </c>
      <c r="G701" s="4">
        <v>3832241897</v>
      </c>
      <c r="H701" s="6">
        <f t="shared" ca="1" si="11"/>
        <v>136887.68056084</v>
      </c>
      <c r="I701" s="7" t="str">
        <f ca="1">IFERROR(__xludf.DUMMYFUNCTION("IMPORTXML(E701,""/html/body/main/div[3]/div[3]/div[2]/ul/li[5]/span[2]/span"")"),"Loading...")</f>
        <v>Loading...</v>
      </c>
      <c r="J701" s="7">
        <f ca="1">IFERROR(__xludf.DUMMYFUNCTION("GOOGLEFINANCE(""NSE:""&amp;D701,""marketcap"")"),20276010000)</f>
        <v>20276010000</v>
      </c>
      <c r="K701" s="7">
        <v>992.8</v>
      </c>
      <c r="L701" s="8">
        <f ca="1">IFERROR(__xludf.DUMMYFUNCTION("GOOGLEFINANCE(""NSE:""&amp;D701,""price"")"),357.2)</f>
        <v>357.2</v>
      </c>
      <c r="M701" s="9">
        <f t="shared" ca="1" si="12"/>
        <v>-635.59999999999991</v>
      </c>
      <c r="N701" s="10">
        <f t="shared" ca="1" si="13"/>
        <v>-64.02095084609185</v>
      </c>
      <c r="O701" s="7">
        <f ca="1">IFERROR(__xludf.DUMMYFUNCTION("GOOGLEFINANCE(""NSE:""&amp;D701,""pe"")"),20.87)</f>
        <v>20.87</v>
      </c>
      <c r="P701" s="7">
        <f ca="1">IFERROR(__xludf.DUMMYFUNCTION("GOOGLEFINANCE(""NSE:""&amp;D701,""EPS"")"),17.11)</f>
        <v>17.11</v>
      </c>
      <c r="Q701" s="7">
        <v>13.5</v>
      </c>
      <c r="R701" s="7" t="str">
        <f ca="1">IFERROR(__xludf.DUMMYFUNCTION("IMPORTXML(E701,""/html/body/main/div[3]/div[3]/div[2]/ul/li[7]/span[2]/span"")"),"Loading...")</f>
        <v>Loading...</v>
      </c>
      <c r="S701" s="7" t="str">
        <f ca="1">IFERROR(__xludf.DUMMYFUNCTION("IMPORTXML(E701,""/html/body/main/div[3]/div[3]/div[2]/ul/li[8]/span[2]/span"")"),"Loading...")</f>
        <v>Loading...</v>
      </c>
      <c r="T701" s="4">
        <v>34.6</v>
      </c>
      <c r="U701" s="4">
        <v>22.7</v>
      </c>
      <c r="V701" s="4">
        <v>2.6</v>
      </c>
      <c r="W701" s="4">
        <v>5.7</v>
      </c>
      <c r="X701" s="4">
        <v>519.92999999999995</v>
      </c>
      <c r="Y701" s="7">
        <f t="shared" ca="1" si="14"/>
        <v>-162.72999999999996</v>
      </c>
    </row>
    <row r="702" spans="1:25" ht="15" x14ac:dyDescent="0.25">
      <c r="A702" s="4">
        <v>1138</v>
      </c>
      <c r="C702" s="12" t="s">
        <v>1947</v>
      </c>
      <c r="D702" s="12" t="s">
        <v>1948</v>
      </c>
      <c r="E702" s="5" t="str">
        <f t="shared" si="10"/>
        <v>https://www.screener.in/company/KSOLVES/consolidated/</v>
      </c>
      <c r="F702" s="4">
        <v>443059</v>
      </c>
      <c r="G702" s="4">
        <v>3832241897</v>
      </c>
      <c r="H702" s="6">
        <f t="shared" ca="1" si="11"/>
        <v>123014.9648937</v>
      </c>
      <c r="I702" s="7" t="str">
        <f ca="1">IFERROR(__xludf.DUMMYFUNCTION("IMPORTXML(E702,""/html/body/main/div[3]/div[3]/div[2]/ul/li[5]/span[2]/span"")"),"Loading...")</f>
        <v>Loading...</v>
      </c>
      <c r="J702" s="7">
        <f ca="1">IFERROR(__xludf.DUMMYFUNCTION("GOOGLEFINANCE(""NSE:""&amp;D702,""marketcap"")"),7594921600)</f>
        <v>7594921600</v>
      </c>
      <c r="K702" s="7">
        <v>992.8</v>
      </c>
      <c r="L702" s="8">
        <f ca="1">IFERROR(__xludf.DUMMYFUNCTION("GOOGLEFINANCE(""NSE:""&amp;D702,""price"")"),321)</f>
        <v>321</v>
      </c>
      <c r="M702" s="9">
        <f t="shared" ca="1" si="12"/>
        <v>-671.8</v>
      </c>
      <c r="N702" s="10">
        <f t="shared" ca="1" si="13"/>
        <v>-67.667203867848514</v>
      </c>
      <c r="O702" s="7">
        <f ca="1">IFERROR(__xludf.DUMMYFUNCTION("GOOGLEFINANCE(""NSE:""&amp;D702,""pe"")"),23.95)</f>
        <v>23.95</v>
      </c>
      <c r="P702" s="7">
        <f ca="1">IFERROR(__xludf.DUMMYFUNCTION("GOOGLEFINANCE(""NSE:""&amp;D702,""EPS"")"),13.4)</f>
        <v>13.4</v>
      </c>
      <c r="Q702" s="7">
        <v>13.5</v>
      </c>
      <c r="R702" s="7" t="str">
        <f ca="1">IFERROR(__xludf.DUMMYFUNCTION("IMPORTXML(E702,""/html/body/main/div[3]/div[3]/div[2]/ul/li[7]/span[2]/span"")"),"Loading...")</f>
        <v>Loading...</v>
      </c>
      <c r="S702" s="7" t="str">
        <f ca="1">IFERROR(__xludf.DUMMYFUNCTION("IMPORTXML(E702,""/html/body/main/div[3]/div[3]/div[2]/ul/li[8]/span[2]/span"")"),"Loading...")</f>
        <v>Loading...</v>
      </c>
      <c r="T702" s="4">
        <v>34.6</v>
      </c>
      <c r="U702" s="4">
        <v>22.7</v>
      </c>
      <c r="V702" s="4">
        <v>2.6</v>
      </c>
      <c r="W702" s="4">
        <v>5.7</v>
      </c>
      <c r="X702" s="4">
        <v>519.92999999999995</v>
      </c>
      <c r="Y702" s="7">
        <f t="shared" ca="1" si="14"/>
        <v>-198.92999999999995</v>
      </c>
    </row>
    <row r="703" spans="1:25" ht="15" x14ac:dyDescent="0.25">
      <c r="A703" s="4">
        <v>603</v>
      </c>
      <c r="C703" s="12" t="s">
        <v>1949</v>
      </c>
      <c r="D703" s="12" t="s">
        <v>1950</v>
      </c>
      <c r="E703" s="5" t="str">
        <f t="shared" si="10"/>
        <v>https://www.screener.in/company/SOTL/consolidated/</v>
      </c>
      <c r="F703" s="4">
        <v>443059</v>
      </c>
      <c r="G703" s="4">
        <v>3832241897</v>
      </c>
      <c r="H703" s="6">
        <f t="shared" ca="1" si="11"/>
        <v>155531.53738974503</v>
      </c>
      <c r="I703" s="7" t="str">
        <f ca="1">IFERROR(__xludf.DUMMYFUNCTION("IMPORTXML(E703,""/html/body/main/div[3]/div[3]/div[2]/ul/li[5]/span[2]/span"")"),"Loading...")</f>
        <v>Loading...</v>
      </c>
      <c r="J703" s="7">
        <f ca="1">IFERROR(__xludf.DUMMYFUNCTION("GOOGLEFINANCE(""NSE:""&amp;D703,""marketcap"")"),27899957696)</f>
        <v>27899957696</v>
      </c>
      <c r="K703" s="7">
        <v>992.8</v>
      </c>
      <c r="L703" s="8">
        <f ca="1">IFERROR(__xludf.DUMMYFUNCTION("GOOGLEFINANCE(""NSE:""&amp;D703,""price"")"),405.85)</f>
        <v>405.85</v>
      </c>
      <c r="M703" s="9">
        <f t="shared" ca="1" si="12"/>
        <v>-586.94999999999993</v>
      </c>
      <c r="N703" s="10">
        <f t="shared" ca="1" si="13"/>
        <v>-59.12066881547139</v>
      </c>
      <c r="O703" s="7">
        <f ca="1">IFERROR(__xludf.DUMMYFUNCTION("GOOGLEFINANCE(""NSE:""&amp;D703,""pe"")"),21.58)</f>
        <v>21.58</v>
      </c>
      <c r="P703" s="7">
        <f ca="1">IFERROR(__xludf.DUMMYFUNCTION("GOOGLEFINANCE(""NSE:""&amp;D703,""EPS"")"),18.8)</f>
        <v>18.8</v>
      </c>
      <c r="Q703" s="7">
        <v>13.5</v>
      </c>
      <c r="R703" s="7" t="str">
        <f ca="1">IFERROR(__xludf.DUMMYFUNCTION("IMPORTXML(E703,""/html/body/main/div[3]/div[3]/div[2]/ul/li[7]/span[2]/span"")"),"Loading...")</f>
        <v>Loading...</v>
      </c>
      <c r="S703" s="7" t="str">
        <f ca="1">IFERROR(__xludf.DUMMYFUNCTION("IMPORTXML(E703,""/html/body/main/div[3]/div[3]/div[2]/ul/li[8]/span[2]/span"")"),"Loading...")</f>
        <v>Loading...</v>
      </c>
      <c r="T703" s="4">
        <v>34.6</v>
      </c>
      <c r="U703" s="4">
        <v>22.7</v>
      </c>
      <c r="V703" s="4">
        <v>2.6</v>
      </c>
      <c r="W703" s="4">
        <v>5.7</v>
      </c>
      <c r="X703" s="4">
        <v>519.92999999999995</v>
      </c>
      <c r="Y703" s="7">
        <f t="shared" ca="1" si="14"/>
        <v>-114.07999999999993</v>
      </c>
    </row>
    <row r="704" spans="1:25" ht="15" x14ac:dyDescent="0.25">
      <c r="A704" s="4">
        <v>1476</v>
      </c>
      <c r="C704" s="12" t="s">
        <v>1951</v>
      </c>
      <c r="D704" s="12" t="s">
        <v>1952</v>
      </c>
      <c r="E704" s="5" t="str">
        <f t="shared" si="10"/>
        <v>https://www.screener.in/company/KAMATHOTEL/consolidated/</v>
      </c>
      <c r="F704" s="4">
        <v>443059</v>
      </c>
      <c r="G704" s="4">
        <v>3832241897</v>
      </c>
      <c r="H704" s="6">
        <f t="shared" ca="1" si="11"/>
        <v>121482.06813489999</v>
      </c>
      <c r="I704" s="7" t="str">
        <f ca="1">IFERROR(__xludf.DUMMYFUNCTION("IMPORTXML(E704,""/html/body/main/div[3]/div[3]/div[2]/ul/li[5]/span[2]/span"")"),"Loading...")</f>
        <v>Loading...</v>
      </c>
      <c r="J704" s="7">
        <f ca="1">IFERROR(__xludf.DUMMYFUNCTION("GOOGLEFINANCE(""NSE:""&amp;D704,""marketcap"")"),9343709000)</f>
        <v>9343709000</v>
      </c>
      <c r="K704" s="7">
        <v>992.8</v>
      </c>
      <c r="L704" s="8">
        <f ca="1">IFERROR(__xludf.DUMMYFUNCTION("GOOGLEFINANCE(""NSE:""&amp;D704,""price"")"),317)</f>
        <v>317</v>
      </c>
      <c r="M704" s="9">
        <f t="shared" ca="1" si="12"/>
        <v>-675.8</v>
      </c>
      <c r="N704" s="10">
        <f t="shared" ca="1" si="13"/>
        <v>-68.070104754230456</v>
      </c>
      <c r="O704" s="7">
        <f ca="1">IFERROR(__xludf.DUMMYFUNCTION("GOOGLEFINANCE(""NSE:""&amp;D704,""pe"")"),20.32)</f>
        <v>20.32</v>
      </c>
      <c r="P704" s="7">
        <f ca="1">IFERROR(__xludf.DUMMYFUNCTION("GOOGLEFINANCE(""NSE:""&amp;D704,""EPS"")"),15.6)</f>
        <v>15.6</v>
      </c>
      <c r="Q704" s="7">
        <v>13.5</v>
      </c>
      <c r="R704" s="7" t="str">
        <f ca="1">IFERROR(__xludf.DUMMYFUNCTION("IMPORTXML(E704,""/html/body/main/div[3]/div[3]/div[2]/ul/li[7]/span[2]/span"")"),"Loading...")</f>
        <v>Loading...</v>
      </c>
      <c r="S704" s="7" t="str">
        <f ca="1">IFERROR(__xludf.DUMMYFUNCTION("IMPORTXML(E704,""/html/body/main/div[3]/div[3]/div[2]/ul/li[8]/span[2]/span"")"),"Loading...")</f>
        <v>Loading...</v>
      </c>
      <c r="T704" s="4">
        <v>34.6</v>
      </c>
      <c r="U704" s="4">
        <v>22.7</v>
      </c>
      <c r="V704" s="4">
        <v>2.6</v>
      </c>
      <c r="W704" s="4">
        <v>5.7</v>
      </c>
      <c r="X704" s="4">
        <v>519.92999999999995</v>
      </c>
      <c r="Y704" s="7">
        <f t="shared" ca="1" si="14"/>
        <v>-202.92999999999995</v>
      </c>
    </row>
    <row r="705" spans="1:25" ht="15" x14ac:dyDescent="0.25">
      <c r="A705" s="4">
        <v>296</v>
      </c>
      <c r="C705" s="12" t="s">
        <v>1953</v>
      </c>
      <c r="D705" s="12" t="s">
        <v>1954</v>
      </c>
      <c r="E705" s="5" t="str">
        <f t="shared" si="10"/>
        <v>https://www.screener.in/company/HOMEFIRST/consolidated/</v>
      </c>
      <c r="F705" s="4">
        <v>443059</v>
      </c>
      <c r="G705" s="4">
        <v>3832241897</v>
      </c>
      <c r="H705" s="6">
        <f t="shared" ca="1" si="11"/>
        <v>483245.70321170002</v>
      </c>
      <c r="I705" s="7" t="str">
        <f ca="1">IFERROR(__xludf.DUMMYFUNCTION("IMPORTXML(E705,""/html/body/main/div[3]/div[3]/div[2]/ul/li[5]/span[2]/span"")"),"Loading...")</f>
        <v>Loading...</v>
      </c>
      <c r="J705" s="7">
        <f ca="1">IFERROR(__xludf.DUMMYFUNCTION("GOOGLEFINANCE(""NSE:""&amp;D705,""marketcap"")"),130563400000)</f>
        <v>130563400000</v>
      </c>
      <c r="K705" s="7">
        <v>992.8</v>
      </c>
      <c r="L705" s="8">
        <f ca="1">IFERROR(__xludf.DUMMYFUNCTION("GOOGLEFINANCE(""NSE:""&amp;D705,""price"")"),1261)</f>
        <v>1261</v>
      </c>
      <c r="M705" s="9">
        <f t="shared" ca="1" si="12"/>
        <v>268.20000000000005</v>
      </c>
      <c r="N705" s="10">
        <f t="shared" ca="1" si="13"/>
        <v>27.014504431909756</v>
      </c>
      <c r="O705" s="7">
        <f ca="1">IFERROR(__xludf.DUMMYFUNCTION("GOOGLEFINANCE(""NSE:""&amp;D705,""pe"")"),28.81)</f>
        <v>28.81</v>
      </c>
      <c r="P705" s="7">
        <f ca="1">IFERROR(__xludf.DUMMYFUNCTION("GOOGLEFINANCE(""NSE:""&amp;D705,""EPS"")"),43.77)</f>
        <v>43.77</v>
      </c>
      <c r="Q705" s="7">
        <v>13.5</v>
      </c>
      <c r="R705" s="7" t="str">
        <f ca="1">IFERROR(__xludf.DUMMYFUNCTION("IMPORTXML(E705,""/html/body/main/div[3]/div[3]/div[2]/ul/li[7]/span[2]/span"")"),"Loading...")</f>
        <v>Loading...</v>
      </c>
      <c r="S705" s="7" t="str">
        <f ca="1">IFERROR(__xludf.DUMMYFUNCTION("IMPORTXML(E705,""/html/body/main/div[3]/div[3]/div[2]/ul/li[8]/span[2]/span"")"),"Loading...")</f>
        <v>Loading...</v>
      </c>
      <c r="T705" s="4">
        <v>34.6</v>
      </c>
      <c r="U705" s="4">
        <v>22.7</v>
      </c>
      <c r="V705" s="4">
        <v>2.6</v>
      </c>
      <c r="W705" s="4">
        <v>5.7</v>
      </c>
      <c r="X705" s="4">
        <v>519.92999999999995</v>
      </c>
      <c r="Y705" s="7">
        <f t="shared" ca="1" si="14"/>
        <v>741.07</v>
      </c>
    </row>
    <row r="706" spans="1:25" ht="15" x14ac:dyDescent="0.25">
      <c r="A706" s="4">
        <v>73</v>
      </c>
      <c r="C706" s="12" t="s">
        <v>1955</v>
      </c>
      <c r="D706" s="12" t="s">
        <v>1956</v>
      </c>
      <c r="E706" s="5" t="str">
        <f t="shared" si="10"/>
        <v>https://www.screener.in/company/SHYAMMETL/consolidated/</v>
      </c>
      <c r="F706" s="4">
        <v>443059</v>
      </c>
      <c r="G706" s="4">
        <v>3832241897</v>
      </c>
      <c r="H706" s="6">
        <f t="shared" ca="1" si="11"/>
        <v>355727.854089025</v>
      </c>
      <c r="I706" s="7" t="str">
        <f ca="1">IFERROR(__xludf.DUMMYFUNCTION("IMPORTXML(E706,""/html/body/main/div[3]/div[3]/div[2]/ul/li[5]/span[2]/span"")"),"Loading...")</f>
        <v>Loading...</v>
      </c>
      <c r="J706" s="7">
        <f ca="1">IFERROR(__xludf.DUMMYFUNCTION("GOOGLEFINANCE(""NSE:""&amp;D706,""marketcap"")"),257633892533)</f>
        <v>257633892533</v>
      </c>
      <c r="K706" s="7">
        <v>992.8</v>
      </c>
      <c r="L706" s="8">
        <f ca="1">IFERROR(__xludf.DUMMYFUNCTION("GOOGLEFINANCE(""NSE:""&amp;D706,""price"")"),928.25)</f>
        <v>928.25</v>
      </c>
      <c r="M706" s="9">
        <f t="shared" ca="1" si="12"/>
        <v>-64.549999999999955</v>
      </c>
      <c r="N706" s="10">
        <f t="shared" ca="1" si="13"/>
        <v>-6.5018130539887142</v>
      </c>
      <c r="O706" s="7">
        <f ca="1">IFERROR(__xludf.DUMMYFUNCTION("GOOGLEFINANCE(""NSE:""&amp;D706,""pe"")"),28.08)</f>
        <v>28.08</v>
      </c>
      <c r="P706" s="7">
        <f ca="1">IFERROR(__xludf.DUMMYFUNCTION("GOOGLEFINANCE(""NSE:""&amp;D706,""EPS"")"),33.05)</f>
        <v>33.049999999999997</v>
      </c>
      <c r="Q706" s="7">
        <v>13.5</v>
      </c>
      <c r="R706" s="7" t="str">
        <f ca="1">IFERROR(__xludf.DUMMYFUNCTION("IMPORTXML(E706,""/html/body/main/div[3]/div[3]/div[2]/ul/li[7]/span[2]/span"")"),"Loading...")</f>
        <v>Loading...</v>
      </c>
      <c r="S706" s="7" t="str">
        <f ca="1">IFERROR(__xludf.DUMMYFUNCTION("IMPORTXML(E706,""/html/body/main/div[3]/div[3]/div[2]/ul/li[8]/span[2]/span"")"),"Loading...")</f>
        <v>Loading...</v>
      </c>
      <c r="T706" s="4">
        <v>34.6</v>
      </c>
      <c r="U706" s="4">
        <v>22.7</v>
      </c>
      <c r="V706" s="4">
        <v>2.6</v>
      </c>
      <c r="W706" s="4">
        <v>5.7</v>
      </c>
      <c r="X706" s="4">
        <v>519.92999999999995</v>
      </c>
      <c r="Y706" s="7">
        <f t="shared" ca="1" si="14"/>
        <v>408.32000000000005</v>
      </c>
    </row>
    <row r="707" spans="1:25" ht="15" x14ac:dyDescent="0.25">
      <c r="A707" s="4">
        <v>1495</v>
      </c>
      <c r="C707" s="12" t="s">
        <v>1957</v>
      </c>
      <c r="D707" s="12" t="s">
        <v>1958</v>
      </c>
      <c r="E707" s="5" t="str">
        <f t="shared" si="10"/>
        <v>https://www.screener.in/company/PREMIERPOL/consolidated/</v>
      </c>
      <c r="F707" s="4">
        <v>443059</v>
      </c>
      <c r="G707" s="4">
        <v>3832241897</v>
      </c>
      <c r="H707" s="6">
        <f t="shared" ca="1" si="11"/>
        <v>17839.086030534996</v>
      </c>
      <c r="I707" s="7" t="str">
        <f ca="1">IFERROR(__xludf.DUMMYFUNCTION("IMPORTXML(E707,""/html/body/main/div[3]/div[3]/div[2]/ul/li[5]/span[2]/span"")"),"Loading...")</f>
        <v>Loading...</v>
      </c>
      <c r="J707" s="7">
        <f ca="1">IFERROR(__xludf.DUMMYFUNCTION("GOOGLEFINANCE(""NSE:""&amp;D707,""marketcap"")"),4875758640)</f>
        <v>4875758640</v>
      </c>
      <c r="K707" s="7">
        <v>992.8</v>
      </c>
      <c r="L707" s="8">
        <f ca="1">IFERROR(__xludf.DUMMYFUNCTION("GOOGLEFINANCE(""NSE:""&amp;D707,""price"")"),46.55)</f>
        <v>46.55</v>
      </c>
      <c r="M707" s="9">
        <f t="shared" ca="1" si="12"/>
        <v>-946.25</v>
      </c>
      <c r="N707" s="10">
        <f t="shared" ca="1" si="13"/>
        <v>-95.311240934730051</v>
      </c>
      <c r="O707" s="7">
        <f ca="1">IFERROR(__xludf.DUMMYFUNCTION("GOOGLEFINANCE(""NSE:""&amp;D707,""pe"")"),18.69)</f>
        <v>18.690000000000001</v>
      </c>
      <c r="P707" s="7">
        <f ca="1">IFERROR(__xludf.DUMMYFUNCTION("GOOGLEFINANCE(""NSE:""&amp;D707,""EPS"")"),2.49)</f>
        <v>2.4900000000000002</v>
      </c>
      <c r="Q707" s="7">
        <v>13.5</v>
      </c>
      <c r="R707" s="7" t="str">
        <f ca="1">IFERROR(__xludf.DUMMYFUNCTION("IMPORTXML(E707,""/html/body/main/div[3]/div[3]/div[2]/ul/li[7]/span[2]/span"")"),"Loading...")</f>
        <v>Loading...</v>
      </c>
      <c r="S707" s="7" t="str">
        <f ca="1">IFERROR(__xludf.DUMMYFUNCTION("IMPORTXML(E707,""/html/body/main/div[3]/div[3]/div[2]/ul/li[8]/span[2]/span"")"),"Loading...")</f>
        <v>Loading...</v>
      </c>
      <c r="T707" s="4">
        <v>34.6</v>
      </c>
      <c r="U707" s="4">
        <v>22.7</v>
      </c>
      <c r="V707" s="4">
        <v>2.6</v>
      </c>
      <c r="W707" s="4">
        <v>5.7</v>
      </c>
      <c r="X707" s="4">
        <v>519.92999999999995</v>
      </c>
      <c r="Y707" s="7">
        <f t="shared" ca="1" si="14"/>
        <v>-473.37999999999994</v>
      </c>
    </row>
    <row r="708" spans="1:25" ht="15" x14ac:dyDescent="0.25">
      <c r="A708" s="4">
        <v>783</v>
      </c>
      <c r="C708" s="12" t="s">
        <v>1959</v>
      </c>
      <c r="D708" s="12" t="s">
        <v>1960</v>
      </c>
      <c r="E708" s="5" t="str">
        <f t="shared" si="10"/>
        <v>https://www.screener.in/company/SMSPHARMA/consolidated/</v>
      </c>
      <c r="F708" s="4">
        <v>443059</v>
      </c>
      <c r="G708" s="4">
        <v>3832241897</v>
      </c>
      <c r="H708" s="6">
        <f t="shared" ca="1" si="11"/>
        <v>91973.805527999997</v>
      </c>
      <c r="I708" s="7" t="str">
        <f ca="1">IFERROR(__xludf.DUMMYFUNCTION("IMPORTXML(E708,""/html/body/main/div[3]/div[3]/div[2]/ul/li[5]/span[2]/span"")"),"Loading...")</f>
        <v>Loading...</v>
      </c>
      <c r="J708" s="7">
        <f ca="1">IFERROR(__xludf.DUMMYFUNCTION("GOOGLEFINANCE(""NSE:""&amp;D708,""marketcap"")"),20944040000)</f>
        <v>20944040000</v>
      </c>
      <c r="K708" s="7">
        <v>992.8</v>
      </c>
      <c r="L708" s="8">
        <f ca="1">IFERROR(__xludf.DUMMYFUNCTION("GOOGLEFINANCE(""NSE:""&amp;D708,""price"")"),240)</f>
        <v>240</v>
      </c>
      <c r="M708" s="9">
        <f t="shared" ca="1" si="12"/>
        <v>-752.8</v>
      </c>
      <c r="N708" s="10">
        <f t="shared" ca="1" si="13"/>
        <v>-75.825946817083008</v>
      </c>
      <c r="O708" s="7">
        <f ca="1">IFERROR(__xludf.DUMMYFUNCTION("GOOGLEFINANCE(""NSE:""&amp;D708,""pe"")"),28.14)</f>
        <v>28.14</v>
      </c>
      <c r="P708" s="7">
        <f ca="1">IFERROR(__xludf.DUMMYFUNCTION("GOOGLEFINANCE(""NSE:""&amp;D708,""EPS"")"),8.53)</f>
        <v>8.5299999999999994</v>
      </c>
      <c r="Q708" s="7">
        <v>13.5</v>
      </c>
      <c r="R708" s="7" t="str">
        <f ca="1">IFERROR(__xludf.DUMMYFUNCTION("IMPORTXML(E708,""/html/body/main/div[3]/div[3]/div[2]/ul/li[7]/span[2]/span"")"),"Loading...")</f>
        <v>Loading...</v>
      </c>
      <c r="S708" s="7" t="str">
        <f ca="1">IFERROR(__xludf.DUMMYFUNCTION("IMPORTXML(E708,""/html/body/main/div[3]/div[3]/div[2]/ul/li[8]/span[2]/span"")"),"Loading...")</f>
        <v>Loading...</v>
      </c>
      <c r="T708" s="4">
        <v>34.6</v>
      </c>
      <c r="U708" s="4">
        <v>22.7</v>
      </c>
      <c r="V708" s="4">
        <v>2.6</v>
      </c>
      <c r="W708" s="4">
        <v>5.7</v>
      </c>
      <c r="X708" s="4">
        <v>519.92999999999995</v>
      </c>
      <c r="Y708" s="7">
        <f t="shared" ca="1" si="14"/>
        <v>-279.92999999999995</v>
      </c>
    </row>
    <row r="709" spans="1:25" ht="15" x14ac:dyDescent="0.25">
      <c r="A709" s="4">
        <v>886</v>
      </c>
      <c r="C709" s="12" t="s">
        <v>1961</v>
      </c>
      <c r="D709" s="12" t="s">
        <v>1962</v>
      </c>
      <c r="E709" s="5" t="str">
        <f t="shared" si="10"/>
        <v>https://www.screener.in/company/MICEL/consolidated/</v>
      </c>
      <c r="F709" s="4">
        <v>443059</v>
      </c>
      <c r="G709" s="4">
        <v>3832241897</v>
      </c>
      <c r="H709" s="6">
        <f t="shared" ca="1" si="11"/>
        <v>25752.665547840003</v>
      </c>
      <c r="I709" s="7" t="str">
        <f ca="1">IFERROR(__xludf.DUMMYFUNCTION("IMPORTXML(E709,""/html/body/main/div[3]/div[3]/div[2]/ul/li[5]/span[2]/span"")"),"Loading...")</f>
        <v>Loading...</v>
      </c>
      <c r="J709" s="7">
        <f ca="1">IFERROR(__xludf.DUMMYFUNCTION("GOOGLEFINANCE(""NSE:""&amp;D709,""marketcap"")"),16195978784)</f>
        <v>16195978784</v>
      </c>
      <c r="K709" s="7">
        <v>992.8</v>
      </c>
      <c r="L709" s="8">
        <f ca="1">IFERROR(__xludf.DUMMYFUNCTION("GOOGLEFINANCE(""NSE:""&amp;D709,""price"")"),67.2)</f>
        <v>67.2</v>
      </c>
      <c r="M709" s="9">
        <f t="shared" ca="1" si="12"/>
        <v>-925.59999999999991</v>
      </c>
      <c r="N709" s="10">
        <f t="shared" ca="1" si="13"/>
        <v>-93.231265108783234</v>
      </c>
      <c r="O709" s="7">
        <f ca="1">IFERROR(__xludf.DUMMYFUNCTION("GOOGLEFINANCE(""NSE:""&amp;D709,""pe"")"),172.31)</f>
        <v>172.31</v>
      </c>
      <c r="P709" s="7">
        <f ca="1">IFERROR(__xludf.DUMMYFUNCTION("GOOGLEFINANCE(""NSE:""&amp;D709,""EPS"")"),0.39)</f>
        <v>0.39</v>
      </c>
      <c r="Q709" s="7">
        <v>13.5</v>
      </c>
      <c r="R709" s="7">
        <f ca="1">IFERROR(__xludf.DUMMYFUNCTION("IMPORTXML(E709,""/html/body/main/div[3]/div[3]/div[2]/ul/li[7]/span[2]/span"")"),8.84)</f>
        <v>8.84</v>
      </c>
      <c r="S709" s="7" t="str">
        <f ca="1">IFERROR(__xludf.DUMMYFUNCTION("IMPORTXML(E709,""/html/body/main/div[3]/div[3]/div[2]/ul/li[8]/span[2]/span"")"),"Loading...")</f>
        <v>Loading...</v>
      </c>
      <c r="T709" s="4">
        <v>34.6</v>
      </c>
      <c r="U709" s="4">
        <v>22.7</v>
      </c>
      <c r="V709" s="4">
        <v>2.6</v>
      </c>
      <c r="W709" s="4">
        <v>5.7</v>
      </c>
      <c r="X709" s="4">
        <v>519.92999999999995</v>
      </c>
      <c r="Y709" s="7">
        <f t="shared" ca="1" si="14"/>
        <v>-452.72999999999996</v>
      </c>
    </row>
    <row r="710" spans="1:25" ht="15" x14ac:dyDescent="0.25">
      <c r="A710" s="4">
        <v>1509</v>
      </c>
      <c r="C710" s="12" t="s">
        <v>1963</v>
      </c>
      <c r="D710" s="12" t="s">
        <v>1964</v>
      </c>
      <c r="E710" s="5" t="str">
        <f t="shared" si="10"/>
        <v>https://www.screener.in/company/KILITCH/consolidated/</v>
      </c>
      <c r="F710" s="4">
        <v>443059</v>
      </c>
      <c r="G710" s="4">
        <v>3832241897</v>
      </c>
      <c r="H710" s="6">
        <f t="shared" ca="1" si="11"/>
        <v>141792.950189</v>
      </c>
      <c r="I710" s="7" t="str">
        <f ca="1">IFERROR(__xludf.DUMMYFUNCTION("IMPORTXML(E710,""/html/body/main/div[3]/div[3]/div[2]/ul/li[5]/span[2]/span"")"),"Loading...")</f>
        <v>Loading...</v>
      </c>
      <c r="J710" s="7">
        <f ca="1">IFERROR(__xludf.DUMMYFUNCTION("GOOGLEFINANCE(""NSE:""&amp;D710,""marketcap"")"),6466141000)</f>
        <v>6466141000</v>
      </c>
      <c r="K710" s="7">
        <v>992.8</v>
      </c>
      <c r="L710" s="8">
        <f ca="1">IFERROR(__xludf.DUMMYFUNCTION("GOOGLEFINANCE(""NSE:""&amp;D710,""price"")"),370)</f>
        <v>370</v>
      </c>
      <c r="M710" s="9">
        <f t="shared" ca="1" si="12"/>
        <v>-622.79999999999995</v>
      </c>
      <c r="N710" s="10">
        <f t="shared" ca="1" si="13"/>
        <v>-62.731668009669619</v>
      </c>
      <c r="O710" s="7">
        <f ca="1">IFERROR(__xludf.DUMMYFUNCTION("GOOGLEFINANCE(""NSE:""&amp;D710,""pe"")"),21.42)</f>
        <v>21.42</v>
      </c>
      <c r="P710" s="7">
        <f ca="1">IFERROR(__xludf.DUMMYFUNCTION("GOOGLEFINANCE(""NSE:""&amp;D710,""EPS"")"),17.27)</f>
        <v>17.27</v>
      </c>
      <c r="Q710" s="7">
        <v>13.5</v>
      </c>
      <c r="R710" s="7" t="str">
        <f ca="1">IFERROR(__xludf.DUMMYFUNCTION("IMPORTXML(E710,""/html/body/main/div[3]/div[3]/div[2]/ul/li[7]/span[2]/span"")"),"Loading...")</f>
        <v>Loading...</v>
      </c>
      <c r="S710" s="7" t="str">
        <f ca="1">IFERROR(__xludf.DUMMYFUNCTION("IMPORTXML(E710,""/html/body/main/div[3]/div[3]/div[2]/ul/li[8]/span[2]/span"")"),"Loading...")</f>
        <v>Loading...</v>
      </c>
      <c r="T710" s="4">
        <v>34.6</v>
      </c>
      <c r="U710" s="4">
        <v>22.7</v>
      </c>
      <c r="V710" s="4">
        <v>2.6</v>
      </c>
      <c r="W710" s="4">
        <v>5.7</v>
      </c>
      <c r="X710" s="4">
        <v>519.92999999999995</v>
      </c>
      <c r="Y710" s="7">
        <f t="shared" ca="1" si="14"/>
        <v>-149.92999999999995</v>
      </c>
    </row>
    <row r="711" spans="1:25" ht="15" x14ac:dyDescent="0.25">
      <c r="A711" s="4">
        <v>529</v>
      </c>
      <c r="C711" s="12" t="s">
        <v>1965</v>
      </c>
      <c r="D711" s="12" t="s">
        <v>1966</v>
      </c>
      <c r="E711" s="5" t="str">
        <f t="shared" si="10"/>
        <v>https://www.screener.in/company/BHARATRAS/consolidated/</v>
      </c>
      <c r="F711" s="4">
        <v>443059</v>
      </c>
      <c r="G711" s="4">
        <v>3832241897</v>
      </c>
      <c r="H711" s="6">
        <f t="shared" ca="1" si="11"/>
        <v>3832625.1211897</v>
      </c>
      <c r="I711" s="7" t="str">
        <f ca="1">IFERROR(__xludf.DUMMYFUNCTION("IMPORTXML(E711,""/html/body/main/div[3]/div[3]/div[2]/ul/li[5]/span[2]/span"")"),"Loading...")</f>
        <v>Loading...</v>
      </c>
      <c r="J711" s="7">
        <f ca="1">IFERROR(__xludf.DUMMYFUNCTION("GOOGLEFINANCE(""NSE:""&amp;D711,""marketcap"")"),42606360000)</f>
        <v>42606360000</v>
      </c>
      <c r="K711" s="7">
        <v>992.8</v>
      </c>
      <c r="L711" s="8">
        <f ca="1">IFERROR(__xludf.DUMMYFUNCTION("GOOGLEFINANCE(""NSE:""&amp;D711,""price"")"),10001)</f>
        <v>10001</v>
      </c>
      <c r="M711" s="9">
        <f t="shared" ca="1" si="12"/>
        <v>9008.2000000000007</v>
      </c>
      <c r="N711" s="10">
        <f t="shared" ca="1" si="13"/>
        <v>907.35294117647061</v>
      </c>
      <c r="O711" s="7">
        <f ca="1">IFERROR(__xludf.DUMMYFUNCTION("GOOGLEFINANCE(""NSE:""&amp;D711,""pe"")"),30.23)</f>
        <v>30.23</v>
      </c>
      <c r="P711" s="7">
        <f ca="1">IFERROR(__xludf.DUMMYFUNCTION("GOOGLEFINANCE(""NSE:""&amp;D711,""EPS"")"),330.84)</f>
        <v>330.84</v>
      </c>
      <c r="Q711" s="7">
        <v>13.5</v>
      </c>
      <c r="R711" s="7" t="str">
        <f ca="1">IFERROR(__xludf.DUMMYFUNCTION("IMPORTXML(E711,""/html/body/main/div[3]/div[3]/div[2]/ul/li[7]/span[2]/span"")"),"Loading...")</f>
        <v>Loading...</v>
      </c>
      <c r="S711" s="7" t="str">
        <f ca="1">IFERROR(__xludf.DUMMYFUNCTION("IMPORTXML(E711,""/html/body/main/div[3]/div[3]/div[2]/ul/li[8]/span[2]/span"")"),"Loading...")</f>
        <v>Loading...</v>
      </c>
      <c r="T711" s="4">
        <v>34.6</v>
      </c>
      <c r="U711" s="4">
        <v>22.7</v>
      </c>
      <c r="V711" s="4">
        <v>2.6</v>
      </c>
      <c r="W711" s="4">
        <v>5.7</v>
      </c>
      <c r="X711" s="4">
        <v>519.92999999999995</v>
      </c>
      <c r="Y711" s="7">
        <f t="shared" ca="1" si="14"/>
        <v>9481.07</v>
      </c>
    </row>
    <row r="712" spans="1:25" ht="15" x14ac:dyDescent="0.25">
      <c r="A712" s="4">
        <v>235</v>
      </c>
      <c r="C712" s="12" t="s">
        <v>1967</v>
      </c>
      <c r="D712" s="12" t="s">
        <v>1968</v>
      </c>
      <c r="E712" s="5" t="str">
        <f t="shared" si="10"/>
        <v>https://www.screener.in/company/MARKSANS/consolidated/</v>
      </c>
      <c r="F712" s="4">
        <v>443059</v>
      </c>
      <c r="G712" s="4">
        <v>3832241897</v>
      </c>
      <c r="H712" s="6">
        <f t="shared" ca="1" si="11"/>
        <v>64925.842218974001</v>
      </c>
      <c r="I712" s="7" t="str">
        <f ca="1">IFERROR(__xludf.DUMMYFUNCTION("IMPORTXML(E712,""/html/body/main/div[3]/div[3]/div[2]/ul/li[5]/span[2]/span"")"),"Loading...")</f>
        <v>Loading...</v>
      </c>
      <c r="J712" s="7">
        <f ca="1">IFERROR(__xludf.DUMMYFUNCTION("GOOGLEFINANCE(""NSE:""&amp;D712,""marketcap"")"),76543890000)</f>
        <v>76543890000</v>
      </c>
      <c r="K712" s="7">
        <v>992.8</v>
      </c>
      <c r="L712" s="8">
        <f ca="1">IFERROR(__xludf.DUMMYFUNCTION("GOOGLEFINANCE(""NSE:""&amp;D712,""price"")"),169.42)</f>
        <v>169.42</v>
      </c>
      <c r="M712" s="9">
        <f t="shared" ca="1" si="12"/>
        <v>-823.38</v>
      </c>
      <c r="N712" s="10">
        <f t="shared" ca="1" si="13"/>
        <v>-82.93513295729251</v>
      </c>
      <c r="O712" s="7">
        <f ca="1">IFERROR(__xludf.DUMMYFUNCTION("GOOGLEFINANCE(""NSE:""&amp;D712,""pe"")"),21.92)</f>
        <v>21.92</v>
      </c>
      <c r="P712" s="7">
        <f ca="1">IFERROR(__xludf.DUMMYFUNCTION("GOOGLEFINANCE(""NSE:""&amp;D712,""EPS"")"),7.73)</f>
        <v>7.73</v>
      </c>
      <c r="Q712" s="7">
        <v>13.5</v>
      </c>
      <c r="R712" s="7" t="str">
        <f ca="1">IFERROR(__xludf.DUMMYFUNCTION("IMPORTXML(E712,""/html/body/main/div[3]/div[3]/div[2]/ul/li[7]/span[2]/span"")"),"Loading...")</f>
        <v>Loading...</v>
      </c>
      <c r="S712" s="7" t="str">
        <f ca="1">IFERROR(__xludf.DUMMYFUNCTION("IMPORTXML(E712,""/html/body/main/div[3]/div[3]/div[2]/ul/li[8]/span[2]/span"")"),"Loading...")</f>
        <v>Loading...</v>
      </c>
      <c r="T712" s="4">
        <v>34.6</v>
      </c>
      <c r="U712" s="4">
        <v>22.7</v>
      </c>
      <c r="V712" s="4">
        <v>2.6</v>
      </c>
      <c r="W712" s="4">
        <v>5.7</v>
      </c>
      <c r="X712" s="4">
        <v>519.92999999999995</v>
      </c>
      <c r="Y712" s="7">
        <f t="shared" ca="1" si="14"/>
        <v>-350.51</v>
      </c>
    </row>
    <row r="713" spans="1:25" ht="15" x14ac:dyDescent="0.25">
      <c r="A713" s="4">
        <v>2054</v>
      </c>
      <c r="C713" s="12" t="s">
        <v>1969</v>
      </c>
      <c r="D713" s="12" t="s">
        <v>1970</v>
      </c>
      <c r="E713" s="5" t="str">
        <f t="shared" si="10"/>
        <v>https://www.screener.in/company/WEIZMANIND/consolidated/</v>
      </c>
      <c r="F713" s="4">
        <v>443059</v>
      </c>
      <c r="G713" s="4">
        <v>3832241897</v>
      </c>
      <c r="H713" s="6">
        <f t="shared" ca="1" si="11"/>
        <v>43036.076503309996</v>
      </c>
      <c r="I713" s="7" t="str">
        <f ca="1">IFERROR(__xludf.DUMMYFUNCTION("IMPORTXML(E713,""/html/body/main/div[3]/div[3]/div[2]/ul/li[5]/span[2]/span"")"),"Loading...")</f>
        <v>Loading...</v>
      </c>
      <c r="J713" s="7">
        <f ca="1">IFERROR(__xludf.DUMMYFUNCTION("GOOGLEFINANCE(""NSE:""&amp;D713,""marketcap"")"),1741819000)</f>
        <v>1741819000</v>
      </c>
      <c r="K713" s="7">
        <v>992.8</v>
      </c>
      <c r="L713" s="8">
        <f ca="1">IFERROR(__xludf.DUMMYFUNCTION("GOOGLEFINANCE(""NSE:""&amp;D713,""price"")"),112.3)</f>
        <v>112.3</v>
      </c>
      <c r="M713" s="9">
        <f t="shared" ca="1" si="12"/>
        <v>-880.5</v>
      </c>
      <c r="N713" s="10">
        <f t="shared" ca="1" si="13"/>
        <v>-88.688557614826763</v>
      </c>
      <c r="O713" s="7" t="str">
        <f ca="1">IFERROR(__xludf.DUMMYFUNCTION("GOOGLEFINANCE(""NSE:""&amp;D713,""pe"")"),"#N/A")</f>
        <v>#N/A</v>
      </c>
      <c r="P713" s="7">
        <f ca="1">IFERROR(__xludf.DUMMYFUNCTION("GOOGLEFINANCE(""NSE:""&amp;D713,""EPS"")"),-2.14)</f>
        <v>-2.14</v>
      </c>
      <c r="Q713" s="7">
        <v>13.5</v>
      </c>
      <c r="R713" s="7" t="str">
        <f ca="1">IFERROR(__xludf.DUMMYFUNCTION("IMPORTXML(E713,""/html/body/main/div[3]/div[3]/div[2]/ul/li[7]/span[2]/span"")"),"Loading...")</f>
        <v>Loading...</v>
      </c>
      <c r="S713" s="7" t="str">
        <f ca="1">IFERROR(__xludf.DUMMYFUNCTION("IMPORTXML(E713,""/html/body/main/div[3]/div[3]/div[2]/ul/li[8]/span[2]/span"")"),"Loading...")</f>
        <v>Loading...</v>
      </c>
      <c r="T713" s="4">
        <v>34.6</v>
      </c>
      <c r="U713" s="4">
        <v>22.7</v>
      </c>
      <c r="V713" s="4">
        <v>2.6</v>
      </c>
      <c r="W713" s="4">
        <v>5.7</v>
      </c>
      <c r="X713" s="4">
        <v>519.92999999999995</v>
      </c>
      <c r="Y713" s="7">
        <f t="shared" ca="1" si="14"/>
        <v>-407.62999999999994</v>
      </c>
    </row>
    <row r="714" spans="1:25" ht="15" x14ac:dyDescent="0.25">
      <c r="A714" s="4">
        <v>980</v>
      </c>
      <c r="C714" s="12" t="s">
        <v>1971</v>
      </c>
      <c r="D714" s="12" t="s">
        <v>1972</v>
      </c>
      <c r="E714" s="5" t="str">
        <f t="shared" si="10"/>
        <v>https://www.screener.in/company/OAL/consolidated/</v>
      </c>
      <c r="F714" s="4">
        <v>443059</v>
      </c>
      <c r="G714" s="4">
        <v>3832241897</v>
      </c>
      <c r="H714" s="6">
        <f t="shared" ca="1" si="11"/>
        <v>130717.77110667001</v>
      </c>
      <c r="I714" s="7" t="str">
        <f ca="1">IFERROR(__xludf.DUMMYFUNCTION("IMPORTXML(E714,""/html/body/main/div[3]/div[3]/div[2]/ul/li[5]/span[2]/span"")"),"Loading...")</f>
        <v>Loading...</v>
      </c>
      <c r="J714" s="7">
        <f ca="1">IFERROR(__xludf.DUMMYFUNCTION("GOOGLEFINANCE(""NSE:""&amp;D714,""marketcap"")"),11479232932)</f>
        <v>11479232932</v>
      </c>
      <c r="K714" s="7">
        <v>992.8</v>
      </c>
      <c r="L714" s="8">
        <f ca="1">IFERROR(__xludf.DUMMYFUNCTION("GOOGLEFINANCE(""NSE:""&amp;D714,""price"")"),341.1)</f>
        <v>341.1</v>
      </c>
      <c r="M714" s="9">
        <f t="shared" ca="1" si="12"/>
        <v>-651.69999999999993</v>
      </c>
      <c r="N714" s="10">
        <f t="shared" ca="1" si="13"/>
        <v>-65.64262691377921</v>
      </c>
      <c r="O714" s="7">
        <f ca="1">IFERROR(__xludf.DUMMYFUNCTION("GOOGLEFINANCE(""NSE:""&amp;D714,""pe"")"),48.16)</f>
        <v>48.16</v>
      </c>
      <c r="P714" s="7">
        <f ca="1">IFERROR(__xludf.DUMMYFUNCTION("GOOGLEFINANCE(""NSE:""&amp;D714,""EPS"")"),7.08)</f>
        <v>7.08</v>
      </c>
      <c r="Q714" s="7">
        <v>13.5</v>
      </c>
      <c r="R714" s="7" t="str">
        <f ca="1">IFERROR(__xludf.DUMMYFUNCTION("IMPORTXML(E714,""/html/body/main/div[3]/div[3]/div[2]/ul/li[7]/span[2]/span"")"),"Loading...")</f>
        <v>Loading...</v>
      </c>
      <c r="S714" s="7" t="str">
        <f ca="1">IFERROR(__xludf.DUMMYFUNCTION("IMPORTXML(E714,""/html/body/main/div[3]/div[3]/div[2]/ul/li[8]/span[2]/span"")"),"Loading...")</f>
        <v>Loading...</v>
      </c>
      <c r="T714" s="4">
        <v>34.6</v>
      </c>
      <c r="U714" s="4">
        <v>22.7</v>
      </c>
      <c r="V714" s="4">
        <v>2.6</v>
      </c>
      <c r="W714" s="4">
        <v>5.7</v>
      </c>
      <c r="X714" s="4">
        <v>519.92999999999995</v>
      </c>
      <c r="Y714" s="7">
        <f t="shared" ca="1" si="14"/>
        <v>-178.82999999999993</v>
      </c>
    </row>
    <row r="715" spans="1:25" ht="15" x14ac:dyDescent="0.25">
      <c r="A715" s="4">
        <v>128</v>
      </c>
      <c r="C715" s="12" t="s">
        <v>1973</v>
      </c>
      <c r="D715" s="12" t="s">
        <v>1974</v>
      </c>
      <c r="E715" s="5" t="str">
        <f t="shared" si="10"/>
        <v>https://www.screener.in/company/SONATSOFTW/consolidated/</v>
      </c>
      <c r="F715" s="4">
        <v>443059</v>
      </c>
      <c r="G715" s="4">
        <v>3832241897</v>
      </c>
      <c r="H715" s="6">
        <f t="shared" ca="1" si="11"/>
        <v>137615.80652127002</v>
      </c>
      <c r="I715" s="7" t="str">
        <f ca="1">IFERROR(__xludf.DUMMYFUNCTION("IMPORTXML(E715,""/html/body/main/div[3]/div[3]/div[2]/ul/li[5]/span[2]/span"")"),"Loading...")</f>
        <v>Loading...</v>
      </c>
      <c r="J715" s="7">
        <f ca="1">IFERROR(__xludf.DUMMYFUNCTION("GOOGLEFINANCE(""NSE:""&amp;D715,""marketcap"")"),99725590875)</f>
        <v>99725590875</v>
      </c>
      <c r="K715" s="7">
        <v>992.8</v>
      </c>
      <c r="L715" s="8">
        <f ca="1">IFERROR(__xludf.DUMMYFUNCTION("GOOGLEFINANCE(""NSE:""&amp;D715,""price"")"),359.1)</f>
        <v>359.1</v>
      </c>
      <c r="M715" s="9">
        <f t="shared" ca="1" si="12"/>
        <v>-633.69999999999993</v>
      </c>
      <c r="N715" s="10">
        <f t="shared" ca="1" si="13"/>
        <v>-63.829572925060432</v>
      </c>
      <c r="O715" s="7">
        <f ca="1">IFERROR(__xludf.DUMMYFUNCTION("GOOGLEFINANCE(""NSE:""&amp;D715,""pe"")"),23.28)</f>
        <v>23.28</v>
      </c>
      <c r="P715" s="7">
        <f ca="1">IFERROR(__xludf.DUMMYFUNCTION("GOOGLEFINANCE(""NSE:""&amp;D715,""EPS"")"),15.42)</f>
        <v>15.42</v>
      </c>
      <c r="Q715" s="7">
        <v>13.5</v>
      </c>
      <c r="R715" s="7" t="str">
        <f ca="1">IFERROR(__xludf.DUMMYFUNCTION("IMPORTXML(E715,""/html/body/main/div[3]/div[3]/div[2]/ul/li[7]/span[2]/span"")"),"Loading...")</f>
        <v>Loading...</v>
      </c>
      <c r="S715" s="7" t="str">
        <f ca="1">IFERROR(__xludf.DUMMYFUNCTION("IMPORTXML(E715,""/html/body/main/div[3]/div[3]/div[2]/ul/li[8]/span[2]/span"")"),"Loading...")</f>
        <v>Loading...</v>
      </c>
      <c r="T715" s="4">
        <v>34.6</v>
      </c>
      <c r="U715" s="4">
        <v>22.7</v>
      </c>
      <c r="V715" s="4">
        <v>2.6</v>
      </c>
      <c r="W715" s="4">
        <v>5.7</v>
      </c>
      <c r="X715" s="4">
        <v>519.92999999999995</v>
      </c>
      <c r="Y715" s="7">
        <f t="shared" ca="1" si="14"/>
        <v>-160.82999999999993</v>
      </c>
    </row>
    <row r="716" spans="1:25" ht="15" x14ac:dyDescent="0.25">
      <c r="A716" s="4">
        <v>67</v>
      </c>
      <c r="C716" s="12" t="s">
        <v>1975</v>
      </c>
      <c r="D716" s="12" t="s">
        <v>1976</v>
      </c>
      <c r="E716" s="5" t="str">
        <f t="shared" si="10"/>
        <v>https://www.screener.in/company/CASTROLIND/consolidated/</v>
      </c>
      <c r="F716" s="4">
        <v>443059</v>
      </c>
      <c r="G716" s="4">
        <v>3832241897</v>
      </c>
      <c r="H716" s="6">
        <f t="shared" ca="1" si="11"/>
        <v>75970.363366128004</v>
      </c>
      <c r="I716" s="7" t="str">
        <f ca="1">IFERROR(__xludf.DUMMYFUNCTION("IMPORTXML(E716,""/html/body/main/div[3]/div[3]/div[2]/ul/li[5]/span[2]/span"")"),"#N/A")</f>
        <v>#N/A</v>
      </c>
      <c r="J716" s="7">
        <f ca="1">IFERROR(__xludf.DUMMYFUNCTION("GOOGLEFINANCE(""NSE:""&amp;D716,""marketcap"")"),195724954223)</f>
        <v>195724954223</v>
      </c>
      <c r="K716" s="7">
        <v>992.8</v>
      </c>
      <c r="L716" s="8">
        <f ca="1">IFERROR(__xludf.DUMMYFUNCTION("GOOGLEFINANCE(""NSE:""&amp;D716,""price"")"),198.24)</f>
        <v>198.24</v>
      </c>
      <c r="M716" s="9">
        <f t="shared" ca="1" si="12"/>
        <v>-794.56</v>
      </c>
      <c r="N716" s="10">
        <f t="shared" ca="1" si="13"/>
        <v>-80.032232070910553</v>
      </c>
      <c r="O716" s="7">
        <f ca="1">IFERROR(__xludf.DUMMYFUNCTION("GOOGLEFINANCE(""NSE:""&amp;D716,""pe"")"),20.49)</f>
        <v>20.49</v>
      </c>
      <c r="P716" s="7">
        <f ca="1">IFERROR(__xludf.DUMMYFUNCTION("GOOGLEFINANCE(""NSE:""&amp;D716,""EPS"")"),9.67)</f>
        <v>9.67</v>
      </c>
      <c r="Q716" s="7">
        <v>13.5</v>
      </c>
      <c r="R716" s="7" t="str">
        <f ca="1">IFERROR(__xludf.DUMMYFUNCTION("IMPORTXML(E716,""/html/body/main/div[3]/div[3]/div[2]/ul/li[7]/span[2]/span"")"),"Loading...")</f>
        <v>Loading...</v>
      </c>
      <c r="S716" s="7" t="str">
        <f ca="1">IFERROR(__xludf.DUMMYFUNCTION("IMPORTXML(E716,""/html/body/main/div[3]/div[3]/div[2]/ul/li[8]/span[2]/span"")"),"Loading...")</f>
        <v>Loading...</v>
      </c>
      <c r="T716" s="4">
        <v>34.6</v>
      </c>
      <c r="U716" s="4">
        <v>22.7</v>
      </c>
      <c r="V716" s="4">
        <v>2.6</v>
      </c>
      <c r="W716" s="4">
        <v>5.7</v>
      </c>
      <c r="X716" s="4">
        <v>519.92999999999995</v>
      </c>
      <c r="Y716" s="7">
        <f t="shared" ca="1" si="14"/>
        <v>-321.68999999999994</v>
      </c>
    </row>
    <row r="717" spans="1:25" ht="15" x14ac:dyDescent="0.25">
      <c r="A717" s="4">
        <v>2250</v>
      </c>
      <c r="C717" s="12" t="s">
        <v>1977</v>
      </c>
      <c r="D717" s="12" t="s">
        <v>1978</v>
      </c>
      <c r="E717" s="5" t="str">
        <f t="shared" si="10"/>
        <v>https://www.screener.in/company/PKTEA/consolidated/</v>
      </c>
      <c r="F717" s="4">
        <v>443059</v>
      </c>
      <c r="G717" s="4">
        <v>3832241897</v>
      </c>
      <c r="H717" s="6">
        <f t="shared" ca="1" si="11"/>
        <v>294929.33639312</v>
      </c>
      <c r="I717" s="7" t="str">
        <f ca="1">IFERROR(__xludf.DUMMYFUNCTION("IMPORTXML(E717,""/html/body/main/div[3]/div[3]/div[2]/ul/li[5]/span[2]/span"")"),"Loading...")</f>
        <v>Loading...</v>
      </c>
      <c r="J717" s="7">
        <f ca="1">IFERROR(__xludf.DUMMYFUNCTION("GOOGLEFINANCE(""NSE:""&amp;D717,""marketcap"")"),2382743000)</f>
        <v>2382743000</v>
      </c>
      <c r="K717" s="7">
        <v>992.8</v>
      </c>
      <c r="L717" s="8">
        <f ca="1">IFERROR(__xludf.DUMMYFUNCTION("GOOGLEFINANCE(""NSE:""&amp;D717,""price"")"),769.6)</f>
        <v>769.6</v>
      </c>
      <c r="M717" s="9">
        <f t="shared" ca="1" si="12"/>
        <v>-223.19999999999993</v>
      </c>
      <c r="N717" s="10">
        <f t="shared" ca="1" si="13"/>
        <v>-22.481869460112808</v>
      </c>
      <c r="O717" s="7">
        <f ca="1">IFERROR(__xludf.DUMMYFUNCTION("GOOGLEFINANCE(""NSE:""&amp;D717,""pe"")"),43.38)</f>
        <v>43.38</v>
      </c>
      <c r="P717" s="7">
        <f ca="1">IFERROR(__xludf.DUMMYFUNCTION("GOOGLEFINANCE(""NSE:""&amp;D717,""EPS"")"),17.74)</f>
        <v>17.739999999999998</v>
      </c>
      <c r="Q717" s="7">
        <v>13.5</v>
      </c>
      <c r="R717" s="7" t="str">
        <f ca="1">IFERROR(__xludf.DUMMYFUNCTION("IMPORTXML(E717,""/html/body/main/div[3]/div[3]/div[2]/ul/li[7]/span[2]/span"")"),"Loading...")</f>
        <v>Loading...</v>
      </c>
      <c r="S717" s="7" t="str">
        <f ca="1">IFERROR(__xludf.DUMMYFUNCTION("IMPORTXML(E717,""/html/body/main/div[3]/div[3]/div[2]/ul/li[8]/span[2]/span"")"),"Loading...")</f>
        <v>Loading...</v>
      </c>
      <c r="T717" s="4">
        <v>34.6</v>
      </c>
      <c r="U717" s="4">
        <v>22.7</v>
      </c>
      <c r="V717" s="4">
        <v>2.6</v>
      </c>
      <c r="W717" s="4">
        <v>5.7</v>
      </c>
      <c r="X717" s="4">
        <v>519.92999999999995</v>
      </c>
      <c r="Y717" s="7">
        <f t="shared" ca="1" si="14"/>
        <v>249.67000000000007</v>
      </c>
    </row>
    <row r="718" spans="1:25" ht="15" x14ac:dyDescent="0.25">
      <c r="A718" s="4">
        <v>949</v>
      </c>
      <c r="C718" s="12" t="s">
        <v>1979</v>
      </c>
      <c r="D718" s="12" t="s">
        <v>1980</v>
      </c>
      <c r="E718" s="5" t="str">
        <f t="shared" si="10"/>
        <v>https://www.screener.in/company/GTPL/consolidated/</v>
      </c>
      <c r="F718" s="4">
        <v>443059</v>
      </c>
      <c r="G718" s="4">
        <v>3832241897</v>
      </c>
      <c r="H718" s="6">
        <f t="shared" ca="1" si="11"/>
        <v>44354.367715877997</v>
      </c>
      <c r="I718" s="7" t="str">
        <f ca="1">IFERROR(__xludf.DUMMYFUNCTION("IMPORTXML(E718,""/html/body/main/div[3]/div[3]/div[2]/ul/li[5]/span[2]/span"")"),"Loading...")</f>
        <v>Loading...</v>
      </c>
      <c r="J718" s="7">
        <f ca="1">IFERROR(__xludf.DUMMYFUNCTION("GOOGLEFINANCE(""NSE:""&amp;D718,""marketcap"")"),13016467379)</f>
        <v>13016467379</v>
      </c>
      <c r="K718" s="7">
        <v>992.8</v>
      </c>
      <c r="L718" s="8">
        <f ca="1">IFERROR(__xludf.DUMMYFUNCTION("GOOGLEFINANCE(""NSE:""&amp;D718,""price"")"),115.74)</f>
        <v>115.74</v>
      </c>
      <c r="M718" s="9">
        <f t="shared" ca="1" si="12"/>
        <v>-877.06</v>
      </c>
      <c r="N718" s="10">
        <f t="shared" ca="1" si="13"/>
        <v>-88.342062852538277</v>
      </c>
      <c r="O718" s="7">
        <f ca="1">IFERROR(__xludf.DUMMYFUNCTION("GOOGLEFINANCE(""NSE:""&amp;D718,""pe"")"),29.45)</f>
        <v>29.45</v>
      </c>
      <c r="P718" s="7">
        <f ca="1">IFERROR(__xludf.DUMMYFUNCTION("GOOGLEFINANCE(""NSE:""&amp;D718,""EPS"")"),3.93)</f>
        <v>3.93</v>
      </c>
      <c r="Q718" s="7">
        <v>13.5</v>
      </c>
      <c r="R718" s="7" t="str">
        <f ca="1">IFERROR(__xludf.DUMMYFUNCTION("IMPORTXML(E718,""/html/body/main/div[3]/div[3]/div[2]/ul/li[7]/span[2]/span"")"),"Loading...")</f>
        <v>Loading...</v>
      </c>
      <c r="S718" s="7" t="str">
        <f ca="1">IFERROR(__xludf.DUMMYFUNCTION("IMPORTXML(E718,""/html/body/main/div[3]/div[3]/div[2]/ul/li[8]/span[2]/span"")"),"Loading...")</f>
        <v>Loading...</v>
      </c>
      <c r="T718" s="4">
        <v>34.6</v>
      </c>
      <c r="U718" s="4">
        <v>22.7</v>
      </c>
      <c r="V718" s="4">
        <v>2.6</v>
      </c>
      <c r="W718" s="4">
        <v>5.7</v>
      </c>
      <c r="X718" s="4">
        <v>519.92999999999995</v>
      </c>
      <c r="Y718" s="7">
        <f t="shared" ca="1" si="14"/>
        <v>-404.18999999999994</v>
      </c>
    </row>
    <row r="719" spans="1:25" ht="15" x14ac:dyDescent="0.25">
      <c r="A719" s="4">
        <v>791</v>
      </c>
      <c r="C719" s="12" t="s">
        <v>1981</v>
      </c>
      <c r="D719" s="12" t="s">
        <v>1982</v>
      </c>
      <c r="E719" s="5" t="str">
        <f t="shared" si="10"/>
        <v>https://www.screener.in/company/MOLDTKPAC/consolidated/</v>
      </c>
      <c r="F719" s="4">
        <v>443059</v>
      </c>
      <c r="G719" s="4">
        <v>3832241897</v>
      </c>
      <c r="H719" s="6">
        <f t="shared" ca="1" si="11"/>
        <v>319973.03719001502</v>
      </c>
      <c r="I719" s="7" t="str">
        <f ca="1">IFERROR(__xludf.DUMMYFUNCTION("IMPORTXML(E719,""/html/body/main/div[3]/div[3]/div[2]/ul/li[5]/span[2]/span"")"),"Loading...")</f>
        <v>Loading...</v>
      </c>
      <c r="J719" s="7">
        <f ca="1">IFERROR(__xludf.DUMMYFUNCTION("GOOGLEFINANCE(""NSE:""&amp;D719,""marketcap"")"),27744470460)</f>
        <v>27744470460</v>
      </c>
      <c r="K719" s="7">
        <v>992.8</v>
      </c>
      <c r="L719" s="8">
        <f ca="1">IFERROR(__xludf.DUMMYFUNCTION("GOOGLEFINANCE(""NSE:""&amp;D719,""price"")"),834.95)</f>
        <v>834.95</v>
      </c>
      <c r="M719" s="9">
        <f t="shared" ca="1" si="12"/>
        <v>-157.84999999999991</v>
      </c>
      <c r="N719" s="10">
        <f t="shared" ca="1" si="13"/>
        <v>-15.899476228847695</v>
      </c>
      <c r="O719" s="7">
        <f ca="1">IFERROR(__xludf.DUMMYFUNCTION("GOOGLEFINANCE(""NSE:""&amp;D719,""pe"")"),41.75)</f>
        <v>41.75</v>
      </c>
      <c r="P719" s="7">
        <f ca="1">IFERROR(__xludf.DUMMYFUNCTION("GOOGLEFINANCE(""NSE:""&amp;D719,""EPS"")"),20)</f>
        <v>20</v>
      </c>
      <c r="Q719" s="7">
        <v>13.5</v>
      </c>
      <c r="R719" s="7" t="str">
        <f ca="1">IFERROR(__xludf.DUMMYFUNCTION("IMPORTXML(E719,""/html/body/main/div[3]/div[3]/div[2]/ul/li[7]/span[2]/span"")"),"Loading...")</f>
        <v>Loading...</v>
      </c>
      <c r="S719" s="7" t="str">
        <f ca="1">IFERROR(__xludf.DUMMYFUNCTION("IMPORTXML(E719,""/html/body/main/div[3]/div[3]/div[2]/ul/li[8]/span[2]/span"")"),"Loading...")</f>
        <v>Loading...</v>
      </c>
      <c r="T719" s="4">
        <v>34.6</v>
      </c>
      <c r="U719" s="4">
        <v>22.7</v>
      </c>
      <c r="V719" s="4">
        <v>2.6</v>
      </c>
      <c r="W719" s="4">
        <v>5.7</v>
      </c>
      <c r="X719" s="4">
        <v>519.92999999999995</v>
      </c>
      <c r="Y719" s="7">
        <f t="shared" ca="1" si="14"/>
        <v>315.0200000000001</v>
      </c>
    </row>
    <row r="720" spans="1:25" ht="15" x14ac:dyDescent="0.25">
      <c r="A720" s="4">
        <v>1264</v>
      </c>
      <c r="C720" s="12" t="s">
        <v>1983</v>
      </c>
      <c r="D720" s="12" t="s">
        <v>1984</v>
      </c>
      <c r="E720" s="5" t="str">
        <f t="shared" si="10"/>
        <v>https://www.screener.in/company/FOODSIN/consolidated/</v>
      </c>
      <c r="F720" s="4">
        <v>443059</v>
      </c>
      <c r="G720" s="4">
        <v>3832241897</v>
      </c>
      <c r="H720" s="6">
        <f t="shared" ca="1" si="11"/>
        <v>35597.694981232999</v>
      </c>
      <c r="I720" s="7" t="str">
        <f ca="1">IFERROR(__xludf.DUMMYFUNCTION("IMPORTXML(E720,""/html/body/main/div[3]/div[3]/div[2]/ul/li[5]/span[2]/span"")"),"Loading...")</f>
        <v>Loading...</v>
      </c>
      <c r="J720" s="7">
        <f ca="1">IFERROR(__xludf.DUMMYFUNCTION("GOOGLEFINANCE(""NSE:""&amp;D720,""marketcap"")"),6819484006)</f>
        <v>6819484006</v>
      </c>
      <c r="K720" s="7">
        <v>992.8</v>
      </c>
      <c r="L720" s="8">
        <f ca="1">IFERROR(__xludf.DUMMYFUNCTION("GOOGLEFINANCE(""NSE:""&amp;D720,""price"")"),92.89)</f>
        <v>92.89</v>
      </c>
      <c r="M720" s="9">
        <f t="shared" ca="1" si="12"/>
        <v>-899.91</v>
      </c>
      <c r="N720" s="10">
        <f t="shared" ca="1" si="13"/>
        <v>-90.643634165995167</v>
      </c>
      <c r="O720" s="7">
        <f ca="1">IFERROR(__xludf.DUMMYFUNCTION("GOOGLEFINANCE(""NSE:""&amp;D720,""pe"")"),16.47)</f>
        <v>16.47</v>
      </c>
      <c r="P720" s="7">
        <f ca="1">IFERROR(__xludf.DUMMYFUNCTION("GOOGLEFINANCE(""NSE:""&amp;D720,""EPS"")"),5.64)</f>
        <v>5.64</v>
      </c>
      <c r="Q720" s="7">
        <v>13.5</v>
      </c>
      <c r="R720" s="7" t="str">
        <f ca="1">IFERROR(__xludf.DUMMYFUNCTION("IMPORTXML(E720,""/html/body/main/div[3]/div[3]/div[2]/ul/li[7]/span[2]/span"")"),"Loading...")</f>
        <v>Loading...</v>
      </c>
      <c r="S720" s="7" t="str">
        <f ca="1">IFERROR(__xludf.DUMMYFUNCTION("IMPORTXML(E720,""/html/body/main/div[3]/div[3]/div[2]/ul/li[8]/span[2]/span"")"),"Loading...")</f>
        <v>Loading...</v>
      </c>
      <c r="T720" s="4">
        <v>34.6</v>
      </c>
      <c r="U720" s="4">
        <v>22.7</v>
      </c>
      <c r="V720" s="4">
        <v>2.6</v>
      </c>
      <c r="W720" s="4">
        <v>5.7</v>
      </c>
      <c r="X720" s="4">
        <v>519.92999999999995</v>
      </c>
      <c r="Y720" s="7">
        <f t="shared" ca="1" si="14"/>
        <v>-427.03999999999996</v>
      </c>
    </row>
    <row r="721" spans="1:25" ht="15" x14ac:dyDescent="0.25">
      <c r="A721" s="4">
        <v>3062</v>
      </c>
      <c r="C721" s="12" t="s">
        <v>1985</v>
      </c>
      <c r="D721" s="12" t="s">
        <v>1986</v>
      </c>
      <c r="E721" s="5" t="str">
        <f t="shared" si="10"/>
        <v>https://www.screener.in/company/ARSSINFRA/consolidated/</v>
      </c>
      <c r="F721" s="4">
        <v>443059</v>
      </c>
      <c r="G721" s="4">
        <v>3832241897</v>
      </c>
      <c r="H721" s="6">
        <f t="shared" ca="1" si="11"/>
        <v>20797.576775018999</v>
      </c>
      <c r="I721" s="7" t="str">
        <f ca="1">IFERROR(__xludf.DUMMYFUNCTION("IMPORTXML(E721,""/html/body/main/div[3]/div[3]/div[2]/ul/li[5]/span[2]/span"")"),"Loading...")</f>
        <v>Loading...</v>
      </c>
      <c r="J721" s="7">
        <f ca="1">IFERROR(__xludf.DUMMYFUNCTION("GOOGLEFINANCE(""NSE:""&amp;D721,""marketcap"")"),1233989000)</f>
        <v>1233989000</v>
      </c>
      <c r="K721" s="7">
        <v>992.8</v>
      </c>
      <c r="L721" s="8">
        <f ca="1">IFERROR(__xludf.DUMMYFUNCTION("GOOGLEFINANCE(""NSE:""&amp;D721,""price"")"),54.27)</f>
        <v>54.27</v>
      </c>
      <c r="M721" s="9">
        <f t="shared" ca="1" si="12"/>
        <v>-938.53</v>
      </c>
      <c r="N721" s="10">
        <f t="shared" ca="1" si="13"/>
        <v>-94.533642224012894</v>
      </c>
      <c r="O721" s="7" t="str">
        <f ca="1">IFERROR(__xludf.DUMMYFUNCTION("GOOGLEFINANCE(""NSE:""&amp;D721,""pe"")"),"#N/A")</f>
        <v>#N/A</v>
      </c>
      <c r="P721" s="7">
        <f ca="1">IFERROR(__xludf.DUMMYFUNCTION("GOOGLEFINANCE(""NSE:""&amp;D721,""EPS"")"),-54.56)</f>
        <v>-54.56</v>
      </c>
      <c r="Q721" s="7">
        <v>13.5</v>
      </c>
      <c r="R721" s="7" t="str">
        <f ca="1">IFERROR(__xludf.DUMMYFUNCTION("IMPORTXML(E721,""/html/body/main/div[3]/div[3]/div[2]/ul/li[7]/span[2]/span"")"),"Loading...")</f>
        <v>Loading...</v>
      </c>
      <c r="S721" s="7" t="str">
        <f ca="1">IFERROR(__xludf.DUMMYFUNCTION("IMPORTXML(E721,""/html/body/main/div[3]/div[3]/div[2]/ul/li[8]/span[2]/span"")"),"Loading...")</f>
        <v>Loading...</v>
      </c>
      <c r="T721" s="4">
        <v>34.6</v>
      </c>
      <c r="U721" s="4">
        <v>22.7</v>
      </c>
      <c r="V721" s="4">
        <v>2.6</v>
      </c>
      <c r="W721" s="4">
        <v>5.7</v>
      </c>
      <c r="X721" s="4">
        <v>519.92999999999995</v>
      </c>
      <c r="Y721" s="7">
        <f t="shared" ca="1" si="14"/>
        <v>-465.65999999999997</v>
      </c>
    </row>
    <row r="722" spans="1:25" ht="15" x14ac:dyDescent="0.25">
      <c r="A722" s="4">
        <v>163</v>
      </c>
      <c r="C722" s="12" t="s">
        <v>1987</v>
      </c>
      <c r="D722" s="12" t="s">
        <v>1988</v>
      </c>
      <c r="E722" s="5" t="str">
        <f t="shared" si="10"/>
        <v>https://www.screener.in/company/INDIAMART/consolidated/</v>
      </c>
      <c r="F722" s="4">
        <v>443059</v>
      </c>
      <c r="G722" s="4">
        <v>3832241897</v>
      </c>
      <c r="H722" s="6">
        <f t="shared" ca="1" si="11"/>
        <v>982165.27578213008</v>
      </c>
      <c r="I722" s="7" t="str">
        <f ca="1">IFERROR(__xludf.DUMMYFUNCTION("IMPORTXML(E722,""/html/body/main/div[3]/div[3]/div[2]/ul/li[5]/span[2]/span"")"),"Loading...")</f>
        <v>Loading...</v>
      </c>
      <c r="J722" s="7">
        <f ca="1">IFERROR(__xludf.DUMMYFUNCTION("GOOGLEFINANCE(""NSE:""&amp;D722,""marketcap"")"),153609300795)</f>
        <v>153609300795</v>
      </c>
      <c r="K722" s="7">
        <v>992.8</v>
      </c>
      <c r="L722" s="8">
        <f ca="1">IFERROR(__xludf.DUMMYFUNCTION("GOOGLEFINANCE(""NSE:""&amp;D722,""price"")"),2562.9)</f>
        <v>2562.9</v>
      </c>
      <c r="M722" s="9">
        <f t="shared" ca="1" si="12"/>
        <v>1570.1000000000001</v>
      </c>
      <c r="N722" s="10">
        <f t="shared" ca="1" si="13"/>
        <v>158.14867042707496</v>
      </c>
      <c r="O722" s="7">
        <f ca="1">IFERROR(__xludf.DUMMYFUNCTION("GOOGLEFINANCE(""NSE:""&amp;D722,""pe"")"),26.11)</f>
        <v>26.11</v>
      </c>
      <c r="P722" s="7">
        <f ca="1">IFERROR(__xludf.DUMMYFUNCTION("GOOGLEFINANCE(""NSE:""&amp;D722,""EPS"")"),98.16)</f>
        <v>98.16</v>
      </c>
      <c r="Q722" s="7">
        <v>13.5</v>
      </c>
      <c r="R722" s="7" t="str">
        <f ca="1">IFERROR(__xludf.DUMMYFUNCTION("IMPORTXML(E722,""/html/body/main/div[3]/div[3]/div[2]/ul/li[7]/span[2]/span"")"),"Loading...")</f>
        <v>Loading...</v>
      </c>
      <c r="S722" s="7" t="str">
        <f ca="1">IFERROR(__xludf.DUMMYFUNCTION("IMPORTXML(E722,""/html/body/main/div[3]/div[3]/div[2]/ul/li[8]/span[2]/span"")"),"Loading...")</f>
        <v>Loading...</v>
      </c>
      <c r="T722" s="4">
        <v>34.6</v>
      </c>
      <c r="U722" s="4">
        <v>22.7</v>
      </c>
      <c r="V722" s="4">
        <v>2.6</v>
      </c>
      <c r="W722" s="4">
        <v>5.7</v>
      </c>
      <c r="X722" s="4">
        <v>519.92999999999995</v>
      </c>
      <c r="Y722" s="7">
        <f t="shared" ca="1" si="14"/>
        <v>2042.9700000000003</v>
      </c>
    </row>
    <row r="723" spans="1:25" ht="15" x14ac:dyDescent="0.25">
      <c r="A723" s="4">
        <v>290</v>
      </c>
      <c r="C723" s="12" t="s">
        <v>1989</v>
      </c>
      <c r="D723" s="12" t="s">
        <v>1990</v>
      </c>
      <c r="E723" s="5" t="str">
        <f t="shared" si="10"/>
        <v>https://www.screener.in/company/THOMASCOOK/consolidated/</v>
      </c>
      <c r="F723" s="4">
        <v>443059</v>
      </c>
      <c r="G723" s="4">
        <v>3832241897</v>
      </c>
      <c r="H723" s="6">
        <f t="shared" ca="1" si="11"/>
        <v>68233.066976085014</v>
      </c>
      <c r="I723" s="7" t="str">
        <f ca="1">IFERROR(__xludf.DUMMYFUNCTION("IMPORTXML(E723,""/html/body/main/div[3]/div[3]/div[2]/ul/li[5]/span[2]/span"")"),"Loading...")</f>
        <v>Loading...</v>
      </c>
      <c r="J723" s="7">
        <f ca="1">IFERROR(__xludf.DUMMYFUNCTION("GOOGLEFINANCE(""NSE:""&amp;D723,""marketcap"")"),82929085766)</f>
        <v>82929085766</v>
      </c>
      <c r="K723" s="7">
        <v>992.8</v>
      </c>
      <c r="L723" s="8">
        <f ca="1">IFERROR(__xludf.DUMMYFUNCTION("GOOGLEFINANCE(""NSE:""&amp;D723,""price"")"),178.05)</f>
        <v>178.05</v>
      </c>
      <c r="M723" s="9">
        <f t="shared" ca="1" si="12"/>
        <v>-814.75</v>
      </c>
      <c r="N723" s="10">
        <f t="shared" ca="1" si="13"/>
        <v>-82.065874294923461</v>
      </c>
      <c r="O723" s="7">
        <f ca="1">IFERROR(__xludf.DUMMYFUNCTION("GOOGLEFINANCE(""NSE:""&amp;D723,""pe"")"),33.01)</f>
        <v>33.01</v>
      </c>
      <c r="P723" s="7">
        <f ca="1">IFERROR(__xludf.DUMMYFUNCTION("GOOGLEFINANCE(""NSE:""&amp;D723,""EPS"")"),5.39)</f>
        <v>5.39</v>
      </c>
      <c r="Q723" s="7">
        <v>13.5</v>
      </c>
      <c r="R723" s="7" t="str">
        <f ca="1">IFERROR(__xludf.DUMMYFUNCTION("IMPORTXML(E723,""/html/body/main/div[3]/div[3]/div[2]/ul/li[7]/span[2]/span"")"),"Loading...")</f>
        <v>Loading...</v>
      </c>
      <c r="S723" s="7" t="str">
        <f ca="1">IFERROR(__xludf.DUMMYFUNCTION("IMPORTXML(E723,""/html/body/main/div[3]/div[3]/div[2]/ul/li[8]/span[2]/span"")"),"Loading...")</f>
        <v>Loading...</v>
      </c>
      <c r="T723" s="4">
        <v>34.6</v>
      </c>
      <c r="U723" s="4">
        <v>22.7</v>
      </c>
      <c r="V723" s="4">
        <v>2.6</v>
      </c>
      <c r="W723" s="4">
        <v>5.7</v>
      </c>
      <c r="X723" s="4">
        <v>519.92999999999995</v>
      </c>
      <c r="Y723" s="7">
        <f t="shared" ca="1" si="14"/>
        <v>-341.87999999999994</v>
      </c>
    </row>
    <row r="724" spans="1:25" ht="15" x14ac:dyDescent="0.25">
      <c r="A724" s="4">
        <v>536</v>
      </c>
      <c r="C724" s="12" t="s">
        <v>1991</v>
      </c>
      <c r="D724" s="12" t="s">
        <v>1992</v>
      </c>
      <c r="E724" s="5" t="str">
        <f t="shared" si="10"/>
        <v>https://www.screener.in/company/YATHARTH/consolidated/</v>
      </c>
      <c r="F724" s="4">
        <v>443059</v>
      </c>
      <c r="G724" s="4">
        <v>3832241897</v>
      </c>
      <c r="H724" s="6">
        <f t="shared" ca="1" si="11"/>
        <v>300907.63375244004</v>
      </c>
      <c r="I724" s="7" t="str">
        <f ca="1">IFERROR(__xludf.DUMMYFUNCTION("IMPORTXML(E724,""/html/body/main/div[3]/div[3]/div[2]/ul/li[5]/span[2]/span"")"),"Loading...")</f>
        <v>Loading...</v>
      </c>
      <c r="J724" s="7">
        <f ca="1">IFERROR(__xludf.DUMMYFUNCTION("GOOGLEFINANCE(""NSE:""&amp;D724,""marketcap"")"),75097776000)</f>
        <v>75097776000</v>
      </c>
      <c r="K724" s="7">
        <v>992.8</v>
      </c>
      <c r="L724" s="8">
        <f ca="1">IFERROR(__xludf.DUMMYFUNCTION("GOOGLEFINANCE(""NSE:""&amp;D724,""price"")"),785.2)</f>
        <v>785.2</v>
      </c>
      <c r="M724" s="9">
        <f t="shared" ca="1" si="12"/>
        <v>-207.59999999999991</v>
      </c>
      <c r="N724" s="10">
        <f t="shared" ca="1" si="13"/>
        <v>-20.910556003223199</v>
      </c>
      <c r="O724" s="7">
        <f ca="1">IFERROR(__xludf.DUMMYFUNCTION("GOOGLEFINANCE(""NSE:""&amp;D724,""pe"")"),49.37)</f>
        <v>49.37</v>
      </c>
      <c r="P724" s="7">
        <f ca="1">IFERROR(__xludf.DUMMYFUNCTION("GOOGLEFINANCE(""NSE:""&amp;D724,""EPS"")"),15.91)</f>
        <v>15.91</v>
      </c>
      <c r="Q724" s="7">
        <v>13.5</v>
      </c>
      <c r="R724" s="7" t="str">
        <f ca="1">IFERROR(__xludf.DUMMYFUNCTION("IMPORTXML(E724,""/html/body/main/div[3]/div[3]/div[2]/ul/li[7]/span[2]/span"")"),"Loading...")</f>
        <v>Loading...</v>
      </c>
      <c r="S724" s="7" t="str">
        <f ca="1">IFERROR(__xludf.DUMMYFUNCTION("IMPORTXML(E724,""/html/body/main/div[3]/div[3]/div[2]/ul/li[8]/span[2]/span"")"),"Loading...")</f>
        <v>Loading...</v>
      </c>
      <c r="T724" s="4">
        <v>34.6</v>
      </c>
      <c r="U724" s="4">
        <v>22.7</v>
      </c>
      <c r="V724" s="4">
        <v>2.6</v>
      </c>
      <c r="W724" s="4">
        <v>5.7</v>
      </c>
      <c r="X724" s="4">
        <v>519.92999999999995</v>
      </c>
      <c r="Y724" s="7">
        <f t="shared" ca="1" si="14"/>
        <v>265.2700000000001</v>
      </c>
    </row>
    <row r="725" spans="1:25" ht="15" x14ac:dyDescent="0.25">
      <c r="A725" s="4">
        <v>1058</v>
      </c>
      <c r="C725" s="12" t="s">
        <v>1993</v>
      </c>
      <c r="D725" s="12" t="s">
        <v>1994</v>
      </c>
      <c r="E725" s="5" t="str">
        <f t="shared" si="10"/>
        <v>https://www.screener.in/company/SIGNPOST/consolidated/</v>
      </c>
      <c r="F725" s="4">
        <v>443059</v>
      </c>
      <c r="G725" s="4">
        <v>3832241897</v>
      </c>
      <c r="H725" s="6">
        <f t="shared" ca="1" si="11"/>
        <v>108069.22149539999</v>
      </c>
      <c r="I725" s="7" t="str">
        <f ca="1">IFERROR(__xludf.DUMMYFUNCTION("IMPORTXML(E725,""/html/body/main/div[3]/div[3]/div[2]/ul/li[5]/span[2]/span"")"),"Loading...")</f>
        <v>Loading...</v>
      </c>
      <c r="J725" s="7">
        <f ca="1">IFERROR(__xludf.DUMMYFUNCTION("GOOGLEFINANCE(""NSE:""&amp;D725,""marketcap"")"),15082085952)</f>
        <v>15082085952</v>
      </c>
      <c r="K725" s="7">
        <v>992.8</v>
      </c>
      <c r="L725" s="8">
        <f ca="1">IFERROR(__xludf.DUMMYFUNCTION("GOOGLEFINANCE(""NSE:""&amp;D725,""price"")"),282)</f>
        <v>282</v>
      </c>
      <c r="M725" s="9">
        <f t="shared" ca="1" si="12"/>
        <v>-710.8</v>
      </c>
      <c r="N725" s="10">
        <f t="shared" ca="1" si="13"/>
        <v>-71.595487510072516</v>
      </c>
      <c r="O725" s="7">
        <f ca="1">IFERROR(__xludf.DUMMYFUNCTION("GOOGLEFINANCE(""NSE:""&amp;D725,""pe"")"),39.72)</f>
        <v>39.72</v>
      </c>
      <c r="P725" s="7">
        <f ca="1">IFERROR(__xludf.DUMMYFUNCTION("GOOGLEFINANCE(""NSE:""&amp;D725,""EPS"")"),7.1)</f>
        <v>7.1</v>
      </c>
      <c r="Q725" s="7">
        <v>13.5</v>
      </c>
      <c r="R725" s="7" t="str">
        <f ca="1">IFERROR(__xludf.DUMMYFUNCTION("IMPORTXML(E725,""/html/body/main/div[3]/div[3]/div[2]/ul/li[7]/span[2]/span"")"),"Loading...")</f>
        <v>Loading...</v>
      </c>
      <c r="S725" s="7" t="str">
        <f ca="1">IFERROR(__xludf.DUMMYFUNCTION("IMPORTXML(E725,""/html/body/main/div[3]/div[3]/div[2]/ul/li[8]/span[2]/span"")"),"Loading...")</f>
        <v>Loading...</v>
      </c>
      <c r="T725" s="4">
        <v>34.6</v>
      </c>
      <c r="U725" s="4">
        <v>22.7</v>
      </c>
      <c r="V725" s="4">
        <v>2.6</v>
      </c>
      <c r="W725" s="4">
        <v>5.7</v>
      </c>
      <c r="X725" s="4">
        <v>519.92999999999995</v>
      </c>
      <c r="Y725" s="7">
        <f t="shared" ca="1" si="14"/>
        <v>-237.92999999999995</v>
      </c>
    </row>
    <row r="726" spans="1:25" ht="15" x14ac:dyDescent="0.25">
      <c r="A726" s="4">
        <v>624</v>
      </c>
      <c r="C726" s="12" t="s">
        <v>1995</v>
      </c>
      <c r="D726" s="12" t="s">
        <v>1996</v>
      </c>
      <c r="E726" s="5" t="str">
        <f t="shared" si="10"/>
        <v>https://www.screener.in/company/LAOPALA/consolidated/</v>
      </c>
      <c r="F726" s="4">
        <v>443059</v>
      </c>
      <c r="G726" s="4">
        <v>3832241897</v>
      </c>
      <c r="H726" s="6">
        <f t="shared" ca="1" si="11"/>
        <v>95327.017187874997</v>
      </c>
      <c r="I726" s="7" t="str">
        <f ca="1">IFERROR(__xludf.DUMMYFUNCTION("IMPORTXML(E726,""/html/body/main/div[3]/div[3]/div[2]/ul/li[5]/span[2]/span"")"),"Loading...")</f>
        <v>Loading...</v>
      </c>
      <c r="J726" s="7">
        <f ca="1">IFERROR(__xludf.DUMMYFUNCTION("GOOGLEFINANCE(""NSE:""&amp;D726,""marketcap"")"),27627900000)</f>
        <v>27627900000</v>
      </c>
      <c r="K726" s="7">
        <v>992.8</v>
      </c>
      <c r="L726" s="8">
        <f ca="1">IFERROR(__xludf.DUMMYFUNCTION("GOOGLEFINANCE(""NSE:""&amp;D726,""price"")"),248.75)</f>
        <v>248.75</v>
      </c>
      <c r="M726" s="9">
        <f t="shared" ca="1" si="12"/>
        <v>-744.05</v>
      </c>
      <c r="N726" s="10">
        <f t="shared" ca="1" si="13"/>
        <v>-74.944601128122486</v>
      </c>
      <c r="O726" s="7">
        <f ca="1">IFERROR(__xludf.DUMMYFUNCTION("GOOGLEFINANCE(""NSE:""&amp;D726,""pe"")"),28.11)</f>
        <v>28.11</v>
      </c>
      <c r="P726" s="7">
        <f ca="1">IFERROR(__xludf.DUMMYFUNCTION("GOOGLEFINANCE(""NSE:""&amp;D726,""EPS"")"),8.85)</f>
        <v>8.85</v>
      </c>
      <c r="Q726" s="7">
        <v>13.5</v>
      </c>
      <c r="R726" s="7" t="str">
        <f ca="1">IFERROR(__xludf.DUMMYFUNCTION("IMPORTXML(E726,""/html/body/main/div[3]/div[3]/div[2]/ul/li[7]/span[2]/span"")"),"Loading...")</f>
        <v>Loading...</v>
      </c>
      <c r="S726" s="7" t="str">
        <f ca="1">IFERROR(__xludf.DUMMYFUNCTION("IMPORTXML(E726,""/html/body/main/div[3]/div[3]/div[2]/ul/li[8]/span[2]/span"")"),"Loading...")</f>
        <v>Loading...</v>
      </c>
      <c r="T726" s="4">
        <v>34.6</v>
      </c>
      <c r="U726" s="4">
        <v>22.7</v>
      </c>
      <c r="V726" s="4">
        <v>2.6</v>
      </c>
      <c r="W726" s="4">
        <v>5.7</v>
      </c>
      <c r="X726" s="4">
        <v>519.92999999999995</v>
      </c>
      <c r="Y726" s="7">
        <f t="shared" ca="1" si="14"/>
        <v>-271.17999999999995</v>
      </c>
    </row>
    <row r="727" spans="1:25" ht="15" x14ac:dyDescent="0.25">
      <c r="A727" s="4">
        <v>2700</v>
      </c>
      <c r="C727" s="12" t="s">
        <v>1997</v>
      </c>
      <c r="D727" s="12" t="s">
        <v>1998</v>
      </c>
      <c r="E727" s="5" t="str">
        <f t="shared" si="10"/>
        <v>https://www.screener.in/company/BANARBEADS/consolidated/</v>
      </c>
      <c r="F727" s="4">
        <v>443059</v>
      </c>
      <c r="G727" s="4">
        <v>3832241897</v>
      </c>
      <c r="H727" s="6">
        <f t="shared" ca="1" si="11"/>
        <v>39472.091539100002</v>
      </c>
      <c r="I727" s="7" t="str">
        <f ca="1">IFERROR(__xludf.DUMMYFUNCTION("IMPORTXML(E727,""/html/body/main/div[3]/div[3]/div[2]/ul/li[5]/span[2]/span"")"),"Loading...")</f>
        <v>Loading...</v>
      </c>
      <c r="J727" s="7">
        <f ca="1">IFERROR(__xludf.DUMMYFUNCTION("GOOGLEFINANCE(""NSE:""&amp;D727,""marketcap"")"),689105300)</f>
        <v>689105300</v>
      </c>
      <c r="K727" s="7">
        <v>992.8</v>
      </c>
      <c r="L727" s="8">
        <f ca="1">IFERROR(__xludf.DUMMYFUNCTION("GOOGLEFINANCE(""NSE:""&amp;D727,""price"")"),103)</f>
        <v>103</v>
      </c>
      <c r="M727" s="9">
        <f t="shared" ca="1" si="12"/>
        <v>-889.8</v>
      </c>
      <c r="N727" s="10">
        <f t="shared" ca="1" si="13"/>
        <v>-89.625302175664785</v>
      </c>
      <c r="O727" s="7">
        <f ca="1">IFERROR(__xludf.DUMMYFUNCTION("GOOGLEFINANCE(""NSE:""&amp;D727,""pe"")"),21.68)</f>
        <v>21.68</v>
      </c>
      <c r="P727" s="7">
        <f ca="1">IFERROR(__xludf.DUMMYFUNCTION("GOOGLEFINANCE(""NSE:""&amp;D727,""EPS"")"),4.75)</f>
        <v>4.75</v>
      </c>
      <c r="Q727" s="7">
        <v>13.5</v>
      </c>
      <c r="R727" s="7" t="str">
        <f ca="1">IFERROR(__xludf.DUMMYFUNCTION("IMPORTXML(E727,""/html/body/main/div[3]/div[3]/div[2]/ul/li[7]/span[2]/span"")"),"Loading...")</f>
        <v>Loading...</v>
      </c>
      <c r="S727" s="7" t="str">
        <f ca="1">IFERROR(__xludf.DUMMYFUNCTION("IMPORTXML(E727,""/html/body/main/div[3]/div[3]/div[2]/ul/li[8]/span[2]/span"")"),"Loading...")</f>
        <v>Loading...</v>
      </c>
      <c r="T727" s="4">
        <v>34.6</v>
      </c>
      <c r="U727" s="4">
        <v>22.7</v>
      </c>
      <c r="V727" s="4">
        <v>2.6</v>
      </c>
      <c r="W727" s="4">
        <v>5.7</v>
      </c>
      <c r="X727" s="4">
        <v>519.92999999999995</v>
      </c>
      <c r="Y727" s="7">
        <f t="shared" ca="1" si="14"/>
        <v>-416.92999999999995</v>
      </c>
    </row>
    <row r="728" spans="1:25" ht="15" x14ac:dyDescent="0.25">
      <c r="A728" s="4">
        <v>443</v>
      </c>
      <c r="C728" s="12" t="s">
        <v>1999</v>
      </c>
      <c r="D728" s="12" t="s">
        <v>2000</v>
      </c>
      <c r="E728" s="5" t="str">
        <f t="shared" si="10"/>
        <v>https://www.screener.in/company/NIITMTS/consolidated/</v>
      </c>
      <c r="F728" s="4">
        <v>443059</v>
      </c>
      <c r="G728" s="4">
        <v>3832241897</v>
      </c>
      <c r="H728" s="6">
        <f t="shared" ca="1" si="11"/>
        <v>127632.81637958501</v>
      </c>
      <c r="I728" s="7" t="str">
        <f ca="1">IFERROR(__xludf.DUMMYFUNCTION("IMPORTXML(E728,""/html/body/main/div[3]/div[3]/div[2]/ul/li[5]/span[2]/span"")"),"Loading...")</f>
        <v>Loading...</v>
      </c>
      <c r="J728" s="7">
        <f ca="1">IFERROR(__xludf.DUMMYFUNCTION("GOOGLEFINANCE(""NSE:""&amp;D728,""marketcap"")"),45646798871)</f>
        <v>45646798871</v>
      </c>
      <c r="K728" s="7">
        <v>992.8</v>
      </c>
      <c r="L728" s="8">
        <f ca="1">IFERROR(__xludf.DUMMYFUNCTION("GOOGLEFINANCE(""NSE:""&amp;D728,""price"")"),333.05)</f>
        <v>333.05</v>
      </c>
      <c r="M728" s="9">
        <f t="shared" ca="1" si="12"/>
        <v>-659.75</v>
      </c>
      <c r="N728" s="10">
        <f t="shared" ca="1" si="13"/>
        <v>-66.453464947622891</v>
      </c>
      <c r="O728" s="7">
        <f ca="1">IFERROR(__xludf.DUMMYFUNCTION("GOOGLEFINANCE(""NSE:""&amp;D728,""pe"")"),21.66)</f>
        <v>21.66</v>
      </c>
      <c r="P728" s="7">
        <f ca="1">IFERROR(__xludf.DUMMYFUNCTION("GOOGLEFINANCE(""NSE:""&amp;D728,""EPS"")"),15.38)</f>
        <v>15.38</v>
      </c>
      <c r="Q728" s="7">
        <v>13.5</v>
      </c>
      <c r="R728" s="7" t="str">
        <f ca="1">IFERROR(__xludf.DUMMYFUNCTION("IMPORTXML(E728,""/html/body/main/div[3]/div[3]/div[2]/ul/li[7]/span[2]/span"")"),"Loading...")</f>
        <v>Loading...</v>
      </c>
      <c r="S728" s="7">
        <f ca="1">IFERROR(__xludf.DUMMYFUNCTION("IMPORTXML(E728,""/html/body/main/div[3]/div[3]/div[2]/ul/li[8]/span[2]/span"")"),21.5)</f>
        <v>21.5</v>
      </c>
      <c r="T728" s="4">
        <v>34.6</v>
      </c>
      <c r="U728" s="4">
        <v>22.7</v>
      </c>
      <c r="V728" s="4">
        <v>2.6</v>
      </c>
      <c r="W728" s="4">
        <v>5.7</v>
      </c>
      <c r="X728" s="4">
        <v>519.92999999999995</v>
      </c>
      <c r="Y728" s="7">
        <f t="shared" ca="1" si="14"/>
        <v>-186.87999999999994</v>
      </c>
    </row>
    <row r="729" spans="1:25" ht="15" x14ac:dyDescent="0.25">
      <c r="A729" s="4">
        <v>1437</v>
      </c>
      <c r="C729" s="12" t="s">
        <v>2001</v>
      </c>
      <c r="D729" s="12" t="s">
        <v>2002</v>
      </c>
      <c r="E729" s="5" t="str">
        <f t="shared" si="10"/>
        <v>https://www.screener.in/company/VIKASECO/consolidated/</v>
      </c>
      <c r="F729" s="4">
        <v>443059</v>
      </c>
      <c r="G729" s="4">
        <v>3832241897</v>
      </c>
      <c r="H729" s="6">
        <f t="shared" ca="1" si="11"/>
        <v>797.10631457600005</v>
      </c>
      <c r="I729" s="7" t="str">
        <f ca="1">IFERROR(__xludf.DUMMYFUNCTION("IMPORTXML(E729,""/html/body/main/div[3]/div[3]/div[2]/ul/li[5]/span[2]/span"")"),"Loading...")</f>
        <v>Loading...</v>
      </c>
      <c r="J729" s="7">
        <f ca="1">IFERROR(__xludf.DUMMYFUNCTION("GOOGLEFINANCE(""NSE:""&amp;D729,""marketcap"")"),3678906265)</f>
        <v>3678906265</v>
      </c>
      <c r="K729" s="7">
        <v>992.8</v>
      </c>
      <c r="L729" s="8">
        <f ca="1">IFERROR(__xludf.DUMMYFUNCTION("GOOGLEFINANCE(""NSE:""&amp;D729,""price"")"),2.08)</f>
        <v>2.08</v>
      </c>
      <c r="M729" s="9">
        <f t="shared" ca="1" si="12"/>
        <v>-990.71999999999991</v>
      </c>
      <c r="N729" s="10">
        <f t="shared" ca="1" si="13"/>
        <v>-99.790491539081387</v>
      </c>
      <c r="O729" s="7">
        <f ca="1">IFERROR(__xludf.DUMMYFUNCTION("GOOGLEFINANCE(""NSE:""&amp;D729,""pe"")"),33.02)</f>
        <v>33.020000000000003</v>
      </c>
      <c r="P729" s="7">
        <f ca="1">IFERROR(__xludf.DUMMYFUNCTION("GOOGLEFINANCE(""NSE:""&amp;D729,""EPS"")"),0.06)</f>
        <v>0.06</v>
      </c>
      <c r="Q729" s="7">
        <v>13.5</v>
      </c>
      <c r="R729" s="7" t="str">
        <f ca="1">IFERROR(__xludf.DUMMYFUNCTION("IMPORTXML(E729,""/html/body/main/div[3]/div[3]/div[2]/ul/li[7]/span[2]/span"")"),"Loading...")</f>
        <v>Loading...</v>
      </c>
      <c r="S729" s="7" t="str">
        <f ca="1">IFERROR(__xludf.DUMMYFUNCTION("IMPORTXML(E729,""/html/body/main/div[3]/div[3]/div[2]/ul/li[8]/span[2]/span"")"),"Loading...")</f>
        <v>Loading...</v>
      </c>
      <c r="T729" s="4">
        <v>34.6</v>
      </c>
      <c r="U729" s="4">
        <v>22.7</v>
      </c>
      <c r="V729" s="4">
        <v>2.6</v>
      </c>
      <c r="W729" s="4">
        <v>5.7</v>
      </c>
      <c r="X729" s="4">
        <v>519.92999999999995</v>
      </c>
      <c r="Y729" s="7">
        <f t="shared" ca="1" si="14"/>
        <v>-517.84999999999991</v>
      </c>
    </row>
    <row r="730" spans="1:25" ht="15" x14ac:dyDescent="0.25">
      <c r="A730" s="4">
        <v>979</v>
      </c>
      <c r="C730" s="12" t="s">
        <v>2003</v>
      </c>
      <c r="D730" s="12" t="s">
        <v>2004</v>
      </c>
      <c r="E730" s="5" t="str">
        <f t="shared" si="10"/>
        <v>https://www.screener.in/company/SPIC/consolidated/</v>
      </c>
      <c r="F730" s="4">
        <v>443059</v>
      </c>
      <c r="G730" s="4">
        <v>3832241897</v>
      </c>
      <c r="H730" s="6">
        <f t="shared" ca="1" si="11"/>
        <v>44358.199957775003</v>
      </c>
      <c r="I730" s="7" t="str">
        <f ca="1">IFERROR(__xludf.DUMMYFUNCTION("IMPORTXML(E730,""/html/body/main/div[3]/div[3]/div[2]/ul/li[5]/span[2]/span"")"),"Loading...")</f>
        <v>Loading...</v>
      </c>
      <c r="J730" s="7">
        <f ca="1">IFERROR(__xludf.DUMMYFUNCTION("GOOGLEFINANCE(""NSE:""&amp;D730,""marketcap"")"),23571364725)</f>
        <v>23571364725</v>
      </c>
      <c r="K730" s="7">
        <v>992.8</v>
      </c>
      <c r="L730" s="8">
        <f ca="1">IFERROR(__xludf.DUMMYFUNCTION("GOOGLEFINANCE(""NSE:""&amp;D730,""price"")"),115.75)</f>
        <v>115.75</v>
      </c>
      <c r="M730" s="9">
        <f t="shared" ca="1" si="12"/>
        <v>-877.05</v>
      </c>
      <c r="N730" s="10">
        <f t="shared" ca="1" si="13"/>
        <v>-88.341055600322321</v>
      </c>
      <c r="O730" s="7">
        <f ca="1">IFERROR(__xludf.DUMMYFUNCTION("GOOGLEFINANCE(""NSE:""&amp;D730,""pe"")"),14.73)</f>
        <v>14.73</v>
      </c>
      <c r="P730" s="7">
        <f ca="1">IFERROR(__xludf.DUMMYFUNCTION("GOOGLEFINANCE(""NSE:""&amp;D730,""EPS"")"),7.86)</f>
        <v>7.86</v>
      </c>
      <c r="Q730" s="7">
        <v>13.5</v>
      </c>
      <c r="R730" s="7" t="str">
        <f ca="1">IFERROR(__xludf.DUMMYFUNCTION("IMPORTXML(E730,""/html/body/main/div[3]/div[3]/div[2]/ul/li[7]/span[2]/span"")"),"Loading...")</f>
        <v>Loading...</v>
      </c>
      <c r="S730" s="7" t="str">
        <f ca="1">IFERROR(__xludf.DUMMYFUNCTION("IMPORTXML(E730,""/html/body/main/div[3]/div[3]/div[2]/ul/li[8]/span[2]/span"")"),"Loading...")</f>
        <v>Loading...</v>
      </c>
      <c r="T730" s="4">
        <v>34.6</v>
      </c>
      <c r="U730" s="4">
        <v>22.7</v>
      </c>
      <c r="V730" s="4">
        <v>2.6</v>
      </c>
      <c r="W730" s="4">
        <v>5.7</v>
      </c>
      <c r="X730" s="4">
        <v>519.92999999999995</v>
      </c>
      <c r="Y730" s="7">
        <f t="shared" ca="1" si="14"/>
        <v>-404.17999999999995</v>
      </c>
    </row>
    <row r="731" spans="1:25" ht="15" x14ac:dyDescent="0.25">
      <c r="A731" s="4">
        <v>538</v>
      </c>
      <c r="C731" s="12" t="s">
        <v>2005</v>
      </c>
      <c r="D731" s="12" t="s">
        <v>2006</v>
      </c>
      <c r="E731" s="5" t="str">
        <f t="shared" si="10"/>
        <v>https://www.screener.in/company/NOCIL/consolidated/</v>
      </c>
      <c r="F731" s="4">
        <v>443059</v>
      </c>
      <c r="G731" s="4">
        <v>3832241897</v>
      </c>
      <c r="H731" s="6">
        <f t="shared" ca="1" si="11"/>
        <v>69593.51284951999</v>
      </c>
      <c r="I731" s="7" t="str">
        <f ca="1">IFERROR(__xludf.DUMMYFUNCTION("IMPORTXML(E731,""/html/body/main/div[3]/div[3]/div[2]/ul/li[5]/span[2]/span"")"),"Loading...")</f>
        <v>Loading...</v>
      </c>
      <c r="J731" s="7">
        <f ca="1">IFERROR(__xludf.DUMMYFUNCTION("GOOGLEFINANCE(""NSE:""&amp;D731,""marketcap"")"),30238190000)</f>
        <v>30238190000</v>
      </c>
      <c r="K731" s="7">
        <v>992.8</v>
      </c>
      <c r="L731" s="8">
        <f ca="1">IFERROR(__xludf.DUMMYFUNCTION("GOOGLEFINANCE(""NSE:""&amp;D731,""price"")"),181.6)</f>
        <v>181.6</v>
      </c>
      <c r="M731" s="9">
        <f t="shared" ca="1" si="12"/>
        <v>-811.19999999999993</v>
      </c>
      <c r="N731" s="10">
        <f t="shared" ca="1" si="13"/>
        <v>-81.708299758259457</v>
      </c>
      <c r="O731" s="7">
        <f ca="1">IFERROR(__xludf.DUMMYFUNCTION("GOOGLEFINANCE(""NSE:""&amp;D731,""pe"")"),32.66)</f>
        <v>32.659999999999997</v>
      </c>
      <c r="P731" s="7">
        <f ca="1">IFERROR(__xludf.DUMMYFUNCTION("GOOGLEFINANCE(""NSE:""&amp;D731,""EPS"")"),5.56)</f>
        <v>5.56</v>
      </c>
      <c r="Q731" s="7">
        <v>13.5</v>
      </c>
      <c r="R731" s="7" t="str">
        <f ca="1">IFERROR(__xludf.DUMMYFUNCTION("IMPORTXML(E731,""/html/body/main/div[3]/div[3]/div[2]/ul/li[7]/span[2]/span"")"),"Loading...")</f>
        <v>Loading...</v>
      </c>
      <c r="S731" s="7" t="str">
        <f ca="1">IFERROR(__xludf.DUMMYFUNCTION("IMPORTXML(E731,""/html/body/main/div[3]/div[3]/div[2]/ul/li[8]/span[2]/span"")"),"Loading...")</f>
        <v>Loading...</v>
      </c>
      <c r="T731" s="4">
        <v>34.6</v>
      </c>
      <c r="U731" s="4">
        <v>22.7</v>
      </c>
      <c r="V731" s="4">
        <v>2.6</v>
      </c>
      <c r="W731" s="4">
        <v>5.7</v>
      </c>
      <c r="X731" s="4">
        <v>519.92999999999995</v>
      </c>
      <c r="Y731" s="7">
        <f t="shared" ca="1" si="14"/>
        <v>-338.32999999999993</v>
      </c>
    </row>
    <row r="732" spans="1:25" ht="15" x14ac:dyDescent="0.25">
      <c r="A732" s="4">
        <v>3144</v>
      </c>
      <c r="C732" s="12" t="s">
        <v>2007</v>
      </c>
      <c r="D732" s="12" t="s">
        <v>2008</v>
      </c>
      <c r="E732" s="5" t="str">
        <f t="shared" si="10"/>
        <v>https://www.screener.in/company/MITTAL/consolidated/</v>
      </c>
      <c r="F732" s="4">
        <v>443059</v>
      </c>
      <c r="G732" s="4">
        <v>3832241897</v>
      </c>
      <c r="H732" s="6">
        <f t="shared" ca="1" si="11"/>
        <v>609.326461623</v>
      </c>
      <c r="I732" s="7" t="str">
        <f ca="1">IFERROR(__xludf.DUMMYFUNCTION("IMPORTXML(E732,""/html/body/main/div[3]/div[3]/div[2]/ul/li[5]/span[2]/span"")"),"Loading...")</f>
        <v>Loading...</v>
      </c>
      <c r="J732" s="7">
        <f ca="1">IFERROR(__xludf.DUMMYFUNCTION("GOOGLEFINANCE(""NSE:""&amp;D732,""marketcap"")"),705802127)</f>
        <v>705802127</v>
      </c>
      <c r="K732" s="7">
        <v>992.8</v>
      </c>
      <c r="L732" s="8">
        <f ca="1">IFERROR(__xludf.DUMMYFUNCTION("GOOGLEFINANCE(""NSE:""&amp;D732,""price"")"),1.59)</f>
        <v>1.59</v>
      </c>
      <c r="M732" s="9">
        <f t="shared" ca="1" si="12"/>
        <v>-991.20999999999992</v>
      </c>
      <c r="N732" s="10">
        <f t="shared" ca="1" si="13"/>
        <v>-99.839846897663179</v>
      </c>
      <c r="O732" s="7">
        <f ca="1">IFERROR(__xludf.DUMMYFUNCTION("GOOGLEFINANCE(""NSE:""&amp;D732,""pe"")"),35.91)</f>
        <v>35.909999999999997</v>
      </c>
      <c r="P732" s="7">
        <f ca="1">IFERROR(__xludf.DUMMYFUNCTION("GOOGLEFINANCE(""NSE:""&amp;D732,""EPS"")"),0.04)</f>
        <v>0.04</v>
      </c>
      <c r="Q732" s="7">
        <v>13.5</v>
      </c>
      <c r="R732" s="7" t="str">
        <f ca="1">IFERROR(__xludf.DUMMYFUNCTION("IMPORTXML(E732,""/html/body/main/div[3]/div[3]/div[2]/ul/li[7]/span[2]/span"")"),"Loading...")</f>
        <v>Loading...</v>
      </c>
      <c r="S732" s="7" t="str">
        <f ca="1">IFERROR(__xludf.DUMMYFUNCTION("IMPORTXML(E732,""/html/body/main/div[3]/div[3]/div[2]/ul/li[8]/span[2]/span"")"),"Loading...")</f>
        <v>Loading...</v>
      </c>
      <c r="T732" s="4">
        <v>34.6</v>
      </c>
      <c r="U732" s="4">
        <v>22.7</v>
      </c>
      <c r="V732" s="4">
        <v>2.6</v>
      </c>
      <c r="W732" s="4">
        <v>5.7</v>
      </c>
      <c r="X732" s="4">
        <v>519.92999999999995</v>
      </c>
      <c r="Y732" s="7">
        <f t="shared" ca="1" si="14"/>
        <v>-518.33999999999992</v>
      </c>
    </row>
    <row r="733" spans="1:25" ht="15" x14ac:dyDescent="0.25">
      <c r="A733" s="4">
        <v>278</v>
      </c>
      <c r="C733" s="12" t="s">
        <v>2009</v>
      </c>
      <c r="D733" s="12" t="s">
        <v>2010</v>
      </c>
      <c r="E733" s="5" t="str">
        <f t="shared" si="10"/>
        <v>https://www.screener.in/company/RCF/consolidated/</v>
      </c>
      <c r="F733" s="4">
        <v>443059</v>
      </c>
      <c r="G733" s="4">
        <v>3832241897</v>
      </c>
      <c r="H733" s="6">
        <f t="shared" ca="1" si="11"/>
        <v>60319.487458780008</v>
      </c>
      <c r="I733" s="7" t="str">
        <f ca="1">IFERROR(__xludf.DUMMYFUNCTION("IMPORTXML(E733,""/html/body/main/div[3]/div[3]/div[2]/ul/li[5]/span[2]/span"")"),"Loading...")</f>
        <v>Loading...</v>
      </c>
      <c r="J733" s="7">
        <f ca="1">IFERROR(__xludf.DUMMYFUNCTION("GOOGLEFINANCE(""NSE:""&amp;D733,""marketcap"")"),86835703572)</f>
        <v>86835703572</v>
      </c>
      <c r="K733" s="7">
        <v>992.8</v>
      </c>
      <c r="L733" s="8">
        <f ca="1">IFERROR(__xludf.DUMMYFUNCTION("GOOGLEFINANCE(""NSE:""&amp;D733,""price"")"),157.4)</f>
        <v>157.4</v>
      </c>
      <c r="M733" s="9">
        <f t="shared" ca="1" si="12"/>
        <v>-835.4</v>
      </c>
      <c r="N733" s="10">
        <f t="shared" ca="1" si="13"/>
        <v>-84.145850120870264</v>
      </c>
      <c r="O733" s="7">
        <f ca="1">IFERROR(__xludf.DUMMYFUNCTION("GOOGLEFINANCE(""NSE:""&amp;D733,""pe"")"),30.39)</f>
        <v>30.39</v>
      </c>
      <c r="P733" s="7">
        <f ca="1">IFERROR(__xludf.DUMMYFUNCTION("GOOGLEFINANCE(""NSE:""&amp;D733,""EPS"")"),5.18)</f>
        <v>5.18</v>
      </c>
      <c r="Q733" s="7">
        <v>13.5</v>
      </c>
      <c r="R733" s="7" t="str">
        <f ca="1">IFERROR(__xludf.DUMMYFUNCTION("IMPORTXML(E733,""/html/body/main/div[3]/div[3]/div[2]/ul/li[7]/span[2]/span"")"),"Loading...")</f>
        <v>Loading...</v>
      </c>
      <c r="S733" s="7" t="str">
        <f ca="1">IFERROR(__xludf.DUMMYFUNCTION("IMPORTXML(E733,""/html/body/main/div[3]/div[3]/div[2]/ul/li[8]/span[2]/span"")"),"Loading...")</f>
        <v>Loading...</v>
      </c>
      <c r="T733" s="4">
        <v>34.6</v>
      </c>
      <c r="U733" s="4">
        <v>22.7</v>
      </c>
      <c r="V733" s="4">
        <v>2.6</v>
      </c>
      <c r="W733" s="4">
        <v>5.7</v>
      </c>
      <c r="X733" s="4">
        <v>519.92999999999995</v>
      </c>
      <c r="Y733" s="7">
        <f t="shared" ca="1" si="14"/>
        <v>-362.53</v>
      </c>
    </row>
    <row r="734" spans="1:25" ht="15" x14ac:dyDescent="0.25">
      <c r="A734" s="4">
        <v>199</v>
      </c>
      <c r="C734" s="12" t="s">
        <v>2011</v>
      </c>
      <c r="D734" s="12" t="s">
        <v>2012</v>
      </c>
      <c r="E734" s="5" t="str">
        <f t="shared" si="10"/>
        <v>https://www.screener.in/company/ECLERX/consolidated/</v>
      </c>
      <c r="F734" s="4">
        <v>443059</v>
      </c>
      <c r="G734" s="4">
        <v>3832241897</v>
      </c>
      <c r="H734" s="6">
        <f t="shared" ca="1" si="11"/>
        <v>1639433.0835366</v>
      </c>
      <c r="I734" s="7" t="str">
        <f ca="1">IFERROR(__xludf.DUMMYFUNCTION("IMPORTXML(E734,""/html/body/main/div[3]/div[3]/div[2]/ul/li[5]/span[2]/span"")"),"Loading...")</f>
        <v>Loading...</v>
      </c>
      <c r="J734" s="7">
        <f ca="1">IFERROR(__xludf.DUMMYFUNCTION("GOOGLEFINANCE(""NSE:""&amp;D734,""marketcap"")"),203394056488)</f>
        <v>203394056488</v>
      </c>
      <c r="K734" s="7">
        <v>992.8</v>
      </c>
      <c r="L734" s="8">
        <f ca="1">IFERROR(__xludf.DUMMYFUNCTION("GOOGLEFINANCE(""NSE:""&amp;D734,""price"")"),4278)</f>
        <v>4278</v>
      </c>
      <c r="M734" s="9">
        <f t="shared" ca="1" si="12"/>
        <v>3285.2</v>
      </c>
      <c r="N734" s="10">
        <f t="shared" ca="1" si="13"/>
        <v>330.90249798549559</v>
      </c>
      <c r="O734" s="7">
        <f ca="1">IFERROR(__xludf.DUMMYFUNCTION("GOOGLEFINANCE(""NSE:""&amp;D734,""pe"")"),35.92)</f>
        <v>35.92</v>
      </c>
      <c r="P734" s="7">
        <f ca="1">IFERROR(__xludf.DUMMYFUNCTION("GOOGLEFINANCE(""NSE:""&amp;D734,""EPS"")"),119.1)</f>
        <v>119.1</v>
      </c>
      <c r="Q734" s="7">
        <v>13.5</v>
      </c>
      <c r="R734" s="7" t="str">
        <f ca="1">IFERROR(__xludf.DUMMYFUNCTION("IMPORTXML(E734,""/html/body/main/div[3]/div[3]/div[2]/ul/li[7]/span[2]/span"")"),"Loading...")</f>
        <v>Loading...</v>
      </c>
      <c r="S734" s="7" t="str">
        <f ca="1">IFERROR(__xludf.DUMMYFUNCTION("IMPORTXML(E734,""/html/body/main/div[3]/div[3]/div[2]/ul/li[8]/span[2]/span"")"),"Loading...")</f>
        <v>Loading...</v>
      </c>
      <c r="T734" s="4">
        <v>34.6</v>
      </c>
      <c r="U734" s="4">
        <v>22.7</v>
      </c>
      <c r="V734" s="4">
        <v>2.6</v>
      </c>
      <c r="W734" s="4">
        <v>5.7</v>
      </c>
      <c r="X734" s="4">
        <v>519.92999999999995</v>
      </c>
      <c r="Y734" s="7">
        <f t="shared" ca="1" si="14"/>
        <v>3758.07</v>
      </c>
    </row>
    <row r="735" spans="1:25" ht="15" x14ac:dyDescent="0.25">
      <c r="A735" s="4">
        <v>1267</v>
      </c>
      <c r="C735" s="12" t="s">
        <v>2013</v>
      </c>
      <c r="D735" s="12" t="s">
        <v>2014</v>
      </c>
      <c r="E735" s="5" t="str">
        <f t="shared" si="10"/>
        <v>https://www.screener.in/company/ONWARDTEC/consolidated/</v>
      </c>
      <c r="F735" s="4">
        <v>443059</v>
      </c>
      <c r="G735" s="4">
        <v>3832241897</v>
      </c>
      <c r="H735" s="6">
        <f t="shared" ca="1" si="11"/>
        <v>128380.1035495</v>
      </c>
      <c r="I735" s="7" t="str">
        <f ca="1">IFERROR(__xludf.DUMMYFUNCTION("IMPORTXML(E735,""/html/body/main/div[3]/div[3]/div[2]/ul/li[5]/span[2]/span"")"),"Loading...")</f>
        <v>Loading...</v>
      </c>
      <c r="J735" s="7">
        <f ca="1">IFERROR(__xludf.DUMMYFUNCTION("GOOGLEFINANCE(""NSE:""&amp;D735,""marketcap"")"),7534974000)</f>
        <v>7534974000</v>
      </c>
      <c r="K735" s="7">
        <v>992.8</v>
      </c>
      <c r="L735" s="8">
        <f ca="1">IFERROR(__xludf.DUMMYFUNCTION("GOOGLEFINANCE(""NSE:""&amp;D735,""price"")"),335)</f>
        <v>335</v>
      </c>
      <c r="M735" s="9">
        <f t="shared" ca="1" si="12"/>
        <v>-657.8</v>
      </c>
      <c r="N735" s="10">
        <f t="shared" ca="1" si="13"/>
        <v>-66.257050765511678</v>
      </c>
      <c r="O735" s="7">
        <f ca="1">IFERROR(__xludf.DUMMYFUNCTION("GOOGLEFINANCE(""NSE:""&amp;D735,""pe"")"),23.42)</f>
        <v>23.42</v>
      </c>
      <c r="P735" s="7">
        <f ca="1">IFERROR(__xludf.DUMMYFUNCTION("GOOGLEFINANCE(""NSE:""&amp;D735,""EPS"")"),14.3)</f>
        <v>14.3</v>
      </c>
      <c r="Q735" s="7">
        <v>13.5</v>
      </c>
      <c r="R735" s="7" t="str">
        <f ca="1">IFERROR(__xludf.DUMMYFUNCTION("IMPORTXML(E735,""/html/body/main/div[3]/div[3]/div[2]/ul/li[7]/span[2]/span"")"),"Loading...")</f>
        <v>Loading...</v>
      </c>
      <c r="S735" s="7" t="str">
        <f ca="1">IFERROR(__xludf.DUMMYFUNCTION("IMPORTXML(E735,""/html/body/main/div[3]/div[3]/div[2]/ul/li[8]/span[2]/span"")"),"Loading...")</f>
        <v>Loading...</v>
      </c>
      <c r="T735" s="4">
        <v>34.6</v>
      </c>
      <c r="U735" s="4">
        <v>22.7</v>
      </c>
      <c r="V735" s="4">
        <v>2.6</v>
      </c>
      <c r="W735" s="4">
        <v>5.7</v>
      </c>
      <c r="X735" s="4">
        <v>519.92999999999995</v>
      </c>
      <c r="Y735" s="7">
        <f t="shared" ca="1" si="14"/>
        <v>-184.92999999999995</v>
      </c>
    </row>
    <row r="736" spans="1:25" ht="15" x14ac:dyDescent="0.25">
      <c r="A736" s="4">
        <v>269</v>
      </c>
      <c r="C736" s="12" t="s">
        <v>2015</v>
      </c>
      <c r="D736" s="12" t="s">
        <v>2016</v>
      </c>
      <c r="E736" s="5" t="str">
        <f t="shared" si="10"/>
        <v>https://www.screener.in/company/QUESS/consolidated/</v>
      </c>
      <c r="F736" s="4">
        <v>443059</v>
      </c>
      <c r="G736" s="4">
        <v>3832241897</v>
      </c>
      <c r="H736" s="6">
        <f t="shared" ca="1" si="11"/>
        <v>101937.6344602</v>
      </c>
      <c r="I736" s="7" t="str">
        <f ca="1">IFERROR(__xludf.DUMMYFUNCTION("IMPORTXML(E736,""/html/body/main/div[3]/div[3]/div[2]/ul/li[5]/span[2]/span"")"),"Loading...")</f>
        <v>Loading...</v>
      </c>
      <c r="J736" s="7">
        <f ca="1">IFERROR(__xludf.DUMMYFUNCTION("GOOGLEFINANCE(""NSE:""&amp;D736,""marketcap"")"),39289861134)</f>
        <v>39289861134</v>
      </c>
      <c r="K736" s="7">
        <v>992.8</v>
      </c>
      <c r="L736" s="8">
        <f ca="1">IFERROR(__xludf.DUMMYFUNCTION("GOOGLEFINANCE(""NSE:""&amp;D736,""price"")"),266)</f>
        <v>266</v>
      </c>
      <c r="M736" s="9">
        <f t="shared" ca="1" si="12"/>
        <v>-726.8</v>
      </c>
      <c r="N736" s="10">
        <f t="shared" ca="1" si="13"/>
        <v>-73.20709105560033</v>
      </c>
      <c r="O736" s="7">
        <f ca="1">IFERROR(__xludf.DUMMYFUNCTION("GOOGLEFINANCE(""NSE:""&amp;D736,""pe"")"),31.4)</f>
        <v>31.4</v>
      </c>
      <c r="P736" s="7">
        <f ca="1">IFERROR(__xludf.DUMMYFUNCTION("GOOGLEFINANCE(""NSE:""&amp;D736,""EPS"")"),8.47)</f>
        <v>8.4700000000000006</v>
      </c>
      <c r="Q736" s="7">
        <v>13.5</v>
      </c>
      <c r="R736" s="7" t="str">
        <f ca="1">IFERROR(__xludf.DUMMYFUNCTION("IMPORTXML(E736,""/html/body/main/div[3]/div[3]/div[2]/ul/li[7]/span[2]/span"")"),"Loading...")</f>
        <v>Loading...</v>
      </c>
      <c r="S736" s="7" t="str">
        <f ca="1">IFERROR(__xludf.DUMMYFUNCTION("IMPORTXML(E736,""/html/body/main/div[3]/div[3]/div[2]/ul/li[8]/span[2]/span"")"),"Loading...")</f>
        <v>Loading...</v>
      </c>
      <c r="T736" s="4">
        <v>34.6</v>
      </c>
      <c r="U736" s="4">
        <v>22.7</v>
      </c>
      <c r="V736" s="4">
        <v>2.6</v>
      </c>
      <c r="W736" s="4">
        <v>5.7</v>
      </c>
      <c r="X736" s="4">
        <v>519.92999999999995</v>
      </c>
      <c r="Y736" s="7">
        <f t="shared" ca="1" si="14"/>
        <v>-253.92999999999995</v>
      </c>
    </row>
    <row r="737" spans="1:25" ht="15" x14ac:dyDescent="0.25">
      <c r="A737" s="4">
        <v>2850</v>
      </c>
      <c r="C737" s="12" t="s">
        <v>2017</v>
      </c>
      <c r="D737" s="12" t="s">
        <v>2018</v>
      </c>
      <c r="E737" s="5" t="str">
        <f t="shared" si="10"/>
        <v>https://www.screener.in/company/AKASH/consolidated/</v>
      </c>
      <c r="F737" s="4">
        <v>443059</v>
      </c>
      <c r="G737" s="4">
        <v>3832241897</v>
      </c>
      <c r="H737" s="6">
        <f t="shared" ca="1" si="11"/>
        <v>10140.112059462001</v>
      </c>
      <c r="I737" s="7" t="str">
        <f ca="1">IFERROR(__xludf.DUMMYFUNCTION("IMPORTXML(E737,""/html/body/main/div[3]/div[3]/div[2]/ul/li[5]/span[2]/span"")"),"Loading...")</f>
        <v>Loading...</v>
      </c>
      <c r="J737" s="7">
        <f ca="1">IFERROR(__xludf.DUMMYFUNCTION("GOOGLEFINANCE(""NSE:""&amp;D737,""marketcap"")"),443821900)</f>
        <v>443821900</v>
      </c>
      <c r="K737" s="7">
        <v>992.8</v>
      </c>
      <c r="L737" s="8">
        <f ca="1">IFERROR(__xludf.DUMMYFUNCTION("GOOGLEFINANCE(""NSE:""&amp;D737,""price"")"),26.46)</f>
        <v>26.46</v>
      </c>
      <c r="M737" s="9">
        <f t="shared" ca="1" si="12"/>
        <v>-966.33999999999992</v>
      </c>
      <c r="N737" s="10">
        <f t="shared" ca="1" si="13"/>
        <v>-97.334810636583398</v>
      </c>
      <c r="O737" s="7">
        <f ca="1">IFERROR(__xludf.DUMMYFUNCTION("GOOGLEFINANCE(""NSE:""&amp;D737,""pe"")"),63.76)</f>
        <v>63.76</v>
      </c>
      <c r="P737" s="7">
        <f ca="1">IFERROR(__xludf.DUMMYFUNCTION("GOOGLEFINANCE(""NSE:""&amp;D737,""EPS"")"),0.41)</f>
        <v>0.41</v>
      </c>
      <c r="Q737" s="7">
        <v>13.5</v>
      </c>
      <c r="R737" s="7" t="str">
        <f ca="1">IFERROR(__xludf.DUMMYFUNCTION("IMPORTXML(E737,""/html/body/main/div[3]/div[3]/div[2]/ul/li[7]/span[2]/span"")"),"Loading...")</f>
        <v>Loading...</v>
      </c>
      <c r="S737" s="7" t="str">
        <f ca="1">IFERROR(__xludf.DUMMYFUNCTION("IMPORTXML(E737,""/html/body/main/div[3]/div[3]/div[2]/ul/li[8]/span[2]/span"")"),"Loading...")</f>
        <v>Loading...</v>
      </c>
      <c r="T737" s="4">
        <v>34.6</v>
      </c>
      <c r="U737" s="4">
        <v>22.7</v>
      </c>
      <c r="V737" s="4">
        <v>2.6</v>
      </c>
      <c r="W737" s="4">
        <v>5.7</v>
      </c>
      <c r="X737" s="4">
        <v>519.92999999999995</v>
      </c>
      <c r="Y737" s="7">
        <f t="shared" ca="1" si="14"/>
        <v>-493.46999999999997</v>
      </c>
    </row>
    <row r="738" spans="1:25" ht="15" x14ac:dyDescent="0.25">
      <c r="A738" s="4">
        <v>151</v>
      </c>
      <c r="C738" s="12" t="s">
        <v>2019</v>
      </c>
      <c r="D738" s="12" t="s">
        <v>2020</v>
      </c>
      <c r="E738" s="5" t="str">
        <f t="shared" si="10"/>
        <v>https://www.screener.in/company/ZENSARTECH/consolidated/</v>
      </c>
      <c r="F738" s="4">
        <v>443059</v>
      </c>
      <c r="G738" s="4">
        <v>3832241897</v>
      </c>
      <c r="H738" s="6">
        <f t="shared" ca="1" si="11"/>
        <v>297056.23064595496</v>
      </c>
      <c r="I738" s="7" t="str">
        <f ca="1">IFERROR(__xludf.DUMMYFUNCTION("IMPORTXML(E738,""/html/body/main/div[3]/div[3]/div[2]/ul/li[5]/span[2]/span"")"),"Loading...")</f>
        <v>Loading...</v>
      </c>
      <c r="J738" s="7">
        <f ca="1">IFERROR(__xludf.DUMMYFUNCTION("GOOGLEFINANCE(""NSE:""&amp;D738,""marketcap"")"),176131448907)</f>
        <v>176131448907</v>
      </c>
      <c r="K738" s="7">
        <v>992.8</v>
      </c>
      <c r="L738" s="8">
        <f ca="1">IFERROR(__xludf.DUMMYFUNCTION("GOOGLEFINANCE(""NSE:""&amp;D738,""price"")"),775.15)</f>
        <v>775.15</v>
      </c>
      <c r="M738" s="9">
        <f t="shared" ca="1" si="12"/>
        <v>-217.64999999999998</v>
      </c>
      <c r="N738" s="10">
        <f t="shared" ca="1" si="13"/>
        <v>-21.922844480257854</v>
      </c>
      <c r="O738" s="7">
        <f ca="1">IFERROR(__xludf.DUMMYFUNCTION("GOOGLEFINANCE(""NSE:""&amp;D738,""pe"")"),26.35)</f>
        <v>26.35</v>
      </c>
      <c r="P738" s="7">
        <f ca="1">IFERROR(__xludf.DUMMYFUNCTION("GOOGLEFINANCE(""NSE:""&amp;D738,""EPS"")"),29.42)</f>
        <v>29.42</v>
      </c>
      <c r="Q738" s="7">
        <v>13.5</v>
      </c>
      <c r="R738" s="7" t="str">
        <f ca="1">IFERROR(__xludf.DUMMYFUNCTION("IMPORTXML(E738,""/html/body/main/div[3]/div[3]/div[2]/ul/li[7]/span[2]/span"")"),"Loading...")</f>
        <v>Loading...</v>
      </c>
      <c r="S738" s="7" t="str">
        <f ca="1">IFERROR(__xludf.DUMMYFUNCTION("IMPORTXML(E738,""/html/body/main/div[3]/div[3]/div[2]/ul/li[8]/span[2]/span"")"),"Loading...")</f>
        <v>Loading...</v>
      </c>
      <c r="T738" s="4">
        <v>34.6</v>
      </c>
      <c r="U738" s="4">
        <v>22.7</v>
      </c>
      <c r="V738" s="4">
        <v>2.6</v>
      </c>
      <c r="W738" s="4">
        <v>5.7</v>
      </c>
      <c r="X738" s="4">
        <v>519.92999999999995</v>
      </c>
      <c r="Y738" s="7">
        <f t="shared" ca="1" si="14"/>
        <v>255.22000000000003</v>
      </c>
    </row>
    <row r="739" spans="1:25" ht="15" x14ac:dyDescent="0.25">
      <c r="A739" s="4">
        <v>651</v>
      </c>
      <c r="C739" s="12" t="s">
        <v>2021</v>
      </c>
      <c r="D739" s="12" t="s">
        <v>2022</v>
      </c>
      <c r="E739" s="5" t="str">
        <f t="shared" si="10"/>
        <v>https://www.screener.in/company/SEAMECLTD/consolidated/</v>
      </c>
      <c r="F739" s="4">
        <v>443059</v>
      </c>
      <c r="G739" s="4">
        <v>3832241897</v>
      </c>
      <c r="H739" s="6">
        <f t="shared" ca="1" si="11"/>
        <v>356360.17400202999</v>
      </c>
      <c r="I739" s="7" t="str">
        <f ca="1">IFERROR(__xludf.DUMMYFUNCTION("IMPORTXML(E739,""/html/body/main/div[3]/div[3]/div[2]/ul/li[5]/span[2]/span"")"),"Loading...")</f>
        <v>Loading...</v>
      </c>
      <c r="J739" s="7">
        <f ca="1">IFERROR(__xludf.DUMMYFUNCTION("GOOGLEFINANCE(""NSE:""&amp;D739,""marketcap"")"),23551180000)</f>
        <v>23551180000</v>
      </c>
      <c r="K739" s="7">
        <v>992.8</v>
      </c>
      <c r="L739" s="8">
        <f ca="1">IFERROR(__xludf.DUMMYFUNCTION("GOOGLEFINANCE(""NSE:""&amp;D739,""price"")"),929.9)</f>
        <v>929.9</v>
      </c>
      <c r="M739" s="9">
        <f t="shared" ca="1" si="12"/>
        <v>-62.899999999999977</v>
      </c>
      <c r="N739" s="10">
        <f t="shared" ca="1" si="13"/>
        <v>-6.335616438356162</v>
      </c>
      <c r="O739" s="7">
        <f ca="1">IFERROR(__xludf.DUMMYFUNCTION("GOOGLEFINANCE(""NSE:""&amp;D739,""pe"")"),20.46)</f>
        <v>20.46</v>
      </c>
      <c r="P739" s="7">
        <f ca="1">IFERROR(__xludf.DUMMYFUNCTION("GOOGLEFINANCE(""NSE:""&amp;D739,""EPS"")"),45.44)</f>
        <v>45.44</v>
      </c>
      <c r="Q739" s="7">
        <v>13.5</v>
      </c>
      <c r="R739" s="7" t="str">
        <f ca="1">IFERROR(__xludf.DUMMYFUNCTION("IMPORTXML(E739,""/html/body/main/div[3]/div[3]/div[2]/ul/li[7]/span[2]/span"")"),"Loading...")</f>
        <v>Loading...</v>
      </c>
      <c r="S739" s="7" t="str">
        <f ca="1">IFERROR(__xludf.DUMMYFUNCTION("IMPORTXML(E739,""/html/body/main/div[3]/div[3]/div[2]/ul/li[8]/span[2]/span"")"),"Loading...")</f>
        <v>Loading...</v>
      </c>
      <c r="T739" s="4">
        <v>34.6</v>
      </c>
      <c r="U739" s="4">
        <v>22.7</v>
      </c>
      <c r="V739" s="4">
        <v>2.6</v>
      </c>
      <c r="W739" s="4">
        <v>5.7</v>
      </c>
      <c r="X739" s="4">
        <v>519.92999999999995</v>
      </c>
      <c r="Y739" s="7">
        <f t="shared" ca="1" si="14"/>
        <v>409.97</v>
      </c>
    </row>
    <row r="740" spans="1:25" ht="15" x14ac:dyDescent="0.25">
      <c r="A740" s="4">
        <v>719</v>
      </c>
      <c r="C740" s="12" t="s">
        <v>2023</v>
      </c>
      <c r="D740" s="12" t="s">
        <v>2024</v>
      </c>
      <c r="E740" s="5" t="str">
        <f t="shared" si="10"/>
        <v>https://www.screener.in/company/SOMANYCERA/consolidated/</v>
      </c>
      <c r="F740" s="4">
        <v>443059</v>
      </c>
      <c r="G740" s="4">
        <v>3832241897</v>
      </c>
      <c r="H740" s="6">
        <f t="shared" ca="1" si="11"/>
        <v>178199.24821049999</v>
      </c>
      <c r="I740" s="7" t="str">
        <f ca="1">IFERROR(__xludf.DUMMYFUNCTION("IMPORTXML(E740,""/html/body/main/div[3]/div[3]/div[2]/ul/li[5]/span[2]/span"")"),"Loading...")</f>
        <v>Loading...</v>
      </c>
      <c r="J740" s="7">
        <f ca="1">IFERROR(__xludf.DUMMYFUNCTION("GOOGLEFINANCE(""NSE:""&amp;D740,""marketcap"")"),19077110000)</f>
        <v>19077110000</v>
      </c>
      <c r="K740" s="7">
        <v>992.8</v>
      </c>
      <c r="L740" s="8">
        <f ca="1">IFERROR(__xludf.DUMMYFUNCTION("GOOGLEFINANCE(""NSE:""&amp;D740,""price"")"),465)</f>
        <v>465</v>
      </c>
      <c r="M740" s="9">
        <f t="shared" ca="1" si="12"/>
        <v>-527.79999999999995</v>
      </c>
      <c r="N740" s="10">
        <f t="shared" ca="1" si="13"/>
        <v>-53.162771958098311</v>
      </c>
      <c r="O740" s="7">
        <f ca="1">IFERROR(__xludf.DUMMYFUNCTION("GOOGLEFINANCE(""NSE:""&amp;D740,""pe"")"),32.82)</f>
        <v>32.82</v>
      </c>
      <c r="P740" s="7">
        <f ca="1">IFERROR(__xludf.DUMMYFUNCTION("GOOGLEFINANCE(""NSE:""&amp;D740,""EPS"")"),14.17)</f>
        <v>14.17</v>
      </c>
      <c r="Q740" s="7">
        <v>13.5</v>
      </c>
      <c r="R740" s="7" t="str">
        <f ca="1">IFERROR(__xludf.DUMMYFUNCTION("IMPORTXML(E740,""/html/body/main/div[3]/div[3]/div[2]/ul/li[7]/span[2]/span"")"),"Loading...")</f>
        <v>Loading...</v>
      </c>
      <c r="S740" s="7" t="str">
        <f ca="1">IFERROR(__xludf.DUMMYFUNCTION("IMPORTXML(E740,""/html/body/main/div[3]/div[3]/div[2]/ul/li[8]/span[2]/span"")"),"Loading...")</f>
        <v>Loading...</v>
      </c>
      <c r="T740" s="4">
        <v>34.6</v>
      </c>
      <c r="U740" s="4">
        <v>22.7</v>
      </c>
      <c r="V740" s="4">
        <v>2.6</v>
      </c>
      <c r="W740" s="4">
        <v>5.7</v>
      </c>
      <c r="X740" s="4">
        <v>519.92999999999995</v>
      </c>
      <c r="Y740" s="7">
        <f t="shared" ca="1" si="14"/>
        <v>-54.92999999999995</v>
      </c>
    </row>
    <row r="741" spans="1:25" ht="15" x14ac:dyDescent="0.25">
      <c r="A741" s="4">
        <v>1907</v>
      </c>
      <c r="C741" s="12" t="s">
        <v>2025</v>
      </c>
      <c r="D741" s="12" t="s">
        <v>2026</v>
      </c>
      <c r="E741" s="5" t="str">
        <f t="shared" si="10"/>
        <v>https://www.screener.in/company/KANPRPLA/consolidated/</v>
      </c>
      <c r="F741" s="4">
        <v>443059</v>
      </c>
      <c r="G741" s="4">
        <v>3832241897</v>
      </c>
      <c r="H741" s="6">
        <f t="shared" ca="1" si="11"/>
        <v>83807.298045492993</v>
      </c>
      <c r="I741" s="7" t="str">
        <f ca="1">IFERROR(__xludf.DUMMYFUNCTION("IMPORTXML(E741,""/html/body/main/div[3]/div[3]/div[2]/ul/li[5]/span[2]/span"")"),"Loading...")</f>
        <v>Loading...</v>
      </c>
      <c r="J741" s="7">
        <f ca="1">IFERROR(__xludf.DUMMYFUNCTION("GOOGLEFINANCE(""NSE:""&amp;D741,""marketcap"")"),4915003132)</f>
        <v>4915003132</v>
      </c>
      <c r="K741" s="7">
        <v>992.8</v>
      </c>
      <c r="L741" s="8">
        <f ca="1">IFERROR(__xludf.DUMMYFUNCTION("GOOGLEFINANCE(""NSE:""&amp;D741,""price"")"),218.69)</f>
        <v>218.69</v>
      </c>
      <c r="M741" s="9">
        <f t="shared" ca="1" si="12"/>
        <v>-774.1099999999999</v>
      </c>
      <c r="N741" s="10">
        <f t="shared" ca="1" si="13"/>
        <v>-77.972401289282828</v>
      </c>
      <c r="O741" s="7">
        <f ca="1">IFERROR(__xludf.DUMMYFUNCTION("GOOGLEFINANCE(""NSE:""&amp;D741,""pe"")"),27.51)</f>
        <v>27.51</v>
      </c>
      <c r="P741" s="7">
        <f ca="1">IFERROR(__xludf.DUMMYFUNCTION("GOOGLEFINANCE(""NSE:""&amp;D741,""EPS"")"),7.95)</f>
        <v>7.95</v>
      </c>
      <c r="Q741" s="7">
        <v>13.5</v>
      </c>
      <c r="R741" s="7" t="str">
        <f ca="1">IFERROR(__xludf.DUMMYFUNCTION("IMPORTXML(E741,""/html/body/main/div[3]/div[3]/div[2]/ul/li[7]/span[2]/span"")"),"Loading...")</f>
        <v>Loading...</v>
      </c>
      <c r="S741" s="7" t="str">
        <f ca="1">IFERROR(__xludf.DUMMYFUNCTION("IMPORTXML(E741,""/html/body/main/div[3]/div[3]/div[2]/ul/li[8]/span[2]/span"")"),"Loading...")</f>
        <v>Loading...</v>
      </c>
      <c r="T741" s="4">
        <v>34.6</v>
      </c>
      <c r="U741" s="4">
        <v>22.7</v>
      </c>
      <c r="V741" s="4">
        <v>2.6</v>
      </c>
      <c r="W741" s="4">
        <v>5.7</v>
      </c>
      <c r="X741" s="4">
        <v>519.92999999999995</v>
      </c>
      <c r="Y741" s="7">
        <f t="shared" ca="1" si="14"/>
        <v>-301.23999999999995</v>
      </c>
    </row>
    <row r="742" spans="1:25" ht="15" x14ac:dyDescent="0.25">
      <c r="A742" s="4">
        <v>202</v>
      </c>
      <c r="C742" s="12" t="s">
        <v>2027</v>
      </c>
      <c r="D742" s="12" t="s">
        <v>2028</v>
      </c>
      <c r="E742" s="5" t="str">
        <f t="shared" si="10"/>
        <v>https://www.screener.in/company/ELECON/consolidated/</v>
      </c>
      <c r="F742" s="4">
        <v>443059</v>
      </c>
      <c r="G742" s="4">
        <v>3832241897</v>
      </c>
      <c r="H742" s="6">
        <f t="shared" ca="1" si="11"/>
        <v>211578.07513337003</v>
      </c>
      <c r="I742" s="7" t="str">
        <f ca="1">IFERROR(__xludf.DUMMYFUNCTION("IMPORTXML(E742,""/html/body/main/div[3]/div[3]/div[2]/ul/li[5]/span[2]/span"")"),"Loading...")</f>
        <v>Loading...</v>
      </c>
      <c r="J742" s="7">
        <f ca="1">IFERROR(__xludf.DUMMYFUNCTION("GOOGLEFINANCE(""NSE:""&amp;D742,""marketcap"")"),124272700000)</f>
        <v>124272700000</v>
      </c>
      <c r="K742" s="7">
        <v>992.8</v>
      </c>
      <c r="L742" s="8">
        <f ca="1">IFERROR(__xludf.DUMMYFUNCTION("GOOGLEFINANCE(""NSE:""&amp;D742,""price"")"),552.1)</f>
        <v>552.1</v>
      </c>
      <c r="M742" s="9">
        <f t="shared" ca="1" si="12"/>
        <v>-440.69999999999993</v>
      </c>
      <c r="N742" s="10">
        <f t="shared" ca="1" si="13"/>
        <v>-44.389605157131342</v>
      </c>
      <c r="O742" s="7">
        <f ca="1">IFERROR(__xludf.DUMMYFUNCTION("GOOGLEFINANCE(""NSE:""&amp;D742,""pe"")"),23.95)</f>
        <v>23.95</v>
      </c>
      <c r="P742" s="7">
        <f ca="1">IFERROR(__xludf.DUMMYFUNCTION("GOOGLEFINANCE(""NSE:""&amp;D742,""EPS"")"),23.05)</f>
        <v>23.05</v>
      </c>
      <c r="Q742" s="7">
        <v>13.5</v>
      </c>
      <c r="R742" s="7" t="str">
        <f ca="1">IFERROR(__xludf.DUMMYFUNCTION("IMPORTXML(E742,""/html/body/main/div[3]/div[3]/div[2]/ul/li[7]/span[2]/span"")"),"Loading...")</f>
        <v>Loading...</v>
      </c>
      <c r="S742" s="7" t="str">
        <f ca="1">IFERROR(__xludf.DUMMYFUNCTION("IMPORTXML(E742,""/html/body/main/div[3]/div[3]/div[2]/ul/li[8]/span[2]/span"")"),"Loading...")</f>
        <v>Loading...</v>
      </c>
      <c r="T742" s="4">
        <v>34.6</v>
      </c>
      <c r="U742" s="4">
        <v>22.7</v>
      </c>
      <c r="V742" s="4">
        <v>2.6</v>
      </c>
      <c r="W742" s="4">
        <v>5.7</v>
      </c>
      <c r="X742" s="4">
        <v>519.92999999999995</v>
      </c>
      <c r="Y742" s="7">
        <f t="shared" ca="1" si="14"/>
        <v>32.170000000000073</v>
      </c>
    </row>
    <row r="743" spans="1:25" ht="15" x14ac:dyDescent="0.25">
      <c r="A743" s="4">
        <v>551</v>
      </c>
      <c r="C743" s="12" t="s">
        <v>2029</v>
      </c>
      <c r="D743" s="12" t="s">
        <v>2030</v>
      </c>
      <c r="E743" s="5" t="str">
        <f t="shared" si="10"/>
        <v>https://www.screener.in/company/PITTIENG/consolidated/</v>
      </c>
      <c r="F743" s="4">
        <v>443059</v>
      </c>
      <c r="G743" s="4">
        <v>3832241897</v>
      </c>
      <c r="H743" s="6">
        <f t="shared" ca="1" si="11"/>
        <v>349500.4610064</v>
      </c>
      <c r="I743" s="7" t="str">
        <f ca="1">IFERROR(__xludf.DUMMYFUNCTION("IMPORTXML(E743,""/html/body/main/div[3]/div[3]/div[2]/ul/li[5]/span[2]/span"")"),"Loading...")</f>
        <v>Loading...</v>
      </c>
      <c r="J743" s="7">
        <f ca="1">IFERROR(__xludf.DUMMYFUNCTION("GOOGLEFINANCE(""NSE:""&amp;D743,""marketcap"")"),33985862400)</f>
        <v>33985862400</v>
      </c>
      <c r="K743" s="7">
        <v>992.8</v>
      </c>
      <c r="L743" s="8">
        <f ca="1">IFERROR(__xludf.DUMMYFUNCTION("GOOGLEFINANCE(""NSE:""&amp;D743,""price"")"),912)</f>
        <v>912</v>
      </c>
      <c r="M743" s="9">
        <f t="shared" ca="1" si="12"/>
        <v>-80.799999999999955</v>
      </c>
      <c r="N743" s="10">
        <f t="shared" ca="1" si="13"/>
        <v>-8.1385979049153878</v>
      </c>
      <c r="O743" s="7">
        <f ca="1">IFERROR(__xludf.DUMMYFUNCTION("GOOGLEFINANCE(""NSE:""&amp;D743,""pe"")"),27.15)</f>
        <v>27.15</v>
      </c>
      <c r="P743" s="7">
        <f ca="1">IFERROR(__xludf.DUMMYFUNCTION("GOOGLEFINANCE(""NSE:""&amp;D743,""EPS"")"),33.59)</f>
        <v>33.590000000000003</v>
      </c>
      <c r="Q743" s="7">
        <v>13.5</v>
      </c>
      <c r="R743" s="7" t="str">
        <f ca="1">IFERROR(__xludf.DUMMYFUNCTION("IMPORTXML(E743,""/html/body/main/div[3]/div[3]/div[2]/ul/li[7]/span[2]/span"")"),"Loading...")</f>
        <v>Loading...</v>
      </c>
      <c r="S743" s="7" t="str">
        <f ca="1">IFERROR(__xludf.DUMMYFUNCTION("IMPORTXML(E743,""/html/body/main/div[3]/div[3]/div[2]/ul/li[8]/span[2]/span"")"),"Loading...")</f>
        <v>Loading...</v>
      </c>
      <c r="T743" s="4">
        <v>34.6</v>
      </c>
      <c r="U743" s="4">
        <v>22.7</v>
      </c>
      <c r="V743" s="4">
        <v>2.6</v>
      </c>
      <c r="W743" s="4">
        <v>5.7</v>
      </c>
      <c r="X743" s="4">
        <v>519.92999999999995</v>
      </c>
      <c r="Y743" s="7">
        <f t="shared" ca="1" si="14"/>
        <v>392.07000000000005</v>
      </c>
    </row>
    <row r="744" spans="1:25" ht="15" x14ac:dyDescent="0.25">
      <c r="A744" s="4">
        <v>2116</v>
      </c>
      <c r="C744" s="12" t="s">
        <v>2031</v>
      </c>
      <c r="D744" s="12" t="s">
        <v>2032</v>
      </c>
      <c r="E744" s="5" t="str">
        <f t="shared" si="10"/>
        <v>https://www.screener.in/company/GANGESSECU/consolidated/</v>
      </c>
      <c r="F744" s="4">
        <v>443059</v>
      </c>
      <c r="G744" s="4">
        <v>3832241897</v>
      </c>
      <c r="H744" s="6">
        <f t="shared" ca="1" si="11"/>
        <v>60932.6461623</v>
      </c>
      <c r="I744" s="7" t="str">
        <f ca="1">IFERROR(__xludf.DUMMYFUNCTION("IMPORTXML(E744,""/html/body/main/div[3]/div[3]/div[2]/ul/li[5]/span[2]/span"")"),"Loading...")</f>
        <v>Loading...</v>
      </c>
      <c r="J744" s="7">
        <f ca="1">IFERROR(__xludf.DUMMYFUNCTION("GOOGLEFINANCE(""NSE:""&amp;D744,""marketcap"")"),1590585120)</f>
        <v>1590585120</v>
      </c>
      <c r="K744" s="7">
        <v>992.8</v>
      </c>
      <c r="L744" s="8">
        <f ca="1">IFERROR(__xludf.DUMMYFUNCTION("GOOGLEFINANCE(""NSE:""&amp;D744,""price"")"),159)</f>
        <v>159</v>
      </c>
      <c r="M744" s="9">
        <f t="shared" ca="1" si="12"/>
        <v>-833.8</v>
      </c>
      <c r="N744" s="10">
        <f t="shared" ca="1" si="13"/>
        <v>-83.984689766317487</v>
      </c>
      <c r="O744" s="7">
        <f ca="1">IFERROR(__xludf.DUMMYFUNCTION("GOOGLEFINANCE(""NSE:""&amp;D744,""pe"")"),28.55)</f>
        <v>28.55</v>
      </c>
      <c r="P744" s="7">
        <f ca="1">IFERROR(__xludf.DUMMYFUNCTION("GOOGLEFINANCE(""NSE:""&amp;D744,""EPS"")"),5.57)</f>
        <v>5.57</v>
      </c>
      <c r="Q744" s="7">
        <v>13.5</v>
      </c>
      <c r="R744" s="7" t="str">
        <f ca="1">IFERROR(__xludf.DUMMYFUNCTION("IMPORTXML(E744,""/html/body/main/div[3]/div[3]/div[2]/ul/li[7]/span[2]/span"")"),"Loading...")</f>
        <v>Loading...</v>
      </c>
      <c r="S744" s="7" t="str">
        <f ca="1">IFERROR(__xludf.DUMMYFUNCTION("IMPORTXML(E744,""/html/body/main/div[3]/div[3]/div[2]/ul/li[8]/span[2]/span"")"),"Loading...")</f>
        <v>Loading...</v>
      </c>
      <c r="T744" s="4">
        <v>34.6</v>
      </c>
      <c r="U744" s="4">
        <v>22.7</v>
      </c>
      <c r="V744" s="4">
        <v>2.6</v>
      </c>
      <c r="W744" s="4">
        <v>5.7</v>
      </c>
      <c r="X744" s="4">
        <v>519.92999999999995</v>
      </c>
      <c r="Y744" s="7">
        <f t="shared" ca="1" si="14"/>
        <v>-360.92999999999995</v>
      </c>
    </row>
    <row r="745" spans="1:25" ht="15" x14ac:dyDescent="0.25">
      <c r="A745" s="4">
        <v>277</v>
      </c>
      <c r="C745" s="12" t="s">
        <v>2033</v>
      </c>
      <c r="D745" s="12" t="s">
        <v>2034</v>
      </c>
      <c r="E745" s="5" t="str">
        <f t="shared" si="10"/>
        <v>https://www.screener.in/company/GALAXYSURF/consolidated/</v>
      </c>
      <c r="F745" s="4">
        <v>443059</v>
      </c>
      <c r="G745" s="4">
        <v>3832241897</v>
      </c>
      <c r="H745" s="6">
        <f t="shared" ca="1" si="11"/>
        <v>898660.72484649997</v>
      </c>
      <c r="I745" s="7" t="str">
        <f ca="1">IFERROR(__xludf.DUMMYFUNCTION("IMPORTXML(E745,""/html/body/main/div[3]/div[3]/div[2]/ul/li[5]/span[2]/span"")"),"Loading...")</f>
        <v>Loading...</v>
      </c>
      <c r="J745" s="7">
        <f ca="1">IFERROR(__xludf.DUMMYFUNCTION("GOOGLEFINANCE(""NSE:""&amp;D745,""marketcap"")"),83331000000)</f>
        <v>83331000000</v>
      </c>
      <c r="K745" s="7">
        <v>992.8</v>
      </c>
      <c r="L745" s="8">
        <f ca="1">IFERROR(__xludf.DUMMYFUNCTION("GOOGLEFINANCE(""NSE:""&amp;D745,""price"")"),2345)</f>
        <v>2345</v>
      </c>
      <c r="M745" s="9">
        <f t="shared" ca="1" si="12"/>
        <v>1352.2</v>
      </c>
      <c r="N745" s="10">
        <f t="shared" ca="1" si="13"/>
        <v>136.20064464141822</v>
      </c>
      <c r="O745" s="7">
        <f ca="1">IFERROR(__xludf.DUMMYFUNCTION("GOOGLEFINANCE(""NSE:""&amp;D745,""pe"")"),27.29)</f>
        <v>27.29</v>
      </c>
      <c r="P745" s="7">
        <f ca="1">IFERROR(__xludf.DUMMYFUNCTION("GOOGLEFINANCE(""NSE:""&amp;D745,""EPS"")"),85.94)</f>
        <v>85.94</v>
      </c>
      <c r="Q745" s="7">
        <v>13.5</v>
      </c>
      <c r="R745" s="7" t="str">
        <f ca="1">IFERROR(__xludf.DUMMYFUNCTION("IMPORTXML(E745,""/html/body/main/div[3]/div[3]/div[2]/ul/li[7]/span[2]/span"")"),"Loading...")</f>
        <v>Loading...</v>
      </c>
      <c r="S745" s="7" t="str">
        <f ca="1">IFERROR(__xludf.DUMMYFUNCTION("IMPORTXML(E745,""/html/body/main/div[3]/div[3]/div[2]/ul/li[8]/span[2]/span"")"),"Loading...")</f>
        <v>Loading...</v>
      </c>
      <c r="T745" s="4">
        <v>34.6</v>
      </c>
      <c r="U745" s="4">
        <v>22.7</v>
      </c>
      <c r="V745" s="4">
        <v>2.6</v>
      </c>
      <c r="W745" s="4">
        <v>5.7</v>
      </c>
      <c r="X745" s="4">
        <v>519.92999999999995</v>
      </c>
      <c r="Y745" s="7">
        <f t="shared" ca="1" si="14"/>
        <v>1825.0700000000002</v>
      </c>
    </row>
    <row r="746" spans="1:25" ht="15" x14ac:dyDescent="0.25">
      <c r="A746" s="4">
        <v>1032</v>
      </c>
      <c r="C746" s="12" t="s">
        <v>2035</v>
      </c>
      <c r="D746" s="12" t="s">
        <v>2036</v>
      </c>
      <c r="E746" s="5" t="str">
        <f t="shared" si="10"/>
        <v>https://www.screener.in/company/MAMATA/consolidated/</v>
      </c>
      <c r="F746" s="4">
        <v>443059</v>
      </c>
      <c r="G746" s="4">
        <v>3832241897</v>
      </c>
      <c r="H746" s="6">
        <f t="shared" ca="1" si="11"/>
        <v>155589.0210182</v>
      </c>
      <c r="I746" s="7" t="str">
        <f ca="1">IFERROR(__xludf.DUMMYFUNCTION("IMPORTXML(E746,""/html/body/main/div[3]/div[3]/div[2]/ul/li[5]/span[2]/span"")"),"Loading...")</f>
        <v>Loading...</v>
      </c>
      <c r="J746" s="7">
        <f ca="1">IFERROR(__xludf.DUMMYFUNCTION("GOOGLEFINANCE(""NSE:""&amp;D746,""marketcap"")"),9990766800)</f>
        <v>9990766800</v>
      </c>
      <c r="K746" s="7">
        <v>992.8</v>
      </c>
      <c r="L746" s="8">
        <f ca="1">IFERROR(__xludf.DUMMYFUNCTION("GOOGLEFINANCE(""NSE:""&amp;D746,""price"")"),406)</f>
        <v>406</v>
      </c>
      <c r="M746" s="9">
        <f t="shared" ca="1" si="12"/>
        <v>-586.79999999999995</v>
      </c>
      <c r="N746" s="10">
        <f t="shared" ca="1" si="13"/>
        <v>-59.105560032232077</v>
      </c>
      <c r="O746" s="7">
        <f ca="1">IFERROR(__xludf.DUMMYFUNCTION("GOOGLEFINANCE(""NSE:""&amp;D746,""pe"")"),23.13)</f>
        <v>23.13</v>
      </c>
      <c r="P746" s="7">
        <f ca="1">IFERROR(__xludf.DUMMYFUNCTION("GOOGLEFINANCE(""NSE:""&amp;D746,""EPS"")"),17.55)</f>
        <v>17.55</v>
      </c>
      <c r="Q746" s="7">
        <v>13.5</v>
      </c>
      <c r="R746" s="7" t="str">
        <f ca="1">IFERROR(__xludf.DUMMYFUNCTION("IMPORTXML(E746,""/html/body/main/div[3]/div[3]/div[2]/ul/li[7]/span[2]/span"")"),"Loading...")</f>
        <v>Loading...</v>
      </c>
      <c r="S746" s="7" t="str">
        <f ca="1">IFERROR(__xludf.DUMMYFUNCTION("IMPORTXML(E746,""/html/body/main/div[3]/div[3]/div[2]/ul/li[8]/span[2]/span"")"),"Loading...")</f>
        <v>Loading...</v>
      </c>
      <c r="T746" s="4">
        <v>34.6</v>
      </c>
      <c r="U746" s="4">
        <v>22.7</v>
      </c>
      <c r="V746" s="4">
        <v>2.6</v>
      </c>
      <c r="W746" s="4">
        <v>5.7</v>
      </c>
      <c r="X746" s="4">
        <v>519.92999999999995</v>
      </c>
      <c r="Y746" s="7">
        <f t="shared" ca="1" si="14"/>
        <v>-113.92999999999995</v>
      </c>
    </row>
    <row r="747" spans="1:25" ht="15" x14ac:dyDescent="0.25">
      <c r="A747" s="4">
        <v>326</v>
      </c>
      <c r="C747" s="12" t="s">
        <v>2037</v>
      </c>
      <c r="D747" s="12" t="s">
        <v>2038</v>
      </c>
      <c r="E747" s="5" t="str">
        <f t="shared" si="10"/>
        <v>https://www.screener.in/company/ITDCEM/consolidated/</v>
      </c>
      <c r="F747" s="4">
        <v>443059</v>
      </c>
      <c r="G747" s="4">
        <v>3832241897</v>
      </c>
      <c r="H747" s="6">
        <f t="shared" ca="1" si="11"/>
        <v>277760.89269455994</v>
      </c>
      <c r="I747" s="7" t="str">
        <f ca="1">IFERROR(__xludf.DUMMYFUNCTION("IMPORTXML(E747,""/html/body/main/div[3]/div[3]/div[2]/ul/li[5]/span[2]/span"")"),"Loading...")</f>
        <v>Loading...</v>
      </c>
      <c r="J747" s="7">
        <f ca="1">IFERROR(__xludf.DUMMYFUNCTION("GOOGLEFINANCE(""NSE:""&amp;D747,""marketcap"")"),124511577902)</f>
        <v>124511577902</v>
      </c>
      <c r="K747" s="7">
        <v>992.8</v>
      </c>
      <c r="L747" s="8">
        <f ca="1">IFERROR(__xludf.DUMMYFUNCTION("GOOGLEFINANCE(""NSE:""&amp;D747,""price"")"),724.8)</f>
        <v>724.8</v>
      </c>
      <c r="M747" s="9">
        <f t="shared" ca="1" si="12"/>
        <v>-268</v>
      </c>
      <c r="N747" s="10">
        <f t="shared" ca="1" si="13"/>
        <v>-26.994359387590656</v>
      </c>
      <c r="O747" s="7">
        <f ca="1">IFERROR(__xludf.DUMMYFUNCTION("GOOGLEFINANCE(""NSE:""&amp;D747,""pe"")"),30.38)</f>
        <v>30.38</v>
      </c>
      <c r="P747" s="7">
        <f ca="1">IFERROR(__xludf.DUMMYFUNCTION("GOOGLEFINANCE(""NSE:""&amp;D747,""EPS"")"),23.86)</f>
        <v>23.86</v>
      </c>
      <c r="Q747" s="7">
        <v>13.5</v>
      </c>
      <c r="R747" s="7" t="str">
        <f ca="1">IFERROR(__xludf.DUMMYFUNCTION("IMPORTXML(E747,""/html/body/main/div[3]/div[3]/div[2]/ul/li[7]/span[2]/span"")"),"Loading...")</f>
        <v>Loading...</v>
      </c>
      <c r="S747" s="7">
        <f ca="1">IFERROR(__xludf.DUMMYFUNCTION("IMPORTXML(E747,""/html/body/main/div[3]/div[3]/div[2]/ul/li[8]/span[2]/span"")"),21.8)</f>
        <v>21.8</v>
      </c>
      <c r="T747" s="4">
        <v>34.6</v>
      </c>
      <c r="U747" s="4">
        <v>22.7</v>
      </c>
      <c r="V747" s="4">
        <v>2.6</v>
      </c>
      <c r="W747" s="4">
        <v>5.7</v>
      </c>
      <c r="X747" s="4">
        <v>519.92999999999995</v>
      </c>
      <c r="Y747" s="7">
        <f t="shared" ca="1" si="14"/>
        <v>204.87</v>
      </c>
    </row>
    <row r="748" spans="1:25" ht="15" x14ac:dyDescent="0.25">
      <c r="A748" s="4">
        <v>1938</v>
      </c>
      <c r="C748" s="12" t="s">
        <v>2039</v>
      </c>
      <c r="D748" s="12" t="s">
        <v>2040</v>
      </c>
      <c r="E748" s="5" t="str">
        <f t="shared" si="10"/>
        <v>https://www.screener.in/company/UNIVASTU/consolidated/</v>
      </c>
      <c r="F748" s="4">
        <v>443059</v>
      </c>
      <c r="G748" s="4">
        <v>3832241897</v>
      </c>
      <c r="H748" s="6">
        <f t="shared" ca="1" si="11"/>
        <v>100826.28431007001</v>
      </c>
      <c r="I748" s="7" t="str">
        <f ca="1">IFERROR(__xludf.DUMMYFUNCTION("IMPORTXML(E748,""/html/body/main/div[3]/div[3]/div[2]/ul/li[5]/span[2]/span"")"),"Loading...")</f>
        <v>Loading...</v>
      </c>
      <c r="J748" s="7">
        <f ca="1">IFERROR(__xludf.DUMMYFUNCTION("GOOGLEFINANCE(""NSE:""&amp;D748,""marketcap"")"),9468119406)</f>
        <v>9468119406</v>
      </c>
      <c r="K748" s="7">
        <v>992.8</v>
      </c>
      <c r="L748" s="8">
        <f ca="1">IFERROR(__xludf.DUMMYFUNCTION("GOOGLEFINANCE(""NSE:""&amp;D748,""price"")"),263.1)</f>
        <v>263.10000000000002</v>
      </c>
      <c r="M748" s="9">
        <f t="shared" ca="1" si="12"/>
        <v>-729.69999999999993</v>
      </c>
      <c r="N748" s="10">
        <f t="shared" ca="1" si="13"/>
        <v>-73.499194198227229</v>
      </c>
      <c r="O748" s="7">
        <f ca="1">IFERROR(__xludf.DUMMYFUNCTION("GOOGLEFINANCE(""NSE:""&amp;D748,""pe"")"),26.71)</f>
        <v>26.71</v>
      </c>
      <c r="P748" s="7">
        <f ca="1">IFERROR(__xludf.DUMMYFUNCTION("GOOGLEFINANCE(""NSE:""&amp;D748,""EPS"")"),9.85)</f>
        <v>9.85</v>
      </c>
      <c r="Q748" s="7">
        <v>13.5</v>
      </c>
      <c r="R748" s="7" t="str">
        <f ca="1">IFERROR(__xludf.DUMMYFUNCTION("IMPORTXML(E748,""/html/body/main/div[3]/div[3]/div[2]/ul/li[7]/span[2]/span"")"),"Loading...")</f>
        <v>Loading...</v>
      </c>
      <c r="S748" s="7" t="str">
        <f ca="1">IFERROR(__xludf.DUMMYFUNCTION("IMPORTXML(E748,""/html/body/main/div[3]/div[3]/div[2]/ul/li[8]/span[2]/span"")"),"Loading...")</f>
        <v>Loading...</v>
      </c>
      <c r="T748" s="4">
        <v>34.6</v>
      </c>
      <c r="U748" s="4">
        <v>22.7</v>
      </c>
      <c r="V748" s="4">
        <v>2.6</v>
      </c>
      <c r="W748" s="4">
        <v>5.7</v>
      </c>
      <c r="X748" s="4">
        <v>519.92999999999995</v>
      </c>
      <c r="Y748" s="7">
        <f t="shared" ca="1" si="14"/>
        <v>-256.82999999999993</v>
      </c>
    </row>
    <row r="749" spans="1:25" ht="15" x14ac:dyDescent="0.25">
      <c r="A749" s="4">
        <v>894</v>
      </c>
      <c r="C749" s="12" t="s">
        <v>2041</v>
      </c>
      <c r="D749" s="12" t="s">
        <v>2042</v>
      </c>
      <c r="E749" s="5" t="str">
        <f t="shared" si="10"/>
        <v>https://www.screener.in/company/TAJGVK/consolidated/</v>
      </c>
      <c r="F749" s="4">
        <v>443059</v>
      </c>
      <c r="G749" s="4">
        <v>3832241897</v>
      </c>
      <c r="H749" s="6">
        <f t="shared" ca="1" si="11"/>
        <v>168771.93314387999</v>
      </c>
      <c r="I749" s="7" t="str">
        <f ca="1">IFERROR(__xludf.DUMMYFUNCTION("IMPORTXML(E749,""/html/body/main/div[3]/div[3]/div[2]/ul/li[5]/span[2]/span"")"),"Loading...")</f>
        <v>Loading...</v>
      </c>
      <c r="J749" s="7">
        <f ca="1">IFERROR(__xludf.DUMMYFUNCTION("GOOGLEFINANCE(""NSE:""&amp;D749,""marketcap"")"),27673473240)</f>
        <v>27673473240</v>
      </c>
      <c r="K749" s="7">
        <v>992.8</v>
      </c>
      <c r="L749" s="8">
        <f ca="1">IFERROR(__xludf.DUMMYFUNCTION("GOOGLEFINANCE(""NSE:""&amp;D749,""price"")"),440.4)</f>
        <v>440.4</v>
      </c>
      <c r="M749" s="9">
        <f t="shared" ca="1" si="12"/>
        <v>-552.4</v>
      </c>
      <c r="N749" s="10">
        <f t="shared" ca="1" si="13"/>
        <v>-55.640612409347298</v>
      </c>
      <c r="O749" s="7">
        <f ca="1">IFERROR(__xludf.DUMMYFUNCTION("GOOGLEFINANCE(""NSE:""&amp;D749,""pe"")"),19.55)</f>
        <v>19.55</v>
      </c>
      <c r="P749" s="7">
        <f ca="1">IFERROR(__xludf.DUMMYFUNCTION("GOOGLEFINANCE(""NSE:""&amp;D749,""EPS"")"),22.53)</f>
        <v>22.53</v>
      </c>
      <c r="Q749" s="7">
        <v>13.5</v>
      </c>
      <c r="R749" s="7" t="str">
        <f ca="1">IFERROR(__xludf.DUMMYFUNCTION("IMPORTXML(E749,""/html/body/main/div[3]/div[3]/div[2]/ul/li[7]/span[2]/span"")"),"Loading...")</f>
        <v>Loading...</v>
      </c>
      <c r="S749" s="7" t="str">
        <f ca="1">IFERROR(__xludf.DUMMYFUNCTION("IMPORTXML(E749,""/html/body/main/div[3]/div[3]/div[2]/ul/li[8]/span[2]/span"")"),"Loading...")</f>
        <v>Loading...</v>
      </c>
      <c r="T749" s="4">
        <v>34.6</v>
      </c>
      <c r="U749" s="4">
        <v>22.7</v>
      </c>
      <c r="V749" s="4">
        <v>2.6</v>
      </c>
      <c r="W749" s="4">
        <v>5.7</v>
      </c>
      <c r="X749" s="4">
        <v>519.92999999999995</v>
      </c>
      <c r="Y749" s="7">
        <f t="shared" ca="1" si="14"/>
        <v>-79.529999999999973</v>
      </c>
    </row>
    <row r="750" spans="1:25" ht="15" x14ac:dyDescent="0.25">
      <c r="A750" s="4">
        <v>2703</v>
      </c>
      <c r="C750" s="12" t="s">
        <v>2043</v>
      </c>
      <c r="D750" s="12" t="s">
        <v>2044</v>
      </c>
      <c r="E750" s="5" t="str">
        <f t="shared" si="10"/>
        <v>https://www.screener.in/company/WEWIN/consolidated/</v>
      </c>
      <c r="F750" s="4">
        <v>443059</v>
      </c>
      <c r="G750" s="4">
        <v>3832241897</v>
      </c>
      <c r="H750" s="6">
        <f t="shared" ca="1" si="11"/>
        <v>19536.769190906001</v>
      </c>
      <c r="I750" s="7" t="str">
        <f ca="1">IFERROR(__xludf.DUMMYFUNCTION("IMPORTXML(E750,""/html/body/main/div[3]/div[3]/div[2]/ul/li[5]/span[2]/span"")"),"Loading...")</f>
        <v>Loading...</v>
      </c>
      <c r="J750" s="7">
        <f ca="1">IFERROR(__xludf.DUMMYFUNCTION("GOOGLEFINANCE(""NSE:""&amp;D750,""marketcap"")"),506191500)</f>
        <v>506191500</v>
      </c>
      <c r="K750" s="7">
        <v>992.8</v>
      </c>
      <c r="L750" s="8">
        <f ca="1">IFERROR(__xludf.DUMMYFUNCTION("GOOGLEFINANCE(""NSE:""&amp;D750,""price"")"),50.98)</f>
        <v>50.98</v>
      </c>
      <c r="M750" s="9">
        <f t="shared" ca="1" si="12"/>
        <v>-941.81999999999994</v>
      </c>
      <c r="N750" s="10">
        <f t="shared" ca="1" si="13"/>
        <v>-94.865028203062039</v>
      </c>
      <c r="O750" s="7">
        <f ca="1">IFERROR(__xludf.DUMMYFUNCTION("GOOGLEFINANCE(""NSE:""&amp;D750,""pe"")"),42.78)</f>
        <v>42.78</v>
      </c>
      <c r="P750" s="7">
        <f ca="1">IFERROR(__xludf.DUMMYFUNCTION("GOOGLEFINANCE(""NSE:""&amp;D750,""EPS"")"),1.19)</f>
        <v>1.19</v>
      </c>
      <c r="Q750" s="7">
        <v>13.5</v>
      </c>
      <c r="R750" s="7" t="str">
        <f ca="1">IFERROR(__xludf.DUMMYFUNCTION("IMPORTXML(E750,""/html/body/main/div[3]/div[3]/div[2]/ul/li[7]/span[2]/span"")"),"Loading...")</f>
        <v>Loading...</v>
      </c>
      <c r="S750" s="7" t="str">
        <f ca="1">IFERROR(__xludf.DUMMYFUNCTION("IMPORTXML(E750,""/html/body/main/div[3]/div[3]/div[2]/ul/li[8]/span[2]/span"")"),"Loading...")</f>
        <v>Loading...</v>
      </c>
      <c r="T750" s="4">
        <v>34.6</v>
      </c>
      <c r="U750" s="4">
        <v>22.7</v>
      </c>
      <c r="V750" s="4">
        <v>2.6</v>
      </c>
      <c r="W750" s="4">
        <v>5.7</v>
      </c>
      <c r="X750" s="4">
        <v>519.92999999999995</v>
      </c>
      <c r="Y750" s="7">
        <f t="shared" ca="1" si="14"/>
        <v>-468.94999999999993</v>
      </c>
    </row>
    <row r="751" spans="1:25" ht="15" x14ac:dyDescent="0.25">
      <c r="A751" s="4">
        <v>703</v>
      </c>
      <c r="C751" s="12" t="s">
        <v>2045</v>
      </c>
      <c r="D751" s="12" t="s">
        <v>2046</v>
      </c>
      <c r="E751" s="5" t="str">
        <f t="shared" si="10"/>
        <v>https://www.screener.in/company/POKARNA/consolidated/</v>
      </c>
      <c r="F751" s="4">
        <v>443059</v>
      </c>
      <c r="G751" s="4">
        <v>3832241897</v>
      </c>
      <c r="H751" s="6">
        <f t="shared" ca="1" si="11"/>
        <v>298531.64377630001</v>
      </c>
      <c r="I751" s="7" t="str">
        <f ca="1">IFERROR(__xludf.DUMMYFUNCTION("IMPORTXML(E751,""/html/body/main/div[3]/div[3]/div[2]/ul/li[5]/span[2]/span"")"),"Loading...")</f>
        <v>Loading...</v>
      </c>
      <c r="J751" s="7">
        <f ca="1">IFERROR(__xludf.DUMMYFUNCTION("GOOGLEFINANCE(""NSE:""&amp;D751,""marketcap"")"),24152116000)</f>
        <v>24152116000</v>
      </c>
      <c r="K751" s="7">
        <v>992.8</v>
      </c>
      <c r="L751" s="8">
        <f ca="1">IFERROR(__xludf.DUMMYFUNCTION("GOOGLEFINANCE(""NSE:""&amp;D751,""price"")"),779)</f>
        <v>779</v>
      </c>
      <c r="M751" s="9">
        <f t="shared" ca="1" si="12"/>
        <v>-213.79999999999995</v>
      </c>
      <c r="N751" s="10">
        <f t="shared" ca="1" si="13"/>
        <v>-21.535052377115228</v>
      </c>
      <c r="O751" s="7">
        <f ca="1">IFERROR(__xludf.DUMMYFUNCTION("GOOGLEFINANCE(""NSE:""&amp;D751,""pe"")"),13.19)</f>
        <v>13.19</v>
      </c>
      <c r="P751" s="7">
        <f ca="1">IFERROR(__xludf.DUMMYFUNCTION("GOOGLEFINANCE(""NSE:""&amp;D751,""EPS"")"),59.05)</f>
        <v>59.05</v>
      </c>
      <c r="Q751" s="7">
        <v>13.5</v>
      </c>
      <c r="R751" s="7" t="str">
        <f ca="1">IFERROR(__xludf.DUMMYFUNCTION("IMPORTXML(E751,""/html/body/main/div[3]/div[3]/div[2]/ul/li[7]/span[2]/span"")"),"Loading...")</f>
        <v>Loading...</v>
      </c>
      <c r="S751" s="7" t="str">
        <f ca="1">IFERROR(__xludf.DUMMYFUNCTION("IMPORTXML(E751,""/html/body/main/div[3]/div[3]/div[2]/ul/li[8]/span[2]/span"")"),"Loading...")</f>
        <v>Loading...</v>
      </c>
      <c r="T751" s="4">
        <v>34.6</v>
      </c>
      <c r="U751" s="4">
        <v>22.7</v>
      </c>
      <c r="V751" s="4">
        <v>2.6</v>
      </c>
      <c r="W751" s="4">
        <v>5.7</v>
      </c>
      <c r="X751" s="4">
        <v>519.92999999999995</v>
      </c>
      <c r="Y751" s="7">
        <f t="shared" ca="1" si="14"/>
        <v>259.07000000000005</v>
      </c>
    </row>
    <row r="752" spans="1:25" ht="15" x14ac:dyDescent="0.25">
      <c r="A752" s="4">
        <v>682</v>
      </c>
      <c r="C752" s="12" t="s">
        <v>2047</v>
      </c>
      <c r="D752" s="12" t="s">
        <v>2048</v>
      </c>
      <c r="E752" s="5" t="str">
        <f t="shared" si="10"/>
        <v>https://www.screener.in/company/SJS/consolidated/</v>
      </c>
      <c r="F752" s="4">
        <v>443059</v>
      </c>
      <c r="G752" s="4">
        <v>3832241897</v>
      </c>
      <c r="H752" s="6">
        <f t="shared" ca="1" si="11"/>
        <v>537280.31395940005</v>
      </c>
      <c r="I752" s="7" t="str">
        <f ca="1">IFERROR(__xludf.DUMMYFUNCTION("IMPORTXML(E752,""/html/body/main/div[3]/div[3]/div[2]/ul/li[5]/span[2]/span"")"),"Loading...")</f>
        <v>Loading...</v>
      </c>
      <c r="J752" s="7">
        <f ca="1">IFERROR(__xludf.DUMMYFUNCTION("GOOGLEFINANCE(""NSE:""&amp;D752,""marketcap"")"),44013979540)</f>
        <v>44013979540</v>
      </c>
      <c r="K752" s="7">
        <v>992.8</v>
      </c>
      <c r="L752" s="8">
        <f ca="1">IFERROR(__xludf.DUMMYFUNCTION("GOOGLEFINANCE(""NSE:""&amp;D752,""price"")"),1402)</f>
        <v>1402</v>
      </c>
      <c r="M752" s="9">
        <f t="shared" ca="1" si="12"/>
        <v>409.20000000000005</v>
      </c>
      <c r="N752" s="10">
        <f t="shared" ca="1" si="13"/>
        <v>41.216760676873491</v>
      </c>
      <c r="O752" s="7">
        <f ca="1">IFERROR(__xludf.DUMMYFUNCTION("GOOGLEFINANCE(""NSE:""&amp;D752,""pe"")"),38.01)</f>
        <v>38.01</v>
      </c>
      <c r="P752" s="7">
        <f ca="1">IFERROR(__xludf.DUMMYFUNCTION("GOOGLEFINANCE(""NSE:""&amp;D752,""EPS"")"),36.88)</f>
        <v>36.880000000000003</v>
      </c>
      <c r="Q752" s="7">
        <v>13.5</v>
      </c>
      <c r="R752" s="7" t="str">
        <f ca="1">IFERROR(__xludf.DUMMYFUNCTION("IMPORTXML(E752,""/html/body/main/div[3]/div[3]/div[2]/ul/li[7]/span[2]/span"")"),"Loading...")</f>
        <v>Loading...</v>
      </c>
      <c r="S752" s="7" t="str">
        <f ca="1">IFERROR(__xludf.DUMMYFUNCTION("IMPORTXML(E752,""/html/body/main/div[3]/div[3]/div[2]/ul/li[8]/span[2]/span"")"),"Loading...")</f>
        <v>Loading...</v>
      </c>
      <c r="T752" s="4">
        <v>34.6</v>
      </c>
      <c r="U752" s="4">
        <v>22.7</v>
      </c>
      <c r="V752" s="4">
        <v>2.6</v>
      </c>
      <c r="W752" s="4">
        <v>5.7</v>
      </c>
      <c r="X752" s="4">
        <v>519.92999999999995</v>
      </c>
      <c r="Y752" s="7">
        <f t="shared" ca="1" si="14"/>
        <v>882.07</v>
      </c>
    </row>
    <row r="753" spans="1:25" ht="15" x14ac:dyDescent="0.25">
      <c r="A753" s="4">
        <v>586</v>
      </c>
      <c r="C753" s="12" t="s">
        <v>2049</v>
      </c>
      <c r="D753" s="12" t="s">
        <v>56</v>
      </c>
      <c r="E753" s="5" t="str">
        <f t="shared" si="10"/>
        <v>https://www.screener.in/company/SUNFLAG/consolidated/</v>
      </c>
      <c r="F753" s="4">
        <v>443059</v>
      </c>
      <c r="G753" s="4">
        <v>3832241897</v>
      </c>
      <c r="H753" s="6">
        <f t="shared" ca="1" si="11"/>
        <v>103278.91912414999</v>
      </c>
      <c r="I753" s="7" t="str">
        <f ca="1">IFERROR(__xludf.DUMMYFUNCTION("IMPORTXML(E753,""/html/body/main/div[3]/div[3]/div[2]/ul/li[5]/span[2]/span"")"),"Loading...")</f>
        <v>Loading...</v>
      </c>
      <c r="J753" s="7">
        <f ca="1">IFERROR(__xludf.DUMMYFUNCTION("GOOGLEFINANCE(""NSE:""&amp;D753,""marketcap"")"),48604940400)</f>
        <v>48604940400</v>
      </c>
      <c r="K753" s="7">
        <v>992.8</v>
      </c>
      <c r="L753" s="8">
        <f ca="1">IFERROR(__xludf.DUMMYFUNCTION("GOOGLEFINANCE(""NSE:""&amp;D753,""price"")"),269.5)</f>
        <v>269.5</v>
      </c>
      <c r="M753" s="9">
        <f t="shared" ca="1" si="12"/>
        <v>-723.3</v>
      </c>
      <c r="N753" s="10">
        <f t="shared" ca="1" si="13"/>
        <v>-72.854552780016107</v>
      </c>
      <c r="O753" s="7">
        <f ca="1">IFERROR(__xludf.DUMMYFUNCTION("GOOGLEFINANCE(""NSE:""&amp;D753,""pe"")"),24.7)</f>
        <v>24.7</v>
      </c>
      <c r="P753" s="7">
        <f ca="1">IFERROR(__xludf.DUMMYFUNCTION("GOOGLEFINANCE(""NSE:""&amp;D753,""EPS"")"),10.91)</f>
        <v>10.91</v>
      </c>
      <c r="Q753" s="7">
        <v>13.5</v>
      </c>
      <c r="R753" s="7" t="str">
        <f ca="1">IFERROR(__xludf.DUMMYFUNCTION("IMPORTXML(E753,""/html/body/main/div[3]/div[3]/div[2]/ul/li[7]/span[2]/span"")"),"Loading...")</f>
        <v>Loading...</v>
      </c>
      <c r="S753" s="7" t="str">
        <f ca="1">IFERROR(__xludf.DUMMYFUNCTION("IMPORTXML(E753,""/html/body/main/div[3]/div[3]/div[2]/ul/li[8]/span[2]/span"")"),"Loading...")</f>
        <v>Loading...</v>
      </c>
      <c r="T753" s="4">
        <v>34.6</v>
      </c>
      <c r="U753" s="4">
        <v>22.7</v>
      </c>
      <c r="V753" s="4">
        <v>2.6</v>
      </c>
      <c r="W753" s="4">
        <v>5.7</v>
      </c>
      <c r="X753" s="4">
        <v>519.92999999999995</v>
      </c>
      <c r="Y753" s="7">
        <f t="shared" ca="1" si="14"/>
        <v>-250.42999999999995</v>
      </c>
    </row>
    <row r="754" spans="1:25" ht="15" x14ac:dyDescent="0.25">
      <c r="A754" s="4">
        <v>649</v>
      </c>
      <c r="C754" s="12" t="s">
        <v>2050</v>
      </c>
      <c r="D754" s="12" t="s">
        <v>2051</v>
      </c>
      <c r="E754" s="5" t="str">
        <f t="shared" si="10"/>
        <v>https://www.screener.in/company/INDOSTAR/consolidated/</v>
      </c>
      <c r="F754" s="4">
        <v>443059</v>
      </c>
      <c r="G754" s="4">
        <v>3832241897</v>
      </c>
      <c r="H754" s="6">
        <f t="shared" ca="1" si="11"/>
        <v>100443.06012037001</v>
      </c>
      <c r="I754" s="7" t="str">
        <f ca="1">IFERROR(__xludf.DUMMYFUNCTION("IMPORTXML(E754,""/html/body/main/div[3]/div[3]/div[2]/ul/li[5]/span[2]/span"")"),"Loading...")</f>
        <v>Loading...</v>
      </c>
      <c r="J754" s="7">
        <f ca="1">IFERROR(__xludf.DUMMYFUNCTION("GOOGLEFINANCE(""NSE:""&amp;D754,""marketcap"")"),35823160000)</f>
        <v>35823160000</v>
      </c>
      <c r="K754" s="7">
        <v>992.8</v>
      </c>
      <c r="L754" s="8">
        <f ca="1">IFERROR(__xludf.DUMMYFUNCTION("GOOGLEFINANCE(""NSE:""&amp;D754,""price"")"),262.1)</f>
        <v>262.10000000000002</v>
      </c>
      <c r="M754" s="9">
        <f t="shared" ca="1" si="12"/>
        <v>-730.69999999999993</v>
      </c>
      <c r="N754" s="10">
        <f t="shared" ca="1" si="13"/>
        <v>-73.599919419822726</v>
      </c>
      <c r="O754" s="7">
        <f ca="1">IFERROR(__xludf.DUMMYFUNCTION("GOOGLEFINANCE(""NSE:""&amp;D754,""pe"")"),5.79)</f>
        <v>5.79</v>
      </c>
      <c r="P754" s="7">
        <f ca="1">IFERROR(__xludf.DUMMYFUNCTION("GOOGLEFINANCE(""NSE:""&amp;D754,""EPS"")"),45.26)</f>
        <v>45.26</v>
      </c>
      <c r="Q754" s="7">
        <v>13.5</v>
      </c>
      <c r="R754" s="7" t="str">
        <f ca="1">IFERROR(__xludf.DUMMYFUNCTION("IMPORTXML(E754,""/html/body/main/div[3]/div[3]/div[2]/ul/li[7]/span[2]/span"")"),"Loading...")</f>
        <v>Loading...</v>
      </c>
      <c r="S754" s="7" t="str">
        <f ca="1">IFERROR(__xludf.DUMMYFUNCTION("IMPORTXML(E754,""/html/body/main/div[3]/div[3]/div[2]/ul/li[8]/span[2]/span"")"),"Loading...")</f>
        <v>Loading...</v>
      </c>
      <c r="T754" s="4">
        <v>34.6</v>
      </c>
      <c r="U754" s="4">
        <v>22.7</v>
      </c>
      <c r="V754" s="4">
        <v>2.6</v>
      </c>
      <c r="W754" s="4">
        <v>5.7</v>
      </c>
      <c r="X754" s="4">
        <v>519.92999999999995</v>
      </c>
      <c r="Y754" s="7">
        <f t="shared" ca="1" si="14"/>
        <v>-257.82999999999993</v>
      </c>
    </row>
    <row r="755" spans="1:25" ht="15" x14ac:dyDescent="0.25">
      <c r="A755" s="4">
        <v>541</v>
      </c>
      <c r="C755" s="12" t="s">
        <v>2052</v>
      </c>
      <c r="D755" s="12" t="s">
        <v>2053</v>
      </c>
      <c r="E755" s="5" t="str">
        <f t="shared" si="10"/>
        <v>https://www.screener.in/company/ROSSARI/consolidated/</v>
      </c>
      <c r="F755" s="4">
        <v>443059</v>
      </c>
      <c r="G755" s="4">
        <v>3832241897</v>
      </c>
      <c r="H755" s="6">
        <f t="shared" ca="1" si="11"/>
        <v>239591.76340044005</v>
      </c>
      <c r="I755" s="7" t="str">
        <f ca="1">IFERROR(__xludf.DUMMYFUNCTION("IMPORTXML(E755,""/html/body/main/div[3]/div[3]/div[2]/ul/li[5]/span[2]/span"")"),"Loading...")</f>
        <v>Loading...</v>
      </c>
      <c r="J755" s="7">
        <f ca="1">IFERROR(__xludf.DUMMYFUNCTION("GOOGLEFINANCE(""NSE:""&amp;D755,""marketcap"")"),34659720000)</f>
        <v>34659720000</v>
      </c>
      <c r="K755" s="7">
        <v>992.8</v>
      </c>
      <c r="L755" s="8">
        <f ca="1">IFERROR(__xludf.DUMMYFUNCTION("GOOGLEFINANCE(""NSE:""&amp;D755,""price"")"),625.2)</f>
        <v>625.20000000000005</v>
      </c>
      <c r="M755" s="9">
        <f t="shared" ca="1" si="12"/>
        <v>-367.59999999999991</v>
      </c>
      <c r="N755" s="10">
        <f t="shared" ca="1" si="13"/>
        <v>-37.026591458501201</v>
      </c>
      <c r="O755" s="7">
        <f ca="1">IFERROR(__xludf.DUMMYFUNCTION("GOOGLEFINANCE(""NSE:""&amp;D755,""pe"")"),25.65)</f>
        <v>25.65</v>
      </c>
      <c r="P755" s="7">
        <f ca="1">IFERROR(__xludf.DUMMYFUNCTION("GOOGLEFINANCE(""NSE:""&amp;D755,""EPS"")"),24.37)</f>
        <v>24.37</v>
      </c>
      <c r="Q755" s="7">
        <v>13.5</v>
      </c>
      <c r="R755" s="7" t="str">
        <f ca="1">IFERROR(__xludf.DUMMYFUNCTION("IMPORTXML(E755,""/html/body/main/div[3]/div[3]/div[2]/ul/li[7]/span[2]/span"")"),"Loading...")</f>
        <v>Loading...</v>
      </c>
      <c r="S755" s="7" t="str">
        <f ca="1">IFERROR(__xludf.DUMMYFUNCTION("IMPORTXML(E755,""/html/body/main/div[3]/div[3]/div[2]/ul/li[8]/span[2]/span"")"),"Loading...")</f>
        <v>Loading...</v>
      </c>
      <c r="T755" s="4">
        <v>34.6</v>
      </c>
      <c r="U755" s="4">
        <v>22.7</v>
      </c>
      <c r="V755" s="4">
        <v>2.6</v>
      </c>
      <c r="W755" s="4">
        <v>5.7</v>
      </c>
      <c r="X755" s="4">
        <v>519.92999999999995</v>
      </c>
      <c r="Y755" s="7">
        <f t="shared" ca="1" si="14"/>
        <v>105.2700000000001</v>
      </c>
    </row>
    <row r="756" spans="1:25" ht="15" x14ac:dyDescent="0.25">
      <c r="A756" s="4">
        <v>1594</v>
      </c>
      <c r="C756" s="12" t="s">
        <v>2054</v>
      </c>
      <c r="D756" s="12" t="s">
        <v>2055</v>
      </c>
      <c r="E756" s="5" t="str">
        <f t="shared" si="10"/>
        <v>https://www.screener.in/company/SHREERAMA/consolidated/</v>
      </c>
      <c r="F756" s="4">
        <v>443059</v>
      </c>
      <c r="G756" s="4">
        <v>3832241897</v>
      </c>
      <c r="H756" s="6">
        <f t="shared" ca="1" si="11"/>
        <v>24123.962741615003</v>
      </c>
      <c r="I756" s="7" t="str">
        <f ca="1">IFERROR(__xludf.DUMMYFUNCTION("IMPORTXML(E756,""/html/body/main/div[3]/div[3]/div[2]/ul/li[5]/span[2]/span"")"),"Loading...")</f>
        <v>Loading...</v>
      </c>
      <c r="J756" s="7">
        <f ca="1">IFERROR(__xludf.DUMMYFUNCTION("GOOGLEFINANCE(""NSE:""&amp;D756,""marketcap"")"),8403146000)</f>
        <v>8403146000</v>
      </c>
      <c r="K756" s="7">
        <v>992.8</v>
      </c>
      <c r="L756" s="8">
        <f ca="1">IFERROR(__xludf.DUMMYFUNCTION("GOOGLEFINANCE(""NSE:""&amp;D756,""price"")"),62.95)</f>
        <v>62.95</v>
      </c>
      <c r="M756" s="9">
        <f t="shared" ca="1" si="12"/>
        <v>-929.84999999999991</v>
      </c>
      <c r="N756" s="10">
        <f t="shared" ca="1" si="13"/>
        <v>-93.65934730056405</v>
      </c>
      <c r="O756" s="7">
        <f ca="1">IFERROR(__xludf.DUMMYFUNCTION("GOOGLEFINANCE(""NSE:""&amp;D756,""pe"")"),15.64)</f>
        <v>15.64</v>
      </c>
      <c r="P756" s="7">
        <f ca="1">IFERROR(__xludf.DUMMYFUNCTION("GOOGLEFINANCE(""NSE:""&amp;D756,""EPS"")"),4.03)</f>
        <v>4.03</v>
      </c>
      <c r="Q756" s="7">
        <v>13.5</v>
      </c>
      <c r="R756" s="7" t="str">
        <f ca="1">IFERROR(__xludf.DUMMYFUNCTION("IMPORTXML(E756,""/html/body/main/div[3]/div[3]/div[2]/ul/li[7]/span[2]/span"")"),"Loading...")</f>
        <v>Loading...</v>
      </c>
      <c r="S756" s="7" t="str">
        <f ca="1">IFERROR(__xludf.DUMMYFUNCTION("IMPORTXML(E756,""/html/body/main/div[3]/div[3]/div[2]/ul/li[8]/span[2]/span"")"),"Loading...")</f>
        <v>Loading...</v>
      </c>
      <c r="T756" s="4">
        <v>34.6</v>
      </c>
      <c r="U756" s="4">
        <v>22.7</v>
      </c>
      <c r="V756" s="4">
        <v>2.6</v>
      </c>
      <c r="W756" s="4">
        <v>5.7</v>
      </c>
      <c r="X756" s="4">
        <v>519.92999999999995</v>
      </c>
      <c r="Y756" s="7">
        <f t="shared" ca="1" si="14"/>
        <v>-456.97999999999996</v>
      </c>
    </row>
    <row r="757" spans="1:25" ht="15" x14ac:dyDescent="0.25">
      <c r="A757" s="4">
        <v>488</v>
      </c>
      <c r="C757" s="12" t="s">
        <v>2056</v>
      </c>
      <c r="D757" s="12" t="s">
        <v>2057</v>
      </c>
      <c r="E757" s="5" t="str">
        <f t="shared" si="10"/>
        <v>https://www.screener.in/company/AARTIPHARM/consolidated/</v>
      </c>
      <c r="F757" s="4">
        <v>443059</v>
      </c>
      <c r="G757" s="4">
        <v>3832241897</v>
      </c>
      <c r="H757" s="6">
        <f t="shared" ca="1" si="11"/>
        <v>337237.28693599999</v>
      </c>
      <c r="I757" s="7" t="str">
        <f ca="1">IFERROR(__xludf.DUMMYFUNCTION("IMPORTXML(E757,""/html/body/main/div[3]/div[3]/div[2]/ul/li[5]/span[2]/span"")"),"Loading...")</f>
        <v>Loading...</v>
      </c>
      <c r="J757" s="7">
        <f ca="1">IFERROR(__xludf.DUMMYFUNCTION("GOOGLEFINANCE(""NSE:""&amp;D757,""marketcap"")"),79836896563)</f>
        <v>79836896563</v>
      </c>
      <c r="K757" s="7">
        <v>992.8</v>
      </c>
      <c r="L757" s="8">
        <f ca="1">IFERROR(__xludf.DUMMYFUNCTION("GOOGLEFINANCE(""NSE:""&amp;D757,""price"")"),880)</f>
        <v>880</v>
      </c>
      <c r="M757" s="9">
        <f t="shared" ca="1" si="12"/>
        <v>-112.79999999999995</v>
      </c>
      <c r="N757" s="10">
        <f t="shared" ca="1" si="13"/>
        <v>-11.361804995970987</v>
      </c>
      <c r="O757" s="7">
        <f ca="1">IFERROR(__xludf.DUMMYFUNCTION("GOOGLEFINANCE(""NSE:""&amp;D757,""pe"")"),29.94)</f>
        <v>29.94</v>
      </c>
      <c r="P757" s="7">
        <f ca="1">IFERROR(__xludf.DUMMYFUNCTION("GOOGLEFINANCE(""NSE:""&amp;D757,""EPS"")"),29.39)</f>
        <v>29.39</v>
      </c>
      <c r="Q757" s="7">
        <v>13.5</v>
      </c>
      <c r="R757" s="7" t="str">
        <f ca="1">IFERROR(__xludf.DUMMYFUNCTION("IMPORTXML(E757,""/html/body/main/div[3]/div[3]/div[2]/ul/li[7]/span[2]/span"")"),"Loading...")</f>
        <v>Loading...</v>
      </c>
      <c r="S757" s="7" t="str">
        <f ca="1">IFERROR(__xludf.DUMMYFUNCTION("IMPORTXML(E757,""/html/body/main/div[3]/div[3]/div[2]/ul/li[8]/span[2]/span"")"),"Loading...")</f>
        <v>Loading...</v>
      </c>
      <c r="T757" s="4">
        <v>34.6</v>
      </c>
      <c r="U757" s="4">
        <v>22.7</v>
      </c>
      <c r="V757" s="4">
        <v>2.6</v>
      </c>
      <c r="W757" s="4">
        <v>5.7</v>
      </c>
      <c r="X757" s="4">
        <v>519.92999999999995</v>
      </c>
      <c r="Y757" s="7">
        <f t="shared" ca="1" si="14"/>
        <v>360.07000000000005</v>
      </c>
    </row>
    <row r="758" spans="1:25" ht="15" x14ac:dyDescent="0.25">
      <c r="A758" s="4">
        <v>733</v>
      </c>
      <c r="C758" s="12" t="s">
        <v>2058</v>
      </c>
      <c r="D758" s="12" t="s">
        <v>2059</v>
      </c>
      <c r="E758" s="5" t="str">
        <f t="shared" si="10"/>
        <v>https://www.screener.in/company/RAJRATAN/consolidated/</v>
      </c>
      <c r="F758" s="4">
        <v>443059</v>
      </c>
      <c r="G758" s="4">
        <v>3832241897</v>
      </c>
      <c r="H758" s="6">
        <f t="shared" ca="1" si="11"/>
        <v>127690.30000803999</v>
      </c>
      <c r="I758" s="7" t="str">
        <f ca="1">IFERROR(__xludf.DUMMYFUNCTION("IMPORTXML(E758,""/html/body/main/div[3]/div[3]/div[2]/ul/li[5]/span[2]/span"")"),"Loading...")</f>
        <v>Loading...</v>
      </c>
      <c r="J758" s="7">
        <f ca="1">IFERROR(__xludf.DUMMYFUNCTION("GOOGLEFINANCE(""NSE:""&amp;D758,""marketcap"")"),16916897819)</f>
        <v>16916897819</v>
      </c>
      <c r="K758" s="7">
        <v>992.8</v>
      </c>
      <c r="L758" s="8">
        <f ca="1">IFERROR(__xludf.DUMMYFUNCTION("GOOGLEFINANCE(""NSE:""&amp;D758,""price"")"),333.2)</f>
        <v>333.2</v>
      </c>
      <c r="M758" s="9">
        <f t="shared" ca="1" si="12"/>
        <v>-659.59999999999991</v>
      </c>
      <c r="N758" s="10">
        <f t="shared" ca="1" si="13"/>
        <v>-66.438356164383563</v>
      </c>
      <c r="O758" s="7">
        <f ca="1">IFERROR(__xludf.DUMMYFUNCTION("GOOGLEFINANCE(""NSE:""&amp;D758,""pe"")"),29.67)</f>
        <v>29.67</v>
      </c>
      <c r="P758" s="7">
        <f ca="1">IFERROR(__xludf.DUMMYFUNCTION("GOOGLEFINANCE(""NSE:""&amp;D758,""EPS"")"),11.23)</f>
        <v>11.23</v>
      </c>
      <c r="Q758" s="7">
        <v>13.5</v>
      </c>
      <c r="R758" s="7" t="str">
        <f ca="1">IFERROR(__xludf.DUMMYFUNCTION("IMPORTXML(E758,""/html/body/main/div[3]/div[3]/div[2]/ul/li[7]/span[2]/span"")"),"Loading...")</f>
        <v>Loading...</v>
      </c>
      <c r="S758" s="7" t="str">
        <f ca="1">IFERROR(__xludf.DUMMYFUNCTION("IMPORTXML(E758,""/html/body/main/div[3]/div[3]/div[2]/ul/li[8]/span[2]/span"")"),"Loading...")</f>
        <v>Loading...</v>
      </c>
      <c r="T758" s="4">
        <v>34.6</v>
      </c>
      <c r="U758" s="4">
        <v>22.7</v>
      </c>
      <c r="V758" s="4">
        <v>2.6</v>
      </c>
      <c r="W758" s="4">
        <v>5.7</v>
      </c>
      <c r="X758" s="4">
        <v>519.92999999999995</v>
      </c>
      <c r="Y758" s="7">
        <f t="shared" ca="1" si="14"/>
        <v>-186.72999999999996</v>
      </c>
    </row>
    <row r="759" spans="1:25" ht="15" x14ac:dyDescent="0.25">
      <c r="A759" s="4">
        <v>645</v>
      </c>
      <c r="C759" s="12" t="s">
        <v>2060</v>
      </c>
      <c r="D759" s="12" t="s">
        <v>2061</v>
      </c>
      <c r="E759" s="5" t="str">
        <f t="shared" si="10"/>
        <v>https://www.screener.in/company/HATHWAY/consolidated/</v>
      </c>
      <c r="F759" s="4">
        <v>443059</v>
      </c>
      <c r="G759" s="4">
        <v>3832241897</v>
      </c>
      <c r="H759" s="6">
        <f t="shared" ca="1" si="11"/>
        <v>5598.9054115170002</v>
      </c>
      <c r="I759" s="7" t="str">
        <f ca="1">IFERROR(__xludf.DUMMYFUNCTION("IMPORTXML(E759,""/html/body/main/div[3]/div[3]/div[2]/ul/li[5]/span[2]/span"")"),"Loading...")</f>
        <v>Loading...</v>
      </c>
      <c r="J759" s="7">
        <f ca="1">IFERROR(__xludf.DUMMYFUNCTION("GOOGLEFINANCE(""NSE:""&amp;D759,""marketcap"")"),25878930000)</f>
        <v>25878930000</v>
      </c>
      <c r="K759" s="7">
        <v>992.8</v>
      </c>
      <c r="L759" s="8">
        <f ca="1">IFERROR(__xludf.DUMMYFUNCTION("GOOGLEFINANCE(""NSE:""&amp;D759,""price"")"),14.61)</f>
        <v>14.61</v>
      </c>
      <c r="M759" s="9">
        <f t="shared" ca="1" si="12"/>
        <v>-978.18999999999994</v>
      </c>
      <c r="N759" s="10">
        <f t="shared" ca="1" si="13"/>
        <v>-98.528404512489928</v>
      </c>
      <c r="O759" s="7">
        <f ca="1">IFERROR(__xludf.DUMMYFUNCTION("GOOGLEFINANCE(""NSE:""&amp;D759,""pe"")"),24.34)</f>
        <v>24.34</v>
      </c>
      <c r="P759" s="7">
        <f ca="1">IFERROR(__xludf.DUMMYFUNCTION("GOOGLEFINANCE(""NSE:""&amp;D759,""EPS"")"),0.6)</f>
        <v>0.6</v>
      </c>
      <c r="Q759" s="7">
        <v>13.5</v>
      </c>
      <c r="R759" s="7" t="str">
        <f ca="1">IFERROR(__xludf.DUMMYFUNCTION("IMPORTXML(E759,""/html/body/main/div[3]/div[3]/div[2]/ul/li[7]/span[2]/span"")"),"Loading...")</f>
        <v>Loading...</v>
      </c>
      <c r="S759" s="7" t="str">
        <f ca="1">IFERROR(__xludf.DUMMYFUNCTION("IMPORTXML(E759,""/html/body/main/div[3]/div[3]/div[2]/ul/li[8]/span[2]/span"")"),"Loading...")</f>
        <v>Loading...</v>
      </c>
      <c r="T759" s="4">
        <v>34.6</v>
      </c>
      <c r="U759" s="4">
        <v>22.7</v>
      </c>
      <c r="V759" s="4">
        <v>2.6</v>
      </c>
      <c r="W759" s="4">
        <v>5.7</v>
      </c>
      <c r="X759" s="4">
        <v>519.92999999999995</v>
      </c>
      <c r="Y759" s="7">
        <f t="shared" ca="1" si="14"/>
        <v>-505.31999999999994</v>
      </c>
    </row>
    <row r="760" spans="1:25" ht="15" x14ac:dyDescent="0.25">
      <c r="A760" s="4">
        <v>992</v>
      </c>
      <c r="C760" s="12" t="s">
        <v>2062</v>
      </c>
      <c r="D760" s="12" t="s">
        <v>2063</v>
      </c>
      <c r="E760" s="5" t="str">
        <f t="shared" si="10"/>
        <v>https://www.screener.in/company/DYCL/consolidated/</v>
      </c>
      <c r="F760" s="4">
        <v>443059</v>
      </c>
      <c r="G760" s="4">
        <v>3832241897</v>
      </c>
      <c r="H760" s="6">
        <f t="shared" ca="1" si="11"/>
        <v>164863.04640893999</v>
      </c>
      <c r="I760" s="7" t="str">
        <f ca="1">IFERROR(__xludf.DUMMYFUNCTION("IMPORTXML(E760,""/html/body/main/div[3]/div[3]/div[2]/ul/li[5]/span[2]/span"")"),"Loading...")</f>
        <v>Loading...</v>
      </c>
      <c r="J760" s="7">
        <f ca="1">IFERROR(__xludf.DUMMYFUNCTION("GOOGLEFINANCE(""NSE:""&amp;D760,""marketcap"")"),20709996330)</f>
        <v>20709996330</v>
      </c>
      <c r="K760" s="7">
        <v>992.8</v>
      </c>
      <c r="L760" s="8">
        <f ca="1">IFERROR(__xludf.DUMMYFUNCTION("GOOGLEFINANCE(""NSE:""&amp;D760,""price"")"),430.2)</f>
        <v>430.2</v>
      </c>
      <c r="M760" s="9">
        <f t="shared" ca="1" si="12"/>
        <v>-562.59999999999991</v>
      </c>
      <c r="N760" s="10">
        <f t="shared" ca="1" si="13"/>
        <v>-56.66800966962127</v>
      </c>
      <c r="O760" s="7">
        <f ca="1">IFERROR(__xludf.DUMMYFUNCTION("GOOGLEFINANCE(""NSE:""&amp;D760,""pe"")"),29.18)</f>
        <v>29.18</v>
      </c>
      <c r="P760" s="7">
        <f ca="1">IFERROR(__xludf.DUMMYFUNCTION("GOOGLEFINANCE(""NSE:""&amp;D760,""EPS"")"),14.74)</f>
        <v>14.74</v>
      </c>
      <c r="Q760" s="7">
        <v>13.5</v>
      </c>
      <c r="R760" s="7" t="str">
        <f ca="1">IFERROR(__xludf.DUMMYFUNCTION("IMPORTXML(E760,""/html/body/main/div[3]/div[3]/div[2]/ul/li[7]/span[2]/span"")"),"Loading...")</f>
        <v>Loading...</v>
      </c>
      <c r="S760" s="7" t="str">
        <f ca="1">IFERROR(__xludf.DUMMYFUNCTION("IMPORTXML(E760,""/html/body/main/div[3]/div[3]/div[2]/ul/li[8]/span[2]/span"")"),"Loading...")</f>
        <v>Loading...</v>
      </c>
      <c r="T760" s="4">
        <v>34.6</v>
      </c>
      <c r="U760" s="4">
        <v>22.7</v>
      </c>
      <c r="V760" s="4">
        <v>2.6</v>
      </c>
      <c r="W760" s="4">
        <v>5.7</v>
      </c>
      <c r="X760" s="4">
        <v>519.92999999999995</v>
      </c>
      <c r="Y760" s="7">
        <f t="shared" ca="1" si="14"/>
        <v>-89.729999999999961</v>
      </c>
    </row>
    <row r="761" spans="1:25" ht="15" x14ac:dyDescent="0.25">
      <c r="A761" s="4">
        <v>475</v>
      </c>
      <c r="C761" s="12" t="s">
        <v>2064</v>
      </c>
      <c r="D761" s="12" t="s">
        <v>2065</v>
      </c>
      <c r="E761" s="5" t="str">
        <f t="shared" si="10"/>
        <v>https://www.screener.in/company/TI/consolidated/</v>
      </c>
      <c r="F761" s="4">
        <v>443059</v>
      </c>
      <c r="G761" s="4">
        <v>3832241897</v>
      </c>
      <c r="H761" s="6">
        <f t="shared" ca="1" si="11"/>
        <v>176168.16000509</v>
      </c>
      <c r="I761" s="7" t="str">
        <f ca="1">IFERROR(__xludf.DUMMYFUNCTION("IMPORTXML(E761,""/html/body/main/div[3]/div[3]/div[2]/ul/li[5]/span[2]/span"")"),"Loading...")</f>
        <v>Loading...</v>
      </c>
      <c r="J761" s="7">
        <f ca="1">IFERROR(__xludf.DUMMYFUNCTION("GOOGLEFINANCE(""NSE:""&amp;D761,""marketcap"")"),88970265755)</f>
        <v>88970265755</v>
      </c>
      <c r="K761" s="7">
        <v>992.8</v>
      </c>
      <c r="L761" s="8">
        <f ca="1">IFERROR(__xludf.DUMMYFUNCTION("GOOGLEFINANCE(""NSE:""&amp;D761,""price"")"),459.7)</f>
        <v>459.7</v>
      </c>
      <c r="M761" s="9">
        <f t="shared" ca="1" si="12"/>
        <v>-533.09999999999991</v>
      </c>
      <c r="N761" s="10">
        <f t="shared" ca="1" si="13"/>
        <v>-53.696615632554391</v>
      </c>
      <c r="O761" s="7">
        <f ca="1">IFERROR(__xludf.DUMMYFUNCTION("GOOGLEFINANCE(""NSE:""&amp;D761,""pe"")"),32.19)</f>
        <v>32.19</v>
      </c>
      <c r="P761" s="7">
        <f ca="1">IFERROR(__xludf.DUMMYFUNCTION("GOOGLEFINANCE(""NSE:""&amp;D761,""EPS"")"),14.28)</f>
        <v>14.28</v>
      </c>
      <c r="Q761" s="7">
        <v>13.5</v>
      </c>
      <c r="R761" s="7" t="str">
        <f ca="1">IFERROR(__xludf.DUMMYFUNCTION("IMPORTXML(E761,""/html/body/main/div[3]/div[3]/div[2]/ul/li[7]/span[2]/span"")"),"Loading...")</f>
        <v>Loading...</v>
      </c>
      <c r="S761" s="7" t="str">
        <f ca="1">IFERROR(__xludf.DUMMYFUNCTION("IMPORTXML(E761,""/html/body/main/div[3]/div[3]/div[2]/ul/li[8]/span[2]/span"")"),"Loading...")</f>
        <v>Loading...</v>
      </c>
      <c r="T761" s="4">
        <v>34.6</v>
      </c>
      <c r="U761" s="4">
        <v>22.7</v>
      </c>
      <c r="V761" s="4">
        <v>2.6</v>
      </c>
      <c r="W761" s="4">
        <v>5.7</v>
      </c>
      <c r="X761" s="4">
        <v>519.92999999999995</v>
      </c>
      <c r="Y761" s="7">
        <f t="shared" ca="1" si="14"/>
        <v>-60.229999999999961</v>
      </c>
    </row>
    <row r="762" spans="1:25" ht="15" x14ac:dyDescent="0.25">
      <c r="A762" s="4">
        <v>183</v>
      </c>
      <c r="C762" s="12" t="s">
        <v>2066</v>
      </c>
      <c r="D762" s="12" t="s">
        <v>2067</v>
      </c>
      <c r="E762" s="5" t="str">
        <f t="shared" si="10"/>
        <v>https://www.screener.in/company/SPLPETRO/consolidated/</v>
      </c>
      <c r="F762" s="4">
        <v>443059</v>
      </c>
      <c r="G762" s="4">
        <v>3832241897</v>
      </c>
      <c r="H762" s="6">
        <f t="shared" ca="1" si="11"/>
        <v>300811.82770501502</v>
      </c>
      <c r="I762" s="7" t="str">
        <f ca="1">IFERROR(__xludf.DUMMYFUNCTION("IMPORTXML(E762,""/html/body/main/div[3]/div[3]/div[2]/ul/li[5]/span[2]/span"")"),"Loading...")</f>
        <v>Loading...</v>
      </c>
      <c r="J762" s="7">
        <f ca="1">IFERROR(__xludf.DUMMYFUNCTION("GOOGLEFINANCE(""NSE:""&amp;D762,""marketcap"")"),146398606474)</f>
        <v>146398606474</v>
      </c>
      <c r="K762" s="7">
        <v>992.8</v>
      </c>
      <c r="L762" s="8">
        <f ca="1">IFERROR(__xludf.DUMMYFUNCTION("GOOGLEFINANCE(""NSE:""&amp;D762,""price"")"),784.95)</f>
        <v>784.95</v>
      </c>
      <c r="M762" s="9">
        <f t="shared" ca="1" si="12"/>
        <v>-207.84999999999991</v>
      </c>
      <c r="N762" s="10">
        <f t="shared" ca="1" si="13"/>
        <v>-20.93573730862207</v>
      </c>
      <c r="O762" s="7">
        <f ca="1">IFERROR(__xludf.DUMMYFUNCTION("GOOGLEFINANCE(""NSE:""&amp;D762,""pe"")"),42.14)</f>
        <v>42.14</v>
      </c>
      <c r="P762" s="7">
        <f ca="1">IFERROR(__xludf.DUMMYFUNCTION("GOOGLEFINANCE(""NSE:""&amp;D762,""EPS"")"),18.63)</f>
        <v>18.63</v>
      </c>
      <c r="Q762" s="7">
        <v>13.5</v>
      </c>
      <c r="R762" s="7" t="str">
        <f ca="1">IFERROR(__xludf.DUMMYFUNCTION("IMPORTXML(E762,""/html/body/main/div[3]/div[3]/div[2]/ul/li[7]/span[2]/span"")"),"Loading...")</f>
        <v>Loading...</v>
      </c>
      <c r="S762" s="7" t="str">
        <f ca="1">IFERROR(__xludf.DUMMYFUNCTION("IMPORTXML(E762,""/html/body/main/div[3]/div[3]/div[2]/ul/li[8]/span[2]/span"")"),"Loading...")</f>
        <v>Loading...</v>
      </c>
      <c r="T762" s="4">
        <v>34.6</v>
      </c>
      <c r="U762" s="4">
        <v>22.7</v>
      </c>
      <c r="V762" s="4">
        <v>2.6</v>
      </c>
      <c r="W762" s="4">
        <v>5.7</v>
      </c>
      <c r="X762" s="4">
        <v>519.92999999999995</v>
      </c>
      <c r="Y762" s="7">
        <f t="shared" ca="1" si="14"/>
        <v>265.0200000000001</v>
      </c>
    </row>
    <row r="763" spans="1:25" ht="15" x14ac:dyDescent="0.25">
      <c r="A763" s="4">
        <v>1763</v>
      </c>
      <c r="C763" s="12" t="s">
        <v>2068</v>
      </c>
      <c r="D763" s="12" t="s">
        <v>2069</v>
      </c>
      <c r="E763" s="5" t="str">
        <f t="shared" si="10"/>
        <v>https://www.screener.in/company/MURUDCERA/consolidated/</v>
      </c>
      <c r="F763" s="4">
        <v>443059</v>
      </c>
      <c r="G763" s="4">
        <v>3832241897</v>
      </c>
      <c r="H763" s="6">
        <f t="shared" ca="1" si="11"/>
        <v>16631.92983298</v>
      </c>
      <c r="I763" s="7" t="str">
        <f ca="1">IFERROR(__xludf.DUMMYFUNCTION("IMPORTXML(E763,""/html/body/main/div[3]/div[3]/div[2]/ul/li[5]/span[2]/span"")"),"Loading...")</f>
        <v>Loading...</v>
      </c>
      <c r="J763" s="7">
        <f ca="1">IFERROR(__xludf.DUMMYFUNCTION("GOOGLEFINANCE(""NSE:""&amp;D763,""marketcap"")"),2611317000)</f>
        <v>2611317000</v>
      </c>
      <c r="K763" s="7">
        <v>992.8</v>
      </c>
      <c r="L763" s="8">
        <f ca="1">IFERROR(__xludf.DUMMYFUNCTION("GOOGLEFINANCE(""NSE:""&amp;D763,""price"")"),43.4)</f>
        <v>43.4</v>
      </c>
      <c r="M763" s="9">
        <f t="shared" ca="1" si="12"/>
        <v>-949.4</v>
      </c>
      <c r="N763" s="10">
        <f t="shared" ca="1" si="13"/>
        <v>-95.628525382755853</v>
      </c>
      <c r="O763" s="7">
        <f ca="1">IFERROR(__xludf.DUMMYFUNCTION("GOOGLEFINANCE(""NSE:""&amp;D763,""pe"")"),27.62)</f>
        <v>27.62</v>
      </c>
      <c r="P763" s="7">
        <f ca="1">IFERROR(__xludf.DUMMYFUNCTION("GOOGLEFINANCE(""NSE:""&amp;D763,""EPS"")"),1.57)</f>
        <v>1.57</v>
      </c>
      <c r="Q763" s="7">
        <v>13.5</v>
      </c>
      <c r="R763" s="7" t="str">
        <f ca="1">IFERROR(__xludf.DUMMYFUNCTION("IMPORTXML(E763,""/html/body/main/div[3]/div[3]/div[2]/ul/li[7]/span[2]/span"")"),"Loading...")</f>
        <v>Loading...</v>
      </c>
      <c r="S763" s="7" t="str">
        <f ca="1">IFERROR(__xludf.DUMMYFUNCTION("IMPORTXML(E763,""/html/body/main/div[3]/div[3]/div[2]/ul/li[8]/span[2]/span"")"),"Loading...")</f>
        <v>Loading...</v>
      </c>
      <c r="T763" s="4">
        <v>34.6</v>
      </c>
      <c r="U763" s="4">
        <v>22.7</v>
      </c>
      <c r="V763" s="4">
        <v>2.6</v>
      </c>
      <c r="W763" s="4">
        <v>5.7</v>
      </c>
      <c r="X763" s="4">
        <v>519.92999999999995</v>
      </c>
      <c r="Y763" s="7">
        <f t="shared" ca="1" si="14"/>
        <v>-476.53</v>
      </c>
    </row>
    <row r="764" spans="1:25" ht="15" x14ac:dyDescent="0.25">
      <c r="A764" s="4">
        <v>456</v>
      </c>
      <c r="C764" s="12" t="s">
        <v>2070</v>
      </c>
      <c r="D764" s="12" t="s">
        <v>2071</v>
      </c>
      <c r="E764" s="5" t="str">
        <f t="shared" si="10"/>
        <v>https://www.screener.in/company/PILANIINVS/consolidated/</v>
      </c>
      <c r="F764" s="4">
        <v>443059</v>
      </c>
      <c r="G764" s="4">
        <v>3832241897</v>
      </c>
      <c r="H764" s="6">
        <f t="shared" ca="1" si="11"/>
        <v>1955593.0400391</v>
      </c>
      <c r="I764" s="7" t="str">
        <f ca="1">IFERROR(__xludf.DUMMYFUNCTION("IMPORTXML(E764,""/html/body/main/div[3]/div[3]/div[2]/ul/li[5]/span[2]/span"")"),"Loading...")</f>
        <v>Loading...</v>
      </c>
      <c r="J764" s="7">
        <f ca="1">IFERROR(__xludf.DUMMYFUNCTION("GOOGLEFINANCE(""NSE:""&amp;D764,""marketcap"")"),56559247395)</f>
        <v>56559247395</v>
      </c>
      <c r="K764" s="7">
        <v>992.8</v>
      </c>
      <c r="L764" s="8">
        <f ca="1">IFERROR(__xludf.DUMMYFUNCTION("GOOGLEFINANCE(""NSE:""&amp;D764,""price"")"),5103)</f>
        <v>5103</v>
      </c>
      <c r="M764" s="9">
        <f t="shared" ca="1" si="12"/>
        <v>4110.2</v>
      </c>
      <c r="N764" s="10">
        <f t="shared" ca="1" si="13"/>
        <v>414.00080580177274</v>
      </c>
      <c r="O764" s="7">
        <f ca="1">IFERROR(__xludf.DUMMYFUNCTION("GOOGLEFINANCE(""NSE:""&amp;D764,""pe"")"),91.2)</f>
        <v>91.2</v>
      </c>
      <c r="P764" s="7">
        <f ca="1">IFERROR(__xludf.DUMMYFUNCTION("GOOGLEFINANCE(""NSE:""&amp;D764,""EPS"")"),55.95)</f>
        <v>55.95</v>
      </c>
      <c r="Q764" s="7">
        <v>13.5</v>
      </c>
      <c r="R764" s="7" t="str">
        <f ca="1">IFERROR(__xludf.DUMMYFUNCTION("IMPORTXML(E764,""/html/body/main/div[3]/div[3]/div[2]/ul/li[7]/span[2]/span"")"),"Loading...")</f>
        <v>Loading...</v>
      </c>
      <c r="S764" s="7" t="str">
        <f ca="1">IFERROR(__xludf.DUMMYFUNCTION("IMPORTXML(E764,""/html/body/main/div[3]/div[3]/div[2]/ul/li[8]/span[2]/span"")"),"Loading...")</f>
        <v>Loading...</v>
      </c>
      <c r="T764" s="4">
        <v>34.6</v>
      </c>
      <c r="U764" s="4">
        <v>22.7</v>
      </c>
      <c r="V764" s="4">
        <v>2.6</v>
      </c>
      <c r="W764" s="4">
        <v>5.7</v>
      </c>
      <c r="X764" s="4">
        <v>519.92999999999995</v>
      </c>
      <c r="Y764" s="7">
        <f t="shared" ca="1" si="14"/>
        <v>4583.07</v>
      </c>
    </row>
    <row r="765" spans="1:25" ht="15" x14ac:dyDescent="0.25">
      <c r="A765" s="4">
        <v>898</v>
      </c>
      <c r="C765" s="12" t="s">
        <v>2072</v>
      </c>
      <c r="D765" s="12" t="s">
        <v>2073</v>
      </c>
      <c r="E765" s="5" t="str">
        <f t="shared" si="10"/>
        <v>https://www.screener.in/company/BLSE/consolidated/</v>
      </c>
      <c r="F765" s="4">
        <v>443059</v>
      </c>
      <c r="G765" s="4">
        <v>3832241897</v>
      </c>
      <c r="H765" s="6">
        <f t="shared" ca="1" si="11"/>
        <v>67907.32641483999</v>
      </c>
      <c r="I765" s="7" t="str">
        <f ca="1">IFERROR(__xludf.DUMMYFUNCTION("IMPORTXML(E765,""/html/body/main/div[3]/div[3]/div[2]/ul/li[5]/span[2]/span"")"),"Loading...")</f>
        <v>Loading...</v>
      </c>
      <c r="J765" s="7">
        <f ca="1">IFERROR(__xludf.DUMMYFUNCTION("GOOGLEFINANCE(""NSE:""&amp;D765,""marketcap"")"),16152470000)</f>
        <v>16152470000</v>
      </c>
      <c r="K765" s="7">
        <v>992.8</v>
      </c>
      <c r="L765" s="8">
        <f ca="1">IFERROR(__xludf.DUMMYFUNCTION("GOOGLEFINANCE(""NSE:""&amp;D765,""price"")"),177.2)</f>
        <v>177.2</v>
      </c>
      <c r="M765" s="9">
        <f t="shared" ca="1" si="12"/>
        <v>-815.59999999999991</v>
      </c>
      <c r="N765" s="10">
        <f t="shared" ca="1" si="13"/>
        <v>-82.151490733279616</v>
      </c>
      <c r="O765" s="7">
        <f ca="1">IFERROR(__xludf.DUMMYFUNCTION("GOOGLEFINANCE(""NSE:""&amp;D765,""pe"")"),29.07)</f>
        <v>29.07</v>
      </c>
      <c r="P765" s="7">
        <f ca="1">IFERROR(__xludf.DUMMYFUNCTION("GOOGLEFINANCE(""NSE:""&amp;D765,""EPS"")"),6.1)</f>
        <v>6.1</v>
      </c>
      <c r="Q765" s="7">
        <v>13.5</v>
      </c>
      <c r="R765" s="7" t="str">
        <f ca="1">IFERROR(__xludf.DUMMYFUNCTION("IMPORTXML(E765,""/html/body/main/div[3]/div[3]/div[2]/ul/li[7]/span[2]/span"")"),"Loading...")</f>
        <v>Loading...</v>
      </c>
      <c r="S765" s="7" t="str">
        <f ca="1">IFERROR(__xludf.DUMMYFUNCTION("IMPORTXML(E765,""/html/body/main/div[3]/div[3]/div[2]/ul/li[8]/span[2]/span"")"),"Loading...")</f>
        <v>Loading...</v>
      </c>
      <c r="T765" s="4">
        <v>34.6</v>
      </c>
      <c r="U765" s="4">
        <v>22.7</v>
      </c>
      <c r="V765" s="4">
        <v>2.6</v>
      </c>
      <c r="W765" s="4">
        <v>5.7</v>
      </c>
      <c r="X765" s="4">
        <v>519.92999999999995</v>
      </c>
      <c r="Y765" s="7">
        <f t="shared" ca="1" si="14"/>
        <v>-342.72999999999996</v>
      </c>
    </row>
    <row r="766" spans="1:25" ht="15" x14ac:dyDescent="0.25">
      <c r="A766" s="4">
        <v>822</v>
      </c>
      <c r="C766" s="12" t="s">
        <v>2074</v>
      </c>
      <c r="D766" s="12" t="s">
        <v>2075</v>
      </c>
      <c r="E766" s="5" t="str">
        <f t="shared" si="10"/>
        <v>https://www.screener.in/company/IPL/consolidated/</v>
      </c>
      <c r="F766" s="4">
        <v>443059</v>
      </c>
      <c r="G766" s="4">
        <v>3832241897</v>
      </c>
      <c r="H766" s="6">
        <f t="shared" ca="1" si="11"/>
        <v>79327.407267899995</v>
      </c>
      <c r="I766" s="7" t="str">
        <f ca="1">IFERROR(__xludf.DUMMYFUNCTION("IMPORTXML(E766,""/html/body/main/div[3]/div[3]/div[2]/ul/li[5]/span[2]/span"")"),"Loading...")</f>
        <v>Loading...</v>
      </c>
      <c r="J766" s="7">
        <f ca="1">IFERROR(__xludf.DUMMYFUNCTION("GOOGLEFINANCE(""NSE:""&amp;D766,""marketcap"")"),23902971500)</f>
        <v>23902971500</v>
      </c>
      <c r="K766" s="7">
        <v>992.8</v>
      </c>
      <c r="L766" s="8">
        <f ca="1">IFERROR(__xludf.DUMMYFUNCTION("GOOGLEFINANCE(""NSE:""&amp;D766,""price"")"),207)</f>
        <v>207</v>
      </c>
      <c r="M766" s="9">
        <f t="shared" ca="1" si="12"/>
        <v>-785.8</v>
      </c>
      <c r="N766" s="10">
        <f t="shared" ca="1" si="13"/>
        <v>-79.149879129734074</v>
      </c>
      <c r="O766" s="7">
        <f ca="1">IFERROR(__xludf.DUMMYFUNCTION("GOOGLEFINANCE(""NSE:""&amp;D766,""pe"")"),24.57)</f>
        <v>24.57</v>
      </c>
      <c r="P766" s="7">
        <f ca="1">IFERROR(__xludf.DUMMYFUNCTION("GOOGLEFINANCE(""NSE:""&amp;D766,""EPS"")"),8.43)</f>
        <v>8.43</v>
      </c>
      <c r="Q766" s="7">
        <v>13.5</v>
      </c>
      <c r="R766" s="7" t="str">
        <f ca="1">IFERROR(__xludf.DUMMYFUNCTION("IMPORTXML(E766,""/html/body/main/div[3]/div[3]/div[2]/ul/li[7]/span[2]/span"")"),"Loading...")</f>
        <v>Loading...</v>
      </c>
      <c r="S766" s="7" t="str">
        <f ca="1">IFERROR(__xludf.DUMMYFUNCTION("IMPORTXML(E766,""/html/body/main/div[3]/div[3]/div[2]/ul/li[8]/span[2]/span"")"),"Loading...")</f>
        <v>Loading...</v>
      </c>
      <c r="T766" s="4">
        <v>34.6</v>
      </c>
      <c r="U766" s="4">
        <v>22.7</v>
      </c>
      <c r="V766" s="4">
        <v>2.6</v>
      </c>
      <c r="W766" s="4">
        <v>5.7</v>
      </c>
      <c r="X766" s="4">
        <v>519.92999999999995</v>
      </c>
      <c r="Y766" s="7">
        <f t="shared" ca="1" si="14"/>
        <v>-312.92999999999995</v>
      </c>
    </row>
    <row r="767" spans="1:25" ht="15" x14ac:dyDescent="0.25">
      <c r="A767" s="4">
        <v>1730</v>
      </c>
      <c r="C767" s="12" t="s">
        <v>2076</v>
      </c>
      <c r="D767" s="12" t="s">
        <v>2077</v>
      </c>
      <c r="E767" s="5" t="str">
        <f t="shared" ref="E767:E1021" si="15">"https://www.screener.in/company/"&amp; D767&amp;"/consolidated/"</f>
        <v>https://www.screener.in/company/GOLDTECH/consolidated/</v>
      </c>
      <c r="F767" s="4">
        <v>443059</v>
      </c>
      <c r="G767" s="4">
        <v>3832241897</v>
      </c>
      <c r="H767" s="6">
        <f t="shared" ref="H767:H1021" ca="1" si="16">(G767*L767)/10^7</f>
        <v>25687.517435591002</v>
      </c>
      <c r="I767" s="7" t="str">
        <f ca="1">IFERROR(__xludf.DUMMYFUNCTION("IMPORTXML(E767,""/html/body/main/div[3]/div[3]/div[2]/ul/li[5]/span[2]/span"")"),"Loading...")</f>
        <v>Loading...</v>
      </c>
      <c r="J767" s="7">
        <f ca="1">IFERROR(__xludf.DUMMYFUNCTION("GOOGLEFINANCE(""NSE:""&amp;D767,""marketcap"")"),3505724000)</f>
        <v>3505724000</v>
      </c>
      <c r="K767" s="7">
        <v>992.8</v>
      </c>
      <c r="L767" s="8">
        <f ca="1">IFERROR(__xludf.DUMMYFUNCTION("GOOGLEFINANCE(""NSE:""&amp;D767,""price"")"),67.03)</f>
        <v>67.03</v>
      </c>
      <c r="M767" s="9">
        <f t="shared" ref="M767:M1021" ca="1" si="17">L767-K767</f>
        <v>-925.77</v>
      </c>
      <c r="N767" s="10">
        <f t="shared" ref="N767:N1021" ca="1" si="18">(M767/K767)*100</f>
        <v>-93.248388396454473</v>
      </c>
      <c r="O767" s="7">
        <f ca="1">IFERROR(__xludf.DUMMYFUNCTION("GOOGLEFINANCE(""NSE:""&amp;D767,""pe"")"),15.59)</f>
        <v>15.59</v>
      </c>
      <c r="P767" s="7">
        <f ca="1">IFERROR(__xludf.DUMMYFUNCTION("GOOGLEFINANCE(""NSE:""&amp;D767,""EPS"")"),4.3)</f>
        <v>4.3</v>
      </c>
      <c r="Q767" s="7">
        <v>13.5</v>
      </c>
      <c r="R767" s="7" t="str">
        <f ca="1">IFERROR(__xludf.DUMMYFUNCTION("IMPORTXML(E767,""/html/body/main/div[3]/div[3]/div[2]/ul/li[7]/span[2]/span"")"),"Loading...")</f>
        <v>Loading...</v>
      </c>
      <c r="S767" s="7" t="str">
        <f ca="1">IFERROR(__xludf.DUMMYFUNCTION("IMPORTXML(E767,""/html/body/main/div[3]/div[3]/div[2]/ul/li[8]/span[2]/span"")"),"Loading...")</f>
        <v>Loading...</v>
      </c>
      <c r="T767" s="4">
        <v>34.6</v>
      </c>
      <c r="U767" s="4">
        <v>22.7</v>
      </c>
      <c r="V767" s="4">
        <v>2.6</v>
      </c>
      <c r="W767" s="4">
        <v>5.7</v>
      </c>
      <c r="X767" s="4">
        <v>519.92999999999995</v>
      </c>
      <c r="Y767" s="7">
        <f t="shared" ref="Y767:Y1021" ca="1" si="19">L767-X767</f>
        <v>-452.9</v>
      </c>
    </row>
    <row r="768" spans="1:25" ht="15" x14ac:dyDescent="0.25">
      <c r="A768" s="4">
        <v>728</v>
      </c>
      <c r="C768" s="12" t="s">
        <v>2078</v>
      </c>
      <c r="D768" s="12" t="s">
        <v>2079</v>
      </c>
      <c r="E768" s="5" t="str">
        <f t="shared" si="15"/>
        <v>https://www.screener.in/company/GEPIL/consolidated/</v>
      </c>
      <c r="F768" s="4">
        <v>443059</v>
      </c>
      <c r="G768" s="4">
        <v>3832241897</v>
      </c>
      <c r="H768" s="6" t="e">
        <f t="shared" ca="1" si="16"/>
        <v>#VALUE!</v>
      </c>
      <c r="I768" s="7" t="str">
        <f ca="1">IFERROR(__xludf.DUMMYFUNCTION("IMPORTXML(E768,""/html/body/main/div[3]/div[3]/div[2]/ul/li[5]/span[2]/span"")"),"Loading...")</f>
        <v>Loading...</v>
      </c>
      <c r="J768" s="7" t="str">
        <f ca="1">IFERROR(__xludf.DUMMYFUNCTION("GOOGLEFINANCE(""NSE:""&amp;D768,""marketcap"")"),"#N/A")</f>
        <v>#N/A</v>
      </c>
      <c r="K768" s="7">
        <v>992.8</v>
      </c>
      <c r="L768" s="8" t="str">
        <f ca="1">IFERROR(__xludf.DUMMYFUNCTION("GOOGLEFINANCE(""NSE:""&amp;D768,""price"")"),"#N/A")</f>
        <v>#N/A</v>
      </c>
      <c r="M768" s="9" t="e">
        <f t="shared" ca="1" si="17"/>
        <v>#VALUE!</v>
      </c>
      <c r="N768" s="10" t="e">
        <f t="shared" ca="1" si="18"/>
        <v>#VALUE!</v>
      </c>
      <c r="O768" s="7" t="str">
        <f ca="1">IFERROR(__xludf.DUMMYFUNCTION("GOOGLEFINANCE(""NSE:""&amp;D768,""pe"")"),"#N/A")</f>
        <v>#N/A</v>
      </c>
      <c r="P768" s="7" t="str">
        <f ca="1">IFERROR(__xludf.DUMMYFUNCTION("GOOGLEFINANCE(""NSE:""&amp;D768,""EPS"")"),"#N/A")</f>
        <v>#N/A</v>
      </c>
      <c r="Q768" s="7">
        <v>13.5</v>
      </c>
      <c r="R768" s="7" t="str">
        <f ca="1">IFERROR(__xludf.DUMMYFUNCTION("IMPORTXML(E768,""/html/body/main/div[3]/div[3]/div[2]/ul/li[7]/span[2]/span"")"),"Loading...")</f>
        <v>Loading...</v>
      </c>
      <c r="S768" s="7" t="str">
        <f ca="1">IFERROR(__xludf.DUMMYFUNCTION("IMPORTXML(E768,""/html/body/main/div[3]/div[3]/div[2]/ul/li[8]/span[2]/span"")"),"Loading...")</f>
        <v>Loading...</v>
      </c>
      <c r="T768" s="4">
        <v>34.6</v>
      </c>
      <c r="U768" s="4">
        <v>22.7</v>
      </c>
      <c r="V768" s="4">
        <v>2.6</v>
      </c>
      <c r="W768" s="4">
        <v>5.7</v>
      </c>
      <c r="X768" s="4">
        <v>519.92999999999995</v>
      </c>
      <c r="Y768" s="7" t="e">
        <f t="shared" ca="1" si="19"/>
        <v>#VALUE!</v>
      </c>
    </row>
    <row r="769" spans="1:25" ht="15" x14ac:dyDescent="0.25">
      <c r="A769" s="4">
        <v>597</v>
      </c>
      <c r="C769" s="12" t="s">
        <v>2080</v>
      </c>
      <c r="D769" s="12" t="s">
        <v>2081</v>
      </c>
      <c r="E769" s="5" t="str">
        <f t="shared" si="15"/>
        <v>https://www.screener.in/company/TCIEXP/consolidated/</v>
      </c>
      <c r="F769" s="4">
        <v>443059</v>
      </c>
      <c r="G769" s="4">
        <v>3832241897</v>
      </c>
      <c r="H769" s="6">
        <f t="shared" ca="1" si="16"/>
        <v>275748.96569863497</v>
      </c>
      <c r="I769" s="7" t="str">
        <f ca="1">IFERROR(__xludf.DUMMYFUNCTION("IMPORTXML(E769,""/html/body/main/div[3]/div[3]/div[2]/ul/li[5]/span[2]/span"")"),"Loading...")</f>
        <v>Loading...</v>
      </c>
      <c r="J769" s="7">
        <f ca="1">IFERROR(__xludf.DUMMYFUNCTION("GOOGLEFINANCE(""NSE:""&amp;D769,""marketcap"")"),27671280000)</f>
        <v>27671280000</v>
      </c>
      <c r="K769" s="7">
        <v>992.8</v>
      </c>
      <c r="L769" s="8">
        <f ca="1">IFERROR(__xludf.DUMMYFUNCTION("GOOGLEFINANCE(""NSE:""&amp;D769,""price"")"),719.55)</f>
        <v>719.55</v>
      </c>
      <c r="M769" s="9">
        <f t="shared" ca="1" si="17"/>
        <v>-273.25</v>
      </c>
      <c r="N769" s="10">
        <f t="shared" ca="1" si="18"/>
        <v>-27.523166800966965</v>
      </c>
      <c r="O769" s="7">
        <f ca="1">IFERROR(__xludf.DUMMYFUNCTION("GOOGLEFINANCE(""NSE:""&amp;D769,""pe"")"),33.32)</f>
        <v>33.32</v>
      </c>
      <c r="P769" s="7">
        <f ca="1">IFERROR(__xludf.DUMMYFUNCTION("GOOGLEFINANCE(""NSE:""&amp;D769,""EPS"")"),21.6)</f>
        <v>21.6</v>
      </c>
      <c r="Q769" s="7">
        <v>13.5</v>
      </c>
      <c r="R769" s="7" t="str">
        <f ca="1">IFERROR(__xludf.DUMMYFUNCTION("IMPORTXML(E769,""/html/body/main/div[3]/div[3]/div[2]/ul/li[7]/span[2]/span"")"),"Loading...")</f>
        <v>Loading...</v>
      </c>
      <c r="S769" s="7" t="str">
        <f ca="1">IFERROR(__xludf.DUMMYFUNCTION("IMPORTXML(E769,""/html/body/main/div[3]/div[3]/div[2]/ul/li[8]/span[2]/span"")"),"Loading...")</f>
        <v>Loading...</v>
      </c>
      <c r="T769" s="4">
        <v>34.6</v>
      </c>
      <c r="U769" s="4">
        <v>22.7</v>
      </c>
      <c r="V769" s="4">
        <v>2.6</v>
      </c>
      <c r="W769" s="4">
        <v>5.7</v>
      </c>
      <c r="X769" s="4">
        <v>519.92999999999995</v>
      </c>
      <c r="Y769" s="7">
        <f t="shared" ca="1" si="19"/>
        <v>199.62</v>
      </c>
    </row>
    <row r="770" spans="1:25" ht="15" x14ac:dyDescent="0.25">
      <c r="A770" s="4">
        <v>681</v>
      </c>
      <c r="C770" s="12" t="s">
        <v>2082</v>
      </c>
      <c r="D770" s="12" t="s">
        <v>2083</v>
      </c>
      <c r="E770" s="5" t="str">
        <f t="shared" si="15"/>
        <v>https://www.screener.in/company/KITEX/consolidated/</v>
      </c>
      <c r="F770" s="4">
        <v>443059</v>
      </c>
      <c r="G770" s="4">
        <v>3832241897</v>
      </c>
      <c r="H770" s="6">
        <f t="shared" ca="1" si="16"/>
        <v>70628.218161710014</v>
      </c>
      <c r="I770" s="7" t="str">
        <f ca="1">IFERROR(__xludf.DUMMYFUNCTION("IMPORTXML(E770,""/html/body/main/div[3]/div[3]/div[2]/ul/li[5]/span[2]/span"")"),"Loading...")</f>
        <v>Loading...</v>
      </c>
      <c r="J770" s="7">
        <f ca="1">IFERROR(__xludf.DUMMYFUNCTION("GOOGLEFINANCE(""NSE:""&amp;D770,""marketcap"")"),36573402698)</f>
        <v>36573402698</v>
      </c>
      <c r="K770" s="7">
        <v>992.8</v>
      </c>
      <c r="L770" s="8">
        <f ca="1">IFERROR(__xludf.DUMMYFUNCTION("GOOGLEFINANCE(""NSE:""&amp;D770,""price"")"),184.3)</f>
        <v>184.3</v>
      </c>
      <c r="M770" s="9">
        <f t="shared" ca="1" si="17"/>
        <v>-808.5</v>
      </c>
      <c r="N770" s="10">
        <f t="shared" ca="1" si="18"/>
        <v>-81.436341659951665</v>
      </c>
      <c r="O770" s="7">
        <f ca="1">IFERROR(__xludf.DUMMYFUNCTION("GOOGLEFINANCE(""NSE:""&amp;D770,""pe"")"),27.81)</f>
        <v>27.81</v>
      </c>
      <c r="P770" s="7">
        <f ca="1">IFERROR(__xludf.DUMMYFUNCTION("GOOGLEFINANCE(""NSE:""&amp;D770,""EPS"")"),6.63)</f>
        <v>6.63</v>
      </c>
      <c r="Q770" s="7">
        <v>13.5</v>
      </c>
      <c r="R770" s="7" t="str">
        <f ca="1">IFERROR(__xludf.DUMMYFUNCTION("IMPORTXML(E770,""/html/body/main/div[3]/div[3]/div[2]/ul/li[7]/span[2]/span"")"),"Loading...")</f>
        <v>Loading...</v>
      </c>
      <c r="S770" s="7" t="str">
        <f ca="1">IFERROR(__xludf.DUMMYFUNCTION("IMPORTXML(E770,""/html/body/main/div[3]/div[3]/div[2]/ul/li[8]/span[2]/span"")"),"Loading...")</f>
        <v>Loading...</v>
      </c>
      <c r="T770" s="4">
        <v>34.6</v>
      </c>
      <c r="U770" s="4">
        <v>22.7</v>
      </c>
      <c r="V770" s="4">
        <v>2.6</v>
      </c>
      <c r="W770" s="4">
        <v>5.7</v>
      </c>
      <c r="X770" s="4">
        <v>519.92999999999995</v>
      </c>
      <c r="Y770" s="7">
        <f t="shared" ca="1" si="19"/>
        <v>-335.62999999999994</v>
      </c>
    </row>
    <row r="771" spans="1:25" ht="15" x14ac:dyDescent="0.25">
      <c r="A771" s="4">
        <v>642</v>
      </c>
      <c r="C771" s="12" t="s">
        <v>2084</v>
      </c>
      <c r="D771" s="12" t="s">
        <v>2085</v>
      </c>
      <c r="E771" s="5" t="str">
        <f t="shared" si="15"/>
        <v>https://www.screener.in/company/KPEL/consolidated/</v>
      </c>
      <c r="F771" s="4">
        <v>443059</v>
      </c>
      <c r="G771" s="4">
        <v>3832241897</v>
      </c>
      <c r="H771" s="6">
        <f t="shared" ca="1" si="16"/>
        <v>160570.93548429999</v>
      </c>
      <c r="I771" s="7" t="str">
        <f ca="1">IFERROR(__xludf.DUMMYFUNCTION("IMPORTXML(E771,""/html/body/main/div[3]/div[3]/div[2]/ul/li[5]/span[2]/span"")"),"Loading...")</f>
        <v>Loading...</v>
      </c>
      <c r="J771" s="7">
        <f ca="1">IFERROR(__xludf.DUMMYFUNCTION("GOOGLEFINANCE(""NSE:""&amp;D771,""marketcap"")"),28034045570)</f>
        <v>28034045570</v>
      </c>
      <c r="K771" s="7">
        <v>992.8</v>
      </c>
      <c r="L771" s="8">
        <f ca="1">IFERROR(__xludf.DUMMYFUNCTION("GOOGLEFINANCE(""NSE:""&amp;D771,""price"")"),419)</f>
        <v>419</v>
      </c>
      <c r="M771" s="9">
        <f t="shared" ca="1" si="17"/>
        <v>-573.79999999999995</v>
      </c>
      <c r="N771" s="10">
        <f t="shared" ca="1" si="18"/>
        <v>-57.796132151490731</v>
      </c>
      <c r="O771" s="7">
        <f ca="1">IFERROR(__xludf.DUMMYFUNCTION("GOOGLEFINANCE(""NSE:""&amp;D771,""pe"")"),22.92)</f>
        <v>22.92</v>
      </c>
      <c r="P771" s="7">
        <f ca="1">IFERROR(__xludf.DUMMYFUNCTION("GOOGLEFINANCE(""NSE:""&amp;D771,""EPS"")"),18.28)</f>
        <v>18.28</v>
      </c>
      <c r="Q771" s="7">
        <v>13.5</v>
      </c>
      <c r="R771" s="7" t="str">
        <f ca="1">IFERROR(__xludf.DUMMYFUNCTION("IMPORTXML(E771,""/html/body/main/div[3]/div[3]/div[2]/ul/li[7]/span[2]/span"")"),"Loading...")</f>
        <v>Loading...</v>
      </c>
      <c r="S771" s="7" t="str">
        <f ca="1">IFERROR(__xludf.DUMMYFUNCTION("IMPORTXML(E771,""/html/body/main/div[3]/div[3]/div[2]/ul/li[8]/span[2]/span"")"),"Loading...")</f>
        <v>Loading...</v>
      </c>
      <c r="T771" s="4">
        <v>34.6</v>
      </c>
      <c r="U771" s="4">
        <v>22.7</v>
      </c>
      <c r="V771" s="4">
        <v>2.6</v>
      </c>
      <c r="W771" s="4">
        <v>5.7</v>
      </c>
      <c r="X771" s="4">
        <v>519.92999999999995</v>
      </c>
      <c r="Y771" s="7">
        <f t="shared" ca="1" si="19"/>
        <v>-100.92999999999995</v>
      </c>
    </row>
    <row r="772" spans="1:25" ht="15" x14ac:dyDescent="0.25">
      <c r="A772" s="4">
        <v>173</v>
      </c>
      <c r="C772" s="12" t="s">
        <v>2086</v>
      </c>
      <c r="D772" s="12" t="s">
        <v>2087</v>
      </c>
      <c r="E772" s="5" t="str">
        <f t="shared" si="15"/>
        <v>https://www.screener.in/company/FINEORG/consolidated/</v>
      </c>
      <c r="F772" s="4">
        <v>443059</v>
      </c>
      <c r="G772" s="4">
        <v>3832241897</v>
      </c>
      <c r="H772" s="6">
        <f t="shared" ca="1" si="16"/>
        <v>1854805.0781479999</v>
      </c>
      <c r="I772" s="7" t="str">
        <f ca="1">IFERROR(__xludf.DUMMYFUNCTION("IMPORTXML(E772,""/html/body/main/div[3]/div[3]/div[2]/ul/li[5]/span[2]/span"")"),"Loading...")</f>
        <v>Loading...</v>
      </c>
      <c r="J772" s="7">
        <f ca="1">IFERROR(__xludf.DUMMYFUNCTION("GOOGLEFINANCE(""NSE:""&amp;D772,""marketcap"")"),147962000000)</f>
        <v>147962000000</v>
      </c>
      <c r="K772" s="7">
        <v>992.8</v>
      </c>
      <c r="L772" s="8">
        <f ca="1">IFERROR(__xludf.DUMMYFUNCTION("GOOGLEFINANCE(""NSE:""&amp;D772,""price"")"),4840)</f>
        <v>4840</v>
      </c>
      <c r="M772" s="9">
        <f t="shared" ca="1" si="17"/>
        <v>3847.2</v>
      </c>
      <c r="N772" s="10">
        <f t="shared" ca="1" si="18"/>
        <v>387.51007252215953</v>
      </c>
      <c r="O772" s="7">
        <f ca="1">IFERROR(__xludf.DUMMYFUNCTION("GOOGLEFINANCE(""NSE:""&amp;D772,""pe"")"),35.82)</f>
        <v>35.82</v>
      </c>
      <c r="P772" s="7">
        <f ca="1">IFERROR(__xludf.DUMMYFUNCTION("GOOGLEFINANCE(""NSE:""&amp;D772,""EPS"")"),135.14)</f>
        <v>135.13999999999999</v>
      </c>
      <c r="Q772" s="7">
        <v>13.5</v>
      </c>
      <c r="R772" s="7" t="str">
        <f ca="1">IFERROR(__xludf.DUMMYFUNCTION("IMPORTXML(E772,""/html/body/main/div[3]/div[3]/div[2]/ul/li[7]/span[2]/span"")"),"Loading...")</f>
        <v>Loading...</v>
      </c>
      <c r="S772" s="7" t="str">
        <f ca="1">IFERROR(__xludf.DUMMYFUNCTION("IMPORTXML(E772,""/html/body/main/div[3]/div[3]/div[2]/ul/li[8]/span[2]/span"")"),"Loading...")</f>
        <v>Loading...</v>
      </c>
      <c r="T772" s="4">
        <v>34.6</v>
      </c>
      <c r="U772" s="4">
        <v>22.7</v>
      </c>
      <c r="V772" s="4">
        <v>2.6</v>
      </c>
      <c r="W772" s="4">
        <v>5.7</v>
      </c>
      <c r="X772" s="4">
        <v>519.92999999999995</v>
      </c>
      <c r="Y772" s="7">
        <f t="shared" ca="1" si="19"/>
        <v>4320.07</v>
      </c>
    </row>
    <row r="773" spans="1:25" ht="15" x14ac:dyDescent="0.25">
      <c r="A773" s="4">
        <v>1567</v>
      </c>
      <c r="C773" s="12" t="s">
        <v>2088</v>
      </c>
      <c r="D773" s="12" t="s">
        <v>2089</v>
      </c>
      <c r="E773" s="5" t="str">
        <f t="shared" si="15"/>
        <v>https://www.screener.in/company/DCI/consolidated/</v>
      </c>
      <c r="F773" s="4">
        <v>443059</v>
      </c>
      <c r="G773" s="4">
        <v>3832241897</v>
      </c>
      <c r="H773" s="6">
        <f t="shared" ca="1" si="16"/>
        <v>104332.785645825</v>
      </c>
      <c r="I773" s="7" t="str">
        <f ca="1">IFERROR(__xludf.DUMMYFUNCTION("IMPORTXML(E773,""/html/body/main/div[3]/div[3]/div[2]/ul/li[5]/span[2]/span"")"),"Loading...")</f>
        <v>Loading...</v>
      </c>
      <c r="J773" s="7">
        <f ca="1">IFERROR(__xludf.DUMMYFUNCTION("GOOGLEFINANCE(""NSE:""&amp;D773,""marketcap"")"),4374240000)</f>
        <v>4374240000</v>
      </c>
      <c r="K773" s="7">
        <v>992.8</v>
      </c>
      <c r="L773" s="8">
        <f ca="1">IFERROR(__xludf.DUMMYFUNCTION("GOOGLEFINANCE(""NSE:""&amp;D773,""price"")"),272.25)</f>
        <v>272.25</v>
      </c>
      <c r="M773" s="9">
        <f t="shared" ca="1" si="17"/>
        <v>-720.55</v>
      </c>
      <c r="N773" s="10">
        <f t="shared" ca="1" si="18"/>
        <v>-72.577558420628534</v>
      </c>
      <c r="O773" s="7">
        <f ca="1">IFERROR(__xludf.DUMMYFUNCTION("GOOGLEFINANCE(""NSE:""&amp;D773,""pe"")"),27.47)</f>
        <v>27.47</v>
      </c>
      <c r="P773" s="7">
        <f ca="1">IFERROR(__xludf.DUMMYFUNCTION("GOOGLEFINANCE(""NSE:""&amp;D773,""EPS"")"),9.91)</f>
        <v>9.91</v>
      </c>
      <c r="Q773" s="7">
        <v>13.5</v>
      </c>
      <c r="R773" s="7" t="str">
        <f ca="1">IFERROR(__xludf.DUMMYFUNCTION("IMPORTXML(E773,""/html/body/main/div[3]/div[3]/div[2]/ul/li[7]/span[2]/span"")"),"Loading...")</f>
        <v>Loading...</v>
      </c>
      <c r="S773" s="7" t="str">
        <f ca="1">IFERROR(__xludf.DUMMYFUNCTION("IMPORTXML(E773,""/html/body/main/div[3]/div[3]/div[2]/ul/li[8]/span[2]/span"")"),"Loading...")</f>
        <v>Loading...</v>
      </c>
      <c r="T773" s="4">
        <v>34.6</v>
      </c>
      <c r="U773" s="4">
        <v>22.7</v>
      </c>
      <c r="V773" s="4">
        <v>2.6</v>
      </c>
      <c r="W773" s="4">
        <v>5.7</v>
      </c>
      <c r="X773" s="4">
        <v>519.92999999999995</v>
      </c>
      <c r="Y773" s="7">
        <f t="shared" ca="1" si="19"/>
        <v>-247.67999999999995</v>
      </c>
    </row>
    <row r="774" spans="1:25" ht="15" x14ac:dyDescent="0.25">
      <c r="A774" s="4">
        <v>14</v>
      </c>
      <c r="C774" s="12" t="s">
        <v>2090</v>
      </c>
      <c r="D774" s="12" t="s">
        <v>2091</v>
      </c>
      <c r="E774" s="5" t="str">
        <f t="shared" si="15"/>
        <v>https://www.screener.in/company/GODFRYPHLP/consolidated/</v>
      </c>
      <c r="F774" s="4">
        <v>443059</v>
      </c>
      <c r="G774" s="4">
        <v>3832241897</v>
      </c>
      <c r="H774" s="6">
        <f t="shared" ca="1" si="16"/>
        <v>4237693.0897025997</v>
      </c>
      <c r="I774" s="7" t="str">
        <f ca="1">IFERROR(__xludf.DUMMYFUNCTION("IMPORTXML(E774,""/html/body/main/div[3]/div[3]/div[2]/ul/li[5]/span[2]/span"")"),"Loading...")</f>
        <v>Loading...</v>
      </c>
      <c r="J774" s="7">
        <f ca="1">IFERROR(__xludf.DUMMYFUNCTION("GOOGLEFINANCE(""NSE:""&amp;D774,""marketcap"")"),573884324066)</f>
        <v>573884324066</v>
      </c>
      <c r="K774" s="7">
        <v>992.8</v>
      </c>
      <c r="L774" s="8">
        <f ca="1">IFERROR(__xludf.DUMMYFUNCTION("GOOGLEFINANCE(""NSE:""&amp;D774,""price"")"),11058)</f>
        <v>11058</v>
      </c>
      <c r="M774" s="9">
        <f t="shared" ca="1" si="17"/>
        <v>10065.200000000001</v>
      </c>
      <c r="N774" s="10">
        <f t="shared" ca="1" si="18"/>
        <v>1013.819500402901</v>
      </c>
      <c r="O774" s="7">
        <f ca="1">IFERROR(__xludf.DUMMYFUNCTION("GOOGLEFINANCE(""NSE:""&amp;D774,""pe"")"),44.01)</f>
        <v>44.01</v>
      </c>
      <c r="P774" s="7">
        <f ca="1">IFERROR(__xludf.DUMMYFUNCTION("GOOGLEFINANCE(""NSE:""&amp;D774,""EPS"")"),251.24)</f>
        <v>251.24</v>
      </c>
      <c r="Q774" s="7">
        <v>13.5</v>
      </c>
      <c r="R774" s="7">
        <f ca="1">IFERROR(__xludf.DUMMYFUNCTION("IMPORTXML(E774,""/html/body/main/div[3]/div[3]/div[2]/ul/li[7]/span[2]/span"")"),26.3)</f>
        <v>26.3</v>
      </c>
      <c r="S774" s="7" t="str">
        <f ca="1">IFERROR(__xludf.DUMMYFUNCTION("IMPORTXML(E774,""/html/body/main/div[3]/div[3]/div[2]/ul/li[8]/span[2]/span"")"),"Loading...")</f>
        <v>Loading...</v>
      </c>
      <c r="T774" s="4">
        <v>34.6</v>
      </c>
      <c r="U774" s="4">
        <v>22.7</v>
      </c>
      <c r="V774" s="4">
        <v>2.6</v>
      </c>
      <c r="W774" s="4">
        <v>5.7</v>
      </c>
      <c r="X774" s="4">
        <v>519.92999999999995</v>
      </c>
      <c r="Y774" s="7">
        <f t="shared" ca="1" si="19"/>
        <v>10538.07</v>
      </c>
    </row>
    <row r="775" spans="1:25" ht="15" x14ac:dyDescent="0.25">
      <c r="A775" s="4">
        <v>1302</v>
      </c>
      <c r="C775" s="12" t="s">
        <v>2092</v>
      </c>
      <c r="D775" s="12" t="s">
        <v>2093</v>
      </c>
      <c r="E775" s="5" t="str">
        <f t="shared" si="15"/>
        <v>https://www.screener.in/company/TPLPLASTEH/consolidated/</v>
      </c>
      <c r="F775" s="4">
        <v>443059</v>
      </c>
      <c r="G775" s="4">
        <v>3832241897</v>
      </c>
      <c r="H775" s="6">
        <f t="shared" ca="1" si="16"/>
        <v>28745.646469397005</v>
      </c>
      <c r="I775" s="7" t="str">
        <f ca="1">IFERROR(__xludf.DUMMYFUNCTION("IMPORTXML(E775,""/html/body/main/div[3]/div[3]/div[2]/ul/li[5]/span[2]/span"")"),"Loading...")</f>
        <v>Loading...</v>
      </c>
      <c r="J775" s="7">
        <f ca="1">IFERROR(__xludf.DUMMYFUNCTION("GOOGLEFINANCE(""NSE:""&amp;D775,""marketcap"")"),5857245000)</f>
        <v>5857245000</v>
      </c>
      <c r="K775" s="7">
        <v>992.8</v>
      </c>
      <c r="L775" s="8">
        <f ca="1">IFERROR(__xludf.DUMMYFUNCTION("GOOGLEFINANCE(""NSE:""&amp;D775,""price"")"),75.01)</f>
        <v>75.010000000000005</v>
      </c>
      <c r="M775" s="9">
        <f t="shared" ca="1" si="17"/>
        <v>-917.79</v>
      </c>
      <c r="N775" s="10">
        <f t="shared" ca="1" si="18"/>
        <v>-92.444601128122486</v>
      </c>
      <c r="O775" s="7">
        <f ca="1">IFERROR(__xludf.DUMMYFUNCTION("GOOGLEFINANCE(""NSE:""&amp;D775,""pe"")"),23.78)</f>
        <v>23.78</v>
      </c>
      <c r="P775" s="7">
        <f ca="1">IFERROR(__xludf.DUMMYFUNCTION("GOOGLEFINANCE(""NSE:""&amp;D775,""EPS"")"),3.15)</f>
        <v>3.15</v>
      </c>
      <c r="Q775" s="7">
        <v>13.5</v>
      </c>
      <c r="R775" s="7" t="str">
        <f ca="1">IFERROR(__xludf.DUMMYFUNCTION("IMPORTXML(E775,""/html/body/main/div[3]/div[3]/div[2]/ul/li[7]/span[2]/span"")"),"Loading...")</f>
        <v>Loading...</v>
      </c>
      <c r="S775" s="7" t="str">
        <f ca="1">IFERROR(__xludf.DUMMYFUNCTION("IMPORTXML(E775,""/html/body/main/div[3]/div[3]/div[2]/ul/li[8]/span[2]/span"")"),"Loading...")</f>
        <v>Loading...</v>
      </c>
      <c r="T775" s="4">
        <v>34.6</v>
      </c>
      <c r="U775" s="4">
        <v>22.7</v>
      </c>
      <c r="V775" s="4">
        <v>2.6</v>
      </c>
      <c r="W775" s="4">
        <v>5.7</v>
      </c>
      <c r="X775" s="4">
        <v>519.92999999999995</v>
      </c>
      <c r="Y775" s="7">
        <f t="shared" ca="1" si="19"/>
        <v>-444.91999999999996</v>
      </c>
    </row>
    <row r="776" spans="1:25" ht="15" x14ac:dyDescent="0.25">
      <c r="A776" s="4">
        <v>302</v>
      </c>
      <c r="C776" s="12" t="s">
        <v>2094</v>
      </c>
      <c r="D776" s="12" t="s">
        <v>2095</v>
      </c>
      <c r="E776" s="5" t="str">
        <f t="shared" si="15"/>
        <v>https://www.screener.in/company/IONEXCHANG/consolidated/</v>
      </c>
      <c r="F776" s="4">
        <v>443059</v>
      </c>
      <c r="G776" s="4">
        <v>3832241897</v>
      </c>
      <c r="H776" s="6">
        <f t="shared" ca="1" si="16"/>
        <v>159804.48710490001</v>
      </c>
      <c r="I776" s="7" t="str">
        <f ca="1">IFERROR(__xludf.DUMMYFUNCTION("IMPORTXML(E776,""/html/body/main/div[3]/div[3]/div[2]/ul/li[5]/span[2]/span"")"),"Loading...")</f>
        <v>Loading...</v>
      </c>
      <c r="J776" s="7">
        <f ca="1">IFERROR(__xludf.DUMMYFUNCTION("GOOGLEFINANCE(""NSE:""&amp;D776,""marketcap"")"),51261976800)</f>
        <v>51261976800</v>
      </c>
      <c r="K776" s="7">
        <v>992.8</v>
      </c>
      <c r="L776" s="8">
        <f ca="1">IFERROR(__xludf.DUMMYFUNCTION("GOOGLEFINANCE(""NSE:""&amp;D776,""price"")"),417)</f>
        <v>417</v>
      </c>
      <c r="M776" s="9">
        <f t="shared" ca="1" si="17"/>
        <v>-575.79999999999995</v>
      </c>
      <c r="N776" s="10">
        <f t="shared" ca="1" si="18"/>
        <v>-57.99758259468171</v>
      </c>
      <c r="O776" s="7">
        <f ca="1">IFERROR(__xludf.DUMMYFUNCTION("GOOGLEFINANCE(""NSE:""&amp;D776,""pe"")"),23.37)</f>
        <v>23.37</v>
      </c>
      <c r="P776" s="7">
        <f ca="1">IFERROR(__xludf.DUMMYFUNCTION("GOOGLEFINANCE(""NSE:""&amp;D776,""EPS"")"),17.85)</f>
        <v>17.850000000000001</v>
      </c>
      <c r="Q776" s="7">
        <v>13.5</v>
      </c>
      <c r="R776" s="7" t="str">
        <f ca="1">IFERROR(__xludf.DUMMYFUNCTION("IMPORTXML(E776,""/html/body/main/div[3]/div[3]/div[2]/ul/li[7]/span[2]/span"")"),"Loading...")</f>
        <v>Loading...</v>
      </c>
      <c r="S776" s="7" t="str">
        <f ca="1">IFERROR(__xludf.DUMMYFUNCTION("IMPORTXML(E776,""/html/body/main/div[3]/div[3]/div[2]/ul/li[8]/span[2]/span"")"),"Loading...")</f>
        <v>Loading...</v>
      </c>
      <c r="T776" s="4">
        <v>34.6</v>
      </c>
      <c r="U776" s="4">
        <v>22.7</v>
      </c>
      <c r="V776" s="4">
        <v>2.6</v>
      </c>
      <c r="W776" s="4">
        <v>5.7</v>
      </c>
      <c r="X776" s="4">
        <v>519.92999999999995</v>
      </c>
      <c r="Y776" s="7">
        <f t="shared" ca="1" si="19"/>
        <v>-102.92999999999995</v>
      </c>
    </row>
    <row r="777" spans="1:25" ht="15" x14ac:dyDescent="0.25">
      <c r="A777" s="4">
        <v>1053</v>
      </c>
      <c r="C777" s="12" t="s">
        <v>2096</v>
      </c>
      <c r="D777" s="12" t="s">
        <v>2097</v>
      </c>
      <c r="E777" s="5" t="str">
        <f t="shared" si="15"/>
        <v>https://www.screener.in/company/SHREDIGCEM/consolidated/</v>
      </c>
      <c r="F777" s="4">
        <v>443059</v>
      </c>
      <c r="G777" s="4">
        <v>3832241897</v>
      </c>
      <c r="H777" s="6">
        <f t="shared" ca="1" si="16"/>
        <v>34605.144329909999</v>
      </c>
      <c r="I777" s="7" t="str">
        <f ca="1">IFERROR(__xludf.DUMMYFUNCTION("IMPORTXML(E777,""/html/body/main/div[3]/div[3]/div[2]/ul/li[5]/span[2]/span"")"),"Loading...")</f>
        <v>Loading...</v>
      </c>
      <c r="J777" s="7">
        <f ca="1">IFERROR(__xludf.DUMMYFUNCTION("GOOGLEFINANCE(""NSE:""&amp;D777,""marketcap"")"),13404260053)</f>
        <v>13404260053</v>
      </c>
      <c r="K777" s="7">
        <v>992.8</v>
      </c>
      <c r="L777" s="8">
        <f ca="1">IFERROR(__xludf.DUMMYFUNCTION("GOOGLEFINANCE(""NSE:""&amp;D777,""price"")"),90.3)</f>
        <v>90.3</v>
      </c>
      <c r="M777" s="9">
        <f t="shared" ca="1" si="17"/>
        <v>-902.5</v>
      </c>
      <c r="N777" s="10">
        <f t="shared" ca="1" si="18"/>
        <v>-90.904512489927484</v>
      </c>
      <c r="O777" s="7">
        <f ca="1">IFERROR(__xludf.DUMMYFUNCTION("GOOGLEFINANCE(""NSE:""&amp;D777,""pe"")"),47.7)</f>
        <v>47.7</v>
      </c>
      <c r="P777" s="7">
        <f ca="1">IFERROR(__xludf.DUMMYFUNCTION("GOOGLEFINANCE(""NSE:""&amp;D777,""EPS"")"),1.89)</f>
        <v>1.89</v>
      </c>
      <c r="Q777" s="7">
        <v>13.5</v>
      </c>
      <c r="R777" s="7" t="str">
        <f ca="1">IFERROR(__xludf.DUMMYFUNCTION("IMPORTXML(E777,""/html/body/main/div[3]/div[3]/div[2]/ul/li[7]/span[2]/span"")"),"Loading...")</f>
        <v>Loading...</v>
      </c>
      <c r="S777" s="7" t="str">
        <f ca="1">IFERROR(__xludf.DUMMYFUNCTION("IMPORTXML(E777,""/html/body/main/div[3]/div[3]/div[2]/ul/li[8]/span[2]/span"")"),"Loading...")</f>
        <v>Loading...</v>
      </c>
      <c r="T777" s="4">
        <v>34.6</v>
      </c>
      <c r="U777" s="4">
        <v>22.7</v>
      </c>
      <c r="V777" s="4">
        <v>2.6</v>
      </c>
      <c r="W777" s="4">
        <v>5.7</v>
      </c>
      <c r="X777" s="4">
        <v>519.92999999999995</v>
      </c>
      <c r="Y777" s="7">
        <f t="shared" ca="1" si="19"/>
        <v>-429.62999999999994</v>
      </c>
    </row>
    <row r="778" spans="1:25" ht="15" x14ac:dyDescent="0.25">
      <c r="A778" s="4">
        <v>457</v>
      </c>
      <c r="C778" s="12" t="s">
        <v>2098</v>
      </c>
      <c r="D778" s="12" t="s">
        <v>2099</v>
      </c>
      <c r="E778" s="5" t="str">
        <f t="shared" si="15"/>
        <v>https://www.screener.in/company/ROLEXRINGS/consolidated/</v>
      </c>
      <c r="F778" s="4">
        <v>443059</v>
      </c>
      <c r="G778" s="4">
        <v>3832241897</v>
      </c>
      <c r="H778" s="6">
        <f t="shared" ca="1" si="16"/>
        <v>532681.62368299998</v>
      </c>
      <c r="I778" s="7" t="str">
        <f ca="1">IFERROR(__xludf.DUMMYFUNCTION("IMPORTXML(E778,""/html/body/main/div[3]/div[3]/div[2]/ul/li[5]/span[2]/span"")"),"Loading...")</f>
        <v>Loading...</v>
      </c>
      <c r="J778" s="7">
        <f ca="1">IFERROR(__xludf.DUMMYFUNCTION("GOOGLEFINANCE(""NSE:""&amp;D778,""marketcap"")"),37854300900)</f>
        <v>37854300900</v>
      </c>
      <c r="K778" s="7">
        <v>992.8</v>
      </c>
      <c r="L778" s="8">
        <f ca="1">IFERROR(__xludf.DUMMYFUNCTION("GOOGLEFINANCE(""NSE:""&amp;D778,""price"")"),1390)</f>
        <v>1390</v>
      </c>
      <c r="M778" s="9">
        <f t="shared" ca="1" si="17"/>
        <v>397.20000000000005</v>
      </c>
      <c r="N778" s="10">
        <f t="shared" ca="1" si="18"/>
        <v>40.008058017727642</v>
      </c>
      <c r="O778" s="7">
        <f ca="1">IFERROR(__xludf.DUMMYFUNCTION("GOOGLEFINANCE(""NSE:""&amp;D778,""pe"")"),21.85)</f>
        <v>21.85</v>
      </c>
      <c r="P778" s="7">
        <f ca="1">IFERROR(__xludf.DUMMYFUNCTION("GOOGLEFINANCE(""NSE:""&amp;D778,""EPS"")"),63.61)</f>
        <v>63.61</v>
      </c>
      <c r="Q778" s="7">
        <v>13.5</v>
      </c>
      <c r="R778" s="7" t="str">
        <f ca="1">IFERROR(__xludf.DUMMYFUNCTION("IMPORTXML(E778,""/html/body/main/div[3]/div[3]/div[2]/ul/li[7]/span[2]/span"")"),"Loading...")</f>
        <v>Loading...</v>
      </c>
      <c r="S778" s="7" t="str">
        <f ca="1">IFERROR(__xludf.DUMMYFUNCTION("IMPORTXML(E778,""/html/body/main/div[3]/div[3]/div[2]/ul/li[8]/span[2]/span"")"),"Loading...")</f>
        <v>Loading...</v>
      </c>
      <c r="T778" s="4">
        <v>34.6</v>
      </c>
      <c r="U778" s="4">
        <v>22.7</v>
      </c>
      <c r="V778" s="4">
        <v>2.6</v>
      </c>
      <c r="W778" s="4">
        <v>5.7</v>
      </c>
      <c r="X778" s="4">
        <v>519.92999999999995</v>
      </c>
      <c r="Y778" s="7">
        <f t="shared" ca="1" si="19"/>
        <v>870.07</v>
      </c>
    </row>
    <row r="779" spans="1:25" ht="15" x14ac:dyDescent="0.25">
      <c r="A779" s="4">
        <v>158</v>
      </c>
      <c r="C779" s="12" t="s">
        <v>2100</v>
      </c>
      <c r="D779" s="12" t="s">
        <v>2101</v>
      </c>
      <c r="E779" s="5" t="str">
        <f t="shared" si="15"/>
        <v>https://www.screener.in/company/ANANDRATHI/consolidated/</v>
      </c>
      <c r="F779" s="4">
        <v>443059</v>
      </c>
      <c r="G779" s="4">
        <v>3832241897</v>
      </c>
      <c r="H779" s="6">
        <f t="shared" ca="1" si="16"/>
        <v>1127828.7902871</v>
      </c>
      <c r="I779" s="7" t="str">
        <f ca="1">IFERROR(__xludf.DUMMYFUNCTION("IMPORTXML(E779,""/html/body/main/div[3]/div[3]/div[2]/ul/li[5]/span[2]/span"")"),"Loading...")</f>
        <v>Loading...</v>
      </c>
      <c r="J779" s="7">
        <f ca="1">IFERROR(__xludf.DUMMYFUNCTION("GOOGLEFINANCE(""NSE:""&amp;D779,""marketcap"")"),244329714090)</f>
        <v>244329714090</v>
      </c>
      <c r="K779" s="7">
        <v>992.8</v>
      </c>
      <c r="L779" s="8">
        <f ca="1">IFERROR(__xludf.DUMMYFUNCTION("GOOGLEFINANCE(""NSE:""&amp;D779,""price"")"),2943)</f>
        <v>2943</v>
      </c>
      <c r="M779" s="9">
        <f t="shared" ca="1" si="17"/>
        <v>1950.2</v>
      </c>
      <c r="N779" s="10">
        <f t="shared" ca="1" si="18"/>
        <v>196.43432715551975</v>
      </c>
      <c r="O779" s="7">
        <f ca="1">IFERROR(__xludf.DUMMYFUNCTION("GOOGLEFINANCE(""NSE:""&amp;D779,""pe"")"),51.59)</f>
        <v>51.59</v>
      </c>
      <c r="P779" s="7">
        <f ca="1">IFERROR(__xludf.DUMMYFUNCTION("GOOGLEFINANCE(""NSE:""&amp;D779,""EPS"")"),57.04)</f>
        <v>57.04</v>
      </c>
      <c r="Q779" s="7">
        <v>13.5</v>
      </c>
      <c r="R779" s="7" t="str">
        <f ca="1">IFERROR(__xludf.DUMMYFUNCTION("IMPORTXML(E779,""/html/body/main/div[3]/div[3]/div[2]/ul/li[7]/span[2]/span"")"),"Loading...")</f>
        <v>Loading...</v>
      </c>
      <c r="S779" s="7" t="str">
        <f ca="1">IFERROR(__xludf.DUMMYFUNCTION("IMPORTXML(E779,""/html/body/main/div[3]/div[3]/div[2]/ul/li[8]/span[2]/span"")"),"Loading...")</f>
        <v>Loading...</v>
      </c>
      <c r="T779" s="4">
        <v>34.6</v>
      </c>
      <c r="U779" s="4">
        <v>22.7</v>
      </c>
      <c r="V779" s="4">
        <v>2.6</v>
      </c>
      <c r="W779" s="4">
        <v>5.7</v>
      </c>
      <c r="X779" s="4">
        <v>519.92999999999995</v>
      </c>
      <c r="Y779" s="7">
        <f t="shared" ca="1" si="19"/>
        <v>2423.0700000000002</v>
      </c>
    </row>
    <row r="780" spans="1:25" ht="15" x14ac:dyDescent="0.25">
      <c r="A780" s="4">
        <v>260</v>
      </c>
      <c r="C780" s="12" t="s">
        <v>2102</v>
      </c>
      <c r="D780" s="12" t="s">
        <v>2103</v>
      </c>
      <c r="E780" s="5" t="str">
        <f t="shared" si="15"/>
        <v>https://www.screener.in/company/HAPPYFORGE/consolidated/</v>
      </c>
      <c r="F780" s="4">
        <v>443059</v>
      </c>
      <c r="G780" s="4">
        <v>3832241897</v>
      </c>
      <c r="H780" s="6">
        <f t="shared" ca="1" si="16"/>
        <v>336087.6143669</v>
      </c>
      <c r="I780" s="7" t="str">
        <f ca="1">IFERROR(__xludf.DUMMYFUNCTION("IMPORTXML(E780,""/html/body/main/div[3]/div[3]/div[2]/ul/li[5]/span[2]/span"")"),"Loading...")</f>
        <v>Loading...</v>
      </c>
      <c r="J780" s="7">
        <f ca="1">IFERROR(__xludf.DUMMYFUNCTION("GOOGLEFINANCE(""NSE:""&amp;D780,""marketcap"")"),82688830770)</f>
        <v>82688830770</v>
      </c>
      <c r="K780" s="7">
        <v>992.8</v>
      </c>
      <c r="L780" s="8">
        <f ca="1">IFERROR(__xludf.DUMMYFUNCTION("GOOGLEFINANCE(""NSE:""&amp;D780,""price"")"),877)</f>
        <v>877</v>
      </c>
      <c r="M780" s="9">
        <f t="shared" ca="1" si="17"/>
        <v>-115.79999999999995</v>
      </c>
      <c r="N780" s="10">
        <f t="shared" ca="1" si="18"/>
        <v>-11.663980660757449</v>
      </c>
      <c r="O780" s="7">
        <f ca="1">IFERROR(__xludf.DUMMYFUNCTION("GOOGLEFINANCE(""NSE:""&amp;D780,""pe"")"),30.71)</f>
        <v>30.71</v>
      </c>
      <c r="P780" s="7">
        <f ca="1">IFERROR(__xludf.DUMMYFUNCTION("GOOGLEFINANCE(""NSE:""&amp;D780,""EPS"")"),28.56)</f>
        <v>28.56</v>
      </c>
      <c r="Q780" s="7">
        <v>13.5</v>
      </c>
      <c r="R780" s="7" t="str">
        <f ca="1">IFERROR(__xludf.DUMMYFUNCTION("IMPORTXML(E780,""/html/body/main/div[3]/div[3]/div[2]/ul/li[7]/span[2]/span"")"),"Loading...")</f>
        <v>Loading...</v>
      </c>
      <c r="S780" s="7" t="str">
        <f ca="1">IFERROR(__xludf.DUMMYFUNCTION("IMPORTXML(E780,""/html/body/main/div[3]/div[3]/div[2]/ul/li[8]/span[2]/span"")"),"Loading...")</f>
        <v>Loading...</v>
      </c>
      <c r="T780" s="4">
        <v>34.6</v>
      </c>
      <c r="U780" s="4">
        <v>22.7</v>
      </c>
      <c r="V780" s="4">
        <v>2.6</v>
      </c>
      <c r="W780" s="4">
        <v>5.7</v>
      </c>
      <c r="X780" s="4">
        <v>519.92999999999995</v>
      </c>
      <c r="Y780" s="7">
        <f t="shared" ca="1" si="19"/>
        <v>357.07000000000005</v>
      </c>
    </row>
    <row r="781" spans="1:25" ht="15" x14ac:dyDescent="0.25">
      <c r="A781" s="4">
        <v>609</v>
      </c>
      <c r="C781" s="12" t="s">
        <v>2104</v>
      </c>
      <c r="D781" s="12" t="s">
        <v>2105</v>
      </c>
      <c r="E781" s="5" t="str">
        <f t="shared" si="15"/>
        <v>https://www.screener.in/company/VSTTILLERS/consolidated/</v>
      </c>
      <c r="F781" s="4">
        <v>443059</v>
      </c>
      <c r="G781" s="4">
        <v>3832241897</v>
      </c>
      <c r="H781" s="6">
        <f t="shared" ca="1" si="16"/>
        <v>2019591.4797189999</v>
      </c>
      <c r="I781" s="7" t="str">
        <f ca="1">IFERROR(__xludf.DUMMYFUNCTION("IMPORTXML(E781,""/html/body/main/div[3]/div[3]/div[2]/ul/li[5]/span[2]/span"")"),"Loading...")</f>
        <v>Loading...</v>
      </c>
      <c r="J781" s="7">
        <f ca="1">IFERROR(__xludf.DUMMYFUNCTION("GOOGLEFINANCE(""NSE:""&amp;D781,""marketcap"")"),45407880000)</f>
        <v>45407880000</v>
      </c>
      <c r="K781" s="7">
        <v>992.8</v>
      </c>
      <c r="L781" s="8">
        <f ca="1">IFERROR(__xludf.DUMMYFUNCTION("GOOGLEFINANCE(""NSE:""&amp;D781,""price"")"),5270)</f>
        <v>5270</v>
      </c>
      <c r="M781" s="9">
        <f t="shared" ca="1" si="17"/>
        <v>4277.2</v>
      </c>
      <c r="N781" s="10">
        <f t="shared" ca="1" si="18"/>
        <v>430.82191780821921</v>
      </c>
      <c r="O781" s="7">
        <f ca="1">IFERROR(__xludf.DUMMYFUNCTION("GOOGLEFINANCE(""NSE:""&amp;D781,""pe"")"),39.8)</f>
        <v>39.799999999999997</v>
      </c>
      <c r="P781" s="7">
        <f ca="1">IFERROR(__xludf.DUMMYFUNCTION("GOOGLEFINANCE(""NSE:""&amp;D781,""EPS"")"),132.42)</f>
        <v>132.41999999999999</v>
      </c>
      <c r="Q781" s="7">
        <v>13.5</v>
      </c>
      <c r="R781" s="7" t="str">
        <f ca="1">IFERROR(__xludf.DUMMYFUNCTION("IMPORTXML(E781,""/html/body/main/div[3]/div[3]/div[2]/ul/li[7]/span[2]/span"")"),"Loading...")</f>
        <v>Loading...</v>
      </c>
      <c r="S781" s="7" t="str">
        <f ca="1">IFERROR(__xludf.DUMMYFUNCTION("IMPORTXML(E781,""/html/body/main/div[3]/div[3]/div[2]/ul/li[8]/span[2]/span"")"),"Loading...")</f>
        <v>Loading...</v>
      </c>
      <c r="T781" s="4">
        <v>34.6</v>
      </c>
      <c r="U781" s="4">
        <v>22.7</v>
      </c>
      <c r="V781" s="4">
        <v>2.6</v>
      </c>
      <c r="W781" s="4">
        <v>5.7</v>
      </c>
      <c r="X781" s="4">
        <v>519.92999999999995</v>
      </c>
      <c r="Y781" s="7">
        <f t="shared" ca="1" si="19"/>
        <v>4750.07</v>
      </c>
    </row>
    <row r="782" spans="1:25" ht="15" x14ac:dyDescent="0.25">
      <c r="A782" s="4">
        <v>1156</v>
      </c>
      <c r="C782" s="12" t="s">
        <v>2106</v>
      </c>
      <c r="D782" s="12" t="s">
        <v>2107</v>
      </c>
      <c r="E782" s="5" t="str">
        <f t="shared" si="15"/>
        <v>https://www.screener.in/company/NELCAST/consolidated/</v>
      </c>
      <c r="F782" s="4">
        <v>443059</v>
      </c>
      <c r="G782" s="4">
        <v>3832241897</v>
      </c>
      <c r="H782" s="6">
        <f t="shared" ca="1" si="16"/>
        <v>56138.511549153001</v>
      </c>
      <c r="I782" s="7" t="str">
        <f ca="1">IFERROR(__xludf.DUMMYFUNCTION("IMPORTXML(E782,""/html/body/main/div[3]/div[3]/div[2]/ul/li[5]/span[2]/span"")"),"Loading...")</f>
        <v>Loading...</v>
      </c>
      <c r="J782" s="7">
        <f ca="1">IFERROR(__xludf.DUMMYFUNCTION("GOOGLEFINANCE(""NSE:""&amp;D782,""marketcap"")"),12744809195)</f>
        <v>12744809195</v>
      </c>
      <c r="K782" s="7">
        <v>992.8</v>
      </c>
      <c r="L782" s="8">
        <f ca="1">IFERROR(__xludf.DUMMYFUNCTION("GOOGLEFINANCE(""NSE:""&amp;D782,""price"")"),146.49)</f>
        <v>146.49</v>
      </c>
      <c r="M782" s="9">
        <f t="shared" ca="1" si="17"/>
        <v>-846.31</v>
      </c>
      <c r="N782" s="10">
        <f t="shared" ca="1" si="18"/>
        <v>-85.244762288477034</v>
      </c>
      <c r="O782" s="7">
        <f ca="1">IFERROR(__xludf.DUMMYFUNCTION("GOOGLEFINANCE(""NSE:""&amp;D782,""pe"")"),30.42)</f>
        <v>30.42</v>
      </c>
      <c r="P782" s="7">
        <f ca="1">IFERROR(__xludf.DUMMYFUNCTION("GOOGLEFINANCE(""NSE:""&amp;D782,""EPS"")"),4.82)</f>
        <v>4.82</v>
      </c>
      <c r="Q782" s="7">
        <v>13.5</v>
      </c>
      <c r="R782" s="7" t="str">
        <f ca="1">IFERROR(__xludf.DUMMYFUNCTION("IMPORTXML(E782,""/html/body/main/div[3]/div[3]/div[2]/ul/li[7]/span[2]/span"")"),"Loading...")</f>
        <v>Loading...</v>
      </c>
      <c r="S782" s="7" t="str">
        <f ca="1">IFERROR(__xludf.DUMMYFUNCTION("IMPORTXML(E782,""/html/body/main/div[3]/div[3]/div[2]/ul/li[8]/span[2]/span"")"),"Loading...")</f>
        <v>Loading...</v>
      </c>
      <c r="T782" s="4">
        <v>34.6</v>
      </c>
      <c r="U782" s="4">
        <v>22.7</v>
      </c>
      <c r="V782" s="4">
        <v>2.6</v>
      </c>
      <c r="W782" s="4">
        <v>5.7</v>
      </c>
      <c r="X782" s="4">
        <v>519.92999999999995</v>
      </c>
      <c r="Y782" s="7">
        <f t="shared" ca="1" si="19"/>
        <v>-373.43999999999994</v>
      </c>
    </row>
    <row r="783" spans="1:25" ht="15" x14ac:dyDescent="0.25">
      <c r="A783" s="4">
        <v>81</v>
      </c>
      <c r="C783" s="12" t="s">
        <v>2108</v>
      </c>
      <c r="D783" s="12" t="s">
        <v>2109</v>
      </c>
      <c r="E783" s="5" t="str">
        <f t="shared" si="15"/>
        <v>https://www.screener.in/company/APLLTD/consolidated/</v>
      </c>
      <c r="F783" s="4">
        <v>443059</v>
      </c>
      <c r="G783" s="4">
        <v>3832241897</v>
      </c>
      <c r="H783" s="6">
        <f t="shared" ca="1" si="16"/>
        <v>362913.3076459</v>
      </c>
      <c r="I783" s="7" t="str">
        <f ca="1">IFERROR(__xludf.DUMMYFUNCTION("IMPORTXML(E783,""/html/body/main/div[3]/div[3]/div[2]/ul/li[5]/span[2]/span"")"),"Loading...")</f>
        <v>Loading...</v>
      </c>
      <c r="J783" s="7">
        <f ca="1">IFERROR(__xludf.DUMMYFUNCTION("GOOGLEFINANCE(""NSE:""&amp;D783,""marketcap"")"),186047000000)</f>
        <v>186047000000</v>
      </c>
      <c r="K783" s="7">
        <v>992.8</v>
      </c>
      <c r="L783" s="8">
        <f ca="1">IFERROR(__xludf.DUMMYFUNCTION("GOOGLEFINANCE(""NSE:""&amp;D783,""price"")"),947)</f>
        <v>947</v>
      </c>
      <c r="M783" s="9">
        <f t="shared" ca="1" si="17"/>
        <v>-45.799999999999955</v>
      </c>
      <c r="N783" s="10">
        <f t="shared" ca="1" si="18"/>
        <v>-4.6132151490733238</v>
      </c>
      <c r="O783" s="7">
        <f ca="1">IFERROR(__xludf.DUMMYFUNCTION("GOOGLEFINANCE(""NSE:""&amp;D783,""pe"")"),30.85)</f>
        <v>30.85</v>
      </c>
      <c r="P783" s="7">
        <f ca="1">IFERROR(__xludf.DUMMYFUNCTION("GOOGLEFINANCE(""NSE:""&amp;D783,""EPS"")"),30.7)</f>
        <v>30.7</v>
      </c>
      <c r="Q783" s="7">
        <v>13.5</v>
      </c>
      <c r="R783" s="7" t="str">
        <f ca="1">IFERROR(__xludf.DUMMYFUNCTION("IMPORTXML(E783,""/html/body/main/div[3]/div[3]/div[2]/ul/li[7]/span[2]/span"")"),"Loading...")</f>
        <v>Loading...</v>
      </c>
      <c r="S783" s="7" t="str">
        <f ca="1">IFERROR(__xludf.DUMMYFUNCTION("IMPORTXML(E783,""/html/body/main/div[3]/div[3]/div[2]/ul/li[8]/span[2]/span"")"),"Loading...")</f>
        <v>Loading...</v>
      </c>
      <c r="T783" s="4">
        <v>34.6</v>
      </c>
      <c r="U783" s="4">
        <v>22.7</v>
      </c>
      <c r="V783" s="4">
        <v>2.6</v>
      </c>
      <c r="W783" s="4">
        <v>5.7</v>
      </c>
      <c r="X783" s="4">
        <v>519.92999999999995</v>
      </c>
      <c r="Y783" s="7">
        <f t="shared" ca="1" si="19"/>
        <v>427.07000000000005</v>
      </c>
    </row>
    <row r="784" spans="1:25" ht="15" x14ac:dyDescent="0.25">
      <c r="A784" s="4">
        <v>2529</v>
      </c>
      <c r="C784" s="12" t="s">
        <v>2110</v>
      </c>
      <c r="D784" s="12" t="s">
        <v>2111</v>
      </c>
      <c r="E784" s="5" t="str">
        <f t="shared" si="15"/>
        <v>https://www.screener.in/company/HISARMETAL/consolidated/</v>
      </c>
      <c r="F784" s="4">
        <v>443059</v>
      </c>
      <c r="G784" s="4">
        <v>3832241897</v>
      </c>
      <c r="H784" s="6">
        <f t="shared" ca="1" si="16"/>
        <v>72199.437339480006</v>
      </c>
      <c r="I784" s="7" t="str">
        <f ca="1">IFERROR(__xludf.DUMMYFUNCTION("IMPORTXML(E784,""/html/body/main/div[3]/div[3]/div[2]/ul/li[5]/span[2]/span"")"),"Loading...")</f>
        <v>Loading...</v>
      </c>
      <c r="J784" s="7">
        <f ca="1">IFERROR(__xludf.DUMMYFUNCTION("GOOGLEFINANCE(""NSE:""&amp;D784,""marketcap"")"),1024164000)</f>
        <v>1024164000</v>
      </c>
      <c r="K784" s="7">
        <v>992.8</v>
      </c>
      <c r="L784" s="8">
        <f ca="1">IFERROR(__xludf.DUMMYFUNCTION("GOOGLEFINANCE(""NSE:""&amp;D784,""price"")"),188.4)</f>
        <v>188.4</v>
      </c>
      <c r="M784" s="9">
        <f t="shared" ca="1" si="17"/>
        <v>-804.4</v>
      </c>
      <c r="N784" s="10">
        <f t="shared" ca="1" si="18"/>
        <v>-81.023368251410162</v>
      </c>
      <c r="O784" s="7">
        <f ca="1">IFERROR(__xludf.DUMMYFUNCTION("GOOGLEFINANCE(""NSE:""&amp;D784,""pe"")"),37.16)</f>
        <v>37.159999999999997</v>
      </c>
      <c r="P784" s="7">
        <f ca="1">IFERROR(__xludf.DUMMYFUNCTION("GOOGLEFINANCE(""NSE:""&amp;D784,""EPS"")"),5.07)</f>
        <v>5.07</v>
      </c>
      <c r="Q784" s="7">
        <v>13.5</v>
      </c>
      <c r="R784" s="7" t="str">
        <f ca="1">IFERROR(__xludf.DUMMYFUNCTION("IMPORTXML(E784,""/html/body/main/div[3]/div[3]/div[2]/ul/li[7]/span[2]/span"")"),"Loading...")</f>
        <v>Loading...</v>
      </c>
      <c r="S784" s="7" t="str">
        <f ca="1">IFERROR(__xludf.DUMMYFUNCTION("IMPORTXML(E784,""/html/body/main/div[3]/div[3]/div[2]/ul/li[8]/span[2]/span"")"),"Loading...")</f>
        <v>Loading...</v>
      </c>
      <c r="T784" s="4">
        <v>34.6</v>
      </c>
      <c r="U784" s="4">
        <v>22.7</v>
      </c>
      <c r="V784" s="4">
        <v>2.6</v>
      </c>
      <c r="W784" s="4">
        <v>5.7</v>
      </c>
      <c r="X784" s="4">
        <v>519.92999999999995</v>
      </c>
      <c r="Y784" s="7">
        <f t="shared" ca="1" si="19"/>
        <v>-331.53</v>
      </c>
    </row>
    <row r="785" spans="1:25" ht="15" x14ac:dyDescent="0.25">
      <c r="A785" s="4">
        <v>1517</v>
      </c>
      <c r="C785" s="12" t="s">
        <v>2112</v>
      </c>
      <c r="D785" s="12" t="s">
        <v>2113</v>
      </c>
      <c r="E785" s="5" t="str">
        <f t="shared" si="15"/>
        <v>https://www.screener.in/company/ASAHISONG/consolidated/</v>
      </c>
      <c r="F785" s="4">
        <v>443059</v>
      </c>
      <c r="G785" s="4">
        <v>3832241897</v>
      </c>
      <c r="H785" s="6">
        <f t="shared" ca="1" si="16"/>
        <v>112706.23419077002</v>
      </c>
      <c r="I785" s="7" t="str">
        <f ca="1">IFERROR(__xludf.DUMMYFUNCTION("IMPORTXML(E785,""/html/body/main/div[3]/div[3]/div[2]/ul/li[5]/span[2]/span"")"),"Loading...")</f>
        <v>Loading...</v>
      </c>
      <c r="J785" s="7">
        <f ca="1">IFERROR(__xludf.DUMMYFUNCTION("GOOGLEFINANCE(""NSE:""&amp;D785,""marketcap"")"),3482547000)</f>
        <v>3482547000</v>
      </c>
      <c r="K785" s="7">
        <v>992.8</v>
      </c>
      <c r="L785" s="8">
        <f ca="1">IFERROR(__xludf.DUMMYFUNCTION("GOOGLEFINANCE(""NSE:""&amp;D785,""price"")"),294.1)</f>
        <v>294.10000000000002</v>
      </c>
      <c r="M785" s="9">
        <f t="shared" ca="1" si="17"/>
        <v>-698.69999999999993</v>
      </c>
      <c r="N785" s="10">
        <f t="shared" ca="1" si="18"/>
        <v>-70.376712328767127</v>
      </c>
      <c r="O785" s="7">
        <f ca="1">IFERROR(__xludf.DUMMYFUNCTION("GOOGLEFINANCE(""NSE:""&amp;D785,""pe"")"),19.51)</f>
        <v>19.510000000000002</v>
      </c>
      <c r="P785" s="7">
        <f ca="1">IFERROR(__xludf.DUMMYFUNCTION("GOOGLEFINANCE(""NSE:""&amp;D785,""EPS"")"),15.07)</f>
        <v>15.07</v>
      </c>
      <c r="Q785" s="7">
        <v>13.5</v>
      </c>
      <c r="R785" s="7" t="str">
        <f ca="1">IFERROR(__xludf.DUMMYFUNCTION("IMPORTXML(E785,""/html/body/main/div[3]/div[3]/div[2]/ul/li[7]/span[2]/span"")"),"Loading...")</f>
        <v>Loading...</v>
      </c>
      <c r="S785" s="7" t="str">
        <f ca="1">IFERROR(__xludf.DUMMYFUNCTION("IMPORTXML(E785,""/html/body/main/div[3]/div[3]/div[2]/ul/li[8]/span[2]/span"")"),"Loading...")</f>
        <v>Loading...</v>
      </c>
      <c r="T785" s="4">
        <v>34.6</v>
      </c>
      <c r="U785" s="4">
        <v>22.7</v>
      </c>
      <c r="V785" s="4">
        <v>2.6</v>
      </c>
      <c r="W785" s="4">
        <v>5.7</v>
      </c>
      <c r="X785" s="4">
        <v>519.92999999999995</v>
      </c>
      <c r="Y785" s="7">
        <f t="shared" ca="1" si="19"/>
        <v>-225.82999999999993</v>
      </c>
    </row>
    <row r="786" spans="1:25" ht="15" x14ac:dyDescent="0.25">
      <c r="A786" s="4">
        <v>2265</v>
      </c>
      <c r="C786" s="12" t="s">
        <v>2114</v>
      </c>
      <c r="D786" s="12" t="s">
        <v>2115</v>
      </c>
      <c r="E786" s="5" t="str">
        <f t="shared" si="15"/>
        <v>https://www.screener.in/company/PRUDMOULI/consolidated/</v>
      </c>
      <c r="F786" s="4">
        <v>443059</v>
      </c>
      <c r="G786" s="4">
        <v>3832241897</v>
      </c>
      <c r="H786" s="6">
        <f t="shared" ca="1" si="16"/>
        <v>14321.087969088998</v>
      </c>
      <c r="I786" s="7" t="str">
        <f ca="1">IFERROR(__xludf.DUMMYFUNCTION("IMPORTXML(E786,""/html/body/main/div[3]/div[3]/div[2]/ul/li[5]/span[2]/span"")"),"Loading...")</f>
        <v>Loading...</v>
      </c>
      <c r="J786" s="7">
        <f ca="1">IFERROR(__xludf.DUMMYFUNCTION("GOOGLEFINANCE(""NSE:""&amp;D786,""marketcap"")"),1185906000)</f>
        <v>1185906000</v>
      </c>
      <c r="K786" s="7">
        <v>992.8</v>
      </c>
      <c r="L786" s="8">
        <f ca="1">IFERROR(__xludf.DUMMYFUNCTION("GOOGLEFINANCE(""NSE:""&amp;D786,""price"")"),37.37)</f>
        <v>37.369999999999997</v>
      </c>
      <c r="M786" s="9">
        <f t="shared" ca="1" si="17"/>
        <v>-955.43</v>
      </c>
      <c r="N786" s="10">
        <f t="shared" ca="1" si="18"/>
        <v>-96.235898468976629</v>
      </c>
      <c r="O786" s="7">
        <f ca="1">IFERROR(__xludf.DUMMYFUNCTION("GOOGLEFINANCE(""NSE:""&amp;D786,""pe"")"),22.51)</f>
        <v>22.51</v>
      </c>
      <c r="P786" s="7">
        <f ca="1">IFERROR(__xludf.DUMMYFUNCTION("GOOGLEFINANCE(""NSE:""&amp;D786,""EPS"")"),1.66)</f>
        <v>1.66</v>
      </c>
      <c r="Q786" s="7">
        <v>13.5</v>
      </c>
      <c r="R786" s="7" t="str">
        <f ca="1">IFERROR(__xludf.DUMMYFUNCTION("IMPORTXML(E786,""/html/body/main/div[3]/div[3]/div[2]/ul/li[7]/span[2]/span"")"),"Loading...")</f>
        <v>Loading...</v>
      </c>
      <c r="S786" s="7" t="str">
        <f ca="1">IFERROR(__xludf.DUMMYFUNCTION("IMPORTXML(E786,""/html/body/main/div[3]/div[3]/div[2]/ul/li[8]/span[2]/span"")"),"Loading...")</f>
        <v>Loading...</v>
      </c>
      <c r="T786" s="4">
        <v>34.6</v>
      </c>
      <c r="U786" s="4">
        <v>22.7</v>
      </c>
      <c r="V786" s="4">
        <v>2.6</v>
      </c>
      <c r="W786" s="4">
        <v>5.7</v>
      </c>
      <c r="X786" s="4">
        <v>519.92999999999995</v>
      </c>
      <c r="Y786" s="7">
        <f t="shared" ca="1" si="19"/>
        <v>-482.55999999999995</v>
      </c>
    </row>
    <row r="787" spans="1:25" ht="15" x14ac:dyDescent="0.25">
      <c r="A787" s="4">
        <v>3</v>
      </c>
      <c r="C787" s="12" t="s">
        <v>2116</v>
      </c>
      <c r="D787" s="12" t="s">
        <v>2117</v>
      </c>
      <c r="E787" s="5" t="str">
        <f t="shared" si="15"/>
        <v>https://www.screener.in/company/STARHEALTH/consolidated/</v>
      </c>
      <c r="F787" s="4">
        <v>443059</v>
      </c>
      <c r="G787" s="4">
        <v>3832241897</v>
      </c>
      <c r="H787" s="6">
        <f t="shared" ca="1" si="16"/>
        <v>170419.79715959</v>
      </c>
      <c r="I787" s="7" t="str">
        <f ca="1">IFERROR(__xludf.DUMMYFUNCTION("IMPORTXML(E787,""/html/body/main/div[3]/div[3]/div[2]/ul/li[5]/span[2]/span"")"),"Loading...")</f>
        <v>Loading...</v>
      </c>
      <c r="J787" s="7">
        <f ca="1">IFERROR(__xludf.DUMMYFUNCTION("GOOGLEFINANCE(""NSE:""&amp;D787,""marketcap"")"),259769254216)</f>
        <v>259769254216</v>
      </c>
      <c r="K787" s="7">
        <v>992.8</v>
      </c>
      <c r="L787" s="8">
        <f ca="1">IFERROR(__xludf.DUMMYFUNCTION("GOOGLEFINANCE(""NSE:""&amp;D787,""price"")"),444.7)</f>
        <v>444.7</v>
      </c>
      <c r="M787" s="9">
        <f t="shared" ca="1" si="17"/>
        <v>-548.09999999999991</v>
      </c>
      <c r="N787" s="10">
        <f t="shared" ca="1" si="18"/>
        <v>-55.207493956486701</v>
      </c>
      <c r="O787" s="7">
        <f ca="1">IFERROR(__xludf.DUMMYFUNCTION("GOOGLEFINANCE(""NSE:""&amp;D787,""pe"")"),44.84)</f>
        <v>44.84</v>
      </c>
      <c r="P787" s="7">
        <f ca="1">IFERROR(__xludf.DUMMYFUNCTION("GOOGLEFINANCE(""NSE:""&amp;D787,""EPS"")"),9.92)</f>
        <v>9.92</v>
      </c>
      <c r="Q787" s="7">
        <v>13.5</v>
      </c>
      <c r="R787" s="7" t="str">
        <f ca="1">IFERROR(__xludf.DUMMYFUNCTION("IMPORTXML(E787,""/html/body/main/div[3]/div[3]/div[2]/ul/li[7]/span[2]/span"")"),"Loading...")</f>
        <v>Loading...</v>
      </c>
      <c r="S787" s="7" t="str">
        <f ca="1">IFERROR(__xludf.DUMMYFUNCTION("IMPORTXML(E787,""/html/body/main/div[3]/div[3]/div[2]/ul/li[8]/span[2]/span"")"),"Loading...")</f>
        <v>Loading...</v>
      </c>
      <c r="T787" s="4">
        <v>34.6</v>
      </c>
      <c r="U787" s="4">
        <v>22.7</v>
      </c>
      <c r="V787" s="4">
        <v>2.6</v>
      </c>
      <c r="W787" s="4">
        <v>5.7</v>
      </c>
      <c r="X787" s="4">
        <v>519.92999999999995</v>
      </c>
      <c r="Y787" s="7">
        <f t="shared" ca="1" si="19"/>
        <v>-75.229999999999961</v>
      </c>
    </row>
    <row r="788" spans="1:25" ht="15" x14ac:dyDescent="0.25">
      <c r="A788" s="4">
        <v>1162</v>
      </c>
      <c r="C788" s="12" t="s">
        <v>2118</v>
      </c>
      <c r="D788" s="12" t="s">
        <v>2119</v>
      </c>
      <c r="E788" s="5" t="str">
        <f t="shared" si="15"/>
        <v>https://www.screener.in/company/FAZE3Q/consolidated/</v>
      </c>
      <c r="F788" s="4">
        <v>443059</v>
      </c>
      <c r="G788" s="4">
        <v>3832241897</v>
      </c>
      <c r="H788" s="6">
        <f t="shared" ca="1" si="16"/>
        <v>157332.69108133501</v>
      </c>
      <c r="I788" s="7" t="str">
        <f ca="1">IFERROR(__xludf.DUMMYFUNCTION("IMPORTXML(E788,""/html/body/main/div[3]/div[3]/div[2]/ul/li[5]/span[2]/span"")"),"Loading...")</f>
        <v>Loading...</v>
      </c>
      <c r="J788" s="7">
        <f ca="1">IFERROR(__xludf.DUMMYFUNCTION("GOOGLEFINANCE(""NSE:""&amp;D788,""marketcap"")"),9972620487)</f>
        <v>9972620487</v>
      </c>
      <c r="K788" s="7">
        <v>992.8</v>
      </c>
      <c r="L788" s="8">
        <f ca="1">IFERROR(__xludf.DUMMYFUNCTION("GOOGLEFINANCE(""NSE:""&amp;D788,""price"")"),410.55)</f>
        <v>410.55</v>
      </c>
      <c r="M788" s="9">
        <f t="shared" ca="1" si="17"/>
        <v>-582.25</v>
      </c>
      <c r="N788" s="10">
        <f t="shared" ca="1" si="18"/>
        <v>-58.647260273972599</v>
      </c>
      <c r="O788" s="7">
        <f ca="1">IFERROR(__xludf.DUMMYFUNCTION("GOOGLEFINANCE(""NSE:""&amp;D788,""pe"")"),21.63)</f>
        <v>21.63</v>
      </c>
      <c r="P788" s="7">
        <f ca="1">IFERROR(__xludf.DUMMYFUNCTION("GOOGLEFINANCE(""NSE:""&amp;D788,""EPS"")"),18.98)</f>
        <v>18.98</v>
      </c>
      <c r="Q788" s="7">
        <v>13.5</v>
      </c>
      <c r="R788" s="7" t="str">
        <f ca="1">IFERROR(__xludf.DUMMYFUNCTION("IMPORTXML(E788,""/html/body/main/div[3]/div[3]/div[2]/ul/li[7]/span[2]/span"")"),"Loading...")</f>
        <v>Loading...</v>
      </c>
      <c r="S788" s="7" t="str">
        <f ca="1">IFERROR(__xludf.DUMMYFUNCTION("IMPORTXML(E788,""/html/body/main/div[3]/div[3]/div[2]/ul/li[8]/span[2]/span"")"),"Loading...")</f>
        <v>Loading...</v>
      </c>
      <c r="T788" s="4">
        <v>34.6</v>
      </c>
      <c r="U788" s="4">
        <v>22.7</v>
      </c>
      <c r="V788" s="4">
        <v>2.6</v>
      </c>
      <c r="W788" s="4">
        <v>5.7</v>
      </c>
      <c r="X788" s="4">
        <v>519.92999999999995</v>
      </c>
      <c r="Y788" s="7">
        <f t="shared" ca="1" si="19"/>
        <v>-109.37999999999994</v>
      </c>
    </row>
    <row r="789" spans="1:25" ht="15" x14ac:dyDescent="0.25">
      <c r="A789" s="4">
        <v>872</v>
      </c>
      <c r="C789" s="12" t="s">
        <v>2120</v>
      </c>
      <c r="D789" s="12" t="s">
        <v>2121</v>
      </c>
      <c r="E789" s="5" t="str">
        <f t="shared" si="15"/>
        <v>https://www.screener.in/company/PLATIND/consolidated/</v>
      </c>
      <c r="F789" s="4">
        <v>443059</v>
      </c>
      <c r="G789" s="4">
        <v>3832241897</v>
      </c>
      <c r="H789" s="6">
        <f t="shared" ca="1" si="16"/>
        <v>110636.82356638998</v>
      </c>
      <c r="I789" s="7" t="str">
        <f ca="1">IFERROR(__xludf.DUMMYFUNCTION("IMPORTXML(E789,""/html/body/main/div[3]/div[3]/div[2]/ul/li[5]/span[2]/span"")"),"Loading...")</f>
        <v>Loading...</v>
      </c>
      <c r="J789" s="7">
        <f ca="1">IFERROR(__xludf.DUMMYFUNCTION("GOOGLEFINANCE(""NSE:""&amp;D789,""marketcap"")"),15749257535)</f>
        <v>15749257535</v>
      </c>
      <c r="K789" s="7">
        <v>992.8</v>
      </c>
      <c r="L789" s="8">
        <f ca="1">IFERROR(__xludf.DUMMYFUNCTION("GOOGLEFINANCE(""NSE:""&amp;D789,""price"")"),288.7)</f>
        <v>288.7</v>
      </c>
      <c r="M789" s="9">
        <f t="shared" ca="1" si="17"/>
        <v>-704.09999999999991</v>
      </c>
      <c r="N789" s="10">
        <f t="shared" ca="1" si="18"/>
        <v>-70.920628525382739</v>
      </c>
      <c r="O789" s="7">
        <f ca="1">IFERROR(__xludf.DUMMYFUNCTION("GOOGLEFINANCE(""NSE:""&amp;D789,""pe"")"),35.29)</f>
        <v>35.29</v>
      </c>
      <c r="P789" s="7">
        <f ca="1">IFERROR(__xludf.DUMMYFUNCTION("GOOGLEFINANCE(""NSE:""&amp;D789,""EPS"")"),8.18)</f>
        <v>8.18</v>
      </c>
      <c r="Q789" s="7">
        <v>13.5</v>
      </c>
      <c r="R789" s="7" t="str">
        <f ca="1">IFERROR(__xludf.DUMMYFUNCTION("IMPORTXML(E789,""/html/body/main/div[3]/div[3]/div[2]/ul/li[7]/span[2]/span"")"),"Loading...")</f>
        <v>Loading...</v>
      </c>
      <c r="S789" s="7" t="str">
        <f ca="1">IFERROR(__xludf.DUMMYFUNCTION("IMPORTXML(E789,""/html/body/main/div[3]/div[3]/div[2]/ul/li[8]/span[2]/span"")"),"Loading...")</f>
        <v>Loading...</v>
      </c>
      <c r="T789" s="4">
        <v>34.6</v>
      </c>
      <c r="U789" s="4">
        <v>22.7</v>
      </c>
      <c r="V789" s="4">
        <v>2.6</v>
      </c>
      <c r="W789" s="4">
        <v>5.7</v>
      </c>
      <c r="X789" s="4">
        <v>519.92999999999995</v>
      </c>
      <c r="Y789" s="7">
        <f t="shared" ca="1" si="19"/>
        <v>-231.22999999999996</v>
      </c>
    </row>
    <row r="790" spans="1:25" ht="15" x14ac:dyDescent="0.25">
      <c r="A790" s="4">
        <v>706</v>
      </c>
      <c r="C790" s="12" t="s">
        <v>2122</v>
      </c>
      <c r="D790" s="12" t="s">
        <v>2123</v>
      </c>
      <c r="E790" s="5" t="str">
        <f t="shared" si="15"/>
        <v>https://www.screener.in/company/EVEREADY/consolidated/</v>
      </c>
      <c r="F790" s="4">
        <v>443059</v>
      </c>
      <c r="G790" s="4">
        <v>3832241897</v>
      </c>
      <c r="H790" s="6">
        <f t="shared" ca="1" si="16"/>
        <v>178793.24570453502</v>
      </c>
      <c r="I790" s="7" t="str">
        <f ca="1">IFERROR(__xludf.DUMMYFUNCTION("IMPORTXML(E790,""/html/body/main/div[3]/div[3]/div[2]/ul/li[5]/span[2]/span"")"),"Loading...")</f>
        <v>Loading...</v>
      </c>
      <c r="J790" s="7">
        <f ca="1">IFERROR(__xludf.DUMMYFUNCTION("GOOGLEFINANCE(""NSE:""&amp;D790,""marketcap"")"),33955850000)</f>
        <v>33955850000</v>
      </c>
      <c r="K790" s="7">
        <v>992.8</v>
      </c>
      <c r="L790" s="8">
        <f ca="1">IFERROR(__xludf.DUMMYFUNCTION("GOOGLEFINANCE(""NSE:""&amp;D790,""price"")"),466.55)</f>
        <v>466.55</v>
      </c>
      <c r="M790" s="9">
        <f t="shared" ca="1" si="17"/>
        <v>-526.25</v>
      </c>
      <c r="N790" s="10">
        <f t="shared" ca="1" si="18"/>
        <v>-53.0066478646253</v>
      </c>
      <c r="O790" s="7">
        <f ca="1">IFERROR(__xludf.DUMMYFUNCTION("GOOGLEFINANCE(""NSE:""&amp;D790,""pe"")"),40.7)</f>
        <v>40.700000000000003</v>
      </c>
      <c r="P790" s="7">
        <f ca="1">IFERROR(__xludf.DUMMYFUNCTION("GOOGLEFINANCE(""NSE:""&amp;D790,""EPS"")"),11.46)</f>
        <v>11.46</v>
      </c>
      <c r="Q790" s="7">
        <v>13.5</v>
      </c>
      <c r="R790" s="7" t="str">
        <f ca="1">IFERROR(__xludf.DUMMYFUNCTION("IMPORTXML(E790,""/html/body/main/div[3]/div[3]/div[2]/ul/li[7]/span[2]/span"")"),"Loading...")</f>
        <v>Loading...</v>
      </c>
      <c r="S790" s="7" t="str">
        <f ca="1">IFERROR(__xludf.DUMMYFUNCTION("IMPORTXML(E790,""/html/body/main/div[3]/div[3]/div[2]/ul/li[8]/span[2]/span"")"),"Loading...")</f>
        <v>Loading...</v>
      </c>
      <c r="T790" s="4">
        <v>34.6</v>
      </c>
      <c r="U790" s="4">
        <v>22.7</v>
      </c>
      <c r="V790" s="4">
        <v>2.6</v>
      </c>
      <c r="W790" s="4">
        <v>5.7</v>
      </c>
      <c r="X790" s="4">
        <v>519.92999999999995</v>
      </c>
      <c r="Y790" s="7">
        <f t="shared" ca="1" si="19"/>
        <v>-53.379999999999939</v>
      </c>
    </row>
    <row r="791" spans="1:25" ht="15" x14ac:dyDescent="0.25">
      <c r="A791" s="4">
        <v>1918</v>
      </c>
      <c r="C791" s="12" t="s">
        <v>2124</v>
      </c>
      <c r="D791" s="12" t="s">
        <v>2125</v>
      </c>
      <c r="E791" s="5" t="str">
        <f t="shared" si="15"/>
        <v>https://www.screener.in/company/NITIRAJ/consolidated/</v>
      </c>
      <c r="F791" s="4">
        <v>443059</v>
      </c>
      <c r="G791" s="4">
        <v>3832241897</v>
      </c>
      <c r="H791" s="6">
        <f t="shared" ca="1" si="16"/>
        <v>73628.863567060995</v>
      </c>
      <c r="I791" s="7" t="str">
        <f ca="1">IFERROR(__xludf.DUMMYFUNCTION("IMPORTXML(E791,""/html/body/main/div[3]/div[3]/div[2]/ul/li[5]/span[2]/span"")"),"Loading...")</f>
        <v>Loading...</v>
      </c>
      <c r="J791" s="7">
        <f ca="1">IFERROR(__xludf.DUMMYFUNCTION("GOOGLEFINANCE(""NSE:""&amp;D791,""marketcap"")"),1969522758)</f>
        <v>1969522758</v>
      </c>
      <c r="K791" s="7">
        <v>992.8</v>
      </c>
      <c r="L791" s="8">
        <f ca="1">IFERROR(__xludf.DUMMYFUNCTION("GOOGLEFINANCE(""NSE:""&amp;D791,""price"")"),192.13)</f>
        <v>192.13</v>
      </c>
      <c r="M791" s="9">
        <f t="shared" ca="1" si="17"/>
        <v>-800.67</v>
      </c>
      <c r="N791" s="10">
        <f t="shared" ca="1" si="18"/>
        <v>-80.647663174858991</v>
      </c>
      <c r="O791" s="7">
        <f ca="1">IFERROR(__xludf.DUMMYFUNCTION("GOOGLEFINANCE(""NSE:""&amp;D791,""pe"")"),32.02)</f>
        <v>32.020000000000003</v>
      </c>
      <c r="P791" s="7">
        <f ca="1">IFERROR(__xludf.DUMMYFUNCTION("GOOGLEFINANCE(""NSE:""&amp;D791,""EPS"")"),6)</f>
        <v>6</v>
      </c>
      <c r="Q791" s="7">
        <v>13.5</v>
      </c>
      <c r="R791" s="7" t="str">
        <f ca="1">IFERROR(__xludf.DUMMYFUNCTION("IMPORTXML(E791,""/html/body/main/div[3]/div[3]/div[2]/ul/li[7]/span[2]/span"")"),"Loading...")</f>
        <v>Loading...</v>
      </c>
      <c r="S791" s="7" t="str">
        <f ca="1">IFERROR(__xludf.DUMMYFUNCTION("IMPORTXML(E791,""/html/body/main/div[3]/div[3]/div[2]/ul/li[8]/span[2]/span"")"),"Loading...")</f>
        <v>Loading...</v>
      </c>
      <c r="T791" s="4">
        <v>34.6</v>
      </c>
      <c r="U791" s="4">
        <v>22.7</v>
      </c>
      <c r="V791" s="4">
        <v>2.6</v>
      </c>
      <c r="W791" s="4">
        <v>5.7</v>
      </c>
      <c r="X791" s="4">
        <v>519.92999999999995</v>
      </c>
      <c r="Y791" s="7">
        <f t="shared" ca="1" si="19"/>
        <v>-327.79999999999995</v>
      </c>
    </row>
    <row r="792" spans="1:25" ht="15" x14ac:dyDescent="0.25">
      <c r="A792" s="4">
        <v>2046</v>
      </c>
      <c r="C792" s="12" t="s">
        <v>2126</v>
      </c>
      <c r="D792" s="12" t="s">
        <v>2127</v>
      </c>
      <c r="E792" s="5" t="str">
        <f t="shared" si="15"/>
        <v>https://www.screener.in/company/MODTHREAD/consolidated/</v>
      </c>
      <c r="F792" s="4">
        <v>443059</v>
      </c>
      <c r="G792" s="4">
        <v>3832241897</v>
      </c>
      <c r="H792" s="6">
        <f t="shared" ca="1" si="16"/>
        <v>22828.664980428999</v>
      </c>
      <c r="I792" s="7" t="str">
        <f ca="1">IFERROR(__xludf.DUMMYFUNCTION("IMPORTXML(E792,""/html/body/main/div[3]/div[3]/div[2]/ul/li[5]/span[2]/span"")"),"Loading...")</f>
        <v>Loading...</v>
      </c>
      <c r="J792" s="7">
        <f ca="1">IFERROR(__xludf.DUMMYFUNCTION("GOOGLEFINANCE(""NSE:""&amp;D792,""marketcap"")"),2071555674)</f>
        <v>2071555674</v>
      </c>
      <c r="K792" s="7">
        <v>992.8</v>
      </c>
      <c r="L792" s="8">
        <f ca="1">IFERROR(__xludf.DUMMYFUNCTION("GOOGLEFINANCE(""NSE:""&amp;D792,""price"")"),59.57)</f>
        <v>59.57</v>
      </c>
      <c r="M792" s="9">
        <f t="shared" ca="1" si="17"/>
        <v>-933.2299999999999</v>
      </c>
      <c r="N792" s="10">
        <f t="shared" ca="1" si="18"/>
        <v>-93.9997985495568</v>
      </c>
      <c r="O792" s="7">
        <f ca="1">IFERROR(__xludf.DUMMYFUNCTION("GOOGLEFINANCE(""NSE:""&amp;D792,""pe"")"),64.83)</f>
        <v>64.83</v>
      </c>
      <c r="P792" s="7">
        <f ca="1">IFERROR(__xludf.DUMMYFUNCTION("GOOGLEFINANCE(""NSE:""&amp;D792,""EPS"")"),0.92)</f>
        <v>0.92</v>
      </c>
      <c r="Q792" s="7">
        <v>13.5</v>
      </c>
      <c r="R792" s="7" t="str">
        <f ca="1">IFERROR(__xludf.DUMMYFUNCTION("IMPORTXML(E792,""/html/body/main/div[3]/div[3]/div[2]/ul/li[7]/span[2]/span"")"),"Loading...")</f>
        <v>Loading...</v>
      </c>
      <c r="S792" s="7" t="str">
        <f ca="1">IFERROR(__xludf.DUMMYFUNCTION("IMPORTXML(E792,""/html/body/main/div[3]/div[3]/div[2]/ul/li[8]/span[2]/span"")"),"Loading...")</f>
        <v>Loading...</v>
      </c>
      <c r="T792" s="4">
        <v>34.6</v>
      </c>
      <c r="U792" s="4">
        <v>22.7</v>
      </c>
      <c r="V792" s="4">
        <v>2.6</v>
      </c>
      <c r="W792" s="4">
        <v>5.7</v>
      </c>
      <c r="X792" s="4">
        <v>519.92999999999995</v>
      </c>
      <c r="Y792" s="7">
        <f t="shared" ca="1" si="19"/>
        <v>-460.35999999999996</v>
      </c>
    </row>
    <row r="793" spans="1:25" ht="15" x14ac:dyDescent="0.25">
      <c r="A793" s="4">
        <v>320</v>
      </c>
      <c r="C793" s="12" t="s">
        <v>2128</v>
      </c>
      <c r="D793" s="12" t="s">
        <v>2129</v>
      </c>
      <c r="E793" s="5" t="str">
        <f t="shared" si="15"/>
        <v>https://www.screener.in/company/SHAKTIPUMP/consolidated/</v>
      </c>
      <c r="F793" s="4">
        <v>443059</v>
      </c>
      <c r="G793" s="4">
        <v>3832241897</v>
      </c>
      <c r="H793" s="6">
        <f t="shared" ca="1" si="16"/>
        <v>312174.42492962</v>
      </c>
      <c r="I793" s="7">
        <f ca="1">IFERROR(__xludf.DUMMYFUNCTION("IMPORTXML(E793,""/html/body/main/div[3]/div[3]/div[2]/ul/li[5]/span[2]/span"")"),96.6)</f>
        <v>96.6</v>
      </c>
      <c r="J793" s="7">
        <f ca="1">IFERROR(__xludf.DUMMYFUNCTION("GOOGLEFINANCE(""NSE:""&amp;D793,""marketcap"")"),97639686700)</f>
        <v>97639686700</v>
      </c>
      <c r="K793" s="7">
        <v>992.8</v>
      </c>
      <c r="L793" s="8">
        <f ca="1">IFERROR(__xludf.DUMMYFUNCTION("GOOGLEFINANCE(""NSE:""&amp;D793,""price"")"),814.6)</f>
        <v>814.6</v>
      </c>
      <c r="M793" s="9">
        <f t="shared" ca="1" si="17"/>
        <v>-178.19999999999993</v>
      </c>
      <c r="N793" s="10">
        <f t="shared" ca="1" si="18"/>
        <v>-17.949234488315867</v>
      </c>
      <c r="O793" s="7">
        <f ca="1">IFERROR(__xludf.DUMMYFUNCTION("GOOGLEFINANCE(""NSE:""&amp;D793,""pe"")"),23.74)</f>
        <v>23.74</v>
      </c>
      <c r="P793" s="7">
        <f ca="1">IFERROR(__xludf.DUMMYFUNCTION("GOOGLEFINANCE(""NSE:""&amp;D793,""EPS"")"),34.32)</f>
        <v>34.32</v>
      </c>
      <c r="Q793" s="7">
        <v>13.5</v>
      </c>
      <c r="R793" s="7" t="str">
        <f ca="1">IFERROR(__xludf.DUMMYFUNCTION("IMPORTXML(E793,""/html/body/main/div[3]/div[3]/div[2]/ul/li[7]/span[2]/span"")"),"Loading...")</f>
        <v>Loading...</v>
      </c>
      <c r="S793" s="7" t="str">
        <f ca="1">IFERROR(__xludf.DUMMYFUNCTION("IMPORTXML(E793,""/html/body/main/div[3]/div[3]/div[2]/ul/li[8]/span[2]/span"")"),"Loading...")</f>
        <v>Loading...</v>
      </c>
      <c r="T793" s="4">
        <v>34.6</v>
      </c>
      <c r="U793" s="4">
        <v>22.7</v>
      </c>
      <c r="V793" s="4">
        <v>2.6</v>
      </c>
      <c r="W793" s="4">
        <v>5.7</v>
      </c>
      <c r="X793" s="4">
        <v>519.92999999999995</v>
      </c>
      <c r="Y793" s="7">
        <f t="shared" ca="1" si="19"/>
        <v>294.67000000000007</v>
      </c>
    </row>
    <row r="794" spans="1:25" ht="15" x14ac:dyDescent="0.25">
      <c r="A794" s="4">
        <v>144</v>
      </c>
      <c r="C794" s="12" t="s">
        <v>2130</v>
      </c>
      <c r="D794" s="12" t="s">
        <v>2131</v>
      </c>
      <c r="E794" s="5" t="str">
        <f t="shared" si="15"/>
        <v>https://www.screener.in/company/RKFORGE/consolidated/</v>
      </c>
      <c r="F794" s="4">
        <v>443059</v>
      </c>
      <c r="G794" s="4">
        <v>3832241897</v>
      </c>
      <c r="H794" s="6">
        <f t="shared" ca="1" si="16"/>
        <v>218821.0123187</v>
      </c>
      <c r="I794" s="7" t="str">
        <f ca="1">IFERROR(__xludf.DUMMYFUNCTION("IMPORTXML(E794,""/html/body/main/div[3]/div[3]/div[2]/ul/li[5]/span[2]/span"")"),"Loading...")</f>
        <v>Loading...</v>
      </c>
      <c r="J794" s="7">
        <f ca="1">IFERROR(__xludf.DUMMYFUNCTION("GOOGLEFINANCE(""NSE:""&amp;D794,""marketcap"")"),103131400000)</f>
        <v>103131400000</v>
      </c>
      <c r="K794" s="7">
        <v>992.8</v>
      </c>
      <c r="L794" s="8">
        <f ca="1">IFERROR(__xludf.DUMMYFUNCTION("GOOGLEFINANCE(""NSE:""&amp;D794,""price"")"),571)</f>
        <v>571</v>
      </c>
      <c r="M794" s="9">
        <f t="shared" ca="1" si="17"/>
        <v>-421.79999999999995</v>
      </c>
      <c r="N794" s="10">
        <f t="shared" ca="1" si="18"/>
        <v>-42.485898468976629</v>
      </c>
      <c r="O794" s="7">
        <f ca="1">IFERROR(__xludf.DUMMYFUNCTION("GOOGLEFINANCE(""NSE:""&amp;D794,""pe"")"),29.88)</f>
        <v>29.88</v>
      </c>
      <c r="P794" s="7">
        <f ca="1">IFERROR(__xludf.DUMMYFUNCTION("GOOGLEFINANCE(""NSE:""&amp;D794,""EPS"")"),19.11)</f>
        <v>19.11</v>
      </c>
      <c r="Q794" s="7">
        <v>13.5</v>
      </c>
      <c r="R794" s="7" t="str">
        <f ca="1">IFERROR(__xludf.DUMMYFUNCTION("IMPORTXML(E794,""/html/body/main/div[3]/div[3]/div[2]/ul/li[7]/span[2]/span"")"),"Loading...")</f>
        <v>Loading...</v>
      </c>
      <c r="S794" s="7" t="str">
        <f ca="1">IFERROR(__xludf.DUMMYFUNCTION("IMPORTXML(E794,""/html/body/main/div[3]/div[3]/div[2]/ul/li[8]/span[2]/span"")"),"Loading...")</f>
        <v>Loading...</v>
      </c>
      <c r="T794" s="4">
        <v>34.6</v>
      </c>
      <c r="U794" s="4">
        <v>22.7</v>
      </c>
      <c r="V794" s="4">
        <v>2.6</v>
      </c>
      <c r="W794" s="4">
        <v>5.7</v>
      </c>
      <c r="X794" s="4">
        <v>519.92999999999995</v>
      </c>
      <c r="Y794" s="7">
        <f t="shared" ca="1" si="19"/>
        <v>51.07000000000005</v>
      </c>
    </row>
    <row r="795" spans="1:25" ht="15" x14ac:dyDescent="0.25">
      <c r="A795" s="4">
        <v>2240</v>
      </c>
      <c r="C795" s="12" t="s">
        <v>2132</v>
      </c>
      <c r="D795" s="12" t="s">
        <v>2133</v>
      </c>
      <c r="E795" s="5" t="str">
        <f t="shared" si="15"/>
        <v>https://www.screener.in/company/BTML/consolidated/</v>
      </c>
      <c r="F795" s="4">
        <v>443059</v>
      </c>
      <c r="G795" s="4">
        <v>3832241897</v>
      </c>
      <c r="H795" s="6">
        <f t="shared" ca="1" si="16"/>
        <v>3383.869595051</v>
      </c>
      <c r="I795" s="7" t="str">
        <f ca="1">IFERROR(__xludf.DUMMYFUNCTION("IMPORTXML(E795,""/html/body/main/div[3]/div[3]/div[2]/ul/li[5]/span[2]/span"")"),"Loading...")</f>
        <v>Loading...</v>
      </c>
      <c r="J795" s="7">
        <f ca="1">IFERROR(__xludf.DUMMYFUNCTION("GOOGLEFINANCE(""NSE:""&amp;D795,""marketcap"")"),1604616579)</f>
        <v>1604616579</v>
      </c>
      <c r="K795" s="7">
        <v>992.8</v>
      </c>
      <c r="L795" s="8">
        <f ca="1">IFERROR(__xludf.DUMMYFUNCTION("GOOGLEFINANCE(""NSE:""&amp;D795,""price"")"),8.83)</f>
        <v>8.83</v>
      </c>
      <c r="M795" s="9">
        <f t="shared" ca="1" si="17"/>
        <v>-983.96999999999991</v>
      </c>
      <c r="N795" s="10">
        <f t="shared" ca="1" si="18"/>
        <v>-99.110596293311843</v>
      </c>
      <c r="O795" s="7">
        <f ca="1">IFERROR(__xludf.DUMMYFUNCTION("GOOGLEFINANCE(""NSE:""&amp;D795,""pe"")"),17.9)</f>
        <v>17.899999999999999</v>
      </c>
      <c r="P795" s="7">
        <f ca="1">IFERROR(__xludf.DUMMYFUNCTION("GOOGLEFINANCE(""NSE:""&amp;D795,""EPS"")"),0.49)</f>
        <v>0.49</v>
      </c>
      <c r="Q795" s="7">
        <v>13.5</v>
      </c>
      <c r="R795" s="7" t="str">
        <f ca="1">IFERROR(__xludf.DUMMYFUNCTION("IMPORTXML(E795,""/html/body/main/div[3]/div[3]/div[2]/ul/li[7]/span[2]/span"")"),"Loading...")</f>
        <v>Loading...</v>
      </c>
      <c r="S795" s="7" t="str">
        <f ca="1">IFERROR(__xludf.DUMMYFUNCTION("IMPORTXML(E795,""/html/body/main/div[3]/div[3]/div[2]/ul/li[8]/span[2]/span"")"),"Loading...")</f>
        <v>Loading...</v>
      </c>
      <c r="T795" s="4">
        <v>34.6</v>
      </c>
      <c r="U795" s="4">
        <v>22.7</v>
      </c>
      <c r="V795" s="4">
        <v>2.6</v>
      </c>
      <c r="W795" s="4">
        <v>5.7</v>
      </c>
      <c r="X795" s="4">
        <v>519.92999999999995</v>
      </c>
      <c r="Y795" s="7">
        <f t="shared" ca="1" si="19"/>
        <v>-511.09999999999997</v>
      </c>
    </row>
    <row r="796" spans="1:25" ht="15" x14ac:dyDescent="0.25">
      <c r="A796" s="4">
        <v>1969</v>
      </c>
      <c r="C796" s="12" t="s">
        <v>2134</v>
      </c>
      <c r="D796" s="12" t="s">
        <v>2135</v>
      </c>
      <c r="E796" s="5" t="str">
        <f t="shared" si="15"/>
        <v>https://www.screener.in/company/UMANGDAIRY/consolidated/</v>
      </c>
      <c r="F796" s="4">
        <v>443059</v>
      </c>
      <c r="G796" s="4">
        <v>3832241897</v>
      </c>
      <c r="H796" s="6" t="e">
        <f t="shared" ca="1" si="16"/>
        <v>#VALUE!</v>
      </c>
      <c r="I796" s="7" t="str">
        <f ca="1">IFERROR(__xludf.DUMMYFUNCTION("IMPORTXML(E796,""/html/body/main/div[3]/div[3]/div[2]/ul/li[5]/span[2]/span"")"),"Loading...")</f>
        <v>Loading...</v>
      </c>
      <c r="J796" s="7" t="str">
        <f ca="1">IFERROR(__xludf.DUMMYFUNCTION("GOOGLEFINANCE(""NSE:""&amp;D796,""marketcap"")"),"#N/A")</f>
        <v>#N/A</v>
      </c>
      <c r="K796" s="7">
        <v>992.8</v>
      </c>
      <c r="L796" s="8" t="str">
        <f ca="1">IFERROR(__xludf.DUMMYFUNCTION("GOOGLEFINANCE(""NSE:""&amp;D796,""price"")"),"#N/A")</f>
        <v>#N/A</v>
      </c>
      <c r="M796" s="9" t="e">
        <f t="shared" ca="1" si="17"/>
        <v>#VALUE!</v>
      </c>
      <c r="N796" s="10" t="e">
        <f t="shared" ca="1" si="18"/>
        <v>#VALUE!</v>
      </c>
      <c r="O796" s="7" t="str">
        <f ca="1">IFERROR(__xludf.DUMMYFUNCTION("GOOGLEFINANCE(""NSE:""&amp;D796,""pe"")"),"#N/A")</f>
        <v>#N/A</v>
      </c>
      <c r="P796" s="7" t="str">
        <f ca="1">IFERROR(__xludf.DUMMYFUNCTION("GOOGLEFINANCE(""NSE:""&amp;D796,""EPS"")"),"#N/A")</f>
        <v>#N/A</v>
      </c>
      <c r="Q796" s="7">
        <v>13.5</v>
      </c>
      <c r="R796" s="7" t="str">
        <f ca="1">IFERROR(__xludf.DUMMYFUNCTION("IMPORTXML(E796,""/html/body/main/div[3]/div[3]/div[2]/ul/li[7]/span[2]/span"")"),"Loading...")</f>
        <v>Loading...</v>
      </c>
      <c r="S796" s="7" t="str">
        <f ca="1">IFERROR(__xludf.DUMMYFUNCTION("IMPORTXML(E796,""/html/body/main/div[3]/div[3]/div[2]/ul/li[8]/span[2]/span"")"),"Loading...")</f>
        <v>Loading...</v>
      </c>
      <c r="T796" s="4">
        <v>34.6</v>
      </c>
      <c r="U796" s="4">
        <v>22.7</v>
      </c>
      <c r="V796" s="4">
        <v>2.6</v>
      </c>
      <c r="W796" s="4">
        <v>5.7</v>
      </c>
      <c r="X796" s="4">
        <v>519.92999999999995</v>
      </c>
      <c r="Y796" s="7" t="e">
        <f t="shared" ca="1" si="19"/>
        <v>#VALUE!</v>
      </c>
    </row>
    <row r="797" spans="1:25" ht="15" x14ac:dyDescent="0.25">
      <c r="A797" s="4">
        <v>409</v>
      </c>
      <c r="C797" s="12" t="s">
        <v>2136</v>
      </c>
      <c r="D797" s="12" t="s">
        <v>2137</v>
      </c>
      <c r="E797" s="5" t="str">
        <f t="shared" si="15"/>
        <v>https://www.screener.in/company/DODLA/consolidated/</v>
      </c>
      <c r="F797" s="4">
        <v>443059</v>
      </c>
      <c r="G797" s="4">
        <v>3832241897</v>
      </c>
      <c r="H797" s="6">
        <f t="shared" ca="1" si="16"/>
        <v>559698.92905685003</v>
      </c>
      <c r="I797" s="7" t="str">
        <f ca="1">IFERROR(__xludf.DUMMYFUNCTION("IMPORTXML(E797,""/html/body/main/div[3]/div[3]/div[2]/ul/li[5]/span[2]/span"")"),"Loading...")</f>
        <v>Loading...</v>
      </c>
      <c r="J797" s="7">
        <f ca="1">IFERROR(__xludf.DUMMYFUNCTION("GOOGLEFINANCE(""NSE:""&amp;D797,""marketcap"")"),88217350000)</f>
        <v>88217350000</v>
      </c>
      <c r="K797" s="7">
        <v>992.8</v>
      </c>
      <c r="L797" s="8">
        <f ca="1">IFERROR(__xludf.DUMMYFUNCTION("GOOGLEFINANCE(""NSE:""&amp;D797,""price"")"),1460.5)</f>
        <v>1460.5</v>
      </c>
      <c r="M797" s="9">
        <f t="shared" ca="1" si="17"/>
        <v>467.70000000000005</v>
      </c>
      <c r="N797" s="10">
        <f t="shared" ca="1" si="18"/>
        <v>47.109186140209516</v>
      </c>
      <c r="O797" s="7">
        <f ca="1">IFERROR(__xludf.DUMMYFUNCTION("GOOGLEFINANCE(""NSE:""&amp;D797,""pe"")"),34.15)</f>
        <v>34.15</v>
      </c>
      <c r="P797" s="7">
        <f ca="1">IFERROR(__xludf.DUMMYFUNCTION("GOOGLEFINANCE(""NSE:""&amp;D797,""EPS"")"),42.77)</f>
        <v>42.77</v>
      </c>
      <c r="Q797" s="7">
        <v>13.5</v>
      </c>
      <c r="R797" s="7" t="str">
        <f ca="1">IFERROR(__xludf.DUMMYFUNCTION("IMPORTXML(E797,""/html/body/main/div[3]/div[3]/div[2]/ul/li[7]/span[2]/span"")"),"Loading...")</f>
        <v>Loading...</v>
      </c>
      <c r="S797" s="7" t="str">
        <f ca="1">IFERROR(__xludf.DUMMYFUNCTION("IMPORTXML(E797,""/html/body/main/div[3]/div[3]/div[2]/ul/li[8]/span[2]/span"")"),"Loading...")</f>
        <v>Loading...</v>
      </c>
      <c r="T797" s="4">
        <v>34.6</v>
      </c>
      <c r="U797" s="4">
        <v>22.7</v>
      </c>
      <c r="V797" s="4">
        <v>2.6</v>
      </c>
      <c r="W797" s="4">
        <v>5.7</v>
      </c>
      <c r="X797" s="4">
        <v>519.92999999999995</v>
      </c>
      <c r="Y797" s="7">
        <f t="shared" ca="1" si="19"/>
        <v>940.57</v>
      </c>
    </row>
    <row r="798" spans="1:25" ht="15" x14ac:dyDescent="0.25">
      <c r="A798" s="4">
        <v>1919</v>
      </c>
      <c r="C798" s="12" t="s">
        <v>2138</v>
      </c>
      <c r="D798" s="12" t="s">
        <v>2139</v>
      </c>
      <c r="E798" s="5" t="str">
        <f t="shared" si="15"/>
        <v>https://www.screener.in/company/HINDCON/consolidated/</v>
      </c>
      <c r="F798" s="4">
        <v>443059</v>
      </c>
      <c r="G798" s="4">
        <v>3832241897</v>
      </c>
      <c r="H798" s="6">
        <f t="shared" ca="1" si="16"/>
        <v>12447.121681455998</v>
      </c>
      <c r="I798" s="7" t="str">
        <f ca="1">IFERROR(__xludf.DUMMYFUNCTION("IMPORTXML(E798,""/html/body/main/div[3]/div[3]/div[2]/ul/li[5]/span[2]/span"")"),"Loading...")</f>
        <v>Loading...</v>
      </c>
      <c r="J798" s="7">
        <f ca="1">IFERROR(__xludf.DUMMYFUNCTION("GOOGLEFINANCE(""NSE:""&amp;D798,""marketcap"")"),1662671314)</f>
        <v>1662671314</v>
      </c>
      <c r="K798" s="7">
        <v>992.8</v>
      </c>
      <c r="L798" s="8">
        <f ca="1">IFERROR(__xludf.DUMMYFUNCTION("GOOGLEFINANCE(""NSE:""&amp;D798,""price"")"),32.48)</f>
        <v>32.479999999999997</v>
      </c>
      <c r="M798" s="9">
        <f t="shared" ca="1" si="17"/>
        <v>-960.31999999999994</v>
      </c>
      <c r="N798" s="10">
        <f t="shared" ca="1" si="18"/>
        <v>-96.728444802578565</v>
      </c>
      <c r="O798" s="7">
        <f ca="1">IFERROR(__xludf.DUMMYFUNCTION("GOOGLEFINANCE(""NSE:""&amp;D798,""pe"")"),32.16)</f>
        <v>32.159999999999997</v>
      </c>
      <c r="P798" s="7">
        <f ca="1">IFERROR(__xludf.DUMMYFUNCTION("GOOGLEFINANCE(""NSE:""&amp;D798,""EPS"")"),1.01)</f>
        <v>1.01</v>
      </c>
      <c r="Q798" s="7">
        <v>13.5</v>
      </c>
      <c r="R798" s="7" t="str">
        <f ca="1">IFERROR(__xludf.DUMMYFUNCTION("IMPORTXML(E798,""/html/body/main/div[3]/div[3]/div[2]/ul/li[7]/span[2]/span"")"),"Loading...")</f>
        <v>Loading...</v>
      </c>
      <c r="S798" s="7" t="str">
        <f ca="1">IFERROR(__xludf.DUMMYFUNCTION("IMPORTXML(E798,""/html/body/main/div[3]/div[3]/div[2]/ul/li[8]/span[2]/span"")"),"Loading...")</f>
        <v>Loading...</v>
      </c>
      <c r="T798" s="4">
        <v>34.6</v>
      </c>
      <c r="U798" s="4">
        <v>22.7</v>
      </c>
      <c r="V798" s="4">
        <v>2.6</v>
      </c>
      <c r="W798" s="4">
        <v>5.7</v>
      </c>
      <c r="X798" s="4">
        <v>519.92999999999995</v>
      </c>
      <c r="Y798" s="7">
        <f t="shared" ca="1" si="19"/>
        <v>-487.44999999999993</v>
      </c>
    </row>
    <row r="799" spans="1:25" ht="15" x14ac:dyDescent="0.25">
      <c r="A799" s="4">
        <v>2079</v>
      </c>
      <c r="C799" s="12" t="s">
        <v>2140</v>
      </c>
      <c r="D799" s="12" t="s">
        <v>2141</v>
      </c>
      <c r="E799" s="5" t="str">
        <f t="shared" si="15"/>
        <v>https://www.screener.in/company/MANAKALUCO/consolidated/</v>
      </c>
      <c r="F799" s="4">
        <v>443059</v>
      </c>
      <c r="G799" s="4">
        <v>3832241897</v>
      </c>
      <c r="H799" s="6">
        <f t="shared" ca="1" si="16"/>
        <v>12071.561975549999</v>
      </c>
      <c r="I799" s="7" t="str">
        <f ca="1">IFERROR(__xludf.DUMMYFUNCTION("IMPORTXML(E799,""/html/body/main/div[3]/div[3]/div[2]/ul/li[5]/span[2]/span"")"),"Loading...")</f>
        <v>Loading...</v>
      </c>
      <c r="J799" s="7">
        <f ca="1">IFERROR(__xludf.DUMMYFUNCTION("GOOGLEFINANCE(""NSE:""&amp;D799,""marketcap"")"),2034713750)</f>
        <v>2034713750</v>
      </c>
      <c r="K799" s="7">
        <v>992.8</v>
      </c>
      <c r="L799" s="8">
        <f ca="1">IFERROR(__xludf.DUMMYFUNCTION("GOOGLEFINANCE(""NSE:""&amp;D799,""price"")"),31.5)</f>
        <v>31.5</v>
      </c>
      <c r="M799" s="9">
        <f t="shared" ca="1" si="17"/>
        <v>-961.3</v>
      </c>
      <c r="N799" s="10">
        <f t="shared" ca="1" si="18"/>
        <v>-96.827155519742149</v>
      </c>
      <c r="O799" s="7">
        <f ca="1">IFERROR(__xludf.DUMMYFUNCTION("GOOGLEFINANCE(""NSE:""&amp;D799,""pe"")"),29.96)</f>
        <v>29.96</v>
      </c>
      <c r="P799" s="7">
        <f ca="1">IFERROR(__xludf.DUMMYFUNCTION("GOOGLEFINANCE(""NSE:""&amp;D799,""EPS"")"),1.05)</f>
        <v>1.05</v>
      </c>
      <c r="Q799" s="7">
        <v>13.5</v>
      </c>
      <c r="R799" s="7" t="str">
        <f ca="1">IFERROR(__xludf.DUMMYFUNCTION("IMPORTXML(E799,""/html/body/main/div[3]/div[3]/div[2]/ul/li[7]/span[2]/span"")"),"Loading...")</f>
        <v>Loading...</v>
      </c>
      <c r="S799" s="7" t="str">
        <f ca="1">IFERROR(__xludf.DUMMYFUNCTION("IMPORTXML(E799,""/html/body/main/div[3]/div[3]/div[2]/ul/li[8]/span[2]/span"")"),"Loading...")</f>
        <v>Loading...</v>
      </c>
      <c r="T799" s="4">
        <v>34.6</v>
      </c>
      <c r="U799" s="4">
        <v>22.7</v>
      </c>
      <c r="V799" s="4">
        <v>2.6</v>
      </c>
      <c r="W799" s="4">
        <v>5.7</v>
      </c>
      <c r="X799" s="4">
        <v>519.92999999999995</v>
      </c>
      <c r="Y799" s="7">
        <f t="shared" ca="1" si="19"/>
        <v>-488.42999999999995</v>
      </c>
    </row>
    <row r="800" spans="1:25" ht="15" x14ac:dyDescent="0.25">
      <c r="A800" s="4">
        <v>514</v>
      </c>
      <c r="C800" s="12" t="s">
        <v>2142</v>
      </c>
      <c r="D800" s="12" t="s">
        <v>2143</v>
      </c>
      <c r="E800" s="5" t="str">
        <f t="shared" si="15"/>
        <v>https://www.screener.in/company/VAIBHAVGBL/consolidated/</v>
      </c>
      <c r="F800" s="4">
        <v>443059</v>
      </c>
      <c r="G800" s="4">
        <v>3832241897</v>
      </c>
      <c r="H800" s="6">
        <f t="shared" ca="1" si="16"/>
        <v>82661.457718289996</v>
      </c>
      <c r="I800" s="7" t="str">
        <f ca="1">IFERROR(__xludf.DUMMYFUNCTION("IMPORTXML(E800,""/html/body/main/div[3]/div[3]/div[2]/ul/li[5]/span[2]/span"")"),"Loading...")</f>
        <v>Loading...</v>
      </c>
      <c r="J800" s="7">
        <f ca="1">IFERROR(__xludf.DUMMYFUNCTION("GOOGLEFINANCE(""NSE:""&amp;D800,""marketcap"")"),35932483226)</f>
        <v>35932483226</v>
      </c>
      <c r="K800" s="7">
        <v>992.8</v>
      </c>
      <c r="L800" s="8">
        <f ca="1">IFERROR(__xludf.DUMMYFUNCTION("GOOGLEFINANCE(""NSE:""&amp;D800,""price"")"),215.7)</f>
        <v>215.7</v>
      </c>
      <c r="M800" s="9">
        <f t="shared" ca="1" si="17"/>
        <v>-777.09999999999991</v>
      </c>
      <c r="N800" s="10">
        <f t="shared" ca="1" si="18"/>
        <v>-78.273569701853347</v>
      </c>
      <c r="O800" s="7">
        <f ca="1">IFERROR(__xludf.DUMMYFUNCTION("GOOGLEFINANCE(""NSE:""&amp;D800,""pe"")"),22.23)</f>
        <v>22.23</v>
      </c>
      <c r="P800" s="7">
        <f ca="1">IFERROR(__xludf.DUMMYFUNCTION("GOOGLEFINANCE(""NSE:""&amp;D800,""EPS"")"),9.7)</f>
        <v>9.6999999999999993</v>
      </c>
      <c r="Q800" s="7">
        <v>13.5</v>
      </c>
      <c r="R800" s="7" t="str">
        <f ca="1">IFERROR(__xludf.DUMMYFUNCTION("IMPORTXML(E800,""/html/body/main/div[3]/div[3]/div[2]/ul/li[7]/span[2]/span"")"),"Loading...")</f>
        <v>Loading...</v>
      </c>
      <c r="S800" s="7" t="str">
        <f ca="1">IFERROR(__xludf.DUMMYFUNCTION("IMPORTXML(E800,""/html/body/main/div[3]/div[3]/div[2]/ul/li[8]/span[2]/span"")"),"Loading...")</f>
        <v>Loading...</v>
      </c>
      <c r="T800" s="4">
        <v>34.6</v>
      </c>
      <c r="U800" s="4">
        <v>22.7</v>
      </c>
      <c r="V800" s="4">
        <v>2.6</v>
      </c>
      <c r="W800" s="4">
        <v>5.7</v>
      </c>
      <c r="X800" s="4">
        <v>519.92999999999995</v>
      </c>
      <c r="Y800" s="7">
        <f t="shared" ca="1" si="19"/>
        <v>-304.22999999999996</v>
      </c>
    </row>
    <row r="801" spans="1:25" ht="15" x14ac:dyDescent="0.25">
      <c r="A801" s="4">
        <v>1861</v>
      </c>
      <c r="C801" s="12" t="s">
        <v>2144</v>
      </c>
      <c r="D801" s="12" t="s">
        <v>2145</v>
      </c>
      <c r="E801" s="5" t="str">
        <f t="shared" si="15"/>
        <v>https://www.screener.in/company/COMSYN/consolidated/</v>
      </c>
      <c r="F801" s="4">
        <v>443059</v>
      </c>
      <c r="G801" s="4">
        <v>3832241897</v>
      </c>
      <c r="H801" s="6">
        <f t="shared" ca="1" si="16"/>
        <v>59208.137308650003</v>
      </c>
      <c r="I801" s="7" t="str">
        <f ca="1">IFERROR(__xludf.DUMMYFUNCTION("IMPORTXML(E801,""/html/body/main/div[3]/div[3]/div[2]/ul/li[5]/span[2]/span"")"),"Loading...")</f>
        <v>Loading...</v>
      </c>
      <c r="J801" s="7">
        <f ca="1">IFERROR(__xludf.DUMMYFUNCTION("GOOGLEFINANCE(""NSE:""&amp;D801,""marketcap"")"),6172614900)</f>
        <v>6172614900</v>
      </c>
      <c r="K801" s="7">
        <v>992.8</v>
      </c>
      <c r="L801" s="8">
        <f ca="1">IFERROR(__xludf.DUMMYFUNCTION("GOOGLEFINANCE(""NSE:""&amp;D801,""price"")"),154.5)</f>
        <v>154.5</v>
      </c>
      <c r="M801" s="9">
        <f t="shared" ca="1" si="17"/>
        <v>-838.3</v>
      </c>
      <c r="N801" s="10">
        <f t="shared" ca="1" si="18"/>
        <v>-84.437953263497178</v>
      </c>
      <c r="O801" s="7">
        <f ca="1">IFERROR(__xludf.DUMMYFUNCTION("GOOGLEFINANCE(""NSE:""&amp;D801,""pe"")"),30.18)</f>
        <v>30.18</v>
      </c>
      <c r="P801" s="7">
        <f ca="1">IFERROR(__xludf.DUMMYFUNCTION("GOOGLEFINANCE(""NSE:""&amp;D801,""EPS"")"),5.12)</f>
        <v>5.12</v>
      </c>
      <c r="Q801" s="7">
        <v>13.5</v>
      </c>
      <c r="R801" s="7" t="str">
        <f ca="1">IFERROR(__xludf.DUMMYFUNCTION("IMPORTXML(E801,""/html/body/main/div[3]/div[3]/div[2]/ul/li[7]/span[2]/span"")"),"Loading...")</f>
        <v>Loading...</v>
      </c>
      <c r="S801" s="7" t="str">
        <f ca="1">IFERROR(__xludf.DUMMYFUNCTION("IMPORTXML(E801,""/html/body/main/div[3]/div[3]/div[2]/ul/li[8]/span[2]/span"")"),"Loading...")</f>
        <v>Loading...</v>
      </c>
      <c r="T801" s="4">
        <v>34.6</v>
      </c>
      <c r="U801" s="4">
        <v>22.7</v>
      </c>
      <c r="V801" s="4">
        <v>2.6</v>
      </c>
      <c r="W801" s="4">
        <v>5.7</v>
      </c>
      <c r="X801" s="4">
        <v>519.92999999999995</v>
      </c>
      <c r="Y801" s="7">
        <f t="shared" ca="1" si="19"/>
        <v>-365.42999999999995</v>
      </c>
    </row>
    <row r="802" spans="1:25" ht="15" x14ac:dyDescent="0.25">
      <c r="A802" s="4">
        <v>1133</v>
      </c>
      <c r="C802" s="12" t="s">
        <v>2146</v>
      </c>
      <c r="D802" s="12" t="s">
        <v>2147</v>
      </c>
      <c r="E802" s="5" t="str">
        <f t="shared" si="15"/>
        <v>https://www.screener.in/company/HEUBACHIND/consolidated/</v>
      </c>
      <c r="F802" s="4">
        <v>443059</v>
      </c>
      <c r="G802" s="4">
        <v>3832241897</v>
      </c>
      <c r="H802" s="6">
        <f t="shared" ca="1" si="16"/>
        <v>227673.49110077001</v>
      </c>
      <c r="I802" s="7" t="str">
        <f ca="1">IFERROR(__xludf.DUMMYFUNCTION("IMPORTXML(E802,""/html/body/main/div[3]/div[3]/div[2]/ul/li[5]/span[2]/span"")"),"Loading...")</f>
        <v>Loading...</v>
      </c>
      <c r="J802" s="7">
        <f ca="1">IFERROR(__xludf.DUMMYFUNCTION("GOOGLEFINANCE(""NSE:""&amp;D802,""marketcap"")"),13714050000)</f>
        <v>13714050000</v>
      </c>
      <c r="K802" s="7">
        <v>992.8</v>
      </c>
      <c r="L802" s="8">
        <f ca="1">IFERROR(__xludf.DUMMYFUNCTION("GOOGLEFINANCE(""NSE:""&amp;D802,""price"")"),594.1)</f>
        <v>594.1</v>
      </c>
      <c r="M802" s="9">
        <f t="shared" ca="1" si="17"/>
        <v>-398.69999999999993</v>
      </c>
      <c r="N802" s="10">
        <f t="shared" ca="1" si="18"/>
        <v>-40.159145850120865</v>
      </c>
      <c r="O802" s="7">
        <f ca="1">IFERROR(__xludf.DUMMYFUNCTION("GOOGLEFINANCE(""NSE:""&amp;D802,""pe"")"),28.21)</f>
        <v>28.21</v>
      </c>
      <c r="P802" s="7">
        <f ca="1">IFERROR(__xludf.DUMMYFUNCTION("GOOGLEFINANCE(""NSE:""&amp;D802,""EPS"")"),11.32)</f>
        <v>11.32</v>
      </c>
      <c r="Q802" s="7">
        <v>13.5</v>
      </c>
      <c r="R802" s="7" t="str">
        <f ca="1">IFERROR(__xludf.DUMMYFUNCTION("IMPORTXML(E802,""/html/body/main/div[3]/div[3]/div[2]/ul/li[7]/span[2]/span"")"),"Loading...")</f>
        <v>Loading...</v>
      </c>
      <c r="S802" s="7" t="str">
        <f ca="1">IFERROR(__xludf.DUMMYFUNCTION("IMPORTXML(E802,""/html/body/main/div[3]/div[3]/div[2]/ul/li[8]/span[2]/span"")"),"Loading...")</f>
        <v>Loading...</v>
      </c>
      <c r="T802" s="4">
        <v>34.6</v>
      </c>
      <c r="U802" s="4">
        <v>22.7</v>
      </c>
      <c r="V802" s="4">
        <v>2.6</v>
      </c>
      <c r="W802" s="4">
        <v>5.7</v>
      </c>
      <c r="X802" s="4">
        <v>519.92999999999995</v>
      </c>
      <c r="Y802" s="7">
        <f t="shared" ca="1" si="19"/>
        <v>74.170000000000073</v>
      </c>
    </row>
    <row r="803" spans="1:25" ht="15" x14ac:dyDescent="0.25">
      <c r="A803" s="4">
        <v>1500</v>
      </c>
      <c r="C803" s="12" t="s">
        <v>2148</v>
      </c>
      <c r="D803" s="12" t="s">
        <v>2149</v>
      </c>
      <c r="E803" s="5" t="str">
        <f t="shared" si="15"/>
        <v>https://www.screener.in/company/INDOUS/consolidated/</v>
      </c>
      <c r="F803" s="4">
        <v>443059</v>
      </c>
      <c r="G803" s="4">
        <v>3832241897</v>
      </c>
      <c r="H803" s="6">
        <f t="shared" ca="1" si="16"/>
        <v>56966.275798905008</v>
      </c>
      <c r="I803" s="7" t="str">
        <f ca="1">IFERROR(__xludf.DUMMYFUNCTION("IMPORTXML(E803,""/html/body/main/div[3]/div[3]/div[2]/ul/li[5]/span[2]/span"")"),"Loading...")</f>
        <v>Loading...</v>
      </c>
      <c r="J803" s="7">
        <f ca="1">IFERROR(__xludf.DUMMYFUNCTION("GOOGLEFINANCE(""NSE:""&amp;D803,""marketcap"")"),2980729677)</f>
        <v>2980729677</v>
      </c>
      <c r="K803" s="7">
        <v>992.8</v>
      </c>
      <c r="L803" s="8">
        <f ca="1">IFERROR(__xludf.DUMMYFUNCTION("GOOGLEFINANCE(""NSE:""&amp;D803,""price"")"),148.65)</f>
        <v>148.65</v>
      </c>
      <c r="M803" s="9">
        <f t="shared" ca="1" si="17"/>
        <v>-844.15</v>
      </c>
      <c r="N803" s="10">
        <f t="shared" ca="1" si="18"/>
        <v>-85.027195809830786</v>
      </c>
      <c r="O803" s="7">
        <f ca="1">IFERROR(__xludf.DUMMYFUNCTION("GOOGLEFINANCE(""NSE:""&amp;D803,""pe"")"),16.73)</f>
        <v>16.73</v>
      </c>
      <c r="P803" s="7">
        <f ca="1">IFERROR(__xludf.DUMMYFUNCTION("GOOGLEFINANCE(""NSE:""&amp;D803,""EPS"")"),8.89)</f>
        <v>8.89</v>
      </c>
      <c r="Q803" s="7">
        <v>13.5</v>
      </c>
      <c r="R803" s="7" t="str">
        <f ca="1">IFERROR(__xludf.DUMMYFUNCTION("IMPORTXML(E803,""/html/body/main/div[3]/div[3]/div[2]/ul/li[7]/span[2]/span"")"),"Loading...")</f>
        <v>Loading...</v>
      </c>
      <c r="S803" s="7" t="str">
        <f ca="1">IFERROR(__xludf.DUMMYFUNCTION("IMPORTXML(E803,""/html/body/main/div[3]/div[3]/div[2]/ul/li[8]/span[2]/span"")"),"Loading...")</f>
        <v>Loading...</v>
      </c>
      <c r="T803" s="4">
        <v>34.6</v>
      </c>
      <c r="U803" s="4">
        <v>22.7</v>
      </c>
      <c r="V803" s="4">
        <v>2.6</v>
      </c>
      <c r="W803" s="4">
        <v>5.7</v>
      </c>
      <c r="X803" s="4">
        <v>519.92999999999995</v>
      </c>
      <c r="Y803" s="7">
        <f t="shared" ca="1" si="19"/>
        <v>-371.28</v>
      </c>
    </row>
    <row r="804" spans="1:25" ht="15" x14ac:dyDescent="0.25">
      <c r="A804" s="4">
        <v>1510</v>
      </c>
      <c r="C804" s="12" t="s">
        <v>2150</v>
      </c>
      <c r="D804" s="12" t="s">
        <v>2151</v>
      </c>
      <c r="E804" s="5" t="str">
        <f t="shared" si="15"/>
        <v>https://www.screener.in/company/ZIMLAB/consolidated/</v>
      </c>
      <c r="F804" s="4">
        <v>443059</v>
      </c>
      <c r="G804" s="4">
        <v>3832241897</v>
      </c>
      <c r="H804" s="6">
        <f t="shared" ca="1" si="16"/>
        <v>28588.524551619994</v>
      </c>
      <c r="I804" s="7" t="str">
        <f ca="1">IFERROR(__xludf.DUMMYFUNCTION("IMPORTXML(E804,""/html/body/main/div[3]/div[3]/div[2]/ul/li[5]/span[2]/span"")"),"Loading...")</f>
        <v>Loading...</v>
      </c>
      <c r="J804" s="7">
        <f ca="1">IFERROR(__xludf.DUMMYFUNCTION("GOOGLEFINANCE(""NSE:""&amp;D804,""marketcap"")"),3634945351)</f>
        <v>3634945351</v>
      </c>
      <c r="K804" s="7">
        <v>992.8</v>
      </c>
      <c r="L804" s="8">
        <f ca="1">IFERROR(__xludf.DUMMYFUNCTION("GOOGLEFINANCE(""NSE:""&amp;D804,""price"")"),74.6)</f>
        <v>74.599999999999994</v>
      </c>
      <c r="M804" s="9">
        <f t="shared" ca="1" si="17"/>
        <v>-918.19999999999993</v>
      </c>
      <c r="N804" s="10">
        <f t="shared" ca="1" si="18"/>
        <v>-92.485898468976629</v>
      </c>
      <c r="O804" s="7">
        <f ca="1">IFERROR(__xludf.DUMMYFUNCTION("GOOGLEFINANCE(""NSE:""&amp;D804,""pe"")"),38.43)</f>
        <v>38.43</v>
      </c>
      <c r="P804" s="7">
        <f ca="1">IFERROR(__xludf.DUMMYFUNCTION("GOOGLEFINANCE(""NSE:""&amp;D804,""EPS"")"),1.94)</f>
        <v>1.94</v>
      </c>
      <c r="Q804" s="7">
        <v>13.5</v>
      </c>
      <c r="R804" s="7" t="str">
        <f ca="1">IFERROR(__xludf.DUMMYFUNCTION("IMPORTXML(E804,""/html/body/main/div[3]/div[3]/div[2]/ul/li[7]/span[2]/span"")"),"Loading...")</f>
        <v>Loading...</v>
      </c>
      <c r="S804" s="7" t="str">
        <f ca="1">IFERROR(__xludf.DUMMYFUNCTION("IMPORTXML(E804,""/html/body/main/div[3]/div[3]/div[2]/ul/li[8]/span[2]/span"")"),"Loading...")</f>
        <v>Loading...</v>
      </c>
      <c r="T804" s="4">
        <v>34.6</v>
      </c>
      <c r="U804" s="4">
        <v>22.7</v>
      </c>
      <c r="V804" s="4">
        <v>2.6</v>
      </c>
      <c r="W804" s="4">
        <v>5.7</v>
      </c>
      <c r="X804" s="4">
        <v>519.92999999999995</v>
      </c>
      <c r="Y804" s="7">
        <f t="shared" ca="1" si="19"/>
        <v>-445.32999999999993</v>
      </c>
    </row>
    <row r="805" spans="1:25" ht="15" x14ac:dyDescent="0.25">
      <c r="A805" s="4">
        <v>563</v>
      </c>
      <c r="C805" s="12" t="s">
        <v>2152</v>
      </c>
      <c r="D805" s="12" t="s">
        <v>2153</v>
      </c>
      <c r="E805" s="5" t="str">
        <f t="shared" si="15"/>
        <v>https://www.screener.in/company/SUBROS/consolidated/</v>
      </c>
      <c r="F805" s="4">
        <v>443059</v>
      </c>
      <c r="G805" s="4">
        <v>3832241897</v>
      </c>
      <c r="H805" s="6">
        <f t="shared" ca="1" si="16"/>
        <v>367013.80647569004</v>
      </c>
      <c r="I805" s="7" t="str">
        <f ca="1">IFERROR(__xludf.DUMMYFUNCTION("IMPORTXML(E805,""/html/body/main/div[3]/div[3]/div[2]/ul/li[5]/span[2]/span"")"),"Loading...")</f>
        <v>Loading...</v>
      </c>
      <c r="J805" s="7">
        <f ca="1">IFERROR(__xludf.DUMMYFUNCTION("GOOGLEFINANCE(""NSE:""&amp;D805,""marketcap"")"),62476278571)</f>
        <v>62476278571</v>
      </c>
      <c r="K805" s="7">
        <v>992.8</v>
      </c>
      <c r="L805" s="8">
        <f ca="1">IFERROR(__xludf.DUMMYFUNCTION("GOOGLEFINANCE(""NSE:""&amp;D805,""price"")"),957.7)</f>
        <v>957.7</v>
      </c>
      <c r="M805" s="9">
        <f t="shared" ca="1" si="17"/>
        <v>-35.099999999999909</v>
      </c>
      <c r="N805" s="10">
        <f t="shared" ca="1" si="18"/>
        <v>-3.5354552780016029</v>
      </c>
      <c r="O805" s="7">
        <f ca="1">IFERROR(__xludf.DUMMYFUNCTION("GOOGLEFINANCE(""NSE:""&amp;D805,""pe"")"),39.94)</f>
        <v>39.94</v>
      </c>
      <c r="P805" s="7">
        <f ca="1">IFERROR(__xludf.DUMMYFUNCTION("GOOGLEFINANCE(""NSE:""&amp;D805,""EPS"")"),23.98)</f>
        <v>23.98</v>
      </c>
      <c r="Q805" s="7">
        <v>13.5</v>
      </c>
      <c r="R805" s="7" t="str">
        <f ca="1">IFERROR(__xludf.DUMMYFUNCTION("IMPORTXML(E805,""/html/body/main/div[3]/div[3]/div[2]/ul/li[7]/span[2]/span"")"),"Loading...")</f>
        <v>Loading...</v>
      </c>
      <c r="S805" s="7" t="str">
        <f ca="1">IFERROR(__xludf.DUMMYFUNCTION("IMPORTXML(E805,""/html/body/main/div[3]/div[3]/div[2]/ul/li[8]/span[2]/span"")"),"Loading...")</f>
        <v>Loading...</v>
      </c>
      <c r="T805" s="4">
        <v>34.6</v>
      </c>
      <c r="U805" s="4">
        <v>22.7</v>
      </c>
      <c r="V805" s="4">
        <v>2.6</v>
      </c>
      <c r="W805" s="4">
        <v>5.7</v>
      </c>
      <c r="X805" s="4">
        <v>519.92999999999995</v>
      </c>
      <c r="Y805" s="7">
        <f t="shared" ca="1" si="19"/>
        <v>437.7700000000001</v>
      </c>
    </row>
    <row r="806" spans="1:25" ht="15" x14ac:dyDescent="0.25">
      <c r="A806" s="4">
        <v>292</v>
      </c>
      <c r="C806" s="12" t="s">
        <v>2154</v>
      </c>
      <c r="D806" s="12" t="s">
        <v>2155</v>
      </c>
      <c r="E806" s="5" t="str">
        <f t="shared" si="15"/>
        <v>https://www.screener.in/company/RELINFRA/consolidated/</v>
      </c>
      <c r="F806" s="4">
        <v>443059</v>
      </c>
      <c r="G806" s="4">
        <v>3832241897</v>
      </c>
      <c r="H806" s="6">
        <f t="shared" ca="1" si="16"/>
        <v>107302.773116</v>
      </c>
      <c r="I806" s="7" t="str">
        <f ca="1">IFERROR(__xludf.DUMMYFUNCTION("IMPORTXML(E806,""/html/body/main/div[3]/div[3]/div[2]/ul/li[5]/span[2]/span"")"),"Loading...")</f>
        <v>Loading...</v>
      </c>
      <c r="J806" s="7">
        <f ca="1">IFERROR(__xludf.DUMMYFUNCTION("GOOGLEFINANCE(""NSE:""&amp;D806,""marketcap"")"),116617489650)</f>
        <v>116617489650</v>
      </c>
      <c r="K806" s="7">
        <v>992.8</v>
      </c>
      <c r="L806" s="8">
        <f ca="1">IFERROR(__xludf.DUMMYFUNCTION("GOOGLEFINANCE(""NSE:""&amp;D806,""price"")"),280)</f>
        <v>280</v>
      </c>
      <c r="M806" s="9">
        <f t="shared" ca="1" si="17"/>
        <v>-712.8</v>
      </c>
      <c r="N806" s="10">
        <f t="shared" ca="1" si="18"/>
        <v>-71.796937953263495</v>
      </c>
      <c r="O806" s="7">
        <f ca="1">IFERROR(__xludf.DUMMYFUNCTION("GOOGLEFINANCE(""NSE:""&amp;D806,""pe"")"),2.11)</f>
        <v>2.11</v>
      </c>
      <c r="P806" s="7">
        <f ca="1">IFERROR(__xludf.DUMMYFUNCTION("GOOGLEFINANCE(""NSE:""&amp;D806,""EPS"")"),132.68)</f>
        <v>132.68</v>
      </c>
      <c r="Q806" s="7">
        <v>13.5</v>
      </c>
      <c r="R806" s="7" t="str">
        <f ca="1">IFERROR(__xludf.DUMMYFUNCTION("IMPORTXML(E806,""/html/body/main/div[3]/div[3]/div[2]/ul/li[7]/span[2]/span"")"),"Loading...")</f>
        <v>Loading...</v>
      </c>
      <c r="S806" s="7" t="str">
        <f ca="1">IFERROR(__xludf.DUMMYFUNCTION("IMPORTXML(E806,""/html/body/main/div[3]/div[3]/div[2]/ul/li[8]/span[2]/span"")"),"Loading...")</f>
        <v>Loading...</v>
      </c>
      <c r="T806" s="4">
        <v>34.6</v>
      </c>
      <c r="U806" s="4">
        <v>22.7</v>
      </c>
      <c r="V806" s="4">
        <v>2.6</v>
      </c>
      <c r="W806" s="4">
        <v>5.7</v>
      </c>
      <c r="X806" s="4">
        <v>519.92999999999995</v>
      </c>
      <c r="Y806" s="7">
        <f t="shared" ca="1" si="19"/>
        <v>-239.92999999999995</v>
      </c>
    </row>
    <row r="807" spans="1:25" ht="15" x14ac:dyDescent="0.25">
      <c r="A807" s="4">
        <v>1295</v>
      </c>
      <c r="C807" s="12" t="s">
        <v>2156</v>
      </c>
      <c r="D807" s="12" t="s">
        <v>2157</v>
      </c>
      <c r="E807" s="5" t="str">
        <f t="shared" si="15"/>
        <v>https://www.screener.in/company/MAANALU/consolidated/</v>
      </c>
      <c r="F807" s="4">
        <v>443059</v>
      </c>
      <c r="G807" s="4">
        <v>3832241897</v>
      </c>
      <c r="H807" s="6">
        <f t="shared" ca="1" si="16"/>
        <v>42859.793376048001</v>
      </c>
      <c r="I807" s="7" t="str">
        <f ca="1">IFERROR(__xludf.DUMMYFUNCTION("IMPORTXML(E807,""/html/body/main/div[3]/div[3]/div[2]/ul/li[5]/span[2]/span"")"),"Loading...")</f>
        <v>Loading...</v>
      </c>
      <c r="J807" s="7">
        <f ca="1">IFERROR(__xludf.DUMMYFUNCTION("GOOGLEFINANCE(""NSE:""&amp;D807,""marketcap"")"),6141850750)</f>
        <v>6141850750</v>
      </c>
      <c r="K807" s="7">
        <v>992.8</v>
      </c>
      <c r="L807" s="8">
        <f ca="1">IFERROR(__xludf.DUMMYFUNCTION("GOOGLEFINANCE(""NSE:""&amp;D807,""price"")"),111.84)</f>
        <v>111.84</v>
      </c>
      <c r="M807" s="9">
        <f t="shared" ca="1" si="17"/>
        <v>-880.95999999999992</v>
      </c>
      <c r="N807" s="10">
        <f t="shared" ca="1" si="18"/>
        <v>-88.734891216760673</v>
      </c>
      <c r="O807" s="7">
        <f ca="1">IFERROR(__xludf.DUMMYFUNCTION("GOOGLEFINANCE(""NSE:""&amp;D807,""pe"")"),40.79)</f>
        <v>40.79</v>
      </c>
      <c r="P807" s="7">
        <f ca="1">IFERROR(__xludf.DUMMYFUNCTION("GOOGLEFINANCE(""NSE:""&amp;D807,""EPS"")"),2.74)</f>
        <v>2.74</v>
      </c>
      <c r="Q807" s="7">
        <v>13.5</v>
      </c>
      <c r="R807" s="7" t="str">
        <f ca="1">IFERROR(__xludf.DUMMYFUNCTION("IMPORTXML(E807,""/html/body/main/div[3]/div[3]/div[2]/ul/li[7]/span[2]/span"")"),"Loading...")</f>
        <v>Loading...</v>
      </c>
      <c r="S807" s="7" t="str">
        <f ca="1">IFERROR(__xludf.DUMMYFUNCTION("IMPORTXML(E807,""/html/body/main/div[3]/div[3]/div[2]/ul/li[8]/span[2]/span"")"),"Loading...")</f>
        <v>Loading...</v>
      </c>
      <c r="T807" s="4">
        <v>34.6</v>
      </c>
      <c r="U807" s="4">
        <v>22.7</v>
      </c>
      <c r="V807" s="4">
        <v>2.6</v>
      </c>
      <c r="W807" s="4">
        <v>5.7</v>
      </c>
      <c r="X807" s="4">
        <v>519.92999999999995</v>
      </c>
      <c r="Y807" s="7">
        <f t="shared" ca="1" si="19"/>
        <v>-408.08999999999992</v>
      </c>
    </row>
    <row r="808" spans="1:25" ht="15" x14ac:dyDescent="0.25">
      <c r="A808" s="4">
        <v>1315</v>
      </c>
      <c r="C808" s="12" t="s">
        <v>2158</v>
      </c>
      <c r="D808" s="12" t="s">
        <v>2159</v>
      </c>
      <c r="E808" s="5" t="str">
        <f t="shared" si="15"/>
        <v>https://www.screener.in/company/SPECIALITY/consolidated/</v>
      </c>
      <c r="F808" s="4">
        <v>443059</v>
      </c>
      <c r="G808" s="4">
        <v>3832241897</v>
      </c>
      <c r="H808" s="6">
        <f t="shared" ca="1" si="16"/>
        <v>47899.191470603</v>
      </c>
      <c r="I808" s="7" t="str">
        <f ca="1">IFERROR(__xludf.DUMMYFUNCTION("IMPORTXML(E808,""/html/body/main/div[3]/div[3]/div[2]/ul/li[5]/span[2]/span"")"),"Loading...")</f>
        <v>Loading...</v>
      </c>
      <c r="J808" s="7">
        <f ca="1">IFERROR(__xludf.DUMMYFUNCTION("GOOGLEFINANCE(""NSE:""&amp;D808,""marketcap"")"),5969645000)</f>
        <v>5969645000</v>
      </c>
      <c r="K808" s="7">
        <v>992.8</v>
      </c>
      <c r="L808" s="8">
        <f ca="1">IFERROR(__xludf.DUMMYFUNCTION("GOOGLEFINANCE(""NSE:""&amp;D808,""price"")"),124.99)</f>
        <v>124.99</v>
      </c>
      <c r="M808" s="9">
        <f t="shared" ca="1" si="17"/>
        <v>-867.81</v>
      </c>
      <c r="N808" s="10">
        <f t="shared" ca="1" si="18"/>
        <v>-87.410354552780007</v>
      </c>
      <c r="O808" s="7">
        <f ca="1">IFERROR(__xludf.DUMMYFUNCTION("GOOGLEFINANCE(""NSE:""&amp;D808,""pe"")"),30.98)</f>
        <v>30.98</v>
      </c>
      <c r="P808" s="7">
        <f ca="1">IFERROR(__xludf.DUMMYFUNCTION("GOOGLEFINANCE(""NSE:""&amp;D808,""EPS"")"),4.03)</f>
        <v>4.03</v>
      </c>
      <c r="Q808" s="7">
        <v>13.5</v>
      </c>
      <c r="R808" s="7" t="str">
        <f ca="1">IFERROR(__xludf.DUMMYFUNCTION("IMPORTXML(E808,""/html/body/main/div[3]/div[3]/div[2]/ul/li[7]/span[2]/span"")"),"Loading...")</f>
        <v>Loading...</v>
      </c>
      <c r="S808" s="7" t="str">
        <f ca="1">IFERROR(__xludf.DUMMYFUNCTION("IMPORTXML(E808,""/html/body/main/div[3]/div[3]/div[2]/ul/li[8]/span[2]/span"")"),"Loading...")</f>
        <v>Loading...</v>
      </c>
      <c r="T808" s="4">
        <v>34.6</v>
      </c>
      <c r="U808" s="4">
        <v>22.7</v>
      </c>
      <c r="V808" s="4">
        <v>2.6</v>
      </c>
      <c r="W808" s="4">
        <v>5.7</v>
      </c>
      <c r="X808" s="4">
        <v>519.92999999999995</v>
      </c>
      <c r="Y808" s="7">
        <f t="shared" ca="1" si="19"/>
        <v>-394.93999999999994</v>
      </c>
    </row>
    <row r="809" spans="1:25" ht="15" x14ac:dyDescent="0.25">
      <c r="A809" s="4">
        <v>1667</v>
      </c>
      <c r="C809" s="12" t="s">
        <v>2160</v>
      </c>
      <c r="D809" s="12" t="s">
        <v>2161</v>
      </c>
      <c r="E809" s="5" t="str">
        <f t="shared" si="15"/>
        <v>https://www.screener.in/company/ESSENTIA/consolidated/</v>
      </c>
      <c r="F809" s="4">
        <v>443059</v>
      </c>
      <c r="G809" s="4">
        <v>3832241897</v>
      </c>
      <c r="H809" s="6">
        <f t="shared" ca="1" si="16"/>
        <v>728.12596042999996</v>
      </c>
      <c r="I809" s="7" t="str">
        <f ca="1">IFERROR(__xludf.DUMMYFUNCTION("IMPORTXML(E809,""/html/body/main/div[3]/div[3]/div[2]/ul/li[5]/span[2]/span"")"),"Loading...")</f>
        <v>Loading...</v>
      </c>
      <c r="J809" s="7">
        <f ca="1">IFERROR(__xludf.DUMMYFUNCTION("GOOGLEFINANCE(""NSE:""&amp;D809,""marketcap"")"),2028610974)</f>
        <v>2028610974</v>
      </c>
      <c r="K809" s="7">
        <v>992.8</v>
      </c>
      <c r="L809" s="8">
        <f ca="1">IFERROR(__xludf.DUMMYFUNCTION("GOOGLEFINANCE(""NSE:""&amp;D809,""price"")"),1.9)</f>
        <v>1.9</v>
      </c>
      <c r="M809" s="9">
        <f t="shared" ca="1" si="17"/>
        <v>-990.9</v>
      </c>
      <c r="N809" s="10">
        <f t="shared" ca="1" si="18"/>
        <v>-99.808622078968583</v>
      </c>
      <c r="O809" s="7">
        <f ca="1">IFERROR(__xludf.DUMMYFUNCTION("GOOGLEFINANCE(""NSE:""&amp;D809,""pe"")"),110.47)</f>
        <v>110.47</v>
      </c>
      <c r="P809" s="7">
        <f ca="1">IFERROR(__xludf.DUMMYFUNCTION("GOOGLEFINANCE(""NSE:""&amp;D809,""EPS"")"),0.02)</f>
        <v>0.02</v>
      </c>
      <c r="Q809" s="7">
        <v>13.5</v>
      </c>
      <c r="R809" s="7" t="str">
        <f ca="1">IFERROR(__xludf.DUMMYFUNCTION("IMPORTXML(E809,""/html/body/main/div[3]/div[3]/div[2]/ul/li[7]/span[2]/span"")"),"Loading...")</f>
        <v>Loading...</v>
      </c>
      <c r="S809" s="7" t="str">
        <f ca="1">IFERROR(__xludf.DUMMYFUNCTION("IMPORTXML(E809,""/html/body/main/div[3]/div[3]/div[2]/ul/li[8]/span[2]/span"")"),"Loading...")</f>
        <v>Loading...</v>
      </c>
      <c r="T809" s="4">
        <v>34.6</v>
      </c>
      <c r="U809" s="4">
        <v>22.7</v>
      </c>
      <c r="V809" s="4">
        <v>2.6</v>
      </c>
      <c r="W809" s="4">
        <v>5.7</v>
      </c>
      <c r="X809" s="4">
        <v>519.92999999999995</v>
      </c>
      <c r="Y809" s="7">
        <f t="shared" ca="1" si="19"/>
        <v>-518.03</v>
      </c>
    </row>
    <row r="810" spans="1:25" ht="15" x14ac:dyDescent="0.25">
      <c r="A810" s="4">
        <v>853</v>
      </c>
      <c r="C810" s="12" t="s">
        <v>2162</v>
      </c>
      <c r="D810" s="12" t="s">
        <v>2163</v>
      </c>
      <c r="E810" s="5" t="str">
        <f t="shared" si="15"/>
        <v>https://www.screener.in/company/POCL/consolidated/</v>
      </c>
      <c r="F810" s="4">
        <v>443059</v>
      </c>
      <c r="G810" s="4">
        <v>3832241897</v>
      </c>
      <c r="H810" s="6">
        <f t="shared" ca="1" si="16"/>
        <v>485161.82416020002</v>
      </c>
      <c r="I810" s="7" t="str">
        <f ca="1">IFERROR(__xludf.DUMMYFUNCTION("IMPORTXML(E810,""/html/body/main/div[3]/div[3]/div[2]/ul/li[5]/span[2]/span"")"),"Loading...")</f>
        <v>Loading...</v>
      </c>
      <c r="J810" s="7">
        <f ca="1">IFERROR(__xludf.DUMMYFUNCTION("GOOGLEFINANCE(""NSE:""&amp;D810,""marketcap"")"),37857525604)</f>
        <v>37857525604</v>
      </c>
      <c r="K810" s="7">
        <v>992.8</v>
      </c>
      <c r="L810" s="8">
        <f ca="1">IFERROR(__xludf.DUMMYFUNCTION("GOOGLEFINANCE(""NSE:""&amp;D810,""price"")"),1266)</f>
        <v>1266</v>
      </c>
      <c r="M810" s="9">
        <f t="shared" ca="1" si="17"/>
        <v>273.20000000000005</v>
      </c>
      <c r="N810" s="10">
        <f t="shared" ca="1" si="18"/>
        <v>27.518130539887192</v>
      </c>
      <c r="O810" s="7">
        <f ca="1">IFERROR(__xludf.DUMMYFUNCTION("GOOGLEFINANCE(""NSE:""&amp;D810,""pe"")"),51.04)</f>
        <v>51.04</v>
      </c>
      <c r="P810" s="7">
        <f ca="1">IFERROR(__xludf.DUMMYFUNCTION("GOOGLEFINANCE(""NSE:""&amp;D810,""EPS"")"),24.8)</f>
        <v>24.8</v>
      </c>
      <c r="Q810" s="7">
        <v>13.5</v>
      </c>
      <c r="R810" s="7" t="str">
        <f ca="1">IFERROR(__xludf.DUMMYFUNCTION("IMPORTXML(E810,""/html/body/main/div[3]/div[3]/div[2]/ul/li[7]/span[2]/span"")"),"Loading...")</f>
        <v>Loading...</v>
      </c>
      <c r="S810" s="7" t="str">
        <f ca="1">IFERROR(__xludf.DUMMYFUNCTION("IMPORTXML(E810,""/html/body/main/div[3]/div[3]/div[2]/ul/li[8]/span[2]/span"")"),"Loading...")</f>
        <v>Loading...</v>
      </c>
      <c r="T810" s="4">
        <v>34.6</v>
      </c>
      <c r="U810" s="4">
        <v>22.7</v>
      </c>
      <c r="V810" s="4">
        <v>2.6</v>
      </c>
      <c r="W810" s="4">
        <v>5.7</v>
      </c>
      <c r="X810" s="4">
        <v>519.92999999999995</v>
      </c>
      <c r="Y810" s="7">
        <f t="shared" ca="1" si="19"/>
        <v>746.07</v>
      </c>
    </row>
    <row r="811" spans="1:25" ht="15" x14ac:dyDescent="0.25">
      <c r="A811" s="4">
        <v>1117</v>
      </c>
      <c r="C811" s="12" t="s">
        <v>2164</v>
      </c>
      <c r="D811" s="12" t="s">
        <v>2165</v>
      </c>
      <c r="E811" s="5" t="str">
        <f t="shared" si="15"/>
        <v>https://www.screener.in/company/JAGSNPHARM/consolidated/</v>
      </c>
      <c r="F811" s="4">
        <v>443059</v>
      </c>
      <c r="G811" s="4">
        <v>3832241897</v>
      </c>
      <c r="H811" s="6">
        <f t="shared" ca="1" si="16"/>
        <v>91973.805527999997</v>
      </c>
      <c r="I811" s="7" t="str">
        <f ca="1">IFERROR(__xludf.DUMMYFUNCTION("IMPORTXML(E811,""/html/body/main/div[3]/div[3]/div[2]/ul/li[5]/span[2]/span"")"),"Loading...")</f>
        <v>Loading...</v>
      </c>
      <c r="J811" s="7">
        <f ca="1">IFERROR(__xludf.DUMMYFUNCTION("GOOGLEFINANCE(""NSE:""&amp;D811,""marketcap"")"),16012160000)</f>
        <v>16012160000</v>
      </c>
      <c r="K811" s="7">
        <v>992.8</v>
      </c>
      <c r="L811" s="8">
        <f ca="1">IFERROR(__xludf.DUMMYFUNCTION("GOOGLEFINANCE(""NSE:""&amp;D811,""price"")"),240)</f>
        <v>240</v>
      </c>
      <c r="M811" s="9">
        <f t="shared" ca="1" si="17"/>
        <v>-752.8</v>
      </c>
      <c r="N811" s="10">
        <f t="shared" ca="1" si="18"/>
        <v>-75.825946817083008</v>
      </c>
      <c r="O811" s="7">
        <f ca="1">IFERROR(__xludf.DUMMYFUNCTION("GOOGLEFINANCE(""NSE:""&amp;D811,""pe"")"),26.67)</f>
        <v>26.67</v>
      </c>
      <c r="P811" s="7">
        <f ca="1">IFERROR(__xludf.DUMMYFUNCTION("GOOGLEFINANCE(""NSE:""&amp;D811,""EPS"")"),9)</f>
        <v>9</v>
      </c>
      <c r="Q811" s="7">
        <v>13.5</v>
      </c>
      <c r="R811" s="7" t="str">
        <f ca="1">IFERROR(__xludf.DUMMYFUNCTION("IMPORTXML(E811,""/html/body/main/div[3]/div[3]/div[2]/ul/li[7]/span[2]/span"")"),"Loading...")</f>
        <v>Loading...</v>
      </c>
      <c r="S811" s="7" t="str">
        <f ca="1">IFERROR(__xludf.DUMMYFUNCTION("IMPORTXML(E811,""/html/body/main/div[3]/div[3]/div[2]/ul/li[8]/span[2]/span"")"),"Loading...")</f>
        <v>Loading...</v>
      </c>
      <c r="T811" s="4">
        <v>34.6</v>
      </c>
      <c r="U811" s="4">
        <v>22.7</v>
      </c>
      <c r="V811" s="4">
        <v>2.6</v>
      </c>
      <c r="W811" s="4">
        <v>5.7</v>
      </c>
      <c r="X811" s="4">
        <v>519.92999999999995</v>
      </c>
      <c r="Y811" s="7">
        <f t="shared" ca="1" si="19"/>
        <v>-279.92999999999995</v>
      </c>
    </row>
    <row r="812" spans="1:25" ht="15" x14ac:dyDescent="0.25">
      <c r="A812" s="4">
        <v>194</v>
      </c>
      <c r="C812" s="12" t="s">
        <v>2166</v>
      </c>
      <c r="D812" s="12" t="s">
        <v>2167</v>
      </c>
      <c r="E812" s="5" t="str">
        <f t="shared" si="15"/>
        <v>https://www.screener.in/company/CAPLIPOINT/consolidated/</v>
      </c>
      <c r="F812" s="4">
        <v>443059</v>
      </c>
      <c r="G812" s="4">
        <v>3832241897</v>
      </c>
      <c r="H812" s="6">
        <f t="shared" ca="1" si="16"/>
        <v>816305.84647996991</v>
      </c>
      <c r="I812" s="7" t="str">
        <f ca="1">IFERROR(__xludf.DUMMYFUNCTION("IMPORTXML(E812,""/html/body/main/div[3]/div[3]/div[2]/ul/li[5]/span[2]/span"")"),"Loading...")</f>
        <v>Loading...</v>
      </c>
      <c r="J812" s="7">
        <f ca="1">IFERROR(__xludf.DUMMYFUNCTION("GOOGLEFINANCE(""NSE:""&amp;D812,""marketcap"")"),162375429549)</f>
        <v>162375429549</v>
      </c>
      <c r="K812" s="7">
        <v>992.8</v>
      </c>
      <c r="L812" s="8">
        <f ca="1">IFERROR(__xludf.DUMMYFUNCTION("GOOGLEFINANCE(""NSE:""&amp;D812,""price"")"),2130.1)</f>
        <v>2130.1</v>
      </c>
      <c r="M812" s="9">
        <f t="shared" ca="1" si="17"/>
        <v>1137.3</v>
      </c>
      <c r="N812" s="10">
        <f t="shared" ca="1" si="18"/>
        <v>114.55479452054796</v>
      </c>
      <c r="O812" s="7">
        <f ca="1">IFERROR(__xludf.DUMMYFUNCTION("GOOGLEFINANCE(""NSE:""&amp;D812,""pe"")"),28.77)</f>
        <v>28.77</v>
      </c>
      <c r="P812" s="7">
        <f ca="1">IFERROR(__xludf.DUMMYFUNCTION("GOOGLEFINANCE(""NSE:""&amp;D812,""EPS"")"),74.04)</f>
        <v>74.040000000000006</v>
      </c>
      <c r="Q812" s="7">
        <v>13.5</v>
      </c>
      <c r="R812" s="7" t="str">
        <f ca="1">IFERROR(__xludf.DUMMYFUNCTION("IMPORTXML(E812,""/html/body/main/div[3]/div[3]/div[2]/ul/li[7]/span[2]/span"")"),"Loading...")</f>
        <v>Loading...</v>
      </c>
      <c r="S812" s="7" t="str">
        <f ca="1">IFERROR(__xludf.DUMMYFUNCTION("IMPORTXML(E812,""/html/body/main/div[3]/div[3]/div[2]/ul/li[8]/span[2]/span"")"),"Loading...")</f>
        <v>Loading...</v>
      </c>
      <c r="T812" s="4">
        <v>34.6</v>
      </c>
      <c r="U812" s="4">
        <v>22.7</v>
      </c>
      <c r="V812" s="4">
        <v>2.6</v>
      </c>
      <c r="W812" s="4">
        <v>5.7</v>
      </c>
      <c r="X812" s="4">
        <v>519.92999999999995</v>
      </c>
      <c r="Y812" s="7">
        <f t="shared" ca="1" si="19"/>
        <v>1610.17</v>
      </c>
    </row>
    <row r="813" spans="1:25" ht="15" x14ac:dyDescent="0.25">
      <c r="A813" s="4">
        <v>568</v>
      </c>
      <c r="C813" s="12" t="s">
        <v>2168</v>
      </c>
      <c r="D813" s="12" t="s">
        <v>2169</v>
      </c>
      <c r="E813" s="5" t="str">
        <f t="shared" si="15"/>
        <v>https://www.screener.in/company/INNOVACAP/consolidated/</v>
      </c>
      <c r="F813" s="4">
        <v>443059</v>
      </c>
      <c r="G813" s="4">
        <v>3832241897</v>
      </c>
      <c r="H813" s="6">
        <f t="shared" ca="1" si="16"/>
        <v>350458.52148065</v>
      </c>
      <c r="I813" s="7" t="str">
        <f ca="1">IFERROR(__xludf.DUMMYFUNCTION("IMPORTXML(E813,""/html/body/main/div[3]/div[3]/div[2]/ul/li[5]/span[2]/span"")"),"Loading...")</f>
        <v>Loading...</v>
      </c>
      <c r="J813" s="7">
        <f ca="1">IFERROR(__xludf.DUMMYFUNCTION("GOOGLEFINANCE(""NSE:""&amp;D813,""marketcap"")"),52296420974)</f>
        <v>52296420974</v>
      </c>
      <c r="K813" s="7">
        <v>992.8</v>
      </c>
      <c r="L813" s="8">
        <f ca="1">IFERROR(__xludf.DUMMYFUNCTION("GOOGLEFINANCE(""NSE:""&amp;D813,""price"")"),914.5)</f>
        <v>914.5</v>
      </c>
      <c r="M813" s="9">
        <f t="shared" ca="1" si="17"/>
        <v>-78.299999999999955</v>
      </c>
      <c r="N813" s="10">
        <f t="shared" ca="1" si="18"/>
        <v>-7.8867848509266674</v>
      </c>
      <c r="O813" s="7">
        <f ca="1">IFERROR(__xludf.DUMMYFUNCTION("GOOGLEFINANCE(""NSE:""&amp;D813,""pe"")"),40.33)</f>
        <v>40.33</v>
      </c>
      <c r="P813" s="7">
        <f ca="1">IFERROR(__xludf.DUMMYFUNCTION("GOOGLEFINANCE(""NSE:""&amp;D813,""EPS"")"),22.67)</f>
        <v>22.67</v>
      </c>
      <c r="Q813" s="7">
        <v>13.5</v>
      </c>
      <c r="R813" s="7">
        <f ca="1">IFERROR(__xludf.DUMMYFUNCTION("IMPORTXML(E813,""/html/body/main/div[3]/div[3]/div[2]/ul/li[7]/span[2]/span"")"),14.6)</f>
        <v>14.6</v>
      </c>
      <c r="S813" s="7" t="str">
        <f ca="1">IFERROR(__xludf.DUMMYFUNCTION("IMPORTXML(E813,""/html/body/main/div[3]/div[3]/div[2]/ul/li[8]/span[2]/span"")"),"Loading...")</f>
        <v>Loading...</v>
      </c>
      <c r="T813" s="4">
        <v>34.6</v>
      </c>
      <c r="U813" s="4">
        <v>22.7</v>
      </c>
      <c r="V813" s="4">
        <v>2.6</v>
      </c>
      <c r="W813" s="4">
        <v>5.7</v>
      </c>
      <c r="X813" s="4">
        <v>519.92999999999995</v>
      </c>
      <c r="Y813" s="7">
        <f t="shared" ca="1" si="19"/>
        <v>394.57000000000005</v>
      </c>
    </row>
    <row r="814" spans="1:25" ht="15" x14ac:dyDescent="0.25">
      <c r="A814" s="4">
        <v>365</v>
      </c>
      <c r="C814" s="12" t="s">
        <v>2170</v>
      </c>
      <c r="D814" s="12" t="s">
        <v>2171</v>
      </c>
      <c r="E814" s="5" t="str">
        <f t="shared" si="15"/>
        <v>https://www.screener.in/company/SUNTECK/consolidated/</v>
      </c>
      <c r="F814" s="4">
        <v>443059</v>
      </c>
      <c r="G814" s="4">
        <v>3832241897</v>
      </c>
      <c r="H814" s="6">
        <f t="shared" ca="1" si="16"/>
        <v>173121.52769697501</v>
      </c>
      <c r="I814" s="7" t="str">
        <f ca="1">IFERROR(__xludf.DUMMYFUNCTION("IMPORTXML(E814,""/html/body/main/div[3]/div[3]/div[2]/ul/li[5]/span[2]/span"")"),"Loading...")</f>
        <v>Loading...</v>
      </c>
      <c r="J814" s="7">
        <f ca="1">IFERROR(__xludf.DUMMYFUNCTION("GOOGLEFINANCE(""NSE:""&amp;D814,""marketcap"")"),65835234066)</f>
        <v>65835234066</v>
      </c>
      <c r="K814" s="7">
        <v>992.8</v>
      </c>
      <c r="L814" s="8">
        <f ca="1">IFERROR(__xludf.DUMMYFUNCTION("GOOGLEFINANCE(""NSE:""&amp;D814,""price"")"),451.75)</f>
        <v>451.75</v>
      </c>
      <c r="M814" s="9">
        <f t="shared" ca="1" si="17"/>
        <v>-541.04999999999995</v>
      </c>
      <c r="N814" s="10">
        <f t="shared" ca="1" si="18"/>
        <v>-54.49738114423851</v>
      </c>
      <c r="O814" s="7">
        <f ca="1">IFERROR(__xludf.DUMMYFUNCTION("GOOGLEFINANCE(""NSE:""&amp;D814,""pe"")"),41.14)</f>
        <v>41.14</v>
      </c>
      <c r="P814" s="7">
        <f ca="1">IFERROR(__xludf.DUMMYFUNCTION("GOOGLEFINANCE(""NSE:""&amp;D814,""EPS"")"),10.98)</f>
        <v>10.98</v>
      </c>
      <c r="Q814" s="7">
        <v>13.5</v>
      </c>
      <c r="R814" s="7" t="str">
        <f ca="1">IFERROR(__xludf.DUMMYFUNCTION("IMPORTXML(E814,""/html/body/main/div[3]/div[3]/div[2]/ul/li[7]/span[2]/span"")"),"Loading...")</f>
        <v>Loading...</v>
      </c>
      <c r="S814" s="7" t="str">
        <f ca="1">IFERROR(__xludf.DUMMYFUNCTION("IMPORTXML(E814,""/html/body/main/div[3]/div[3]/div[2]/ul/li[8]/span[2]/span"")"),"Loading...")</f>
        <v>Loading...</v>
      </c>
      <c r="T814" s="4">
        <v>34.6</v>
      </c>
      <c r="U814" s="4">
        <v>22.7</v>
      </c>
      <c r="V814" s="4">
        <v>2.6</v>
      </c>
      <c r="W814" s="4">
        <v>5.7</v>
      </c>
      <c r="X814" s="4">
        <v>519.92999999999995</v>
      </c>
      <c r="Y814" s="7">
        <f t="shared" ca="1" si="19"/>
        <v>-68.17999999999995</v>
      </c>
    </row>
    <row r="815" spans="1:25" ht="15" x14ac:dyDescent="0.25">
      <c r="A815" s="4">
        <v>705</v>
      </c>
      <c r="C815" s="12" t="s">
        <v>2172</v>
      </c>
      <c r="D815" s="12" t="s">
        <v>2173</v>
      </c>
      <c r="E815" s="5" t="str">
        <f t="shared" si="15"/>
        <v>https://www.screener.in/company/SALASAR/consolidated/</v>
      </c>
      <c r="F815" s="4">
        <v>443059</v>
      </c>
      <c r="G815" s="4">
        <v>3832241897</v>
      </c>
      <c r="H815" s="6">
        <f t="shared" ca="1" si="16"/>
        <v>3000.6454053510001</v>
      </c>
      <c r="I815" s="7" t="str">
        <f ca="1">IFERROR(__xludf.DUMMYFUNCTION("IMPORTXML(E815,""/html/body/main/div[3]/div[3]/div[2]/ul/li[5]/span[2]/span"")"),"Loading...")</f>
        <v>Loading...</v>
      </c>
      <c r="J815" s="7">
        <f ca="1">IFERROR(__xludf.DUMMYFUNCTION("GOOGLEFINANCE(""NSE:""&amp;D815,""marketcap"")"),13469024371)</f>
        <v>13469024371</v>
      </c>
      <c r="K815" s="7">
        <v>992.8</v>
      </c>
      <c r="L815" s="8">
        <f ca="1">IFERROR(__xludf.DUMMYFUNCTION("GOOGLEFINANCE(""NSE:""&amp;D815,""price"")"),7.83)</f>
        <v>7.83</v>
      </c>
      <c r="M815" s="9">
        <f t="shared" ca="1" si="17"/>
        <v>-984.96999999999991</v>
      </c>
      <c r="N815" s="10">
        <f t="shared" ca="1" si="18"/>
        <v>-99.211321514907326</v>
      </c>
      <c r="O815" s="7">
        <f ca="1">IFERROR(__xludf.DUMMYFUNCTION("GOOGLEFINANCE(""NSE:""&amp;D815,""pe"")"),52.2)</f>
        <v>52.2</v>
      </c>
      <c r="P815" s="7">
        <f ca="1">IFERROR(__xludf.DUMMYFUNCTION("GOOGLEFINANCE(""NSE:""&amp;D815,""EPS"")"),0.15)</f>
        <v>0.15</v>
      </c>
      <c r="Q815" s="7">
        <v>13.5</v>
      </c>
      <c r="R815" s="7" t="str">
        <f ca="1">IFERROR(__xludf.DUMMYFUNCTION("IMPORTXML(E815,""/html/body/main/div[3]/div[3]/div[2]/ul/li[7]/span[2]/span"")"),"Loading...")</f>
        <v>Loading...</v>
      </c>
      <c r="S815" s="7" t="str">
        <f ca="1">IFERROR(__xludf.DUMMYFUNCTION("IMPORTXML(E815,""/html/body/main/div[3]/div[3]/div[2]/ul/li[8]/span[2]/span"")"),"Loading...")</f>
        <v>Loading...</v>
      </c>
      <c r="T815" s="4">
        <v>34.6</v>
      </c>
      <c r="U815" s="4">
        <v>22.7</v>
      </c>
      <c r="V815" s="4">
        <v>2.6</v>
      </c>
      <c r="W815" s="4">
        <v>5.7</v>
      </c>
      <c r="X815" s="4">
        <v>519.92999999999995</v>
      </c>
      <c r="Y815" s="7">
        <f t="shared" ca="1" si="19"/>
        <v>-512.09999999999991</v>
      </c>
    </row>
    <row r="816" spans="1:25" ht="15" x14ac:dyDescent="0.25">
      <c r="A816" s="4">
        <v>321</v>
      </c>
      <c r="C816" s="12" t="s">
        <v>2174</v>
      </c>
      <c r="D816" s="12" t="s">
        <v>2175</v>
      </c>
      <c r="E816" s="5" t="str">
        <f t="shared" si="15"/>
        <v>https://www.screener.in/company/SBFC/consolidated/</v>
      </c>
      <c r="F816" s="4">
        <v>443059</v>
      </c>
      <c r="G816" s="4">
        <v>3832241897</v>
      </c>
      <c r="H816" s="6">
        <f t="shared" ca="1" si="16"/>
        <v>40748.228090801</v>
      </c>
      <c r="I816" s="7" t="str">
        <f ca="1">IFERROR(__xludf.DUMMYFUNCTION("IMPORTXML(E816,""/html/body/main/div[3]/div[3]/div[2]/ul/li[5]/span[2]/span"")"),"Loading...")</f>
        <v>Loading...</v>
      </c>
      <c r="J816" s="7">
        <f ca="1">IFERROR(__xludf.DUMMYFUNCTION("GOOGLEFINANCE(""NSE:""&amp;D816,""marketcap"")"),115987636907)</f>
        <v>115987636907</v>
      </c>
      <c r="K816" s="7">
        <v>992.8</v>
      </c>
      <c r="L816" s="8">
        <f ca="1">IFERROR(__xludf.DUMMYFUNCTION("GOOGLEFINANCE(""NSE:""&amp;D816,""price"")"),106.33)</f>
        <v>106.33</v>
      </c>
      <c r="M816" s="9">
        <f t="shared" ca="1" si="17"/>
        <v>-886.46999999999991</v>
      </c>
      <c r="N816" s="10">
        <f t="shared" ca="1" si="18"/>
        <v>-89.289887187751802</v>
      </c>
      <c r="O816" s="7">
        <f ca="1">IFERROR(__xludf.DUMMYFUNCTION("GOOGLEFINANCE(""NSE:""&amp;D816,""pe"")"),31.83)</f>
        <v>31.83</v>
      </c>
      <c r="P816" s="7">
        <f ca="1">IFERROR(__xludf.DUMMYFUNCTION("GOOGLEFINANCE(""NSE:""&amp;D816,""EPS"")"),3.34)</f>
        <v>3.34</v>
      </c>
      <c r="Q816" s="7">
        <v>13.5</v>
      </c>
      <c r="R816" s="7" t="str">
        <f ca="1">IFERROR(__xludf.DUMMYFUNCTION("IMPORTXML(E816,""/html/body/main/div[3]/div[3]/div[2]/ul/li[7]/span[2]/span"")"),"Loading...")</f>
        <v>Loading...</v>
      </c>
      <c r="S816" s="7" t="str">
        <f ca="1">IFERROR(__xludf.DUMMYFUNCTION("IMPORTXML(E816,""/html/body/main/div[3]/div[3]/div[2]/ul/li[8]/span[2]/span"")"),"Loading...")</f>
        <v>Loading...</v>
      </c>
      <c r="T816" s="4">
        <v>34.6</v>
      </c>
      <c r="U816" s="4">
        <v>22.7</v>
      </c>
      <c r="V816" s="4">
        <v>2.6</v>
      </c>
      <c r="W816" s="4">
        <v>5.7</v>
      </c>
      <c r="X816" s="4">
        <v>519.92999999999995</v>
      </c>
      <c r="Y816" s="7">
        <f t="shared" ca="1" si="19"/>
        <v>-413.59999999999997</v>
      </c>
    </row>
    <row r="817" spans="1:25" ht="15" x14ac:dyDescent="0.25">
      <c r="A817" s="4">
        <v>124</v>
      </c>
      <c r="C817" s="12" t="s">
        <v>2176</v>
      </c>
      <c r="D817" s="12" t="s">
        <v>2177</v>
      </c>
      <c r="E817" s="5" t="str">
        <f t="shared" si="15"/>
        <v>https://www.screener.in/company/TECHNOE/consolidated/</v>
      </c>
      <c r="F817" s="4">
        <v>443059</v>
      </c>
      <c r="G817" s="4">
        <v>3832241897</v>
      </c>
      <c r="H817" s="6">
        <f t="shared" ca="1" si="16"/>
        <v>577902.07806760003</v>
      </c>
      <c r="I817" s="7" t="str">
        <f ca="1">IFERROR(__xludf.DUMMYFUNCTION("IMPORTXML(E817,""/html/body/main/div[3]/div[3]/div[2]/ul/li[5]/span[2]/span"")"),"Loading...")</f>
        <v>Loading...</v>
      </c>
      <c r="J817" s="7">
        <f ca="1">IFERROR(__xludf.DUMMYFUNCTION("GOOGLEFINANCE(""NSE:""&amp;D817,""marketcap"")"),175243209917)</f>
        <v>175243209917</v>
      </c>
      <c r="K817" s="7">
        <v>992.8</v>
      </c>
      <c r="L817" s="8">
        <f ca="1">IFERROR(__xludf.DUMMYFUNCTION("GOOGLEFINANCE(""NSE:""&amp;D817,""price"")"),1508)</f>
        <v>1508</v>
      </c>
      <c r="M817" s="9">
        <f t="shared" ca="1" si="17"/>
        <v>515.20000000000005</v>
      </c>
      <c r="N817" s="10">
        <f t="shared" ca="1" si="18"/>
        <v>51.893634165995174</v>
      </c>
      <c r="O817" s="7">
        <f ca="1">IFERROR(__xludf.DUMMYFUNCTION("GOOGLEFINANCE(""NSE:""&amp;D817,""pe"")"),37.94)</f>
        <v>37.94</v>
      </c>
      <c r="P817" s="7">
        <f ca="1">IFERROR(__xludf.DUMMYFUNCTION("GOOGLEFINANCE(""NSE:""&amp;D817,""EPS"")"),39.75)</f>
        <v>39.75</v>
      </c>
      <c r="Q817" s="7">
        <v>13.5</v>
      </c>
      <c r="R817" s="7" t="str">
        <f ca="1">IFERROR(__xludf.DUMMYFUNCTION("IMPORTXML(E817,""/html/body/main/div[3]/div[3]/div[2]/ul/li[7]/span[2]/span"")"),"Loading...")</f>
        <v>Loading...</v>
      </c>
      <c r="S817" s="7" t="str">
        <f ca="1">IFERROR(__xludf.DUMMYFUNCTION("IMPORTXML(E817,""/html/body/main/div[3]/div[3]/div[2]/ul/li[8]/span[2]/span"")"),"Loading...")</f>
        <v>Loading...</v>
      </c>
      <c r="T817" s="4">
        <v>34.6</v>
      </c>
      <c r="U817" s="4">
        <v>22.7</v>
      </c>
      <c r="V817" s="4">
        <v>2.6</v>
      </c>
      <c r="W817" s="4">
        <v>5.7</v>
      </c>
      <c r="X817" s="4">
        <v>519.92999999999995</v>
      </c>
      <c r="Y817" s="7">
        <f t="shared" ca="1" si="19"/>
        <v>988.07</v>
      </c>
    </row>
    <row r="818" spans="1:25" ht="15" x14ac:dyDescent="0.25">
      <c r="A818" s="4">
        <v>987</v>
      </c>
      <c r="C818" s="12" t="s">
        <v>2178</v>
      </c>
      <c r="D818" s="12" t="s">
        <v>2179</v>
      </c>
      <c r="E818" s="5" t="str">
        <f t="shared" si="15"/>
        <v>https://www.screener.in/company/AMNPLST/consolidated/</v>
      </c>
      <c r="F818" s="4">
        <v>443059</v>
      </c>
      <c r="G818" s="4">
        <v>3832241897</v>
      </c>
      <c r="H818" s="6">
        <f t="shared" ca="1" si="16"/>
        <v>86685.311710139984</v>
      </c>
      <c r="I818" s="7" t="str">
        <f ca="1">IFERROR(__xludf.DUMMYFUNCTION("IMPORTXML(E818,""/html/body/main/div[3]/div[3]/div[2]/ul/li[5]/span[2]/span"")"),"Loading...")</f>
        <v>Loading...</v>
      </c>
      <c r="J818" s="7">
        <f ca="1">IFERROR(__xludf.DUMMYFUNCTION("GOOGLEFINANCE(""NSE:""&amp;D818,""marketcap"")"),12445523832)</f>
        <v>12445523832</v>
      </c>
      <c r="K818" s="7">
        <v>992.8</v>
      </c>
      <c r="L818" s="8">
        <f ca="1">IFERROR(__xludf.DUMMYFUNCTION("GOOGLEFINANCE(""NSE:""&amp;D818,""price"")"),226.2)</f>
        <v>226.2</v>
      </c>
      <c r="M818" s="9">
        <f t="shared" ca="1" si="17"/>
        <v>-766.59999999999991</v>
      </c>
      <c r="N818" s="10">
        <f t="shared" ca="1" si="18"/>
        <v>-77.215954875100721</v>
      </c>
      <c r="O818" s="7">
        <f ca="1">IFERROR(__xludf.DUMMYFUNCTION("GOOGLEFINANCE(""NSE:""&amp;D818,""pe"")"),31.29)</f>
        <v>31.29</v>
      </c>
      <c r="P818" s="7">
        <f ca="1">IFERROR(__xludf.DUMMYFUNCTION("GOOGLEFINANCE(""NSE:""&amp;D818,""EPS"")"),7.23)</f>
        <v>7.23</v>
      </c>
      <c r="Q818" s="7">
        <v>13.5</v>
      </c>
      <c r="R818" s="7" t="str">
        <f ca="1">IFERROR(__xludf.DUMMYFUNCTION("IMPORTXML(E818,""/html/body/main/div[3]/div[3]/div[2]/ul/li[7]/span[2]/span"")"),"Loading...")</f>
        <v>Loading...</v>
      </c>
      <c r="S818" s="7" t="str">
        <f ca="1">IFERROR(__xludf.DUMMYFUNCTION("IMPORTXML(E818,""/html/body/main/div[3]/div[3]/div[2]/ul/li[8]/span[2]/span"")"),"Loading...")</f>
        <v>Loading...</v>
      </c>
      <c r="T818" s="4">
        <v>34.6</v>
      </c>
      <c r="U818" s="4">
        <v>22.7</v>
      </c>
      <c r="V818" s="4">
        <v>2.6</v>
      </c>
      <c r="W818" s="4">
        <v>5.7</v>
      </c>
      <c r="X818" s="4">
        <v>519.92999999999995</v>
      </c>
      <c r="Y818" s="7">
        <f t="shared" ca="1" si="19"/>
        <v>-293.72999999999996</v>
      </c>
    </row>
    <row r="819" spans="1:25" ht="15" x14ac:dyDescent="0.25">
      <c r="A819" s="4">
        <v>2055</v>
      </c>
      <c r="C819" s="12" t="s">
        <v>2180</v>
      </c>
      <c r="D819" s="12" t="s">
        <v>2181</v>
      </c>
      <c r="E819" s="5" t="str">
        <f t="shared" si="15"/>
        <v>https://www.screener.in/company/DHRUV/consolidated/</v>
      </c>
      <c r="F819" s="4">
        <v>443059</v>
      </c>
      <c r="G819" s="4">
        <v>3832241897</v>
      </c>
      <c r="H819" s="6">
        <f t="shared" ca="1" si="16"/>
        <v>22495.259935390004</v>
      </c>
      <c r="I819" s="7" t="str">
        <f ca="1">IFERROR(__xludf.DUMMYFUNCTION("IMPORTXML(E819,""/html/body/main/div[3]/div[3]/div[2]/ul/li[5]/span[2]/span"")"),"Loading...")</f>
        <v>Loading...</v>
      </c>
      <c r="J819" s="7">
        <f ca="1">IFERROR(__xludf.DUMMYFUNCTION("GOOGLEFINANCE(""NSE:""&amp;D819,""marketcap"")"),1113337086)</f>
        <v>1113337086</v>
      </c>
      <c r="K819" s="7">
        <v>992.8</v>
      </c>
      <c r="L819" s="8">
        <f ca="1">IFERROR(__xludf.DUMMYFUNCTION("GOOGLEFINANCE(""NSE:""&amp;D819,""price"")"),58.7)</f>
        <v>58.7</v>
      </c>
      <c r="M819" s="9">
        <f t="shared" ca="1" si="17"/>
        <v>-934.09999999999991</v>
      </c>
      <c r="N819" s="10">
        <f t="shared" ca="1" si="18"/>
        <v>-94.087429492344882</v>
      </c>
      <c r="O819" s="7">
        <f ca="1">IFERROR(__xludf.DUMMYFUNCTION("GOOGLEFINANCE(""NSE:""&amp;D819,""pe"")"),13.85)</f>
        <v>13.85</v>
      </c>
      <c r="P819" s="7">
        <f ca="1">IFERROR(__xludf.DUMMYFUNCTION("GOOGLEFINANCE(""NSE:""&amp;D819,""EPS"")"),4.24)</f>
        <v>4.24</v>
      </c>
      <c r="Q819" s="7">
        <v>13.5</v>
      </c>
      <c r="R819" s="7" t="str">
        <f ca="1">IFERROR(__xludf.DUMMYFUNCTION("IMPORTXML(E819,""/html/body/main/div[3]/div[3]/div[2]/ul/li[7]/span[2]/span"")"),"Loading...")</f>
        <v>Loading...</v>
      </c>
      <c r="S819" s="7" t="str">
        <f ca="1">IFERROR(__xludf.DUMMYFUNCTION("IMPORTXML(E819,""/html/body/main/div[3]/div[3]/div[2]/ul/li[8]/span[2]/span"")"),"Loading...")</f>
        <v>Loading...</v>
      </c>
      <c r="T819" s="4">
        <v>34.6</v>
      </c>
      <c r="U819" s="4">
        <v>22.7</v>
      </c>
      <c r="V819" s="4">
        <v>2.6</v>
      </c>
      <c r="W819" s="4">
        <v>5.7</v>
      </c>
      <c r="X819" s="4">
        <v>519.92999999999995</v>
      </c>
      <c r="Y819" s="7">
        <f t="shared" ca="1" si="19"/>
        <v>-461.22999999999996</v>
      </c>
    </row>
    <row r="820" spans="1:25" ht="15" x14ac:dyDescent="0.25">
      <c r="A820" s="4">
        <v>548</v>
      </c>
      <c r="C820" s="12" t="s">
        <v>2182</v>
      </c>
      <c r="D820" s="12" t="s">
        <v>2183</v>
      </c>
      <c r="E820" s="5" t="str">
        <f t="shared" si="15"/>
        <v>https://www.screener.in/company/PGIL/consolidated/</v>
      </c>
      <c r="F820" s="4">
        <v>443059</v>
      </c>
      <c r="G820" s="4">
        <v>3832241897</v>
      </c>
      <c r="H820" s="6">
        <f t="shared" ca="1" si="16"/>
        <v>461325.27956085996</v>
      </c>
      <c r="I820" s="7" t="str">
        <f ca="1">IFERROR(__xludf.DUMMYFUNCTION("IMPORTXML(E820,""/html/body/main/div[3]/div[3]/div[2]/ul/li[5]/span[2]/span"")"),"Loading...")</f>
        <v>Loading...</v>
      </c>
      <c r="J820" s="7">
        <f ca="1">IFERROR(__xludf.DUMMYFUNCTION("GOOGLEFINANCE(""NSE:""&amp;D820,""marketcap"")"),55349173343)</f>
        <v>55349173343</v>
      </c>
      <c r="K820" s="7">
        <v>992.8</v>
      </c>
      <c r="L820" s="8">
        <f ca="1">IFERROR(__xludf.DUMMYFUNCTION("GOOGLEFINANCE(""NSE:""&amp;D820,""price"")"),1203.8)</f>
        <v>1203.8</v>
      </c>
      <c r="M820" s="9">
        <f t="shared" ca="1" si="17"/>
        <v>211</v>
      </c>
      <c r="N820" s="10">
        <f t="shared" ca="1" si="18"/>
        <v>21.253021756647865</v>
      </c>
      <c r="O820" s="7">
        <f ca="1">IFERROR(__xludf.DUMMYFUNCTION("GOOGLEFINANCE(""NSE:""&amp;D820,""pe"")"),22.53)</f>
        <v>22.53</v>
      </c>
      <c r="P820" s="7">
        <f ca="1">IFERROR(__xludf.DUMMYFUNCTION("GOOGLEFINANCE(""NSE:""&amp;D820,""EPS"")"),53.44)</f>
        <v>53.44</v>
      </c>
      <c r="Q820" s="7">
        <v>13.5</v>
      </c>
      <c r="R820" s="7" t="str">
        <f ca="1">IFERROR(__xludf.DUMMYFUNCTION("IMPORTXML(E820,""/html/body/main/div[3]/div[3]/div[2]/ul/li[7]/span[2]/span"")"),"Loading...")</f>
        <v>Loading...</v>
      </c>
      <c r="S820" s="7" t="str">
        <f ca="1">IFERROR(__xludf.DUMMYFUNCTION("IMPORTXML(E820,""/html/body/main/div[3]/div[3]/div[2]/ul/li[8]/span[2]/span"")"),"Loading...")</f>
        <v>Loading...</v>
      </c>
      <c r="T820" s="4">
        <v>34.6</v>
      </c>
      <c r="U820" s="4">
        <v>22.7</v>
      </c>
      <c r="V820" s="4">
        <v>2.6</v>
      </c>
      <c r="W820" s="4">
        <v>5.7</v>
      </c>
      <c r="X820" s="4">
        <v>519.92999999999995</v>
      </c>
      <c r="Y820" s="7">
        <f t="shared" ca="1" si="19"/>
        <v>683.87</v>
      </c>
    </row>
    <row r="821" spans="1:25" ht="15" x14ac:dyDescent="0.25">
      <c r="A821" s="4">
        <v>407</v>
      </c>
      <c r="C821" s="12" t="s">
        <v>2184</v>
      </c>
      <c r="D821" s="12" t="s">
        <v>2185</v>
      </c>
      <c r="E821" s="5" t="str">
        <f t="shared" si="15"/>
        <v>https://www.screener.in/company/RESPONIND/consolidated/</v>
      </c>
      <c r="F821" s="4">
        <v>443059</v>
      </c>
      <c r="G821" s="4">
        <v>3832241897</v>
      </c>
      <c r="H821" s="6">
        <f t="shared" ca="1" si="16"/>
        <v>72440.868578991009</v>
      </c>
      <c r="I821" s="7" t="str">
        <f ca="1">IFERROR(__xludf.DUMMYFUNCTION("IMPORTXML(E821,""/html/body/main/div[3]/div[3]/div[2]/ul/li[5]/span[2]/span"")"),"Loading...")</f>
        <v>Loading...</v>
      </c>
      <c r="J821" s="7">
        <f ca="1">IFERROR(__xludf.DUMMYFUNCTION("GOOGLEFINANCE(""NSE:""&amp;D821,""marketcap"")"),50519650000)</f>
        <v>50519650000</v>
      </c>
      <c r="K821" s="7">
        <v>992.8</v>
      </c>
      <c r="L821" s="8">
        <f ca="1">IFERROR(__xludf.DUMMYFUNCTION("GOOGLEFINANCE(""NSE:""&amp;D821,""price"")"),189.03)</f>
        <v>189.03</v>
      </c>
      <c r="M821" s="9">
        <f t="shared" ca="1" si="17"/>
        <v>-803.77</v>
      </c>
      <c r="N821" s="10">
        <f t="shared" ca="1" si="18"/>
        <v>-80.959911361804998</v>
      </c>
      <c r="O821" s="7">
        <f ca="1">IFERROR(__xludf.DUMMYFUNCTION("GOOGLEFINANCE(""NSE:""&amp;D821,""pe"")"),25.17)</f>
        <v>25.17</v>
      </c>
      <c r="P821" s="7">
        <f ca="1">IFERROR(__xludf.DUMMYFUNCTION("GOOGLEFINANCE(""NSE:""&amp;D821,""EPS"")"),7.51)</f>
        <v>7.51</v>
      </c>
      <c r="Q821" s="7">
        <v>13.5</v>
      </c>
      <c r="R821" s="7" t="str">
        <f ca="1">IFERROR(__xludf.DUMMYFUNCTION("IMPORTXML(E821,""/html/body/main/div[3]/div[3]/div[2]/ul/li[7]/span[2]/span"")"),"Loading...")</f>
        <v>Loading...</v>
      </c>
      <c r="S821" s="7" t="str">
        <f ca="1">IFERROR(__xludf.DUMMYFUNCTION("IMPORTXML(E821,""/html/body/main/div[3]/div[3]/div[2]/ul/li[8]/span[2]/span"")"),"Loading...")</f>
        <v>Loading...</v>
      </c>
      <c r="T821" s="4">
        <v>34.6</v>
      </c>
      <c r="U821" s="4">
        <v>22.7</v>
      </c>
      <c r="V821" s="4">
        <v>2.6</v>
      </c>
      <c r="W821" s="4">
        <v>5.7</v>
      </c>
      <c r="X821" s="4">
        <v>519.92999999999995</v>
      </c>
      <c r="Y821" s="7">
        <f t="shared" ca="1" si="19"/>
        <v>-330.9</v>
      </c>
    </row>
    <row r="822" spans="1:25" ht="15" x14ac:dyDescent="0.25">
      <c r="A822" s="4">
        <v>539</v>
      </c>
      <c r="C822" s="12" t="s">
        <v>2186</v>
      </c>
      <c r="D822" s="12" t="s">
        <v>2187</v>
      </c>
      <c r="E822" s="5" t="str">
        <f t="shared" si="15"/>
        <v>https://www.screener.in/company/HARSHA/consolidated/</v>
      </c>
      <c r="F822" s="4">
        <v>443059</v>
      </c>
      <c r="G822" s="4">
        <v>3832241897</v>
      </c>
      <c r="H822" s="6">
        <f t="shared" ca="1" si="16"/>
        <v>154535.15449652501</v>
      </c>
      <c r="I822" s="7" t="str">
        <f ca="1">IFERROR(__xludf.DUMMYFUNCTION("IMPORTXML(E822,""/html/body/main/div[3]/div[3]/div[2]/ul/li[5]/span[2]/span"")"),"Loading...")</f>
        <v>Loading...</v>
      </c>
      <c r="J822" s="7">
        <f ca="1">IFERROR(__xludf.DUMMYFUNCTION("GOOGLEFINANCE(""NSE:""&amp;D822,""marketcap"")"),36713533325)</f>
        <v>36713533325</v>
      </c>
      <c r="K822" s="7">
        <v>992.8</v>
      </c>
      <c r="L822" s="8">
        <f ca="1">IFERROR(__xludf.DUMMYFUNCTION("GOOGLEFINANCE(""NSE:""&amp;D822,""price"")"),403.25)</f>
        <v>403.25</v>
      </c>
      <c r="M822" s="9">
        <f t="shared" ca="1" si="17"/>
        <v>-589.54999999999995</v>
      </c>
      <c r="N822" s="10">
        <f t="shared" ca="1" si="18"/>
        <v>-59.382554391619657</v>
      </c>
      <c r="O822" s="7">
        <f ca="1">IFERROR(__xludf.DUMMYFUNCTION("GOOGLEFINANCE(""NSE:""&amp;D822,""pe"")"),40.26)</f>
        <v>40.26</v>
      </c>
      <c r="P822" s="7">
        <f ca="1">IFERROR(__xludf.DUMMYFUNCTION("GOOGLEFINANCE(""NSE:""&amp;D822,""EPS"")"),10.02)</f>
        <v>10.02</v>
      </c>
      <c r="Q822" s="7">
        <v>13.5</v>
      </c>
      <c r="R822" s="7" t="str">
        <f ca="1">IFERROR(__xludf.DUMMYFUNCTION("IMPORTXML(E822,""/html/body/main/div[3]/div[3]/div[2]/ul/li[7]/span[2]/span"")"),"Loading...")</f>
        <v>Loading...</v>
      </c>
      <c r="S822" s="7" t="str">
        <f ca="1">IFERROR(__xludf.DUMMYFUNCTION("IMPORTXML(E822,""/html/body/main/div[3]/div[3]/div[2]/ul/li[8]/span[2]/span"")"),"Loading...")</f>
        <v>Loading...</v>
      </c>
      <c r="T822" s="4">
        <v>34.6</v>
      </c>
      <c r="U822" s="4">
        <v>22.7</v>
      </c>
      <c r="V822" s="4">
        <v>2.6</v>
      </c>
      <c r="W822" s="4">
        <v>5.7</v>
      </c>
      <c r="X822" s="4">
        <v>519.92999999999995</v>
      </c>
      <c r="Y822" s="7">
        <f t="shared" ca="1" si="19"/>
        <v>-116.67999999999995</v>
      </c>
    </row>
    <row r="823" spans="1:25" ht="15" x14ac:dyDescent="0.25">
      <c r="A823" s="4">
        <v>161</v>
      </c>
      <c r="C823" s="12" t="s">
        <v>2188</v>
      </c>
      <c r="D823" s="12" t="s">
        <v>2189</v>
      </c>
      <c r="E823" s="5" t="str">
        <f t="shared" si="15"/>
        <v>https://www.screener.in/company/WELSPUNLIV/consolidated/</v>
      </c>
      <c r="F823" s="4">
        <v>443059</v>
      </c>
      <c r="G823" s="4">
        <v>3832241897</v>
      </c>
      <c r="H823" s="6">
        <f t="shared" ca="1" si="16"/>
        <v>43457.623111980007</v>
      </c>
      <c r="I823" s="7" t="str">
        <f ca="1">IFERROR(__xludf.DUMMYFUNCTION("IMPORTXML(E823,""/html/body/main/div[3]/div[3]/div[2]/ul/li[5]/span[2]/span"")"),"Loading...")</f>
        <v>Loading...</v>
      </c>
      <c r="J823" s="7">
        <f ca="1">IFERROR(__xludf.DUMMYFUNCTION("GOOGLEFINANCE(""NSE:""&amp;D823,""marketcap"")"),108963500000)</f>
        <v>108963500000</v>
      </c>
      <c r="K823" s="7">
        <v>992.8</v>
      </c>
      <c r="L823" s="8">
        <f ca="1">IFERROR(__xludf.DUMMYFUNCTION("GOOGLEFINANCE(""NSE:""&amp;D823,""price"")"),113.4)</f>
        <v>113.4</v>
      </c>
      <c r="M823" s="9">
        <f t="shared" ca="1" si="17"/>
        <v>-879.4</v>
      </c>
      <c r="N823" s="10">
        <f t="shared" ca="1" si="18"/>
        <v>-88.57775987107172</v>
      </c>
      <c r="O823" s="7">
        <f ca="1">IFERROR(__xludf.DUMMYFUNCTION("GOOGLEFINANCE(""NSE:""&amp;D823,""pe"")"),29.14)</f>
        <v>29.14</v>
      </c>
      <c r="P823" s="7">
        <f ca="1">IFERROR(__xludf.DUMMYFUNCTION("GOOGLEFINANCE(""NSE:""&amp;D823,""EPS"")"),5.46)</f>
        <v>5.46</v>
      </c>
      <c r="Q823" s="7">
        <v>13.5</v>
      </c>
      <c r="R823" s="7" t="str">
        <f ca="1">IFERROR(__xludf.DUMMYFUNCTION("IMPORTXML(E823,""/html/body/main/div[3]/div[3]/div[2]/ul/li[7]/span[2]/span"")"),"Loading...")</f>
        <v>Loading...</v>
      </c>
      <c r="S823" s="7" t="str">
        <f ca="1">IFERROR(__xludf.DUMMYFUNCTION("IMPORTXML(E823,""/html/body/main/div[3]/div[3]/div[2]/ul/li[8]/span[2]/span"")"),"Loading...")</f>
        <v>Loading...</v>
      </c>
      <c r="T823" s="4">
        <v>34.6</v>
      </c>
      <c r="U823" s="4">
        <v>22.7</v>
      </c>
      <c r="V823" s="4">
        <v>2.6</v>
      </c>
      <c r="W823" s="4">
        <v>5.7</v>
      </c>
      <c r="X823" s="4">
        <v>519.92999999999995</v>
      </c>
      <c r="Y823" s="7">
        <f t="shared" ca="1" si="19"/>
        <v>-406.53</v>
      </c>
    </row>
    <row r="824" spans="1:25" ht="15" x14ac:dyDescent="0.25">
      <c r="A824" s="4">
        <v>1538</v>
      </c>
      <c r="C824" s="12" t="s">
        <v>2190</v>
      </c>
      <c r="D824" s="12" t="s">
        <v>2191</v>
      </c>
      <c r="E824" s="5" t="str">
        <f t="shared" si="15"/>
        <v>https://www.screener.in/company/ELGIRUBCO/consolidated/</v>
      </c>
      <c r="F824" s="4">
        <v>443059</v>
      </c>
      <c r="G824" s="4">
        <v>3832241897</v>
      </c>
      <c r="H824" s="6">
        <f t="shared" ca="1" si="16"/>
        <v>28354.757795902999</v>
      </c>
      <c r="I824" s="7" t="str">
        <f ca="1">IFERROR(__xludf.DUMMYFUNCTION("IMPORTXML(E824,""/html/body/main/div[3]/div[3]/div[2]/ul/li[5]/span[2]/span"")"),"Loading...")</f>
        <v>Loading...</v>
      </c>
      <c r="J824" s="7">
        <f ca="1">IFERROR(__xludf.DUMMYFUNCTION("GOOGLEFINANCE(""NSE:""&amp;D824,""marketcap"")"),3703199393)</f>
        <v>3703199393</v>
      </c>
      <c r="K824" s="7">
        <v>992.8</v>
      </c>
      <c r="L824" s="8">
        <f ca="1">IFERROR(__xludf.DUMMYFUNCTION("GOOGLEFINANCE(""NSE:""&amp;D824,""price"")"),73.99)</f>
        <v>73.989999999999995</v>
      </c>
      <c r="M824" s="9">
        <f t="shared" ca="1" si="17"/>
        <v>-918.81</v>
      </c>
      <c r="N824" s="10">
        <f t="shared" ca="1" si="18"/>
        <v>-92.54734085414988</v>
      </c>
      <c r="O824" s="7" t="str">
        <f ca="1">IFERROR(__xludf.DUMMYFUNCTION("GOOGLEFINANCE(""NSE:""&amp;D824,""pe"")"),"#N/A")</f>
        <v>#N/A</v>
      </c>
      <c r="P824" s="7">
        <f ca="1">IFERROR(__xludf.DUMMYFUNCTION("GOOGLEFINANCE(""NSE:""&amp;D824,""EPS"")"),-5.22)</f>
        <v>-5.22</v>
      </c>
      <c r="Q824" s="7">
        <v>13.5</v>
      </c>
      <c r="R824" s="7" t="str">
        <f ca="1">IFERROR(__xludf.DUMMYFUNCTION("IMPORTXML(E824,""/html/body/main/div[3]/div[3]/div[2]/ul/li[7]/span[2]/span"")"),"Loading...")</f>
        <v>Loading...</v>
      </c>
      <c r="S824" s="7" t="str">
        <f ca="1">IFERROR(__xludf.DUMMYFUNCTION("IMPORTXML(E824,""/html/body/main/div[3]/div[3]/div[2]/ul/li[8]/span[2]/span"")"),"Loading...")</f>
        <v>Loading...</v>
      </c>
      <c r="T824" s="4">
        <v>34.6</v>
      </c>
      <c r="U824" s="4">
        <v>22.7</v>
      </c>
      <c r="V824" s="4">
        <v>2.6</v>
      </c>
      <c r="W824" s="4">
        <v>5.7</v>
      </c>
      <c r="X824" s="4">
        <v>519.92999999999995</v>
      </c>
      <c r="Y824" s="7">
        <f t="shared" ca="1" si="19"/>
        <v>-445.93999999999994</v>
      </c>
    </row>
    <row r="825" spans="1:25" ht="15" x14ac:dyDescent="0.25">
      <c r="A825" s="4">
        <v>716</v>
      </c>
      <c r="C825" s="12" t="s">
        <v>2192</v>
      </c>
      <c r="D825" s="12" t="s">
        <v>2193</v>
      </c>
      <c r="E825" s="5" t="str">
        <f t="shared" si="15"/>
        <v>https://www.screener.in/company/HITECH/consolidated/</v>
      </c>
      <c r="F825" s="4">
        <v>443059</v>
      </c>
      <c r="G825" s="4">
        <v>3832241897</v>
      </c>
      <c r="H825" s="6">
        <f t="shared" ca="1" si="16"/>
        <v>34643.466748880004</v>
      </c>
      <c r="I825" s="7" t="str">
        <f ca="1">IFERROR(__xludf.DUMMYFUNCTION("IMPORTXML(E825,""/html/body/main/div[3]/div[3]/div[2]/ul/li[5]/span[2]/span"")"),"Loading...")</f>
        <v>Loading...</v>
      </c>
      <c r="J825" s="7">
        <f ca="1">IFERROR(__xludf.DUMMYFUNCTION("GOOGLEFINANCE(""NSE:""&amp;D825,""marketcap"")"),18357416298)</f>
        <v>18357416298</v>
      </c>
      <c r="K825" s="7">
        <v>992.8</v>
      </c>
      <c r="L825" s="8">
        <f ca="1">IFERROR(__xludf.DUMMYFUNCTION("GOOGLEFINANCE(""NSE:""&amp;D825,""price"")"),90.4)</f>
        <v>90.4</v>
      </c>
      <c r="M825" s="9">
        <f t="shared" ca="1" si="17"/>
        <v>-902.4</v>
      </c>
      <c r="N825" s="10">
        <f t="shared" ca="1" si="18"/>
        <v>-90.894439967767923</v>
      </c>
      <c r="O825" s="7">
        <f ca="1">IFERROR(__xludf.DUMMYFUNCTION("GOOGLEFINANCE(""NSE:""&amp;D825,""pe"")"),21.68)</f>
        <v>21.68</v>
      </c>
      <c r="P825" s="7">
        <f ca="1">IFERROR(__xludf.DUMMYFUNCTION("GOOGLEFINANCE(""NSE:""&amp;D825,""EPS"")"),4.17)</f>
        <v>4.17</v>
      </c>
      <c r="Q825" s="7">
        <v>13.5</v>
      </c>
      <c r="R825" s="7" t="str">
        <f ca="1">IFERROR(__xludf.DUMMYFUNCTION("IMPORTXML(E825,""/html/body/main/div[3]/div[3]/div[2]/ul/li[7]/span[2]/span"")"),"Loading...")</f>
        <v>Loading...</v>
      </c>
      <c r="S825" s="7" t="str">
        <f ca="1">IFERROR(__xludf.DUMMYFUNCTION("IMPORTXML(E825,""/html/body/main/div[3]/div[3]/div[2]/ul/li[8]/span[2]/span"")"),"Loading...")</f>
        <v>Loading...</v>
      </c>
      <c r="T825" s="4">
        <v>34.6</v>
      </c>
      <c r="U825" s="4">
        <v>22.7</v>
      </c>
      <c r="V825" s="4">
        <v>2.6</v>
      </c>
      <c r="W825" s="4">
        <v>5.7</v>
      </c>
      <c r="X825" s="4">
        <v>519.92999999999995</v>
      </c>
      <c r="Y825" s="7">
        <f t="shared" ca="1" si="19"/>
        <v>-429.53</v>
      </c>
    </row>
    <row r="826" spans="1:25" ht="15" x14ac:dyDescent="0.25">
      <c r="A826" s="4">
        <v>319</v>
      </c>
      <c r="C826" s="12" t="s">
        <v>2194</v>
      </c>
      <c r="D826" s="12" t="s">
        <v>2195</v>
      </c>
      <c r="E826" s="5" t="str">
        <f t="shared" si="15"/>
        <v>https://www.screener.in/company/CCL/consolidated/</v>
      </c>
      <c r="F826" s="4">
        <v>443059</v>
      </c>
      <c r="G826" s="4">
        <v>3832241897</v>
      </c>
      <c r="H826" s="6">
        <f t="shared" ca="1" si="16"/>
        <v>349922.00761507003</v>
      </c>
      <c r="I826" s="7" t="str">
        <f ca="1">IFERROR(__xludf.DUMMYFUNCTION("IMPORTXML(E826,""/html/body/main/div[3]/div[3]/div[2]/ul/li[5]/span[2]/span"")"),"Loading...")</f>
        <v>Loading...</v>
      </c>
      <c r="J826" s="7">
        <f ca="1">IFERROR(__xludf.DUMMYFUNCTION("GOOGLEFINANCE(""NSE:""&amp;D826,""marketcap"")"),122256200000)</f>
        <v>122256200000</v>
      </c>
      <c r="K826" s="7">
        <v>992.8</v>
      </c>
      <c r="L826" s="8">
        <f ca="1">IFERROR(__xludf.DUMMYFUNCTION("GOOGLEFINANCE(""NSE:""&amp;D826,""price"")"),913.1)</f>
        <v>913.1</v>
      </c>
      <c r="M826" s="9">
        <f t="shared" ca="1" si="17"/>
        <v>-79.699999999999932</v>
      </c>
      <c r="N826" s="10">
        <f t="shared" ca="1" si="18"/>
        <v>-8.0278001611603482</v>
      </c>
      <c r="O826" s="7">
        <f ca="1">IFERROR(__xludf.DUMMYFUNCTION("GOOGLEFINANCE(""NSE:""&amp;D826,""pe"")"),39.13)</f>
        <v>39.130000000000003</v>
      </c>
      <c r="P826" s="7">
        <f ca="1">IFERROR(__xludf.DUMMYFUNCTION("GOOGLEFINANCE(""NSE:""&amp;D826,""EPS"")"),23.34)</f>
        <v>23.34</v>
      </c>
      <c r="Q826" s="7">
        <v>13.5</v>
      </c>
      <c r="R826" s="7" t="str">
        <f ca="1">IFERROR(__xludf.DUMMYFUNCTION("IMPORTXML(E826,""/html/body/main/div[3]/div[3]/div[2]/ul/li[7]/span[2]/span"")"),"Loading...")</f>
        <v>Loading...</v>
      </c>
      <c r="S826" s="7" t="str">
        <f ca="1">IFERROR(__xludf.DUMMYFUNCTION("IMPORTXML(E826,""/html/body/main/div[3]/div[3]/div[2]/ul/li[8]/span[2]/span"")"),"Loading...")</f>
        <v>Loading...</v>
      </c>
      <c r="T826" s="4">
        <v>34.6</v>
      </c>
      <c r="U826" s="4">
        <v>22.7</v>
      </c>
      <c r="V826" s="4">
        <v>2.6</v>
      </c>
      <c r="W826" s="4">
        <v>5.7</v>
      </c>
      <c r="X826" s="4">
        <v>519.92999999999995</v>
      </c>
      <c r="Y826" s="7">
        <f t="shared" ca="1" si="19"/>
        <v>393.17000000000007</v>
      </c>
    </row>
    <row r="827" spans="1:25" ht="15" x14ac:dyDescent="0.25">
      <c r="A827" s="4">
        <v>1017</v>
      </c>
      <c r="C827" s="12" t="s">
        <v>2196</v>
      </c>
      <c r="D827" s="12" t="s">
        <v>2197</v>
      </c>
      <c r="E827" s="5" t="str">
        <f t="shared" si="15"/>
        <v>https://www.screener.in/company/STEELCAS/consolidated/</v>
      </c>
      <c r="F827" s="4">
        <v>443059</v>
      </c>
      <c r="G827" s="4">
        <v>3832241897</v>
      </c>
      <c r="H827" s="6">
        <f t="shared" ca="1" si="16"/>
        <v>82469.845623439993</v>
      </c>
      <c r="I827" s="7" t="str">
        <f ca="1">IFERROR(__xludf.DUMMYFUNCTION("IMPORTXML(E827,""/html/body/main/div[3]/div[3]/div[2]/ul/li[5]/span[2]/span"")"),"Loading...")</f>
        <v>Loading...</v>
      </c>
      <c r="J827" s="7">
        <f ca="1">IFERROR(__xludf.DUMMYFUNCTION("GOOGLEFINANCE(""NSE:""&amp;D827,""marketcap"")"),21778218171)</f>
        <v>21778218171</v>
      </c>
      <c r="K827" s="7">
        <v>992.8</v>
      </c>
      <c r="L827" s="8">
        <f ca="1">IFERROR(__xludf.DUMMYFUNCTION("GOOGLEFINANCE(""NSE:""&amp;D827,""price"")"),215.2)</f>
        <v>215.2</v>
      </c>
      <c r="M827" s="9">
        <f t="shared" ca="1" si="17"/>
        <v>-777.59999999999991</v>
      </c>
      <c r="N827" s="10">
        <f t="shared" ca="1" si="18"/>
        <v>-78.323932312651081</v>
      </c>
      <c r="O827" s="7">
        <f ca="1">IFERROR(__xludf.DUMMYFUNCTION("GOOGLEFINANCE(""NSE:""&amp;D827,""pe"")"),27.52)</f>
        <v>27.52</v>
      </c>
      <c r="P827" s="7">
        <f ca="1">IFERROR(__xludf.DUMMYFUNCTION("GOOGLEFINANCE(""NSE:""&amp;D827,""EPS"")"),7.82)</f>
        <v>7.82</v>
      </c>
      <c r="Q827" s="7">
        <v>13.5</v>
      </c>
      <c r="R827" s="7" t="str">
        <f ca="1">IFERROR(__xludf.DUMMYFUNCTION("IMPORTXML(E827,""/html/body/main/div[3]/div[3]/div[2]/ul/li[7]/span[2]/span"")"),"Loading...")</f>
        <v>Loading...</v>
      </c>
      <c r="S827" s="7" t="str">
        <f ca="1">IFERROR(__xludf.DUMMYFUNCTION("IMPORTXML(E827,""/html/body/main/div[3]/div[3]/div[2]/ul/li[8]/span[2]/span"")"),"Loading...")</f>
        <v>Loading...</v>
      </c>
      <c r="T827" s="4">
        <v>34.6</v>
      </c>
      <c r="U827" s="4">
        <v>22.7</v>
      </c>
      <c r="V827" s="4">
        <v>2.6</v>
      </c>
      <c r="W827" s="4">
        <v>5.7</v>
      </c>
      <c r="X827" s="4">
        <v>519.92999999999995</v>
      </c>
      <c r="Y827" s="7">
        <f t="shared" ca="1" si="19"/>
        <v>-304.72999999999996</v>
      </c>
    </row>
    <row r="828" spans="1:25" ht="15" x14ac:dyDescent="0.25">
      <c r="A828" s="4">
        <v>1514</v>
      </c>
      <c r="C828" s="12" t="s">
        <v>2198</v>
      </c>
      <c r="D828" s="12" t="s">
        <v>2199</v>
      </c>
      <c r="E828" s="5" t="str">
        <f t="shared" si="15"/>
        <v>https://www.screener.in/company/SINCLAIR/consolidated/</v>
      </c>
      <c r="F828" s="4">
        <v>443059</v>
      </c>
      <c r="G828" s="4">
        <v>3832241897</v>
      </c>
      <c r="H828" s="6">
        <f t="shared" ca="1" si="16"/>
        <v>41388.212487600002</v>
      </c>
      <c r="I828" s="7" t="str">
        <f ca="1">IFERROR(__xludf.DUMMYFUNCTION("IMPORTXML(E828,""/html/body/main/div[3]/div[3]/div[2]/ul/li[5]/span[2]/span"")"),"Loading...")</f>
        <v>Loading...</v>
      </c>
      <c r="J828" s="7">
        <f ca="1">IFERROR(__xludf.DUMMYFUNCTION("GOOGLEFINANCE(""NSE:""&amp;D828,""marketcap"")"),5536078920)</f>
        <v>5536078920</v>
      </c>
      <c r="K828" s="7">
        <v>992.8</v>
      </c>
      <c r="L828" s="8">
        <f ca="1">IFERROR(__xludf.DUMMYFUNCTION("GOOGLEFINANCE(""NSE:""&amp;D828,""price"")"),108)</f>
        <v>108</v>
      </c>
      <c r="M828" s="9">
        <f t="shared" ca="1" si="17"/>
        <v>-884.8</v>
      </c>
      <c r="N828" s="10">
        <f t="shared" ca="1" si="18"/>
        <v>-89.121676067687346</v>
      </c>
      <c r="O828" s="7">
        <f ca="1">IFERROR(__xludf.DUMMYFUNCTION("GOOGLEFINANCE(""NSE:""&amp;D828,""pe"")"),41.37)</f>
        <v>41.37</v>
      </c>
      <c r="P828" s="7">
        <f ca="1">IFERROR(__xludf.DUMMYFUNCTION("GOOGLEFINANCE(""NSE:""&amp;D828,""EPS"")"),2.61)</f>
        <v>2.61</v>
      </c>
      <c r="Q828" s="7">
        <v>13.5</v>
      </c>
      <c r="R828" s="7" t="str">
        <f ca="1">IFERROR(__xludf.DUMMYFUNCTION("IMPORTXML(E828,""/html/body/main/div[3]/div[3]/div[2]/ul/li[7]/span[2]/span"")"),"Loading...")</f>
        <v>Loading...</v>
      </c>
      <c r="S828" s="7" t="str">
        <f ca="1">IFERROR(__xludf.DUMMYFUNCTION("IMPORTXML(E828,""/html/body/main/div[3]/div[3]/div[2]/ul/li[8]/span[2]/span"")"),"Loading...")</f>
        <v>Loading...</v>
      </c>
      <c r="T828" s="4">
        <v>34.6</v>
      </c>
      <c r="U828" s="4">
        <v>22.7</v>
      </c>
      <c r="V828" s="4">
        <v>2.6</v>
      </c>
      <c r="W828" s="4">
        <v>5.7</v>
      </c>
      <c r="X828" s="4">
        <v>519.92999999999995</v>
      </c>
      <c r="Y828" s="7">
        <f t="shared" ca="1" si="19"/>
        <v>-411.92999999999995</v>
      </c>
    </row>
    <row r="829" spans="1:25" ht="15" x14ac:dyDescent="0.25">
      <c r="A829" s="4">
        <v>1062</v>
      </c>
      <c r="C829" s="12" t="s">
        <v>2200</v>
      </c>
      <c r="D829" s="12" t="s">
        <v>2201</v>
      </c>
      <c r="E829" s="5" t="str">
        <f t="shared" si="15"/>
        <v>https://www.screener.in/company/MACPOWER/consolidated/</v>
      </c>
      <c r="F829" s="4">
        <v>443059</v>
      </c>
      <c r="G829" s="4">
        <v>3832241897</v>
      </c>
      <c r="H829" s="6">
        <f t="shared" ca="1" si="16"/>
        <v>312864.22847107996</v>
      </c>
      <c r="I829" s="7" t="str">
        <f ca="1">IFERROR(__xludf.DUMMYFUNCTION("IMPORTXML(E829,""/html/body/main/div[3]/div[3]/div[2]/ul/li[5]/span[2]/span"")"),"Loading...")</f>
        <v>Loading...</v>
      </c>
      <c r="J829" s="7">
        <f ca="1">IFERROR(__xludf.DUMMYFUNCTION("GOOGLEFINANCE(""NSE:""&amp;D829,""marketcap"")"),8167396468)</f>
        <v>8167396468</v>
      </c>
      <c r="K829" s="7">
        <v>992.8</v>
      </c>
      <c r="L829" s="8">
        <f ca="1">IFERROR(__xludf.DUMMYFUNCTION("GOOGLEFINANCE(""NSE:""&amp;D829,""price"")"),816.4)</f>
        <v>816.4</v>
      </c>
      <c r="M829" s="9">
        <f t="shared" ca="1" si="17"/>
        <v>-176.39999999999998</v>
      </c>
      <c r="N829" s="10">
        <f t="shared" ca="1" si="18"/>
        <v>-17.767929089443996</v>
      </c>
      <c r="O829" s="7">
        <f ca="1">IFERROR(__xludf.DUMMYFUNCTION("GOOGLEFINANCE(""NSE:""&amp;D829,""pe"")"),31.43)</f>
        <v>31.43</v>
      </c>
      <c r="P829" s="7">
        <f ca="1">IFERROR(__xludf.DUMMYFUNCTION("GOOGLEFINANCE(""NSE:""&amp;D829,""EPS"")"),25.97)</f>
        <v>25.97</v>
      </c>
      <c r="Q829" s="7">
        <v>13.5</v>
      </c>
      <c r="R829" s="7" t="str">
        <f ca="1">IFERROR(__xludf.DUMMYFUNCTION("IMPORTXML(E829,""/html/body/main/div[3]/div[3]/div[2]/ul/li[7]/span[2]/span"")"),"Loading...")</f>
        <v>Loading...</v>
      </c>
      <c r="S829" s="7" t="str">
        <f ca="1">IFERROR(__xludf.DUMMYFUNCTION("IMPORTXML(E829,""/html/body/main/div[3]/div[3]/div[2]/ul/li[8]/span[2]/span"")"),"Loading...")</f>
        <v>Loading...</v>
      </c>
      <c r="T829" s="4">
        <v>34.6</v>
      </c>
      <c r="U829" s="4">
        <v>22.7</v>
      </c>
      <c r="V829" s="4">
        <v>2.6</v>
      </c>
      <c r="W829" s="4">
        <v>5.7</v>
      </c>
      <c r="X829" s="4">
        <v>519.92999999999995</v>
      </c>
      <c r="Y829" s="7">
        <f t="shared" ca="1" si="19"/>
        <v>296.47000000000003</v>
      </c>
    </row>
    <row r="830" spans="1:25" ht="15" x14ac:dyDescent="0.25">
      <c r="A830" s="4">
        <v>276</v>
      </c>
      <c r="C830" s="12" t="s">
        <v>2202</v>
      </c>
      <c r="D830" s="12" t="s">
        <v>2203</v>
      </c>
      <c r="E830" s="5" t="str">
        <f t="shared" si="15"/>
        <v>https://www.screener.in/company/ISGEC/consolidated/</v>
      </c>
      <c r="F830" s="4">
        <v>443059</v>
      </c>
      <c r="G830" s="4">
        <v>3832241897</v>
      </c>
      <c r="H830" s="6">
        <f t="shared" ca="1" si="16"/>
        <v>383607.41388970002</v>
      </c>
      <c r="I830" s="7" t="str">
        <f ca="1">IFERROR(__xludf.DUMMYFUNCTION("IMPORTXML(E830,""/html/body/main/div[3]/div[3]/div[2]/ul/li[5]/span[2]/span"")"),"Loading...")</f>
        <v>Loading...</v>
      </c>
      <c r="J830" s="7">
        <f ca="1">IFERROR(__xludf.DUMMYFUNCTION("GOOGLEFINANCE(""NSE:""&amp;D830,""marketcap"")"),73603039510)</f>
        <v>73603039510</v>
      </c>
      <c r="K830" s="7">
        <v>992.8</v>
      </c>
      <c r="L830" s="8">
        <f ca="1">IFERROR(__xludf.DUMMYFUNCTION("GOOGLEFINANCE(""NSE:""&amp;D830,""price"")"),1001)</f>
        <v>1001</v>
      </c>
      <c r="M830" s="9">
        <f t="shared" ca="1" si="17"/>
        <v>8.2000000000000455</v>
      </c>
      <c r="N830" s="10">
        <f t="shared" ca="1" si="18"/>
        <v>0.82594681708300222</v>
      </c>
      <c r="O830" s="7">
        <f ca="1">IFERROR(__xludf.DUMMYFUNCTION("GOOGLEFINANCE(""NSE:""&amp;D830,""pe"")"),31.18)</f>
        <v>31.18</v>
      </c>
      <c r="P830" s="7">
        <f ca="1">IFERROR(__xludf.DUMMYFUNCTION("GOOGLEFINANCE(""NSE:""&amp;D830,""EPS"")"),32.1)</f>
        <v>32.1</v>
      </c>
      <c r="Q830" s="7">
        <v>13.5</v>
      </c>
      <c r="R830" s="7" t="str">
        <f ca="1">IFERROR(__xludf.DUMMYFUNCTION("IMPORTXML(E830,""/html/body/main/div[3]/div[3]/div[2]/ul/li[7]/span[2]/span"")"),"Loading...")</f>
        <v>Loading...</v>
      </c>
      <c r="S830" s="7" t="str">
        <f ca="1">IFERROR(__xludf.DUMMYFUNCTION("IMPORTXML(E830,""/html/body/main/div[3]/div[3]/div[2]/ul/li[8]/span[2]/span"")"),"Loading...")</f>
        <v>Loading...</v>
      </c>
      <c r="T830" s="4">
        <v>34.6</v>
      </c>
      <c r="U830" s="4">
        <v>22.7</v>
      </c>
      <c r="V830" s="4">
        <v>2.6</v>
      </c>
      <c r="W830" s="4">
        <v>5.7</v>
      </c>
      <c r="X830" s="4">
        <v>519.92999999999995</v>
      </c>
      <c r="Y830" s="7">
        <f t="shared" ca="1" si="19"/>
        <v>481.07000000000005</v>
      </c>
    </row>
    <row r="831" spans="1:25" ht="15" x14ac:dyDescent="0.25">
      <c r="A831" s="4">
        <v>336</v>
      </c>
      <c r="C831" s="12" t="s">
        <v>2204</v>
      </c>
      <c r="D831" s="12" t="s">
        <v>2205</v>
      </c>
      <c r="E831" s="5" t="str">
        <f t="shared" si="15"/>
        <v>https://www.screener.in/company/RATEGAIN/consolidated/</v>
      </c>
      <c r="F831" s="4">
        <v>443059</v>
      </c>
      <c r="G831" s="4">
        <v>3832241897</v>
      </c>
      <c r="H831" s="6">
        <f t="shared" ca="1" si="16"/>
        <v>236736.74318717499</v>
      </c>
      <c r="I831" s="7" t="str">
        <f ca="1">IFERROR(__xludf.DUMMYFUNCTION("IMPORTXML(E831,""/html/body/main/div[3]/div[3]/div[2]/ul/li[5]/span[2]/span"")"),"Loading...")</f>
        <v>Loading...</v>
      </c>
      <c r="J831" s="7">
        <f ca="1">IFERROR(__xludf.DUMMYFUNCTION("GOOGLEFINANCE(""NSE:""&amp;D831,""marketcap"")"),72901974775)</f>
        <v>72901974775</v>
      </c>
      <c r="K831" s="7">
        <v>992.8</v>
      </c>
      <c r="L831" s="8">
        <f ca="1">IFERROR(__xludf.DUMMYFUNCTION("GOOGLEFINANCE(""NSE:""&amp;D831,""price"")"),617.75)</f>
        <v>617.75</v>
      </c>
      <c r="M831" s="9">
        <f t="shared" ca="1" si="17"/>
        <v>-375.04999999999995</v>
      </c>
      <c r="N831" s="10">
        <f t="shared" ca="1" si="18"/>
        <v>-37.776994359387587</v>
      </c>
      <c r="O831" s="7">
        <f ca="1">IFERROR(__xludf.DUMMYFUNCTION("GOOGLEFINANCE(""NSE:""&amp;D831,""pe"")"),34.78)</f>
        <v>34.78</v>
      </c>
      <c r="P831" s="7">
        <f ca="1">IFERROR(__xludf.DUMMYFUNCTION("GOOGLEFINANCE(""NSE:""&amp;D831,""EPS"")"),17.76)</f>
        <v>17.760000000000002</v>
      </c>
      <c r="Q831" s="7">
        <v>13.5</v>
      </c>
      <c r="R831" s="7" t="str">
        <f ca="1">IFERROR(__xludf.DUMMYFUNCTION("IMPORTXML(E831,""/html/body/main/div[3]/div[3]/div[2]/ul/li[7]/span[2]/span"")"),"Loading...")</f>
        <v>Loading...</v>
      </c>
      <c r="S831" s="7" t="str">
        <f ca="1">IFERROR(__xludf.DUMMYFUNCTION("IMPORTXML(E831,""/html/body/main/div[3]/div[3]/div[2]/ul/li[8]/span[2]/span"")"),"Loading...")</f>
        <v>Loading...</v>
      </c>
      <c r="T831" s="4">
        <v>34.6</v>
      </c>
      <c r="U831" s="4">
        <v>22.7</v>
      </c>
      <c r="V831" s="4">
        <v>2.6</v>
      </c>
      <c r="W831" s="4">
        <v>5.7</v>
      </c>
      <c r="X831" s="4">
        <v>519.92999999999995</v>
      </c>
      <c r="Y831" s="7">
        <f t="shared" ca="1" si="19"/>
        <v>97.82000000000005</v>
      </c>
    </row>
    <row r="832" spans="1:25" ht="15" x14ac:dyDescent="0.25">
      <c r="A832" s="4">
        <v>258</v>
      </c>
      <c r="C832" s="12" t="s">
        <v>2206</v>
      </c>
      <c r="D832" s="12" t="s">
        <v>2207</v>
      </c>
      <c r="E832" s="5" t="str">
        <f t="shared" si="15"/>
        <v>https://www.screener.in/company/KPIGREEN/consolidated/</v>
      </c>
      <c r="F832" s="4">
        <v>443059</v>
      </c>
      <c r="G832" s="4">
        <v>3832241897</v>
      </c>
      <c r="H832" s="6">
        <f t="shared" ca="1" si="16"/>
        <v>186687.66401235497</v>
      </c>
      <c r="I832" s="7" t="str">
        <f ca="1">IFERROR(__xludf.DUMMYFUNCTION("IMPORTXML(E832,""/html/body/main/div[3]/div[3]/div[2]/ul/li[5]/span[2]/span"")"),"Loading...")</f>
        <v>Loading...</v>
      </c>
      <c r="J832" s="7">
        <f ca="1">IFERROR(__xludf.DUMMYFUNCTION("GOOGLEFINANCE(""NSE:""&amp;D832,""marketcap"")"),96134666945)</f>
        <v>96134666945</v>
      </c>
      <c r="K832" s="7">
        <v>992.8</v>
      </c>
      <c r="L832" s="8">
        <f ca="1">IFERROR(__xludf.DUMMYFUNCTION("GOOGLEFINANCE(""NSE:""&amp;D832,""price"")"),487.15)</f>
        <v>487.15</v>
      </c>
      <c r="M832" s="9">
        <f t="shared" ca="1" si="17"/>
        <v>-505.65</v>
      </c>
      <c r="N832" s="10">
        <f t="shared" ca="1" si="18"/>
        <v>-50.931708299758263</v>
      </c>
      <c r="O832" s="7">
        <f ca="1">IFERROR(__xludf.DUMMYFUNCTION("GOOGLEFINANCE(""NSE:""&amp;D832,""pe"")"),26.83)</f>
        <v>26.83</v>
      </c>
      <c r="P832" s="7">
        <f ca="1">IFERROR(__xludf.DUMMYFUNCTION("GOOGLEFINANCE(""NSE:""&amp;D832,""EPS"")"),18.16)</f>
        <v>18.16</v>
      </c>
      <c r="Q832" s="7">
        <v>13.5</v>
      </c>
      <c r="R832" s="7" t="str">
        <f ca="1">IFERROR(__xludf.DUMMYFUNCTION("IMPORTXML(E832,""/html/body/main/div[3]/div[3]/div[2]/ul/li[7]/span[2]/span"")"),"Loading...")</f>
        <v>Loading...</v>
      </c>
      <c r="S832" s="7" t="str">
        <f ca="1">IFERROR(__xludf.DUMMYFUNCTION("IMPORTXML(E832,""/html/body/main/div[3]/div[3]/div[2]/ul/li[8]/span[2]/span"")"),"Loading...")</f>
        <v>Loading...</v>
      </c>
      <c r="T832" s="4">
        <v>34.6</v>
      </c>
      <c r="U832" s="4">
        <v>22.7</v>
      </c>
      <c r="V832" s="4">
        <v>2.6</v>
      </c>
      <c r="W832" s="4">
        <v>5.7</v>
      </c>
      <c r="X832" s="4">
        <v>519.92999999999995</v>
      </c>
      <c r="Y832" s="7">
        <f t="shared" ca="1" si="19"/>
        <v>-32.779999999999973</v>
      </c>
    </row>
    <row r="833" spans="1:25" ht="15" x14ac:dyDescent="0.25">
      <c r="A833" s="4">
        <v>543</v>
      </c>
      <c r="C833" s="12" t="s">
        <v>2208</v>
      </c>
      <c r="D833" s="12" t="s">
        <v>2209</v>
      </c>
      <c r="E833" s="5" t="str">
        <f t="shared" si="15"/>
        <v>https://www.screener.in/company/SUPRIYA/consolidated/</v>
      </c>
      <c r="F833" s="4">
        <v>443059</v>
      </c>
      <c r="G833" s="4">
        <v>3832241897</v>
      </c>
      <c r="H833" s="6">
        <f t="shared" ca="1" si="16"/>
        <v>249957.977731825</v>
      </c>
      <c r="I833" s="7" t="str">
        <f ca="1">IFERROR(__xludf.DUMMYFUNCTION("IMPORTXML(E833,""/html/body/main/div[3]/div[3]/div[2]/ul/li[5]/span[2]/span"")"),"Loading...")</f>
        <v>Loading...</v>
      </c>
      <c r="J833" s="7">
        <f ca="1">IFERROR(__xludf.DUMMYFUNCTION("GOOGLEFINANCE(""NSE:""&amp;D833,""marketcap"")"),52438616322)</f>
        <v>52438616322</v>
      </c>
      <c r="K833" s="7">
        <v>992.8</v>
      </c>
      <c r="L833" s="8">
        <f ca="1">IFERROR(__xludf.DUMMYFUNCTION("GOOGLEFINANCE(""NSE:""&amp;D833,""price"")"),652.25)</f>
        <v>652.25</v>
      </c>
      <c r="M833" s="9">
        <f t="shared" ca="1" si="17"/>
        <v>-340.54999999999995</v>
      </c>
      <c r="N833" s="10">
        <f t="shared" ca="1" si="18"/>
        <v>-34.301974214343268</v>
      </c>
      <c r="O833" s="7">
        <f ca="1">IFERROR(__xludf.DUMMYFUNCTION("GOOGLEFINANCE(""NSE:""&amp;D833,""pe"")"),29.46)</f>
        <v>29.46</v>
      </c>
      <c r="P833" s="7">
        <f ca="1">IFERROR(__xludf.DUMMYFUNCTION("GOOGLEFINANCE(""NSE:""&amp;D833,""EPS"")"),22.14)</f>
        <v>22.14</v>
      </c>
      <c r="Q833" s="7">
        <v>13.5</v>
      </c>
      <c r="R833" s="7" t="str">
        <f ca="1">IFERROR(__xludf.DUMMYFUNCTION("IMPORTXML(E833,""/html/body/main/div[3]/div[3]/div[2]/ul/li[7]/span[2]/span"")"),"Loading...")</f>
        <v>Loading...</v>
      </c>
      <c r="S833" s="7" t="str">
        <f ca="1">IFERROR(__xludf.DUMMYFUNCTION("IMPORTXML(E833,""/html/body/main/div[3]/div[3]/div[2]/ul/li[8]/span[2]/span"")"),"Loading...")</f>
        <v>Loading...</v>
      </c>
      <c r="T833" s="4">
        <v>34.6</v>
      </c>
      <c r="U833" s="4">
        <v>22.7</v>
      </c>
      <c r="V833" s="4">
        <v>2.6</v>
      </c>
      <c r="W833" s="4">
        <v>5.7</v>
      </c>
      <c r="X833" s="4">
        <v>519.92999999999995</v>
      </c>
      <c r="Y833" s="7">
        <f t="shared" ca="1" si="19"/>
        <v>132.32000000000005</v>
      </c>
    </row>
    <row r="834" spans="1:25" ht="15" x14ac:dyDescent="0.25">
      <c r="A834" s="4">
        <v>450</v>
      </c>
      <c r="C834" s="12" t="s">
        <v>2210</v>
      </c>
      <c r="D834" s="12" t="s">
        <v>2211</v>
      </c>
      <c r="E834" s="5" t="str">
        <f t="shared" si="15"/>
        <v>https://www.screener.in/company/JAICORPLTD/consolidated/</v>
      </c>
      <c r="F834" s="4">
        <v>443059</v>
      </c>
      <c r="G834" s="4">
        <v>3832241897</v>
      </c>
      <c r="H834" s="6">
        <f t="shared" ca="1" si="16"/>
        <v>61814.061798610011</v>
      </c>
      <c r="I834" s="7" t="str">
        <f ca="1">IFERROR(__xludf.DUMMYFUNCTION("IMPORTXML(E834,""/html/body/main/div[3]/div[3]/div[2]/ul/li[5]/span[2]/span"")"),"Loading...")</f>
        <v>Loading...</v>
      </c>
      <c r="J834" s="7">
        <f ca="1">IFERROR(__xludf.DUMMYFUNCTION("GOOGLEFINANCE(""NSE:""&amp;D834,""marketcap"")"),28098315125)</f>
        <v>28098315125</v>
      </c>
      <c r="K834" s="7">
        <v>992.8</v>
      </c>
      <c r="L834" s="8">
        <f ca="1">IFERROR(__xludf.DUMMYFUNCTION("GOOGLEFINANCE(""NSE:""&amp;D834,""price"")"),161.3)</f>
        <v>161.30000000000001</v>
      </c>
      <c r="M834" s="9">
        <f t="shared" ca="1" si="17"/>
        <v>-831.5</v>
      </c>
      <c r="N834" s="10">
        <f t="shared" ca="1" si="18"/>
        <v>-83.753021756647868</v>
      </c>
      <c r="O834" s="7">
        <f ca="1">IFERROR(__xludf.DUMMYFUNCTION("GOOGLEFINANCE(""NSE:""&amp;D834,""pe"")"),18.06)</f>
        <v>18.059999999999999</v>
      </c>
      <c r="P834" s="7">
        <f ca="1">IFERROR(__xludf.DUMMYFUNCTION("GOOGLEFINANCE(""NSE:""&amp;D834,""EPS"")"),8.93)</f>
        <v>8.93</v>
      </c>
      <c r="Q834" s="7">
        <v>13.5</v>
      </c>
      <c r="R834" s="7" t="str">
        <f ca="1">IFERROR(__xludf.DUMMYFUNCTION("IMPORTXML(E834,""/html/body/main/div[3]/div[3]/div[2]/ul/li[7]/span[2]/span"")"),"Loading...")</f>
        <v>Loading...</v>
      </c>
      <c r="S834" s="7" t="str">
        <f ca="1">IFERROR(__xludf.DUMMYFUNCTION("IMPORTXML(E834,""/html/body/main/div[3]/div[3]/div[2]/ul/li[8]/span[2]/span"")"),"Loading...")</f>
        <v>Loading...</v>
      </c>
      <c r="T834" s="4">
        <v>34.6</v>
      </c>
      <c r="U834" s="4">
        <v>22.7</v>
      </c>
      <c r="V834" s="4">
        <v>2.6</v>
      </c>
      <c r="W834" s="4">
        <v>5.7</v>
      </c>
      <c r="X834" s="4">
        <v>519.92999999999995</v>
      </c>
      <c r="Y834" s="7">
        <f t="shared" ca="1" si="19"/>
        <v>-358.62999999999994</v>
      </c>
    </row>
    <row r="835" spans="1:25" ht="15" x14ac:dyDescent="0.25">
      <c r="A835" s="4">
        <v>1680</v>
      </c>
      <c r="C835" s="12" t="s">
        <v>2212</v>
      </c>
      <c r="D835" s="12" t="s">
        <v>2213</v>
      </c>
      <c r="E835" s="5" t="str">
        <f t="shared" si="15"/>
        <v>https://www.screener.in/company/SUMIT/consolidated/</v>
      </c>
      <c r="F835" s="4">
        <v>443059</v>
      </c>
      <c r="G835" s="4">
        <v>3832241897</v>
      </c>
      <c r="H835" s="6">
        <f t="shared" ca="1" si="16"/>
        <v>36459.949408058004</v>
      </c>
      <c r="I835" s="7" t="str">
        <f ca="1">IFERROR(__xludf.DUMMYFUNCTION("IMPORTXML(E835,""/html/body/main/div[3]/div[3]/div[2]/ul/li[5]/span[2]/span"")"),"Loading...")</f>
        <v>Loading...</v>
      </c>
      <c r="J835" s="7">
        <f ca="1">IFERROR(__xludf.DUMMYFUNCTION("GOOGLEFINANCE(""NSE:""&amp;D835,""marketcap"")"),2910050966)</f>
        <v>2910050966</v>
      </c>
      <c r="K835" s="7">
        <v>992.8</v>
      </c>
      <c r="L835" s="8">
        <f ca="1">IFERROR(__xludf.DUMMYFUNCTION("GOOGLEFINANCE(""NSE:""&amp;D835,""price"")"),95.14)</f>
        <v>95.14</v>
      </c>
      <c r="M835" s="9">
        <f t="shared" ca="1" si="17"/>
        <v>-897.66</v>
      </c>
      <c r="N835" s="10">
        <f t="shared" ca="1" si="18"/>
        <v>-90.417002417405328</v>
      </c>
      <c r="O835" s="7">
        <f ca="1">IFERROR(__xludf.DUMMYFUNCTION("GOOGLEFINANCE(""NSE:""&amp;D835,""pe"")"),30.99)</f>
        <v>30.99</v>
      </c>
      <c r="P835" s="7">
        <f ca="1">IFERROR(__xludf.DUMMYFUNCTION("GOOGLEFINANCE(""NSE:""&amp;D835,""EPS"")"),3.07)</f>
        <v>3.07</v>
      </c>
      <c r="Q835" s="7">
        <v>13.5</v>
      </c>
      <c r="R835" s="7" t="str">
        <f ca="1">IFERROR(__xludf.DUMMYFUNCTION("IMPORTXML(E835,""/html/body/main/div[3]/div[3]/div[2]/ul/li[7]/span[2]/span"")"),"Loading...")</f>
        <v>Loading...</v>
      </c>
      <c r="S835" s="7" t="str">
        <f ca="1">IFERROR(__xludf.DUMMYFUNCTION("IMPORTXML(E835,""/html/body/main/div[3]/div[3]/div[2]/ul/li[8]/span[2]/span"")"),"Loading...")</f>
        <v>Loading...</v>
      </c>
      <c r="T835" s="4">
        <v>34.6</v>
      </c>
      <c r="U835" s="4">
        <v>22.7</v>
      </c>
      <c r="V835" s="4">
        <v>2.6</v>
      </c>
      <c r="W835" s="4">
        <v>5.7</v>
      </c>
      <c r="X835" s="4">
        <v>519.92999999999995</v>
      </c>
      <c r="Y835" s="7">
        <f t="shared" ca="1" si="19"/>
        <v>-424.78999999999996</v>
      </c>
    </row>
    <row r="836" spans="1:25" ht="15" x14ac:dyDescent="0.25">
      <c r="A836" s="4">
        <v>145</v>
      </c>
      <c r="C836" s="12" t="s">
        <v>2214</v>
      </c>
      <c r="D836" s="12" t="s">
        <v>2215</v>
      </c>
      <c r="E836" s="5" t="str">
        <f t="shared" si="15"/>
        <v>https://www.screener.in/company/DCMSHRIRAM/consolidated/</v>
      </c>
      <c r="F836" s="4">
        <v>443059</v>
      </c>
      <c r="G836" s="4">
        <v>3832241897</v>
      </c>
      <c r="H836" s="6">
        <f t="shared" ca="1" si="16"/>
        <v>478378.75600250997</v>
      </c>
      <c r="I836" s="7" t="str">
        <f ca="1">IFERROR(__xludf.DUMMYFUNCTION("IMPORTXML(E836,""/html/body/main/div[3]/div[3]/div[2]/ul/li[5]/span[2]/span"")"),"Loading...")</f>
        <v>Loading...</v>
      </c>
      <c r="J836" s="7">
        <f ca="1">IFERROR(__xludf.DUMMYFUNCTION("GOOGLEFINANCE(""NSE:""&amp;D836,""marketcap"")"),193527505050)</f>
        <v>193527505050</v>
      </c>
      <c r="K836" s="7">
        <v>992.8</v>
      </c>
      <c r="L836" s="8">
        <f ca="1">IFERROR(__xludf.DUMMYFUNCTION("GOOGLEFINANCE(""NSE:""&amp;D836,""price"")"),1248.3)</f>
        <v>1248.3</v>
      </c>
      <c r="M836" s="9">
        <f t="shared" ca="1" si="17"/>
        <v>255.5</v>
      </c>
      <c r="N836" s="10">
        <f t="shared" ca="1" si="18"/>
        <v>25.735294117647062</v>
      </c>
      <c r="O836" s="7">
        <f ca="1">IFERROR(__xludf.DUMMYFUNCTION("GOOGLEFINANCE(""NSE:""&amp;D836,""pe"")"),31.53)</f>
        <v>31.53</v>
      </c>
      <c r="P836" s="7">
        <f ca="1">IFERROR(__xludf.DUMMYFUNCTION("GOOGLEFINANCE(""NSE:""&amp;D836,""EPS"")"),39.59)</f>
        <v>39.590000000000003</v>
      </c>
      <c r="Q836" s="7">
        <v>13.5</v>
      </c>
      <c r="R836" s="7" t="str">
        <f ca="1">IFERROR(__xludf.DUMMYFUNCTION("IMPORTXML(E836,""/html/body/main/div[3]/div[3]/div[2]/ul/li[7]/span[2]/span"")"),"Loading...")</f>
        <v>Loading...</v>
      </c>
      <c r="S836" s="7" t="str">
        <f ca="1">IFERROR(__xludf.DUMMYFUNCTION("IMPORTXML(E836,""/html/body/main/div[3]/div[3]/div[2]/ul/li[8]/span[2]/span"")"),"Loading...")</f>
        <v>Loading...</v>
      </c>
      <c r="T836" s="4">
        <v>34.6</v>
      </c>
      <c r="U836" s="4">
        <v>22.7</v>
      </c>
      <c r="V836" s="4">
        <v>2.6</v>
      </c>
      <c r="W836" s="4">
        <v>5.7</v>
      </c>
      <c r="X836" s="4">
        <v>519.92999999999995</v>
      </c>
      <c r="Y836" s="7">
        <f t="shared" ca="1" si="19"/>
        <v>728.37</v>
      </c>
    </row>
    <row r="837" spans="1:25" ht="15" x14ac:dyDescent="0.25">
      <c r="A837" s="4">
        <v>381</v>
      </c>
      <c r="C837" s="12" t="s">
        <v>2216</v>
      </c>
      <c r="D837" s="12" t="s">
        <v>2217</v>
      </c>
      <c r="E837" s="5" t="str">
        <f t="shared" si="15"/>
        <v>https://www.screener.in/company/EMIL/consolidated/</v>
      </c>
      <c r="F837" s="4">
        <v>443059</v>
      </c>
      <c r="G837" s="4">
        <v>3832241897</v>
      </c>
      <c r="H837" s="6">
        <f t="shared" ca="1" si="16"/>
        <v>57292.016360150003</v>
      </c>
      <c r="I837" s="7" t="str">
        <f ca="1">IFERROR(__xludf.DUMMYFUNCTION("IMPORTXML(E837,""/html/body/main/div[3]/div[3]/div[2]/ul/li[5]/span[2]/span"")"),"Loading...")</f>
        <v>Loading...</v>
      </c>
      <c r="J837" s="7">
        <f ca="1">IFERROR(__xludf.DUMMYFUNCTION("GOOGLEFINANCE(""NSE:""&amp;D837,""marketcap"")"),57519930650)</f>
        <v>57519930650</v>
      </c>
      <c r="K837" s="7">
        <v>992.8</v>
      </c>
      <c r="L837" s="8">
        <f ca="1">IFERROR(__xludf.DUMMYFUNCTION("GOOGLEFINANCE(""NSE:""&amp;D837,""price"")"),149.5)</f>
        <v>149.5</v>
      </c>
      <c r="M837" s="9">
        <f t="shared" ca="1" si="17"/>
        <v>-843.3</v>
      </c>
      <c r="N837" s="10">
        <f t="shared" ca="1" si="18"/>
        <v>-84.941579371474617</v>
      </c>
      <c r="O837" s="7">
        <f ca="1">IFERROR(__xludf.DUMMYFUNCTION("GOOGLEFINANCE(""NSE:""&amp;D837,""pe"")"),52.65)</f>
        <v>52.65</v>
      </c>
      <c r="P837" s="7">
        <f ca="1">IFERROR(__xludf.DUMMYFUNCTION("GOOGLEFINANCE(""NSE:""&amp;D837,""EPS"")"),2.84)</f>
        <v>2.84</v>
      </c>
      <c r="Q837" s="7">
        <v>13.5</v>
      </c>
      <c r="R837" s="7" t="str">
        <f ca="1">IFERROR(__xludf.DUMMYFUNCTION("IMPORTXML(E837,""/html/body/main/div[3]/div[3]/div[2]/ul/li[7]/span[2]/span"")"),"Loading...")</f>
        <v>Loading...</v>
      </c>
      <c r="S837" s="7" t="str">
        <f ca="1">IFERROR(__xludf.DUMMYFUNCTION("IMPORTXML(E837,""/html/body/main/div[3]/div[3]/div[2]/ul/li[8]/span[2]/span"")"),"Loading...")</f>
        <v>Loading...</v>
      </c>
      <c r="T837" s="4">
        <v>34.6</v>
      </c>
      <c r="U837" s="4">
        <v>22.7</v>
      </c>
      <c r="V837" s="4">
        <v>2.6</v>
      </c>
      <c r="W837" s="4">
        <v>5.7</v>
      </c>
      <c r="X837" s="4">
        <v>519.92999999999995</v>
      </c>
      <c r="Y837" s="7">
        <f t="shared" ca="1" si="19"/>
        <v>-370.42999999999995</v>
      </c>
    </row>
    <row r="838" spans="1:25" ht="15" x14ac:dyDescent="0.25">
      <c r="A838" s="4">
        <v>599</v>
      </c>
      <c r="C838" s="12" t="s">
        <v>2218</v>
      </c>
      <c r="D838" s="12" t="s">
        <v>2219</v>
      </c>
      <c r="E838" s="5" t="str">
        <f t="shared" si="15"/>
        <v>https://www.screener.in/company/JTLIND/consolidated/</v>
      </c>
      <c r="F838" s="4">
        <v>443059</v>
      </c>
      <c r="G838" s="4">
        <v>3832241897</v>
      </c>
      <c r="H838" s="6">
        <f t="shared" ca="1" si="16"/>
        <v>30623.444998926996</v>
      </c>
      <c r="I838" s="7" t="str">
        <f ca="1">IFERROR(__xludf.DUMMYFUNCTION("IMPORTXML(E838,""/html/body/main/div[3]/div[3]/div[2]/ul/li[5]/span[2]/span"")"),"Loading...")</f>
        <v>Loading...</v>
      </c>
      <c r="J838" s="7">
        <f ca="1">IFERROR(__xludf.DUMMYFUNCTION("GOOGLEFINANCE(""NSE:""&amp;D838,""marketcap"")"),31287954450)</f>
        <v>31287954450</v>
      </c>
      <c r="K838" s="7">
        <v>992.8</v>
      </c>
      <c r="L838" s="8">
        <f ca="1">IFERROR(__xludf.DUMMYFUNCTION("GOOGLEFINANCE(""NSE:""&amp;D838,""price"")"),79.91)</f>
        <v>79.91</v>
      </c>
      <c r="M838" s="9">
        <f t="shared" ca="1" si="17"/>
        <v>-912.89</v>
      </c>
      <c r="N838" s="10">
        <f t="shared" ca="1" si="18"/>
        <v>-91.951047542304593</v>
      </c>
      <c r="O838" s="7">
        <f ca="1">IFERROR(__xludf.DUMMYFUNCTION("GOOGLEFINANCE(""NSE:""&amp;D838,""pe"")"),44.15)</f>
        <v>44.15</v>
      </c>
      <c r="P838" s="7">
        <f ca="1">IFERROR(__xludf.DUMMYFUNCTION("GOOGLEFINANCE(""NSE:""&amp;D838,""EPS"")"),1.81)</f>
        <v>1.81</v>
      </c>
      <c r="Q838" s="7">
        <v>13.5</v>
      </c>
      <c r="R838" s="7" t="str">
        <f ca="1">IFERROR(__xludf.DUMMYFUNCTION("IMPORTXML(E838,""/html/body/main/div[3]/div[3]/div[2]/ul/li[7]/span[2]/span"")"),"Loading...")</f>
        <v>Loading...</v>
      </c>
      <c r="S838" s="7" t="str">
        <f ca="1">IFERROR(__xludf.DUMMYFUNCTION("IMPORTXML(E838,""/html/body/main/div[3]/div[3]/div[2]/ul/li[8]/span[2]/span"")"),"Loading...")</f>
        <v>Loading...</v>
      </c>
      <c r="T838" s="4">
        <v>34.6</v>
      </c>
      <c r="U838" s="4">
        <v>22.7</v>
      </c>
      <c r="V838" s="4">
        <v>2.6</v>
      </c>
      <c r="W838" s="4">
        <v>5.7</v>
      </c>
      <c r="X838" s="4">
        <v>519.92999999999995</v>
      </c>
      <c r="Y838" s="7">
        <f t="shared" ca="1" si="19"/>
        <v>-440.02</v>
      </c>
    </row>
    <row r="839" spans="1:25" ht="15" x14ac:dyDescent="0.25">
      <c r="A839" s="4">
        <v>59</v>
      </c>
      <c r="C839" s="12" t="s">
        <v>2220</v>
      </c>
      <c r="D839" s="12" t="s">
        <v>2221</v>
      </c>
      <c r="E839" s="5" t="str">
        <f t="shared" si="15"/>
        <v>https://www.screener.in/company/EIHOTEL/consolidated/</v>
      </c>
      <c r="F839" s="4">
        <v>443059</v>
      </c>
      <c r="G839" s="4">
        <v>3832241897</v>
      </c>
      <c r="H839" s="6">
        <f t="shared" ca="1" si="16"/>
        <v>157888.36615640001</v>
      </c>
      <c r="I839" s="7" t="str">
        <f ca="1">IFERROR(__xludf.DUMMYFUNCTION("IMPORTXML(E839,""/html/body/main/div[3]/div[3]/div[2]/ul/li[5]/span[2]/span"")"),"Loading...")</f>
        <v>Loading...</v>
      </c>
      <c r="J839" s="7">
        <f ca="1">IFERROR(__xludf.DUMMYFUNCTION("GOOGLEFINANCE(""NSE:""&amp;D839,""marketcap"")"),257650050400)</f>
        <v>257650050400</v>
      </c>
      <c r="K839" s="7">
        <v>992.8</v>
      </c>
      <c r="L839" s="8">
        <f ca="1">IFERROR(__xludf.DUMMYFUNCTION("GOOGLEFINANCE(""NSE:""&amp;D839,""price"")"),412)</f>
        <v>412</v>
      </c>
      <c r="M839" s="9">
        <f t="shared" ca="1" si="17"/>
        <v>-580.79999999999995</v>
      </c>
      <c r="N839" s="10">
        <f t="shared" ca="1" si="18"/>
        <v>-58.501208702659149</v>
      </c>
      <c r="O839" s="7">
        <f ca="1">IFERROR(__xludf.DUMMYFUNCTION("GOOGLEFINANCE(""NSE:""&amp;D839,""pe"")"),37.82)</f>
        <v>37.82</v>
      </c>
      <c r="P839" s="7">
        <f ca="1">IFERROR(__xludf.DUMMYFUNCTION("GOOGLEFINANCE(""NSE:""&amp;D839,""EPS"")"),10.89)</f>
        <v>10.89</v>
      </c>
      <c r="Q839" s="7">
        <v>13.5</v>
      </c>
      <c r="R839" s="7" t="str">
        <f ca="1">IFERROR(__xludf.DUMMYFUNCTION("IMPORTXML(E839,""/html/body/main/div[3]/div[3]/div[2]/ul/li[7]/span[2]/span"")"),"Loading...")</f>
        <v>Loading...</v>
      </c>
      <c r="S839" s="7" t="str">
        <f ca="1">IFERROR(__xludf.DUMMYFUNCTION("IMPORTXML(E839,""/html/body/main/div[3]/div[3]/div[2]/ul/li[8]/span[2]/span"")"),"Loading...")</f>
        <v>Loading...</v>
      </c>
      <c r="T839" s="4">
        <v>34.6</v>
      </c>
      <c r="U839" s="4">
        <v>22.7</v>
      </c>
      <c r="V839" s="4">
        <v>2.6</v>
      </c>
      <c r="W839" s="4">
        <v>5.7</v>
      </c>
      <c r="X839" s="4">
        <v>519.92999999999995</v>
      </c>
      <c r="Y839" s="7">
        <f t="shared" ca="1" si="19"/>
        <v>-107.92999999999995</v>
      </c>
    </row>
    <row r="840" spans="1:25" ht="15" x14ac:dyDescent="0.25">
      <c r="A840" s="4">
        <v>470</v>
      </c>
      <c r="C840" s="12" t="s">
        <v>2222</v>
      </c>
      <c r="D840" s="12" t="s">
        <v>2223</v>
      </c>
      <c r="E840" s="5" t="str">
        <f t="shared" si="15"/>
        <v>https://www.screener.in/company/PRICOLLTD/consolidated/</v>
      </c>
      <c r="F840" s="4">
        <v>443059</v>
      </c>
      <c r="G840" s="4">
        <v>3832241897</v>
      </c>
      <c r="H840" s="6">
        <f t="shared" ca="1" si="16"/>
        <v>188872.04189364502</v>
      </c>
      <c r="I840" s="7" t="str">
        <f ca="1">IFERROR(__xludf.DUMMYFUNCTION("IMPORTXML(E840,""/html/body/main/div[3]/div[3]/div[2]/ul/li[5]/span[2]/span"")"),"Loading...")</f>
        <v>Loading...</v>
      </c>
      <c r="J840" s="7">
        <f ca="1">IFERROR(__xludf.DUMMYFUNCTION("GOOGLEFINANCE(""NSE:""&amp;D840,""marketcap"")"),59940887064)</f>
        <v>59940887064</v>
      </c>
      <c r="K840" s="7">
        <v>992.8</v>
      </c>
      <c r="L840" s="8">
        <f ca="1">IFERROR(__xludf.DUMMYFUNCTION("GOOGLEFINANCE(""NSE:""&amp;D840,""price"")"),492.85)</f>
        <v>492.85</v>
      </c>
      <c r="M840" s="9">
        <f t="shared" ca="1" si="17"/>
        <v>-499.94999999999993</v>
      </c>
      <c r="N840" s="10">
        <f t="shared" ca="1" si="18"/>
        <v>-50.357574536663975</v>
      </c>
      <c r="O840" s="7">
        <f ca="1">IFERROR(__xludf.DUMMYFUNCTION("GOOGLEFINANCE(""NSE:""&amp;D840,""pe"")"),35.07)</f>
        <v>35.07</v>
      </c>
      <c r="P840" s="7">
        <f ca="1">IFERROR(__xludf.DUMMYFUNCTION("GOOGLEFINANCE(""NSE:""&amp;D840,""EPS"")"),14.05)</f>
        <v>14.05</v>
      </c>
      <c r="Q840" s="7">
        <v>13.5</v>
      </c>
      <c r="R840" s="7" t="str">
        <f ca="1">IFERROR(__xludf.DUMMYFUNCTION("IMPORTXML(E840,""/html/body/main/div[3]/div[3]/div[2]/ul/li[7]/span[2]/span"")"),"Loading...")</f>
        <v>Loading...</v>
      </c>
      <c r="S840" s="7" t="str">
        <f ca="1">IFERROR(__xludf.DUMMYFUNCTION("IMPORTXML(E840,""/html/body/main/div[3]/div[3]/div[2]/ul/li[8]/span[2]/span"")"),"Loading...")</f>
        <v>Loading...</v>
      </c>
      <c r="T840" s="4">
        <v>34.6</v>
      </c>
      <c r="U840" s="4">
        <v>22.7</v>
      </c>
      <c r="V840" s="4">
        <v>2.6</v>
      </c>
      <c r="W840" s="4">
        <v>5.7</v>
      </c>
      <c r="X840" s="4">
        <v>519.92999999999995</v>
      </c>
      <c r="Y840" s="7">
        <f t="shared" ca="1" si="19"/>
        <v>-27.079999999999927</v>
      </c>
    </row>
    <row r="841" spans="1:25" ht="15" x14ac:dyDescent="0.25">
      <c r="A841" s="4">
        <v>625</v>
      </c>
      <c r="C841" s="12" t="s">
        <v>2224</v>
      </c>
      <c r="D841" s="12" t="s">
        <v>2225</v>
      </c>
      <c r="E841" s="5" t="str">
        <f t="shared" si="15"/>
        <v>https://www.screener.in/company/ARVSMART/consolidated/</v>
      </c>
      <c r="F841" s="4">
        <v>443059</v>
      </c>
      <c r="G841" s="4">
        <v>3832241897</v>
      </c>
      <c r="H841" s="6">
        <f t="shared" ca="1" si="16"/>
        <v>236870.87165357001</v>
      </c>
      <c r="I841" s="7" t="str">
        <f ca="1">IFERROR(__xludf.DUMMYFUNCTION("IMPORTXML(E841,""/html/body/main/div[3]/div[3]/div[2]/ul/li[5]/span[2]/span"")"),"Loading...")</f>
        <v>Loading...</v>
      </c>
      <c r="J841" s="7">
        <f ca="1">IFERROR(__xludf.DUMMYFUNCTION("GOOGLEFINANCE(""NSE:""&amp;D841,""marketcap"")"),28334980000)</f>
        <v>28334980000</v>
      </c>
      <c r="K841" s="7">
        <v>992.8</v>
      </c>
      <c r="L841" s="8">
        <f ca="1">IFERROR(__xludf.DUMMYFUNCTION("GOOGLEFINANCE(""NSE:""&amp;D841,""price"")"),618.1)</f>
        <v>618.1</v>
      </c>
      <c r="M841" s="9">
        <f t="shared" ca="1" si="17"/>
        <v>-374.69999999999993</v>
      </c>
      <c r="N841" s="10">
        <f t="shared" ca="1" si="18"/>
        <v>-37.741740531829166</v>
      </c>
      <c r="O841" s="7">
        <f ca="1">IFERROR(__xludf.DUMMYFUNCTION("GOOGLEFINANCE(""NSE:""&amp;D841,""pe"")"),23.98)</f>
        <v>23.98</v>
      </c>
      <c r="P841" s="7">
        <f ca="1">IFERROR(__xludf.DUMMYFUNCTION("GOOGLEFINANCE(""NSE:""&amp;D841,""EPS"")"),25.77)</f>
        <v>25.77</v>
      </c>
      <c r="Q841" s="7">
        <v>13.5</v>
      </c>
      <c r="R841" s="7" t="str">
        <f ca="1">IFERROR(__xludf.DUMMYFUNCTION("IMPORTXML(E841,""/html/body/main/div[3]/div[3]/div[2]/ul/li[7]/span[2]/span"")"),"Loading...")</f>
        <v>Loading...</v>
      </c>
      <c r="S841" s="7" t="str">
        <f ca="1">IFERROR(__xludf.DUMMYFUNCTION("IMPORTXML(E841,""/html/body/main/div[3]/div[3]/div[2]/ul/li[8]/span[2]/span"")"),"Loading...")</f>
        <v>Loading...</v>
      </c>
      <c r="T841" s="4">
        <v>34.6</v>
      </c>
      <c r="U841" s="4">
        <v>22.7</v>
      </c>
      <c r="V841" s="4">
        <v>2.6</v>
      </c>
      <c r="W841" s="4">
        <v>5.7</v>
      </c>
      <c r="X841" s="4">
        <v>519.92999999999995</v>
      </c>
      <c r="Y841" s="7">
        <f t="shared" ca="1" si="19"/>
        <v>98.170000000000073</v>
      </c>
    </row>
    <row r="842" spans="1:25" ht="15" x14ac:dyDescent="0.25">
      <c r="A842" s="4">
        <v>1238</v>
      </c>
      <c r="C842" s="12" t="s">
        <v>2226</v>
      </c>
      <c r="D842" s="12" t="s">
        <v>2227</v>
      </c>
      <c r="E842" s="5" t="str">
        <f t="shared" si="15"/>
        <v>https://www.screener.in/company/CHEMCON/consolidated/</v>
      </c>
      <c r="F842" s="4">
        <v>443059</v>
      </c>
      <c r="G842" s="4">
        <v>3832241897</v>
      </c>
      <c r="H842" s="6">
        <f t="shared" ca="1" si="16"/>
        <v>79998.049599874998</v>
      </c>
      <c r="I842" s="7" t="str">
        <f ca="1">IFERROR(__xludf.DUMMYFUNCTION("IMPORTXML(E842,""/html/body/main/div[3]/div[3]/div[2]/ul/li[5]/span[2]/span"")"),"Loading...")</f>
        <v>Loading...</v>
      </c>
      <c r="J842" s="7">
        <f ca="1">IFERROR(__xludf.DUMMYFUNCTION("GOOGLEFINANCE(""NSE:""&amp;D842,""marketcap"")"),7637500950)</f>
        <v>7637500950</v>
      </c>
      <c r="K842" s="7">
        <v>992.8</v>
      </c>
      <c r="L842" s="8">
        <f ca="1">IFERROR(__xludf.DUMMYFUNCTION("GOOGLEFINANCE(""NSE:""&amp;D842,""price"")"),208.75)</f>
        <v>208.75</v>
      </c>
      <c r="M842" s="9">
        <f t="shared" ca="1" si="17"/>
        <v>-784.05</v>
      </c>
      <c r="N842" s="10">
        <f t="shared" ca="1" si="18"/>
        <v>-78.973609991941984</v>
      </c>
      <c r="O842" s="7">
        <f ca="1">IFERROR(__xludf.DUMMYFUNCTION("GOOGLEFINANCE(""NSE:""&amp;D842,""pe"")"),30.05)</f>
        <v>30.05</v>
      </c>
      <c r="P842" s="7">
        <f ca="1">IFERROR(__xludf.DUMMYFUNCTION("GOOGLEFINANCE(""NSE:""&amp;D842,""EPS"")"),6.95)</f>
        <v>6.95</v>
      </c>
      <c r="Q842" s="7">
        <v>13.5</v>
      </c>
      <c r="R842" s="7" t="str">
        <f ca="1">IFERROR(__xludf.DUMMYFUNCTION("IMPORTXML(E842,""/html/body/main/div[3]/div[3]/div[2]/ul/li[7]/span[2]/span"")"),"Loading...")</f>
        <v>Loading...</v>
      </c>
      <c r="S842" s="7" t="str">
        <f ca="1">IFERROR(__xludf.DUMMYFUNCTION("IMPORTXML(E842,""/html/body/main/div[3]/div[3]/div[2]/ul/li[8]/span[2]/span"")"),"Loading...")</f>
        <v>Loading...</v>
      </c>
      <c r="T842" s="4">
        <v>34.6</v>
      </c>
      <c r="U842" s="4">
        <v>22.7</v>
      </c>
      <c r="V842" s="4">
        <v>2.6</v>
      </c>
      <c r="W842" s="4">
        <v>5.7</v>
      </c>
      <c r="X842" s="4">
        <v>519.92999999999995</v>
      </c>
      <c r="Y842" s="7">
        <f t="shared" ca="1" si="19"/>
        <v>-311.17999999999995</v>
      </c>
    </row>
    <row r="843" spans="1:25" ht="15" x14ac:dyDescent="0.25">
      <c r="A843" s="4">
        <v>1733</v>
      </c>
      <c r="C843" s="12" t="s">
        <v>2228</v>
      </c>
      <c r="D843" s="12" t="s">
        <v>2229</v>
      </c>
      <c r="E843" s="5" t="str">
        <f t="shared" si="15"/>
        <v>https://www.screener.in/company/RAMAPHO/consolidated/</v>
      </c>
      <c r="F843" s="4">
        <v>443059</v>
      </c>
      <c r="G843" s="4">
        <v>3832241897</v>
      </c>
      <c r="H843" s="6">
        <f t="shared" ca="1" si="16"/>
        <v>52674.164874265</v>
      </c>
      <c r="I843" s="7" t="str">
        <f ca="1">IFERROR(__xludf.DUMMYFUNCTION("IMPORTXML(E843,""/html/body/main/div[3]/div[3]/div[2]/ul/li[5]/span[2]/span"")"),"Loading...")</f>
        <v>Loading...</v>
      </c>
      <c r="J843" s="7">
        <f ca="1">IFERROR(__xludf.DUMMYFUNCTION("GOOGLEFINANCE(""NSE:""&amp;D843,""marketcap"")"),4863863321)</f>
        <v>4863863321</v>
      </c>
      <c r="K843" s="7">
        <v>992.8</v>
      </c>
      <c r="L843" s="8">
        <f ca="1">IFERROR(__xludf.DUMMYFUNCTION("GOOGLEFINANCE(""NSE:""&amp;D843,""price"")"),137.45)</f>
        <v>137.44999999999999</v>
      </c>
      <c r="M843" s="9">
        <f t="shared" ca="1" si="17"/>
        <v>-855.34999999999991</v>
      </c>
      <c r="N843" s="10">
        <f t="shared" ca="1" si="18"/>
        <v>-86.15531829170024</v>
      </c>
      <c r="O843" s="7">
        <f ca="1">IFERROR(__xludf.DUMMYFUNCTION("GOOGLEFINANCE(""NSE:""&amp;D843,""pe"")"),17.37)</f>
        <v>17.37</v>
      </c>
      <c r="P843" s="7">
        <f ca="1">IFERROR(__xludf.DUMMYFUNCTION("GOOGLEFINANCE(""NSE:""&amp;D843,""EPS"")"),7.91)</f>
        <v>7.91</v>
      </c>
      <c r="Q843" s="7">
        <v>13.5</v>
      </c>
      <c r="R843" s="7" t="str">
        <f ca="1">IFERROR(__xludf.DUMMYFUNCTION("IMPORTXML(E843,""/html/body/main/div[3]/div[3]/div[2]/ul/li[7]/span[2]/span"")"),"Loading...")</f>
        <v>Loading...</v>
      </c>
      <c r="S843" s="7" t="str">
        <f ca="1">IFERROR(__xludf.DUMMYFUNCTION("IMPORTXML(E843,""/html/body/main/div[3]/div[3]/div[2]/ul/li[8]/span[2]/span"")"),"Loading...")</f>
        <v>Loading...</v>
      </c>
      <c r="T843" s="4">
        <v>34.6</v>
      </c>
      <c r="U843" s="4">
        <v>22.7</v>
      </c>
      <c r="V843" s="4">
        <v>2.6</v>
      </c>
      <c r="W843" s="4">
        <v>5.7</v>
      </c>
      <c r="X843" s="4">
        <v>519.92999999999995</v>
      </c>
      <c r="Y843" s="7">
        <f t="shared" ca="1" si="19"/>
        <v>-382.47999999999996</v>
      </c>
    </row>
    <row r="844" spans="1:25" ht="15" x14ac:dyDescent="0.25">
      <c r="A844" s="4">
        <v>646</v>
      </c>
      <c r="C844" s="12" t="s">
        <v>2230</v>
      </c>
      <c r="D844" s="12" t="s">
        <v>2231</v>
      </c>
      <c r="E844" s="5" t="str">
        <f t="shared" si="15"/>
        <v>https://www.screener.in/company/CARERATING/consolidated/</v>
      </c>
      <c r="F844" s="4">
        <v>443059</v>
      </c>
      <c r="G844" s="4">
        <v>3832241897</v>
      </c>
      <c r="H844" s="6">
        <f t="shared" ca="1" si="16"/>
        <v>613158.70351999998</v>
      </c>
      <c r="I844" s="7" t="str">
        <f ca="1">IFERROR(__xludf.DUMMYFUNCTION("IMPORTXML(E844,""/html/body/main/div[3]/div[3]/div[2]/ul/li[5]/span[2]/span"")"),"Loading...")</f>
        <v>Loading...</v>
      </c>
      <c r="J844" s="7">
        <f ca="1">IFERROR(__xludf.DUMMYFUNCTION("GOOGLEFINANCE(""NSE:""&amp;D844,""marketcap"")"),48026910000)</f>
        <v>48026910000</v>
      </c>
      <c r="K844" s="7">
        <v>992.8</v>
      </c>
      <c r="L844" s="8">
        <f ca="1">IFERROR(__xludf.DUMMYFUNCTION("GOOGLEFINANCE(""NSE:""&amp;D844,""price"")"),1600)</f>
        <v>1600</v>
      </c>
      <c r="M844" s="9">
        <f t="shared" ca="1" si="17"/>
        <v>607.20000000000005</v>
      </c>
      <c r="N844" s="10">
        <f t="shared" ca="1" si="18"/>
        <v>61.160354552780028</v>
      </c>
      <c r="O844" s="7">
        <f ca="1">IFERROR(__xludf.DUMMYFUNCTION("GOOGLEFINANCE(""NSE:""&amp;D844,""pe"")"),33.8)</f>
        <v>33.799999999999997</v>
      </c>
      <c r="P844" s="7">
        <f ca="1">IFERROR(__xludf.DUMMYFUNCTION("GOOGLEFINANCE(""NSE:""&amp;D844,""EPS"")"),47.33)</f>
        <v>47.33</v>
      </c>
      <c r="Q844" s="7">
        <v>13.5</v>
      </c>
      <c r="R844" s="7" t="str">
        <f ca="1">IFERROR(__xludf.DUMMYFUNCTION("IMPORTXML(E844,""/html/body/main/div[3]/div[3]/div[2]/ul/li[7]/span[2]/span"")"),"Loading...")</f>
        <v>Loading...</v>
      </c>
      <c r="S844" s="7" t="str">
        <f ca="1">IFERROR(__xludf.DUMMYFUNCTION("IMPORTXML(E844,""/html/body/main/div[3]/div[3]/div[2]/ul/li[8]/span[2]/span"")"),"Loading...")</f>
        <v>Loading...</v>
      </c>
      <c r="T844" s="4">
        <v>34.6</v>
      </c>
      <c r="U844" s="4">
        <v>22.7</v>
      </c>
      <c r="V844" s="4">
        <v>2.6</v>
      </c>
      <c r="W844" s="4">
        <v>5.7</v>
      </c>
      <c r="X844" s="4">
        <v>519.92999999999995</v>
      </c>
      <c r="Y844" s="7">
        <f t="shared" ca="1" si="19"/>
        <v>1080.0700000000002</v>
      </c>
    </row>
    <row r="845" spans="1:25" ht="15" x14ac:dyDescent="0.25">
      <c r="A845" s="4">
        <v>2343</v>
      </c>
      <c r="C845" s="12" t="s">
        <v>2232</v>
      </c>
      <c r="D845" s="12" t="s">
        <v>2233</v>
      </c>
      <c r="E845" s="5" t="str">
        <f t="shared" si="15"/>
        <v>https://www.screener.in/company/TERASOFT/consolidated/</v>
      </c>
      <c r="F845" s="4">
        <v>443059</v>
      </c>
      <c r="G845" s="4">
        <v>3832241897</v>
      </c>
      <c r="H845" s="6">
        <f t="shared" ca="1" si="16"/>
        <v>131407.57464812999</v>
      </c>
      <c r="I845" s="7" t="str">
        <f ca="1">IFERROR(__xludf.DUMMYFUNCTION("IMPORTXML(E845,""/html/body/main/div[3]/div[3]/div[2]/ul/li[5]/span[2]/span"")"),"Loading...")</f>
        <v>Loading...</v>
      </c>
      <c r="J845" s="7">
        <f ca="1">IFERROR(__xludf.DUMMYFUNCTION("GOOGLEFINANCE(""NSE:""&amp;D845,""marketcap"")"),4290446240)</f>
        <v>4290446240</v>
      </c>
      <c r="K845" s="7">
        <v>992.8</v>
      </c>
      <c r="L845" s="8">
        <f ca="1">IFERROR(__xludf.DUMMYFUNCTION("GOOGLEFINANCE(""NSE:""&amp;D845,""price"")"),342.9)</f>
        <v>342.9</v>
      </c>
      <c r="M845" s="9">
        <f t="shared" ca="1" si="17"/>
        <v>-649.9</v>
      </c>
      <c r="N845" s="10">
        <f t="shared" ca="1" si="18"/>
        <v>-65.46132151490734</v>
      </c>
      <c r="O845" s="7">
        <f ca="1">IFERROR(__xludf.DUMMYFUNCTION("GOOGLEFINANCE(""NSE:""&amp;D845,""pe"")"),39.05)</f>
        <v>39.049999999999997</v>
      </c>
      <c r="P845" s="7">
        <f ca="1">IFERROR(__xludf.DUMMYFUNCTION("GOOGLEFINANCE(""NSE:""&amp;D845,""EPS"")"),8.78)</f>
        <v>8.7799999999999994</v>
      </c>
      <c r="Q845" s="7">
        <v>13.5</v>
      </c>
      <c r="R845" s="7" t="str">
        <f ca="1">IFERROR(__xludf.DUMMYFUNCTION("IMPORTXML(E845,""/html/body/main/div[3]/div[3]/div[2]/ul/li[7]/span[2]/span"")"),"Loading...")</f>
        <v>Loading...</v>
      </c>
      <c r="S845" s="7" t="str">
        <f ca="1">IFERROR(__xludf.DUMMYFUNCTION("IMPORTXML(E845,""/html/body/main/div[3]/div[3]/div[2]/ul/li[8]/span[2]/span"")"),"Loading...")</f>
        <v>Loading...</v>
      </c>
      <c r="T845" s="4">
        <v>34.6</v>
      </c>
      <c r="U845" s="4">
        <v>22.7</v>
      </c>
      <c r="V845" s="4">
        <v>2.6</v>
      </c>
      <c r="W845" s="4">
        <v>5.7</v>
      </c>
      <c r="X845" s="4">
        <v>519.92999999999995</v>
      </c>
      <c r="Y845" s="7">
        <f t="shared" ca="1" si="19"/>
        <v>-177.02999999999997</v>
      </c>
    </row>
    <row r="846" spans="1:25" ht="15" x14ac:dyDescent="0.25">
      <c r="A846" s="4">
        <v>289</v>
      </c>
      <c r="C846" s="12" t="s">
        <v>2234</v>
      </c>
      <c r="D846" s="12" t="s">
        <v>2235</v>
      </c>
      <c r="E846" s="5" t="str">
        <f t="shared" si="15"/>
        <v>https://www.screener.in/company/ARVIND/consolidated/</v>
      </c>
      <c r="F846" s="4">
        <v>443059</v>
      </c>
      <c r="G846" s="4">
        <v>3832241897</v>
      </c>
      <c r="H846" s="6">
        <f t="shared" ca="1" si="16"/>
        <v>110636.82356638998</v>
      </c>
      <c r="I846" s="7" t="str">
        <f ca="1">IFERROR(__xludf.DUMMYFUNCTION("IMPORTXML(E846,""/html/body/main/div[3]/div[3]/div[2]/ul/li[5]/span[2]/span"")"),"Loading...")</f>
        <v>Loading...</v>
      </c>
      <c r="J846" s="7">
        <f ca="1">IFERROR(__xludf.DUMMYFUNCTION("GOOGLEFINANCE(""NSE:""&amp;D846,""marketcap"")"),75751130000)</f>
        <v>75751130000</v>
      </c>
      <c r="K846" s="7">
        <v>992.8</v>
      </c>
      <c r="L846" s="8">
        <f ca="1">IFERROR(__xludf.DUMMYFUNCTION("GOOGLEFINANCE(""NSE:""&amp;D846,""price"")"),288.7)</f>
        <v>288.7</v>
      </c>
      <c r="M846" s="9">
        <f t="shared" ca="1" si="17"/>
        <v>-704.09999999999991</v>
      </c>
      <c r="N846" s="10">
        <f t="shared" ca="1" si="18"/>
        <v>-70.920628525382739</v>
      </c>
      <c r="O846" s="7">
        <f ca="1">IFERROR(__xludf.DUMMYFUNCTION("GOOGLEFINANCE(""NSE:""&amp;D846,""pe"")"),20.59)</f>
        <v>20.59</v>
      </c>
      <c r="P846" s="7">
        <f ca="1">IFERROR(__xludf.DUMMYFUNCTION("GOOGLEFINANCE(""NSE:""&amp;D846,""EPS"")"),14.02)</f>
        <v>14.02</v>
      </c>
      <c r="Q846" s="7">
        <v>13.5</v>
      </c>
      <c r="R846" s="7" t="str">
        <f ca="1">IFERROR(__xludf.DUMMYFUNCTION("IMPORTXML(E846,""/html/body/main/div[3]/div[3]/div[2]/ul/li[7]/span[2]/span"")"),"Loading...")</f>
        <v>Loading...</v>
      </c>
      <c r="S846" s="7" t="str">
        <f ca="1">IFERROR(__xludf.DUMMYFUNCTION("IMPORTXML(E846,""/html/body/main/div[3]/div[3]/div[2]/ul/li[8]/span[2]/span"")"),"Loading...")</f>
        <v>Loading...</v>
      </c>
      <c r="T846" s="4">
        <v>34.6</v>
      </c>
      <c r="U846" s="4">
        <v>22.7</v>
      </c>
      <c r="V846" s="4">
        <v>2.6</v>
      </c>
      <c r="W846" s="4">
        <v>5.7</v>
      </c>
      <c r="X846" s="4">
        <v>519.92999999999995</v>
      </c>
      <c r="Y846" s="7">
        <f t="shared" ca="1" si="19"/>
        <v>-231.22999999999996</v>
      </c>
    </row>
    <row r="847" spans="1:25" ht="15" x14ac:dyDescent="0.25">
      <c r="A847" s="4">
        <v>982</v>
      </c>
      <c r="C847" s="12" t="s">
        <v>2236</v>
      </c>
      <c r="D847" s="12" t="s">
        <v>2237</v>
      </c>
      <c r="E847" s="5" t="str">
        <f t="shared" si="15"/>
        <v>https://www.screener.in/company/NDRAUTO/consolidated/</v>
      </c>
      <c r="F847" s="4">
        <v>443059</v>
      </c>
      <c r="G847" s="4">
        <v>3832241897</v>
      </c>
      <c r="H847" s="6">
        <f t="shared" ca="1" si="16"/>
        <v>432161.91872469004</v>
      </c>
      <c r="I847" s="7" t="str">
        <f ca="1">IFERROR(__xludf.DUMMYFUNCTION("IMPORTXML(E847,""/html/body/main/div[3]/div[3]/div[2]/ul/li[5]/span[2]/span"")"),"Loading...")</f>
        <v>Loading...</v>
      </c>
      <c r="J847" s="7">
        <f ca="1">IFERROR(__xludf.DUMMYFUNCTION("GOOGLEFINANCE(""NSE:""&amp;D847,""marketcap"")"),26711204437)</f>
        <v>26711204437</v>
      </c>
      <c r="K847" s="7">
        <v>992.8</v>
      </c>
      <c r="L847" s="8">
        <f ca="1">IFERROR(__xludf.DUMMYFUNCTION("GOOGLEFINANCE(""NSE:""&amp;D847,""price"")"),1127.7)</f>
        <v>1127.7</v>
      </c>
      <c r="M847" s="9">
        <f t="shared" ca="1" si="17"/>
        <v>134.90000000000009</v>
      </c>
      <c r="N847" s="10">
        <f t="shared" ca="1" si="18"/>
        <v>13.587832393231276</v>
      </c>
      <c r="O847" s="7">
        <f ca="1">IFERROR(__xludf.DUMMYFUNCTION("GOOGLEFINANCE(""NSE:""&amp;D847,""pe"")"),48.48)</f>
        <v>48.48</v>
      </c>
      <c r="P847" s="7">
        <f ca="1">IFERROR(__xludf.DUMMYFUNCTION("GOOGLEFINANCE(""NSE:""&amp;D847,""EPS"")"),23.26)</f>
        <v>23.26</v>
      </c>
      <c r="Q847" s="7">
        <v>13.5</v>
      </c>
      <c r="R847" s="7" t="str">
        <f ca="1">IFERROR(__xludf.DUMMYFUNCTION("IMPORTXML(E847,""/html/body/main/div[3]/div[3]/div[2]/ul/li[7]/span[2]/span"")"),"Loading...")</f>
        <v>Loading...</v>
      </c>
      <c r="S847" s="7" t="str">
        <f ca="1">IFERROR(__xludf.DUMMYFUNCTION("IMPORTXML(E847,""/html/body/main/div[3]/div[3]/div[2]/ul/li[8]/span[2]/span"")"),"Loading...")</f>
        <v>Loading...</v>
      </c>
      <c r="T847" s="4">
        <v>34.6</v>
      </c>
      <c r="U847" s="4">
        <v>22.7</v>
      </c>
      <c r="V847" s="4">
        <v>2.6</v>
      </c>
      <c r="W847" s="4">
        <v>5.7</v>
      </c>
      <c r="X847" s="4">
        <v>519.92999999999995</v>
      </c>
      <c r="Y847" s="7">
        <f t="shared" ca="1" si="19"/>
        <v>607.7700000000001</v>
      </c>
    </row>
    <row r="848" spans="1:25" ht="15" x14ac:dyDescent="0.25">
      <c r="A848" s="4">
        <v>186</v>
      </c>
      <c r="C848" s="12" t="s">
        <v>2238</v>
      </c>
      <c r="D848" s="12" t="s">
        <v>2239</v>
      </c>
      <c r="E848" s="5" t="str">
        <f t="shared" si="15"/>
        <v>https://www.screener.in/company/INDGN/consolidated/</v>
      </c>
      <c r="F848" s="4">
        <v>443059</v>
      </c>
      <c r="G848" s="4">
        <v>3832241897</v>
      </c>
      <c r="H848" s="6">
        <f t="shared" ca="1" si="16"/>
        <v>215486.96186831</v>
      </c>
      <c r="I848" s="7" t="str">
        <f ca="1">IFERROR(__xludf.DUMMYFUNCTION("IMPORTXML(E848,""/html/body/main/div[3]/div[3]/div[2]/ul/li[5]/span[2]/span"")"),"Loading...")</f>
        <v>Loading...</v>
      </c>
      <c r="J848" s="7">
        <f ca="1">IFERROR(__xludf.DUMMYFUNCTION("GOOGLEFINANCE(""NSE:""&amp;D848,""marketcap"")"),134991189379)</f>
        <v>134991189379</v>
      </c>
      <c r="K848" s="7">
        <v>992.8</v>
      </c>
      <c r="L848" s="8">
        <f ca="1">IFERROR(__xludf.DUMMYFUNCTION("GOOGLEFINANCE(""NSE:""&amp;D848,""price"")"),562.3)</f>
        <v>562.29999999999995</v>
      </c>
      <c r="M848" s="9">
        <f t="shared" ca="1" si="17"/>
        <v>-430.5</v>
      </c>
      <c r="N848" s="10">
        <f t="shared" ca="1" si="18"/>
        <v>-43.362207896857377</v>
      </c>
      <c r="O848" s="7">
        <f ca="1">IFERROR(__xludf.DUMMYFUNCTION("GOOGLEFINANCE(""NSE:""&amp;D848,""pe"")"),31.02)</f>
        <v>31.02</v>
      </c>
      <c r="P848" s="7">
        <f ca="1">IFERROR(__xludf.DUMMYFUNCTION("GOOGLEFINANCE(""NSE:""&amp;D848,""EPS"")"),18.13)</f>
        <v>18.13</v>
      </c>
      <c r="Q848" s="7">
        <v>13.5</v>
      </c>
      <c r="R848" s="7" t="str">
        <f ca="1">IFERROR(__xludf.DUMMYFUNCTION("IMPORTXML(E848,""/html/body/main/div[3]/div[3]/div[2]/ul/li[7]/span[2]/span"")"),"Loading...")</f>
        <v>Loading...</v>
      </c>
      <c r="S848" s="7" t="str">
        <f ca="1">IFERROR(__xludf.DUMMYFUNCTION("IMPORTXML(E848,""/html/body/main/div[3]/div[3]/div[2]/ul/li[8]/span[2]/span"")"),"Loading...")</f>
        <v>Loading...</v>
      </c>
      <c r="T848" s="4">
        <v>34.6</v>
      </c>
      <c r="U848" s="4">
        <v>22.7</v>
      </c>
      <c r="V848" s="4">
        <v>2.6</v>
      </c>
      <c r="W848" s="4">
        <v>5.7</v>
      </c>
      <c r="X848" s="4">
        <v>519.92999999999995</v>
      </c>
      <c r="Y848" s="7">
        <f t="shared" ca="1" si="19"/>
        <v>42.370000000000005</v>
      </c>
    </row>
    <row r="849" spans="1:25" ht="15" x14ac:dyDescent="0.25">
      <c r="A849" s="4">
        <v>1889</v>
      </c>
      <c r="C849" s="12" t="s">
        <v>2240</v>
      </c>
      <c r="D849" s="12" t="s">
        <v>2241</v>
      </c>
      <c r="E849" s="5" t="str">
        <f t="shared" si="15"/>
        <v>https://www.screener.in/company/SONAMLTD/consolidated/</v>
      </c>
      <c r="F849" s="4">
        <v>443059</v>
      </c>
      <c r="G849" s="4">
        <v>3832241897</v>
      </c>
      <c r="H849" s="6">
        <f t="shared" ca="1" si="16"/>
        <v>18413.922315084998</v>
      </c>
      <c r="I849" s="7" t="str">
        <f ca="1">IFERROR(__xludf.DUMMYFUNCTION("IMPORTXML(E849,""/html/body/main/div[3]/div[3]/div[2]/ul/li[5]/span[2]/span"")"),"Loading...")</f>
        <v>Loading...</v>
      </c>
      <c r="J849" s="7">
        <f ca="1">IFERROR(__xludf.DUMMYFUNCTION("GOOGLEFINANCE(""NSE:""&amp;D849,""marketcap"")"),1925940000)</f>
        <v>1925940000</v>
      </c>
      <c r="K849" s="7">
        <v>992.8</v>
      </c>
      <c r="L849" s="8">
        <f ca="1">IFERROR(__xludf.DUMMYFUNCTION("GOOGLEFINANCE(""NSE:""&amp;D849,""price"")"),48.05)</f>
        <v>48.05</v>
      </c>
      <c r="M849" s="9">
        <f t="shared" ca="1" si="17"/>
        <v>-944.75</v>
      </c>
      <c r="N849" s="10">
        <f t="shared" ca="1" si="18"/>
        <v>-95.160153102336835</v>
      </c>
      <c r="O849" s="7">
        <f ca="1">IFERROR(__xludf.DUMMYFUNCTION("GOOGLEFINANCE(""NSE:""&amp;D849,""pe"")"),29.63)</f>
        <v>29.63</v>
      </c>
      <c r="P849" s="7">
        <f ca="1">IFERROR(__xludf.DUMMYFUNCTION("GOOGLEFINANCE(""NSE:""&amp;D849,""EPS"")"),1.62)</f>
        <v>1.62</v>
      </c>
      <c r="Q849" s="7">
        <v>13.5</v>
      </c>
      <c r="R849" s="7" t="str">
        <f ca="1">IFERROR(__xludf.DUMMYFUNCTION("IMPORTXML(E849,""/html/body/main/div[3]/div[3]/div[2]/ul/li[7]/span[2]/span"")"),"Loading...")</f>
        <v>Loading...</v>
      </c>
      <c r="S849" s="7" t="str">
        <f ca="1">IFERROR(__xludf.DUMMYFUNCTION("IMPORTXML(E849,""/html/body/main/div[3]/div[3]/div[2]/ul/li[8]/span[2]/span"")"),"Loading...")</f>
        <v>Loading...</v>
      </c>
      <c r="T849" s="4">
        <v>34.6</v>
      </c>
      <c r="U849" s="4">
        <v>22.7</v>
      </c>
      <c r="V849" s="4">
        <v>2.6</v>
      </c>
      <c r="W849" s="4">
        <v>5.7</v>
      </c>
      <c r="X849" s="4">
        <v>519.92999999999995</v>
      </c>
      <c r="Y849" s="7">
        <f t="shared" ca="1" si="19"/>
        <v>-471.87999999999994</v>
      </c>
    </row>
    <row r="850" spans="1:25" ht="15" x14ac:dyDescent="0.25">
      <c r="A850" s="4">
        <v>1111</v>
      </c>
      <c r="C850" s="12" t="s">
        <v>2242</v>
      </c>
      <c r="D850" s="12" t="s">
        <v>2243</v>
      </c>
      <c r="E850" s="5" t="str">
        <f t="shared" si="15"/>
        <v>https://www.screener.in/company/RKSWAMY/consolidated/</v>
      </c>
      <c r="F850" s="4">
        <v>443059</v>
      </c>
      <c r="G850" s="4">
        <v>3832241897</v>
      </c>
      <c r="H850" s="6">
        <f t="shared" ca="1" si="16"/>
        <v>58633.301024100001</v>
      </c>
      <c r="I850" s="7" t="str">
        <f ca="1">IFERROR(__xludf.DUMMYFUNCTION("IMPORTXML(E850,""/html/body/main/div[3]/div[3]/div[2]/ul/li[5]/span[2]/span"")"),"Loading...")</f>
        <v>Loading...</v>
      </c>
      <c r="J850" s="7">
        <f ca="1">IFERROR(__xludf.DUMMYFUNCTION("GOOGLEFINANCE(""NSE:""&amp;D850,""marketcap"")"),7723017720)</f>
        <v>7723017720</v>
      </c>
      <c r="K850" s="7">
        <v>992.8</v>
      </c>
      <c r="L850" s="8">
        <f ca="1">IFERROR(__xludf.DUMMYFUNCTION("GOOGLEFINANCE(""NSE:""&amp;D850,""price"")"),153)</f>
        <v>153</v>
      </c>
      <c r="M850" s="9">
        <f t="shared" ca="1" si="17"/>
        <v>-839.8</v>
      </c>
      <c r="N850" s="10">
        <f t="shared" ca="1" si="18"/>
        <v>-84.589041095890408</v>
      </c>
      <c r="O850" s="7">
        <f ca="1">IFERROR(__xludf.DUMMYFUNCTION("GOOGLEFINANCE(""NSE:""&amp;D850,""pe"")"),39.7)</f>
        <v>39.700000000000003</v>
      </c>
      <c r="P850" s="7">
        <f ca="1">IFERROR(__xludf.DUMMYFUNCTION("GOOGLEFINANCE(""NSE:""&amp;D850,""EPS"")"),3.85)</f>
        <v>3.85</v>
      </c>
      <c r="Q850" s="7">
        <v>13.5</v>
      </c>
      <c r="R850" s="7" t="str">
        <f ca="1">IFERROR(__xludf.DUMMYFUNCTION("IMPORTXML(E850,""/html/body/main/div[3]/div[3]/div[2]/ul/li[7]/span[2]/span"")"),"Loading...")</f>
        <v>Loading...</v>
      </c>
      <c r="S850" s="7" t="str">
        <f ca="1">IFERROR(__xludf.DUMMYFUNCTION("IMPORTXML(E850,""/html/body/main/div[3]/div[3]/div[2]/ul/li[8]/span[2]/span"")"),"Loading...")</f>
        <v>Loading...</v>
      </c>
      <c r="T850" s="4">
        <v>34.6</v>
      </c>
      <c r="U850" s="4">
        <v>22.7</v>
      </c>
      <c r="V850" s="4">
        <v>2.6</v>
      </c>
      <c r="W850" s="4">
        <v>5.7</v>
      </c>
      <c r="X850" s="4">
        <v>519.92999999999995</v>
      </c>
      <c r="Y850" s="7">
        <f t="shared" ca="1" si="19"/>
        <v>-366.92999999999995</v>
      </c>
    </row>
    <row r="851" spans="1:25" ht="15" x14ac:dyDescent="0.25">
      <c r="A851" s="4">
        <v>657</v>
      </c>
      <c r="C851" s="12" t="s">
        <v>2244</v>
      </c>
      <c r="D851" s="12" t="s">
        <v>2245</v>
      </c>
      <c r="E851" s="5" t="str">
        <f t="shared" si="15"/>
        <v>https://www.screener.in/company/DPABHUSHAN/consolidated/</v>
      </c>
      <c r="F851" s="4">
        <v>443059</v>
      </c>
      <c r="G851" s="4">
        <v>3832241897</v>
      </c>
      <c r="H851" s="6">
        <f t="shared" ca="1" si="16"/>
        <v>605494.21972599998</v>
      </c>
      <c r="I851" s="7" t="str">
        <f ca="1">IFERROR(__xludf.DUMMYFUNCTION("IMPORTXML(E851,""/html/body/main/div[3]/div[3]/div[2]/ul/li[5]/span[2]/span"")"),"Loading...")</f>
        <v>Loading...</v>
      </c>
      <c r="J851" s="7">
        <f ca="1">IFERROR(__xludf.DUMMYFUNCTION("GOOGLEFINANCE(""NSE:""&amp;D851,""marketcap"")"),36068113600)</f>
        <v>36068113600</v>
      </c>
      <c r="K851" s="7">
        <v>992.8</v>
      </c>
      <c r="L851" s="8">
        <f ca="1">IFERROR(__xludf.DUMMYFUNCTION("GOOGLEFINANCE(""NSE:""&amp;D851,""price"")"),1580)</f>
        <v>1580</v>
      </c>
      <c r="M851" s="9">
        <f t="shared" ca="1" si="17"/>
        <v>587.20000000000005</v>
      </c>
      <c r="N851" s="10">
        <f t="shared" ca="1" si="18"/>
        <v>59.145850120870271</v>
      </c>
      <c r="O851" s="7">
        <f ca="1">IFERROR(__xludf.DUMMYFUNCTION("GOOGLEFINANCE(""NSE:""&amp;D851,""pe"")"),28.85)</f>
        <v>28.85</v>
      </c>
      <c r="P851" s="7">
        <f ca="1">IFERROR(__xludf.DUMMYFUNCTION("GOOGLEFINANCE(""NSE:""&amp;D851,""EPS"")"),54.76)</f>
        <v>54.76</v>
      </c>
      <c r="Q851" s="7">
        <v>13.5</v>
      </c>
      <c r="R851" s="7" t="str">
        <f ca="1">IFERROR(__xludf.DUMMYFUNCTION("IMPORTXML(E851,""/html/body/main/div[3]/div[3]/div[2]/ul/li[7]/span[2]/span"")"),"Loading...")</f>
        <v>Loading...</v>
      </c>
      <c r="S851" s="7" t="str">
        <f ca="1">IFERROR(__xludf.DUMMYFUNCTION("IMPORTXML(E851,""/html/body/main/div[3]/div[3]/div[2]/ul/li[8]/span[2]/span"")"),"Loading...")</f>
        <v>Loading...</v>
      </c>
      <c r="T851" s="4">
        <v>34.6</v>
      </c>
      <c r="U851" s="4">
        <v>22.7</v>
      </c>
      <c r="V851" s="4">
        <v>2.6</v>
      </c>
      <c r="W851" s="4">
        <v>5.7</v>
      </c>
      <c r="X851" s="4">
        <v>519.92999999999995</v>
      </c>
      <c r="Y851" s="7">
        <f t="shared" ca="1" si="19"/>
        <v>1060.0700000000002</v>
      </c>
    </row>
    <row r="852" spans="1:25" ht="15" x14ac:dyDescent="0.25">
      <c r="A852" s="4">
        <v>1029</v>
      </c>
      <c r="C852" s="12" t="s">
        <v>2246</v>
      </c>
      <c r="D852" s="12" t="s">
        <v>2247</v>
      </c>
      <c r="E852" s="5" t="str">
        <f t="shared" si="15"/>
        <v>https://www.screener.in/company/RICOAUTO/consolidated/</v>
      </c>
      <c r="F852" s="4">
        <v>443059</v>
      </c>
      <c r="G852" s="4">
        <v>3832241897</v>
      </c>
      <c r="H852" s="6">
        <f t="shared" ca="1" si="16"/>
        <v>39050.544930430005</v>
      </c>
      <c r="I852" s="7" t="str">
        <f ca="1">IFERROR(__xludf.DUMMYFUNCTION("IMPORTXML(E852,""/html/body/main/div[3]/div[3]/div[2]/ul/li[5]/span[2]/span"")"),"Loading...")</f>
        <v>Loading...</v>
      </c>
      <c r="J852" s="7">
        <f ca="1">IFERROR(__xludf.DUMMYFUNCTION("GOOGLEFINANCE(""NSE:""&amp;D852,""marketcap"")"),13785531516)</f>
        <v>13785531516</v>
      </c>
      <c r="K852" s="7">
        <v>992.8</v>
      </c>
      <c r="L852" s="8">
        <f ca="1">IFERROR(__xludf.DUMMYFUNCTION("GOOGLEFINANCE(""NSE:""&amp;D852,""price"")"),101.9)</f>
        <v>101.9</v>
      </c>
      <c r="M852" s="9">
        <f t="shared" ca="1" si="17"/>
        <v>-890.9</v>
      </c>
      <c r="N852" s="10">
        <f t="shared" ca="1" si="18"/>
        <v>-89.736099919419814</v>
      </c>
      <c r="O852" s="7">
        <f ca="1">IFERROR(__xludf.DUMMYFUNCTION("GOOGLEFINANCE(""NSE:""&amp;D852,""pe"")"),42.64)</f>
        <v>42.64</v>
      </c>
      <c r="P852" s="7">
        <f ca="1">IFERROR(__xludf.DUMMYFUNCTION("GOOGLEFINANCE(""NSE:""&amp;D852,""EPS"")"),2.39)</f>
        <v>2.39</v>
      </c>
      <c r="Q852" s="7">
        <v>13.5</v>
      </c>
      <c r="R852" s="7" t="str">
        <f ca="1">IFERROR(__xludf.DUMMYFUNCTION("IMPORTXML(E852,""/html/body/main/div[3]/div[3]/div[2]/ul/li[7]/span[2]/span"")"),"Loading...")</f>
        <v>Loading...</v>
      </c>
      <c r="S852" s="7" t="str">
        <f ca="1">IFERROR(__xludf.DUMMYFUNCTION("IMPORTXML(E852,""/html/body/main/div[3]/div[3]/div[2]/ul/li[8]/span[2]/span"")"),"Loading...")</f>
        <v>Loading...</v>
      </c>
      <c r="T852" s="4">
        <v>34.6</v>
      </c>
      <c r="U852" s="4">
        <v>22.7</v>
      </c>
      <c r="V852" s="4">
        <v>2.6</v>
      </c>
      <c r="W852" s="4">
        <v>5.7</v>
      </c>
      <c r="X852" s="4">
        <v>519.92999999999995</v>
      </c>
      <c r="Y852" s="7">
        <f t="shared" ca="1" si="19"/>
        <v>-418.03</v>
      </c>
    </row>
    <row r="853" spans="1:25" ht="15" x14ac:dyDescent="0.25">
      <c r="A853" s="4">
        <v>1035</v>
      </c>
      <c r="C853" s="12" t="s">
        <v>2248</v>
      </c>
      <c r="D853" s="12" t="s">
        <v>2249</v>
      </c>
      <c r="E853" s="5" t="str">
        <f t="shared" si="15"/>
        <v>https://www.screener.in/company/PVSL/consolidated/</v>
      </c>
      <c r="F853" s="4">
        <v>443059</v>
      </c>
      <c r="G853" s="4">
        <v>3832241897</v>
      </c>
      <c r="H853" s="6">
        <f t="shared" ca="1" si="16"/>
        <v>49627.532566150003</v>
      </c>
      <c r="I853" s="7" t="str">
        <f ca="1">IFERROR(__xludf.DUMMYFUNCTION("IMPORTXML(E853,""/html/body/main/div[3]/div[3]/div[2]/ul/li[5]/span[2]/span"")"),"Loading...")</f>
        <v>Loading...</v>
      </c>
      <c r="J853" s="7">
        <f ca="1">IFERROR(__xludf.DUMMYFUNCTION("GOOGLEFINANCE(""NSE:""&amp;D853,""marketcap"")"),9220165605)</f>
        <v>9220165605</v>
      </c>
      <c r="K853" s="7">
        <v>992.8</v>
      </c>
      <c r="L853" s="8">
        <f ca="1">IFERROR(__xludf.DUMMYFUNCTION("GOOGLEFINANCE(""NSE:""&amp;D853,""price"")"),129.5)</f>
        <v>129.5</v>
      </c>
      <c r="M853" s="9">
        <f t="shared" ca="1" si="17"/>
        <v>-863.3</v>
      </c>
      <c r="N853" s="10">
        <f t="shared" ca="1" si="18"/>
        <v>-86.956083803384359</v>
      </c>
      <c r="O853" s="7" t="str">
        <f ca="1">IFERROR(__xludf.DUMMYFUNCTION("GOOGLEFINANCE(""NSE:""&amp;D853,""pe"")"),"#N/A")</f>
        <v>#N/A</v>
      </c>
      <c r="P853" s="7">
        <f ca="1">IFERROR(__xludf.DUMMYFUNCTION("GOOGLEFINANCE(""NSE:""&amp;D853,""EPS"")"),-3.47)</f>
        <v>-3.47</v>
      </c>
      <c r="Q853" s="7">
        <v>13.5</v>
      </c>
      <c r="R853" s="7" t="str">
        <f ca="1">IFERROR(__xludf.DUMMYFUNCTION("IMPORTXML(E853,""/html/body/main/div[3]/div[3]/div[2]/ul/li[7]/span[2]/span"")"),"Loading...")</f>
        <v>Loading...</v>
      </c>
      <c r="S853" s="7" t="str">
        <f ca="1">IFERROR(__xludf.DUMMYFUNCTION("IMPORTXML(E853,""/html/body/main/div[3]/div[3]/div[2]/ul/li[8]/span[2]/span"")"),"Loading...")</f>
        <v>Loading...</v>
      </c>
      <c r="T853" s="4">
        <v>34.6</v>
      </c>
      <c r="U853" s="4">
        <v>22.7</v>
      </c>
      <c r="V853" s="4">
        <v>2.6</v>
      </c>
      <c r="W853" s="4">
        <v>5.7</v>
      </c>
      <c r="X853" s="4">
        <v>519.92999999999995</v>
      </c>
      <c r="Y853" s="7">
        <f t="shared" ca="1" si="19"/>
        <v>-390.42999999999995</v>
      </c>
    </row>
    <row r="854" spans="1:25" ht="15" x14ac:dyDescent="0.25">
      <c r="A854" s="4">
        <v>929</v>
      </c>
      <c r="C854" s="12" t="s">
        <v>2250</v>
      </c>
      <c r="D854" s="12" t="s">
        <v>2251</v>
      </c>
      <c r="E854" s="5" t="str">
        <f t="shared" si="15"/>
        <v>https://www.screener.in/company/SIRCA/consolidated/</v>
      </c>
      <c r="F854" s="4">
        <v>443059</v>
      </c>
      <c r="G854" s="4">
        <v>3832241897</v>
      </c>
      <c r="H854" s="6">
        <f t="shared" ca="1" si="16"/>
        <v>178965.69658990001</v>
      </c>
      <c r="I854" s="7" t="str">
        <f ca="1">IFERROR(__xludf.DUMMYFUNCTION("IMPORTXML(E854,""/html/body/main/div[3]/div[3]/div[2]/ul/li[5]/span[2]/span"")"),"Loading...")</f>
        <v>Loading...</v>
      </c>
      <c r="J854" s="7">
        <f ca="1">IFERROR(__xludf.DUMMYFUNCTION("GOOGLEFINANCE(""NSE:""&amp;D854,""marketcap"")"),25634026575)</f>
        <v>25634026575</v>
      </c>
      <c r="K854" s="7">
        <v>992.8</v>
      </c>
      <c r="L854" s="8">
        <f ca="1">IFERROR(__xludf.DUMMYFUNCTION("GOOGLEFINANCE(""NSE:""&amp;D854,""price"")"),467)</f>
        <v>467</v>
      </c>
      <c r="M854" s="9">
        <f t="shared" ca="1" si="17"/>
        <v>-525.79999999999995</v>
      </c>
      <c r="N854" s="10">
        <f t="shared" ca="1" si="18"/>
        <v>-52.961321514907333</v>
      </c>
      <c r="O854" s="7">
        <f ca="1">IFERROR(__xludf.DUMMYFUNCTION("GOOGLEFINANCE(""NSE:""&amp;D854,""pe"")"),48.3)</f>
        <v>48.3</v>
      </c>
      <c r="P854" s="7">
        <f ca="1">IFERROR(__xludf.DUMMYFUNCTION("GOOGLEFINANCE(""NSE:""&amp;D854,""EPS"")"),9.67)</f>
        <v>9.67</v>
      </c>
      <c r="Q854" s="7">
        <v>13.5</v>
      </c>
      <c r="R854" s="7" t="str">
        <f ca="1">IFERROR(__xludf.DUMMYFUNCTION("IMPORTXML(E854,""/html/body/main/div[3]/div[3]/div[2]/ul/li[7]/span[2]/span"")"),"Loading...")</f>
        <v>Loading...</v>
      </c>
      <c r="S854" s="7" t="str">
        <f ca="1">IFERROR(__xludf.DUMMYFUNCTION("IMPORTXML(E854,""/html/body/main/div[3]/div[3]/div[2]/ul/li[8]/span[2]/span"")"),"Loading...")</f>
        <v>Loading...</v>
      </c>
      <c r="T854" s="4">
        <v>34.6</v>
      </c>
      <c r="U854" s="4">
        <v>22.7</v>
      </c>
      <c r="V854" s="4">
        <v>2.6</v>
      </c>
      <c r="W854" s="4">
        <v>5.7</v>
      </c>
      <c r="X854" s="4">
        <v>519.92999999999995</v>
      </c>
      <c r="Y854" s="7">
        <f t="shared" ca="1" si="19"/>
        <v>-52.92999999999995</v>
      </c>
    </row>
    <row r="855" spans="1:25" ht="15" x14ac:dyDescent="0.25">
      <c r="A855" s="4">
        <v>46</v>
      </c>
      <c r="C855" s="12" t="s">
        <v>2252</v>
      </c>
      <c r="D855" s="12" t="s">
        <v>2253</v>
      </c>
      <c r="E855" s="5" t="str">
        <f t="shared" si="15"/>
        <v>https://www.screener.in/company/EMCURE/consolidated/</v>
      </c>
      <c r="F855" s="4">
        <v>443059</v>
      </c>
      <c r="G855" s="4">
        <v>3832241897</v>
      </c>
      <c r="H855" s="6">
        <f t="shared" ca="1" si="16"/>
        <v>526550.03664780001</v>
      </c>
      <c r="I855" s="7" t="str">
        <f ca="1">IFERROR(__xludf.DUMMYFUNCTION("IMPORTXML(E855,""/html/body/main/div[3]/div[3]/div[2]/ul/li[5]/span[2]/span"")"),"Loading...")</f>
        <v>Loading...</v>
      </c>
      <c r="J855" s="7">
        <f ca="1">IFERROR(__xludf.DUMMYFUNCTION("GOOGLEFINANCE(""NSE:""&amp;D855,""marketcap"")"),260384404200)</f>
        <v>260384404200</v>
      </c>
      <c r="K855" s="7">
        <v>992.8</v>
      </c>
      <c r="L855" s="8">
        <f ca="1">IFERROR(__xludf.DUMMYFUNCTION("GOOGLEFINANCE(""NSE:""&amp;D855,""price"")"),1374)</f>
        <v>1374</v>
      </c>
      <c r="M855" s="9">
        <f t="shared" ca="1" si="17"/>
        <v>381.20000000000005</v>
      </c>
      <c r="N855" s="10">
        <f t="shared" ca="1" si="18"/>
        <v>38.396454472199842</v>
      </c>
      <c r="O855" s="7">
        <f ca="1">IFERROR(__xludf.DUMMYFUNCTION("GOOGLEFINANCE(""NSE:""&amp;D855,""pe"")"),34.92)</f>
        <v>34.92</v>
      </c>
      <c r="P855" s="7">
        <f ca="1">IFERROR(__xludf.DUMMYFUNCTION("GOOGLEFINANCE(""NSE:""&amp;D855,""EPS"")"),39.35)</f>
        <v>39.35</v>
      </c>
      <c r="Q855" s="7">
        <v>13.5</v>
      </c>
      <c r="R855" s="7" t="str">
        <f ca="1">IFERROR(__xludf.DUMMYFUNCTION("IMPORTXML(E855,""/html/body/main/div[3]/div[3]/div[2]/ul/li[7]/span[2]/span"")"),"Loading...")</f>
        <v>Loading...</v>
      </c>
      <c r="S855" s="7" t="str">
        <f ca="1">IFERROR(__xludf.DUMMYFUNCTION("IMPORTXML(E855,""/html/body/main/div[3]/div[3]/div[2]/ul/li[8]/span[2]/span"")"),"Loading...")</f>
        <v>Loading...</v>
      </c>
      <c r="T855" s="4">
        <v>34.6</v>
      </c>
      <c r="U855" s="4">
        <v>22.7</v>
      </c>
      <c r="V855" s="4">
        <v>2.6</v>
      </c>
      <c r="W855" s="4">
        <v>5.7</v>
      </c>
      <c r="X855" s="4">
        <v>519.92999999999995</v>
      </c>
      <c r="Y855" s="7">
        <f t="shared" ca="1" si="19"/>
        <v>854.07</v>
      </c>
    </row>
    <row r="856" spans="1:25" ht="15" x14ac:dyDescent="0.25">
      <c r="A856" s="4">
        <v>6</v>
      </c>
      <c r="C856" s="12" t="s">
        <v>2254</v>
      </c>
      <c r="D856" s="12" t="s">
        <v>2255</v>
      </c>
      <c r="E856" s="5" t="str">
        <f t="shared" si="15"/>
        <v>https://www.screener.in/company/EMAMILTD/consolidated/</v>
      </c>
      <c r="F856" s="4">
        <v>443059</v>
      </c>
      <c r="G856" s="4">
        <v>3832241897</v>
      </c>
      <c r="H856" s="6">
        <f t="shared" ca="1" si="16"/>
        <v>231275.79848395</v>
      </c>
      <c r="I856" s="7" t="str">
        <f ca="1">IFERROR(__xludf.DUMMYFUNCTION("IMPORTXML(E856,""/html/body/main/div[3]/div[3]/div[2]/ul/li[5]/span[2]/span"")"),"Loading...")</f>
        <v>Loading...</v>
      </c>
      <c r="J856" s="7">
        <f ca="1">IFERROR(__xludf.DUMMYFUNCTION("GOOGLEFINANCE(""NSE:""&amp;D856,""marketcap"")"),263427750000)</f>
        <v>263427750000</v>
      </c>
      <c r="K856" s="7">
        <v>992.8</v>
      </c>
      <c r="L856" s="8">
        <f ca="1">IFERROR(__xludf.DUMMYFUNCTION("GOOGLEFINANCE(""NSE:""&amp;D856,""price"")"),603.5)</f>
        <v>603.5</v>
      </c>
      <c r="M856" s="9">
        <f t="shared" ca="1" si="17"/>
        <v>-389.29999999999995</v>
      </c>
      <c r="N856" s="10">
        <f t="shared" ca="1" si="18"/>
        <v>-39.212328767123282</v>
      </c>
      <c r="O856" s="7">
        <f ca="1">IFERROR(__xludf.DUMMYFUNCTION("GOOGLEFINANCE(""NSE:""&amp;D856,""pe"")"),32.21)</f>
        <v>32.21</v>
      </c>
      <c r="P856" s="7">
        <f ca="1">IFERROR(__xludf.DUMMYFUNCTION("GOOGLEFINANCE(""NSE:""&amp;D856,""EPS"")"),18.74)</f>
        <v>18.739999999999998</v>
      </c>
      <c r="Q856" s="7">
        <v>13.5</v>
      </c>
      <c r="R856" s="7" t="str">
        <f ca="1">IFERROR(__xludf.DUMMYFUNCTION("IMPORTXML(E856,""/html/body/main/div[3]/div[3]/div[2]/ul/li[7]/span[2]/span"")"),"Loading...")</f>
        <v>Loading...</v>
      </c>
      <c r="S856" s="7" t="str">
        <f ca="1">IFERROR(__xludf.DUMMYFUNCTION("IMPORTXML(E856,""/html/body/main/div[3]/div[3]/div[2]/ul/li[8]/span[2]/span"")"),"Loading...")</f>
        <v>Loading...</v>
      </c>
      <c r="T856" s="4">
        <v>34.6</v>
      </c>
      <c r="U856" s="4">
        <v>22.7</v>
      </c>
      <c r="V856" s="4">
        <v>2.6</v>
      </c>
      <c r="W856" s="4">
        <v>5.7</v>
      </c>
      <c r="X856" s="4">
        <v>519.92999999999995</v>
      </c>
      <c r="Y856" s="7">
        <f t="shared" ca="1" si="19"/>
        <v>83.57000000000005</v>
      </c>
    </row>
    <row r="857" spans="1:25" ht="15" x14ac:dyDescent="0.25">
      <c r="A857" s="4">
        <v>626</v>
      </c>
      <c r="C857" s="12" t="s">
        <v>2256</v>
      </c>
      <c r="D857" s="12" t="s">
        <v>2257</v>
      </c>
      <c r="E857" s="5" t="str">
        <f t="shared" si="15"/>
        <v>https://www.screener.in/company/PARKHOTELS/consolidated/</v>
      </c>
      <c r="F857" s="4">
        <v>443059</v>
      </c>
      <c r="G857" s="4">
        <v>3832241897</v>
      </c>
      <c r="H857" s="6">
        <f t="shared" ca="1" si="16"/>
        <v>59196.640582958993</v>
      </c>
      <c r="I857" s="7" t="str">
        <f ca="1">IFERROR(__xludf.DUMMYFUNCTION("IMPORTXML(E857,""/html/body/main/div[3]/div[3]/div[2]/ul/li[5]/span[2]/span"")"),"Loading...")</f>
        <v>Loading...</v>
      </c>
      <c r="J857" s="7">
        <f ca="1">IFERROR(__xludf.DUMMYFUNCTION("GOOGLEFINANCE(""NSE:""&amp;D857,""marketcap"")"),32853230000)</f>
        <v>32853230000</v>
      </c>
      <c r="K857" s="7">
        <v>992.8</v>
      </c>
      <c r="L857" s="8">
        <f ca="1">IFERROR(__xludf.DUMMYFUNCTION("GOOGLEFINANCE(""NSE:""&amp;D857,""price"")"),154.47)</f>
        <v>154.47</v>
      </c>
      <c r="M857" s="9">
        <f t="shared" ca="1" si="17"/>
        <v>-838.32999999999993</v>
      </c>
      <c r="N857" s="10">
        <f t="shared" ca="1" si="18"/>
        <v>-84.440975020145032</v>
      </c>
      <c r="O857" s="7">
        <f ca="1">IFERROR(__xludf.DUMMYFUNCTION("GOOGLEFINANCE(""NSE:""&amp;D857,""pe"")"),33.36)</f>
        <v>33.36</v>
      </c>
      <c r="P857" s="7">
        <f ca="1">IFERROR(__xludf.DUMMYFUNCTION("GOOGLEFINANCE(""NSE:""&amp;D857,""EPS"")"),4.63)</f>
        <v>4.63</v>
      </c>
      <c r="Q857" s="7">
        <v>13.5</v>
      </c>
      <c r="R857" s="7" t="str">
        <f ca="1">IFERROR(__xludf.DUMMYFUNCTION("IMPORTXML(E857,""/html/body/main/div[3]/div[3]/div[2]/ul/li[7]/span[2]/span"")"),"Loading...")</f>
        <v>Loading...</v>
      </c>
      <c r="S857" s="7" t="str">
        <f ca="1">IFERROR(__xludf.DUMMYFUNCTION("IMPORTXML(E857,""/html/body/main/div[3]/div[3]/div[2]/ul/li[8]/span[2]/span"")"),"Loading...")</f>
        <v>Loading...</v>
      </c>
      <c r="T857" s="4">
        <v>34.6</v>
      </c>
      <c r="U857" s="4">
        <v>22.7</v>
      </c>
      <c r="V857" s="4">
        <v>2.6</v>
      </c>
      <c r="W857" s="4">
        <v>5.7</v>
      </c>
      <c r="X857" s="4">
        <v>519.92999999999995</v>
      </c>
      <c r="Y857" s="7">
        <f t="shared" ca="1" si="19"/>
        <v>-365.45999999999992</v>
      </c>
    </row>
    <row r="858" spans="1:25" ht="15" x14ac:dyDescent="0.25">
      <c r="A858" s="4">
        <v>265</v>
      </c>
      <c r="C858" s="12" t="s">
        <v>2258</v>
      </c>
      <c r="D858" s="12" t="s">
        <v>2259</v>
      </c>
      <c r="E858" s="5" t="str">
        <f t="shared" si="15"/>
        <v>https://www.screener.in/company/CERA/consolidated/</v>
      </c>
      <c r="F858" s="4">
        <v>443059</v>
      </c>
      <c r="G858" s="4">
        <v>3832241897</v>
      </c>
      <c r="H858" s="6">
        <f t="shared" ca="1" si="16"/>
        <v>2427725.2417494999</v>
      </c>
      <c r="I858" s="7" t="str">
        <f ca="1">IFERROR(__xludf.DUMMYFUNCTION("IMPORTXML(E858,""/html/body/main/div[3]/div[3]/div[2]/ul/li[5]/span[2]/span"")"),"Loading...")</f>
        <v>Loading...</v>
      </c>
      <c r="J858" s="7">
        <f ca="1">IFERROR(__xludf.DUMMYFUNCTION("GOOGLEFINANCE(""NSE:""&amp;D858,""marketcap"")"),81767440000)</f>
        <v>81767440000</v>
      </c>
      <c r="K858" s="7">
        <v>992.8</v>
      </c>
      <c r="L858" s="8">
        <f ca="1">IFERROR(__xludf.DUMMYFUNCTION("GOOGLEFINANCE(""NSE:""&amp;D858,""price"")"),6335)</f>
        <v>6335</v>
      </c>
      <c r="M858" s="9">
        <f t="shared" ca="1" si="17"/>
        <v>5342.2</v>
      </c>
      <c r="N858" s="10">
        <f t="shared" ca="1" si="18"/>
        <v>538.09427880741339</v>
      </c>
      <c r="O858" s="7">
        <f ca="1">IFERROR(__xludf.DUMMYFUNCTION("GOOGLEFINANCE(""NSE:""&amp;D858,""pe"")"),33.28)</f>
        <v>33.28</v>
      </c>
      <c r="P858" s="7">
        <f ca="1">IFERROR(__xludf.DUMMYFUNCTION("GOOGLEFINANCE(""NSE:""&amp;D858,""EPS"")"),190.38)</f>
        <v>190.38</v>
      </c>
      <c r="Q858" s="7">
        <v>13.5</v>
      </c>
      <c r="R858" s="7" t="str">
        <f ca="1">IFERROR(__xludf.DUMMYFUNCTION("IMPORTXML(E858,""/html/body/main/div[3]/div[3]/div[2]/ul/li[7]/span[2]/span"")"),"Loading...")</f>
        <v>Loading...</v>
      </c>
      <c r="S858" s="7" t="str">
        <f ca="1">IFERROR(__xludf.DUMMYFUNCTION("IMPORTXML(E858,""/html/body/main/div[3]/div[3]/div[2]/ul/li[8]/span[2]/span"")"),"Loading...")</f>
        <v>Loading...</v>
      </c>
      <c r="T858" s="4">
        <v>34.6</v>
      </c>
      <c r="U858" s="4">
        <v>22.7</v>
      </c>
      <c r="V858" s="4">
        <v>2.6</v>
      </c>
      <c r="W858" s="4">
        <v>5.7</v>
      </c>
      <c r="X858" s="4">
        <v>519.92999999999995</v>
      </c>
      <c r="Y858" s="7">
        <f t="shared" ca="1" si="19"/>
        <v>5815.07</v>
      </c>
    </row>
    <row r="859" spans="1:25" ht="15" x14ac:dyDescent="0.25">
      <c r="A859" s="4">
        <v>1558</v>
      </c>
      <c r="C859" s="12" t="s">
        <v>2260</v>
      </c>
      <c r="D859" s="12" t="s">
        <v>2261</v>
      </c>
      <c r="E859" s="5" t="str">
        <f t="shared" si="15"/>
        <v>https://www.screener.in/company/KAPSTON/consolidated/</v>
      </c>
      <c r="F859" s="4">
        <v>443059</v>
      </c>
      <c r="G859" s="4">
        <v>3832241897</v>
      </c>
      <c r="H859" s="6">
        <f t="shared" ca="1" si="16"/>
        <v>94618.052436930011</v>
      </c>
      <c r="I859" s="7" t="str">
        <f ca="1">IFERROR(__xludf.DUMMYFUNCTION("IMPORTXML(E859,""/html/body/main/div[3]/div[3]/div[2]/ul/li[5]/span[2]/span"")"),"Loading...")</f>
        <v>Loading...</v>
      </c>
      <c r="J859" s="7">
        <f ca="1">IFERROR(__xludf.DUMMYFUNCTION("GOOGLEFINANCE(""NSE:""&amp;D859,""marketcap"")"),2504568352)</f>
        <v>2504568352</v>
      </c>
      <c r="K859" s="7">
        <v>992.8</v>
      </c>
      <c r="L859" s="8">
        <f ca="1">IFERROR(__xludf.DUMMYFUNCTION("GOOGLEFINANCE(""NSE:""&amp;D859,""price"")"),246.9)</f>
        <v>246.9</v>
      </c>
      <c r="M859" s="9">
        <f t="shared" ca="1" si="17"/>
        <v>-745.9</v>
      </c>
      <c r="N859" s="10">
        <f t="shared" ca="1" si="18"/>
        <v>-75.130942788074137</v>
      </c>
      <c r="O859" s="7">
        <f ca="1">IFERROR(__xludf.DUMMYFUNCTION("GOOGLEFINANCE(""NSE:""&amp;D859,""pe"")"),24.28)</f>
        <v>24.28</v>
      </c>
      <c r="P859" s="7">
        <f ca="1">IFERROR(__xludf.DUMMYFUNCTION("GOOGLEFINANCE(""NSE:""&amp;D859,""EPS"")"),10.17)</f>
        <v>10.17</v>
      </c>
      <c r="Q859" s="7">
        <v>13.5</v>
      </c>
      <c r="R859" s="7" t="str">
        <f ca="1">IFERROR(__xludf.DUMMYFUNCTION("IMPORTXML(E859,""/html/body/main/div[3]/div[3]/div[2]/ul/li[7]/span[2]/span"")"),"Loading...")</f>
        <v>Loading...</v>
      </c>
      <c r="S859" s="7" t="str">
        <f ca="1">IFERROR(__xludf.DUMMYFUNCTION("IMPORTXML(E859,""/html/body/main/div[3]/div[3]/div[2]/ul/li[8]/span[2]/span"")"),"Loading...")</f>
        <v>Loading...</v>
      </c>
      <c r="T859" s="4">
        <v>34.6</v>
      </c>
      <c r="U859" s="4">
        <v>22.7</v>
      </c>
      <c r="V859" s="4">
        <v>2.6</v>
      </c>
      <c r="W859" s="4">
        <v>5.7</v>
      </c>
      <c r="X859" s="4">
        <v>519.92999999999995</v>
      </c>
      <c r="Y859" s="7">
        <f t="shared" ca="1" si="19"/>
        <v>-273.02999999999997</v>
      </c>
    </row>
    <row r="860" spans="1:25" ht="15" x14ac:dyDescent="0.25">
      <c r="A860" s="4">
        <v>58</v>
      </c>
      <c r="C860" s="12" t="s">
        <v>2262</v>
      </c>
      <c r="D860" s="12" t="s">
        <v>2263</v>
      </c>
      <c r="E860" s="5" t="str">
        <f t="shared" si="15"/>
        <v>https://www.screener.in/company/PFIZER/consolidated/</v>
      </c>
      <c r="F860" s="4">
        <v>443059</v>
      </c>
      <c r="G860" s="4">
        <v>3832241897</v>
      </c>
      <c r="H860" s="6">
        <f t="shared" ca="1" si="16"/>
        <v>1963640.7480228001</v>
      </c>
      <c r="I860" s="7" t="str">
        <f ca="1">IFERROR(__xludf.DUMMYFUNCTION("IMPORTXML(E860,""/html/body/main/div[3]/div[3]/div[2]/ul/li[5]/span[2]/span"")"),"Loading...")</f>
        <v>Loading...</v>
      </c>
      <c r="J860" s="7">
        <f ca="1">IFERROR(__xludf.DUMMYFUNCTION("GOOGLEFINANCE(""NSE:""&amp;D860,""marketcap"")"),234136900000)</f>
        <v>234136900000</v>
      </c>
      <c r="K860" s="7">
        <v>992.8</v>
      </c>
      <c r="L860" s="8">
        <f ca="1">IFERROR(__xludf.DUMMYFUNCTION("GOOGLEFINANCE(""NSE:""&amp;D860,""price"")"),5124)</f>
        <v>5124</v>
      </c>
      <c r="M860" s="9">
        <f t="shared" ca="1" si="17"/>
        <v>4131.2</v>
      </c>
      <c r="N860" s="10">
        <f t="shared" ca="1" si="18"/>
        <v>416.11603545527799</v>
      </c>
      <c r="O860" s="7">
        <f ca="1">IFERROR(__xludf.DUMMYFUNCTION("GOOGLEFINANCE(""NSE:""&amp;D860,""pe"")"),28.99)</f>
        <v>28.99</v>
      </c>
      <c r="P860" s="7">
        <f ca="1">IFERROR(__xludf.DUMMYFUNCTION("GOOGLEFINANCE(""NSE:""&amp;D860,""EPS"")"),176.77)</f>
        <v>176.77</v>
      </c>
      <c r="Q860" s="7">
        <v>13.5</v>
      </c>
      <c r="R860" s="7" t="str">
        <f ca="1">IFERROR(__xludf.DUMMYFUNCTION("IMPORTXML(E860,""/html/body/main/div[3]/div[3]/div[2]/ul/li[7]/span[2]/span"")"),"Loading...")</f>
        <v>Loading...</v>
      </c>
      <c r="S860" s="7" t="str">
        <f ca="1">IFERROR(__xludf.DUMMYFUNCTION("IMPORTXML(E860,""/html/body/main/div[3]/div[3]/div[2]/ul/li[8]/span[2]/span"")"),"Loading...")</f>
        <v>Loading...</v>
      </c>
      <c r="T860" s="4">
        <v>34.6</v>
      </c>
      <c r="U860" s="4">
        <v>22.7</v>
      </c>
      <c r="V860" s="4">
        <v>2.6</v>
      </c>
      <c r="W860" s="4">
        <v>5.7</v>
      </c>
      <c r="X860" s="4">
        <v>519.92999999999995</v>
      </c>
      <c r="Y860" s="7">
        <f t="shared" ca="1" si="19"/>
        <v>4604.07</v>
      </c>
    </row>
    <row r="861" spans="1:25" ht="15" x14ac:dyDescent="0.25">
      <c r="A861" s="4">
        <v>1012</v>
      </c>
      <c r="C861" s="12" t="s">
        <v>2264</v>
      </c>
      <c r="D861" s="12" t="s">
        <v>2265</v>
      </c>
      <c r="E861" s="5" t="str">
        <f t="shared" si="15"/>
        <v>https://www.screener.in/company/KABRAEXTRU/consolidated/</v>
      </c>
      <c r="F861" s="4">
        <v>443059</v>
      </c>
      <c r="G861" s="4">
        <v>3832241897</v>
      </c>
      <c r="H861" s="6">
        <f t="shared" ca="1" si="16"/>
        <v>105693.23151926001</v>
      </c>
      <c r="I861" s="7" t="str">
        <f ca="1">IFERROR(__xludf.DUMMYFUNCTION("IMPORTXML(E861,""/html/body/main/div[3]/div[3]/div[2]/ul/li[5]/span[2]/span"")"),"Loading...")</f>
        <v>Loading...</v>
      </c>
      <c r="J861" s="7">
        <f ca="1">IFERROR(__xludf.DUMMYFUNCTION("GOOGLEFINANCE(""NSE:""&amp;D861,""marketcap"")"),9549333000)</f>
        <v>9549333000</v>
      </c>
      <c r="K861" s="7">
        <v>992.8</v>
      </c>
      <c r="L861" s="8">
        <f ca="1">IFERROR(__xludf.DUMMYFUNCTION("GOOGLEFINANCE(""NSE:""&amp;D861,""price"")"),275.8)</f>
        <v>275.8</v>
      </c>
      <c r="M861" s="9">
        <f t="shared" ca="1" si="17"/>
        <v>-717</v>
      </c>
      <c r="N861" s="10">
        <f t="shared" ca="1" si="18"/>
        <v>-72.219983883964545</v>
      </c>
      <c r="O861" s="7">
        <f ca="1">IFERROR(__xludf.DUMMYFUNCTION("GOOGLEFINANCE(""NSE:""&amp;D861,""pe"")"),42.77)</f>
        <v>42.77</v>
      </c>
      <c r="P861" s="7">
        <f ca="1">IFERROR(__xludf.DUMMYFUNCTION("GOOGLEFINANCE(""NSE:""&amp;D861,""EPS"")"),6.45)</f>
        <v>6.45</v>
      </c>
      <c r="Q861" s="7">
        <v>13.5</v>
      </c>
      <c r="R861" s="7" t="str">
        <f ca="1">IFERROR(__xludf.DUMMYFUNCTION("IMPORTXML(E861,""/html/body/main/div[3]/div[3]/div[2]/ul/li[7]/span[2]/span"")"),"Loading...")</f>
        <v>Loading...</v>
      </c>
      <c r="S861" s="7" t="str">
        <f ca="1">IFERROR(__xludf.DUMMYFUNCTION("IMPORTXML(E861,""/html/body/main/div[3]/div[3]/div[2]/ul/li[8]/span[2]/span"")"),"Loading...")</f>
        <v>Loading...</v>
      </c>
      <c r="T861" s="4">
        <v>34.6</v>
      </c>
      <c r="U861" s="4">
        <v>22.7</v>
      </c>
      <c r="V861" s="4">
        <v>2.6</v>
      </c>
      <c r="W861" s="4">
        <v>5.7</v>
      </c>
      <c r="X861" s="4">
        <v>519.92999999999995</v>
      </c>
      <c r="Y861" s="7">
        <f t="shared" ca="1" si="19"/>
        <v>-244.12999999999994</v>
      </c>
    </row>
    <row r="862" spans="1:25" ht="15" x14ac:dyDescent="0.25">
      <c r="A862" s="4">
        <v>177</v>
      </c>
      <c r="C862" s="12" t="s">
        <v>2266</v>
      </c>
      <c r="D862" s="12" t="s">
        <v>2267</v>
      </c>
      <c r="E862" s="5" t="str">
        <f t="shared" si="15"/>
        <v>https://www.screener.in/company/RITES/consolidated/</v>
      </c>
      <c r="F862" s="4">
        <v>443059</v>
      </c>
      <c r="G862" s="4">
        <v>3832241897</v>
      </c>
      <c r="H862" s="6">
        <f t="shared" ca="1" si="16"/>
        <v>100186.29991327101</v>
      </c>
      <c r="I862" s="7" t="str">
        <f ca="1">IFERROR(__xludf.DUMMYFUNCTION("IMPORTXML(E862,""/html/body/main/div[3]/div[3]/div[2]/ul/li[5]/span[2]/span"")"),"Loading...")</f>
        <v>Loading...</v>
      </c>
      <c r="J862" s="7">
        <f ca="1">IFERROR(__xludf.DUMMYFUNCTION("GOOGLEFINANCE(""NSE:""&amp;D862,""marketcap"")"),125644195627)</f>
        <v>125644195627</v>
      </c>
      <c r="K862" s="7">
        <v>992.8</v>
      </c>
      <c r="L862" s="8">
        <f ca="1">IFERROR(__xludf.DUMMYFUNCTION("GOOGLEFINANCE(""NSE:""&amp;D862,""price"")"),261.43)</f>
        <v>261.43</v>
      </c>
      <c r="M862" s="9">
        <f t="shared" ca="1" si="17"/>
        <v>-731.36999999999989</v>
      </c>
      <c r="N862" s="10">
        <f t="shared" ca="1" si="18"/>
        <v>-73.667405318291685</v>
      </c>
      <c r="O862" s="7">
        <f ca="1">IFERROR(__xludf.DUMMYFUNCTION("GOOGLEFINANCE(""NSE:""&amp;D862,""pe"")"),35.99)</f>
        <v>35.99</v>
      </c>
      <c r="P862" s="7">
        <f ca="1">IFERROR(__xludf.DUMMYFUNCTION("GOOGLEFINANCE(""NSE:""&amp;D862,""EPS"")"),7.26)</f>
        <v>7.26</v>
      </c>
      <c r="Q862" s="7">
        <v>13.5</v>
      </c>
      <c r="R862" s="7" t="str">
        <f ca="1">IFERROR(__xludf.DUMMYFUNCTION("IMPORTXML(E862,""/html/body/main/div[3]/div[3]/div[2]/ul/li[7]/span[2]/span"")"),"Loading...")</f>
        <v>Loading...</v>
      </c>
      <c r="S862" s="7" t="str">
        <f ca="1">IFERROR(__xludf.DUMMYFUNCTION("IMPORTXML(E862,""/html/body/main/div[3]/div[3]/div[2]/ul/li[8]/span[2]/span"")"),"Loading...")</f>
        <v>Loading...</v>
      </c>
      <c r="T862" s="4">
        <v>34.6</v>
      </c>
      <c r="U862" s="4">
        <v>22.7</v>
      </c>
      <c r="V862" s="4">
        <v>2.6</v>
      </c>
      <c r="W862" s="4">
        <v>5.7</v>
      </c>
      <c r="X862" s="4">
        <v>519.92999999999995</v>
      </c>
      <c r="Y862" s="7">
        <f t="shared" ca="1" si="19"/>
        <v>-258.49999999999994</v>
      </c>
    </row>
    <row r="863" spans="1:25" ht="15" x14ac:dyDescent="0.25">
      <c r="A863" s="4">
        <v>2070</v>
      </c>
      <c r="C863" s="12" t="s">
        <v>2268</v>
      </c>
      <c r="D863" s="12" t="s">
        <v>2269</v>
      </c>
      <c r="E863" s="5" t="str">
        <f t="shared" si="15"/>
        <v>https://www.screener.in/company/KALYANIFRG/consolidated/</v>
      </c>
      <c r="F863" s="4">
        <v>443059</v>
      </c>
      <c r="G863" s="4">
        <v>3832241897</v>
      </c>
      <c r="H863" s="6">
        <f t="shared" ca="1" si="16"/>
        <v>273813.68354065</v>
      </c>
      <c r="I863" s="7" t="str">
        <f ca="1">IFERROR(__xludf.DUMMYFUNCTION("IMPORTXML(E863,""/html/body/main/div[3]/div[3]/div[2]/ul/li[5]/span[2]/span"")"),"Loading...")</f>
        <v>Loading...</v>
      </c>
      <c r="J863" s="7">
        <f ca="1">IFERROR(__xludf.DUMMYFUNCTION("GOOGLEFINANCE(""NSE:""&amp;D863,""marketcap"")"),2593581729)</f>
        <v>2593581729</v>
      </c>
      <c r="K863" s="7">
        <v>992.8</v>
      </c>
      <c r="L863" s="8">
        <f ca="1">IFERROR(__xludf.DUMMYFUNCTION("GOOGLEFINANCE(""NSE:""&amp;D863,""price"")"),714.5)</f>
        <v>714.5</v>
      </c>
      <c r="M863" s="9">
        <f t="shared" ca="1" si="17"/>
        <v>-278.29999999999995</v>
      </c>
      <c r="N863" s="10">
        <f t="shared" ca="1" si="18"/>
        <v>-28.031829170024171</v>
      </c>
      <c r="O863" s="7">
        <f ca="1">IFERROR(__xludf.DUMMYFUNCTION("GOOGLEFINANCE(""NSE:""&amp;D863,""pe"")"),27.73)</f>
        <v>27.73</v>
      </c>
      <c r="P863" s="7">
        <f ca="1">IFERROR(__xludf.DUMMYFUNCTION("GOOGLEFINANCE(""NSE:""&amp;D863,""EPS"")"),25.76)</f>
        <v>25.76</v>
      </c>
      <c r="Q863" s="7">
        <v>13.5</v>
      </c>
      <c r="R863" s="7" t="str">
        <f ca="1">IFERROR(__xludf.DUMMYFUNCTION("IMPORTXML(E863,""/html/body/main/div[3]/div[3]/div[2]/ul/li[7]/span[2]/span"")"),"Loading...")</f>
        <v>Loading...</v>
      </c>
      <c r="S863" s="7" t="str">
        <f ca="1">IFERROR(__xludf.DUMMYFUNCTION("IMPORTXML(E863,""/html/body/main/div[3]/div[3]/div[2]/ul/li[8]/span[2]/span"")"),"Loading...")</f>
        <v>Loading...</v>
      </c>
      <c r="T863" s="4">
        <v>34.6</v>
      </c>
      <c r="U863" s="4">
        <v>22.7</v>
      </c>
      <c r="V863" s="4">
        <v>2.6</v>
      </c>
      <c r="W863" s="4">
        <v>5.7</v>
      </c>
      <c r="X863" s="4">
        <v>519.92999999999995</v>
      </c>
      <c r="Y863" s="7">
        <f t="shared" ca="1" si="19"/>
        <v>194.57000000000005</v>
      </c>
    </row>
    <row r="864" spans="1:25" ht="15" x14ac:dyDescent="0.25">
      <c r="A864" s="4">
        <v>1036</v>
      </c>
      <c r="C864" s="12" t="s">
        <v>2270</v>
      </c>
      <c r="D864" s="12" t="s">
        <v>2271</v>
      </c>
      <c r="E864" s="5" t="str">
        <f t="shared" si="15"/>
        <v>https://www.screener.in/company/PUNJABCHEM/consolidated/</v>
      </c>
      <c r="F864" s="4">
        <v>443059</v>
      </c>
      <c r="G864" s="4">
        <v>3832241897</v>
      </c>
      <c r="H864" s="6">
        <f t="shared" ca="1" si="16"/>
        <v>426451.87829815998</v>
      </c>
      <c r="I864" s="7" t="str">
        <f ca="1">IFERROR(__xludf.DUMMYFUNCTION("IMPORTXML(E864,""/html/body/main/div[3]/div[3]/div[2]/ul/li[5]/span[2]/span"")"),"Loading...")</f>
        <v>Loading...</v>
      </c>
      <c r="J864" s="7">
        <f ca="1">IFERROR(__xludf.DUMMYFUNCTION("GOOGLEFINANCE(""NSE:""&amp;D864,""marketcap"")"),13640460000)</f>
        <v>13640460000</v>
      </c>
      <c r="K864" s="7">
        <v>992.8</v>
      </c>
      <c r="L864" s="8">
        <f ca="1">IFERROR(__xludf.DUMMYFUNCTION("GOOGLEFINANCE(""NSE:""&amp;D864,""price"")"),1112.8)</f>
        <v>1112.8</v>
      </c>
      <c r="M864" s="9">
        <f t="shared" ca="1" si="17"/>
        <v>120</v>
      </c>
      <c r="N864" s="10">
        <f t="shared" ca="1" si="18"/>
        <v>12.087026591458502</v>
      </c>
      <c r="O864" s="7">
        <f ca="1">IFERROR(__xludf.DUMMYFUNCTION("GOOGLEFINANCE(""NSE:""&amp;D864,""pe"")"),30.22)</f>
        <v>30.22</v>
      </c>
      <c r="P864" s="7">
        <f ca="1">IFERROR(__xludf.DUMMYFUNCTION("GOOGLEFINANCE(""NSE:""&amp;D864,""EPS"")"),36.82)</f>
        <v>36.82</v>
      </c>
      <c r="Q864" s="7">
        <v>13.5</v>
      </c>
      <c r="R864" s="7" t="str">
        <f ca="1">IFERROR(__xludf.DUMMYFUNCTION("IMPORTXML(E864,""/html/body/main/div[3]/div[3]/div[2]/ul/li[7]/span[2]/span"")"),"Loading...")</f>
        <v>Loading...</v>
      </c>
      <c r="S864" s="7" t="str">
        <f ca="1">IFERROR(__xludf.DUMMYFUNCTION("IMPORTXML(E864,""/html/body/main/div[3]/div[3]/div[2]/ul/li[8]/span[2]/span"")"),"Loading...")</f>
        <v>Loading...</v>
      </c>
      <c r="T864" s="4">
        <v>34.6</v>
      </c>
      <c r="U864" s="4">
        <v>22.7</v>
      </c>
      <c r="V864" s="4">
        <v>2.6</v>
      </c>
      <c r="W864" s="4">
        <v>5.7</v>
      </c>
      <c r="X864" s="4">
        <v>519.92999999999995</v>
      </c>
      <c r="Y864" s="7">
        <f t="shared" ca="1" si="19"/>
        <v>592.87</v>
      </c>
    </row>
    <row r="865" spans="1:25" ht="15" x14ac:dyDescent="0.25">
      <c r="A865" s="4">
        <v>170</v>
      </c>
      <c r="C865" s="12" t="s">
        <v>2272</v>
      </c>
      <c r="D865" s="12" t="s">
        <v>2273</v>
      </c>
      <c r="E865" s="5" t="str">
        <f t="shared" si="15"/>
        <v>https://www.screener.in/company/KIRLOSBROS/consolidated/</v>
      </c>
      <c r="F865" s="4">
        <v>443059</v>
      </c>
      <c r="G865" s="4">
        <v>3832241897</v>
      </c>
      <c r="H865" s="6">
        <f t="shared" ca="1" si="16"/>
        <v>768402.82276746992</v>
      </c>
      <c r="I865" s="7" t="str">
        <f ca="1">IFERROR(__xludf.DUMMYFUNCTION("IMPORTXML(E865,""/html/body/main/div[3]/div[3]/div[2]/ul/li[5]/span[2]/span"")"),"Loading...")</f>
        <v>Loading...</v>
      </c>
      <c r="J865" s="7">
        <f ca="1">IFERROR(__xludf.DUMMYFUNCTION("GOOGLEFINANCE(""NSE:""&amp;D865,""marketcap"")"),158373200000)</f>
        <v>158373200000</v>
      </c>
      <c r="K865" s="7">
        <v>992.8</v>
      </c>
      <c r="L865" s="8">
        <f ca="1">IFERROR(__xludf.DUMMYFUNCTION("GOOGLEFINANCE(""NSE:""&amp;D865,""price"")"),2005.1)</f>
        <v>2005.1</v>
      </c>
      <c r="M865" s="9">
        <f t="shared" ca="1" si="17"/>
        <v>1012.3</v>
      </c>
      <c r="N865" s="10">
        <f t="shared" ca="1" si="18"/>
        <v>101.96414182111199</v>
      </c>
      <c r="O865" s="7">
        <f ca="1">IFERROR(__xludf.DUMMYFUNCTION("GOOGLEFINANCE(""NSE:""&amp;D865,""pe"")"),38.2)</f>
        <v>38.200000000000003</v>
      </c>
      <c r="P865" s="7">
        <f ca="1">IFERROR(__xludf.DUMMYFUNCTION("GOOGLEFINANCE(""NSE:""&amp;D865,""EPS"")"),52.49)</f>
        <v>52.49</v>
      </c>
      <c r="Q865" s="7">
        <v>13.5</v>
      </c>
      <c r="R865" s="7" t="str">
        <f ca="1">IFERROR(__xludf.DUMMYFUNCTION("IMPORTXML(E865,""/html/body/main/div[3]/div[3]/div[2]/ul/li[7]/span[2]/span"")"),"Loading...")</f>
        <v>Loading...</v>
      </c>
      <c r="S865" s="7" t="str">
        <f ca="1">IFERROR(__xludf.DUMMYFUNCTION("IMPORTXML(E865,""/html/body/main/div[3]/div[3]/div[2]/ul/li[8]/span[2]/span"")"),"Loading...")</f>
        <v>Loading...</v>
      </c>
      <c r="T865" s="4">
        <v>34.6</v>
      </c>
      <c r="U865" s="4">
        <v>22.7</v>
      </c>
      <c r="V865" s="4">
        <v>2.6</v>
      </c>
      <c r="W865" s="4">
        <v>5.7</v>
      </c>
      <c r="X865" s="4">
        <v>519.92999999999995</v>
      </c>
      <c r="Y865" s="7">
        <f t="shared" ca="1" si="19"/>
        <v>1485.17</v>
      </c>
    </row>
    <row r="866" spans="1:25" ht="15" x14ac:dyDescent="0.25">
      <c r="A866" s="4">
        <v>1171</v>
      </c>
      <c r="C866" s="12" t="s">
        <v>2274</v>
      </c>
      <c r="D866" s="12" t="s">
        <v>2275</v>
      </c>
      <c r="E866" s="5" t="str">
        <f t="shared" si="15"/>
        <v>https://www.screener.in/company/JAYBARMARU/consolidated/</v>
      </c>
      <c r="F866" s="4">
        <v>443059</v>
      </c>
      <c r="G866" s="4">
        <v>3832241897</v>
      </c>
      <c r="H866" s="6">
        <f t="shared" ca="1" si="16"/>
        <v>37670.937847509995</v>
      </c>
      <c r="I866" s="7" t="str">
        <f ca="1">IFERROR(__xludf.DUMMYFUNCTION("IMPORTXML(E866,""/html/body/main/div[3]/div[3]/div[2]/ul/li[5]/span[2]/span"")"),"Loading...")</f>
        <v>Loading...</v>
      </c>
      <c r="J866" s="7">
        <f ca="1">IFERROR(__xludf.DUMMYFUNCTION("GOOGLEFINANCE(""NSE:""&amp;D866,""marketcap"")"),10640965500)</f>
        <v>10640965500</v>
      </c>
      <c r="K866" s="7">
        <v>992.8</v>
      </c>
      <c r="L866" s="8">
        <f ca="1">IFERROR(__xludf.DUMMYFUNCTION("GOOGLEFINANCE(""NSE:""&amp;D866,""price"")"),98.3)</f>
        <v>98.3</v>
      </c>
      <c r="M866" s="9">
        <f t="shared" ca="1" si="17"/>
        <v>-894.5</v>
      </c>
      <c r="N866" s="10">
        <f t="shared" ca="1" si="18"/>
        <v>-90.098710717163584</v>
      </c>
      <c r="O866" s="7">
        <f ca="1">IFERROR(__xludf.DUMMYFUNCTION("GOOGLEFINANCE(""NSE:""&amp;D866,""pe"")"),20.94)</f>
        <v>20.94</v>
      </c>
      <c r="P866" s="7">
        <f ca="1">IFERROR(__xludf.DUMMYFUNCTION("GOOGLEFINANCE(""NSE:""&amp;D866,""EPS"")"),4.69)</f>
        <v>4.6900000000000004</v>
      </c>
      <c r="Q866" s="7">
        <v>13.5</v>
      </c>
      <c r="R866" s="7" t="str">
        <f ca="1">IFERROR(__xludf.DUMMYFUNCTION("IMPORTXML(E866,""/html/body/main/div[3]/div[3]/div[2]/ul/li[7]/span[2]/span"")"),"Loading...")</f>
        <v>Loading...</v>
      </c>
      <c r="S866" s="7" t="str">
        <f ca="1">IFERROR(__xludf.DUMMYFUNCTION("IMPORTXML(E866,""/html/body/main/div[3]/div[3]/div[2]/ul/li[8]/span[2]/span"")"),"Loading...")</f>
        <v>Loading...</v>
      </c>
      <c r="T866" s="4">
        <v>34.6</v>
      </c>
      <c r="U866" s="4">
        <v>22.7</v>
      </c>
      <c r="V866" s="4">
        <v>2.6</v>
      </c>
      <c r="W866" s="4">
        <v>5.7</v>
      </c>
      <c r="X866" s="4">
        <v>519.92999999999995</v>
      </c>
      <c r="Y866" s="7">
        <f t="shared" ca="1" si="19"/>
        <v>-421.62999999999994</v>
      </c>
    </row>
    <row r="867" spans="1:25" ht="15" x14ac:dyDescent="0.25">
      <c r="A867" s="4">
        <v>1840</v>
      </c>
      <c r="C867" s="12" t="s">
        <v>2276</v>
      </c>
      <c r="D867" s="12" t="s">
        <v>2277</v>
      </c>
      <c r="E867" s="5" t="str">
        <f t="shared" si="15"/>
        <v>https://www.screener.in/company/RPPL/consolidated/</v>
      </c>
      <c r="F867" s="4">
        <v>443059</v>
      </c>
      <c r="G867" s="4">
        <v>3832241897</v>
      </c>
      <c r="H867" s="6">
        <f t="shared" ca="1" si="16"/>
        <v>8200.9976595799981</v>
      </c>
      <c r="I867" s="7" t="str">
        <f ca="1">IFERROR(__xludf.DUMMYFUNCTION("IMPORTXML(E867,""/html/body/main/div[3]/div[3]/div[2]/ul/li[5]/span[2]/span"")"),"Loading...")</f>
        <v>Loading...</v>
      </c>
      <c r="J867" s="7">
        <f ca="1">IFERROR(__xludf.DUMMYFUNCTION("GOOGLEFINANCE(""NSE:""&amp;D867,""marketcap"")"),1588821357)</f>
        <v>1588821357</v>
      </c>
      <c r="K867" s="7">
        <v>992.8</v>
      </c>
      <c r="L867" s="8">
        <f ca="1">IFERROR(__xludf.DUMMYFUNCTION("GOOGLEFINANCE(""NSE:""&amp;D867,""price"")"),21.4)</f>
        <v>21.4</v>
      </c>
      <c r="M867" s="9">
        <f t="shared" ca="1" si="17"/>
        <v>-971.4</v>
      </c>
      <c r="N867" s="10">
        <f t="shared" ca="1" si="18"/>
        <v>-97.844480257856574</v>
      </c>
      <c r="O867" s="7">
        <f ca="1">IFERROR(__xludf.DUMMYFUNCTION("GOOGLEFINANCE(""NSE:""&amp;D867,""pe"")"),16.09)</f>
        <v>16.09</v>
      </c>
      <c r="P867" s="7">
        <f ca="1">IFERROR(__xludf.DUMMYFUNCTION("GOOGLEFINANCE(""NSE:""&amp;D867,""EPS"")"),1.33)</f>
        <v>1.33</v>
      </c>
      <c r="Q867" s="7">
        <v>13.5</v>
      </c>
      <c r="R867" s="7" t="str">
        <f ca="1">IFERROR(__xludf.DUMMYFUNCTION("IMPORTXML(E867,""/html/body/main/div[3]/div[3]/div[2]/ul/li[7]/span[2]/span"")"),"Loading...")</f>
        <v>Loading...</v>
      </c>
      <c r="S867" s="7" t="str">
        <f ca="1">IFERROR(__xludf.DUMMYFUNCTION("IMPORTXML(E867,""/html/body/main/div[3]/div[3]/div[2]/ul/li[8]/span[2]/span"")"),"Loading...")</f>
        <v>Loading...</v>
      </c>
      <c r="T867" s="4">
        <v>34.6</v>
      </c>
      <c r="U867" s="4">
        <v>22.7</v>
      </c>
      <c r="V867" s="4">
        <v>2.6</v>
      </c>
      <c r="W867" s="4">
        <v>5.7</v>
      </c>
      <c r="X867" s="4">
        <v>519.92999999999995</v>
      </c>
      <c r="Y867" s="7">
        <f t="shared" ca="1" si="19"/>
        <v>-498.53</v>
      </c>
    </row>
    <row r="868" spans="1:25" ht="15" x14ac:dyDescent="0.25">
      <c r="A868" s="4">
        <v>116</v>
      </c>
      <c r="C868" s="12" t="s">
        <v>2278</v>
      </c>
      <c r="D868" s="12" t="s">
        <v>2279</v>
      </c>
      <c r="E868" s="5" t="str">
        <f t="shared" si="15"/>
        <v>https://www.screener.in/company/AFCONS/consolidated/</v>
      </c>
      <c r="F868" s="4">
        <v>443059</v>
      </c>
      <c r="G868" s="4">
        <v>3832241897</v>
      </c>
      <c r="H868" s="6">
        <f t="shared" ca="1" si="16"/>
        <v>168235.41927829999</v>
      </c>
      <c r="I868" s="7" t="str">
        <f ca="1">IFERROR(__xludf.DUMMYFUNCTION("IMPORTXML(E868,""/html/body/main/div[3]/div[3]/div[2]/ul/li[5]/span[2]/span"")"),"Loading...")</f>
        <v>Loading...</v>
      </c>
      <c r="J868" s="7">
        <f ca="1">IFERROR(__xludf.DUMMYFUNCTION("GOOGLEFINANCE(""NSE:""&amp;D868,""marketcap"")"),161346477869)</f>
        <v>161346477869</v>
      </c>
      <c r="K868" s="7">
        <v>992.8</v>
      </c>
      <c r="L868" s="8">
        <f ca="1">IFERROR(__xludf.DUMMYFUNCTION("GOOGLEFINANCE(""NSE:""&amp;D868,""price"")"),439)</f>
        <v>439</v>
      </c>
      <c r="M868" s="9">
        <f t="shared" ca="1" si="17"/>
        <v>-553.79999999999995</v>
      </c>
      <c r="N868" s="10">
        <f t="shared" ca="1" si="18"/>
        <v>-55.781627719580982</v>
      </c>
      <c r="O868" s="7">
        <f ca="1">IFERROR(__xludf.DUMMYFUNCTION("GOOGLEFINANCE(""NSE:""&amp;D868,""pe"")"),29.71)</f>
        <v>29.71</v>
      </c>
      <c r="P868" s="7">
        <f ca="1">IFERROR(__xludf.DUMMYFUNCTION("GOOGLEFINANCE(""NSE:""&amp;D868,""EPS"")"),14.78)</f>
        <v>14.78</v>
      </c>
      <c r="Q868" s="7">
        <v>13.5</v>
      </c>
      <c r="R868" s="7" t="str">
        <f ca="1">IFERROR(__xludf.DUMMYFUNCTION("IMPORTXML(E868,""/html/body/main/div[3]/div[3]/div[2]/ul/li[7]/span[2]/span"")"),"Loading...")</f>
        <v>Loading...</v>
      </c>
      <c r="S868" s="7" t="str">
        <f ca="1">IFERROR(__xludf.DUMMYFUNCTION("IMPORTXML(E868,""/html/body/main/div[3]/div[3]/div[2]/ul/li[8]/span[2]/span"")"),"Loading...")</f>
        <v>Loading...</v>
      </c>
      <c r="T868" s="4">
        <v>34.6</v>
      </c>
      <c r="U868" s="4">
        <v>22.7</v>
      </c>
      <c r="V868" s="4">
        <v>2.6</v>
      </c>
      <c r="W868" s="4">
        <v>5.7</v>
      </c>
      <c r="X868" s="4">
        <v>519.92999999999995</v>
      </c>
      <c r="Y868" s="7">
        <f t="shared" ca="1" si="19"/>
        <v>-80.92999999999995</v>
      </c>
    </row>
    <row r="869" spans="1:25" ht="15" x14ac:dyDescent="0.25">
      <c r="A869" s="4">
        <v>305</v>
      </c>
      <c r="C869" s="12" t="s">
        <v>2280</v>
      </c>
      <c r="D869" s="12" t="s">
        <v>2281</v>
      </c>
      <c r="E869" s="5" t="str">
        <f t="shared" si="15"/>
        <v>https://www.screener.in/company/JKLAKSHMI/consolidated/</v>
      </c>
      <c r="F869" s="4">
        <v>443059</v>
      </c>
      <c r="G869" s="4">
        <v>3832241897</v>
      </c>
      <c r="H869" s="6">
        <f t="shared" ca="1" si="16"/>
        <v>356015.27223130001</v>
      </c>
      <c r="I869" s="7" t="str">
        <f ca="1">IFERROR(__xludf.DUMMYFUNCTION("IMPORTXML(E869,""/html/body/main/div[3]/div[3]/div[2]/ul/li[5]/span[2]/span"")"),"Loading...")</f>
        <v>Loading...</v>
      </c>
      <c r="J869" s="7">
        <f ca="1">IFERROR(__xludf.DUMMYFUNCTION("GOOGLEFINANCE(""NSE:""&amp;D869,""marketcap"")"),109315430000)</f>
        <v>109315430000</v>
      </c>
      <c r="K869" s="7">
        <v>992.8</v>
      </c>
      <c r="L869" s="8">
        <f ca="1">IFERROR(__xludf.DUMMYFUNCTION("GOOGLEFINANCE(""NSE:""&amp;D869,""price"")"),929)</f>
        <v>929</v>
      </c>
      <c r="M869" s="9">
        <f t="shared" ca="1" si="17"/>
        <v>-63.799999999999955</v>
      </c>
      <c r="N869" s="10">
        <f t="shared" ca="1" si="18"/>
        <v>-6.4262691377920982</v>
      </c>
      <c r="O869" s="7">
        <f ca="1">IFERROR(__xludf.DUMMYFUNCTION("GOOGLEFINANCE(""NSE:""&amp;D869,""pe"")"),31.31)</f>
        <v>31.31</v>
      </c>
      <c r="P869" s="7">
        <f ca="1">IFERROR(__xludf.DUMMYFUNCTION("GOOGLEFINANCE(""NSE:""&amp;D869,""EPS"")"),29.67)</f>
        <v>29.67</v>
      </c>
      <c r="Q869" s="7">
        <v>13.5</v>
      </c>
      <c r="R869" s="7" t="str">
        <f ca="1">IFERROR(__xludf.DUMMYFUNCTION("IMPORTXML(E869,""/html/body/main/div[3]/div[3]/div[2]/ul/li[7]/span[2]/span"")"),"Loading...")</f>
        <v>Loading...</v>
      </c>
      <c r="S869" s="7" t="str">
        <f ca="1">IFERROR(__xludf.DUMMYFUNCTION("IMPORTXML(E869,""/html/body/main/div[3]/div[3]/div[2]/ul/li[8]/span[2]/span"")"),"Loading...")</f>
        <v>Loading...</v>
      </c>
      <c r="T869" s="4">
        <v>34.6</v>
      </c>
      <c r="U869" s="4">
        <v>22.7</v>
      </c>
      <c r="V869" s="4">
        <v>2.6</v>
      </c>
      <c r="W869" s="4">
        <v>5.7</v>
      </c>
      <c r="X869" s="4">
        <v>519.92999999999995</v>
      </c>
      <c r="Y869" s="7">
        <f t="shared" ca="1" si="19"/>
        <v>409.07000000000005</v>
      </c>
    </row>
    <row r="870" spans="1:25" ht="15" x14ac:dyDescent="0.25">
      <c r="A870" s="4">
        <v>729</v>
      </c>
      <c r="C870" s="12" t="s">
        <v>2282</v>
      </c>
      <c r="D870" s="12" t="s">
        <v>2283</v>
      </c>
      <c r="E870" s="5" t="str">
        <f t="shared" si="15"/>
        <v>https://www.screener.in/company/TCPLPACK/consolidated/</v>
      </c>
      <c r="F870" s="4">
        <v>443059</v>
      </c>
      <c r="G870" s="4">
        <v>3832241897</v>
      </c>
      <c r="H870" s="6">
        <f t="shared" ca="1" si="16"/>
        <v>1295297.761186</v>
      </c>
      <c r="I870" s="7" t="str">
        <f ca="1">IFERROR(__xludf.DUMMYFUNCTION("IMPORTXML(E870,""/html/body/main/div[3]/div[3]/div[2]/ul/li[5]/span[2]/span"")"),"Loading...")</f>
        <v>Loading...</v>
      </c>
      <c r="J870" s="7">
        <f ca="1">IFERROR(__xludf.DUMMYFUNCTION("GOOGLEFINANCE(""NSE:""&amp;D870,""marketcap"")"),30632150000)</f>
        <v>30632150000</v>
      </c>
      <c r="K870" s="7">
        <v>992.8</v>
      </c>
      <c r="L870" s="8">
        <f ca="1">IFERROR(__xludf.DUMMYFUNCTION("GOOGLEFINANCE(""NSE:""&amp;D870,""price"")"),3380)</f>
        <v>3380</v>
      </c>
      <c r="M870" s="9">
        <f t="shared" ca="1" si="17"/>
        <v>2387.1999999999998</v>
      </c>
      <c r="N870" s="10">
        <f t="shared" ca="1" si="18"/>
        <v>240.45124899274776</v>
      </c>
      <c r="O870" s="7">
        <f ca="1">IFERROR(__xludf.DUMMYFUNCTION("GOOGLEFINANCE(""NSE:""&amp;D870,""pe"")"),23.02)</f>
        <v>23.02</v>
      </c>
      <c r="P870" s="7">
        <f ca="1">IFERROR(__xludf.DUMMYFUNCTION("GOOGLEFINANCE(""NSE:""&amp;D870,""EPS"")"),146.82)</f>
        <v>146.82</v>
      </c>
      <c r="Q870" s="7">
        <v>13.5</v>
      </c>
      <c r="R870" s="7" t="str">
        <f ca="1">IFERROR(__xludf.DUMMYFUNCTION("IMPORTXML(E870,""/html/body/main/div[3]/div[3]/div[2]/ul/li[7]/span[2]/span"")"),"Loading...")</f>
        <v>Loading...</v>
      </c>
      <c r="S870" s="7" t="str">
        <f ca="1">IFERROR(__xludf.DUMMYFUNCTION("IMPORTXML(E870,""/html/body/main/div[3]/div[3]/div[2]/ul/li[8]/span[2]/span"")"),"Loading...")</f>
        <v>Loading...</v>
      </c>
      <c r="T870" s="4">
        <v>34.6</v>
      </c>
      <c r="U870" s="4">
        <v>22.7</v>
      </c>
      <c r="V870" s="4">
        <v>2.6</v>
      </c>
      <c r="W870" s="4">
        <v>5.7</v>
      </c>
      <c r="X870" s="4">
        <v>519.92999999999995</v>
      </c>
      <c r="Y870" s="7">
        <f t="shared" ca="1" si="19"/>
        <v>2860.07</v>
      </c>
    </row>
    <row r="871" spans="1:25" ht="15" x14ac:dyDescent="0.25">
      <c r="A871" s="4">
        <v>1354</v>
      </c>
      <c r="C871" s="12" t="s">
        <v>2284</v>
      </c>
      <c r="D871" s="12" t="s">
        <v>2285</v>
      </c>
      <c r="E871" s="5" t="str">
        <f t="shared" si="15"/>
        <v>https://www.screener.in/company/SURAJLTD/consolidated/</v>
      </c>
      <c r="F871" s="4">
        <v>443059</v>
      </c>
      <c r="G871" s="4">
        <v>3832241897</v>
      </c>
      <c r="H871" s="6">
        <f t="shared" ca="1" si="16"/>
        <v>117458.21414305001</v>
      </c>
      <c r="I871" s="7" t="str">
        <f ca="1">IFERROR(__xludf.DUMMYFUNCTION("IMPORTXML(E871,""/html/body/main/div[3]/div[3]/div[2]/ul/li[5]/span[2]/span"")"),"Loading...")</f>
        <v>Loading...</v>
      </c>
      <c r="J871" s="7">
        <f ca="1">IFERROR(__xludf.DUMMYFUNCTION("GOOGLEFINANCE(""NSE:""&amp;D871,""marketcap"")"),5628593585)</f>
        <v>5628593585</v>
      </c>
      <c r="K871" s="7">
        <v>992.8</v>
      </c>
      <c r="L871" s="8">
        <f ca="1">IFERROR(__xludf.DUMMYFUNCTION("GOOGLEFINANCE(""NSE:""&amp;D871,""price"")"),306.5)</f>
        <v>306.5</v>
      </c>
      <c r="M871" s="9">
        <f t="shared" ca="1" si="17"/>
        <v>-686.3</v>
      </c>
      <c r="N871" s="10">
        <f t="shared" ca="1" si="18"/>
        <v>-69.127719580983069</v>
      </c>
      <c r="O871" s="7">
        <f ca="1">IFERROR(__xludf.DUMMYFUNCTION("GOOGLEFINANCE(""NSE:""&amp;D871,""pe"")"),54.46)</f>
        <v>54.46</v>
      </c>
      <c r="P871" s="7">
        <f ca="1">IFERROR(__xludf.DUMMYFUNCTION("GOOGLEFINANCE(""NSE:""&amp;D871,""EPS"")"),5.63)</f>
        <v>5.63</v>
      </c>
      <c r="Q871" s="7">
        <v>13.5</v>
      </c>
      <c r="R871" s="7" t="str">
        <f ca="1">IFERROR(__xludf.DUMMYFUNCTION("IMPORTXML(E871,""/html/body/main/div[3]/div[3]/div[2]/ul/li[7]/span[2]/span"")"),"Loading...")</f>
        <v>Loading...</v>
      </c>
      <c r="S871" s="7" t="str">
        <f ca="1">IFERROR(__xludf.DUMMYFUNCTION("IMPORTXML(E871,""/html/body/main/div[3]/div[3]/div[2]/ul/li[8]/span[2]/span"")"),"Loading...")</f>
        <v>Loading...</v>
      </c>
      <c r="T871" s="4">
        <v>34.6</v>
      </c>
      <c r="U871" s="4">
        <v>22.7</v>
      </c>
      <c r="V871" s="4">
        <v>2.6</v>
      </c>
      <c r="W871" s="4">
        <v>5.7</v>
      </c>
      <c r="X871" s="4">
        <v>519.92999999999995</v>
      </c>
      <c r="Y871" s="7">
        <f t="shared" ca="1" si="19"/>
        <v>-213.42999999999995</v>
      </c>
    </row>
    <row r="872" spans="1:25" ht="15" x14ac:dyDescent="0.25">
      <c r="A872" s="4">
        <v>211</v>
      </c>
      <c r="C872" s="12" t="s">
        <v>2286</v>
      </c>
      <c r="D872" s="12" t="s">
        <v>2287</v>
      </c>
      <c r="E872" s="5" t="str">
        <f t="shared" si="15"/>
        <v>https://www.screener.in/company/ZYDUSWELL/consolidated/</v>
      </c>
      <c r="F872" s="4">
        <v>443059</v>
      </c>
      <c r="G872" s="4">
        <v>3832241897</v>
      </c>
      <c r="H872" s="6">
        <f t="shared" ca="1" si="16"/>
        <v>929701.88421219995</v>
      </c>
      <c r="I872" s="7" t="str">
        <f ca="1">IFERROR(__xludf.DUMMYFUNCTION("IMPORTXML(E872,""/html/body/main/div[3]/div[3]/div[2]/ul/li[5]/span[2]/span"")"),"Loading...")</f>
        <v>Loading...</v>
      </c>
      <c r="J872" s="7">
        <f ca="1">IFERROR(__xludf.DUMMYFUNCTION("GOOGLEFINANCE(""NSE:""&amp;D872,""marketcap"")"),154371571640)</f>
        <v>154371571640</v>
      </c>
      <c r="K872" s="7">
        <v>992.8</v>
      </c>
      <c r="L872" s="8">
        <f ca="1">IFERROR(__xludf.DUMMYFUNCTION("GOOGLEFINANCE(""NSE:""&amp;D872,""price"")"),2426)</f>
        <v>2426</v>
      </c>
      <c r="M872" s="9">
        <f t="shared" ca="1" si="17"/>
        <v>1433.2</v>
      </c>
      <c r="N872" s="10">
        <f t="shared" ca="1" si="18"/>
        <v>144.35938759065272</v>
      </c>
      <c r="O872" s="7">
        <f ca="1">IFERROR(__xludf.DUMMYFUNCTION("GOOGLEFINANCE(""NSE:""&amp;D872,""pe"")"),47.35)</f>
        <v>47.35</v>
      </c>
      <c r="P872" s="7">
        <f ca="1">IFERROR(__xludf.DUMMYFUNCTION("GOOGLEFINANCE(""NSE:""&amp;D872,""EPS"")"),51.23)</f>
        <v>51.23</v>
      </c>
      <c r="Q872" s="7">
        <v>13.5</v>
      </c>
      <c r="R872" s="7" t="str">
        <f ca="1">IFERROR(__xludf.DUMMYFUNCTION("IMPORTXML(E872,""/html/body/main/div[3]/div[3]/div[2]/ul/li[7]/span[2]/span"")"),"Loading...")</f>
        <v>Loading...</v>
      </c>
      <c r="S872" s="7" t="str">
        <f ca="1">IFERROR(__xludf.DUMMYFUNCTION("IMPORTXML(E872,""/html/body/main/div[3]/div[3]/div[2]/ul/li[8]/span[2]/span"")"),"Loading...")</f>
        <v>Loading...</v>
      </c>
      <c r="T872" s="4">
        <v>34.6</v>
      </c>
      <c r="U872" s="4">
        <v>22.7</v>
      </c>
      <c r="V872" s="4">
        <v>2.6</v>
      </c>
      <c r="W872" s="4">
        <v>5.7</v>
      </c>
      <c r="X872" s="4">
        <v>519.92999999999995</v>
      </c>
      <c r="Y872" s="7">
        <f t="shared" ca="1" si="19"/>
        <v>1906.0700000000002</v>
      </c>
    </row>
    <row r="873" spans="1:25" ht="15" x14ac:dyDescent="0.25">
      <c r="A873" s="4">
        <v>157</v>
      </c>
      <c r="C873" s="12" t="s">
        <v>2288</v>
      </c>
      <c r="D873" s="12" t="s">
        <v>2289</v>
      </c>
      <c r="E873" s="5" t="str">
        <f t="shared" si="15"/>
        <v>https://www.screener.in/company/BLS/consolidated/</v>
      </c>
      <c r="F873" s="4">
        <v>443059</v>
      </c>
      <c r="G873" s="4">
        <v>3832241897</v>
      </c>
      <c r="H873" s="6">
        <f t="shared" ca="1" si="16"/>
        <v>140432.50431556499</v>
      </c>
      <c r="I873" s="7" t="str">
        <f ca="1">IFERROR(__xludf.DUMMYFUNCTION("IMPORTXML(E873,""/html/body/main/div[3]/div[3]/div[2]/ul/li[5]/span[2]/span"")"),"Loading...")</f>
        <v>Loading...</v>
      </c>
      <c r="J873" s="7">
        <f ca="1">IFERROR(__xludf.DUMMYFUNCTION("GOOGLEFINANCE(""NSE:""&amp;D873,""marketcap"")"),150969923550)</f>
        <v>150969923550</v>
      </c>
      <c r="K873" s="7">
        <v>992.8</v>
      </c>
      <c r="L873" s="8">
        <f ca="1">IFERROR(__xludf.DUMMYFUNCTION("GOOGLEFINANCE(""NSE:""&amp;D873,""price"")"),366.45)</f>
        <v>366.45</v>
      </c>
      <c r="M873" s="9">
        <f t="shared" ca="1" si="17"/>
        <v>-626.34999999999991</v>
      </c>
      <c r="N873" s="10">
        <f t="shared" ca="1" si="18"/>
        <v>-63.089242546333594</v>
      </c>
      <c r="O873" s="7">
        <f ca="1">IFERROR(__xludf.DUMMYFUNCTION("GOOGLEFINANCE(""NSE:""&amp;D873,""pe"")"),26.7)</f>
        <v>26.7</v>
      </c>
      <c r="P873" s="7">
        <f ca="1">IFERROR(__xludf.DUMMYFUNCTION("GOOGLEFINANCE(""NSE:""&amp;D873,""EPS"")"),13.72)</f>
        <v>13.72</v>
      </c>
      <c r="Q873" s="7">
        <v>13.5</v>
      </c>
      <c r="R873" s="7" t="str">
        <f ca="1">IFERROR(__xludf.DUMMYFUNCTION("IMPORTXML(E873,""/html/body/main/div[3]/div[3]/div[2]/ul/li[7]/span[2]/span"")"),"Loading...")</f>
        <v>Loading...</v>
      </c>
      <c r="S873" s="7" t="str">
        <f ca="1">IFERROR(__xludf.DUMMYFUNCTION("IMPORTXML(E873,""/html/body/main/div[3]/div[3]/div[2]/ul/li[8]/span[2]/span"")"),"Loading...")</f>
        <v>Loading...</v>
      </c>
      <c r="T873" s="4">
        <v>34.6</v>
      </c>
      <c r="U873" s="4">
        <v>22.7</v>
      </c>
      <c r="V873" s="4">
        <v>2.6</v>
      </c>
      <c r="W873" s="4">
        <v>5.7</v>
      </c>
      <c r="X873" s="4">
        <v>519.92999999999995</v>
      </c>
      <c r="Y873" s="7">
        <f t="shared" ca="1" si="19"/>
        <v>-153.47999999999996</v>
      </c>
    </row>
    <row r="874" spans="1:25" ht="15" x14ac:dyDescent="0.25">
      <c r="A874" s="4">
        <v>1203</v>
      </c>
      <c r="C874" s="12" t="s">
        <v>2290</v>
      </c>
      <c r="D874" s="12" t="s">
        <v>2291</v>
      </c>
      <c r="E874" s="5" t="str">
        <f t="shared" si="15"/>
        <v>https://www.screener.in/company/RACLGEAR/consolidated/</v>
      </c>
      <c r="F874" s="4">
        <v>443059</v>
      </c>
      <c r="G874" s="4">
        <v>3832241897</v>
      </c>
      <c r="H874" s="6">
        <f t="shared" ca="1" si="16"/>
        <v>351972.25702996505</v>
      </c>
      <c r="I874" s="7" t="str">
        <f ca="1">IFERROR(__xludf.DUMMYFUNCTION("IMPORTXML(E874,""/html/body/main/div[3]/div[3]/div[2]/ul/li[5]/span[2]/span"")"),"Loading...")</f>
        <v>Loading...</v>
      </c>
      <c r="J874" s="7">
        <f ca="1">IFERROR(__xludf.DUMMYFUNCTION("GOOGLEFINANCE(""NSE:""&amp;D874,""marketcap"")"),10826753035)</f>
        <v>10826753035</v>
      </c>
      <c r="K874" s="7">
        <v>992.8</v>
      </c>
      <c r="L874" s="8">
        <f ca="1">IFERROR(__xludf.DUMMYFUNCTION("GOOGLEFINANCE(""NSE:""&amp;D874,""price"")"),918.45)</f>
        <v>918.45</v>
      </c>
      <c r="M874" s="9">
        <f t="shared" ca="1" si="17"/>
        <v>-74.349999999999909</v>
      </c>
      <c r="N874" s="10">
        <f t="shared" ca="1" si="18"/>
        <v>-7.4889202256244873</v>
      </c>
      <c r="O874" s="7">
        <f ca="1">IFERROR(__xludf.DUMMYFUNCTION("GOOGLEFINANCE(""NSE:""&amp;D874,""pe"")"),36.48)</f>
        <v>36.479999999999997</v>
      </c>
      <c r="P874" s="7">
        <f ca="1">IFERROR(__xludf.DUMMYFUNCTION("GOOGLEFINANCE(""NSE:""&amp;D874,""EPS"")"),25.18)</f>
        <v>25.18</v>
      </c>
      <c r="Q874" s="7">
        <v>13.5</v>
      </c>
      <c r="R874" s="7" t="str">
        <f ca="1">IFERROR(__xludf.DUMMYFUNCTION("IMPORTXML(E874,""/html/body/main/div[3]/div[3]/div[2]/ul/li[7]/span[2]/span"")"),"Loading...")</f>
        <v>Loading...</v>
      </c>
      <c r="S874" s="7" t="str">
        <f ca="1">IFERROR(__xludf.DUMMYFUNCTION("IMPORTXML(E874,""/html/body/main/div[3]/div[3]/div[2]/ul/li[8]/span[2]/span"")"),"Loading...")</f>
        <v>Loading...</v>
      </c>
      <c r="T874" s="4">
        <v>34.6</v>
      </c>
      <c r="U874" s="4">
        <v>22.7</v>
      </c>
      <c r="V874" s="4">
        <v>2.6</v>
      </c>
      <c r="W874" s="4">
        <v>5.7</v>
      </c>
      <c r="X874" s="4">
        <v>519.92999999999995</v>
      </c>
      <c r="Y874" s="7">
        <f t="shared" ca="1" si="19"/>
        <v>398.5200000000001</v>
      </c>
    </row>
    <row r="875" spans="1:25" ht="15" x14ac:dyDescent="0.25">
      <c r="A875" s="4">
        <v>915</v>
      </c>
      <c r="C875" s="12" t="s">
        <v>2292</v>
      </c>
      <c r="D875" s="12" t="s">
        <v>2293</v>
      </c>
      <c r="E875" s="5" t="str">
        <f t="shared" si="15"/>
        <v>https://www.screener.in/company/WINDLAS/consolidated/</v>
      </c>
      <c r="F875" s="4">
        <v>443059</v>
      </c>
      <c r="G875" s="4">
        <v>3832241897</v>
      </c>
      <c r="H875" s="6">
        <f t="shared" ca="1" si="16"/>
        <v>378472.20974772004</v>
      </c>
      <c r="I875" s="7" t="str">
        <f ca="1">IFERROR(__xludf.DUMMYFUNCTION("IMPORTXML(E875,""/html/body/main/div[3]/div[3]/div[2]/ul/li[5]/span[2]/span"")"),"Loading...")</f>
        <v>Loading...</v>
      </c>
      <c r="J875" s="7">
        <f ca="1">IFERROR(__xludf.DUMMYFUNCTION("GOOGLEFINANCE(""NSE:""&amp;D875,""marketcap"")"),20712022218)</f>
        <v>20712022218</v>
      </c>
      <c r="K875" s="7">
        <v>992.8</v>
      </c>
      <c r="L875" s="8">
        <f ca="1">IFERROR(__xludf.DUMMYFUNCTION("GOOGLEFINANCE(""NSE:""&amp;D875,""price"")"),987.6)</f>
        <v>987.6</v>
      </c>
      <c r="M875" s="9">
        <f t="shared" ca="1" si="17"/>
        <v>-5.1999999999999318</v>
      </c>
      <c r="N875" s="10">
        <f t="shared" ca="1" si="18"/>
        <v>-0.52377115229652826</v>
      </c>
      <c r="O875" s="7">
        <f ca="1">IFERROR(__xludf.DUMMYFUNCTION("GOOGLEFINANCE(""NSE:""&amp;D875,""pe"")"),32.05)</f>
        <v>32.049999999999997</v>
      </c>
      <c r="P875" s="7">
        <f ca="1">IFERROR(__xludf.DUMMYFUNCTION("GOOGLEFINANCE(""NSE:""&amp;D875,""EPS"")"),30.82)</f>
        <v>30.82</v>
      </c>
      <c r="Q875" s="7">
        <v>13.5</v>
      </c>
      <c r="R875" s="7" t="str">
        <f ca="1">IFERROR(__xludf.DUMMYFUNCTION("IMPORTXML(E875,""/html/body/main/div[3]/div[3]/div[2]/ul/li[7]/span[2]/span"")"),"Loading...")</f>
        <v>Loading...</v>
      </c>
      <c r="S875" s="7" t="str">
        <f ca="1">IFERROR(__xludf.DUMMYFUNCTION("IMPORTXML(E875,""/html/body/main/div[3]/div[3]/div[2]/ul/li[8]/span[2]/span"")"),"Loading...")</f>
        <v>Loading...</v>
      </c>
      <c r="T875" s="4">
        <v>34.6</v>
      </c>
      <c r="U875" s="4">
        <v>22.7</v>
      </c>
      <c r="V875" s="4">
        <v>2.6</v>
      </c>
      <c r="W875" s="4">
        <v>5.7</v>
      </c>
      <c r="X875" s="4">
        <v>519.92999999999995</v>
      </c>
      <c r="Y875" s="7">
        <f t="shared" ca="1" si="19"/>
        <v>467.67000000000007</v>
      </c>
    </row>
    <row r="876" spans="1:25" ht="15" x14ac:dyDescent="0.25">
      <c r="A876" s="4">
        <v>875</v>
      </c>
      <c r="C876" s="12" t="s">
        <v>2294</v>
      </c>
      <c r="D876" s="12" t="s">
        <v>2295</v>
      </c>
      <c r="E876" s="5" t="str">
        <f t="shared" si="15"/>
        <v>https://www.screener.in/company/CANTABIL/consolidated/</v>
      </c>
      <c r="F876" s="4">
        <v>443059</v>
      </c>
      <c r="G876" s="4">
        <v>3832241897</v>
      </c>
      <c r="H876" s="6">
        <f t="shared" ca="1" si="16"/>
        <v>97338.944183800006</v>
      </c>
      <c r="I876" s="7" t="str">
        <f ca="1">IFERROR(__xludf.DUMMYFUNCTION("IMPORTXML(E876,""/html/body/main/div[3]/div[3]/div[2]/ul/li[5]/span[2]/span"")"),"Loading...")</f>
        <v>Loading...</v>
      </c>
      <c r="J876" s="7">
        <f ca="1">IFERROR(__xludf.DUMMYFUNCTION("GOOGLEFINANCE(""NSE:""&amp;D876,""marketcap"")"),21244064700)</f>
        <v>21244064700</v>
      </c>
      <c r="K876" s="7">
        <v>992.8</v>
      </c>
      <c r="L876" s="8">
        <f ca="1">IFERROR(__xludf.DUMMYFUNCTION("GOOGLEFINANCE(""NSE:""&amp;D876,""price"")"),254)</f>
        <v>254</v>
      </c>
      <c r="M876" s="9">
        <f t="shared" ca="1" si="17"/>
        <v>-738.8</v>
      </c>
      <c r="N876" s="10">
        <f t="shared" ca="1" si="18"/>
        <v>-74.415793714746172</v>
      </c>
      <c r="O876" s="7">
        <f ca="1">IFERROR(__xludf.DUMMYFUNCTION("GOOGLEFINANCE(""NSE:""&amp;D876,""pe"")"),27.22)</f>
        <v>27.22</v>
      </c>
      <c r="P876" s="7">
        <f ca="1">IFERROR(__xludf.DUMMYFUNCTION("GOOGLEFINANCE(""NSE:""&amp;D876,""EPS"")"),9.33)</f>
        <v>9.33</v>
      </c>
      <c r="Q876" s="7">
        <v>13.5</v>
      </c>
      <c r="R876" s="7" t="str">
        <f ca="1">IFERROR(__xludf.DUMMYFUNCTION("IMPORTXML(E876,""/html/body/main/div[3]/div[3]/div[2]/ul/li[7]/span[2]/span"")"),"Loading...")</f>
        <v>Loading...</v>
      </c>
      <c r="S876" s="7" t="str">
        <f ca="1">IFERROR(__xludf.DUMMYFUNCTION("IMPORTXML(E876,""/html/body/main/div[3]/div[3]/div[2]/ul/li[8]/span[2]/span"")"),"Loading...")</f>
        <v>Loading...</v>
      </c>
      <c r="T876" s="4">
        <v>34.6</v>
      </c>
      <c r="U876" s="4">
        <v>22.7</v>
      </c>
      <c r="V876" s="4">
        <v>2.6</v>
      </c>
      <c r="W876" s="4">
        <v>5.7</v>
      </c>
      <c r="X876" s="4">
        <v>519.92999999999995</v>
      </c>
      <c r="Y876" s="7">
        <f t="shared" ca="1" si="19"/>
        <v>-265.92999999999995</v>
      </c>
    </row>
    <row r="877" spans="1:25" ht="15" x14ac:dyDescent="0.25">
      <c r="A877" s="4">
        <v>352</v>
      </c>
      <c r="C877" s="12" t="s">
        <v>2296</v>
      </c>
      <c r="D877" s="12" t="s">
        <v>2297</v>
      </c>
      <c r="E877" s="5" t="str">
        <f t="shared" si="15"/>
        <v>https://www.screener.in/company/GRWRHITECH/consolidated/</v>
      </c>
      <c r="F877" s="4">
        <v>443059</v>
      </c>
      <c r="G877" s="4">
        <v>3832241897</v>
      </c>
      <c r="H877" s="6">
        <f t="shared" ca="1" si="16"/>
        <v>1084562.77926997</v>
      </c>
      <c r="I877" s="7" t="str">
        <f ca="1">IFERROR(__xludf.DUMMYFUNCTION("IMPORTXML(E877,""/html/body/main/div[3]/div[3]/div[2]/ul/li[5]/span[2]/span"")"),"Loading...")</f>
        <v>Loading...</v>
      </c>
      <c r="J877" s="7">
        <f ca="1">IFERROR(__xludf.DUMMYFUNCTION("GOOGLEFINANCE(""NSE:""&amp;D877,""marketcap"")"),65749989207)</f>
        <v>65749989207</v>
      </c>
      <c r="K877" s="7">
        <v>992.8</v>
      </c>
      <c r="L877" s="8">
        <f ca="1">IFERROR(__xludf.DUMMYFUNCTION("GOOGLEFINANCE(""NSE:""&amp;D877,""price"")"),2830.1)</f>
        <v>2830.1</v>
      </c>
      <c r="M877" s="9">
        <f t="shared" ca="1" si="17"/>
        <v>1837.3</v>
      </c>
      <c r="N877" s="10">
        <f t="shared" ca="1" si="18"/>
        <v>185.06244963738919</v>
      </c>
      <c r="O877" s="7">
        <f ca="1">IFERROR(__xludf.DUMMYFUNCTION("GOOGLEFINANCE(""NSE:""&amp;D877,""pe"")"),20.18)</f>
        <v>20.18</v>
      </c>
      <c r="P877" s="7">
        <f ca="1">IFERROR(__xludf.DUMMYFUNCTION("GOOGLEFINANCE(""NSE:""&amp;D877,""EPS"")"),140.27)</f>
        <v>140.27000000000001</v>
      </c>
      <c r="Q877" s="7">
        <v>13.5</v>
      </c>
      <c r="R877" s="7" t="str">
        <f ca="1">IFERROR(__xludf.DUMMYFUNCTION("IMPORTXML(E877,""/html/body/main/div[3]/div[3]/div[2]/ul/li[7]/span[2]/span"")"),"Loading...")</f>
        <v>Loading...</v>
      </c>
      <c r="S877" s="7" t="str">
        <f ca="1">IFERROR(__xludf.DUMMYFUNCTION("IMPORTXML(E877,""/html/body/main/div[3]/div[3]/div[2]/ul/li[8]/span[2]/span"")"),"Loading...")</f>
        <v>Loading...</v>
      </c>
      <c r="T877" s="4">
        <v>34.6</v>
      </c>
      <c r="U877" s="4">
        <v>22.7</v>
      </c>
      <c r="V877" s="4">
        <v>2.6</v>
      </c>
      <c r="W877" s="4">
        <v>5.7</v>
      </c>
      <c r="X877" s="4">
        <v>519.92999999999995</v>
      </c>
      <c r="Y877" s="7">
        <f t="shared" ca="1" si="19"/>
        <v>2310.17</v>
      </c>
    </row>
    <row r="878" spans="1:25" ht="15" x14ac:dyDescent="0.25">
      <c r="A878" s="4">
        <v>863</v>
      </c>
      <c r="C878" s="12" t="s">
        <v>2298</v>
      </c>
      <c r="D878" s="12" t="s">
        <v>2299</v>
      </c>
      <c r="E878" s="5" t="str">
        <f t="shared" si="15"/>
        <v>https://www.screener.in/company/APCOTEXIND/consolidated/</v>
      </c>
      <c r="F878" s="4">
        <v>443059</v>
      </c>
      <c r="G878" s="4">
        <v>3832241897</v>
      </c>
      <c r="H878" s="6">
        <f t="shared" ca="1" si="16"/>
        <v>153174.70862309</v>
      </c>
      <c r="I878" s="7" t="str">
        <f ca="1">IFERROR(__xludf.DUMMYFUNCTION("IMPORTXML(E878,""/html/body/main/div[3]/div[3]/div[2]/ul/li[5]/span[2]/span"")"),"Loading...")</f>
        <v>Loading...</v>
      </c>
      <c r="J878" s="7">
        <f ca="1">IFERROR(__xludf.DUMMYFUNCTION("GOOGLEFINANCE(""NSE:""&amp;D878,""marketcap"")"),20753573580)</f>
        <v>20753573580</v>
      </c>
      <c r="K878" s="7">
        <v>992.8</v>
      </c>
      <c r="L878" s="8">
        <f ca="1">IFERROR(__xludf.DUMMYFUNCTION("GOOGLEFINANCE(""NSE:""&amp;D878,""price"")"),399.7)</f>
        <v>399.7</v>
      </c>
      <c r="M878" s="9">
        <f t="shared" ca="1" si="17"/>
        <v>-593.09999999999991</v>
      </c>
      <c r="N878" s="10">
        <f t="shared" ca="1" si="18"/>
        <v>-59.740128928283632</v>
      </c>
      <c r="O878" s="7">
        <f ca="1">IFERROR(__xludf.DUMMYFUNCTION("GOOGLEFINANCE(""NSE:""&amp;D878,""pe"")"),35.48)</f>
        <v>35.479999999999997</v>
      </c>
      <c r="P878" s="7">
        <f ca="1">IFERROR(__xludf.DUMMYFUNCTION("GOOGLEFINANCE(""NSE:""&amp;D878,""EPS"")"),11.27)</f>
        <v>11.27</v>
      </c>
      <c r="Q878" s="7">
        <v>13.5</v>
      </c>
      <c r="R878" s="7" t="str">
        <f ca="1">IFERROR(__xludf.DUMMYFUNCTION("IMPORTXML(E878,""/html/body/main/div[3]/div[3]/div[2]/ul/li[7]/span[2]/span"")"),"Loading...")</f>
        <v>Loading...</v>
      </c>
      <c r="S878" s="7" t="str">
        <f ca="1">IFERROR(__xludf.DUMMYFUNCTION("IMPORTXML(E878,""/html/body/main/div[3]/div[3]/div[2]/ul/li[8]/span[2]/span"")"),"Loading...")</f>
        <v>Loading...</v>
      </c>
      <c r="T878" s="4">
        <v>34.6</v>
      </c>
      <c r="U878" s="4">
        <v>22.7</v>
      </c>
      <c r="V878" s="4">
        <v>2.6</v>
      </c>
      <c r="W878" s="4">
        <v>5.7</v>
      </c>
      <c r="X878" s="4">
        <v>519.92999999999995</v>
      </c>
      <c r="Y878" s="7">
        <f t="shared" ca="1" si="19"/>
        <v>-120.22999999999996</v>
      </c>
    </row>
    <row r="879" spans="1:25" ht="15" x14ac:dyDescent="0.25">
      <c r="A879" s="4">
        <v>1803</v>
      </c>
      <c r="C879" s="12" t="s">
        <v>2300</v>
      </c>
      <c r="D879" s="12" t="s">
        <v>2301</v>
      </c>
      <c r="E879" s="5" t="str">
        <f t="shared" si="15"/>
        <v>https://www.screener.in/company/SURANAT&amp;P/consolidated/</v>
      </c>
      <c r="F879" s="4">
        <v>443059</v>
      </c>
      <c r="G879" s="4">
        <v>3832241897</v>
      </c>
      <c r="H879" s="6">
        <f t="shared" ca="1" si="16"/>
        <v>9266.3609069459999</v>
      </c>
      <c r="I879" s="7" t="str">
        <f ca="1">IFERROR(__xludf.DUMMYFUNCTION("IMPORTXML(E879,""/html/body/main/div[3]/div[3]/div[2]/ul/li[5]/span[2]/span"")"),"Loading...")</f>
        <v>Loading...</v>
      </c>
      <c r="J879" s="7">
        <f ca="1">IFERROR(__xludf.DUMMYFUNCTION("GOOGLEFINANCE(""NSE:""&amp;D879,""marketcap"")"),3301682000)</f>
        <v>3301682000</v>
      </c>
      <c r="K879" s="7">
        <v>992.8</v>
      </c>
      <c r="L879" s="8">
        <f ca="1">IFERROR(__xludf.DUMMYFUNCTION("GOOGLEFINANCE(""NSE:""&amp;D879,""price"")"),24.18)</f>
        <v>24.18</v>
      </c>
      <c r="M879" s="9">
        <f t="shared" ca="1" si="17"/>
        <v>-968.62</v>
      </c>
      <c r="N879" s="10">
        <f t="shared" ca="1" si="18"/>
        <v>-97.564464141821119</v>
      </c>
      <c r="O879" s="7">
        <f ca="1">IFERROR(__xludf.DUMMYFUNCTION("GOOGLEFINANCE(""NSE:""&amp;D879,""pe"")"),13.58)</f>
        <v>13.58</v>
      </c>
      <c r="P879" s="7">
        <f ca="1">IFERROR(__xludf.DUMMYFUNCTION("GOOGLEFINANCE(""NSE:""&amp;D879,""EPS"")"),1.78)</f>
        <v>1.78</v>
      </c>
      <c r="Q879" s="7">
        <v>13.5</v>
      </c>
      <c r="R879" s="7" t="str">
        <f ca="1">IFERROR(__xludf.DUMMYFUNCTION("IMPORTXML(E879,""/html/body/main/div[3]/div[3]/div[2]/ul/li[7]/span[2]/span"")"),"Loading...")</f>
        <v>Loading...</v>
      </c>
      <c r="S879" s="7" t="str">
        <f ca="1">IFERROR(__xludf.DUMMYFUNCTION("IMPORTXML(E879,""/html/body/main/div[3]/div[3]/div[2]/ul/li[8]/span[2]/span"")"),"Loading...")</f>
        <v>Loading...</v>
      </c>
      <c r="T879" s="4">
        <v>34.6</v>
      </c>
      <c r="U879" s="4">
        <v>22.7</v>
      </c>
      <c r="V879" s="4">
        <v>2.6</v>
      </c>
      <c r="W879" s="4">
        <v>5.7</v>
      </c>
      <c r="X879" s="4">
        <v>519.92999999999995</v>
      </c>
      <c r="Y879" s="7">
        <f t="shared" ca="1" si="19"/>
        <v>-495.74999999999994</v>
      </c>
    </row>
    <row r="880" spans="1:25" ht="15" x14ac:dyDescent="0.25">
      <c r="A880" s="4">
        <v>446</v>
      </c>
      <c r="C880" s="12" t="s">
        <v>2302</v>
      </c>
      <c r="D880" s="12" t="s">
        <v>2303</v>
      </c>
      <c r="E880" s="5" t="str">
        <f t="shared" si="15"/>
        <v>https://www.screener.in/company/RALLIS/consolidated/</v>
      </c>
      <c r="F880" s="4">
        <v>443059</v>
      </c>
      <c r="G880" s="4">
        <v>3832241897</v>
      </c>
      <c r="H880" s="6">
        <f t="shared" ca="1" si="16"/>
        <v>138305.61006272997</v>
      </c>
      <c r="I880" s="7" t="str">
        <f ca="1">IFERROR(__xludf.DUMMYFUNCTION("IMPORTXML(E880,""/html/body/main/div[3]/div[3]/div[2]/ul/li[5]/span[2]/span"")"),"Loading...")</f>
        <v>Loading...</v>
      </c>
      <c r="J880" s="7">
        <f ca="1">IFERROR(__xludf.DUMMYFUNCTION("GOOGLEFINANCE(""NSE:""&amp;D880,""marketcap"")"),69464290000)</f>
        <v>69464290000</v>
      </c>
      <c r="K880" s="7">
        <v>992.8</v>
      </c>
      <c r="L880" s="8">
        <f ca="1">IFERROR(__xludf.DUMMYFUNCTION("GOOGLEFINANCE(""NSE:""&amp;D880,""price"")"),360.9)</f>
        <v>360.9</v>
      </c>
      <c r="M880" s="9">
        <f t="shared" ca="1" si="17"/>
        <v>-631.9</v>
      </c>
      <c r="N880" s="10">
        <f t="shared" ca="1" si="18"/>
        <v>-63.648267526188562</v>
      </c>
      <c r="O880" s="7">
        <f ca="1">IFERROR(__xludf.DUMMYFUNCTION("GOOGLEFINANCE(""NSE:""&amp;D880,""pe"")"),40.78)</f>
        <v>40.78</v>
      </c>
      <c r="P880" s="7">
        <f ca="1">IFERROR(__xludf.DUMMYFUNCTION("GOOGLEFINANCE(""NSE:""&amp;D880,""EPS"")"),8.85)</f>
        <v>8.85</v>
      </c>
      <c r="Q880" s="7">
        <v>13.5</v>
      </c>
      <c r="R880" s="7" t="str">
        <f ca="1">IFERROR(__xludf.DUMMYFUNCTION("IMPORTXML(E880,""/html/body/main/div[3]/div[3]/div[2]/ul/li[7]/span[2]/span"")"),"Loading...")</f>
        <v>Loading...</v>
      </c>
      <c r="S880" s="7" t="str">
        <f ca="1">IFERROR(__xludf.DUMMYFUNCTION("IMPORTXML(E880,""/html/body/main/div[3]/div[3]/div[2]/ul/li[8]/span[2]/span"")"),"Loading...")</f>
        <v>Loading...</v>
      </c>
      <c r="T880" s="4">
        <v>34.6</v>
      </c>
      <c r="U880" s="4">
        <v>22.7</v>
      </c>
      <c r="V880" s="4">
        <v>2.6</v>
      </c>
      <c r="W880" s="4">
        <v>5.7</v>
      </c>
      <c r="X880" s="4">
        <v>519.92999999999995</v>
      </c>
      <c r="Y880" s="7">
        <f t="shared" ca="1" si="19"/>
        <v>-159.02999999999997</v>
      </c>
    </row>
    <row r="881" spans="1:25" ht="15" x14ac:dyDescent="0.25">
      <c r="A881" s="4">
        <v>66</v>
      </c>
      <c r="C881" s="12" t="s">
        <v>2304</v>
      </c>
      <c r="D881" s="12" t="s">
        <v>2305</v>
      </c>
      <c r="E881" s="5" t="str">
        <f t="shared" si="15"/>
        <v>https://www.screener.in/company/IGIL/consolidated/</v>
      </c>
      <c r="F881" s="4">
        <v>443059</v>
      </c>
      <c r="G881" s="4">
        <v>3832241897</v>
      </c>
      <c r="H881" s="6">
        <f t="shared" ca="1" si="16"/>
        <v>133553.63011045</v>
      </c>
      <c r="I881" s="7" t="str">
        <f ca="1">IFERROR(__xludf.DUMMYFUNCTION("IMPORTXML(E881,""/html/body/main/div[3]/div[3]/div[2]/ul/li[5]/span[2]/span"")"),"Loading...")</f>
        <v>Loading...</v>
      </c>
      <c r="J881" s="7">
        <f ca="1">IFERROR(__xludf.DUMMYFUNCTION("GOOGLEFINANCE(""NSE:""&amp;D881,""marketcap"")"),150607585750)</f>
        <v>150607585750</v>
      </c>
      <c r="K881" s="7">
        <v>992.8</v>
      </c>
      <c r="L881" s="8">
        <f ca="1">IFERROR(__xludf.DUMMYFUNCTION("GOOGLEFINANCE(""NSE:""&amp;D881,""price"")"),348.5)</f>
        <v>348.5</v>
      </c>
      <c r="M881" s="9">
        <f t="shared" ca="1" si="17"/>
        <v>-644.29999999999995</v>
      </c>
      <c r="N881" s="10">
        <f t="shared" ca="1" si="18"/>
        <v>-64.897260273972606</v>
      </c>
      <c r="O881" s="7">
        <f ca="1">IFERROR(__xludf.DUMMYFUNCTION("GOOGLEFINANCE(""NSE:""&amp;D881,""pe"")"),30.57)</f>
        <v>30.57</v>
      </c>
      <c r="P881" s="7">
        <f ca="1">IFERROR(__xludf.DUMMYFUNCTION("GOOGLEFINANCE(""NSE:""&amp;D881,""EPS"")"),11.4)</f>
        <v>11.4</v>
      </c>
      <c r="Q881" s="7">
        <v>13.5</v>
      </c>
      <c r="R881" s="7" t="str">
        <f ca="1">IFERROR(__xludf.DUMMYFUNCTION("IMPORTXML(E881,""/html/body/main/div[3]/div[3]/div[2]/ul/li[7]/span[2]/span"")"),"Loading...")</f>
        <v>Loading...</v>
      </c>
      <c r="S881" s="7" t="str">
        <f ca="1">IFERROR(__xludf.DUMMYFUNCTION("IMPORTXML(E881,""/html/body/main/div[3]/div[3]/div[2]/ul/li[8]/span[2]/span"")"),"Loading...")</f>
        <v>Loading...</v>
      </c>
      <c r="T881" s="4">
        <v>34.6</v>
      </c>
      <c r="U881" s="4">
        <v>22.7</v>
      </c>
      <c r="V881" s="4">
        <v>2.6</v>
      </c>
      <c r="W881" s="4">
        <v>5.7</v>
      </c>
      <c r="X881" s="4">
        <v>519.92999999999995</v>
      </c>
      <c r="Y881" s="7">
        <f t="shared" ca="1" si="19"/>
        <v>-171.42999999999995</v>
      </c>
    </row>
    <row r="882" spans="1:25" ht="15" x14ac:dyDescent="0.25">
      <c r="A882" s="4">
        <v>722</v>
      </c>
      <c r="C882" s="12" t="s">
        <v>2306</v>
      </c>
      <c r="D882" s="12" t="s">
        <v>2307</v>
      </c>
      <c r="E882" s="5" t="str">
        <f t="shared" si="15"/>
        <v>https://www.screener.in/company/FOSECOIND/consolidated/</v>
      </c>
      <c r="F882" s="4">
        <v>443059</v>
      </c>
      <c r="G882" s="4">
        <v>3832241897</v>
      </c>
      <c r="H882" s="6">
        <f t="shared" ca="1" si="16"/>
        <v>2469879.9026164999</v>
      </c>
      <c r="I882" s="7" t="str">
        <f ca="1">IFERROR(__xludf.DUMMYFUNCTION("IMPORTXML(E882,""/html/body/main/div[3]/div[3]/div[2]/ul/li[5]/span[2]/span"")"),"#N/A")</f>
        <v>#N/A</v>
      </c>
      <c r="J882" s="7">
        <f ca="1">IFERROR(__xludf.DUMMYFUNCTION("GOOGLEFINANCE(""NSE:""&amp;D882,""marketcap"")"),41160728255)</f>
        <v>41160728255</v>
      </c>
      <c r="K882" s="7">
        <v>992.8</v>
      </c>
      <c r="L882" s="8">
        <f ca="1">IFERROR(__xludf.DUMMYFUNCTION("GOOGLEFINANCE(""NSE:""&amp;D882,""price"")"),6445)</f>
        <v>6445</v>
      </c>
      <c r="M882" s="9">
        <f t="shared" ca="1" si="17"/>
        <v>5452.2</v>
      </c>
      <c r="N882" s="10">
        <f t="shared" ca="1" si="18"/>
        <v>549.17405318291696</v>
      </c>
      <c r="O882" s="7">
        <f ca="1">IFERROR(__xludf.DUMMYFUNCTION("GOOGLEFINANCE(""NSE:""&amp;D882,""pe"")"),50.27)</f>
        <v>50.27</v>
      </c>
      <c r="P882" s="7">
        <f ca="1">IFERROR(__xludf.DUMMYFUNCTION("GOOGLEFINANCE(""NSE:""&amp;D882,""EPS"")"),128.21)</f>
        <v>128.21</v>
      </c>
      <c r="Q882" s="7">
        <v>13.5</v>
      </c>
      <c r="R882" s="7" t="str">
        <f ca="1">IFERROR(__xludf.DUMMYFUNCTION("IMPORTXML(E882,""/html/body/main/div[3]/div[3]/div[2]/ul/li[7]/span[2]/span"")"),"Loading...")</f>
        <v>Loading...</v>
      </c>
      <c r="S882" s="7" t="str">
        <f ca="1">IFERROR(__xludf.DUMMYFUNCTION("IMPORTXML(E882,""/html/body/main/div[3]/div[3]/div[2]/ul/li[8]/span[2]/span"")"),"Loading...")</f>
        <v>Loading...</v>
      </c>
      <c r="T882" s="4">
        <v>34.6</v>
      </c>
      <c r="U882" s="4">
        <v>22.7</v>
      </c>
      <c r="V882" s="4">
        <v>2.6</v>
      </c>
      <c r="W882" s="4">
        <v>5.7</v>
      </c>
      <c r="X882" s="4">
        <v>519.92999999999995</v>
      </c>
      <c r="Y882" s="7">
        <f t="shared" ca="1" si="19"/>
        <v>5925.07</v>
      </c>
    </row>
    <row r="883" spans="1:25" ht="15" x14ac:dyDescent="0.25">
      <c r="A883" s="4">
        <v>350</v>
      </c>
      <c r="C883" s="12" t="s">
        <v>2308</v>
      </c>
      <c r="D883" s="12" t="s">
        <v>2309</v>
      </c>
      <c r="E883" s="5" t="str">
        <f t="shared" si="15"/>
        <v>https://www.screener.in/company/SANSERA/consolidated/</v>
      </c>
      <c r="F883" s="4">
        <v>443059</v>
      </c>
      <c r="G883" s="4">
        <v>3832241897</v>
      </c>
      <c r="H883" s="6">
        <f t="shared" ca="1" si="16"/>
        <v>522334.57056109997</v>
      </c>
      <c r="I883" s="7" t="str">
        <f ca="1">IFERROR(__xludf.DUMMYFUNCTION("IMPORTXML(E883,""/html/body/main/div[3]/div[3]/div[2]/ul/li[5]/span[2]/span"")"),"Loading...")</f>
        <v>Loading...</v>
      </c>
      <c r="J883" s="7">
        <f ca="1">IFERROR(__xludf.DUMMYFUNCTION("GOOGLEFINANCE(""NSE:""&amp;D883,""marketcap"")"),84606390490)</f>
        <v>84606390490</v>
      </c>
      <c r="K883" s="7">
        <v>992.8</v>
      </c>
      <c r="L883" s="8">
        <f ca="1">IFERROR(__xludf.DUMMYFUNCTION("GOOGLEFINANCE(""NSE:""&amp;D883,""price"")"),1363)</f>
        <v>1363</v>
      </c>
      <c r="M883" s="9">
        <f t="shared" ca="1" si="17"/>
        <v>370.20000000000005</v>
      </c>
      <c r="N883" s="10">
        <f t="shared" ca="1" si="18"/>
        <v>37.288477034649482</v>
      </c>
      <c r="O883" s="7">
        <f ca="1">IFERROR(__xludf.DUMMYFUNCTION("GOOGLEFINANCE(""NSE:""&amp;D883,""pe"")"),35.8)</f>
        <v>35.799999999999997</v>
      </c>
      <c r="P883" s="7">
        <f ca="1">IFERROR(__xludf.DUMMYFUNCTION("GOOGLEFINANCE(""NSE:""&amp;D883,""EPS"")"),38.07)</f>
        <v>38.07</v>
      </c>
      <c r="Q883" s="7">
        <v>13.5</v>
      </c>
      <c r="R883" s="7" t="str">
        <f ca="1">IFERROR(__xludf.DUMMYFUNCTION("IMPORTXML(E883,""/html/body/main/div[3]/div[3]/div[2]/ul/li[7]/span[2]/span"")"),"Loading...")</f>
        <v>Loading...</v>
      </c>
      <c r="S883" s="7" t="str">
        <f ca="1">IFERROR(__xludf.DUMMYFUNCTION("IMPORTXML(E883,""/html/body/main/div[3]/div[3]/div[2]/ul/li[8]/span[2]/span"")"),"Loading...")</f>
        <v>Loading...</v>
      </c>
      <c r="T883" s="4">
        <v>34.6</v>
      </c>
      <c r="U883" s="4">
        <v>22.7</v>
      </c>
      <c r="V883" s="4">
        <v>2.6</v>
      </c>
      <c r="W883" s="4">
        <v>5.7</v>
      </c>
      <c r="X883" s="4">
        <v>519.92999999999995</v>
      </c>
      <c r="Y883" s="7">
        <f t="shared" ca="1" si="19"/>
        <v>843.07</v>
      </c>
    </row>
    <row r="884" spans="1:25" ht="15" x14ac:dyDescent="0.25">
      <c r="A884" s="4">
        <v>1443</v>
      </c>
      <c r="C884" s="12" t="s">
        <v>2310</v>
      </c>
      <c r="D884" s="12" t="s">
        <v>2311</v>
      </c>
      <c r="E884" s="5" t="str">
        <f t="shared" si="15"/>
        <v>https://www.screener.in/company/DICIND/consolidated/</v>
      </c>
      <c r="F884" s="4">
        <v>443059</v>
      </c>
      <c r="G884" s="4">
        <v>3832241897</v>
      </c>
      <c r="H884" s="6">
        <f t="shared" ca="1" si="16"/>
        <v>223419.70259510001</v>
      </c>
      <c r="I884" s="7" t="str">
        <f ca="1">IFERROR(__xludf.DUMMYFUNCTION("IMPORTXML(E884,""/html/body/main/div[3]/div[3]/div[2]/ul/li[5]/span[2]/span"")"),"Loading...")</f>
        <v>Loading...</v>
      </c>
      <c r="J884" s="7">
        <f ca="1">IFERROR(__xludf.DUMMYFUNCTION("GOOGLEFINANCE(""NSE:""&amp;D884,""marketcap"")"),5257624907)</f>
        <v>5257624907</v>
      </c>
      <c r="K884" s="7">
        <v>992.8</v>
      </c>
      <c r="L884" s="8">
        <f ca="1">IFERROR(__xludf.DUMMYFUNCTION("GOOGLEFINANCE(""NSE:""&amp;D884,""price"")"),583)</f>
        <v>583</v>
      </c>
      <c r="M884" s="9">
        <f t="shared" ca="1" si="17"/>
        <v>-409.79999999999995</v>
      </c>
      <c r="N884" s="10">
        <f t="shared" ca="1" si="18"/>
        <v>-41.277195809830779</v>
      </c>
      <c r="O884" s="7">
        <f ca="1">IFERROR(__xludf.DUMMYFUNCTION("GOOGLEFINANCE(""NSE:""&amp;D884,""pe"")"),29.86)</f>
        <v>29.86</v>
      </c>
      <c r="P884" s="7">
        <f ca="1">IFERROR(__xludf.DUMMYFUNCTION("GOOGLEFINANCE(""NSE:""&amp;D884,""EPS"")"),19.53)</f>
        <v>19.53</v>
      </c>
      <c r="Q884" s="7">
        <v>13.5</v>
      </c>
      <c r="R884" s="7" t="str">
        <f ca="1">IFERROR(__xludf.DUMMYFUNCTION("IMPORTXML(E884,""/html/body/main/div[3]/div[3]/div[2]/ul/li[7]/span[2]/span"")"),"Loading...")</f>
        <v>Loading...</v>
      </c>
      <c r="S884" s="7" t="str">
        <f ca="1">IFERROR(__xludf.DUMMYFUNCTION("IMPORTXML(E884,""/html/body/main/div[3]/div[3]/div[2]/ul/li[8]/span[2]/span"")"),"Loading...")</f>
        <v>Loading...</v>
      </c>
      <c r="T884" s="4">
        <v>34.6</v>
      </c>
      <c r="U884" s="4">
        <v>22.7</v>
      </c>
      <c r="V884" s="4">
        <v>2.6</v>
      </c>
      <c r="W884" s="4">
        <v>5.7</v>
      </c>
      <c r="X884" s="4">
        <v>519.92999999999995</v>
      </c>
      <c r="Y884" s="7">
        <f t="shared" ca="1" si="19"/>
        <v>63.07000000000005</v>
      </c>
    </row>
    <row r="885" spans="1:25" ht="15" x14ac:dyDescent="0.25">
      <c r="A885" s="4">
        <v>526</v>
      </c>
      <c r="C885" s="12" t="s">
        <v>2312</v>
      </c>
      <c r="D885" s="12" t="s">
        <v>2313</v>
      </c>
      <c r="E885" s="5" t="str">
        <f t="shared" si="15"/>
        <v>https://www.screener.in/company/WONDERLA/consolidated/</v>
      </c>
      <c r="F885" s="4">
        <v>443059</v>
      </c>
      <c r="G885" s="4">
        <v>3832241897</v>
      </c>
      <c r="H885" s="6">
        <f t="shared" ca="1" si="16"/>
        <v>247601.14896517002</v>
      </c>
      <c r="I885" s="7" t="str">
        <f ca="1">IFERROR(__xludf.DUMMYFUNCTION("IMPORTXML(E885,""/html/body/main/div[3]/div[3]/div[2]/ul/li[5]/span[2]/span"")"),"Loading...")</f>
        <v>Loading...</v>
      </c>
      <c r="J885" s="7">
        <f ca="1">IFERROR(__xludf.DUMMYFUNCTION("GOOGLEFINANCE(""NSE:""&amp;D885,""marketcap"")"),41048950000)</f>
        <v>41048950000</v>
      </c>
      <c r="K885" s="7">
        <v>992.8</v>
      </c>
      <c r="L885" s="8">
        <f ca="1">IFERROR(__xludf.DUMMYFUNCTION("GOOGLEFINANCE(""NSE:""&amp;D885,""price"")"),646.1)</f>
        <v>646.1</v>
      </c>
      <c r="M885" s="9">
        <f t="shared" ca="1" si="17"/>
        <v>-346.69999999999993</v>
      </c>
      <c r="N885" s="10">
        <f t="shared" ca="1" si="18"/>
        <v>-34.921434327155517</v>
      </c>
      <c r="O885" s="7">
        <f ca="1">IFERROR(__xludf.DUMMYFUNCTION("GOOGLEFINANCE(""NSE:""&amp;D885,""pe"")"),40.28)</f>
        <v>40.28</v>
      </c>
      <c r="P885" s="7">
        <f ca="1">IFERROR(__xludf.DUMMYFUNCTION("GOOGLEFINANCE(""NSE:""&amp;D885,""EPS"")"),16.04)</f>
        <v>16.04</v>
      </c>
      <c r="Q885" s="7">
        <v>13.5</v>
      </c>
      <c r="R885" s="7" t="str">
        <f ca="1">IFERROR(__xludf.DUMMYFUNCTION("IMPORTXML(E885,""/html/body/main/div[3]/div[3]/div[2]/ul/li[7]/span[2]/span"")"),"Loading...")</f>
        <v>Loading...</v>
      </c>
      <c r="S885" s="7" t="str">
        <f ca="1">IFERROR(__xludf.DUMMYFUNCTION("IMPORTXML(E885,""/html/body/main/div[3]/div[3]/div[2]/ul/li[8]/span[2]/span"")"),"Loading...")</f>
        <v>Loading...</v>
      </c>
      <c r="T885" s="4">
        <v>34.6</v>
      </c>
      <c r="U885" s="4">
        <v>22.7</v>
      </c>
      <c r="V885" s="4">
        <v>2.6</v>
      </c>
      <c r="W885" s="4">
        <v>5.7</v>
      </c>
      <c r="X885" s="4">
        <v>519.92999999999995</v>
      </c>
      <c r="Y885" s="7">
        <f t="shared" ca="1" si="19"/>
        <v>126.17000000000007</v>
      </c>
    </row>
    <row r="886" spans="1:25" ht="15" x14ac:dyDescent="0.25">
      <c r="A886" s="4">
        <v>267</v>
      </c>
      <c r="C886" s="12" t="s">
        <v>2314</v>
      </c>
      <c r="D886" s="12" t="s">
        <v>2315</v>
      </c>
      <c r="E886" s="5" t="str">
        <f t="shared" si="15"/>
        <v>https://www.screener.in/company/VESUVIUS/consolidated/</v>
      </c>
      <c r="F886" s="4">
        <v>443059</v>
      </c>
      <c r="G886" s="4">
        <v>3832241897</v>
      </c>
      <c r="H886" s="6">
        <f t="shared" ca="1" si="16"/>
        <v>196958.07229631502</v>
      </c>
      <c r="I886" s="7" t="str">
        <f ca="1">IFERROR(__xludf.DUMMYFUNCTION("IMPORTXML(E886,""/html/body/main/div[3]/div[3]/div[2]/ul/li[5]/span[2]/span"")"),"Loading...")</f>
        <v>Loading...</v>
      </c>
      <c r="J886" s="7">
        <f ca="1">IFERROR(__xludf.DUMMYFUNCTION("GOOGLEFINANCE(""NSE:""&amp;D886,""marketcap"")"),104311654242)</f>
        <v>104311654242</v>
      </c>
      <c r="K886" s="7">
        <v>992.8</v>
      </c>
      <c r="L886" s="8">
        <f ca="1">IFERROR(__xludf.DUMMYFUNCTION("GOOGLEFINANCE(""NSE:""&amp;D886,""price"")"),513.95)</f>
        <v>513.95000000000005</v>
      </c>
      <c r="M886" s="9">
        <f t="shared" ca="1" si="17"/>
        <v>-478.84999999999991</v>
      </c>
      <c r="N886" s="10">
        <f t="shared" ca="1" si="18"/>
        <v>-48.23227236099919</v>
      </c>
      <c r="O886" s="7">
        <f ca="1">IFERROR(__xludf.DUMMYFUNCTION("GOOGLEFINANCE(""NSE:""&amp;D886,""pe"")"),40.9)</f>
        <v>40.9</v>
      </c>
      <c r="P886" s="7">
        <f ca="1">IFERROR(__xludf.DUMMYFUNCTION("GOOGLEFINANCE(""NSE:""&amp;D886,""EPS"")"),12.57)</f>
        <v>12.57</v>
      </c>
      <c r="Q886" s="7">
        <v>13.5</v>
      </c>
      <c r="R886" s="7" t="str">
        <f ca="1">IFERROR(__xludf.DUMMYFUNCTION("IMPORTXML(E886,""/html/body/main/div[3]/div[3]/div[2]/ul/li[7]/span[2]/span"")"),"Loading...")</f>
        <v>Loading...</v>
      </c>
      <c r="S886" s="7" t="str">
        <f ca="1">IFERROR(__xludf.DUMMYFUNCTION("IMPORTXML(E886,""/html/body/main/div[3]/div[3]/div[2]/ul/li[8]/span[2]/span"")"),"Loading...")</f>
        <v>Loading...</v>
      </c>
      <c r="T886" s="4">
        <v>34.6</v>
      </c>
      <c r="U886" s="4">
        <v>22.7</v>
      </c>
      <c r="V886" s="4">
        <v>2.6</v>
      </c>
      <c r="W886" s="4">
        <v>5.7</v>
      </c>
      <c r="X886" s="4">
        <v>519.92999999999995</v>
      </c>
      <c r="Y886" s="7">
        <f t="shared" ca="1" si="19"/>
        <v>-5.9799999999999045</v>
      </c>
    </row>
    <row r="887" spans="1:25" ht="15" x14ac:dyDescent="0.25">
      <c r="A887" s="4">
        <v>766</v>
      </c>
      <c r="C887" s="12" t="s">
        <v>2316</v>
      </c>
      <c r="D887" s="12" t="s">
        <v>2317</v>
      </c>
      <c r="E887" s="5" t="str">
        <f t="shared" si="15"/>
        <v>https://www.screener.in/company/KRSNAA/consolidated/</v>
      </c>
      <c r="F887" s="4">
        <v>443059</v>
      </c>
      <c r="G887" s="4">
        <v>3832241897</v>
      </c>
      <c r="H887" s="6">
        <f t="shared" ca="1" si="16"/>
        <v>324016.05239134998</v>
      </c>
      <c r="I887" s="7" t="str">
        <f ca="1">IFERROR(__xludf.DUMMYFUNCTION("IMPORTXML(E887,""/html/body/main/div[3]/div[3]/div[2]/ul/li[5]/span[2]/span"")"),"Loading...")</f>
        <v>Loading...</v>
      </c>
      <c r="J887" s="7">
        <f ca="1">IFERROR(__xludf.DUMMYFUNCTION("GOOGLEFINANCE(""NSE:""&amp;D887,""marketcap"")"),27426895485)</f>
        <v>27426895485</v>
      </c>
      <c r="K887" s="7">
        <v>992.8</v>
      </c>
      <c r="L887" s="8">
        <f ca="1">IFERROR(__xludf.DUMMYFUNCTION("GOOGLEFINANCE(""NSE:""&amp;D887,""price"")"),845.5)</f>
        <v>845.5</v>
      </c>
      <c r="M887" s="9">
        <f t="shared" ca="1" si="17"/>
        <v>-147.29999999999995</v>
      </c>
      <c r="N887" s="10">
        <f t="shared" ca="1" si="18"/>
        <v>-14.836825141015305</v>
      </c>
      <c r="O887" s="7">
        <f ca="1">IFERROR(__xludf.DUMMYFUNCTION("GOOGLEFINANCE(""NSE:""&amp;D887,""pe"")"),34.75)</f>
        <v>34.75</v>
      </c>
      <c r="P887" s="7">
        <f ca="1">IFERROR(__xludf.DUMMYFUNCTION("GOOGLEFINANCE(""NSE:""&amp;D887,""EPS"")"),24.33)</f>
        <v>24.33</v>
      </c>
      <c r="Q887" s="7">
        <v>13.5</v>
      </c>
      <c r="R887" s="7" t="str">
        <f ca="1">IFERROR(__xludf.DUMMYFUNCTION("IMPORTXML(E887,""/html/body/main/div[3]/div[3]/div[2]/ul/li[7]/span[2]/span"")"),"Loading...")</f>
        <v>Loading...</v>
      </c>
      <c r="S887" s="7" t="str">
        <f ca="1">IFERROR(__xludf.DUMMYFUNCTION("IMPORTXML(E887,""/html/body/main/div[3]/div[3]/div[2]/ul/li[8]/span[2]/span"")"),"Loading...")</f>
        <v>Loading...</v>
      </c>
      <c r="T887" s="4">
        <v>34.6</v>
      </c>
      <c r="U887" s="4">
        <v>22.7</v>
      </c>
      <c r="V887" s="4">
        <v>2.6</v>
      </c>
      <c r="W887" s="4">
        <v>5.7</v>
      </c>
      <c r="X887" s="4">
        <v>519.92999999999995</v>
      </c>
      <c r="Y887" s="7">
        <f t="shared" ca="1" si="19"/>
        <v>325.57000000000005</v>
      </c>
    </row>
    <row r="888" spans="1:25" ht="15" x14ac:dyDescent="0.25">
      <c r="A888" s="4">
        <v>590</v>
      </c>
      <c r="C888" s="12" t="s">
        <v>2318</v>
      </c>
      <c r="D888" s="12" t="s">
        <v>2319</v>
      </c>
      <c r="E888" s="5" t="str">
        <f t="shared" si="15"/>
        <v>https://www.screener.in/company/VENUSPIPES/consolidated/</v>
      </c>
      <c r="F888" s="4">
        <v>443059</v>
      </c>
      <c r="G888" s="4">
        <v>3832241897</v>
      </c>
      <c r="H888" s="6">
        <f t="shared" ca="1" si="16"/>
        <v>504706.2578349</v>
      </c>
      <c r="I888" s="7" t="str">
        <f ca="1">IFERROR(__xludf.DUMMYFUNCTION("IMPORTXML(E888,""/html/body/main/div[3]/div[3]/div[2]/ul/li[5]/span[2]/span"")"),"Loading...")</f>
        <v>Loading...</v>
      </c>
      <c r="J888" s="7">
        <f ca="1">IFERROR(__xludf.DUMMYFUNCTION("GOOGLEFINANCE(""NSE:""&amp;D888,""marketcap"")"),27153910000)</f>
        <v>27153910000</v>
      </c>
      <c r="K888" s="7">
        <v>992.8</v>
      </c>
      <c r="L888" s="8">
        <f ca="1">IFERROR(__xludf.DUMMYFUNCTION("GOOGLEFINANCE(""NSE:""&amp;D888,""price"")"),1317)</f>
        <v>1317</v>
      </c>
      <c r="M888" s="9">
        <f t="shared" ca="1" si="17"/>
        <v>324.20000000000005</v>
      </c>
      <c r="N888" s="10">
        <f t="shared" ca="1" si="18"/>
        <v>32.655116841257062</v>
      </c>
      <c r="O888" s="7">
        <f ca="1">IFERROR(__xludf.DUMMYFUNCTION("GOOGLEFINANCE(""NSE:""&amp;D888,""pe"")"),29.9)</f>
        <v>29.9</v>
      </c>
      <c r="P888" s="7">
        <f ca="1">IFERROR(__xludf.DUMMYFUNCTION("GOOGLEFINANCE(""NSE:""&amp;D888,""EPS"")"),44.05)</f>
        <v>44.05</v>
      </c>
      <c r="Q888" s="7">
        <v>13.5</v>
      </c>
      <c r="R888" s="7" t="str">
        <f ca="1">IFERROR(__xludf.DUMMYFUNCTION("IMPORTXML(E888,""/html/body/main/div[3]/div[3]/div[2]/ul/li[7]/span[2]/span"")"),"Loading...")</f>
        <v>Loading...</v>
      </c>
      <c r="S888" s="7" t="str">
        <f ca="1">IFERROR(__xludf.DUMMYFUNCTION("IMPORTXML(E888,""/html/body/main/div[3]/div[3]/div[2]/ul/li[8]/span[2]/span"")"),"Loading...")</f>
        <v>Loading...</v>
      </c>
      <c r="T888" s="4">
        <v>34.6</v>
      </c>
      <c r="U888" s="4">
        <v>22.7</v>
      </c>
      <c r="V888" s="4">
        <v>2.6</v>
      </c>
      <c r="W888" s="4">
        <v>5.7</v>
      </c>
      <c r="X888" s="4">
        <v>519.92999999999995</v>
      </c>
      <c r="Y888" s="7">
        <f t="shared" ca="1" si="19"/>
        <v>797.07</v>
      </c>
    </row>
    <row r="889" spans="1:25" ht="15" x14ac:dyDescent="0.25">
      <c r="A889" s="4">
        <v>411</v>
      </c>
      <c r="C889" s="12" t="s">
        <v>2320</v>
      </c>
      <c r="D889" s="12" t="s">
        <v>2321</v>
      </c>
      <c r="E889" s="5" t="str">
        <f t="shared" si="15"/>
        <v>https://www.screener.in/company/BALUFORGE/consolidated/</v>
      </c>
      <c r="F889" s="4">
        <v>443059</v>
      </c>
      <c r="G889" s="4">
        <v>3832241897</v>
      </c>
      <c r="H889" s="6">
        <f t="shared" ca="1" si="16"/>
        <v>253694.4135814</v>
      </c>
      <c r="I889" s="7" t="str">
        <f ca="1">IFERROR(__xludf.DUMMYFUNCTION("IMPORTXML(E889,""/html/body/main/div[3]/div[3]/div[2]/ul/li[5]/span[2]/span"")"),"Loading...")</f>
        <v>Loading...</v>
      </c>
      <c r="J889" s="7">
        <f ca="1">IFERROR(__xludf.DUMMYFUNCTION("GOOGLEFINANCE(""NSE:""&amp;D889,""marketcap"")"),75787520000)</f>
        <v>75787520000</v>
      </c>
      <c r="K889" s="7">
        <v>992.8</v>
      </c>
      <c r="L889" s="8">
        <f ca="1">IFERROR(__xludf.DUMMYFUNCTION("GOOGLEFINANCE(""NSE:""&amp;D889,""price"")"),662)</f>
        <v>662</v>
      </c>
      <c r="M889" s="9">
        <f t="shared" ca="1" si="17"/>
        <v>-330.79999999999995</v>
      </c>
      <c r="N889" s="10">
        <f t="shared" ca="1" si="18"/>
        <v>-33.319903303787264</v>
      </c>
      <c r="O889" s="7">
        <f ca="1">IFERROR(__xludf.DUMMYFUNCTION("GOOGLEFINANCE(""NSE:""&amp;D889,""pe"")"),33.38)</f>
        <v>33.380000000000003</v>
      </c>
      <c r="P889" s="7">
        <f ca="1">IFERROR(__xludf.DUMMYFUNCTION("GOOGLEFINANCE(""NSE:""&amp;D889,""EPS"")"),19.83)</f>
        <v>19.829999999999998</v>
      </c>
      <c r="Q889" s="7">
        <v>13.5</v>
      </c>
      <c r="R889" s="7" t="str">
        <f ca="1">IFERROR(__xludf.DUMMYFUNCTION("IMPORTXML(E889,""/html/body/main/div[3]/div[3]/div[2]/ul/li[7]/span[2]/span"")"),"Loading...")</f>
        <v>Loading...</v>
      </c>
      <c r="S889" s="7" t="str">
        <f ca="1">IFERROR(__xludf.DUMMYFUNCTION("IMPORTXML(E889,""/html/body/main/div[3]/div[3]/div[2]/ul/li[8]/span[2]/span"")"),"Loading...")</f>
        <v>Loading...</v>
      </c>
      <c r="T889" s="4">
        <v>34.6</v>
      </c>
      <c r="U889" s="4">
        <v>22.7</v>
      </c>
      <c r="V889" s="4">
        <v>2.6</v>
      </c>
      <c r="W889" s="4">
        <v>5.7</v>
      </c>
      <c r="X889" s="4">
        <v>519.92999999999995</v>
      </c>
      <c r="Y889" s="7">
        <f t="shared" ca="1" si="19"/>
        <v>142.07000000000005</v>
      </c>
    </row>
    <row r="890" spans="1:25" ht="15" x14ac:dyDescent="0.25">
      <c r="A890" s="4">
        <v>2374</v>
      </c>
      <c r="C890" s="12" t="s">
        <v>2322</v>
      </c>
      <c r="D890" s="12" t="s">
        <v>2323</v>
      </c>
      <c r="E890" s="5" t="str">
        <f t="shared" si="15"/>
        <v>https://www.screener.in/company/BVCL/consolidated/</v>
      </c>
      <c r="F890" s="4">
        <v>443059</v>
      </c>
      <c r="G890" s="4">
        <v>3832241897</v>
      </c>
      <c r="H890" s="6">
        <f t="shared" ca="1" si="16"/>
        <v>21621.508782874003</v>
      </c>
      <c r="I890" s="7" t="str">
        <f ca="1">IFERROR(__xludf.DUMMYFUNCTION("IMPORTXML(E890,""/html/body/main/div[3]/div[3]/div[2]/ul/li[5]/span[2]/span"")"),"Loading...")</f>
        <v>Loading...</v>
      </c>
      <c r="J890" s="7">
        <f ca="1">IFERROR(__xludf.DUMMYFUNCTION("GOOGLEFINANCE(""NSE:""&amp;D890,""marketcap"")"),1250267000)</f>
        <v>1250267000</v>
      </c>
      <c r="K890" s="7">
        <v>992.8</v>
      </c>
      <c r="L890" s="8">
        <f ca="1">IFERROR(__xludf.DUMMYFUNCTION("GOOGLEFINANCE(""NSE:""&amp;D890,""price"")"),56.42)</f>
        <v>56.42</v>
      </c>
      <c r="M890" s="9">
        <f t="shared" ca="1" si="17"/>
        <v>-936.38</v>
      </c>
      <c r="N890" s="10">
        <f t="shared" ca="1" si="18"/>
        <v>-94.317082997582602</v>
      </c>
      <c r="O890" s="7">
        <f ca="1">IFERROR(__xludf.DUMMYFUNCTION("GOOGLEFINANCE(""NSE:""&amp;D890,""pe"")"),37.61)</f>
        <v>37.61</v>
      </c>
      <c r="P890" s="7">
        <f ca="1">IFERROR(__xludf.DUMMYFUNCTION("GOOGLEFINANCE(""NSE:""&amp;D890,""EPS"")"),1.5)</f>
        <v>1.5</v>
      </c>
      <c r="Q890" s="7">
        <v>13.5</v>
      </c>
      <c r="R890" s="7" t="str">
        <f ca="1">IFERROR(__xludf.DUMMYFUNCTION("IMPORTXML(E890,""/html/body/main/div[3]/div[3]/div[2]/ul/li[7]/span[2]/span"")"),"Loading...")</f>
        <v>Loading...</v>
      </c>
      <c r="S890" s="7" t="str">
        <f ca="1">IFERROR(__xludf.DUMMYFUNCTION("IMPORTXML(E890,""/html/body/main/div[3]/div[3]/div[2]/ul/li[8]/span[2]/span"")"),"Loading...")</f>
        <v>Loading...</v>
      </c>
      <c r="T890" s="4">
        <v>34.6</v>
      </c>
      <c r="U890" s="4">
        <v>22.7</v>
      </c>
      <c r="V890" s="4">
        <v>2.6</v>
      </c>
      <c r="W890" s="4">
        <v>5.7</v>
      </c>
      <c r="X890" s="4">
        <v>519.92999999999995</v>
      </c>
      <c r="Y890" s="7">
        <f t="shared" ca="1" si="19"/>
        <v>-463.50999999999993</v>
      </c>
    </row>
    <row r="891" spans="1:25" ht="15" x14ac:dyDescent="0.25">
      <c r="A891" s="4">
        <v>604</v>
      </c>
      <c r="C891" s="12" t="s">
        <v>2324</v>
      </c>
      <c r="D891" s="12" t="s">
        <v>2325</v>
      </c>
      <c r="E891" s="5" t="str">
        <f t="shared" si="15"/>
        <v>https://www.screener.in/company/SULA/consolidated/</v>
      </c>
      <c r="F891" s="4">
        <v>443059</v>
      </c>
      <c r="G891" s="4">
        <v>3832241897</v>
      </c>
      <c r="H891" s="6">
        <f t="shared" ca="1" si="16"/>
        <v>96706.624270795</v>
      </c>
      <c r="I891" s="7" t="str">
        <f ca="1">IFERROR(__xludf.DUMMYFUNCTION("IMPORTXML(E891,""/html/body/main/div[3]/div[3]/div[2]/ul/li[5]/span[2]/span"")"),"Loading...")</f>
        <v>Loading...</v>
      </c>
      <c r="J891" s="7">
        <f ca="1">IFERROR(__xludf.DUMMYFUNCTION("GOOGLEFINANCE(""NSE:""&amp;D891,""marketcap"")"),21227026538)</f>
        <v>21227026538</v>
      </c>
      <c r="K891" s="7">
        <v>992.8</v>
      </c>
      <c r="L891" s="8">
        <f ca="1">IFERROR(__xludf.DUMMYFUNCTION("GOOGLEFINANCE(""NSE:""&amp;D891,""price"")"),252.35)</f>
        <v>252.35</v>
      </c>
      <c r="M891" s="9">
        <f t="shared" ca="1" si="17"/>
        <v>-740.44999999999993</v>
      </c>
      <c r="N891" s="10">
        <f t="shared" ca="1" si="18"/>
        <v>-74.581990330378716</v>
      </c>
      <c r="O891" s="7">
        <f ca="1">IFERROR(__xludf.DUMMYFUNCTION("GOOGLEFINANCE(""NSE:""&amp;D891,""pe"")"),37.01)</f>
        <v>37.01</v>
      </c>
      <c r="P891" s="7">
        <f ca="1">IFERROR(__xludf.DUMMYFUNCTION("GOOGLEFINANCE(""NSE:""&amp;D891,""EPS"")"),6.82)</f>
        <v>6.82</v>
      </c>
      <c r="Q891" s="7">
        <v>13.5</v>
      </c>
      <c r="R891" s="7" t="str">
        <f ca="1">IFERROR(__xludf.DUMMYFUNCTION("IMPORTXML(E891,""/html/body/main/div[3]/div[3]/div[2]/ul/li[7]/span[2]/span"")"),"Loading...")</f>
        <v>Loading...</v>
      </c>
      <c r="S891" s="7" t="str">
        <f ca="1">IFERROR(__xludf.DUMMYFUNCTION("IMPORTXML(E891,""/html/body/main/div[3]/div[3]/div[2]/ul/li[8]/span[2]/span"")"),"Loading...")</f>
        <v>Loading...</v>
      </c>
      <c r="T891" s="4">
        <v>34.6</v>
      </c>
      <c r="U891" s="4">
        <v>22.7</v>
      </c>
      <c r="V891" s="4">
        <v>2.6</v>
      </c>
      <c r="W891" s="4">
        <v>5.7</v>
      </c>
      <c r="X891" s="4">
        <v>519.92999999999995</v>
      </c>
      <c r="Y891" s="7">
        <f t="shared" ca="1" si="19"/>
        <v>-267.57999999999993</v>
      </c>
    </row>
    <row r="892" spans="1:25" ht="15" x14ac:dyDescent="0.25">
      <c r="A892" s="4">
        <v>423</v>
      </c>
      <c r="C892" s="12" t="s">
        <v>2326</v>
      </c>
      <c r="D892" s="12" t="s">
        <v>2327</v>
      </c>
      <c r="E892" s="5" t="str">
        <f t="shared" si="15"/>
        <v>https://www.screener.in/company/GABRIEL/consolidated/</v>
      </c>
      <c r="F892" s="4">
        <v>443059</v>
      </c>
      <c r="G892" s="4">
        <v>3832241897</v>
      </c>
      <c r="H892" s="6">
        <f t="shared" ca="1" si="16"/>
        <v>459869.02763999999</v>
      </c>
      <c r="I892" s="7" t="str">
        <f ca="1">IFERROR(__xludf.DUMMYFUNCTION("IMPORTXML(E892,""/html/body/main/div[3]/div[3]/div[2]/ul/li[5]/span[2]/span"")"),"Loading...")</f>
        <v>Loading...</v>
      </c>
      <c r="J892" s="7">
        <f ca="1">IFERROR(__xludf.DUMMYFUNCTION("GOOGLEFINANCE(""NSE:""&amp;D892,""marketcap"")"),172372680000)</f>
        <v>172372680000</v>
      </c>
      <c r="K892" s="7">
        <v>992.8</v>
      </c>
      <c r="L892" s="8">
        <f ca="1">IFERROR(__xludf.DUMMYFUNCTION("GOOGLEFINANCE(""NSE:""&amp;D892,""price"")"),1200)</f>
        <v>1200</v>
      </c>
      <c r="M892" s="9">
        <f t="shared" ca="1" si="17"/>
        <v>207.20000000000005</v>
      </c>
      <c r="N892" s="10">
        <f t="shared" ca="1" si="18"/>
        <v>20.870265914585019</v>
      </c>
      <c r="O892" s="7">
        <f ca="1">IFERROR(__xludf.DUMMYFUNCTION("GOOGLEFINANCE(""NSE:""&amp;D892,""pe"")"),69.14)</f>
        <v>69.14</v>
      </c>
      <c r="P892" s="7">
        <f ca="1">IFERROR(__xludf.DUMMYFUNCTION("GOOGLEFINANCE(""NSE:""&amp;D892,""EPS"")"),17.36)</f>
        <v>17.36</v>
      </c>
      <c r="Q892" s="7">
        <v>13.5</v>
      </c>
      <c r="R892" s="7" t="str">
        <f ca="1">IFERROR(__xludf.DUMMYFUNCTION("IMPORTXML(E892,""/html/body/main/div[3]/div[3]/div[2]/ul/li[7]/span[2]/span"")"),"Loading...")</f>
        <v>Loading...</v>
      </c>
      <c r="S892" s="7" t="str">
        <f ca="1">IFERROR(__xludf.DUMMYFUNCTION("IMPORTXML(E892,""/html/body/main/div[3]/div[3]/div[2]/ul/li[8]/span[2]/span"")"),"Loading...")</f>
        <v>Loading...</v>
      </c>
      <c r="T892" s="4">
        <v>34.6</v>
      </c>
      <c r="U892" s="4">
        <v>22.7</v>
      </c>
      <c r="V892" s="4">
        <v>2.6</v>
      </c>
      <c r="W892" s="4">
        <v>5.7</v>
      </c>
      <c r="X892" s="4">
        <v>519.92999999999995</v>
      </c>
      <c r="Y892" s="7">
        <f t="shared" ca="1" si="19"/>
        <v>680.07</v>
      </c>
    </row>
    <row r="893" spans="1:25" ht="15" x14ac:dyDescent="0.25">
      <c r="A893" s="4">
        <v>683</v>
      </c>
      <c r="C893" s="12" t="s">
        <v>2328</v>
      </c>
      <c r="D893" s="12" t="s">
        <v>2329</v>
      </c>
      <c r="E893" s="5" t="str">
        <f t="shared" si="15"/>
        <v>https://www.screener.in/company/PRECWIRE/consolidated/</v>
      </c>
      <c r="F893" s="4">
        <v>443059</v>
      </c>
      <c r="G893" s="4">
        <v>3832241897</v>
      </c>
      <c r="H893" s="6">
        <f t="shared" ca="1" si="16"/>
        <v>67294.167711319998</v>
      </c>
      <c r="I893" s="7" t="str">
        <f ca="1">IFERROR(__xludf.DUMMYFUNCTION("IMPORTXML(E893,""/html/body/main/div[3]/div[3]/div[2]/ul/li[5]/span[2]/span"")"),"Loading...")</f>
        <v>Loading...</v>
      </c>
      <c r="J893" s="7">
        <f ca="1">IFERROR(__xludf.DUMMYFUNCTION("GOOGLEFINANCE(""NSE:""&amp;D893,""marketcap"")"),31372328330)</f>
        <v>31372328330</v>
      </c>
      <c r="K893" s="7">
        <v>992.8</v>
      </c>
      <c r="L893" s="8">
        <f ca="1">IFERROR(__xludf.DUMMYFUNCTION("GOOGLEFINANCE(""NSE:""&amp;D893,""price"")"),175.6)</f>
        <v>175.6</v>
      </c>
      <c r="M893" s="9">
        <f t="shared" ca="1" si="17"/>
        <v>-817.19999999999993</v>
      </c>
      <c r="N893" s="10">
        <f t="shared" ca="1" si="18"/>
        <v>-82.312651087832393</v>
      </c>
      <c r="O893" s="7">
        <f ca="1">IFERROR(__xludf.DUMMYFUNCTION("GOOGLEFINANCE(""NSE:""&amp;D893,""pe"")"),33)</f>
        <v>33</v>
      </c>
      <c r="P893" s="7">
        <f ca="1">IFERROR(__xludf.DUMMYFUNCTION("GOOGLEFINANCE(""NSE:""&amp;D893,""EPS"")"),5.32)</f>
        <v>5.32</v>
      </c>
      <c r="Q893" s="7">
        <v>13.5</v>
      </c>
      <c r="R893" s="7" t="str">
        <f ca="1">IFERROR(__xludf.DUMMYFUNCTION("IMPORTXML(E893,""/html/body/main/div[3]/div[3]/div[2]/ul/li[7]/span[2]/span"")"),"Loading...")</f>
        <v>Loading...</v>
      </c>
      <c r="S893" s="7" t="str">
        <f ca="1">IFERROR(__xludf.DUMMYFUNCTION("IMPORTXML(E893,""/html/body/main/div[3]/div[3]/div[2]/ul/li[8]/span[2]/span"")"),"Loading...")</f>
        <v>Loading...</v>
      </c>
      <c r="T893" s="4">
        <v>34.6</v>
      </c>
      <c r="U893" s="4">
        <v>22.7</v>
      </c>
      <c r="V893" s="4">
        <v>2.6</v>
      </c>
      <c r="W893" s="4">
        <v>5.7</v>
      </c>
      <c r="X893" s="4">
        <v>519.92999999999995</v>
      </c>
      <c r="Y893" s="7">
        <f t="shared" ca="1" si="19"/>
        <v>-344.32999999999993</v>
      </c>
    </row>
    <row r="894" spans="1:25" ht="15" x14ac:dyDescent="0.25">
      <c r="A894" s="4">
        <v>122</v>
      </c>
      <c r="C894" s="12" t="s">
        <v>2330</v>
      </c>
      <c r="D894" s="12" t="s">
        <v>2331</v>
      </c>
      <c r="E894" s="5" t="str">
        <f t="shared" si="15"/>
        <v>https://www.screener.in/company/JYOTHYLAB/consolidated/</v>
      </c>
      <c r="F894" s="4">
        <v>443059</v>
      </c>
      <c r="G894" s="4">
        <v>3832241897</v>
      </c>
      <c r="H894" s="6">
        <f t="shared" ca="1" si="16"/>
        <v>127422.04307525</v>
      </c>
      <c r="I894" s="7" t="str">
        <f ca="1">IFERROR(__xludf.DUMMYFUNCTION("IMPORTXML(E894,""/html/body/main/div[3]/div[3]/div[2]/ul/li[5]/span[2]/span"")"),"Loading...")</f>
        <v>Loading...</v>
      </c>
      <c r="J894" s="7">
        <f ca="1">IFERROR(__xludf.DUMMYFUNCTION("GOOGLEFINANCE(""NSE:""&amp;D894,""marketcap"")"),122195391657)</f>
        <v>122195391657</v>
      </c>
      <c r="K894" s="7">
        <v>992.8</v>
      </c>
      <c r="L894" s="8">
        <f ca="1">IFERROR(__xludf.DUMMYFUNCTION("GOOGLEFINANCE(""NSE:""&amp;D894,""price"")"),332.5)</f>
        <v>332.5</v>
      </c>
      <c r="M894" s="9">
        <f t="shared" ca="1" si="17"/>
        <v>-660.3</v>
      </c>
      <c r="N894" s="10">
        <f t="shared" ca="1" si="18"/>
        <v>-66.508863819500391</v>
      </c>
      <c r="O894" s="7">
        <f ca="1">IFERROR(__xludf.DUMMYFUNCTION("GOOGLEFINANCE(""NSE:""&amp;D894,""pe"")"),33.4)</f>
        <v>33.4</v>
      </c>
      <c r="P894" s="7">
        <f ca="1">IFERROR(__xludf.DUMMYFUNCTION("GOOGLEFINANCE(""NSE:""&amp;D894,""EPS"")"),9.96)</f>
        <v>9.9600000000000009</v>
      </c>
      <c r="Q894" s="7">
        <v>13.5</v>
      </c>
      <c r="R894" s="7" t="str">
        <f ca="1">IFERROR(__xludf.DUMMYFUNCTION("IMPORTXML(E894,""/html/body/main/div[3]/div[3]/div[2]/ul/li[7]/span[2]/span"")"),"Loading...")</f>
        <v>Loading...</v>
      </c>
      <c r="S894" s="7">
        <f ca="1">IFERROR(__xludf.DUMMYFUNCTION("IMPORTXML(E894,""/html/body/main/div[3]/div[3]/div[2]/ul/li[8]/span[2]/span"")"),19)</f>
        <v>19</v>
      </c>
      <c r="T894" s="4">
        <v>34.6</v>
      </c>
      <c r="U894" s="4">
        <v>22.7</v>
      </c>
      <c r="V894" s="4">
        <v>2.6</v>
      </c>
      <c r="W894" s="4">
        <v>5.7</v>
      </c>
      <c r="X894" s="4">
        <v>519.92999999999995</v>
      </c>
      <c r="Y894" s="7">
        <f t="shared" ca="1" si="19"/>
        <v>-187.42999999999995</v>
      </c>
    </row>
    <row r="895" spans="1:25" ht="15" x14ac:dyDescent="0.25">
      <c r="A895" s="4">
        <v>524</v>
      </c>
      <c r="C895" s="12" t="s">
        <v>2332</v>
      </c>
      <c r="D895" s="12" t="s">
        <v>2333</v>
      </c>
      <c r="E895" s="5" t="str">
        <f t="shared" si="15"/>
        <v>https://www.screener.in/company/VRLLOG/consolidated/</v>
      </c>
      <c r="F895" s="4">
        <v>443059</v>
      </c>
      <c r="G895" s="4">
        <v>3832241897</v>
      </c>
      <c r="H895" s="6">
        <f t="shared" ca="1" si="16"/>
        <v>101247.83091873999</v>
      </c>
      <c r="I895" s="7" t="str">
        <f ca="1">IFERROR(__xludf.DUMMYFUNCTION("IMPORTXML(E895,""/html/body/main/div[3]/div[3]/div[2]/ul/li[5]/span[2]/span"")"),"Loading...")</f>
        <v>Loading...</v>
      </c>
      <c r="J895" s="7">
        <f ca="1">IFERROR(__xludf.DUMMYFUNCTION("GOOGLEFINANCE(""NSE:""&amp;D895,""marketcap"")"),46218331115)</f>
        <v>46218331115</v>
      </c>
      <c r="K895" s="7">
        <v>992.8</v>
      </c>
      <c r="L895" s="8">
        <f ca="1">IFERROR(__xludf.DUMMYFUNCTION("GOOGLEFINANCE(""NSE:""&amp;D895,""price"")"),264.2)</f>
        <v>264.2</v>
      </c>
      <c r="M895" s="9">
        <f t="shared" ca="1" si="17"/>
        <v>-728.59999999999991</v>
      </c>
      <c r="N895" s="10">
        <f t="shared" ca="1" si="18"/>
        <v>-73.388396454472201</v>
      </c>
      <c r="O895" s="7">
        <f ca="1">IFERROR(__xludf.DUMMYFUNCTION("GOOGLEFINANCE(""NSE:""&amp;D895,""pe"")"),21.07)</f>
        <v>21.07</v>
      </c>
      <c r="P895" s="7">
        <f ca="1">IFERROR(__xludf.DUMMYFUNCTION("GOOGLEFINANCE(""NSE:""&amp;D895,""EPS"")"),12.54)</f>
        <v>12.54</v>
      </c>
      <c r="Q895" s="7">
        <v>13.5</v>
      </c>
      <c r="R895" s="7" t="str">
        <f ca="1">IFERROR(__xludf.DUMMYFUNCTION("IMPORTXML(E895,""/html/body/main/div[3]/div[3]/div[2]/ul/li[7]/span[2]/span"")"),"Loading...")</f>
        <v>Loading...</v>
      </c>
      <c r="S895" s="7" t="str">
        <f ca="1">IFERROR(__xludf.DUMMYFUNCTION("IMPORTXML(E895,""/html/body/main/div[3]/div[3]/div[2]/ul/li[8]/span[2]/span"")"),"Loading...")</f>
        <v>Loading...</v>
      </c>
      <c r="T895" s="4">
        <v>34.6</v>
      </c>
      <c r="U895" s="4">
        <v>22.7</v>
      </c>
      <c r="V895" s="4">
        <v>2.6</v>
      </c>
      <c r="W895" s="4">
        <v>5.7</v>
      </c>
      <c r="X895" s="4">
        <v>519.92999999999995</v>
      </c>
      <c r="Y895" s="7">
        <f t="shared" ca="1" si="19"/>
        <v>-255.72999999999996</v>
      </c>
    </row>
    <row r="896" spans="1:25" ht="15" x14ac:dyDescent="0.25">
      <c r="A896" s="4">
        <v>1367</v>
      </c>
      <c r="C896" s="12" t="s">
        <v>2334</v>
      </c>
      <c r="D896" s="12" t="s">
        <v>2335</v>
      </c>
      <c r="E896" s="5" t="str">
        <f t="shared" si="15"/>
        <v>https://www.screener.in/company/NRL/consolidated/</v>
      </c>
      <c r="F896" s="4">
        <v>443059</v>
      </c>
      <c r="G896" s="4">
        <v>3832241897</v>
      </c>
      <c r="H896" s="6">
        <f t="shared" ca="1" si="16"/>
        <v>26829.525520897005</v>
      </c>
      <c r="I896" s="7" t="str">
        <f ca="1">IFERROR(__xludf.DUMMYFUNCTION("IMPORTXML(E896,""/html/body/main/div[3]/div[3]/div[2]/ul/li[5]/span[2]/span"")"),"Loading...")</f>
        <v>Loading...</v>
      </c>
      <c r="J896" s="7">
        <f ca="1">IFERROR(__xludf.DUMMYFUNCTION("GOOGLEFINANCE(""NSE:""&amp;D896,""marketcap"")"),4846571000)</f>
        <v>4846571000</v>
      </c>
      <c r="K896" s="7">
        <v>992.8</v>
      </c>
      <c r="L896" s="8">
        <f ca="1">IFERROR(__xludf.DUMMYFUNCTION("GOOGLEFINANCE(""NSE:""&amp;D896,""price"")"),70.01)</f>
        <v>70.010000000000005</v>
      </c>
      <c r="M896" s="9">
        <f t="shared" ca="1" si="17"/>
        <v>-922.79</v>
      </c>
      <c r="N896" s="10">
        <f t="shared" ca="1" si="18"/>
        <v>-92.948227236099925</v>
      </c>
      <c r="O896" s="7">
        <f ca="1">IFERROR(__xludf.DUMMYFUNCTION("GOOGLEFINANCE(""NSE:""&amp;D896,""pe"")"),18.52)</f>
        <v>18.52</v>
      </c>
      <c r="P896" s="7">
        <f ca="1">IFERROR(__xludf.DUMMYFUNCTION("GOOGLEFINANCE(""NSE:""&amp;D896,""EPS"")"),3.78)</f>
        <v>3.78</v>
      </c>
      <c r="Q896" s="7">
        <v>13.5</v>
      </c>
      <c r="R896" s="7" t="str">
        <f ca="1">IFERROR(__xludf.DUMMYFUNCTION("IMPORTXML(E896,""/html/body/main/div[3]/div[3]/div[2]/ul/li[7]/span[2]/span"")"),"Loading...")</f>
        <v>Loading...</v>
      </c>
      <c r="S896" s="7" t="str">
        <f ca="1">IFERROR(__xludf.DUMMYFUNCTION("IMPORTXML(E896,""/html/body/main/div[3]/div[3]/div[2]/ul/li[8]/span[2]/span"")"),"Loading...")</f>
        <v>Loading...</v>
      </c>
      <c r="T896" s="4">
        <v>34.6</v>
      </c>
      <c r="U896" s="4">
        <v>22.7</v>
      </c>
      <c r="V896" s="4">
        <v>2.6</v>
      </c>
      <c r="W896" s="4">
        <v>5.7</v>
      </c>
      <c r="X896" s="4">
        <v>519.92999999999995</v>
      </c>
      <c r="Y896" s="7">
        <f t="shared" ca="1" si="19"/>
        <v>-449.91999999999996</v>
      </c>
    </row>
    <row r="897" spans="1:25" ht="15" x14ac:dyDescent="0.25">
      <c r="A897" s="4">
        <v>1540</v>
      </c>
      <c r="C897" s="12" t="s">
        <v>2336</v>
      </c>
      <c r="D897" s="12" t="s">
        <v>2337</v>
      </c>
      <c r="E897" s="5" t="str">
        <f t="shared" si="15"/>
        <v>https://www.screener.in/company/UNIDT/consolidated/</v>
      </c>
      <c r="F897" s="4">
        <v>443059</v>
      </c>
      <c r="G897" s="4">
        <v>3832241897</v>
      </c>
      <c r="H897" s="6">
        <f t="shared" ca="1" si="16"/>
        <v>77028.062129700003</v>
      </c>
      <c r="I897" s="7" t="str">
        <f ca="1">IFERROR(__xludf.DUMMYFUNCTION("IMPORTXML(E897,""/html/body/main/div[3]/div[3]/div[2]/ul/li[5]/span[2]/span"")"),"Loading...")</f>
        <v>Loading...</v>
      </c>
      <c r="J897" s="7">
        <f ca="1">IFERROR(__xludf.DUMMYFUNCTION("GOOGLEFINANCE(""NSE:""&amp;D897,""marketcap"")"),4080927120)</f>
        <v>4080927120</v>
      </c>
      <c r="K897" s="7">
        <v>992.8</v>
      </c>
      <c r="L897" s="8">
        <f ca="1">IFERROR(__xludf.DUMMYFUNCTION("GOOGLEFINANCE(""NSE:""&amp;D897,""price"")"),201)</f>
        <v>201</v>
      </c>
      <c r="M897" s="9">
        <f t="shared" ca="1" si="17"/>
        <v>-791.8</v>
      </c>
      <c r="N897" s="10">
        <f t="shared" ca="1" si="18"/>
        <v>-79.75423045930701</v>
      </c>
      <c r="O897" s="7">
        <f ca="1">IFERROR(__xludf.DUMMYFUNCTION("GOOGLEFINANCE(""NSE:""&amp;D897,""pe"")"),29.91)</f>
        <v>29.91</v>
      </c>
      <c r="P897" s="7">
        <f ca="1">IFERROR(__xludf.DUMMYFUNCTION("GOOGLEFINANCE(""NSE:""&amp;D897,""EPS"")"),6.72)</f>
        <v>6.72</v>
      </c>
      <c r="Q897" s="7">
        <v>13.5</v>
      </c>
      <c r="R897" s="7" t="str">
        <f ca="1">IFERROR(__xludf.DUMMYFUNCTION("IMPORTXML(E897,""/html/body/main/div[3]/div[3]/div[2]/ul/li[7]/span[2]/span"")"),"Loading...")</f>
        <v>Loading...</v>
      </c>
      <c r="S897" s="7" t="str">
        <f ca="1">IFERROR(__xludf.DUMMYFUNCTION("IMPORTXML(E897,""/html/body/main/div[3]/div[3]/div[2]/ul/li[8]/span[2]/span"")"),"Loading...")</f>
        <v>Loading...</v>
      </c>
      <c r="T897" s="4">
        <v>34.6</v>
      </c>
      <c r="U897" s="4">
        <v>22.7</v>
      </c>
      <c r="V897" s="4">
        <v>2.6</v>
      </c>
      <c r="W897" s="4">
        <v>5.7</v>
      </c>
      <c r="X897" s="4">
        <v>519.92999999999995</v>
      </c>
      <c r="Y897" s="7">
        <f t="shared" ca="1" si="19"/>
        <v>-318.92999999999995</v>
      </c>
    </row>
    <row r="898" spans="1:25" ht="15" x14ac:dyDescent="0.25">
      <c r="A898" s="4">
        <v>801</v>
      </c>
      <c r="C898" s="12" t="s">
        <v>2338</v>
      </c>
      <c r="D898" s="12" t="s">
        <v>2339</v>
      </c>
      <c r="E898" s="5" t="str">
        <f t="shared" si="15"/>
        <v>https://www.screener.in/company/THEMISMED/consolidated/</v>
      </c>
      <c r="F898" s="4">
        <v>443059</v>
      </c>
      <c r="G898" s="4">
        <v>3832241897</v>
      </c>
      <c r="H898" s="6">
        <f t="shared" ca="1" si="16"/>
        <v>38694.146434008995</v>
      </c>
      <c r="I898" s="7" t="str">
        <f ca="1">IFERROR(__xludf.DUMMYFUNCTION("IMPORTXML(E898,""/html/body/main/div[3]/div[3]/div[2]/ul/li[5]/span[2]/span"")"),"Loading...")</f>
        <v>Loading...</v>
      </c>
      <c r="J898" s="7">
        <f ca="1">IFERROR(__xludf.DUMMYFUNCTION("GOOGLEFINANCE(""NSE:""&amp;D898,""marketcap"")"),9193150713)</f>
        <v>9193150713</v>
      </c>
      <c r="K898" s="7">
        <v>992.8</v>
      </c>
      <c r="L898" s="8">
        <f ca="1">IFERROR(__xludf.DUMMYFUNCTION("GOOGLEFINANCE(""NSE:""&amp;D898,""price"")"),100.97)</f>
        <v>100.97</v>
      </c>
      <c r="M898" s="9">
        <f t="shared" ca="1" si="17"/>
        <v>-891.82999999999993</v>
      </c>
      <c r="N898" s="10">
        <f t="shared" ca="1" si="18"/>
        <v>-89.829774375503618</v>
      </c>
      <c r="O898" s="7" t="str">
        <f ca="1">IFERROR(__xludf.DUMMYFUNCTION("GOOGLEFINANCE(""NSE:""&amp;D898,""pe"")"),"#N/A")</f>
        <v>#N/A</v>
      </c>
      <c r="P898" s="7">
        <f ca="1">IFERROR(__xludf.DUMMYFUNCTION("GOOGLEFINANCE(""NSE:""&amp;D898,""EPS"")"),-0.98)</f>
        <v>-0.98</v>
      </c>
      <c r="Q898" s="7">
        <v>13.5</v>
      </c>
      <c r="R898" s="7" t="str">
        <f ca="1">IFERROR(__xludf.DUMMYFUNCTION("IMPORTXML(E898,""/html/body/main/div[3]/div[3]/div[2]/ul/li[7]/span[2]/span"")"),"Loading...")</f>
        <v>Loading...</v>
      </c>
      <c r="S898" s="7" t="str">
        <f ca="1">IFERROR(__xludf.DUMMYFUNCTION("IMPORTXML(E898,""/html/body/main/div[3]/div[3]/div[2]/ul/li[8]/span[2]/span"")"),"Loading...")</f>
        <v>Loading...</v>
      </c>
      <c r="T898" s="4">
        <v>34.6</v>
      </c>
      <c r="U898" s="4">
        <v>22.7</v>
      </c>
      <c r="V898" s="4">
        <v>2.6</v>
      </c>
      <c r="W898" s="4">
        <v>5.7</v>
      </c>
      <c r="X898" s="4">
        <v>519.92999999999995</v>
      </c>
      <c r="Y898" s="7">
        <f t="shared" ca="1" si="19"/>
        <v>-418.95999999999992</v>
      </c>
    </row>
    <row r="899" spans="1:25" ht="15" x14ac:dyDescent="0.25">
      <c r="A899" s="4">
        <v>110</v>
      </c>
      <c r="C899" s="12" t="s">
        <v>2340</v>
      </c>
      <c r="D899" s="12" t="s">
        <v>2341</v>
      </c>
      <c r="E899" s="5" t="str">
        <f t="shared" si="15"/>
        <v>https://www.screener.in/company/HFCL/consolidated/</v>
      </c>
      <c r="F899" s="4">
        <v>443059</v>
      </c>
      <c r="G899" s="4">
        <v>3832241897</v>
      </c>
      <c r="H899" s="6">
        <f t="shared" ca="1" si="16"/>
        <v>26825.693278999999</v>
      </c>
      <c r="I899" s="7" t="str">
        <f ca="1">IFERROR(__xludf.DUMMYFUNCTION("IMPORTXML(E899,""/html/body/main/div[3]/div[3]/div[2]/ul/li[5]/span[2]/span"")"),"Loading...")</f>
        <v>Loading...</v>
      </c>
      <c r="J899" s="7">
        <f ca="1">IFERROR(__xludf.DUMMYFUNCTION("GOOGLEFINANCE(""NSE:""&amp;D899,""marketcap"")"),100775133835)</f>
        <v>100775133835</v>
      </c>
      <c r="K899" s="7">
        <v>992.8</v>
      </c>
      <c r="L899" s="8">
        <f ca="1">IFERROR(__xludf.DUMMYFUNCTION("GOOGLEFINANCE(""NSE:""&amp;D899,""price"")"),70)</f>
        <v>70</v>
      </c>
      <c r="M899" s="9">
        <f t="shared" ca="1" si="17"/>
        <v>-922.8</v>
      </c>
      <c r="N899" s="10">
        <f t="shared" ca="1" si="18"/>
        <v>-92.949234488315881</v>
      </c>
      <c r="O899" s="7">
        <f ca="1">IFERROR(__xludf.DUMMYFUNCTION("GOOGLEFINANCE(""NSE:""&amp;D899,""pe"")"),302.35)</f>
        <v>302.35000000000002</v>
      </c>
      <c r="P899" s="7">
        <f ca="1">IFERROR(__xludf.DUMMYFUNCTION("GOOGLEFINANCE(""NSE:""&amp;D899,""EPS"")"),0.23)</f>
        <v>0.23</v>
      </c>
      <c r="Q899" s="7">
        <v>13.5</v>
      </c>
      <c r="R899" s="7" t="str">
        <f ca="1">IFERROR(__xludf.DUMMYFUNCTION("IMPORTXML(E899,""/html/body/main/div[3]/div[3]/div[2]/ul/li[7]/span[2]/span"")"),"Loading...")</f>
        <v>Loading...</v>
      </c>
      <c r="S899" s="7" t="str">
        <f ca="1">IFERROR(__xludf.DUMMYFUNCTION("IMPORTXML(E899,""/html/body/main/div[3]/div[3]/div[2]/ul/li[8]/span[2]/span"")"),"Loading...")</f>
        <v>Loading...</v>
      </c>
      <c r="T899" s="4">
        <v>34.6</v>
      </c>
      <c r="U899" s="4">
        <v>22.7</v>
      </c>
      <c r="V899" s="4">
        <v>2.6</v>
      </c>
      <c r="W899" s="4">
        <v>5.7</v>
      </c>
      <c r="X899" s="4">
        <v>519.92999999999995</v>
      </c>
      <c r="Y899" s="7">
        <f t="shared" ca="1" si="19"/>
        <v>-449.92999999999995</v>
      </c>
    </row>
    <row r="900" spans="1:25" ht="15" x14ac:dyDescent="0.25">
      <c r="A900" s="4">
        <v>164</v>
      </c>
      <c r="C900" s="12" t="s">
        <v>2342</v>
      </c>
      <c r="D900" s="12" t="s">
        <v>2343</v>
      </c>
      <c r="E900" s="5" t="str">
        <f t="shared" si="15"/>
        <v>https://www.screener.in/company/PCBL/consolidated/</v>
      </c>
      <c r="F900" s="4">
        <v>443059</v>
      </c>
      <c r="G900" s="4">
        <v>3832241897</v>
      </c>
      <c r="H900" s="6">
        <f t="shared" ca="1" si="16"/>
        <v>143651.58750904503</v>
      </c>
      <c r="I900" s="7" t="str">
        <f ca="1">IFERROR(__xludf.DUMMYFUNCTION("IMPORTXML(E900,""/html/body/main/div[3]/div[3]/div[2]/ul/li[5]/span[2]/span"")"),"Loading...")</f>
        <v>Loading...</v>
      </c>
      <c r="J900" s="7">
        <f ca="1">IFERROR(__xludf.DUMMYFUNCTION("GOOGLEFINANCE(""NSE:""&amp;D900,""marketcap"")"),141491857913)</f>
        <v>141491857913</v>
      </c>
      <c r="K900" s="7">
        <v>992.8</v>
      </c>
      <c r="L900" s="8">
        <f ca="1">IFERROR(__xludf.DUMMYFUNCTION("GOOGLEFINANCE(""NSE:""&amp;D900,""price"")"),374.85)</f>
        <v>374.85</v>
      </c>
      <c r="M900" s="9">
        <f t="shared" ca="1" si="17"/>
        <v>-617.94999999999993</v>
      </c>
      <c r="N900" s="10">
        <f t="shared" ca="1" si="18"/>
        <v>-62.2431506849315</v>
      </c>
      <c r="O900" s="7">
        <f ca="1">IFERROR(__xludf.DUMMYFUNCTION("GOOGLEFINANCE(""NSE:""&amp;D900,""pe"")"),34.57)</f>
        <v>34.57</v>
      </c>
      <c r="P900" s="7">
        <f ca="1">IFERROR(__xludf.DUMMYFUNCTION("GOOGLEFINANCE(""NSE:""&amp;D900,""EPS"")"),10.84)</f>
        <v>10.84</v>
      </c>
      <c r="Q900" s="7">
        <v>13.5</v>
      </c>
      <c r="R900" s="7" t="str">
        <f ca="1">IFERROR(__xludf.DUMMYFUNCTION("IMPORTXML(E900,""/html/body/main/div[3]/div[3]/div[2]/ul/li[7]/span[2]/span"")"),"Loading...")</f>
        <v>Loading...</v>
      </c>
      <c r="S900" s="7" t="str">
        <f ca="1">IFERROR(__xludf.DUMMYFUNCTION("IMPORTXML(E900,""/html/body/main/div[3]/div[3]/div[2]/ul/li[8]/span[2]/span"")"),"Loading...")</f>
        <v>Loading...</v>
      </c>
      <c r="T900" s="4">
        <v>34.6</v>
      </c>
      <c r="U900" s="4">
        <v>22.7</v>
      </c>
      <c r="V900" s="4">
        <v>2.6</v>
      </c>
      <c r="W900" s="4">
        <v>5.7</v>
      </c>
      <c r="X900" s="4">
        <v>519.92999999999995</v>
      </c>
      <c r="Y900" s="7">
        <f t="shared" ca="1" si="19"/>
        <v>-145.07999999999993</v>
      </c>
    </row>
    <row r="901" spans="1:25" ht="15" x14ac:dyDescent="0.25">
      <c r="A901" s="4">
        <v>648</v>
      </c>
      <c r="C901" s="12" t="s">
        <v>2344</v>
      </c>
      <c r="D901" s="12" t="s">
        <v>2345</v>
      </c>
      <c r="E901" s="5" t="str">
        <f t="shared" si="15"/>
        <v>https://www.screener.in/company/SBCL/consolidated/</v>
      </c>
      <c r="F901" s="4">
        <v>443059</v>
      </c>
      <c r="G901" s="4">
        <v>3832241897</v>
      </c>
      <c r="H901" s="6">
        <f t="shared" ca="1" si="16"/>
        <v>193681.50547437998</v>
      </c>
      <c r="I901" s="7" t="str">
        <f ca="1">IFERROR(__xludf.DUMMYFUNCTION("IMPORTXML(E901,""/html/body/main/div[3]/div[3]/div[2]/ul/li[5]/span[2]/span"")"),"Loading...")</f>
        <v>Loading...</v>
      </c>
      <c r="J901" s="7">
        <f ca="1">IFERROR(__xludf.DUMMYFUNCTION("GOOGLEFINANCE(""NSE:""&amp;D901,""marketcap"")"),29121824250)</f>
        <v>29121824250</v>
      </c>
      <c r="K901" s="7">
        <v>992.8</v>
      </c>
      <c r="L901" s="8">
        <f ca="1">IFERROR(__xludf.DUMMYFUNCTION("GOOGLEFINANCE(""NSE:""&amp;D901,""price"")"),505.4)</f>
        <v>505.4</v>
      </c>
      <c r="M901" s="9">
        <f t="shared" ca="1" si="17"/>
        <v>-487.4</v>
      </c>
      <c r="N901" s="10">
        <f t="shared" ca="1" si="18"/>
        <v>-49.093473005640611</v>
      </c>
      <c r="O901" s="7">
        <f ca="1">IFERROR(__xludf.DUMMYFUNCTION("GOOGLEFINANCE(""NSE:""&amp;D901,""pe"")"),35.59)</f>
        <v>35.590000000000003</v>
      </c>
      <c r="P901" s="7">
        <f ca="1">IFERROR(__xludf.DUMMYFUNCTION("GOOGLEFINANCE(""NSE:""&amp;D901,""EPS"")"),14.2)</f>
        <v>14.2</v>
      </c>
      <c r="Q901" s="7">
        <v>13.5</v>
      </c>
      <c r="R901" s="7" t="str">
        <f ca="1">IFERROR(__xludf.DUMMYFUNCTION("IMPORTXML(E901,""/html/body/main/div[3]/div[3]/div[2]/ul/li[7]/span[2]/span"")"),"Loading...")</f>
        <v>Loading...</v>
      </c>
      <c r="S901" s="7" t="str">
        <f ca="1">IFERROR(__xludf.DUMMYFUNCTION("IMPORTXML(E901,""/html/body/main/div[3]/div[3]/div[2]/ul/li[8]/span[2]/span"")"),"Loading...")</f>
        <v>Loading...</v>
      </c>
      <c r="T901" s="4">
        <v>34.6</v>
      </c>
      <c r="U901" s="4">
        <v>22.7</v>
      </c>
      <c r="V901" s="4">
        <v>2.6</v>
      </c>
      <c r="W901" s="4">
        <v>5.7</v>
      </c>
      <c r="X901" s="4">
        <v>519.92999999999995</v>
      </c>
      <c r="Y901" s="7">
        <f t="shared" ca="1" si="19"/>
        <v>-14.529999999999973</v>
      </c>
    </row>
    <row r="902" spans="1:25" ht="15" x14ac:dyDescent="0.25">
      <c r="A902" s="4">
        <v>704</v>
      </c>
      <c r="C902" s="12" t="s">
        <v>2346</v>
      </c>
      <c r="D902" s="12" t="s">
        <v>2347</v>
      </c>
      <c r="E902" s="5" t="str">
        <f t="shared" si="15"/>
        <v>https://www.screener.in/company/ADFFOODS/consolidated/</v>
      </c>
      <c r="F902" s="4">
        <v>443059</v>
      </c>
      <c r="G902" s="4">
        <v>3832241897</v>
      </c>
      <c r="H902" s="6">
        <f t="shared" ca="1" si="16"/>
        <v>91245.679567569998</v>
      </c>
      <c r="I902" s="7" t="str">
        <f ca="1">IFERROR(__xludf.DUMMYFUNCTION("IMPORTXML(E902,""/html/body/main/div[3]/div[3]/div[2]/ul/li[5]/span[2]/span"")"),"Loading...")</f>
        <v>Loading...</v>
      </c>
      <c r="J902" s="7">
        <f ca="1">IFERROR(__xludf.DUMMYFUNCTION("GOOGLEFINANCE(""NSE:""&amp;D902,""marketcap"")"),26311230000)</f>
        <v>26311230000</v>
      </c>
      <c r="K902" s="7">
        <v>992.8</v>
      </c>
      <c r="L902" s="8">
        <f ca="1">IFERROR(__xludf.DUMMYFUNCTION("GOOGLEFINANCE(""NSE:""&amp;D902,""price"")"),238.1)</f>
        <v>238.1</v>
      </c>
      <c r="M902" s="9">
        <f t="shared" ca="1" si="17"/>
        <v>-754.69999999999993</v>
      </c>
      <c r="N902" s="10">
        <f t="shared" ca="1" si="18"/>
        <v>-76.017324738114425</v>
      </c>
      <c r="O902" s="7">
        <f ca="1">IFERROR(__xludf.DUMMYFUNCTION("GOOGLEFINANCE(""NSE:""&amp;D902,""pe"")"),37.3)</f>
        <v>37.299999999999997</v>
      </c>
      <c r="P902" s="7">
        <f ca="1">IFERROR(__xludf.DUMMYFUNCTION("GOOGLEFINANCE(""NSE:""&amp;D902,""EPS"")"),6.38)</f>
        <v>6.38</v>
      </c>
      <c r="Q902" s="7">
        <v>13.5</v>
      </c>
      <c r="R902" s="7" t="str">
        <f ca="1">IFERROR(__xludf.DUMMYFUNCTION("IMPORTXML(E902,""/html/body/main/div[3]/div[3]/div[2]/ul/li[7]/span[2]/span"")"),"Loading...")</f>
        <v>Loading...</v>
      </c>
      <c r="S902" s="7" t="str">
        <f ca="1">IFERROR(__xludf.DUMMYFUNCTION("IMPORTXML(E902,""/html/body/main/div[3]/div[3]/div[2]/ul/li[8]/span[2]/span"")"),"Loading...")</f>
        <v>Loading...</v>
      </c>
      <c r="T902" s="4">
        <v>34.6</v>
      </c>
      <c r="U902" s="4">
        <v>22.7</v>
      </c>
      <c r="V902" s="4">
        <v>2.6</v>
      </c>
      <c r="W902" s="4">
        <v>5.7</v>
      </c>
      <c r="X902" s="4">
        <v>519.92999999999995</v>
      </c>
      <c r="Y902" s="7">
        <f t="shared" ca="1" si="19"/>
        <v>-281.82999999999993</v>
      </c>
    </row>
    <row r="903" spans="1:25" ht="15" x14ac:dyDescent="0.25">
      <c r="A903" s="4">
        <v>480</v>
      </c>
      <c r="C903" s="12" t="s">
        <v>2348</v>
      </c>
      <c r="D903" s="12" t="s">
        <v>2349</v>
      </c>
      <c r="E903" s="5" t="str">
        <f t="shared" si="15"/>
        <v>https://www.screener.in/company/RSYSTEMS/consolidated/</v>
      </c>
      <c r="F903" s="4">
        <v>443059</v>
      </c>
      <c r="G903" s="4">
        <v>3832241897</v>
      </c>
      <c r="H903" s="6">
        <f t="shared" ca="1" si="16"/>
        <v>173274.81737285497</v>
      </c>
      <c r="I903" s="7" t="str">
        <f ca="1">IFERROR(__xludf.DUMMYFUNCTION("IMPORTXML(E903,""/html/body/main/div[3]/div[3]/div[2]/ul/li[5]/span[2]/span"")"),"Loading...")</f>
        <v>Loading...</v>
      </c>
      <c r="J903" s="7">
        <f ca="1">IFERROR(__xludf.DUMMYFUNCTION("GOOGLEFINANCE(""NSE:""&amp;D903,""marketcap"")"),53552880000)</f>
        <v>53552880000</v>
      </c>
      <c r="K903" s="7">
        <v>992.8</v>
      </c>
      <c r="L903" s="8">
        <f ca="1">IFERROR(__xludf.DUMMYFUNCTION("GOOGLEFINANCE(""NSE:""&amp;D903,""price"")"),452.15)</f>
        <v>452.15</v>
      </c>
      <c r="M903" s="9">
        <f t="shared" ca="1" si="17"/>
        <v>-540.65</v>
      </c>
      <c r="N903" s="10">
        <f t="shared" ca="1" si="18"/>
        <v>-54.45709105560033</v>
      </c>
      <c r="O903" s="7">
        <f ca="1">IFERROR(__xludf.DUMMYFUNCTION("GOOGLEFINANCE(""NSE:""&amp;D903,""pe"")"),29.39)</f>
        <v>29.39</v>
      </c>
      <c r="P903" s="7">
        <f ca="1">IFERROR(__xludf.DUMMYFUNCTION("GOOGLEFINANCE(""NSE:""&amp;D903,""EPS"")"),15.38)</f>
        <v>15.38</v>
      </c>
      <c r="Q903" s="7">
        <v>13.5</v>
      </c>
      <c r="R903" s="7" t="str">
        <f ca="1">IFERROR(__xludf.DUMMYFUNCTION("IMPORTXML(E903,""/html/body/main/div[3]/div[3]/div[2]/ul/li[7]/span[2]/span"")"),"Loading...")</f>
        <v>Loading...</v>
      </c>
      <c r="S903" s="7" t="str">
        <f ca="1">IFERROR(__xludf.DUMMYFUNCTION("IMPORTXML(E903,""/html/body/main/div[3]/div[3]/div[2]/ul/li[8]/span[2]/span"")"),"Loading...")</f>
        <v>Loading...</v>
      </c>
      <c r="T903" s="4">
        <v>34.6</v>
      </c>
      <c r="U903" s="4">
        <v>22.7</v>
      </c>
      <c r="V903" s="4">
        <v>2.6</v>
      </c>
      <c r="W903" s="4">
        <v>5.7</v>
      </c>
      <c r="X903" s="4">
        <v>519.92999999999995</v>
      </c>
      <c r="Y903" s="7">
        <f t="shared" ca="1" si="19"/>
        <v>-67.779999999999973</v>
      </c>
    </row>
    <row r="904" spans="1:25" ht="15" x14ac:dyDescent="0.25">
      <c r="A904" s="4">
        <v>1801</v>
      </c>
      <c r="C904" s="12" t="s">
        <v>2350</v>
      </c>
      <c r="D904" s="12" t="s">
        <v>2351</v>
      </c>
      <c r="E904" s="5" t="str">
        <f t="shared" si="15"/>
        <v>https://www.screener.in/company/INDOWIND/consolidated/</v>
      </c>
      <c r="F904" s="4">
        <v>443059</v>
      </c>
      <c r="G904" s="4">
        <v>3832241897</v>
      </c>
      <c r="H904" s="6">
        <f t="shared" ca="1" si="16"/>
        <v>6706.4233197499998</v>
      </c>
      <c r="I904" s="7" t="str">
        <f ca="1">IFERROR(__xludf.DUMMYFUNCTION("IMPORTXML(E904,""/html/body/main/div[3]/div[3]/div[2]/ul/li[5]/span[2]/span"")"),"Loading...")</f>
        <v>Loading...</v>
      </c>
      <c r="J904" s="7">
        <f ca="1">IFERROR(__xludf.DUMMYFUNCTION("GOOGLEFINANCE(""NSE:""&amp;D904,""marketcap"")"),2219248278)</f>
        <v>2219248278</v>
      </c>
      <c r="K904" s="7">
        <v>992.8</v>
      </c>
      <c r="L904" s="8">
        <f ca="1">IFERROR(__xludf.DUMMYFUNCTION("GOOGLEFINANCE(""NSE:""&amp;D904,""price"")"),17.5)</f>
        <v>17.5</v>
      </c>
      <c r="M904" s="9">
        <f t="shared" ca="1" si="17"/>
        <v>-975.3</v>
      </c>
      <c r="N904" s="10">
        <f t="shared" ca="1" si="18"/>
        <v>-98.23730862207897</v>
      </c>
      <c r="O904" s="7">
        <f ca="1">IFERROR(__xludf.DUMMYFUNCTION("GOOGLEFINANCE(""NSE:""&amp;D904,""pe"")"),101.9)</f>
        <v>101.9</v>
      </c>
      <c r="P904" s="7">
        <f ca="1">IFERROR(__xludf.DUMMYFUNCTION("GOOGLEFINANCE(""NSE:""&amp;D904,""EPS"")"),0.17)</f>
        <v>0.17</v>
      </c>
      <c r="Q904" s="7">
        <v>13.5</v>
      </c>
      <c r="R904" s="7" t="str">
        <f ca="1">IFERROR(__xludf.DUMMYFUNCTION("IMPORTXML(E904,""/html/body/main/div[3]/div[3]/div[2]/ul/li[7]/span[2]/span"")"),"Loading...")</f>
        <v>Loading...</v>
      </c>
      <c r="S904" s="7" t="str">
        <f ca="1">IFERROR(__xludf.DUMMYFUNCTION("IMPORTXML(E904,""/html/body/main/div[3]/div[3]/div[2]/ul/li[8]/span[2]/span"")"),"Loading...")</f>
        <v>Loading...</v>
      </c>
      <c r="T904" s="4">
        <v>34.6</v>
      </c>
      <c r="U904" s="4">
        <v>22.7</v>
      </c>
      <c r="V904" s="4">
        <v>2.6</v>
      </c>
      <c r="W904" s="4">
        <v>5.7</v>
      </c>
      <c r="X904" s="4">
        <v>519.92999999999995</v>
      </c>
      <c r="Y904" s="7">
        <f t="shared" ca="1" si="19"/>
        <v>-502.42999999999995</v>
      </c>
    </row>
    <row r="905" spans="1:25" ht="15" x14ac:dyDescent="0.25">
      <c r="A905" s="4">
        <v>1049</v>
      </c>
      <c r="C905" s="12" t="s">
        <v>2352</v>
      </c>
      <c r="D905" s="12" t="s">
        <v>2353</v>
      </c>
      <c r="E905" s="5" t="str">
        <f t="shared" si="15"/>
        <v>https://www.screener.in/company/AGIIL/consolidated/</v>
      </c>
      <c r="F905" s="4">
        <v>443059</v>
      </c>
      <c r="G905" s="4">
        <v>3832241897</v>
      </c>
      <c r="H905" s="6">
        <f t="shared" ca="1" si="16"/>
        <v>452204.54384599999</v>
      </c>
      <c r="I905" s="7" t="str">
        <f ca="1">IFERROR(__xludf.DUMMYFUNCTION("IMPORTXML(E905,""/html/body/main/div[3]/div[3]/div[2]/ul/li[5]/span[2]/span"")"),"Loading...")</f>
        <v>Loading...</v>
      </c>
      <c r="J905" s="7">
        <f ca="1">IFERROR(__xludf.DUMMYFUNCTION("GOOGLEFINANCE(""NSE:""&amp;D905,""marketcap"")"),28831447400)</f>
        <v>28831447400</v>
      </c>
      <c r="K905" s="7">
        <v>992.8</v>
      </c>
      <c r="L905" s="8">
        <f ca="1">IFERROR(__xludf.DUMMYFUNCTION("GOOGLEFINANCE(""NSE:""&amp;D905,""price"")"),1180)</f>
        <v>1180</v>
      </c>
      <c r="M905" s="9">
        <f t="shared" ca="1" si="17"/>
        <v>187.20000000000005</v>
      </c>
      <c r="N905" s="10">
        <f t="shared" ca="1" si="18"/>
        <v>18.855761482675266</v>
      </c>
      <c r="O905" s="7">
        <f ca="1">IFERROR(__xludf.DUMMYFUNCTION("GOOGLEFINANCE(""NSE:""&amp;D905,""pe"")"),39.9)</f>
        <v>39.9</v>
      </c>
      <c r="P905" s="7">
        <f ca="1">IFERROR(__xludf.DUMMYFUNCTION("GOOGLEFINANCE(""NSE:""&amp;D905,""EPS"")"),29.58)</f>
        <v>29.58</v>
      </c>
      <c r="Q905" s="7">
        <v>13.5</v>
      </c>
      <c r="R905" s="7" t="str">
        <f ca="1">IFERROR(__xludf.DUMMYFUNCTION("IMPORTXML(E905,""/html/body/main/div[3]/div[3]/div[2]/ul/li[7]/span[2]/span"")"),"Loading...")</f>
        <v>Loading...</v>
      </c>
      <c r="S905" s="7" t="str">
        <f ca="1">IFERROR(__xludf.DUMMYFUNCTION("IMPORTXML(E905,""/html/body/main/div[3]/div[3]/div[2]/ul/li[8]/span[2]/span"")"),"Loading...")</f>
        <v>Loading...</v>
      </c>
      <c r="T905" s="4">
        <v>34.6</v>
      </c>
      <c r="U905" s="4">
        <v>22.7</v>
      </c>
      <c r="V905" s="4">
        <v>2.6</v>
      </c>
      <c r="W905" s="4">
        <v>5.7</v>
      </c>
      <c r="X905" s="4">
        <v>519.92999999999995</v>
      </c>
      <c r="Y905" s="7">
        <f t="shared" ca="1" si="19"/>
        <v>660.07</v>
      </c>
    </row>
    <row r="906" spans="1:25" ht="15" x14ac:dyDescent="0.25">
      <c r="A906" s="4">
        <v>455</v>
      </c>
      <c r="C906" s="12" t="s">
        <v>2354</v>
      </c>
      <c r="D906" s="12" t="s">
        <v>2355</v>
      </c>
      <c r="E906" s="5" t="str">
        <f t="shared" si="15"/>
        <v>https://www.screener.in/company/ICRA/consolidated/</v>
      </c>
      <c r="F906" s="4">
        <v>443059</v>
      </c>
      <c r="G906" s="4">
        <v>3832241897</v>
      </c>
      <c r="H906" s="6">
        <f t="shared" ca="1" si="16"/>
        <v>2404731.7903674999</v>
      </c>
      <c r="I906" s="7" t="str">
        <f ca="1">IFERROR(__xludf.DUMMYFUNCTION("IMPORTXML(E906,""/html/body/main/div[3]/div[3]/div[2]/ul/li[5]/span[2]/span"")"),"Loading...")</f>
        <v>Loading...</v>
      </c>
      <c r="J906" s="7">
        <f ca="1">IFERROR(__xludf.DUMMYFUNCTION("GOOGLEFINANCE(""NSE:""&amp;D906,""marketcap"")"),60369685425)</f>
        <v>60369685425</v>
      </c>
      <c r="K906" s="7">
        <v>992.8</v>
      </c>
      <c r="L906" s="8">
        <f ca="1">IFERROR(__xludf.DUMMYFUNCTION("GOOGLEFINANCE(""NSE:""&amp;D906,""price"")"),6275)</f>
        <v>6275</v>
      </c>
      <c r="M906" s="9">
        <f t="shared" ca="1" si="17"/>
        <v>5282.2</v>
      </c>
      <c r="N906" s="10">
        <f t="shared" ca="1" si="18"/>
        <v>532.05076551168418</v>
      </c>
      <c r="O906" s="7">
        <f ca="1">IFERROR(__xludf.DUMMYFUNCTION("GOOGLEFINANCE(""NSE:""&amp;D906,""pe"")"),34.17)</f>
        <v>34.17</v>
      </c>
      <c r="P906" s="7">
        <f ca="1">IFERROR(__xludf.DUMMYFUNCTION("GOOGLEFINANCE(""NSE:""&amp;D906,""EPS"")"),183.64)</f>
        <v>183.64</v>
      </c>
      <c r="Q906" s="7">
        <v>13.5</v>
      </c>
      <c r="R906" s="7" t="str">
        <f ca="1">IFERROR(__xludf.DUMMYFUNCTION("IMPORTXML(E906,""/html/body/main/div[3]/div[3]/div[2]/ul/li[7]/span[2]/span"")"),"Loading...")</f>
        <v>Loading...</v>
      </c>
      <c r="S906" s="7" t="str">
        <f ca="1">IFERROR(__xludf.DUMMYFUNCTION("IMPORTXML(E906,""/html/body/main/div[3]/div[3]/div[2]/ul/li[8]/span[2]/span"")"),"Loading...")</f>
        <v>Loading...</v>
      </c>
      <c r="T906" s="4">
        <v>34.6</v>
      </c>
      <c r="U906" s="4">
        <v>22.7</v>
      </c>
      <c r="V906" s="4">
        <v>2.6</v>
      </c>
      <c r="W906" s="4">
        <v>5.7</v>
      </c>
      <c r="X906" s="4">
        <v>519.92999999999995</v>
      </c>
      <c r="Y906" s="7">
        <f t="shared" ca="1" si="19"/>
        <v>5755.07</v>
      </c>
    </row>
    <row r="907" spans="1:25" ht="15" x14ac:dyDescent="0.25">
      <c r="A907" s="4">
        <v>310</v>
      </c>
      <c r="C907" s="12" t="s">
        <v>2356</v>
      </c>
      <c r="D907" s="12" t="s">
        <v>2357</v>
      </c>
      <c r="E907" s="5" t="str">
        <f t="shared" si="15"/>
        <v>https://www.screener.in/company/WABAG/consolidated/</v>
      </c>
      <c r="F907" s="4">
        <v>443059</v>
      </c>
      <c r="G907" s="4">
        <v>3832241897</v>
      </c>
      <c r="H907" s="6">
        <f t="shared" ca="1" si="16"/>
        <v>577518.85387790005</v>
      </c>
      <c r="I907" s="7" t="str">
        <f ca="1">IFERROR(__xludf.DUMMYFUNCTION("IMPORTXML(E907,""/html/body/main/div[3]/div[3]/div[2]/ul/li[5]/span[2]/span"")"),"Loading...")</f>
        <v>Loading...</v>
      </c>
      <c r="J907" s="7">
        <f ca="1">IFERROR(__xludf.DUMMYFUNCTION("GOOGLEFINANCE(""NSE:""&amp;D907,""marketcap"")"),93807620000)</f>
        <v>93807620000</v>
      </c>
      <c r="K907" s="7">
        <v>992.8</v>
      </c>
      <c r="L907" s="8">
        <f ca="1">IFERROR(__xludf.DUMMYFUNCTION("GOOGLEFINANCE(""NSE:""&amp;D907,""price"")"),1507)</f>
        <v>1507</v>
      </c>
      <c r="M907" s="9">
        <f t="shared" ca="1" si="17"/>
        <v>514.20000000000005</v>
      </c>
      <c r="N907" s="10">
        <f t="shared" ca="1" si="18"/>
        <v>51.792908944399684</v>
      </c>
      <c r="O907" s="7">
        <f ca="1">IFERROR(__xludf.DUMMYFUNCTION("GOOGLEFINANCE(""NSE:""&amp;D907,""pe"")"),28.13)</f>
        <v>28.13</v>
      </c>
      <c r="P907" s="7">
        <f ca="1">IFERROR(__xludf.DUMMYFUNCTION("GOOGLEFINANCE(""NSE:""&amp;D907,""EPS"")"),53.57)</f>
        <v>53.57</v>
      </c>
      <c r="Q907" s="7">
        <v>13.5</v>
      </c>
      <c r="R907" s="7" t="str">
        <f ca="1">IFERROR(__xludf.DUMMYFUNCTION("IMPORTXML(E907,""/html/body/main/div[3]/div[3]/div[2]/ul/li[7]/span[2]/span"")"),"Loading...")</f>
        <v>Loading...</v>
      </c>
      <c r="S907" s="7" t="str">
        <f ca="1">IFERROR(__xludf.DUMMYFUNCTION("IMPORTXML(E907,""/html/body/main/div[3]/div[3]/div[2]/ul/li[8]/span[2]/span"")"),"Loading...")</f>
        <v>Loading...</v>
      </c>
      <c r="T907" s="4">
        <v>34.6</v>
      </c>
      <c r="U907" s="4">
        <v>22.7</v>
      </c>
      <c r="V907" s="4">
        <v>2.6</v>
      </c>
      <c r="W907" s="4">
        <v>5.7</v>
      </c>
      <c r="X907" s="4">
        <v>519.92999999999995</v>
      </c>
      <c r="Y907" s="7">
        <f t="shared" ca="1" si="19"/>
        <v>987.07</v>
      </c>
    </row>
    <row r="908" spans="1:25" ht="15" x14ac:dyDescent="0.25">
      <c r="A908" s="4">
        <v>517</v>
      </c>
      <c r="C908" s="12" t="s">
        <v>2358</v>
      </c>
      <c r="D908" s="12" t="s">
        <v>2359</v>
      </c>
      <c r="E908" s="5" t="str">
        <f t="shared" si="15"/>
        <v>https://www.screener.in/company/TEAMLEASE/consolidated/</v>
      </c>
      <c r="F908" s="4">
        <v>443059</v>
      </c>
      <c r="G908" s="4">
        <v>3832241897</v>
      </c>
      <c r="H908" s="6">
        <f t="shared" ca="1" si="16"/>
        <v>715862.78635960002</v>
      </c>
      <c r="I908" s="7">
        <f ca="1">IFERROR(__xludf.DUMMYFUNCTION("IMPORTXML(E908,""/html/body/main/div[3]/div[3]/div[2]/ul/li[5]/span[2]/span"")"),541)</f>
        <v>541</v>
      </c>
      <c r="J908" s="7">
        <f ca="1">IFERROR(__xludf.DUMMYFUNCTION("GOOGLEFINANCE(""NSE:""&amp;D908,""marketcap"")"),31118550000)</f>
        <v>31118550000</v>
      </c>
      <c r="K908" s="7">
        <v>992.8</v>
      </c>
      <c r="L908" s="8">
        <f ca="1">IFERROR(__xludf.DUMMYFUNCTION("GOOGLEFINANCE(""NSE:""&amp;D908,""price"")"),1868)</f>
        <v>1868</v>
      </c>
      <c r="M908" s="9">
        <f t="shared" ca="1" si="17"/>
        <v>875.2</v>
      </c>
      <c r="N908" s="10">
        <f t="shared" ca="1" si="18"/>
        <v>88.154713940370684</v>
      </c>
      <c r="O908" s="7">
        <f ca="1">IFERROR(__xludf.DUMMYFUNCTION("GOOGLEFINANCE(""NSE:""&amp;D908,""pe"")"),27.35)</f>
        <v>27.35</v>
      </c>
      <c r="P908" s="7">
        <f ca="1">IFERROR(__xludf.DUMMYFUNCTION("GOOGLEFINANCE(""NSE:""&amp;D908,""EPS"")"),68.29)</f>
        <v>68.290000000000006</v>
      </c>
      <c r="Q908" s="7">
        <v>13.5</v>
      </c>
      <c r="R908" s="7" t="str">
        <f ca="1">IFERROR(__xludf.DUMMYFUNCTION("IMPORTXML(E908,""/html/body/main/div[3]/div[3]/div[2]/ul/li[7]/span[2]/span"")"),"Loading...")</f>
        <v>Loading...</v>
      </c>
      <c r="S908" s="7" t="str">
        <f ca="1">IFERROR(__xludf.DUMMYFUNCTION("IMPORTXML(E908,""/html/body/main/div[3]/div[3]/div[2]/ul/li[8]/span[2]/span"")"),"Loading...")</f>
        <v>Loading...</v>
      </c>
      <c r="T908" s="4">
        <v>34.6</v>
      </c>
      <c r="U908" s="4">
        <v>22.7</v>
      </c>
      <c r="V908" s="4">
        <v>2.6</v>
      </c>
      <c r="W908" s="4">
        <v>5.7</v>
      </c>
      <c r="X908" s="4">
        <v>519.92999999999995</v>
      </c>
      <c r="Y908" s="7">
        <f t="shared" ca="1" si="19"/>
        <v>1348.0700000000002</v>
      </c>
    </row>
    <row r="909" spans="1:25" ht="15" x14ac:dyDescent="0.25">
      <c r="A909" s="4">
        <v>833</v>
      </c>
      <c r="C909" s="12" t="s">
        <v>2360</v>
      </c>
      <c r="D909" s="12" t="s">
        <v>2361</v>
      </c>
      <c r="E909" s="5" t="str">
        <f t="shared" si="15"/>
        <v>https://www.screener.in/company/CUPID/consolidated/</v>
      </c>
      <c r="F909" s="4">
        <v>443059</v>
      </c>
      <c r="G909" s="4">
        <v>3832241897</v>
      </c>
      <c r="H909" s="6">
        <f t="shared" ca="1" si="16"/>
        <v>66815.137474194999</v>
      </c>
      <c r="I909" s="7" t="str">
        <f ca="1">IFERROR(__xludf.DUMMYFUNCTION("IMPORTXML(E909,""/html/body/main/div[3]/div[3]/div[2]/ul/li[5]/span[2]/span"")"),"Loading...")</f>
        <v>Loading...</v>
      </c>
      <c r="J909" s="7">
        <f ca="1">IFERROR(__xludf.DUMMYFUNCTION("GOOGLEFINANCE(""NSE:""&amp;D909,""marketcap"")"),47062115100)</f>
        <v>47062115100</v>
      </c>
      <c r="K909" s="7">
        <v>992.8</v>
      </c>
      <c r="L909" s="8">
        <f ca="1">IFERROR(__xludf.DUMMYFUNCTION("GOOGLEFINANCE(""NSE:""&amp;D909,""price"")"),174.35)</f>
        <v>174.35</v>
      </c>
      <c r="M909" s="9">
        <f t="shared" ca="1" si="17"/>
        <v>-818.44999999999993</v>
      </c>
      <c r="N909" s="10">
        <f t="shared" ca="1" si="18"/>
        <v>-82.438557614826749</v>
      </c>
      <c r="O909" s="7">
        <f ca="1">IFERROR(__xludf.DUMMYFUNCTION("GOOGLEFINANCE(""NSE:""&amp;D909,""pe"")"),99.31)</f>
        <v>99.31</v>
      </c>
      <c r="P909" s="7">
        <f ca="1">IFERROR(__xludf.DUMMYFUNCTION("GOOGLEFINANCE(""NSE:""&amp;D909,""EPS"")"),1.76)</f>
        <v>1.76</v>
      </c>
      <c r="Q909" s="7">
        <v>13.5</v>
      </c>
      <c r="R909" s="7" t="str">
        <f ca="1">IFERROR(__xludf.DUMMYFUNCTION("IMPORTXML(E909,""/html/body/main/div[3]/div[3]/div[2]/ul/li[7]/span[2]/span"")"),"Loading...")</f>
        <v>Loading...</v>
      </c>
      <c r="S909" s="7" t="str">
        <f ca="1">IFERROR(__xludf.DUMMYFUNCTION("IMPORTXML(E909,""/html/body/main/div[3]/div[3]/div[2]/ul/li[8]/span[2]/span"")"),"Loading...")</f>
        <v>Loading...</v>
      </c>
      <c r="T909" s="4">
        <v>34.6</v>
      </c>
      <c r="U909" s="4">
        <v>22.7</v>
      </c>
      <c r="V909" s="4">
        <v>2.6</v>
      </c>
      <c r="W909" s="4">
        <v>5.7</v>
      </c>
      <c r="X909" s="4">
        <v>519.92999999999995</v>
      </c>
      <c r="Y909" s="7">
        <f t="shared" ca="1" si="19"/>
        <v>-345.57999999999993</v>
      </c>
    </row>
    <row r="910" spans="1:25" ht="15" x14ac:dyDescent="0.25">
      <c r="A910" s="4">
        <v>284</v>
      </c>
      <c r="C910" s="12" t="s">
        <v>2362</v>
      </c>
      <c r="D910" s="12" t="s">
        <v>2363</v>
      </c>
      <c r="E910" s="5" t="str">
        <f t="shared" si="15"/>
        <v>https://www.screener.in/company/BIRLACORPN/consolidated/</v>
      </c>
      <c r="F910" s="4">
        <v>443059</v>
      </c>
      <c r="G910" s="4">
        <v>3832241897</v>
      </c>
      <c r="H910" s="6">
        <f t="shared" ca="1" si="16"/>
        <v>493056.24246801995</v>
      </c>
      <c r="I910" s="7" t="str">
        <f ca="1">IFERROR(__xludf.DUMMYFUNCTION("IMPORTXML(E910,""/html/body/main/div[3]/div[3]/div[2]/ul/li[5]/span[2]/span"")"),"Loading...")</f>
        <v>Loading...</v>
      </c>
      <c r="J910" s="7">
        <f ca="1">IFERROR(__xludf.DUMMYFUNCTION("GOOGLEFINANCE(""NSE:""&amp;D910,""marketcap"")"),98613277820)</f>
        <v>98613277820</v>
      </c>
      <c r="K910" s="7">
        <v>992.8</v>
      </c>
      <c r="L910" s="8">
        <f ca="1">IFERROR(__xludf.DUMMYFUNCTION("GOOGLEFINANCE(""NSE:""&amp;D910,""price"")"),1286.6)</f>
        <v>1286.5999999999999</v>
      </c>
      <c r="M910" s="9">
        <f t="shared" ca="1" si="17"/>
        <v>293.79999999999995</v>
      </c>
      <c r="N910" s="10">
        <f t="shared" ca="1" si="18"/>
        <v>29.593070104754226</v>
      </c>
      <c r="O910" s="7">
        <f ca="1">IFERROR(__xludf.DUMMYFUNCTION("GOOGLEFINANCE(""NSE:""&amp;D910,""pe"")"),25.92)</f>
        <v>25.92</v>
      </c>
      <c r="P910" s="7">
        <f ca="1">IFERROR(__xludf.DUMMYFUNCTION("GOOGLEFINANCE(""NSE:""&amp;D910,""EPS"")"),49.64)</f>
        <v>49.64</v>
      </c>
      <c r="Q910" s="7">
        <v>13.5</v>
      </c>
      <c r="R910" s="7" t="str">
        <f ca="1">IFERROR(__xludf.DUMMYFUNCTION("IMPORTXML(E910,""/html/body/main/div[3]/div[3]/div[2]/ul/li[7]/span[2]/span"")"),"Loading...")</f>
        <v>Loading...</v>
      </c>
      <c r="S910" s="7" t="str">
        <f ca="1">IFERROR(__xludf.DUMMYFUNCTION("IMPORTXML(E910,""/html/body/main/div[3]/div[3]/div[2]/ul/li[8]/span[2]/span"")"),"Loading...")</f>
        <v>Loading...</v>
      </c>
      <c r="T910" s="4">
        <v>34.6</v>
      </c>
      <c r="U910" s="4">
        <v>22.7</v>
      </c>
      <c r="V910" s="4">
        <v>2.6</v>
      </c>
      <c r="W910" s="4">
        <v>5.7</v>
      </c>
      <c r="X910" s="4">
        <v>519.92999999999995</v>
      </c>
      <c r="Y910" s="7">
        <f t="shared" ca="1" si="19"/>
        <v>766.67</v>
      </c>
    </row>
    <row r="911" spans="1:25" ht="15" x14ac:dyDescent="0.25">
      <c r="A911" s="4">
        <v>2029</v>
      </c>
      <c r="C911" s="12" t="s">
        <v>2364</v>
      </c>
      <c r="D911" s="12" t="s">
        <v>2365</v>
      </c>
      <c r="E911" s="5" t="str">
        <f t="shared" si="15"/>
        <v>https://www.screener.in/company/SOMICONVEY/consolidated/</v>
      </c>
      <c r="F911" s="4">
        <v>443059</v>
      </c>
      <c r="G911" s="4">
        <v>3832241897</v>
      </c>
      <c r="H911" s="6">
        <f t="shared" ca="1" si="16"/>
        <v>54801.059127100001</v>
      </c>
      <c r="I911" s="7" t="str">
        <f ca="1">IFERROR(__xludf.DUMMYFUNCTION("IMPORTXML(E911,""/html/body/main/div[3]/div[3]/div[2]/ul/li[5]/span[2]/span"")"),"Loading...")</f>
        <v>Loading...</v>
      </c>
      <c r="J911" s="7">
        <f ca="1">IFERROR(__xludf.DUMMYFUNCTION("GOOGLEFINANCE(""NSE:""&amp;D911,""marketcap"")"),1684489950)</f>
        <v>1684489950</v>
      </c>
      <c r="K911" s="7">
        <v>992.8</v>
      </c>
      <c r="L911" s="8">
        <f ca="1">IFERROR(__xludf.DUMMYFUNCTION("GOOGLEFINANCE(""NSE:""&amp;D911,""price"")"),143)</f>
        <v>143</v>
      </c>
      <c r="M911" s="9">
        <f t="shared" ca="1" si="17"/>
        <v>-849.8</v>
      </c>
      <c r="N911" s="10">
        <f t="shared" ca="1" si="18"/>
        <v>-85.596293311845287</v>
      </c>
      <c r="O911" s="7">
        <f ca="1">IFERROR(__xludf.DUMMYFUNCTION("GOOGLEFINANCE(""NSE:""&amp;D911,""pe"")"),28.32)</f>
        <v>28.32</v>
      </c>
      <c r="P911" s="7">
        <f ca="1">IFERROR(__xludf.DUMMYFUNCTION("GOOGLEFINANCE(""NSE:""&amp;D911,""EPS"")"),5.05)</f>
        <v>5.05</v>
      </c>
      <c r="Q911" s="7">
        <v>13.5</v>
      </c>
      <c r="R911" s="7" t="str">
        <f ca="1">IFERROR(__xludf.DUMMYFUNCTION("IMPORTXML(E911,""/html/body/main/div[3]/div[3]/div[2]/ul/li[7]/span[2]/span"")"),"Loading...")</f>
        <v>Loading...</v>
      </c>
      <c r="S911" s="7" t="str">
        <f ca="1">IFERROR(__xludf.DUMMYFUNCTION("IMPORTXML(E911,""/html/body/main/div[3]/div[3]/div[2]/ul/li[8]/span[2]/span"")"),"Loading...")</f>
        <v>Loading...</v>
      </c>
      <c r="T911" s="4">
        <v>34.6</v>
      </c>
      <c r="U911" s="4">
        <v>22.7</v>
      </c>
      <c r="V911" s="4">
        <v>2.6</v>
      </c>
      <c r="W911" s="4">
        <v>5.7</v>
      </c>
      <c r="X911" s="4">
        <v>519.92999999999995</v>
      </c>
      <c r="Y911" s="7">
        <f t="shared" ca="1" si="19"/>
        <v>-376.92999999999995</v>
      </c>
    </row>
    <row r="912" spans="1:25" ht="15" x14ac:dyDescent="0.25">
      <c r="A912" s="4">
        <v>523</v>
      </c>
      <c r="C912" s="12" t="s">
        <v>2366</v>
      </c>
      <c r="D912" s="12" t="s">
        <v>2367</v>
      </c>
      <c r="E912" s="5" t="str">
        <f t="shared" si="15"/>
        <v>https://www.screener.in/company/GANECOS/consolidated/</v>
      </c>
      <c r="F912" s="4">
        <v>443059</v>
      </c>
      <c r="G912" s="4">
        <v>3832241897</v>
      </c>
      <c r="H912" s="6">
        <f t="shared" ca="1" si="16"/>
        <v>511527.64841155999</v>
      </c>
      <c r="I912" s="7" t="str">
        <f ca="1">IFERROR(__xludf.DUMMYFUNCTION("IMPORTXML(E912,""/html/body/main/div[3]/div[3]/div[2]/ul/li[5]/span[2]/span"")"),"Loading...")</f>
        <v>Loading...</v>
      </c>
      <c r="J912" s="7">
        <f ca="1">IFERROR(__xludf.DUMMYFUNCTION("GOOGLEFINANCE(""NSE:""&amp;D912,""marketcap"")"),35729140175)</f>
        <v>35729140175</v>
      </c>
      <c r="K912" s="7">
        <v>992.8</v>
      </c>
      <c r="L912" s="8">
        <f ca="1">IFERROR(__xludf.DUMMYFUNCTION("GOOGLEFINANCE(""NSE:""&amp;D912,""price"")"),1334.8)</f>
        <v>1334.8</v>
      </c>
      <c r="M912" s="9">
        <f t="shared" ca="1" si="17"/>
        <v>342</v>
      </c>
      <c r="N912" s="10">
        <f t="shared" ca="1" si="18"/>
        <v>34.448025785656725</v>
      </c>
      <c r="O912" s="7">
        <f ca="1">IFERROR(__xludf.DUMMYFUNCTION("GOOGLEFINANCE(""NSE:""&amp;D912,""pe"")"),37.09)</f>
        <v>37.090000000000003</v>
      </c>
      <c r="P912" s="7">
        <f ca="1">IFERROR(__xludf.DUMMYFUNCTION("GOOGLEFINANCE(""NSE:""&amp;D912,""EPS"")"),35.99)</f>
        <v>35.99</v>
      </c>
      <c r="Q912" s="7">
        <v>13.5</v>
      </c>
      <c r="R912" s="7" t="str">
        <f ca="1">IFERROR(__xludf.DUMMYFUNCTION("IMPORTXML(E912,""/html/body/main/div[3]/div[3]/div[2]/ul/li[7]/span[2]/span"")"),"Loading...")</f>
        <v>Loading...</v>
      </c>
      <c r="S912" s="7" t="str">
        <f ca="1">IFERROR(__xludf.DUMMYFUNCTION("IMPORTXML(E912,""/html/body/main/div[3]/div[3]/div[2]/ul/li[8]/span[2]/span"")"),"Loading...")</f>
        <v>Loading...</v>
      </c>
      <c r="T912" s="4">
        <v>34.6</v>
      </c>
      <c r="U912" s="4">
        <v>22.7</v>
      </c>
      <c r="V912" s="4">
        <v>2.6</v>
      </c>
      <c r="W912" s="4">
        <v>5.7</v>
      </c>
      <c r="X912" s="4">
        <v>519.92999999999995</v>
      </c>
      <c r="Y912" s="7">
        <f t="shared" ca="1" si="19"/>
        <v>814.87</v>
      </c>
    </row>
    <row r="913" spans="1:25" ht="15" x14ac:dyDescent="0.25">
      <c r="A913" s="4">
        <v>2356</v>
      </c>
      <c r="C913" s="12" t="s">
        <v>2368</v>
      </c>
      <c r="D913" s="12" t="s">
        <v>2369</v>
      </c>
      <c r="E913" s="5" t="str">
        <f t="shared" si="15"/>
        <v>https://www.screener.in/company/AJOONI/consolidated/</v>
      </c>
      <c r="F913" s="4">
        <v>443059</v>
      </c>
      <c r="G913" s="4">
        <v>3832241897</v>
      </c>
      <c r="H913" s="6">
        <f t="shared" ca="1" si="16"/>
        <v>2011.926995925</v>
      </c>
      <c r="I913" s="7" t="str">
        <f ca="1">IFERROR(__xludf.DUMMYFUNCTION("IMPORTXML(E913,""/html/body/main/div[3]/div[3]/div[2]/ul/li[5]/span[2]/span"")"),"Loading...")</f>
        <v>Loading...</v>
      </c>
      <c r="J913" s="7">
        <f ca="1">IFERROR(__xludf.DUMMYFUNCTION("GOOGLEFINANCE(""NSE:""&amp;D913,""marketcap"")"),904278900)</f>
        <v>904278900</v>
      </c>
      <c r="K913" s="7">
        <v>992.8</v>
      </c>
      <c r="L913" s="8">
        <f ca="1">IFERROR(__xludf.DUMMYFUNCTION("GOOGLEFINANCE(""NSE:""&amp;D913,""price"")"),5.25)</f>
        <v>5.25</v>
      </c>
      <c r="M913" s="9">
        <f t="shared" ca="1" si="17"/>
        <v>-987.55</v>
      </c>
      <c r="N913" s="10">
        <f t="shared" ca="1" si="18"/>
        <v>-99.471192586623687</v>
      </c>
      <c r="O913" s="7">
        <f ca="1">IFERROR(__xludf.DUMMYFUNCTION("GOOGLEFINANCE(""NSE:""&amp;D913,""pe"")"),24.59)</f>
        <v>24.59</v>
      </c>
      <c r="P913" s="7">
        <f ca="1">IFERROR(__xludf.DUMMYFUNCTION("GOOGLEFINANCE(""NSE:""&amp;D913,""EPS"")"),0.21)</f>
        <v>0.21</v>
      </c>
      <c r="Q913" s="7">
        <v>13.5</v>
      </c>
      <c r="R913" s="7" t="str">
        <f ca="1">IFERROR(__xludf.DUMMYFUNCTION("IMPORTXML(E913,""/html/body/main/div[3]/div[3]/div[2]/ul/li[7]/span[2]/span"")"),"Loading...")</f>
        <v>Loading...</v>
      </c>
      <c r="S913" s="7" t="str">
        <f ca="1">IFERROR(__xludf.DUMMYFUNCTION("IMPORTXML(E913,""/html/body/main/div[3]/div[3]/div[2]/ul/li[8]/span[2]/span"")"),"Loading...")</f>
        <v>Loading...</v>
      </c>
      <c r="T913" s="4">
        <v>34.6</v>
      </c>
      <c r="U913" s="4">
        <v>22.7</v>
      </c>
      <c r="V913" s="4">
        <v>2.6</v>
      </c>
      <c r="W913" s="4">
        <v>5.7</v>
      </c>
      <c r="X913" s="4">
        <v>519.92999999999995</v>
      </c>
      <c r="Y913" s="7">
        <f t="shared" ca="1" si="19"/>
        <v>-514.67999999999995</v>
      </c>
    </row>
    <row r="914" spans="1:25" ht="15" x14ac:dyDescent="0.25">
      <c r="A914" s="4">
        <v>1031</v>
      </c>
      <c r="C914" s="12" t="s">
        <v>2370</v>
      </c>
      <c r="D914" s="12" t="s">
        <v>2371</v>
      </c>
      <c r="E914" s="5" t="str">
        <f t="shared" si="15"/>
        <v>https://www.screener.in/company/ASIANENE/consolidated/</v>
      </c>
      <c r="F914" s="4">
        <v>443059</v>
      </c>
      <c r="G914" s="4">
        <v>3832241897</v>
      </c>
      <c r="H914" s="6">
        <f t="shared" ca="1" si="16"/>
        <v>147982.02085265497</v>
      </c>
      <c r="I914" s="7" t="str">
        <f ca="1">IFERROR(__xludf.DUMMYFUNCTION("IMPORTXML(E914,""/html/body/main/div[3]/div[3]/div[2]/ul/li[5]/span[2]/span"")"),"Loading...")</f>
        <v>Loading...</v>
      </c>
      <c r="J914" s="7">
        <f ca="1">IFERROR(__xludf.DUMMYFUNCTION("GOOGLEFINANCE(""NSE:""&amp;D914,""marketcap"")"),17228898860)</f>
        <v>17228898860</v>
      </c>
      <c r="K914" s="7">
        <v>992.8</v>
      </c>
      <c r="L914" s="8">
        <f ca="1">IFERROR(__xludf.DUMMYFUNCTION("GOOGLEFINANCE(""NSE:""&amp;D914,""price"")"),386.15)</f>
        <v>386.15</v>
      </c>
      <c r="M914" s="9">
        <f t="shared" ca="1" si="17"/>
        <v>-606.65</v>
      </c>
      <c r="N914" s="10">
        <f t="shared" ca="1" si="18"/>
        <v>-61.104955680902492</v>
      </c>
      <c r="O914" s="7">
        <f ca="1">IFERROR(__xludf.DUMMYFUNCTION("GOOGLEFINANCE(""NSE:""&amp;D914,""pe"")"),37.6)</f>
        <v>37.6</v>
      </c>
      <c r="P914" s="7">
        <f ca="1">IFERROR(__xludf.DUMMYFUNCTION("GOOGLEFINANCE(""NSE:""&amp;D914,""EPS"")"),10.27)</f>
        <v>10.27</v>
      </c>
      <c r="Q914" s="7">
        <v>13.5</v>
      </c>
      <c r="R914" s="7" t="str">
        <f ca="1">IFERROR(__xludf.DUMMYFUNCTION("IMPORTXML(E914,""/html/body/main/div[3]/div[3]/div[2]/ul/li[7]/span[2]/span"")"),"Loading...")</f>
        <v>Loading...</v>
      </c>
      <c r="S914" s="7" t="str">
        <f ca="1">IFERROR(__xludf.DUMMYFUNCTION("IMPORTXML(E914,""/html/body/main/div[3]/div[3]/div[2]/ul/li[8]/span[2]/span"")"),"Loading...")</f>
        <v>Loading...</v>
      </c>
      <c r="T914" s="4">
        <v>34.6</v>
      </c>
      <c r="U914" s="4">
        <v>22.7</v>
      </c>
      <c r="V914" s="4">
        <v>2.6</v>
      </c>
      <c r="W914" s="4">
        <v>5.7</v>
      </c>
      <c r="X914" s="4">
        <v>519.92999999999995</v>
      </c>
      <c r="Y914" s="7">
        <f t="shared" ca="1" si="19"/>
        <v>-133.77999999999997</v>
      </c>
    </row>
    <row r="915" spans="1:25" ht="15" x14ac:dyDescent="0.25">
      <c r="A915" s="4">
        <v>334</v>
      </c>
      <c r="C915" s="12" t="s">
        <v>2372</v>
      </c>
      <c r="D915" s="12" t="s">
        <v>2373</v>
      </c>
      <c r="E915" s="5" t="str">
        <f t="shared" si="15"/>
        <v>https://www.screener.in/company/BBOX/consolidated/</v>
      </c>
      <c r="F915" s="4">
        <v>443059</v>
      </c>
      <c r="G915" s="4">
        <v>3832241897</v>
      </c>
      <c r="H915" s="6">
        <f t="shared" ca="1" si="16"/>
        <v>171684.43698560001</v>
      </c>
      <c r="I915" s="7" t="str">
        <f ca="1">IFERROR(__xludf.DUMMYFUNCTION("IMPORTXML(E915,""/html/body/main/div[3]/div[3]/div[2]/ul/li[5]/span[2]/span"")"),"Loading...")</f>
        <v>Loading...</v>
      </c>
      <c r="J915" s="7">
        <f ca="1">IFERROR(__xludf.DUMMYFUNCTION("GOOGLEFINANCE(""NSE:""&amp;D915,""marketcap"")"),76154400000)</f>
        <v>76154400000</v>
      </c>
      <c r="K915" s="7">
        <v>992.8</v>
      </c>
      <c r="L915" s="8">
        <f ca="1">IFERROR(__xludf.DUMMYFUNCTION("GOOGLEFINANCE(""NSE:""&amp;D915,""price"")"),448)</f>
        <v>448</v>
      </c>
      <c r="M915" s="9">
        <f t="shared" ca="1" si="17"/>
        <v>-544.79999999999995</v>
      </c>
      <c r="N915" s="10">
        <f t="shared" ca="1" si="18"/>
        <v>-54.875100725221593</v>
      </c>
      <c r="O915" s="7">
        <f ca="1">IFERROR(__xludf.DUMMYFUNCTION("GOOGLEFINANCE(""NSE:""&amp;D915,""pe"")"),35.4)</f>
        <v>35.4</v>
      </c>
      <c r="P915" s="7">
        <f ca="1">IFERROR(__xludf.DUMMYFUNCTION("GOOGLEFINANCE(""NSE:""&amp;D915,""EPS"")"),12.66)</f>
        <v>12.66</v>
      </c>
      <c r="Q915" s="7">
        <v>13.5</v>
      </c>
      <c r="R915" s="7" t="str">
        <f ca="1">IFERROR(__xludf.DUMMYFUNCTION("IMPORTXML(E915,""/html/body/main/div[3]/div[3]/div[2]/ul/li[7]/span[2]/span"")"),"Loading...")</f>
        <v>Loading...</v>
      </c>
      <c r="S915" s="7" t="str">
        <f ca="1">IFERROR(__xludf.DUMMYFUNCTION("IMPORTXML(E915,""/html/body/main/div[3]/div[3]/div[2]/ul/li[8]/span[2]/span"")"),"Loading...")</f>
        <v>Loading...</v>
      </c>
      <c r="T915" s="4">
        <v>34.6</v>
      </c>
      <c r="U915" s="4">
        <v>22.7</v>
      </c>
      <c r="V915" s="4">
        <v>2.6</v>
      </c>
      <c r="W915" s="4">
        <v>5.7</v>
      </c>
      <c r="X915" s="4">
        <v>519.92999999999995</v>
      </c>
      <c r="Y915" s="7">
        <f t="shared" ca="1" si="19"/>
        <v>-71.92999999999995</v>
      </c>
    </row>
    <row r="916" spans="1:25" ht="15" x14ac:dyDescent="0.25">
      <c r="A916" s="4">
        <v>371</v>
      </c>
      <c r="C916" s="12" t="s">
        <v>2374</v>
      </c>
      <c r="D916" s="12" t="s">
        <v>2375</v>
      </c>
      <c r="E916" s="5" t="str">
        <f t="shared" si="15"/>
        <v>https://www.screener.in/company/GARFIBRES/consolidated/</v>
      </c>
      <c r="F916" s="4">
        <v>443059</v>
      </c>
      <c r="G916" s="4">
        <v>3832241897</v>
      </c>
      <c r="H916" s="6">
        <f t="shared" ca="1" si="16"/>
        <v>294316.17768959998</v>
      </c>
      <c r="I916" s="7" t="str">
        <f ca="1">IFERROR(__xludf.DUMMYFUNCTION("IMPORTXML(E916,""/html/body/main/div[3]/div[3]/div[2]/ul/li[5]/span[2]/span"")"),"Loading...")</f>
        <v>Loading...</v>
      </c>
      <c r="J916" s="7">
        <f ca="1">IFERROR(__xludf.DUMMYFUNCTION("GOOGLEFINANCE(""NSE:""&amp;D916,""marketcap"")"),76236165120)</f>
        <v>76236165120</v>
      </c>
      <c r="K916" s="7">
        <v>992.8</v>
      </c>
      <c r="L916" s="8">
        <f ca="1">IFERROR(__xludf.DUMMYFUNCTION("GOOGLEFINANCE(""NSE:""&amp;D916,""price"")"),768)</f>
        <v>768</v>
      </c>
      <c r="M916" s="9">
        <f t="shared" ca="1" si="17"/>
        <v>-224.79999999999995</v>
      </c>
      <c r="N916" s="10">
        <f t="shared" ca="1" si="18"/>
        <v>-22.643029814665589</v>
      </c>
      <c r="O916" s="7">
        <f ca="1">IFERROR(__xludf.DUMMYFUNCTION("GOOGLEFINANCE(""NSE:""&amp;D916,""pe"")"),32.04)</f>
        <v>32.04</v>
      </c>
      <c r="P916" s="7">
        <f ca="1">IFERROR(__xludf.DUMMYFUNCTION("GOOGLEFINANCE(""NSE:""&amp;D916,""EPS"")"),23.97)</f>
        <v>23.97</v>
      </c>
      <c r="Q916" s="7">
        <v>13.5</v>
      </c>
      <c r="R916" s="7" t="str">
        <f ca="1">IFERROR(__xludf.DUMMYFUNCTION("IMPORTXML(E916,""/html/body/main/div[3]/div[3]/div[2]/ul/li[7]/span[2]/span"")"),"Loading...")</f>
        <v>Loading...</v>
      </c>
      <c r="S916" s="7" t="str">
        <f ca="1">IFERROR(__xludf.DUMMYFUNCTION("IMPORTXML(E916,""/html/body/main/div[3]/div[3]/div[2]/ul/li[8]/span[2]/span"")"),"Loading...")</f>
        <v>Loading...</v>
      </c>
      <c r="T916" s="4">
        <v>34.6</v>
      </c>
      <c r="U916" s="4">
        <v>22.7</v>
      </c>
      <c r="V916" s="4">
        <v>2.6</v>
      </c>
      <c r="W916" s="4">
        <v>5.7</v>
      </c>
      <c r="X916" s="4">
        <v>519.92999999999995</v>
      </c>
      <c r="Y916" s="7">
        <f t="shared" ca="1" si="19"/>
        <v>248.07000000000005</v>
      </c>
    </row>
    <row r="917" spans="1:25" ht="15" x14ac:dyDescent="0.25">
      <c r="A917" s="4">
        <v>29</v>
      </c>
      <c r="C917" s="12" t="s">
        <v>2376</v>
      </c>
      <c r="D917" s="12" t="s">
        <v>2377</v>
      </c>
      <c r="E917" s="5" t="str">
        <f t="shared" si="15"/>
        <v>https://www.screener.in/company/BASF/consolidated/</v>
      </c>
      <c r="F917" s="4">
        <v>443059</v>
      </c>
      <c r="G917" s="4">
        <v>3832241897</v>
      </c>
      <c r="H917" s="6">
        <f t="shared" ca="1" si="16"/>
        <v>1774404.6431489398</v>
      </c>
      <c r="I917" s="7" t="str">
        <f ca="1">IFERROR(__xludf.DUMMYFUNCTION("IMPORTXML(E917,""/html/body/main/div[3]/div[3]/div[2]/ul/li[5]/span[2]/span"")"),"Loading...")</f>
        <v>Loading...</v>
      </c>
      <c r="J917" s="7">
        <f ca="1">IFERROR(__xludf.DUMMYFUNCTION("GOOGLEFINANCE(""NSE:""&amp;D917,""marketcap"")"),201204600000)</f>
        <v>201204600000</v>
      </c>
      <c r="K917" s="7">
        <v>992.8</v>
      </c>
      <c r="L917" s="8">
        <f ca="1">IFERROR(__xludf.DUMMYFUNCTION("GOOGLEFINANCE(""NSE:""&amp;D917,""price"")"),4630.2)</f>
        <v>4630.2</v>
      </c>
      <c r="M917" s="9">
        <f t="shared" ca="1" si="17"/>
        <v>3637.3999999999996</v>
      </c>
      <c r="N917" s="10">
        <f t="shared" ca="1" si="18"/>
        <v>366.37792103142624</v>
      </c>
      <c r="O917" s="7">
        <f ca="1">IFERROR(__xludf.DUMMYFUNCTION("GOOGLEFINANCE(""NSE:""&amp;D917,""pe"")"),50.61)</f>
        <v>50.61</v>
      </c>
      <c r="P917" s="7">
        <f ca="1">IFERROR(__xludf.DUMMYFUNCTION("GOOGLEFINANCE(""NSE:""&amp;D917,""EPS"")"),91.49)</f>
        <v>91.49</v>
      </c>
      <c r="Q917" s="7">
        <v>13.5</v>
      </c>
      <c r="R917" s="7" t="str">
        <f ca="1">IFERROR(__xludf.DUMMYFUNCTION("IMPORTXML(E917,""/html/body/main/div[3]/div[3]/div[2]/ul/li[7]/span[2]/span"")"),"Loading...")</f>
        <v>Loading...</v>
      </c>
      <c r="S917" s="7" t="str">
        <f ca="1">IFERROR(__xludf.DUMMYFUNCTION("IMPORTXML(E917,""/html/body/main/div[3]/div[3]/div[2]/ul/li[8]/span[2]/span"")"),"Loading...")</f>
        <v>Loading...</v>
      </c>
      <c r="T917" s="4">
        <v>34.6</v>
      </c>
      <c r="U917" s="4">
        <v>22.7</v>
      </c>
      <c r="V917" s="4">
        <v>2.6</v>
      </c>
      <c r="W917" s="4">
        <v>5.7</v>
      </c>
      <c r="X917" s="4">
        <v>519.92999999999995</v>
      </c>
      <c r="Y917" s="7">
        <f t="shared" ca="1" si="19"/>
        <v>4110.2699999999995</v>
      </c>
    </row>
    <row r="918" spans="1:25" ht="15" x14ac:dyDescent="0.25">
      <c r="A918" s="4">
        <v>995</v>
      </c>
      <c r="C918" s="12" t="s">
        <v>2378</v>
      </c>
      <c r="D918" s="12" t="s">
        <v>2379</v>
      </c>
      <c r="E918" s="5" t="str">
        <f t="shared" si="15"/>
        <v>https://www.screener.in/company/ASALCBR/consolidated/</v>
      </c>
      <c r="F918" s="4">
        <v>443059</v>
      </c>
      <c r="G918" s="4">
        <v>3832241897</v>
      </c>
      <c r="H918" s="6">
        <f t="shared" ca="1" si="16"/>
        <v>386175.01596069004</v>
      </c>
      <c r="I918" s="7" t="str">
        <f ca="1">IFERROR(__xludf.DUMMYFUNCTION("IMPORTXML(E918,""/html/body/main/div[3]/div[3]/div[2]/ul/li[5]/span[2]/span"")"),"Loading...")</f>
        <v>Loading...</v>
      </c>
      <c r="J918" s="7">
        <f ca="1">IFERROR(__xludf.DUMMYFUNCTION("GOOGLEFINANCE(""NSE:""&amp;D918,""marketcap"")"),18218399983)</f>
        <v>18218399983</v>
      </c>
      <c r="K918" s="7">
        <v>992.8</v>
      </c>
      <c r="L918" s="8">
        <f ca="1">IFERROR(__xludf.DUMMYFUNCTION("GOOGLEFINANCE(""NSE:""&amp;D918,""price"")"),1007.7)</f>
        <v>1007.7</v>
      </c>
      <c r="M918" s="9">
        <f t="shared" ca="1" si="17"/>
        <v>14.900000000000091</v>
      </c>
      <c r="N918" s="10">
        <f t="shared" ca="1" si="18"/>
        <v>1.5008058017727732</v>
      </c>
      <c r="O918" s="7">
        <f ca="1">IFERROR(__xludf.DUMMYFUNCTION("GOOGLEFINANCE(""NSE:""&amp;D918,""pe"")"),21.84)</f>
        <v>21.84</v>
      </c>
      <c r="P918" s="7">
        <f ca="1">IFERROR(__xludf.DUMMYFUNCTION("GOOGLEFINANCE(""NSE:""&amp;D918,""EPS"")"),46.14)</f>
        <v>46.14</v>
      </c>
      <c r="Q918" s="7">
        <v>13.5</v>
      </c>
      <c r="R918" s="7" t="str">
        <f ca="1">IFERROR(__xludf.DUMMYFUNCTION("IMPORTXML(E918,""/html/body/main/div[3]/div[3]/div[2]/ul/li[7]/span[2]/span"")"),"Loading...")</f>
        <v>Loading...</v>
      </c>
      <c r="S918" s="7" t="str">
        <f ca="1">IFERROR(__xludf.DUMMYFUNCTION("IMPORTXML(E918,""/html/body/main/div[3]/div[3]/div[2]/ul/li[8]/span[2]/span"")"),"Loading...")</f>
        <v>Loading...</v>
      </c>
      <c r="T918" s="4">
        <v>34.6</v>
      </c>
      <c r="U918" s="4">
        <v>22.7</v>
      </c>
      <c r="V918" s="4">
        <v>2.6</v>
      </c>
      <c r="W918" s="4">
        <v>5.7</v>
      </c>
      <c r="X918" s="4">
        <v>519.92999999999995</v>
      </c>
      <c r="Y918" s="7">
        <f t="shared" ca="1" si="19"/>
        <v>487.7700000000001</v>
      </c>
    </row>
    <row r="919" spans="1:25" ht="15" x14ac:dyDescent="0.25">
      <c r="A919" s="4">
        <v>342</v>
      </c>
      <c r="C919" s="12" t="s">
        <v>2380</v>
      </c>
      <c r="D919" s="12" t="s">
        <v>2381</v>
      </c>
      <c r="E919" s="5" t="str">
        <f t="shared" si="15"/>
        <v>https://www.screener.in/company/HEG/consolidated/</v>
      </c>
      <c r="F919" s="4">
        <v>443059</v>
      </c>
      <c r="G919" s="4">
        <v>3832241897</v>
      </c>
      <c r="H919" s="6">
        <f t="shared" ca="1" si="16"/>
        <v>188929.52552210001</v>
      </c>
      <c r="I919" s="7" t="str">
        <f ca="1">IFERROR(__xludf.DUMMYFUNCTION("IMPORTXML(E919,""/html/body/main/div[3]/div[3]/div[2]/ul/li[5]/span[2]/span"")"),"Loading...")</f>
        <v>Loading...</v>
      </c>
      <c r="J919" s="7">
        <f ca="1">IFERROR(__xludf.DUMMYFUNCTION("GOOGLEFINANCE(""NSE:""&amp;D919,""marketcap"")"),95070408955)</f>
        <v>95070408955</v>
      </c>
      <c r="K919" s="7">
        <v>992.8</v>
      </c>
      <c r="L919" s="8">
        <f ca="1">IFERROR(__xludf.DUMMYFUNCTION("GOOGLEFINANCE(""NSE:""&amp;D919,""price"")"),493)</f>
        <v>493</v>
      </c>
      <c r="M919" s="9">
        <f t="shared" ca="1" si="17"/>
        <v>-499.79999999999995</v>
      </c>
      <c r="N919" s="10">
        <f t="shared" ca="1" si="18"/>
        <v>-50.342465753424662</v>
      </c>
      <c r="O919" s="7">
        <f ca="1">IFERROR(__xludf.DUMMYFUNCTION("GOOGLEFINANCE(""NSE:""&amp;D919,""pe"")"),48.37)</f>
        <v>48.37</v>
      </c>
      <c r="P919" s="7">
        <f ca="1">IFERROR(__xludf.DUMMYFUNCTION("GOOGLEFINANCE(""NSE:""&amp;D919,""EPS"")"),10.19)</f>
        <v>10.19</v>
      </c>
      <c r="Q919" s="7">
        <v>13.5</v>
      </c>
      <c r="R919" s="7" t="str">
        <f ca="1">IFERROR(__xludf.DUMMYFUNCTION("IMPORTXML(E919,""/html/body/main/div[3]/div[3]/div[2]/ul/li[7]/span[2]/span"")"),"Loading...")</f>
        <v>Loading...</v>
      </c>
      <c r="S919" s="7" t="str">
        <f ca="1">IFERROR(__xludf.DUMMYFUNCTION("IMPORTXML(E919,""/html/body/main/div[3]/div[3]/div[2]/ul/li[8]/span[2]/span"")"),"Loading...")</f>
        <v>Loading...</v>
      </c>
      <c r="T919" s="4">
        <v>34.6</v>
      </c>
      <c r="U919" s="4">
        <v>22.7</v>
      </c>
      <c r="V919" s="4">
        <v>2.6</v>
      </c>
      <c r="W919" s="4">
        <v>5.7</v>
      </c>
      <c r="X919" s="4">
        <v>519.92999999999995</v>
      </c>
      <c r="Y919" s="7">
        <f t="shared" ca="1" si="19"/>
        <v>-26.92999999999995</v>
      </c>
    </row>
    <row r="920" spans="1:25" ht="15" x14ac:dyDescent="0.25">
      <c r="A920" s="4">
        <v>1461</v>
      </c>
      <c r="C920" s="12" t="s">
        <v>2382</v>
      </c>
      <c r="D920" s="12" t="s">
        <v>2383</v>
      </c>
      <c r="E920" s="5" t="str">
        <f t="shared" si="15"/>
        <v>https://www.screener.in/company/SGIL/consolidated/</v>
      </c>
      <c r="F920" s="4">
        <v>443059</v>
      </c>
      <c r="G920" s="4">
        <v>3832241897</v>
      </c>
      <c r="H920" s="6">
        <f t="shared" ca="1" si="16"/>
        <v>210734.98191602997</v>
      </c>
      <c r="I920" s="7" t="str">
        <f ca="1">IFERROR(__xludf.DUMMYFUNCTION("IMPORTXML(E920,""/html/body/main/div[3]/div[3]/div[2]/ul/li[5]/span[2]/span"")"),"Loading...")</f>
        <v>Loading...</v>
      </c>
      <c r="J920" s="7">
        <f ca="1">IFERROR(__xludf.DUMMYFUNCTION("GOOGLEFINANCE(""NSE:""&amp;D920,""marketcap"")"),8547090580)</f>
        <v>8547090580</v>
      </c>
      <c r="K920" s="7">
        <v>992.8</v>
      </c>
      <c r="L920" s="8">
        <f ca="1">IFERROR(__xludf.DUMMYFUNCTION("GOOGLEFINANCE(""NSE:""&amp;D920,""price"")"),549.9)</f>
        <v>549.9</v>
      </c>
      <c r="M920" s="9">
        <f t="shared" ca="1" si="17"/>
        <v>-442.9</v>
      </c>
      <c r="N920" s="10">
        <f t="shared" ca="1" si="18"/>
        <v>-44.611200644641421</v>
      </c>
      <c r="O920" s="7">
        <f ca="1">IFERROR(__xludf.DUMMYFUNCTION("GOOGLEFINANCE(""NSE:""&amp;D920,""pe"")"),47.9)</f>
        <v>47.9</v>
      </c>
      <c r="P920" s="7">
        <f ca="1">IFERROR(__xludf.DUMMYFUNCTION("GOOGLEFINANCE(""NSE:""&amp;D920,""EPS"")"),11.48)</f>
        <v>11.48</v>
      </c>
      <c r="Q920" s="7">
        <v>13.5</v>
      </c>
      <c r="R920" s="7" t="str">
        <f ca="1">IFERROR(__xludf.DUMMYFUNCTION("IMPORTXML(E920,""/html/body/main/div[3]/div[3]/div[2]/ul/li[7]/span[2]/span"")"),"Loading...")</f>
        <v>Loading...</v>
      </c>
      <c r="S920" s="7" t="str">
        <f ca="1">IFERROR(__xludf.DUMMYFUNCTION("IMPORTXML(E920,""/html/body/main/div[3]/div[3]/div[2]/ul/li[8]/span[2]/span"")"),"Loading...")</f>
        <v>Loading...</v>
      </c>
      <c r="T920" s="4">
        <v>34.6</v>
      </c>
      <c r="U920" s="4">
        <v>22.7</v>
      </c>
      <c r="V920" s="4">
        <v>2.6</v>
      </c>
      <c r="W920" s="4">
        <v>5.7</v>
      </c>
      <c r="X920" s="4">
        <v>519.92999999999995</v>
      </c>
      <c r="Y920" s="7">
        <f t="shared" ca="1" si="19"/>
        <v>29.970000000000027</v>
      </c>
    </row>
    <row r="921" spans="1:25" ht="15" x14ac:dyDescent="0.25">
      <c r="A921" s="4">
        <v>570</v>
      </c>
      <c r="C921" s="12" t="s">
        <v>2384</v>
      </c>
      <c r="D921" s="12" t="s">
        <v>2385</v>
      </c>
      <c r="E921" s="5" t="str">
        <f t="shared" si="15"/>
        <v>https://www.screener.in/company/GREENPLY/consolidated/</v>
      </c>
      <c r="F921" s="4">
        <v>443059</v>
      </c>
      <c r="G921" s="4">
        <v>3832241897</v>
      </c>
      <c r="H921" s="6">
        <f t="shared" ca="1" si="16"/>
        <v>113434.3601512</v>
      </c>
      <c r="I921" s="7" t="str">
        <f ca="1">IFERROR(__xludf.DUMMYFUNCTION("IMPORTXML(E921,""/html/body/main/div[3]/div[3]/div[2]/ul/li[5]/span[2]/span"")"),"Loading...")</f>
        <v>Loading...</v>
      </c>
      <c r="J921" s="7">
        <f ca="1">IFERROR(__xludf.DUMMYFUNCTION("GOOGLEFINANCE(""NSE:""&amp;D921,""marketcap"")"),37008118125)</f>
        <v>37008118125</v>
      </c>
      <c r="K921" s="7">
        <v>992.8</v>
      </c>
      <c r="L921" s="8">
        <f ca="1">IFERROR(__xludf.DUMMYFUNCTION("GOOGLEFINANCE(""NSE:""&amp;D921,""price"")"),296)</f>
        <v>296</v>
      </c>
      <c r="M921" s="9">
        <f t="shared" ca="1" si="17"/>
        <v>-696.8</v>
      </c>
      <c r="N921" s="10">
        <f t="shared" ca="1" si="18"/>
        <v>-70.185334407735695</v>
      </c>
      <c r="O921" s="7">
        <f ca="1">IFERROR(__xludf.DUMMYFUNCTION("GOOGLEFINANCE(""NSE:""&amp;D921,""pe"")"),42.53)</f>
        <v>42.53</v>
      </c>
      <c r="P921" s="7">
        <f ca="1">IFERROR(__xludf.DUMMYFUNCTION("GOOGLEFINANCE(""NSE:""&amp;D921,""EPS"")"),6.96)</f>
        <v>6.96</v>
      </c>
      <c r="Q921" s="7">
        <v>13.5</v>
      </c>
      <c r="R921" s="7" t="str">
        <f ca="1">IFERROR(__xludf.DUMMYFUNCTION("IMPORTXML(E921,""/html/body/main/div[3]/div[3]/div[2]/ul/li[7]/span[2]/span"")"),"Loading...")</f>
        <v>Loading...</v>
      </c>
      <c r="S921" s="7" t="str">
        <f ca="1">IFERROR(__xludf.DUMMYFUNCTION("IMPORTXML(E921,""/html/body/main/div[3]/div[3]/div[2]/ul/li[8]/span[2]/span"")"),"Loading...")</f>
        <v>Loading...</v>
      </c>
      <c r="T921" s="4">
        <v>34.6</v>
      </c>
      <c r="U921" s="4">
        <v>22.7</v>
      </c>
      <c r="V921" s="4">
        <v>2.6</v>
      </c>
      <c r="W921" s="4">
        <v>5.7</v>
      </c>
      <c r="X921" s="4">
        <v>519.92999999999995</v>
      </c>
      <c r="Y921" s="7">
        <f t="shared" ca="1" si="19"/>
        <v>-223.92999999999995</v>
      </c>
    </row>
    <row r="922" spans="1:25" ht="15" x14ac:dyDescent="0.25">
      <c r="A922" s="4">
        <v>351</v>
      </c>
      <c r="C922" s="12" t="s">
        <v>2386</v>
      </c>
      <c r="D922" s="12" t="s">
        <v>2387</v>
      </c>
      <c r="E922" s="5" t="str">
        <f t="shared" si="15"/>
        <v>https://www.screener.in/company/ASKAUTOLTD/consolidated/</v>
      </c>
      <c r="F922" s="4">
        <v>443059</v>
      </c>
      <c r="G922" s="4">
        <v>3832241897</v>
      </c>
      <c r="H922" s="6">
        <f t="shared" ca="1" si="16"/>
        <v>201805.85829602001</v>
      </c>
      <c r="I922" s="7" t="str">
        <f ca="1">IFERROR(__xludf.DUMMYFUNCTION("IMPORTXML(E922,""/html/body/main/div[3]/div[3]/div[2]/ul/li[5]/span[2]/span"")"),"Loading...")</f>
        <v>Loading...</v>
      </c>
      <c r="J922" s="7">
        <f ca="1">IFERROR(__xludf.DUMMYFUNCTION("GOOGLEFINANCE(""NSE:""&amp;D922,""marketcap"")"),103894895617)</f>
        <v>103894895617</v>
      </c>
      <c r="K922" s="7">
        <v>992.8</v>
      </c>
      <c r="L922" s="8">
        <f ca="1">IFERROR(__xludf.DUMMYFUNCTION("GOOGLEFINANCE(""NSE:""&amp;D922,""price"")"),526.6)</f>
        <v>526.6</v>
      </c>
      <c r="M922" s="9">
        <f t="shared" ca="1" si="17"/>
        <v>-466.19999999999993</v>
      </c>
      <c r="N922" s="10">
        <f t="shared" ca="1" si="18"/>
        <v>-46.958098307816272</v>
      </c>
      <c r="O922" s="7">
        <f ca="1">IFERROR(__xludf.DUMMYFUNCTION("GOOGLEFINANCE(""NSE:""&amp;D922,""pe"")"),40.44)</f>
        <v>40.44</v>
      </c>
      <c r="P922" s="7">
        <f ca="1">IFERROR(__xludf.DUMMYFUNCTION("GOOGLEFINANCE(""NSE:""&amp;D922,""EPS"")"),13.02)</f>
        <v>13.02</v>
      </c>
      <c r="Q922" s="7">
        <v>13.5</v>
      </c>
      <c r="R922" s="7" t="str">
        <f ca="1">IFERROR(__xludf.DUMMYFUNCTION("IMPORTXML(E922,""/html/body/main/div[3]/div[3]/div[2]/ul/li[7]/span[2]/span"")"),"Loading...")</f>
        <v>Loading...</v>
      </c>
      <c r="S922" s="7" t="str">
        <f ca="1">IFERROR(__xludf.DUMMYFUNCTION("IMPORTXML(E922,""/html/body/main/div[3]/div[3]/div[2]/ul/li[8]/span[2]/span"")"),"Loading...")</f>
        <v>Loading...</v>
      </c>
      <c r="T922" s="4">
        <v>34.6</v>
      </c>
      <c r="U922" s="4">
        <v>22.7</v>
      </c>
      <c r="V922" s="4">
        <v>2.6</v>
      </c>
      <c r="W922" s="4">
        <v>5.7</v>
      </c>
      <c r="X922" s="4">
        <v>519.92999999999995</v>
      </c>
      <c r="Y922" s="7">
        <f t="shared" ca="1" si="19"/>
        <v>6.6700000000000728</v>
      </c>
    </row>
    <row r="923" spans="1:25" ht="15" x14ac:dyDescent="0.25">
      <c r="A923" s="4">
        <v>57</v>
      </c>
      <c r="C923" s="12" t="s">
        <v>2388</v>
      </c>
      <c r="D923" s="12" t="s">
        <v>2389</v>
      </c>
      <c r="E923" s="5" t="str">
        <f t="shared" si="15"/>
        <v>https://www.screener.in/company/RATNAMANI/consolidated/</v>
      </c>
      <c r="F923" s="4">
        <v>443059</v>
      </c>
      <c r="G923" s="4">
        <v>3832241897</v>
      </c>
      <c r="H923" s="6">
        <f t="shared" ca="1" si="16"/>
        <v>923302.04024421016</v>
      </c>
      <c r="I923" s="7" t="str">
        <f ca="1">IFERROR(__xludf.DUMMYFUNCTION("IMPORTXML(E923,""/html/body/main/div[3]/div[3]/div[2]/ul/li[5]/span[2]/span"")"),"Loading...")</f>
        <v>Loading...</v>
      </c>
      <c r="J923" s="7">
        <f ca="1">IFERROR(__xludf.DUMMYFUNCTION("GOOGLEFINANCE(""NSE:""&amp;D923,""marketcap"")"),168403000000)</f>
        <v>168403000000</v>
      </c>
      <c r="K923" s="7">
        <v>992.8</v>
      </c>
      <c r="L923" s="8">
        <f ca="1">IFERROR(__xludf.DUMMYFUNCTION("GOOGLEFINANCE(""NSE:""&amp;D923,""price"")"),2409.3)</f>
        <v>2409.3000000000002</v>
      </c>
      <c r="M923" s="9">
        <f t="shared" ca="1" si="17"/>
        <v>1416.5000000000002</v>
      </c>
      <c r="N923" s="10">
        <f t="shared" ca="1" si="18"/>
        <v>142.6772763900081</v>
      </c>
      <c r="O923" s="7">
        <f ca="1">IFERROR(__xludf.DUMMYFUNCTION("GOOGLEFINANCE(""NSE:""&amp;D923,""pe"")"),29.71)</f>
        <v>29.71</v>
      </c>
      <c r="P923" s="7">
        <f ca="1">IFERROR(__xludf.DUMMYFUNCTION("GOOGLEFINANCE(""NSE:""&amp;D923,""EPS"")"),81.1)</f>
        <v>81.099999999999994</v>
      </c>
      <c r="Q923" s="7">
        <v>13.5</v>
      </c>
      <c r="R923" s="7" t="str">
        <f ca="1">IFERROR(__xludf.DUMMYFUNCTION("IMPORTXML(E923,""/html/body/main/div[3]/div[3]/div[2]/ul/li[7]/span[2]/span"")"),"Loading...")</f>
        <v>Loading...</v>
      </c>
      <c r="S923" s="7" t="str">
        <f ca="1">IFERROR(__xludf.DUMMYFUNCTION("IMPORTXML(E923,""/html/body/main/div[3]/div[3]/div[2]/ul/li[8]/span[2]/span"")"),"Loading...")</f>
        <v>Loading...</v>
      </c>
      <c r="T923" s="4">
        <v>34.6</v>
      </c>
      <c r="U923" s="4">
        <v>22.7</v>
      </c>
      <c r="V923" s="4">
        <v>2.6</v>
      </c>
      <c r="W923" s="4">
        <v>5.7</v>
      </c>
      <c r="X923" s="4">
        <v>519.92999999999995</v>
      </c>
      <c r="Y923" s="7">
        <f t="shared" ca="1" si="19"/>
        <v>1889.3700000000003</v>
      </c>
    </row>
    <row r="924" spans="1:25" ht="15" x14ac:dyDescent="0.25">
      <c r="A924" s="4">
        <v>1434</v>
      </c>
      <c r="C924" s="12" t="s">
        <v>2390</v>
      </c>
      <c r="D924" s="12" t="s">
        <v>2391</v>
      </c>
      <c r="E924" s="5" t="str">
        <f t="shared" si="15"/>
        <v>https://www.screener.in/company/REMSONSIND/consolidated/</v>
      </c>
      <c r="F924" s="4">
        <v>443059</v>
      </c>
      <c r="G924" s="4">
        <v>3832241897</v>
      </c>
      <c r="H924" s="6">
        <f t="shared" ca="1" si="16"/>
        <v>47845.540084044995</v>
      </c>
      <c r="I924" s="7" t="str">
        <f ca="1">IFERROR(__xludf.DUMMYFUNCTION("IMPORTXML(E924,""/html/body/main/div[3]/div[3]/div[2]/ul/li[5]/span[2]/span"")"),"Loading...")</f>
        <v>Loading...</v>
      </c>
      <c r="J924" s="7">
        <f ca="1">IFERROR(__xludf.DUMMYFUNCTION("GOOGLEFINANCE(""NSE:""&amp;D924,""marketcap"")"),4373252500)</f>
        <v>4373252500</v>
      </c>
      <c r="K924" s="7">
        <v>992.8</v>
      </c>
      <c r="L924" s="8">
        <f ca="1">IFERROR(__xludf.DUMMYFUNCTION("GOOGLEFINANCE(""NSE:""&amp;D924,""price"")"),124.85)</f>
        <v>124.85</v>
      </c>
      <c r="M924" s="9">
        <f t="shared" ca="1" si="17"/>
        <v>-867.94999999999993</v>
      </c>
      <c r="N924" s="10">
        <f t="shared" ca="1" si="18"/>
        <v>-87.424456083803378</v>
      </c>
      <c r="O924" s="7">
        <f ca="1">IFERROR(__xludf.DUMMYFUNCTION("GOOGLEFINANCE(""NSE:""&amp;D924,""pe"")"),28.44)</f>
        <v>28.44</v>
      </c>
      <c r="P924" s="7">
        <f ca="1">IFERROR(__xludf.DUMMYFUNCTION("GOOGLEFINANCE(""NSE:""&amp;D924,""EPS"")"),4.39)</f>
        <v>4.3899999999999997</v>
      </c>
      <c r="Q924" s="7">
        <v>13.5</v>
      </c>
      <c r="R924" s="7" t="str">
        <f ca="1">IFERROR(__xludf.DUMMYFUNCTION("IMPORTXML(E924,""/html/body/main/div[3]/div[3]/div[2]/ul/li[7]/span[2]/span"")"),"Loading...")</f>
        <v>Loading...</v>
      </c>
      <c r="S924" s="7" t="str">
        <f ca="1">IFERROR(__xludf.DUMMYFUNCTION("IMPORTXML(E924,""/html/body/main/div[3]/div[3]/div[2]/ul/li[8]/span[2]/span"")"),"Loading...")</f>
        <v>Loading...</v>
      </c>
      <c r="T924" s="4">
        <v>34.6</v>
      </c>
      <c r="U924" s="4">
        <v>22.7</v>
      </c>
      <c r="V924" s="4">
        <v>2.6</v>
      </c>
      <c r="W924" s="4">
        <v>5.7</v>
      </c>
      <c r="X924" s="4">
        <v>519.92999999999995</v>
      </c>
      <c r="Y924" s="7">
        <f t="shared" ca="1" si="19"/>
        <v>-395.07999999999993</v>
      </c>
    </row>
    <row r="925" spans="1:25" ht="15" x14ac:dyDescent="0.25">
      <c r="A925" s="4">
        <v>166</v>
      </c>
      <c r="C925" s="12" t="s">
        <v>2392</v>
      </c>
      <c r="D925" s="12" t="s">
        <v>2393</v>
      </c>
      <c r="E925" s="5" t="str">
        <f t="shared" si="15"/>
        <v>https://www.screener.in/company/AKZOINDIA/consolidated/</v>
      </c>
      <c r="F925" s="4">
        <v>443059</v>
      </c>
      <c r="G925" s="4">
        <v>3832241897</v>
      </c>
      <c r="H925" s="6">
        <f t="shared" ca="1" si="16"/>
        <v>1297213.8821345</v>
      </c>
      <c r="I925" s="7" t="str">
        <f ca="1">IFERROR(__xludf.DUMMYFUNCTION("IMPORTXML(E925,""/html/body/main/div[3]/div[3]/div[2]/ul/li[5]/span[2]/span"")"),"Loading...")</f>
        <v>Loading...</v>
      </c>
      <c r="J925" s="7">
        <f ca="1">IFERROR(__xludf.DUMMYFUNCTION("GOOGLEFINANCE(""NSE:""&amp;D925,""marketcap"")"),154211228541)</f>
        <v>154211228541</v>
      </c>
      <c r="K925" s="7">
        <v>992.8</v>
      </c>
      <c r="L925" s="8">
        <f ca="1">IFERROR(__xludf.DUMMYFUNCTION("GOOGLEFINANCE(""NSE:""&amp;D925,""price"")"),3385)</f>
        <v>3385</v>
      </c>
      <c r="M925" s="9">
        <f t="shared" ca="1" si="17"/>
        <v>2392.1999999999998</v>
      </c>
      <c r="N925" s="10">
        <f t="shared" ca="1" si="18"/>
        <v>240.95487510072519</v>
      </c>
      <c r="O925" s="7">
        <f ca="1">IFERROR(__xludf.DUMMYFUNCTION("GOOGLEFINANCE(""NSE:""&amp;D925,""pe"")"),37.98)</f>
        <v>37.979999999999997</v>
      </c>
      <c r="P925" s="7">
        <f ca="1">IFERROR(__xludf.DUMMYFUNCTION("GOOGLEFINANCE(""NSE:""&amp;D925,""EPS"")"),89.12)</f>
        <v>89.12</v>
      </c>
      <c r="Q925" s="7">
        <v>13.5</v>
      </c>
      <c r="R925" s="7" t="str">
        <f ca="1">IFERROR(__xludf.DUMMYFUNCTION("IMPORTXML(E925,""/html/body/main/div[3]/div[3]/div[2]/ul/li[7]/span[2]/span"")"),"Loading...")</f>
        <v>Loading...</v>
      </c>
      <c r="S925" s="7" t="str">
        <f ca="1">IFERROR(__xludf.DUMMYFUNCTION("IMPORTXML(E925,""/html/body/main/div[3]/div[3]/div[2]/ul/li[8]/span[2]/span"")"),"Loading...")</f>
        <v>Loading...</v>
      </c>
      <c r="T925" s="4">
        <v>34.6</v>
      </c>
      <c r="U925" s="4">
        <v>22.7</v>
      </c>
      <c r="V925" s="4">
        <v>2.6</v>
      </c>
      <c r="W925" s="4">
        <v>5.7</v>
      </c>
      <c r="X925" s="4">
        <v>519.92999999999995</v>
      </c>
      <c r="Y925" s="7">
        <f t="shared" ca="1" si="19"/>
        <v>2865.07</v>
      </c>
    </row>
    <row r="926" spans="1:25" ht="15" x14ac:dyDescent="0.25">
      <c r="A926" s="4">
        <v>1137</v>
      </c>
      <c r="C926" s="12" t="s">
        <v>2394</v>
      </c>
      <c r="D926" s="12" t="s">
        <v>2395</v>
      </c>
      <c r="E926" s="5" t="str">
        <f t="shared" si="15"/>
        <v>https://www.screener.in/company/DIFFNKG/consolidated/</v>
      </c>
      <c r="F926" s="4">
        <v>443059</v>
      </c>
      <c r="G926" s="4">
        <v>3832241897</v>
      </c>
      <c r="H926" s="6">
        <f t="shared" ca="1" si="16"/>
        <v>149840.6581727</v>
      </c>
      <c r="I926" s="7" t="str">
        <f ca="1">IFERROR(__xludf.DUMMYFUNCTION("IMPORTXML(E926,""/html/body/main/div[3]/div[3]/div[2]/ul/li[5]/span[2]/span"")"),"Loading...")</f>
        <v>Loading...</v>
      </c>
      <c r="J926" s="7">
        <f ca="1">IFERROR(__xludf.DUMMYFUNCTION("GOOGLEFINANCE(""NSE:""&amp;D926,""marketcap"")"),14541970000)</f>
        <v>14541970000</v>
      </c>
      <c r="K926" s="7">
        <v>992.8</v>
      </c>
      <c r="L926" s="8">
        <f ca="1">IFERROR(__xludf.DUMMYFUNCTION("GOOGLEFINANCE(""NSE:""&amp;D926,""price"")"),391)</f>
        <v>391</v>
      </c>
      <c r="M926" s="9">
        <f t="shared" ca="1" si="17"/>
        <v>-601.79999999999995</v>
      </c>
      <c r="N926" s="10">
        <f t="shared" ca="1" si="18"/>
        <v>-60.61643835616438</v>
      </c>
      <c r="O926" s="7">
        <f ca="1">IFERROR(__xludf.DUMMYFUNCTION("GOOGLEFINANCE(""NSE:""&amp;D926,""pe"")"),35.82)</f>
        <v>35.82</v>
      </c>
      <c r="P926" s="7">
        <f ca="1">IFERROR(__xludf.DUMMYFUNCTION("GOOGLEFINANCE(""NSE:""&amp;D926,""EPS"")"),10.92)</f>
        <v>10.92</v>
      </c>
      <c r="Q926" s="7">
        <v>13.5</v>
      </c>
      <c r="R926" s="7" t="str">
        <f ca="1">IFERROR(__xludf.DUMMYFUNCTION("IMPORTXML(E926,""/html/body/main/div[3]/div[3]/div[2]/ul/li[7]/span[2]/span"")"),"Loading...")</f>
        <v>Loading...</v>
      </c>
      <c r="S926" s="7" t="str">
        <f ca="1">IFERROR(__xludf.DUMMYFUNCTION("IMPORTXML(E926,""/html/body/main/div[3]/div[3]/div[2]/ul/li[8]/span[2]/span"")"),"Loading...")</f>
        <v>Loading...</v>
      </c>
      <c r="T926" s="4">
        <v>34.6</v>
      </c>
      <c r="U926" s="4">
        <v>22.7</v>
      </c>
      <c r="V926" s="4">
        <v>2.6</v>
      </c>
      <c r="W926" s="4">
        <v>5.7</v>
      </c>
      <c r="X926" s="4">
        <v>519.92999999999995</v>
      </c>
      <c r="Y926" s="7">
        <f t="shared" ca="1" si="19"/>
        <v>-128.92999999999995</v>
      </c>
    </row>
    <row r="927" spans="1:25" ht="15" x14ac:dyDescent="0.25">
      <c r="A927" s="4">
        <v>51</v>
      </c>
      <c r="C927" s="12" t="s">
        <v>2396</v>
      </c>
      <c r="D927" s="12" t="s">
        <v>2397</v>
      </c>
      <c r="E927" s="5" t="str">
        <f t="shared" si="15"/>
        <v>https://www.screener.in/company/SKFINDIA/consolidated/</v>
      </c>
      <c r="F927" s="4">
        <v>443059</v>
      </c>
      <c r="G927" s="4">
        <v>3832241897</v>
      </c>
      <c r="H927" s="6">
        <f t="shared" ca="1" si="16"/>
        <v>1869367.5973566</v>
      </c>
      <c r="I927" s="7" t="str">
        <f ca="1">IFERROR(__xludf.DUMMYFUNCTION("IMPORTXML(E927,""/html/body/main/div[3]/div[3]/div[2]/ul/li[5]/span[2]/span"")"),"Loading...")</f>
        <v>Loading...</v>
      </c>
      <c r="J927" s="7">
        <f ca="1">IFERROR(__xludf.DUMMYFUNCTION("GOOGLEFINANCE(""NSE:""&amp;D927,""marketcap"")"),241163300000)</f>
        <v>241163300000</v>
      </c>
      <c r="K927" s="7">
        <v>992.8</v>
      </c>
      <c r="L927" s="8">
        <f ca="1">IFERROR(__xludf.DUMMYFUNCTION("GOOGLEFINANCE(""NSE:""&amp;D927,""price"")"),4878)</f>
        <v>4878</v>
      </c>
      <c r="M927" s="9">
        <f t="shared" ca="1" si="17"/>
        <v>3885.2</v>
      </c>
      <c r="N927" s="10">
        <f t="shared" ca="1" si="18"/>
        <v>391.33763094278805</v>
      </c>
      <c r="O927" s="7">
        <f ca="1">IFERROR(__xludf.DUMMYFUNCTION("GOOGLEFINANCE(""NSE:""&amp;D927,""pe"")"),45.89)</f>
        <v>45.89</v>
      </c>
      <c r="P927" s="7">
        <f ca="1">IFERROR(__xludf.DUMMYFUNCTION("GOOGLEFINANCE(""NSE:""&amp;D927,""EPS"")"),106.3)</f>
        <v>106.3</v>
      </c>
      <c r="Q927" s="7">
        <v>13.5</v>
      </c>
      <c r="R927" s="7" t="str">
        <f ca="1">IFERROR(__xludf.DUMMYFUNCTION("IMPORTXML(E927,""/html/body/main/div[3]/div[3]/div[2]/ul/li[7]/span[2]/span"")"),"Loading...")</f>
        <v>Loading...</v>
      </c>
      <c r="S927" s="7" t="str">
        <f ca="1">IFERROR(__xludf.DUMMYFUNCTION("IMPORTXML(E927,""/html/body/main/div[3]/div[3]/div[2]/ul/li[8]/span[2]/span"")"),"Loading...")</f>
        <v>Loading...</v>
      </c>
      <c r="T927" s="4">
        <v>34.6</v>
      </c>
      <c r="U927" s="4">
        <v>22.7</v>
      </c>
      <c r="V927" s="4">
        <v>2.6</v>
      </c>
      <c r="W927" s="4">
        <v>5.7</v>
      </c>
      <c r="X927" s="4">
        <v>519.92999999999995</v>
      </c>
      <c r="Y927" s="7">
        <f t="shared" ca="1" si="19"/>
        <v>4358.07</v>
      </c>
    </row>
    <row r="928" spans="1:25" ht="15" x14ac:dyDescent="0.25">
      <c r="A928" s="4">
        <v>17</v>
      </c>
      <c r="C928" s="12" t="s">
        <v>2398</v>
      </c>
      <c r="D928" s="12" t="s">
        <v>2399</v>
      </c>
      <c r="E928" s="5" t="str">
        <f t="shared" si="15"/>
        <v>https://www.screener.in/company/BRIGADE/consolidated/</v>
      </c>
      <c r="F928" s="4">
        <v>443059</v>
      </c>
      <c r="G928" s="4">
        <v>3832241897</v>
      </c>
      <c r="H928" s="6">
        <f t="shared" ca="1" si="16"/>
        <v>349519.62221588497</v>
      </c>
      <c r="I928" s="7" t="str">
        <f ca="1">IFERROR(__xludf.DUMMYFUNCTION("IMPORTXML(E928,""/html/body/main/div[3]/div[3]/div[2]/ul/li[5]/span[2]/span"")"),"Loading...")</f>
        <v>Loading...</v>
      </c>
      <c r="J928" s="7">
        <f ca="1">IFERROR(__xludf.DUMMYFUNCTION("GOOGLEFINANCE(""NSE:""&amp;D928,""marketcap"")"),222689429536)</f>
        <v>222689429536</v>
      </c>
      <c r="K928" s="7">
        <v>992.8</v>
      </c>
      <c r="L928" s="8">
        <f ca="1">IFERROR(__xludf.DUMMYFUNCTION("GOOGLEFINANCE(""NSE:""&amp;D928,""price"")"),912.05)</f>
        <v>912.05</v>
      </c>
      <c r="M928" s="9">
        <f t="shared" ca="1" si="17"/>
        <v>-80.75</v>
      </c>
      <c r="N928" s="10">
        <f t="shared" ca="1" si="18"/>
        <v>-8.1335616438356162</v>
      </c>
      <c r="O928" s="7">
        <f ca="1">IFERROR(__xludf.DUMMYFUNCTION("GOOGLEFINANCE(""NSE:""&amp;D928,""pe"")"),29.33)</f>
        <v>29.33</v>
      </c>
      <c r="P928" s="7">
        <f ca="1">IFERROR(__xludf.DUMMYFUNCTION("GOOGLEFINANCE(""NSE:""&amp;D928,""EPS"")"),31.1)</f>
        <v>31.1</v>
      </c>
      <c r="Q928" s="7">
        <v>13.5</v>
      </c>
      <c r="R928" s="7" t="str">
        <f ca="1">IFERROR(__xludf.DUMMYFUNCTION("IMPORTXML(E928,""/html/body/main/div[3]/div[3]/div[2]/ul/li[7]/span[2]/span"")"),"Loading...")</f>
        <v>Loading...</v>
      </c>
      <c r="S928" s="7" t="str">
        <f ca="1">IFERROR(__xludf.DUMMYFUNCTION("IMPORTXML(E928,""/html/body/main/div[3]/div[3]/div[2]/ul/li[8]/span[2]/span"")"),"Loading...")</f>
        <v>Loading...</v>
      </c>
      <c r="T928" s="4">
        <v>34.6</v>
      </c>
      <c r="U928" s="4">
        <v>22.7</v>
      </c>
      <c r="V928" s="4">
        <v>2.6</v>
      </c>
      <c r="W928" s="4">
        <v>5.7</v>
      </c>
      <c r="X928" s="4">
        <v>519.92999999999995</v>
      </c>
      <c r="Y928" s="7">
        <f t="shared" ca="1" si="19"/>
        <v>392.12</v>
      </c>
    </row>
    <row r="929" spans="1:25" ht="15" x14ac:dyDescent="0.25">
      <c r="A929" s="4">
        <v>582</v>
      </c>
      <c r="C929" s="12" t="s">
        <v>2400</v>
      </c>
      <c r="D929" s="12" t="s">
        <v>2401</v>
      </c>
      <c r="E929" s="5" t="str">
        <f t="shared" si="15"/>
        <v>https://www.screener.in/company/MEDIASSIST/consolidated/</v>
      </c>
      <c r="F929" s="4">
        <v>443059</v>
      </c>
      <c r="G929" s="4">
        <v>3832241897</v>
      </c>
      <c r="H929" s="6">
        <f t="shared" ca="1" si="16"/>
        <v>199640.641624215</v>
      </c>
      <c r="I929" s="7" t="str">
        <f ca="1">IFERROR(__xludf.DUMMYFUNCTION("IMPORTXML(E929,""/html/body/main/div[3]/div[3]/div[2]/ul/li[5]/span[2]/span"")"),"Loading...")</f>
        <v>Loading...</v>
      </c>
      <c r="J929" s="7">
        <f ca="1">IFERROR(__xludf.DUMMYFUNCTION("GOOGLEFINANCE(""NSE:""&amp;D929,""marketcap"")"),36805045429)</f>
        <v>36805045429</v>
      </c>
      <c r="K929" s="7">
        <v>992.8</v>
      </c>
      <c r="L929" s="8">
        <f ca="1">IFERROR(__xludf.DUMMYFUNCTION("GOOGLEFINANCE(""NSE:""&amp;D929,""price"")"),520.95)</f>
        <v>520.95000000000005</v>
      </c>
      <c r="M929" s="9">
        <f t="shared" ca="1" si="17"/>
        <v>-471.84999999999991</v>
      </c>
      <c r="N929" s="10">
        <f t="shared" ca="1" si="18"/>
        <v>-47.527195809830772</v>
      </c>
      <c r="O929" s="7">
        <f ca="1">IFERROR(__xludf.DUMMYFUNCTION("GOOGLEFINANCE(""NSE:""&amp;D929,""pe"")"),38.96)</f>
        <v>38.96</v>
      </c>
      <c r="P929" s="7">
        <f ca="1">IFERROR(__xludf.DUMMYFUNCTION("GOOGLEFINANCE(""NSE:""&amp;D929,""EPS"")"),13.37)</f>
        <v>13.37</v>
      </c>
      <c r="Q929" s="7">
        <v>13.5</v>
      </c>
      <c r="R929" s="7">
        <f ca="1">IFERROR(__xludf.DUMMYFUNCTION("IMPORTXML(E929,""/html/body/main/div[3]/div[3]/div[2]/ul/li[7]/span[2]/span"")"),19.3)</f>
        <v>19.3</v>
      </c>
      <c r="S929" s="7" t="str">
        <f ca="1">IFERROR(__xludf.DUMMYFUNCTION("IMPORTXML(E929,""/html/body/main/div[3]/div[3]/div[2]/ul/li[8]/span[2]/span"")"),"Loading...")</f>
        <v>Loading...</v>
      </c>
      <c r="T929" s="4">
        <v>34.6</v>
      </c>
      <c r="U929" s="4">
        <v>22.7</v>
      </c>
      <c r="V929" s="4">
        <v>2.6</v>
      </c>
      <c r="W929" s="4">
        <v>5.7</v>
      </c>
      <c r="X929" s="4">
        <v>519.92999999999995</v>
      </c>
      <c r="Y929" s="7">
        <f t="shared" ca="1" si="19"/>
        <v>1.0200000000000955</v>
      </c>
    </row>
    <row r="930" spans="1:25" ht="15" x14ac:dyDescent="0.25">
      <c r="A930" s="4">
        <v>165</v>
      </c>
      <c r="C930" s="12" t="s">
        <v>2402</v>
      </c>
      <c r="D930" s="12" t="s">
        <v>2403</v>
      </c>
      <c r="E930" s="5" t="str">
        <f t="shared" si="15"/>
        <v>https://www.screener.in/company/ACE/consolidated/</v>
      </c>
      <c r="F930" s="4">
        <v>443059</v>
      </c>
      <c r="G930" s="4">
        <v>3832241897</v>
      </c>
      <c r="H930" s="6">
        <f t="shared" ca="1" si="16"/>
        <v>407367.31365109998</v>
      </c>
      <c r="I930" s="7" t="str">
        <f ca="1">IFERROR(__xludf.DUMMYFUNCTION("IMPORTXML(E930,""/html/body/main/div[3]/div[3]/div[2]/ul/li[5]/span[2]/span"")"),"Loading...")</f>
        <v>Loading...</v>
      </c>
      <c r="J930" s="7">
        <f ca="1">IFERROR(__xludf.DUMMYFUNCTION("GOOGLEFINANCE(""NSE:""&amp;D930,""marketcap"")"),125745200000)</f>
        <v>125745200000</v>
      </c>
      <c r="K930" s="7">
        <v>992.8</v>
      </c>
      <c r="L930" s="8">
        <f ca="1">IFERROR(__xludf.DUMMYFUNCTION("GOOGLEFINANCE(""NSE:""&amp;D930,""price"")"),1063)</f>
        <v>1063</v>
      </c>
      <c r="M930" s="9">
        <f t="shared" ca="1" si="17"/>
        <v>70.200000000000045</v>
      </c>
      <c r="N930" s="10">
        <f t="shared" ca="1" si="18"/>
        <v>7.0709105560032279</v>
      </c>
      <c r="O930" s="7">
        <f ca="1">IFERROR(__xludf.DUMMYFUNCTION("GOOGLEFINANCE(""NSE:""&amp;D930,""pe"")"),29.93)</f>
        <v>29.93</v>
      </c>
      <c r="P930" s="7">
        <f ca="1">IFERROR(__xludf.DUMMYFUNCTION("GOOGLEFINANCE(""NSE:""&amp;D930,""EPS"")"),35.52)</f>
        <v>35.520000000000003</v>
      </c>
      <c r="Q930" s="7">
        <v>13.5</v>
      </c>
      <c r="R930" s="7" t="str">
        <f ca="1">IFERROR(__xludf.DUMMYFUNCTION("IMPORTXML(E930,""/html/body/main/div[3]/div[3]/div[2]/ul/li[7]/span[2]/span"")"),"Loading...")</f>
        <v>Loading...</v>
      </c>
      <c r="S930" s="7" t="str">
        <f ca="1">IFERROR(__xludf.DUMMYFUNCTION("IMPORTXML(E930,""/html/body/main/div[3]/div[3]/div[2]/ul/li[8]/span[2]/span"")"),"Loading...")</f>
        <v>Loading...</v>
      </c>
      <c r="T930" s="4">
        <v>34.6</v>
      </c>
      <c r="U930" s="4">
        <v>22.7</v>
      </c>
      <c r="V930" s="4">
        <v>2.6</v>
      </c>
      <c r="W930" s="4">
        <v>5.7</v>
      </c>
      <c r="X930" s="4">
        <v>519.92999999999995</v>
      </c>
      <c r="Y930" s="7">
        <f t="shared" ca="1" si="19"/>
        <v>543.07000000000005</v>
      </c>
    </row>
    <row r="931" spans="1:25" ht="15" x14ac:dyDescent="0.25">
      <c r="A931" s="4">
        <v>809</v>
      </c>
      <c r="C931" s="12" t="s">
        <v>2404</v>
      </c>
      <c r="D931" s="12" t="s">
        <v>2405</v>
      </c>
      <c r="E931" s="5" t="str">
        <f t="shared" si="15"/>
        <v>https://www.screener.in/company/INDOTECH/consolidated/</v>
      </c>
      <c r="F931" s="4">
        <v>443059</v>
      </c>
      <c r="G931" s="4">
        <v>3832241897</v>
      </c>
      <c r="H931" s="6">
        <f t="shared" ca="1" si="16"/>
        <v>701261.94473203004</v>
      </c>
      <c r="I931" s="7" t="str">
        <f ca="1">IFERROR(__xludf.DUMMYFUNCTION("IMPORTXML(E931,""/html/body/main/div[3]/div[3]/div[2]/ul/li[5]/span[2]/span"")"),"Loading...")</f>
        <v>Loading...</v>
      </c>
      <c r="J931" s="7">
        <f ca="1">IFERROR(__xludf.DUMMYFUNCTION("GOOGLEFINANCE(""NSE:""&amp;D931,""marketcap"")"),19390000000)</f>
        <v>19390000000</v>
      </c>
      <c r="K931" s="7">
        <v>992.8</v>
      </c>
      <c r="L931" s="8">
        <f ca="1">IFERROR(__xludf.DUMMYFUNCTION("GOOGLEFINANCE(""NSE:""&amp;D931,""price"")"),1829.9)</f>
        <v>1829.9</v>
      </c>
      <c r="M931" s="9">
        <f t="shared" ca="1" si="17"/>
        <v>837.10000000000014</v>
      </c>
      <c r="N931" s="10">
        <f t="shared" ca="1" si="18"/>
        <v>84.317082997582617</v>
      </c>
      <c r="O931" s="7">
        <f ca="1">IFERROR(__xludf.DUMMYFUNCTION("GOOGLEFINANCE(""NSE:""&amp;D931,""pe"")"),25.19)</f>
        <v>25.19</v>
      </c>
      <c r="P931" s="7">
        <f ca="1">IFERROR(__xludf.DUMMYFUNCTION("GOOGLEFINANCE(""NSE:""&amp;D931,""EPS"")"),72.64)</f>
        <v>72.64</v>
      </c>
      <c r="Q931" s="7">
        <v>13.5</v>
      </c>
      <c r="R931" s="7" t="str">
        <f ca="1">IFERROR(__xludf.DUMMYFUNCTION("IMPORTXML(E931,""/html/body/main/div[3]/div[3]/div[2]/ul/li[7]/span[2]/span"")"),"Loading...")</f>
        <v>Loading...</v>
      </c>
      <c r="S931" s="7" t="str">
        <f ca="1">IFERROR(__xludf.DUMMYFUNCTION("IMPORTXML(E931,""/html/body/main/div[3]/div[3]/div[2]/ul/li[8]/span[2]/span"")"),"Loading...")</f>
        <v>Loading...</v>
      </c>
      <c r="T931" s="4">
        <v>34.6</v>
      </c>
      <c r="U931" s="4">
        <v>22.7</v>
      </c>
      <c r="V931" s="4">
        <v>2.6</v>
      </c>
      <c r="W931" s="4">
        <v>5.7</v>
      </c>
      <c r="X931" s="4">
        <v>519.92999999999995</v>
      </c>
      <c r="Y931" s="7">
        <f t="shared" ca="1" si="19"/>
        <v>1309.9700000000003</v>
      </c>
    </row>
    <row r="932" spans="1:25" ht="15" x14ac:dyDescent="0.25">
      <c r="A932" s="4">
        <v>1047</v>
      </c>
      <c r="C932" s="12" t="s">
        <v>2406</v>
      </c>
      <c r="D932" s="12" t="s">
        <v>2407</v>
      </c>
      <c r="E932" s="5" t="str">
        <f t="shared" si="15"/>
        <v>https://www.screener.in/company/VIMTALABS/consolidated/</v>
      </c>
      <c r="F932" s="4">
        <v>443059</v>
      </c>
      <c r="G932" s="4">
        <v>3832241897</v>
      </c>
      <c r="H932" s="6">
        <f t="shared" ca="1" si="16"/>
        <v>336087.6143669</v>
      </c>
      <c r="I932" s="7" t="str">
        <f ca="1">IFERROR(__xludf.DUMMYFUNCTION("IMPORTXML(E932,""/html/body/main/div[3]/div[3]/div[2]/ul/li[5]/span[2]/span"")"),"Loading...")</f>
        <v>Loading...</v>
      </c>
      <c r="J932" s="7">
        <f ca="1">IFERROR(__xludf.DUMMYFUNCTION("GOOGLEFINANCE(""NSE:""&amp;D932,""marketcap"")"),38870587821)</f>
        <v>38870587821</v>
      </c>
      <c r="K932" s="7">
        <v>992.8</v>
      </c>
      <c r="L932" s="8">
        <f ca="1">IFERROR(__xludf.DUMMYFUNCTION("GOOGLEFINANCE(""NSE:""&amp;D932,""price"")"),877)</f>
        <v>877</v>
      </c>
      <c r="M932" s="9">
        <f t="shared" ca="1" si="17"/>
        <v>-115.79999999999995</v>
      </c>
      <c r="N932" s="10">
        <f t="shared" ca="1" si="18"/>
        <v>-11.663980660757449</v>
      </c>
      <c r="O932" s="7">
        <f ca="1">IFERROR(__xludf.DUMMYFUNCTION("GOOGLEFINANCE(""NSE:""&amp;D932,""pe"")"),53.45)</f>
        <v>53.45</v>
      </c>
      <c r="P932" s="7">
        <f ca="1">IFERROR(__xludf.DUMMYFUNCTION("GOOGLEFINANCE(""NSE:""&amp;D932,""EPS"")"),16.41)</f>
        <v>16.41</v>
      </c>
      <c r="Q932" s="7">
        <v>13.5</v>
      </c>
      <c r="R932" s="7" t="str">
        <f ca="1">IFERROR(__xludf.DUMMYFUNCTION("IMPORTXML(E932,""/html/body/main/div[3]/div[3]/div[2]/ul/li[7]/span[2]/span"")"),"Loading...")</f>
        <v>Loading...</v>
      </c>
      <c r="S932" s="7" t="str">
        <f ca="1">IFERROR(__xludf.DUMMYFUNCTION("IMPORTXML(E932,""/html/body/main/div[3]/div[3]/div[2]/ul/li[8]/span[2]/span"")"),"Loading...")</f>
        <v>Loading...</v>
      </c>
      <c r="T932" s="4">
        <v>34.6</v>
      </c>
      <c r="U932" s="4">
        <v>22.7</v>
      </c>
      <c r="V932" s="4">
        <v>2.6</v>
      </c>
      <c r="W932" s="4">
        <v>5.7</v>
      </c>
      <c r="X932" s="4">
        <v>519.92999999999995</v>
      </c>
      <c r="Y932" s="7">
        <f t="shared" ca="1" si="19"/>
        <v>357.07000000000005</v>
      </c>
    </row>
    <row r="933" spans="1:25" ht="15" x14ac:dyDescent="0.25">
      <c r="A933" s="4">
        <v>111</v>
      </c>
      <c r="C933" s="12" t="s">
        <v>2408</v>
      </c>
      <c r="D933" s="12" t="s">
        <v>2409</v>
      </c>
      <c r="E933" s="5" t="str">
        <f t="shared" si="15"/>
        <v>https://www.screener.in/company/CELLO/consolidated/</v>
      </c>
      <c r="F933" s="4">
        <v>443059</v>
      </c>
      <c r="G933" s="4">
        <v>3832241897</v>
      </c>
      <c r="H933" s="6">
        <f t="shared" ca="1" si="16"/>
        <v>231831.47355901505</v>
      </c>
      <c r="I933" s="7" t="str">
        <f ca="1">IFERROR(__xludf.DUMMYFUNCTION("IMPORTXML(E933,""/html/body/main/div[3]/div[3]/div[2]/ul/li[5]/span[2]/span"")"),"Loading...")</f>
        <v>Loading...</v>
      </c>
      <c r="J933" s="7">
        <f ca="1">IFERROR(__xludf.DUMMYFUNCTION("GOOGLEFINANCE(""NSE:""&amp;D933,""marketcap"")"),133977078165)</f>
        <v>133977078165</v>
      </c>
      <c r="K933" s="7">
        <v>992.8</v>
      </c>
      <c r="L933" s="8">
        <f ca="1">IFERROR(__xludf.DUMMYFUNCTION("GOOGLEFINANCE(""NSE:""&amp;D933,""price"")"),604.95)</f>
        <v>604.95000000000005</v>
      </c>
      <c r="M933" s="9">
        <f t="shared" ca="1" si="17"/>
        <v>-387.84999999999991</v>
      </c>
      <c r="N933" s="10">
        <f t="shared" ca="1" si="18"/>
        <v>-39.066277195809825</v>
      </c>
      <c r="O933" s="7">
        <f ca="1">IFERROR(__xludf.DUMMYFUNCTION("GOOGLEFINANCE(""NSE:""&amp;D933,""pe"")"),40.58)</f>
        <v>40.58</v>
      </c>
      <c r="P933" s="7">
        <f ca="1">IFERROR(__xludf.DUMMYFUNCTION("GOOGLEFINANCE(""NSE:""&amp;D933,""EPS"")"),14.91)</f>
        <v>14.91</v>
      </c>
      <c r="Q933" s="7">
        <v>13.5</v>
      </c>
      <c r="R933" s="7" t="str">
        <f ca="1">IFERROR(__xludf.DUMMYFUNCTION("IMPORTXML(E933,""/html/body/main/div[3]/div[3]/div[2]/ul/li[7]/span[2]/span"")"),"Loading...")</f>
        <v>Loading...</v>
      </c>
      <c r="S933" s="7" t="str">
        <f ca="1">IFERROR(__xludf.DUMMYFUNCTION("IMPORTXML(E933,""/html/body/main/div[3]/div[3]/div[2]/ul/li[8]/span[2]/span"")"),"Loading...")</f>
        <v>Loading...</v>
      </c>
      <c r="T933" s="4">
        <v>34.6</v>
      </c>
      <c r="U933" s="4">
        <v>22.7</v>
      </c>
      <c r="V933" s="4">
        <v>2.6</v>
      </c>
      <c r="W933" s="4">
        <v>5.7</v>
      </c>
      <c r="X933" s="4">
        <v>519.92999999999995</v>
      </c>
      <c r="Y933" s="7">
        <f t="shared" ca="1" si="19"/>
        <v>85.020000000000095</v>
      </c>
    </row>
    <row r="934" spans="1:25" ht="15" x14ac:dyDescent="0.25">
      <c r="A934" s="4">
        <v>1344</v>
      </c>
      <c r="C934" s="12" t="s">
        <v>2410</v>
      </c>
      <c r="D934" s="12" t="s">
        <v>2411</v>
      </c>
      <c r="E934" s="5" t="str">
        <f t="shared" si="15"/>
        <v>https://www.screener.in/company/DMCC/consolidated/</v>
      </c>
      <c r="F934" s="4">
        <v>443059</v>
      </c>
      <c r="G934" s="4">
        <v>3832241897</v>
      </c>
      <c r="H934" s="6">
        <f t="shared" ca="1" si="16"/>
        <v>117975.56679914502</v>
      </c>
      <c r="I934" s="7" t="str">
        <f ca="1">IFERROR(__xludf.DUMMYFUNCTION("IMPORTXML(E934,""/html/body/main/div[3]/div[3]/div[2]/ul/li[5]/span[2]/span"")"),"Loading...")</f>
        <v>Loading...</v>
      </c>
      <c r="J934" s="7">
        <f ca="1">IFERROR(__xludf.DUMMYFUNCTION("GOOGLEFINANCE(""NSE:""&amp;D934,""marketcap"")"),7677757602)</f>
        <v>7677757602</v>
      </c>
      <c r="K934" s="7">
        <v>992.8</v>
      </c>
      <c r="L934" s="8">
        <f ca="1">IFERROR(__xludf.DUMMYFUNCTION("GOOGLEFINANCE(""NSE:""&amp;D934,""price"")"),307.85)</f>
        <v>307.85000000000002</v>
      </c>
      <c r="M934" s="9">
        <f t="shared" ca="1" si="17"/>
        <v>-684.94999999999993</v>
      </c>
      <c r="N934" s="10">
        <f t="shared" ca="1" si="18"/>
        <v>-68.991740531829166</v>
      </c>
      <c r="O934" s="7">
        <f ca="1">IFERROR(__xludf.DUMMYFUNCTION("GOOGLEFINANCE(""NSE:""&amp;D934,""pe"")"),27.51)</f>
        <v>27.51</v>
      </c>
      <c r="P934" s="7">
        <f ca="1">IFERROR(__xludf.DUMMYFUNCTION("GOOGLEFINANCE(""NSE:""&amp;D934,""EPS"")"),11.19)</f>
        <v>11.19</v>
      </c>
      <c r="Q934" s="7">
        <v>13.5</v>
      </c>
      <c r="R934" s="7" t="str">
        <f ca="1">IFERROR(__xludf.DUMMYFUNCTION("IMPORTXML(E934,""/html/body/main/div[3]/div[3]/div[2]/ul/li[7]/span[2]/span"")"),"Loading...")</f>
        <v>Loading...</v>
      </c>
      <c r="S934" s="7" t="str">
        <f ca="1">IFERROR(__xludf.DUMMYFUNCTION("IMPORTXML(E934,""/html/body/main/div[3]/div[3]/div[2]/ul/li[8]/span[2]/span"")"),"Loading...")</f>
        <v>Loading...</v>
      </c>
      <c r="T934" s="4">
        <v>34.6</v>
      </c>
      <c r="U934" s="4">
        <v>22.7</v>
      </c>
      <c r="V934" s="4">
        <v>2.6</v>
      </c>
      <c r="W934" s="4">
        <v>5.7</v>
      </c>
      <c r="X934" s="4">
        <v>519.92999999999995</v>
      </c>
      <c r="Y934" s="7">
        <f t="shared" ca="1" si="19"/>
        <v>-212.07999999999993</v>
      </c>
    </row>
    <row r="935" spans="1:25" ht="15" x14ac:dyDescent="0.25">
      <c r="A935" s="4">
        <v>187</v>
      </c>
      <c r="C935" s="12" t="s">
        <v>2412</v>
      </c>
      <c r="D935" s="12" t="s">
        <v>2413</v>
      </c>
      <c r="E935" s="5" t="str">
        <f t="shared" si="15"/>
        <v>https://www.screener.in/company/GODREJAGRO/consolidated/</v>
      </c>
      <c r="F935" s="4">
        <v>443059</v>
      </c>
      <c r="G935" s="4">
        <v>3832241897</v>
      </c>
      <c r="H935" s="6">
        <f t="shared" ca="1" si="16"/>
        <v>287418.14227499999</v>
      </c>
      <c r="I935" s="7" t="str">
        <f ca="1">IFERROR(__xludf.DUMMYFUNCTION("IMPORTXML(E935,""/html/body/main/div[3]/div[3]/div[2]/ul/li[5]/span[2]/span"")"),"Loading...")</f>
        <v>Loading...</v>
      </c>
      <c r="J935" s="7">
        <f ca="1">IFERROR(__xludf.DUMMYFUNCTION("GOOGLEFINANCE(""NSE:""&amp;D935,""marketcap"")"),144241297094)</f>
        <v>144241297094</v>
      </c>
      <c r="K935" s="7">
        <v>992.8</v>
      </c>
      <c r="L935" s="8">
        <f ca="1">IFERROR(__xludf.DUMMYFUNCTION("GOOGLEFINANCE(""NSE:""&amp;D935,""price"")"),750)</f>
        <v>750</v>
      </c>
      <c r="M935" s="9">
        <f t="shared" ca="1" si="17"/>
        <v>-242.79999999999995</v>
      </c>
      <c r="N935" s="10">
        <f t="shared" ca="1" si="18"/>
        <v>-24.456083803384367</v>
      </c>
      <c r="O935" s="7">
        <f ca="1">IFERROR(__xludf.DUMMYFUNCTION("GOOGLEFINANCE(""NSE:""&amp;D935,""pe"")"),31.68)</f>
        <v>31.68</v>
      </c>
      <c r="P935" s="7">
        <f ca="1">IFERROR(__xludf.DUMMYFUNCTION("GOOGLEFINANCE(""NSE:""&amp;D935,""EPS"")"),23.67)</f>
        <v>23.67</v>
      </c>
      <c r="Q935" s="7">
        <v>13.5</v>
      </c>
      <c r="R935" s="7" t="str">
        <f ca="1">IFERROR(__xludf.DUMMYFUNCTION("IMPORTXML(E935,""/html/body/main/div[3]/div[3]/div[2]/ul/li[7]/span[2]/span"")"),"Loading...")</f>
        <v>Loading...</v>
      </c>
      <c r="S935" s="7" t="str">
        <f ca="1">IFERROR(__xludf.DUMMYFUNCTION("IMPORTXML(E935,""/html/body/main/div[3]/div[3]/div[2]/ul/li[8]/span[2]/span"")"),"Loading...")</f>
        <v>Loading...</v>
      </c>
      <c r="T935" s="4">
        <v>34.6</v>
      </c>
      <c r="U935" s="4">
        <v>22.7</v>
      </c>
      <c r="V935" s="4">
        <v>2.6</v>
      </c>
      <c r="W935" s="4">
        <v>5.7</v>
      </c>
      <c r="X935" s="4">
        <v>519.92999999999995</v>
      </c>
      <c r="Y935" s="7">
        <f t="shared" ca="1" si="19"/>
        <v>230.07000000000005</v>
      </c>
    </row>
    <row r="936" spans="1:25" ht="15" x14ac:dyDescent="0.25">
      <c r="A936" s="4">
        <v>1690</v>
      </c>
      <c r="C936" s="12" t="s">
        <v>2414</v>
      </c>
      <c r="D936" s="12" t="s">
        <v>2415</v>
      </c>
      <c r="E936" s="5" t="str">
        <f t="shared" si="15"/>
        <v>https://www.screener.in/company/GUJAPOLLO/consolidated/</v>
      </c>
      <c r="F936" s="4">
        <v>443059</v>
      </c>
      <c r="G936" s="4">
        <v>3832241897</v>
      </c>
      <c r="H936" s="6">
        <f t="shared" ca="1" si="16"/>
        <v>179425.56561753998</v>
      </c>
      <c r="I936" s="7" t="str">
        <f ca="1">IFERROR(__xludf.DUMMYFUNCTION("IMPORTXML(E936,""/html/body/main/div[3]/div[3]/div[2]/ul/li[5]/span[2]/span"")"),"Loading...")</f>
        <v>Loading...</v>
      </c>
      <c r="J936" s="7">
        <f ca="1">IFERROR(__xludf.DUMMYFUNCTION("GOOGLEFINANCE(""NSE:""&amp;D936,""marketcap"")"),5524760144)</f>
        <v>5524760144</v>
      </c>
      <c r="K936" s="7">
        <v>992.8</v>
      </c>
      <c r="L936" s="8">
        <f ca="1">IFERROR(__xludf.DUMMYFUNCTION("GOOGLEFINANCE(""NSE:""&amp;D936,""price"")"),468.2)</f>
        <v>468.2</v>
      </c>
      <c r="M936" s="9">
        <f t="shared" ca="1" si="17"/>
        <v>-524.59999999999991</v>
      </c>
      <c r="N936" s="10">
        <f t="shared" ca="1" si="18"/>
        <v>-52.840451248992736</v>
      </c>
      <c r="O936" s="7" t="str">
        <f ca="1">IFERROR(__xludf.DUMMYFUNCTION("GOOGLEFINANCE(""NSE:""&amp;D936,""pe"")"),"#N/A")</f>
        <v>#N/A</v>
      </c>
      <c r="P936" s="7">
        <f ca="1">IFERROR(__xludf.DUMMYFUNCTION("GOOGLEFINANCE(""NSE:""&amp;D936,""EPS"")"),-0.42)</f>
        <v>-0.42</v>
      </c>
      <c r="Q936" s="7">
        <v>13.5</v>
      </c>
      <c r="R936" s="7" t="str">
        <f ca="1">IFERROR(__xludf.DUMMYFUNCTION("IMPORTXML(E936,""/html/body/main/div[3]/div[3]/div[2]/ul/li[7]/span[2]/span"")"),"Loading...")</f>
        <v>Loading...</v>
      </c>
      <c r="S936" s="7" t="str">
        <f ca="1">IFERROR(__xludf.DUMMYFUNCTION("IMPORTXML(E936,""/html/body/main/div[3]/div[3]/div[2]/ul/li[8]/span[2]/span"")"),"Loading...")</f>
        <v>Loading...</v>
      </c>
      <c r="T936" s="4">
        <v>34.6</v>
      </c>
      <c r="U936" s="4">
        <v>22.7</v>
      </c>
      <c r="V936" s="4">
        <v>2.6</v>
      </c>
      <c r="W936" s="4">
        <v>5.7</v>
      </c>
      <c r="X936" s="4">
        <v>519.92999999999995</v>
      </c>
      <c r="Y936" s="7">
        <f t="shared" ca="1" si="19"/>
        <v>-51.729999999999961</v>
      </c>
    </row>
    <row r="937" spans="1:25" ht="15" x14ac:dyDescent="0.25">
      <c r="A937" s="4">
        <v>222</v>
      </c>
      <c r="C937" s="12" t="s">
        <v>2416</v>
      </c>
      <c r="D937" s="12" t="s">
        <v>2417</v>
      </c>
      <c r="E937" s="5" t="str">
        <f t="shared" si="15"/>
        <v>https://www.screener.in/company/INTELLECT/consolidated/</v>
      </c>
      <c r="F937" s="4">
        <v>443059</v>
      </c>
      <c r="G937" s="4">
        <v>3832241897</v>
      </c>
      <c r="H937" s="6">
        <f t="shared" ca="1" si="16"/>
        <v>348140.01513296505</v>
      </c>
      <c r="I937" s="7" t="str">
        <f ca="1">IFERROR(__xludf.DUMMYFUNCTION("IMPORTXML(E937,""/html/body/main/div[3]/div[3]/div[2]/ul/li[5]/span[2]/span"")"),"Loading...")</f>
        <v>Loading...</v>
      </c>
      <c r="J937" s="7">
        <f ca="1">IFERROR(__xludf.DUMMYFUNCTION("GOOGLEFINANCE(""NSE:""&amp;D937,""marketcap"")"),126357947407)</f>
        <v>126357947407</v>
      </c>
      <c r="K937" s="7">
        <v>992.8</v>
      </c>
      <c r="L937" s="8">
        <f ca="1">IFERROR(__xludf.DUMMYFUNCTION("GOOGLEFINANCE(""NSE:""&amp;D937,""price"")"),908.45)</f>
        <v>908.45</v>
      </c>
      <c r="M937" s="9">
        <f t="shared" ca="1" si="17"/>
        <v>-84.349999999999909</v>
      </c>
      <c r="N937" s="10">
        <f t="shared" ca="1" si="18"/>
        <v>-8.4961724415793629</v>
      </c>
      <c r="O937" s="7">
        <f ca="1">IFERROR(__xludf.DUMMYFUNCTION("GOOGLEFINANCE(""NSE:""&amp;D937,""pe"")"),36.14)</f>
        <v>36.14</v>
      </c>
      <c r="P937" s="7">
        <f ca="1">IFERROR(__xludf.DUMMYFUNCTION("GOOGLEFINANCE(""NSE:""&amp;D937,""EPS"")"),25.14)</f>
        <v>25.14</v>
      </c>
      <c r="Q937" s="7">
        <v>13.5</v>
      </c>
      <c r="R937" s="7" t="str">
        <f ca="1">IFERROR(__xludf.DUMMYFUNCTION("IMPORTXML(E937,""/html/body/main/div[3]/div[3]/div[2]/ul/li[7]/span[2]/span"")"),"Loading...")</f>
        <v>Loading...</v>
      </c>
      <c r="S937" s="7" t="str">
        <f ca="1">IFERROR(__xludf.DUMMYFUNCTION("IMPORTXML(E937,""/html/body/main/div[3]/div[3]/div[2]/ul/li[8]/span[2]/span"")"),"Loading...")</f>
        <v>Loading...</v>
      </c>
      <c r="T937" s="4">
        <v>34.6</v>
      </c>
      <c r="U937" s="4">
        <v>22.7</v>
      </c>
      <c r="V937" s="4">
        <v>2.6</v>
      </c>
      <c r="W937" s="4">
        <v>5.7</v>
      </c>
      <c r="X937" s="4">
        <v>519.92999999999995</v>
      </c>
      <c r="Y937" s="7">
        <f t="shared" ca="1" si="19"/>
        <v>388.5200000000001</v>
      </c>
    </row>
    <row r="938" spans="1:25" ht="15" x14ac:dyDescent="0.25">
      <c r="A938" s="4">
        <v>525</v>
      </c>
      <c r="C938" s="12" t="s">
        <v>2418</v>
      </c>
      <c r="D938" s="12" t="s">
        <v>2419</v>
      </c>
      <c r="E938" s="5" t="str">
        <f t="shared" si="15"/>
        <v>https://www.screener.in/company/REFEX/consolidated/</v>
      </c>
      <c r="F938" s="4">
        <v>443059</v>
      </c>
      <c r="G938" s="4">
        <v>3832241897</v>
      </c>
      <c r="H938" s="6">
        <f t="shared" ca="1" si="16"/>
        <v>139493.60505079999</v>
      </c>
      <c r="I938" s="7" t="str">
        <f ca="1">IFERROR(__xludf.DUMMYFUNCTION("IMPORTXML(E938,""/html/body/main/div[3]/div[3]/div[2]/ul/li[5]/span[2]/span"")"),"Loading...")</f>
        <v>Loading...</v>
      </c>
      <c r="J938" s="7">
        <f ca="1">IFERROR(__xludf.DUMMYFUNCTION("GOOGLEFINANCE(""NSE:""&amp;D938,""marketcap"")"),46974110000)</f>
        <v>46974110000</v>
      </c>
      <c r="K938" s="7">
        <v>992.8</v>
      </c>
      <c r="L938" s="8">
        <f ca="1">IFERROR(__xludf.DUMMYFUNCTION("GOOGLEFINANCE(""NSE:""&amp;D938,""price"")"),364)</f>
        <v>364</v>
      </c>
      <c r="M938" s="9">
        <f t="shared" ca="1" si="17"/>
        <v>-628.79999999999995</v>
      </c>
      <c r="N938" s="10">
        <f t="shared" ca="1" si="18"/>
        <v>-63.336019339242547</v>
      </c>
      <c r="O938" s="7">
        <f ca="1">IFERROR(__xludf.DUMMYFUNCTION("GOOGLEFINANCE(""NSE:""&amp;D938,""pe"")"),29.33)</f>
        <v>29.33</v>
      </c>
      <c r="P938" s="7">
        <f ca="1">IFERROR(__xludf.DUMMYFUNCTION("GOOGLEFINANCE(""NSE:""&amp;D938,""EPS"")"),12.41)</f>
        <v>12.41</v>
      </c>
      <c r="Q938" s="7">
        <v>13.5</v>
      </c>
      <c r="R938" s="7" t="str">
        <f ca="1">IFERROR(__xludf.DUMMYFUNCTION("IMPORTXML(E938,""/html/body/main/div[3]/div[3]/div[2]/ul/li[7]/span[2]/span"")"),"Loading...")</f>
        <v>Loading...</v>
      </c>
      <c r="S938" s="7" t="str">
        <f ca="1">IFERROR(__xludf.DUMMYFUNCTION("IMPORTXML(E938,""/html/body/main/div[3]/div[3]/div[2]/ul/li[8]/span[2]/span"")"),"Loading...")</f>
        <v>Loading...</v>
      </c>
      <c r="T938" s="4">
        <v>34.6</v>
      </c>
      <c r="U938" s="4">
        <v>22.7</v>
      </c>
      <c r="V938" s="4">
        <v>2.6</v>
      </c>
      <c r="W938" s="4">
        <v>5.7</v>
      </c>
      <c r="X938" s="4">
        <v>519.92999999999995</v>
      </c>
      <c r="Y938" s="7">
        <f t="shared" ca="1" si="19"/>
        <v>-155.92999999999995</v>
      </c>
    </row>
    <row r="939" spans="1:25" ht="15" x14ac:dyDescent="0.25">
      <c r="A939" s="4">
        <v>622</v>
      </c>
      <c r="C939" s="12" t="s">
        <v>2420</v>
      </c>
      <c r="D939" s="12" t="s">
        <v>2421</v>
      </c>
      <c r="E939" s="5" t="str">
        <f t="shared" si="15"/>
        <v>https://www.screener.in/company/HONDAPOWER/consolidated/</v>
      </c>
      <c r="F939" s="4">
        <v>443059</v>
      </c>
      <c r="G939" s="4">
        <v>3832241897</v>
      </c>
      <c r="H939" s="6">
        <f t="shared" ca="1" si="16"/>
        <v>1092955.3890243999</v>
      </c>
      <c r="I939" s="7" t="str">
        <f ca="1">IFERROR(__xludf.DUMMYFUNCTION("IMPORTXML(E939,""/html/body/main/div[3]/div[3]/div[2]/ul/li[5]/span[2]/span"")"),"Loading...")</f>
        <v>Loading...</v>
      </c>
      <c r="J939" s="7">
        <f ca="1">IFERROR(__xludf.DUMMYFUNCTION("GOOGLEFINANCE(""NSE:""&amp;D939,""marketcap"")"),29022370000)</f>
        <v>29022370000</v>
      </c>
      <c r="K939" s="7">
        <v>992.8</v>
      </c>
      <c r="L939" s="8">
        <f ca="1">IFERROR(__xludf.DUMMYFUNCTION("GOOGLEFINANCE(""NSE:""&amp;D939,""price"")"),2852)</f>
        <v>2852</v>
      </c>
      <c r="M939" s="9">
        <f t="shared" ca="1" si="17"/>
        <v>1859.2</v>
      </c>
      <c r="N939" s="10">
        <f t="shared" ca="1" si="18"/>
        <v>187.26833199033038</v>
      </c>
      <c r="O939" s="7">
        <f ca="1">IFERROR(__xludf.DUMMYFUNCTION("GOOGLEFINANCE(""NSE:""&amp;D939,""pe"")"),39.48)</f>
        <v>39.479999999999997</v>
      </c>
      <c r="P939" s="7">
        <f ca="1">IFERROR(__xludf.DUMMYFUNCTION("GOOGLEFINANCE(""NSE:""&amp;D939,""EPS"")"),72.25)</f>
        <v>72.25</v>
      </c>
      <c r="Q939" s="7">
        <v>13.5</v>
      </c>
      <c r="R939" s="7" t="str">
        <f ca="1">IFERROR(__xludf.DUMMYFUNCTION("IMPORTXML(E939,""/html/body/main/div[3]/div[3]/div[2]/ul/li[7]/span[2]/span"")"),"Loading...")</f>
        <v>Loading...</v>
      </c>
      <c r="S939" s="7" t="str">
        <f ca="1">IFERROR(__xludf.DUMMYFUNCTION("IMPORTXML(E939,""/html/body/main/div[3]/div[3]/div[2]/ul/li[8]/span[2]/span"")"),"Loading...")</f>
        <v>Loading...</v>
      </c>
      <c r="T939" s="4">
        <v>34.6</v>
      </c>
      <c r="U939" s="4">
        <v>22.7</v>
      </c>
      <c r="V939" s="4">
        <v>2.6</v>
      </c>
      <c r="W939" s="4">
        <v>5.7</v>
      </c>
      <c r="X939" s="4">
        <v>519.92999999999995</v>
      </c>
      <c r="Y939" s="7">
        <f t="shared" ca="1" si="19"/>
        <v>2332.0700000000002</v>
      </c>
    </row>
    <row r="940" spans="1:25" ht="15" x14ac:dyDescent="0.25">
      <c r="A940" s="4">
        <v>1799</v>
      </c>
      <c r="C940" s="12" t="s">
        <v>2422</v>
      </c>
      <c r="D940" s="12" t="s">
        <v>2423</v>
      </c>
      <c r="E940" s="5" t="str">
        <f t="shared" si="15"/>
        <v>https://www.screener.in/company/VIRINCHI/consolidated/</v>
      </c>
      <c r="F940" s="4">
        <v>443059</v>
      </c>
      <c r="G940" s="4">
        <v>3832241897</v>
      </c>
      <c r="H940" s="6">
        <f t="shared" ca="1" si="16"/>
        <v>11285.952386665</v>
      </c>
      <c r="I940" s="7" t="str">
        <f ca="1">IFERROR(__xludf.DUMMYFUNCTION("IMPORTXML(E940,""/html/body/main/div[3]/div[3]/div[2]/ul/li[5]/span[2]/span"")"),"Loading...")</f>
        <v>Loading...</v>
      </c>
      <c r="J940" s="7">
        <f ca="1">IFERROR(__xludf.DUMMYFUNCTION("GOOGLEFINANCE(""NSE:""&amp;D940,""marketcap"")"),3022951283)</f>
        <v>3022951283</v>
      </c>
      <c r="K940" s="7">
        <v>992.8</v>
      </c>
      <c r="L940" s="8">
        <f ca="1">IFERROR(__xludf.DUMMYFUNCTION("GOOGLEFINANCE(""NSE:""&amp;D940,""price"")"),29.45)</f>
        <v>29.45</v>
      </c>
      <c r="M940" s="9">
        <f t="shared" ca="1" si="17"/>
        <v>-963.34999999999991</v>
      </c>
      <c r="N940" s="10">
        <f t="shared" ca="1" si="18"/>
        <v>-97.03364222401288</v>
      </c>
      <c r="O940" s="7" t="str">
        <f ca="1">IFERROR(__xludf.DUMMYFUNCTION("GOOGLEFINANCE(""NSE:""&amp;D940,""pe"")"),"#N/A")</f>
        <v>#N/A</v>
      </c>
      <c r="P940" s="7">
        <f ca="1">IFERROR(__xludf.DUMMYFUNCTION("GOOGLEFINANCE(""NSE:""&amp;D940,""EPS"")"),-0.01)</f>
        <v>-0.01</v>
      </c>
      <c r="Q940" s="7">
        <v>13.5</v>
      </c>
      <c r="R940" s="7" t="str">
        <f ca="1">IFERROR(__xludf.DUMMYFUNCTION("IMPORTXML(E940,""/html/body/main/div[3]/div[3]/div[2]/ul/li[7]/span[2]/span"")"),"Loading...")</f>
        <v>Loading...</v>
      </c>
      <c r="S940" s="7" t="str">
        <f ca="1">IFERROR(__xludf.DUMMYFUNCTION("IMPORTXML(E940,""/html/body/main/div[3]/div[3]/div[2]/ul/li[8]/span[2]/span"")"),"Loading...")</f>
        <v>Loading...</v>
      </c>
      <c r="T940" s="4">
        <v>34.6</v>
      </c>
      <c r="U940" s="4">
        <v>22.7</v>
      </c>
      <c r="V940" s="4">
        <v>2.6</v>
      </c>
      <c r="W940" s="4">
        <v>5.7</v>
      </c>
      <c r="X940" s="4">
        <v>519.92999999999995</v>
      </c>
      <c r="Y940" s="7">
        <f t="shared" ca="1" si="19"/>
        <v>-490.47999999999996</v>
      </c>
    </row>
    <row r="941" spans="1:25" ht="15" x14ac:dyDescent="0.25">
      <c r="A941" s="4">
        <v>205</v>
      </c>
      <c r="C941" s="12" t="s">
        <v>2424</v>
      </c>
      <c r="D941" s="12" t="s">
        <v>2425</v>
      </c>
      <c r="E941" s="5" t="str">
        <f t="shared" si="15"/>
        <v>https://www.screener.in/company/PRAJIND/consolidated/</v>
      </c>
      <c r="F941" s="4">
        <v>443059</v>
      </c>
      <c r="G941" s="4">
        <v>3832241897</v>
      </c>
      <c r="H941" s="6">
        <f t="shared" ca="1" si="16"/>
        <v>155933.92278892998</v>
      </c>
      <c r="I941" s="7" t="str">
        <f ca="1">IFERROR(__xludf.DUMMYFUNCTION("IMPORTXML(E941,""/html/body/main/div[3]/div[3]/div[2]/ul/li[5]/span[2]/span"")"),"Loading...")</f>
        <v>Loading...</v>
      </c>
      <c r="J941" s="7">
        <f ca="1">IFERROR(__xludf.DUMMYFUNCTION("GOOGLEFINANCE(""NSE:""&amp;D941,""marketcap"")"),74720020000)</f>
        <v>74720020000</v>
      </c>
      <c r="K941" s="7">
        <v>992.8</v>
      </c>
      <c r="L941" s="8">
        <f ca="1">IFERROR(__xludf.DUMMYFUNCTION("GOOGLEFINANCE(""NSE:""&amp;D941,""price"")"),406.9)</f>
        <v>406.9</v>
      </c>
      <c r="M941" s="9">
        <f t="shared" ca="1" si="17"/>
        <v>-585.9</v>
      </c>
      <c r="N941" s="10">
        <f t="shared" ca="1" si="18"/>
        <v>-59.014907332796128</v>
      </c>
      <c r="O941" s="7">
        <f ca="1">IFERROR(__xludf.DUMMYFUNCTION("GOOGLEFINANCE(""NSE:""&amp;D941,""pe"")"),53.41)</f>
        <v>53.41</v>
      </c>
      <c r="P941" s="7">
        <f ca="1">IFERROR(__xludf.DUMMYFUNCTION("GOOGLEFINANCE(""NSE:""&amp;D941,""EPS"")"),7.62)</f>
        <v>7.62</v>
      </c>
      <c r="Q941" s="7">
        <v>13.5</v>
      </c>
      <c r="R941" s="7">
        <f ca="1">IFERROR(__xludf.DUMMYFUNCTION("IMPORTXML(E941,""/html/body/main/div[3]/div[3]/div[2]/ul/li[7]/span[2]/span"")"),17.9)</f>
        <v>17.899999999999999</v>
      </c>
      <c r="S941" s="7" t="str">
        <f ca="1">IFERROR(__xludf.DUMMYFUNCTION("IMPORTXML(E941,""/html/body/main/div[3]/div[3]/div[2]/ul/li[8]/span[2]/span"")"),"Loading...")</f>
        <v>Loading...</v>
      </c>
      <c r="T941" s="4">
        <v>34.6</v>
      </c>
      <c r="U941" s="4">
        <v>22.7</v>
      </c>
      <c r="V941" s="4">
        <v>2.6</v>
      </c>
      <c r="W941" s="4">
        <v>5.7</v>
      </c>
      <c r="X941" s="4">
        <v>519.92999999999995</v>
      </c>
      <c r="Y941" s="7">
        <f t="shared" ca="1" si="19"/>
        <v>-113.02999999999997</v>
      </c>
    </row>
    <row r="942" spans="1:25" ht="15" x14ac:dyDescent="0.25">
      <c r="A942" s="4">
        <v>792</v>
      </c>
      <c r="C942" s="12" t="s">
        <v>2426</v>
      </c>
      <c r="D942" s="12" t="s">
        <v>2427</v>
      </c>
      <c r="E942" s="5" t="str">
        <f t="shared" si="15"/>
        <v>https://www.screener.in/company/RAMRAT/consolidated/</v>
      </c>
      <c r="F942" s="4">
        <v>443059</v>
      </c>
      <c r="G942" s="4">
        <v>3832241897</v>
      </c>
      <c r="H942" s="6">
        <f t="shared" ca="1" si="16"/>
        <v>285118.79713680001</v>
      </c>
      <c r="I942" s="7" t="str">
        <f ca="1">IFERROR(__xludf.DUMMYFUNCTION("IMPORTXML(E942,""/html/body/main/div[3]/div[3]/div[2]/ul/li[5]/span[2]/span"")"),"Loading...")</f>
        <v>Loading...</v>
      </c>
      <c r="J942" s="7">
        <f ca="1">IFERROR(__xludf.DUMMYFUNCTION("GOOGLEFINANCE(""NSE:""&amp;D942,""marketcap"")"),34690138320)</f>
        <v>34690138320</v>
      </c>
      <c r="K942" s="7">
        <v>992.8</v>
      </c>
      <c r="L942" s="8">
        <f ca="1">IFERROR(__xludf.DUMMYFUNCTION("GOOGLEFINANCE(""NSE:""&amp;D942,""price"")"),744)</f>
        <v>744</v>
      </c>
      <c r="M942" s="9">
        <f t="shared" ca="1" si="17"/>
        <v>-248.79999999999995</v>
      </c>
      <c r="N942" s="10">
        <f t="shared" ca="1" si="18"/>
        <v>-25.060435132957288</v>
      </c>
      <c r="O942" s="7">
        <f ca="1">IFERROR(__xludf.DUMMYFUNCTION("GOOGLEFINANCE(""NSE:""&amp;D942,""pe"")"),49.29)</f>
        <v>49.29</v>
      </c>
      <c r="P942" s="7">
        <f ca="1">IFERROR(__xludf.DUMMYFUNCTION("GOOGLEFINANCE(""NSE:""&amp;D942,""EPS"")"),15.09)</f>
        <v>15.09</v>
      </c>
      <c r="Q942" s="7">
        <v>13.5</v>
      </c>
      <c r="R942" s="7" t="str">
        <f ca="1">IFERROR(__xludf.DUMMYFUNCTION("IMPORTXML(E942,""/html/body/main/div[3]/div[3]/div[2]/ul/li[7]/span[2]/span"")"),"Loading...")</f>
        <v>Loading...</v>
      </c>
      <c r="S942" s="7" t="str">
        <f ca="1">IFERROR(__xludf.DUMMYFUNCTION("IMPORTXML(E942,""/html/body/main/div[3]/div[3]/div[2]/ul/li[8]/span[2]/span"")"),"Loading...")</f>
        <v>Loading...</v>
      </c>
      <c r="T942" s="4">
        <v>34.6</v>
      </c>
      <c r="U942" s="4">
        <v>22.7</v>
      </c>
      <c r="V942" s="4">
        <v>2.6</v>
      </c>
      <c r="W942" s="4">
        <v>5.7</v>
      </c>
      <c r="X942" s="4">
        <v>519.92999999999995</v>
      </c>
      <c r="Y942" s="7">
        <f t="shared" ca="1" si="19"/>
        <v>224.07000000000005</v>
      </c>
    </row>
    <row r="943" spans="1:25" ht="15" x14ac:dyDescent="0.25">
      <c r="A943" s="4">
        <v>230</v>
      </c>
      <c r="C943" s="12" t="s">
        <v>2428</v>
      </c>
      <c r="D943" s="12" t="s">
        <v>2429</v>
      </c>
      <c r="E943" s="5" t="str">
        <f t="shared" si="15"/>
        <v>https://www.screener.in/company/GENUSPOWER/consolidated/</v>
      </c>
      <c r="F943" s="4">
        <v>443059</v>
      </c>
      <c r="G943" s="4">
        <v>3832241897</v>
      </c>
      <c r="H943" s="6">
        <f t="shared" ca="1" si="16"/>
        <v>125697.5342216</v>
      </c>
      <c r="I943" s="7" t="str">
        <f ca="1">IFERROR(__xludf.DUMMYFUNCTION("IMPORTXML(E943,""/html/body/main/div[3]/div[3]/div[2]/ul/li[5]/span[2]/span"")"),"Loading...")</f>
        <v>Loading...</v>
      </c>
      <c r="J943" s="7">
        <f ca="1">IFERROR(__xludf.DUMMYFUNCTION("GOOGLEFINANCE(""NSE:""&amp;D943,""marketcap"")"),99748604800)</f>
        <v>99748604800</v>
      </c>
      <c r="K943" s="7">
        <v>992.8</v>
      </c>
      <c r="L943" s="8">
        <f ca="1">IFERROR(__xludf.DUMMYFUNCTION("GOOGLEFINANCE(""NSE:""&amp;D943,""price"")"),328)</f>
        <v>328</v>
      </c>
      <c r="M943" s="9">
        <f t="shared" ca="1" si="17"/>
        <v>-664.8</v>
      </c>
      <c r="N943" s="10">
        <f t="shared" ca="1" si="18"/>
        <v>-66.962127316680096</v>
      </c>
      <c r="O943" s="7">
        <f ca="1">IFERROR(__xludf.DUMMYFUNCTION("GOOGLEFINANCE(""NSE:""&amp;D943,""pe"")"),22.81)</f>
        <v>22.81</v>
      </c>
      <c r="P943" s="7">
        <f ca="1">IFERROR(__xludf.DUMMYFUNCTION("GOOGLEFINANCE(""NSE:""&amp;D943,""EPS"")"),14.38)</f>
        <v>14.38</v>
      </c>
      <c r="Q943" s="7">
        <v>13.5</v>
      </c>
      <c r="R943" s="7" t="str">
        <f ca="1">IFERROR(__xludf.DUMMYFUNCTION("IMPORTXML(E943,""/html/body/main/div[3]/div[3]/div[2]/ul/li[7]/span[2]/span"")"),"Loading...")</f>
        <v>Loading...</v>
      </c>
      <c r="S943" s="7" t="str">
        <f ca="1">IFERROR(__xludf.DUMMYFUNCTION("IMPORTXML(E943,""/html/body/main/div[3]/div[3]/div[2]/ul/li[8]/span[2]/span"")"),"Loading...")</f>
        <v>Loading...</v>
      </c>
      <c r="T943" s="4">
        <v>34.6</v>
      </c>
      <c r="U943" s="4">
        <v>22.7</v>
      </c>
      <c r="V943" s="4">
        <v>2.6</v>
      </c>
      <c r="W943" s="4">
        <v>5.7</v>
      </c>
      <c r="X943" s="4">
        <v>519.92999999999995</v>
      </c>
      <c r="Y943" s="7">
        <f t="shared" ca="1" si="19"/>
        <v>-191.92999999999995</v>
      </c>
    </row>
    <row r="944" spans="1:25" ht="15" x14ac:dyDescent="0.25">
      <c r="A944" s="4">
        <v>150</v>
      </c>
      <c r="C944" s="12" t="s">
        <v>2430</v>
      </c>
      <c r="D944" s="12" t="s">
        <v>2431</v>
      </c>
      <c r="E944" s="5" t="str">
        <f t="shared" si="15"/>
        <v>https://www.screener.in/company/CGCL/consolidated/</v>
      </c>
      <c r="F944" s="4">
        <v>443059</v>
      </c>
      <c r="G944" s="4">
        <v>3832241897</v>
      </c>
      <c r="H944" s="6">
        <f t="shared" ca="1" si="16"/>
        <v>71049.764770380003</v>
      </c>
      <c r="I944" s="7" t="str">
        <f ca="1">IFERROR(__xludf.DUMMYFUNCTION("IMPORTXML(E944,""/html/body/main/div[3]/div[3]/div[2]/ul/li[5]/span[2]/span"")"),"Loading...")</f>
        <v>Loading...</v>
      </c>
      <c r="J944" s="7">
        <f ca="1">IFERROR(__xludf.DUMMYFUNCTION("GOOGLEFINANCE(""NSE:""&amp;D944,""marketcap"")"),177402500000)</f>
        <v>177402500000</v>
      </c>
      <c r="K944" s="7">
        <v>992.8</v>
      </c>
      <c r="L944" s="8">
        <f ca="1">IFERROR(__xludf.DUMMYFUNCTION("GOOGLEFINANCE(""NSE:""&amp;D944,""price"")"),185.4)</f>
        <v>185.4</v>
      </c>
      <c r="M944" s="9">
        <f t="shared" ca="1" si="17"/>
        <v>-807.4</v>
      </c>
      <c r="N944" s="10">
        <f t="shared" ca="1" si="18"/>
        <v>-81.325543916196622</v>
      </c>
      <c r="O944" s="7">
        <f ca="1">IFERROR(__xludf.DUMMYFUNCTION("GOOGLEFINANCE(""NSE:""&amp;D944,""pe"")"),26.91)</f>
        <v>26.91</v>
      </c>
      <c r="P944" s="7">
        <f ca="1">IFERROR(__xludf.DUMMYFUNCTION("GOOGLEFINANCE(""NSE:""&amp;D944,""EPS"")"),6.89)</f>
        <v>6.89</v>
      </c>
      <c r="Q944" s="7">
        <v>13.5</v>
      </c>
      <c r="R944" s="7" t="str">
        <f ca="1">IFERROR(__xludf.DUMMYFUNCTION("IMPORTXML(E944,""/html/body/main/div[3]/div[3]/div[2]/ul/li[7]/span[2]/span"")"),"Loading...")</f>
        <v>Loading...</v>
      </c>
      <c r="S944" s="7" t="str">
        <f ca="1">IFERROR(__xludf.DUMMYFUNCTION("IMPORTXML(E944,""/html/body/main/div[3]/div[3]/div[2]/ul/li[8]/span[2]/span"")"),"Loading...")</f>
        <v>Loading...</v>
      </c>
      <c r="T944" s="4">
        <v>34.6</v>
      </c>
      <c r="U944" s="4">
        <v>22.7</v>
      </c>
      <c r="V944" s="4">
        <v>2.6</v>
      </c>
      <c r="W944" s="4">
        <v>5.7</v>
      </c>
      <c r="X944" s="4">
        <v>519.92999999999995</v>
      </c>
      <c r="Y944" s="7">
        <f t="shared" ca="1" si="19"/>
        <v>-334.53</v>
      </c>
    </row>
    <row r="945" spans="1:25" ht="15" x14ac:dyDescent="0.25">
      <c r="A945" s="4">
        <v>149</v>
      </c>
      <c r="C945" s="12" t="s">
        <v>2432</v>
      </c>
      <c r="D945" s="12" t="s">
        <v>2433</v>
      </c>
      <c r="E945" s="5" t="str">
        <f t="shared" si="15"/>
        <v>https://www.screener.in/company/IEX/consolidated/</v>
      </c>
      <c r="F945" s="4">
        <v>443059</v>
      </c>
      <c r="G945" s="4">
        <v>3832241897</v>
      </c>
      <c r="H945" s="6">
        <f t="shared" ca="1" si="16"/>
        <v>54425.499421194007</v>
      </c>
      <c r="I945" s="7" t="str">
        <f ca="1">IFERROR(__xludf.DUMMYFUNCTION("IMPORTXML(E945,""/html/body/main/div[3]/div[3]/div[2]/ul/li[5]/span[2]/span"")"),"Loading...")</f>
        <v>Loading...</v>
      </c>
      <c r="J945" s="7">
        <f ca="1">IFERROR(__xludf.DUMMYFUNCTION("GOOGLEFINANCE(""NSE:""&amp;D945,""marketcap"")"),125900588589)</f>
        <v>125900588589</v>
      </c>
      <c r="K945" s="7">
        <v>992.8</v>
      </c>
      <c r="L945" s="8">
        <f ca="1">IFERROR(__xludf.DUMMYFUNCTION("GOOGLEFINANCE(""NSE:""&amp;D945,""price"")"),142.02)</f>
        <v>142.02000000000001</v>
      </c>
      <c r="M945" s="9">
        <f t="shared" ca="1" si="17"/>
        <v>-850.78</v>
      </c>
      <c r="N945" s="10">
        <f t="shared" ca="1" si="18"/>
        <v>-85.695004029008871</v>
      </c>
      <c r="O945" s="7">
        <f ca="1">IFERROR(__xludf.DUMMYFUNCTION("GOOGLEFINANCE(""NSE:""&amp;D945,""pe"")"),27.82)</f>
        <v>27.82</v>
      </c>
      <c r="P945" s="7">
        <f ca="1">IFERROR(__xludf.DUMMYFUNCTION("GOOGLEFINANCE(""NSE:""&amp;D945,""EPS"")"),5.11)</f>
        <v>5.1100000000000003</v>
      </c>
      <c r="Q945" s="7">
        <v>13.5</v>
      </c>
      <c r="R945" s="7" t="str">
        <f ca="1">IFERROR(__xludf.DUMMYFUNCTION("IMPORTXML(E945,""/html/body/main/div[3]/div[3]/div[2]/ul/li[7]/span[2]/span"")"),"Loading...")</f>
        <v>Loading...</v>
      </c>
      <c r="S945" s="7" t="str">
        <f ca="1">IFERROR(__xludf.DUMMYFUNCTION("IMPORTXML(E945,""/html/body/main/div[3]/div[3]/div[2]/ul/li[8]/span[2]/span"")"),"Loading...")</f>
        <v>Loading...</v>
      </c>
      <c r="T945" s="4">
        <v>34.6</v>
      </c>
      <c r="U945" s="4">
        <v>22.7</v>
      </c>
      <c r="V945" s="4">
        <v>2.6</v>
      </c>
      <c r="W945" s="4">
        <v>5.7</v>
      </c>
      <c r="X945" s="4">
        <v>519.92999999999995</v>
      </c>
      <c r="Y945" s="7">
        <f t="shared" ca="1" si="19"/>
        <v>-377.90999999999997</v>
      </c>
    </row>
    <row r="946" spans="1:25" ht="15" x14ac:dyDescent="0.25">
      <c r="A946" s="4">
        <v>1501</v>
      </c>
      <c r="C946" s="12" t="s">
        <v>2434</v>
      </c>
      <c r="D946" s="12" t="s">
        <v>2435</v>
      </c>
      <c r="E946" s="5" t="str">
        <f t="shared" si="15"/>
        <v>https://www.screener.in/company/IRISDOREME/consolidated/</v>
      </c>
      <c r="F946" s="4">
        <v>443059</v>
      </c>
      <c r="G946" s="4">
        <v>3832241897</v>
      </c>
      <c r="H946" s="6">
        <f t="shared" ca="1" si="16"/>
        <v>12339.818908340001</v>
      </c>
      <c r="I946" s="7" t="str">
        <f ca="1">IFERROR(__xludf.DUMMYFUNCTION("IMPORTXML(E946,""/html/body/main/div[3]/div[3]/div[2]/ul/li[5]/span[2]/span"")"),"Loading...")</f>
        <v>Loading...</v>
      </c>
      <c r="J946" s="7">
        <f ca="1">IFERROR(__xludf.DUMMYFUNCTION("GOOGLEFINANCE(""NSE:""&amp;D946,""marketcap"")"),6128671225)</f>
        <v>6128671225</v>
      </c>
      <c r="K946" s="7">
        <v>992.8</v>
      </c>
      <c r="L946" s="8">
        <f ca="1">IFERROR(__xludf.DUMMYFUNCTION("GOOGLEFINANCE(""NSE:""&amp;D946,""price"")"),32.2)</f>
        <v>32.200000000000003</v>
      </c>
      <c r="M946" s="9">
        <f t="shared" ca="1" si="17"/>
        <v>-960.59999999999991</v>
      </c>
      <c r="N946" s="10">
        <f t="shared" ca="1" si="18"/>
        <v>-96.756647864625307</v>
      </c>
      <c r="O946" s="7">
        <f ca="1">IFERROR(__xludf.DUMMYFUNCTION("GOOGLEFINANCE(""NSE:""&amp;D946,""pe"")"),42.86)</f>
        <v>42.86</v>
      </c>
      <c r="P946" s="7">
        <f ca="1">IFERROR(__xludf.DUMMYFUNCTION("GOOGLEFINANCE(""NSE:""&amp;D946,""EPS"")"),0.75)</f>
        <v>0.75</v>
      </c>
      <c r="Q946" s="7">
        <v>13.5</v>
      </c>
      <c r="R946" s="7" t="str">
        <f ca="1">IFERROR(__xludf.DUMMYFUNCTION("IMPORTXML(E946,""/html/body/main/div[3]/div[3]/div[2]/ul/li[7]/span[2]/span"")"),"Loading...")</f>
        <v>Loading...</v>
      </c>
      <c r="S946" s="7" t="str">
        <f ca="1">IFERROR(__xludf.DUMMYFUNCTION("IMPORTXML(E946,""/html/body/main/div[3]/div[3]/div[2]/ul/li[8]/span[2]/span"")"),"Loading...")</f>
        <v>Loading...</v>
      </c>
      <c r="T946" s="4">
        <v>34.6</v>
      </c>
      <c r="U946" s="4">
        <v>22.7</v>
      </c>
      <c r="V946" s="4">
        <v>2.6</v>
      </c>
      <c r="W946" s="4">
        <v>5.7</v>
      </c>
      <c r="X946" s="4">
        <v>519.92999999999995</v>
      </c>
      <c r="Y946" s="7">
        <f t="shared" ca="1" si="19"/>
        <v>-487.72999999999996</v>
      </c>
    </row>
    <row r="947" spans="1:25" ht="15" x14ac:dyDescent="0.25">
      <c r="A947" s="4">
        <v>1626</v>
      </c>
      <c r="C947" s="12" t="s">
        <v>2436</v>
      </c>
      <c r="D947" s="12" t="s">
        <v>2437</v>
      </c>
      <c r="E947" s="5" t="str">
        <f t="shared" si="15"/>
        <v>https://www.screener.in/company/MANORG/consolidated/</v>
      </c>
      <c r="F947" s="4">
        <v>443059</v>
      </c>
      <c r="G947" s="4">
        <v>3832241897</v>
      </c>
      <c r="H947" s="6">
        <f t="shared" ca="1" si="16"/>
        <v>222270.03002599999</v>
      </c>
      <c r="I947" s="7" t="str">
        <f ca="1">IFERROR(__xludf.DUMMYFUNCTION("IMPORTXML(E947,""/html/body/main/div[3]/div[3]/div[2]/ul/li[5]/span[2]/span"")"),"Loading...")</f>
        <v>Loading...</v>
      </c>
      <c r="J947" s="7">
        <f ca="1">IFERROR(__xludf.DUMMYFUNCTION("GOOGLEFINANCE(""NSE:""&amp;D947,""marketcap"")"),4967375200)</f>
        <v>4967375200</v>
      </c>
      <c r="K947" s="7">
        <v>992.8</v>
      </c>
      <c r="L947" s="8">
        <f ca="1">IFERROR(__xludf.DUMMYFUNCTION("GOOGLEFINANCE(""NSE:""&amp;D947,""price"")"),580)</f>
        <v>580</v>
      </c>
      <c r="M947" s="9">
        <f t="shared" ca="1" si="17"/>
        <v>-412.79999999999995</v>
      </c>
      <c r="N947" s="10">
        <f t="shared" ca="1" si="18"/>
        <v>-41.579371474617247</v>
      </c>
      <c r="O947" s="7">
        <f ca="1">IFERROR(__xludf.DUMMYFUNCTION("GOOGLEFINANCE(""NSE:""&amp;D947,""pe"")"),21.42)</f>
        <v>21.42</v>
      </c>
      <c r="P947" s="7">
        <f ca="1">IFERROR(__xludf.DUMMYFUNCTION("GOOGLEFINANCE(""NSE:""&amp;D947,""EPS"")"),27.07)</f>
        <v>27.07</v>
      </c>
      <c r="Q947" s="7">
        <v>13.5</v>
      </c>
      <c r="R947" s="7" t="str">
        <f ca="1">IFERROR(__xludf.DUMMYFUNCTION("IMPORTXML(E947,""/html/body/main/div[3]/div[3]/div[2]/ul/li[7]/span[2]/span"")"),"Loading...")</f>
        <v>Loading...</v>
      </c>
      <c r="S947" s="7" t="str">
        <f ca="1">IFERROR(__xludf.DUMMYFUNCTION("IMPORTXML(E947,""/html/body/main/div[3]/div[3]/div[2]/ul/li[8]/span[2]/span"")"),"Loading...")</f>
        <v>Loading...</v>
      </c>
      <c r="T947" s="4">
        <v>34.6</v>
      </c>
      <c r="U947" s="4">
        <v>22.7</v>
      </c>
      <c r="V947" s="4">
        <v>2.6</v>
      </c>
      <c r="W947" s="4">
        <v>5.7</v>
      </c>
      <c r="X947" s="4">
        <v>519.92999999999995</v>
      </c>
      <c r="Y947" s="7">
        <f t="shared" ca="1" si="19"/>
        <v>60.07000000000005</v>
      </c>
    </row>
    <row r="948" spans="1:25" ht="15" x14ac:dyDescent="0.25">
      <c r="A948" s="4">
        <v>7</v>
      </c>
      <c r="C948" s="12" t="s">
        <v>2438</v>
      </c>
      <c r="D948" s="12" t="s">
        <v>2439</v>
      </c>
      <c r="E948" s="5" t="str">
        <f t="shared" si="15"/>
        <v>https://www.screener.in/company/KPRMILL/consolidated/</v>
      </c>
      <c r="F948" s="4">
        <v>443059</v>
      </c>
      <c r="G948" s="4">
        <v>3832241897</v>
      </c>
      <c r="H948" s="6">
        <f t="shared" ca="1" si="16"/>
        <v>379966.78408755001</v>
      </c>
      <c r="I948" s="7" t="str">
        <f ca="1">IFERROR(__xludf.DUMMYFUNCTION("IMPORTXML(E948,""/html/body/main/div[3]/div[3]/div[2]/ul/li[5]/span[2]/span"")"),"Loading...")</f>
        <v>Loading...</v>
      </c>
      <c r="J948" s="7">
        <f ca="1">IFERROR(__xludf.DUMMYFUNCTION("GOOGLEFINANCE(""NSE:""&amp;D948,""marketcap"")"),338908581000)</f>
        <v>338908581000</v>
      </c>
      <c r="K948" s="7">
        <v>992.8</v>
      </c>
      <c r="L948" s="8">
        <f ca="1">IFERROR(__xludf.DUMMYFUNCTION("GOOGLEFINANCE(""NSE:""&amp;D948,""price"")"),991.5)</f>
        <v>991.5</v>
      </c>
      <c r="M948" s="9">
        <f t="shared" ca="1" si="17"/>
        <v>-1.2999999999999545</v>
      </c>
      <c r="N948" s="10">
        <f t="shared" ca="1" si="18"/>
        <v>-0.13094278807412918</v>
      </c>
      <c r="O948" s="7">
        <f ca="1">IFERROR(__xludf.DUMMYFUNCTION("GOOGLEFINANCE(""NSE:""&amp;D948,""pe"")"),41.1)</f>
        <v>41.1</v>
      </c>
      <c r="P948" s="7">
        <f ca="1">IFERROR(__xludf.DUMMYFUNCTION("GOOGLEFINANCE(""NSE:""&amp;D948,""EPS"")"),24.13)</f>
        <v>24.13</v>
      </c>
      <c r="Q948" s="7">
        <v>13.5</v>
      </c>
      <c r="R948" s="7" t="str">
        <f ca="1">IFERROR(__xludf.DUMMYFUNCTION("IMPORTXML(E948,""/html/body/main/div[3]/div[3]/div[2]/ul/li[7]/span[2]/span"")"),"Loading...")</f>
        <v>Loading...</v>
      </c>
      <c r="S948" s="7" t="str">
        <f ca="1">IFERROR(__xludf.DUMMYFUNCTION("IMPORTXML(E948,""/html/body/main/div[3]/div[3]/div[2]/ul/li[8]/span[2]/span"")"),"Loading...")</f>
        <v>Loading...</v>
      </c>
      <c r="T948" s="4">
        <v>34.6</v>
      </c>
      <c r="U948" s="4">
        <v>22.7</v>
      </c>
      <c r="V948" s="4">
        <v>2.6</v>
      </c>
      <c r="W948" s="4">
        <v>5.7</v>
      </c>
      <c r="X948" s="4">
        <v>519.92999999999995</v>
      </c>
      <c r="Y948" s="7">
        <f t="shared" ca="1" si="19"/>
        <v>471.57000000000005</v>
      </c>
    </row>
    <row r="949" spans="1:25" ht="15" x14ac:dyDescent="0.25">
      <c r="A949" s="4">
        <v>1102</v>
      </c>
      <c r="C949" s="12" t="s">
        <v>2440</v>
      </c>
      <c r="D949" s="12" t="s">
        <v>2441</v>
      </c>
      <c r="E949" s="5" t="str">
        <f t="shared" si="15"/>
        <v>https://www.screener.in/company/HLVLTD/consolidated/</v>
      </c>
      <c r="F949" s="4">
        <v>443059</v>
      </c>
      <c r="G949" s="4">
        <v>3832241897</v>
      </c>
      <c r="H949" s="6">
        <f t="shared" ca="1" si="16"/>
        <v>4545.0388898419997</v>
      </c>
      <c r="I949" s="7" t="str">
        <f ca="1">IFERROR(__xludf.DUMMYFUNCTION("IMPORTXML(E949,""/html/body/main/div[3]/div[3]/div[2]/ul/li[5]/span[2]/span"")"),"Loading...")</f>
        <v>Loading...</v>
      </c>
      <c r="J949" s="7">
        <f ca="1">IFERROR(__xludf.DUMMYFUNCTION("GOOGLEFINANCE(""NSE:""&amp;D949,""marketcap"")"),7838610591)</f>
        <v>7838610591</v>
      </c>
      <c r="K949" s="7">
        <v>992.8</v>
      </c>
      <c r="L949" s="8">
        <f ca="1">IFERROR(__xludf.DUMMYFUNCTION("GOOGLEFINANCE(""NSE:""&amp;D949,""price"")"),11.86)</f>
        <v>11.86</v>
      </c>
      <c r="M949" s="9">
        <f t="shared" ca="1" si="17"/>
        <v>-980.93999999999994</v>
      </c>
      <c r="N949" s="10">
        <f t="shared" ca="1" si="18"/>
        <v>-98.805398871877514</v>
      </c>
      <c r="O949" s="7">
        <f ca="1">IFERROR(__xludf.DUMMYFUNCTION("GOOGLEFINANCE(""NSE:""&amp;D949,""pe"")"),24.56)</f>
        <v>24.56</v>
      </c>
      <c r="P949" s="7">
        <f ca="1">IFERROR(__xludf.DUMMYFUNCTION("GOOGLEFINANCE(""NSE:""&amp;D949,""EPS"")"),0.48)</f>
        <v>0.48</v>
      </c>
      <c r="Q949" s="7">
        <v>13.5</v>
      </c>
      <c r="R949" s="7" t="str">
        <f ca="1">IFERROR(__xludf.DUMMYFUNCTION("IMPORTXML(E949,""/html/body/main/div[3]/div[3]/div[2]/ul/li[7]/span[2]/span"")"),"Loading...")</f>
        <v>Loading...</v>
      </c>
      <c r="S949" s="7" t="str">
        <f ca="1">IFERROR(__xludf.DUMMYFUNCTION("IMPORTXML(E949,""/html/body/main/div[3]/div[3]/div[2]/ul/li[8]/span[2]/span"")"),"Loading...")</f>
        <v>Loading...</v>
      </c>
      <c r="T949" s="4">
        <v>34.6</v>
      </c>
      <c r="U949" s="4">
        <v>22.7</v>
      </c>
      <c r="V949" s="4">
        <v>2.6</v>
      </c>
      <c r="W949" s="4">
        <v>5.7</v>
      </c>
      <c r="X949" s="4">
        <v>519.92999999999995</v>
      </c>
      <c r="Y949" s="7">
        <f t="shared" ca="1" si="19"/>
        <v>-508.06999999999994</v>
      </c>
    </row>
    <row r="950" spans="1:25" ht="15" x14ac:dyDescent="0.25">
      <c r="A950" s="4">
        <v>1654</v>
      </c>
      <c r="C950" s="12" t="s">
        <v>2442</v>
      </c>
      <c r="D950" s="12" t="s">
        <v>2443</v>
      </c>
      <c r="E950" s="5" t="str">
        <f t="shared" si="15"/>
        <v>https://www.screener.in/company/MANAKSTEEL/consolidated/</v>
      </c>
      <c r="F950" s="4">
        <v>443059</v>
      </c>
      <c r="G950" s="4">
        <v>3832241897</v>
      </c>
      <c r="H950" s="6">
        <f t="shared" ca="1" si="16"/>
        <v>22947.464479236001</v>
      </c>
      <c r="I950" s="7" t="str">
        <f ca="1">IFERROR(__xludf.DUMMYFUNCTION("IMPORTXML(E950,""/html/body/main/div[3]/div[3]/div[2]/ul/li[5]/span[2]/span"")"),"Loading...")</f>
        <v>Loading...</v>
      </c>
      <c r="J950" s="7">
        <f ca="1">IFERROR(__xludf.DUMMYFUNCTION("GOOGLEFINANCE(""NSE:""&amp;D950,""marketcap"")"),4058774639)</f>
        <v>4058774639</v>
      </c>
      <c r="K950" s="7">
        <v>992.8</v>
      </c>
      <c r="L950" s="8">
        <f ca="1">IFERROR(__xludf.DUMMYFUNCTION("GOOGLEFINANCE(""NSE:""&amp;D950,""price"")"),59.88)</f>
        <v>59.88</v>
      </c>
      <c r="M950" s="9">
        <f t="shared" ca="1" si="17"/>
        <v>-932.92</v>
      </c>
      <c r="N950" s="10">
        <f t="shared" ca="1" si="18"/>
        <v>-93.968573730862204</v>
      </c>
      <c r="O950" s="7">
        <f ca="1">IFERROR(__xludf.DUMMYFUNCTION("GOOGLEFINANCE(""NSE:""&amp;D950,""pe"")"),26.89)</f>
        <v>26.89</v>
      </c>
      <c r="P950" s="7">
        <f ca="1">IFERROR(__xludf.DUMMYFUNCTION("GOOGLEFINANCE(""NSE:""&amp;D950,""EPS"")"),2.23)</f>
        <v>2.23</v>
      </c>
      <c r="Q950" s="7">
        <v>13.5</v>
      </c>
      <c r="R950" s="7" t="str">
        <f ca="1">IFERROR(__xludf.DUMMYFUNCTION("IMPORTXML(E950,""/html/body/main/div[3]/div[3]/div[2]/ul/li[7]/span[2]/span"")"),"Loading...")</f>
        <v>Loading...</v>
      </c>
      <c r="S950" s="7" t="str">
        <f ca="1">IFERROR(__xludf.DUMMYFUNCTION("IMPORTXML(E950,""/html/body/main/div[3]/div[3]/div[2]/ul/li[8]/span[2]/span"")"),"Loading...")</f>
        <v>Loading...</v>
      </c>
      <c r="T950" s="4">
        <v>34.6</v>
      </c>
      <c r="U950" s="4">
        <v>22.7</v>
      </c>
      <c r="V950" s="4">
        <v>2.6</v>
      </c>
      <c r="W950" s="4">
        <v>5.7</v>
      </c>
      <c r="X950" s="4">
        <v>519.92999999999995</v>
      </c>
      <c r="Y950" s="7">
        <f t="shared" ca="1" si="19"/>
        <v>-460.04999999999995</v>
      </c>
    </row>
    <row r="951" spans="1:25" ht="15" x14ac:dyDescent="0.25">
      <c r="A951" s="4">
        <v>851</v>
      </c>
      <c r="C951" s="12" t="s">
        <v>2444</v>
      </c>
      <c r="D951" s="12" t="s">
        <v>2445</v>
      </c>
      <c r="E951" s="5" t="str">
        <f t="shared" si="15"/>
        <v>https://www.screener.in/company/AMRUTANJAN/consolidated/</v>
      </c>
      <c r="F951" s="4">
        <v>443059</v>
      </c>
      <c r="G951" s="4">
        <v>3832241897</v>
      </c>
      <c r="H951" s="6">
        <f t="shared" ca="1" si="16"/>
        <v>293664.69656710996</v>
      </c>
      <c r="I951" s="7" t="str">
        <f ca="1">IFERROR(__xludf.DUMMYFUNCTION("IMPORTXML(E951,""/html/body/main/div[3]/div[3]/div[2]/ul/li[5]/span[2]/span"")"),"Loading...")</f>
        <v>Loading...</v>
      </c>
      <c r="J951" s="7">
        <f ca="1">IFERROR(__xludf.DUMMYFUNCTION("GOOGLEFINANCE(""NSE:""&amp;D951,""marketcap"")"),22244978438)</f>
        <v>22244978438</v>
      </c>
      <c r="K951" s="7">
        <v>992.8</v>
      </c>
      <c r="L951" s="8">
        <f ca="1">IFERROR(__xludf.DUMMYFUNCTION("GOOGLEFINANCE(""NSE:""&amp;D951,""price"")"),766.3)</f>
        <v>766.3</v>
      </c>
      <c r="M951" s="9">
        <f t="shared" ca="1" si="17"/>
        <v>-226.5</v>
      </c>
      <c r="N951" s="10">
        <f t="shared" ca="1" si="18"/>
        <v>-22.814262691377923</v>
      </c>
      <c r="O951" s="7">
        <f ca="1">IFERROR(__xludf.DUMMYFUNCTION("GOOGLEFINANCE(""NSE:""&amp;D951,""pe"")"),40.63)</f>
        <v>40.630000000000003</v>
      </c>
      <c r="P951" s="7">
        <f ca="1">IFERROR(__xludf.DUMMYFUNCTION("GOOGLEFINANCE(""NSE:""&amp;D951,""EPS"")"),18.86)</f>
        <v>18.86</v>
      </c>
      <c r="Q951" s="7">
        <v>13.5</v>
      </c>
      <c r="R951" s="7" t="str">
        <f ca="1">IFERROR(__xludf.DUMMYFUNCTION("IMPORTXML(E951,""/html/body/main/div[3]/div[3]/div[2]/ul/li[7]/span[2]/span"")"),"Loading...")</f>
        <v>Loading...</v>
      </c>
      <c r="S951" s="7" t="str">
        <f ca="1">IFERROR(__xludf.DUMMYFUNCTION("IMPORTXML(E951,""/html/body/main/div[3]/div[3]/div[2]/ul/li[8]/span[2]/span"")"),"Loading...")</f>
        <v>Loading...</v>
      </c>
      <c r="T951" s="4">
        <v>34.6</v>
      </c>
      <c r="U951" s="4">
        <v>22.7</v>
      </c>
      <c r="V951" s="4">
        <v>2.6</v>
      </c>
      <c r="W951" s="4">
        <v>5.7</v>
      </c>
      <c r="X951" s="4">
        <v>519.92999999999995</v>
      </c>
      <c r="Y951" s="7">
        <f t="shared" ca="1" si="19"/>
        <v>246.37</v>
      </c>
    </row>
    <row r="952" spans="1:25" ht="15" x14ac:dyDescent="0.25">
      <c r="A952" s="4">
        <v>330</v>
      </c>
      <c r="C952" s="12" t="s">
        <v>2446</v>
      </c>
      <c r="D952" s="12" t="s">
        <v>2447</v>
      </c>
      <c r="E952" s="5" t="str">
        <f t="shared" si="15"/>
        <v>https://www.screener.in/company/SENCO/consolidated/</v>
      </c>
      <c r="F952" s="4">
        <v>443059</v>
      </c>
      <c r="G952" s="4">
        <v>3832241897</v>
      </c>
      <c r="H952" s="6">
        <f t="shared" ca="1" si="16"/>
        <v>147732.92512935001</v>
      </c>
      <c r="I952" s="7" t="str">
        <f ca="1">IFERROR(__xludf.DUMMYFUNCTION("IMPORTXML(E952,""/html/body/main/div[3]/div[3]/div[2]/ul/li[5]/span[2]/span"")"),"Loading...")</f>
        <v>Loading...</v>
      </c>
      <c r="J952" s="7">
        <f ca="1">IFERROR(__xludf.DUMMYFUNCTION("GOOGLEFINANCE(""NSE:""&amp;D952,""marketcap"")"),63113404650)</f>
        <v>63113404650</v>
      </c>
      <c r="K952" s="7">
        <v>992.8</v>
      </c>
      <c r="L952" s="8">
        <f ca="1">IFERROR(__xludf.DUMMYFUNCTION("GOOGLEFINANCE(""NSE:""&amp;D952,""price"")"),385.5)</f>
        <v>385.5</v>
      </c>
      <c r="M952" s="9">
        <f t="shared" ca="1" si="17"/>
        <v>-607.29999999999995</v>
      </c>
      <c r="N952" s="10">
        <f t="shared" ca="1" si="18"/>
        <v>-61.17042707493956</v>
      </c>
      <c r="O952" s="7">
        <f ca="1">IFERROR(__xludf.DUMMYFUNCTION("GOOGLEFINANCE(""NSE:""&amp;D952,""pe"")"),28.29)</f>
        <v>28.29</v>
      </c>
      <c r="P952" s="7">
        <f ca="1">IFERROR(__xludf.DUMMYFUNCTION("GOOGLEFINANCE(""NSE:""&amp;D952,""EPS"")"),13.63)</f>
        <v>13.63</v>
      </c>
      <c r="Q952" s="7">
        <v>13.5</v>
      </c>
      <c r="R952" s="7" t="str">
        <f ca="1">IFERROR(__xludf.DUMMYFUNCTION("IMPORTXML(E952,""/html/body/main/div[3]/div[3]/div[2]/ul/li[7]/span[2]/span"")"),"Loading...")</f>
        <v>Loading...</v>
      </c>
      <c r="S952" s="7" t="str">
        <f ca="1">IFERROR(__xludf.DUMMYFUNCTION("IMPORTXML(E952,""/html/body/main/div[3]/div[3]/div[2]/ul/li[8]/span[2]/span"")"),"Loading...")</f>
        <v>Loading...</v>
      </c>
      <c r="T952" s="4">
        <v>34.6</v>
      </c>
      <c r="U952" s="4">
        <v>22.7</v>
      </c>
      <c r="V952" s="4">
        <v>2.6</v>
      </c>
      <c r="W952" s="4">
        <v>5.7</v>
      </c>
      <c r="X952" s="4">
        <v>519.92999999999995</v>
      </c>
      <c r="Y952" s="7">
        <f t="shared" ca="1" si="19"/>
        <v>-134.42999999999995</v>
      </c>
    </row>
    <row r="953" spans="1:25" ht="15" x14ac:dyDescent="0.25">
      <c r="A953" s="4">
        <v>1051</v>
      </c>
      <c r="C953" s="12" t="s">
        <v>2448</v>
      </c>
      <c r="D953" s="12" t="s">
        <v>2449</v>
      </c>
      <c r="E953" s="5" t="str">
        <f t="shared" si="15"/>
        <v>https://www.screener.in/company/BESTAGRO/consolidated/</v>
      </c>
      <c r="F953" s="4">
        <v>443059</v>
      </c>
      <c r="G953" s="4">
        <v>3832241897</v>
      </c>
      <c r="H953" s="6">
        <f t="shared" ca="1" si="16"/>
        <v>150990.33074179999</v>
      </c>
      <c r="I953" s="7" t="str">
        <f ca="1">IFERROR(__xludf.DUMMYFUNCTION("IMPORTXML(E953,""/html/body/main/div[3]/div[3]/div[2]/ul/li[5]/span[2]/span"")"),"Loading...")</f>
        <v>Loading...</v>
      </c>
      <c r="J953" s="7">
        <f ca="1">IFERROR(__xludf.DUMMYFUNCTION("GOOGLEFINANCE(""NSE:""&amp;D953,""marketcap"")"),9269256993)</f>
        <v>9269256993</v>
      </c>
      <c r="K953" s="7">
        <v>992.8</v>
      </c>
      <c r="L953" s="8">
        <f ca="1">IFERROR(__xludf.DUMMYFUNCTION("GOOGLEFINANCE(""NSE:""&amp;D953,""price"")"),394)</f>
        <v>394</v>
      </c>
      <c r="M953" s="9">
        <f t="shared" ca="1" si="17"/>
        <v>-598.79999999999995</v>
      </c>
      <c r="N953" s="10">
        <f t="shared" ca="1" si="18"/>
        <v>-60.31426269137792</v>
      </c>
      <c r="O953" s="7">
        <f ca="1">IFERROR(__xludf.DUMMYFUNCTION("GOOGLEFINANCE(""NSE:""&amp;D953,""pe"")"),13.6)</f>
        <v>13.6</v>
      </c>
      <c r="P953" s="7">
        <f ca="1">IFERROR(__xludf.DUMMYFUNCTION("GOOGLEFINANCE(""NSE:""&amp;D953,""EPS"")"),28.97)</f>
        <v>28.97</v>
      </c>
      <c r="Q953" s="7">
        <v>13.5</v>
      </c>
      <c r="R953" s="7" t="str">
        <f ca="1">IFERROR(__xludf.DUMMYFUNCTION("IMPORTXML(E953,""/html/body/main/div[3]/div[3]/div[2]/ul/li[7]/span[2]/span"")"),"Loading...")</f>
        <v>Loading...</v>
      </c>
      <c r="S953" s="7" t="str">
        <f ca="1">IFERROR(__xludf.DUMMYFUNCTION("IMPORTXML(E953,""/html/body/main/div[3]/div[3]/div[2]/ul/li[8]/span[2]/span"")"),"Loading...")</f>
        <v>Loading...</v>
      </c>
      <c r="T953" s="4">
        <v>34.6</v>
      </c>
      <c r="U953" s="4">
        <v>22.7</v>
      </c>
      <c r="V953" s="4">
        <v>2.6</v>
      </c>
      <c r="W953" s="4">
        <v>5.7</v>
      </c>
      <c r="X953" s="4">
        <v>519.92999999999995</v>
      </c>
      <c r="Y953" s="7">
        <f t="shared" ca="1" si="19"/>
        <v>-125.92999999999995</v>
      </c>
    </row>
    <row r="954" spans="1:25" ht="15" x14ac:dyDescent="0.25">
      <c r="A954" s="4">
        <v>562</v>
      </c>
      <c r="C954" s="12" t="s">
        <v>2450</v>
      </c>
      <c r="D954" s="12" t="s">
        <v>2451</v>
      </c>
      <c r="E954" s="5" t="str">
        <f t="shared" si="15"/>
        <v>https://www.screener.in/company/SHANTIGEAR/consolidated/</v>
      </c>
      <c r="F954" s="4">
        <v>443059</v>
      </c>
      <c r="G954" s="4">
        <v>3832241897</v>
      </c>
      <c r="H954" s="6">
        <f t="shared" ca="1" si="16"/>
        <v>220181.45819213497</v>
      </c>
      <c r="I954" s="7" t="str">
        <f ca="1">IFERROR(__xludf.DUMMYFUNCTION("IMPORTXML(E954,""/html/body/main/div[3]/div[3]/div[2]/ul/li[5]/span[2]/span"")"),"Loading...")</f>
        <v>Loading...</v>
      </c>
      <c r="J954" s="7">
        <f ca="1">IFERROR(__xludf.DUMMYFUNCTION("GOOGLEFINANCE(""NSE:""&amp;D954,""marketcap"")"),43536250000)</f>
        <v>43536250000</v>
      </c>
      <c r="K954" s="7">
        <v>992.8</v>
      </c>
      <c r="L954" s="8">
        <f ca="1">IFERROR(__xludf.DUMMYFUNCTION("GOOGLEFINANCE(""NSE:""&amp;D954,""price"")"),574.55)</f>
        <v>574.54999999999995</v>
      </c>
      <c r="M954" s="9">
        <f t="shared" ca="1" si="17"/>
        <v>-418.25</v>
      </c>
      <c r="N954" s="10">
        <f t="shared" ca="1" si="18"/>
        <v>-42.128323932312654</v>
      </c>
      <c r="O954" s="7">
        <f ca="1">IFERROR(__xludf.DUMMYFUNCTION("GOOGLEFINANCE(""NSE:""&amp;D954,""pe"")"),45.39)</f>
        <v>45.39</v>
      </c>
      <c r="P954" s="7">
        <f ca="1">IFERROR(__xludf.DUMMYFUNCTION("GOOGLEFINANCE(""NSE:""&amp;D954,""EPS"")"),12.66)</f>
        <v>12.66</v>
      </c>
      <c r="Q954" s="7">
        <v>13.5</v>
      </c>
      <c r="R954" s="7" t="str">
        <f ca="1">IFERROR(__xludf.DUMMYFUNCTION("IMPORTXML(E954,""/html/body/main/div[3]/div[3]/div[2]/ul/li[7]/span[2]/span"")"),"Loading...")</f>
        <v>Loading...</v>
      </c>
      <c r="S954" s="7" t="str">
        <f ca="1">IFERROR(__xludf.DUMMYFUNCTION("IMPORTXML(E954,""/html/body/main/div[3]/div[3]/div[2]/ul/li[8]/span[2]/span"")"),"Loading...")</f>
        <v>Loading...</v>
      </c>
      <c r="T954" s="4">
        <v>34.6</v>
      </c>
      <c r="U954" s="4">
        <v>22.7</v>
      </c>
      <c r="V954" s="4">
        <v>2.6</v>
      </c>
      <c r="W954" s="4">
        <v>5.7</v>
      </c>
      <c r="X954" s="4">
        <v>519.92999999999995</v>
      </c>
      <c r="Y954" s="7">
        <f t="shared" ca="1" si="19"/>
        <v>54.620000000000005</v>
      </c>
    </row>
    <row r="955" spans="1:25" ht="15" x14ac:dyDescent="0.25">
      <c r="A955" s="4">
        <v>77</v>
      </c>
      <c r="C955" s="12" t="s">
        <v>2452</v>
      </c>
      <c r="D955" s="12" t="s">
        <v>2453</v>
      </c>
      <c r="E955" s="5" t="str">
        <f t="shared" si="15"/>
        <v>https://www.screener.in/company/CAMS/consolidated/</v>
      </c>
      <c r="F955" s="4">
        <v>443059</v>
      </c>
      <c r="G955" s="4">
        <v>3832241897</v>
      </c>
      <c r="H955" s="6">
        <f t="shared" ca="1" si="16"/>
        <v>1470431.2158788999</v>
      </c>
      <c r="I955" s="7" t="str">
        <f ca="1">IFERROR(__xludf.DUMMYFUNCTION("IMPORTXML(E955,""/html/body/main/div[3]/div[3]/div[2]/ul/li[5]/span[2]/span"")"),"Loading...")</f>
        <v>Loading...</v>
      </c>
      <c r="J955" s="7">
        <f ca="1">IFERROR(__xludf.DUMMYFUNCTION("GOOGLEFINANCE(""NSE:""&amp;D955,""marketcap"")"),189917571690)</f>
        <v>189917571690</v>
      </c>
      <c r="K955" s="7">
        <v>992.8</v>
      </c>
      <c r="L955" s="8">
        <f ca="1">IFERROR(__xludf.DUMMYFUNCTION("GOOGLEFINANCE(""NSE:""&amp;D955,""price"")"),3837)</f>
        <v>3837</v>
      </c>
      <c r="M955" s="9">
        <f t="shared" ca="1" si="17"/>
        <v>2844.2</v>
      </c>
      <c r="N955" s="10">
        <f t="shared" ca="1" si="18"/>
        <v>286.48267526188556</v>
      </c>
      <c r="O955" s="7">
        <f ca="1">IFERROR(__xludf.DUMMYFUNCTION("GOOGLEFINANCE(""NSE:""&amp;D955,""pe"")"),40.36)</f>
        <v>40.36</v>
      </c>
      <c r="P955" s="7">
        <f ca="1">IFERROR(__xludf.DUMMYFUNCTION("GOOGLEFINANCE(""NSE:""&amp;D955,""EPS"")"),95.07)</f>
        <v>95.07</v>
      </c>
      <c r="Q955" s="7">
        <v>13.5</v>
      </c>
      <c r="R955" s="7" t="str">
        <f ca="1">IFERROR(__xludf.DUMMYFUNCTION("IMPORTXML(E955,""/html/body/main/div[3]/div[3]/div[2]/ul/li[7]/span[2]/span"")"),"Loading...")</f>
        <v>Loading...</v>
      </c>
      <c r="S955" s="7" t="str">
        <f ca="1">IFERROR(__xludf.DUMMYFUNCTION("IMPORTXML(E955,""/html/body/main/div[3]/div[3]/div[2]/ul/li[8]/span[2]/span"")"),"Loading...")</f>
        <v>Loading...</v>
      </c>
      <c r="T955" s="4">
        <v>34.6</v>
      </c>
      <c r="U955" s="4">
        <v>22.7</v>
      </c>
      <c r="V955" s="4">
        <v>2.6</v>
      </c>
      <c r="W955" s="4">
        <v>5.7</v>
      </c>
      <c r="X955" s="4">
        <v>519.92999999999995</v>
      </c>
      <c r="Y955" s="7">
        <f t="shared" ca="1" si="19"/>
        <v>3317.07</v>
      </c>
    </row>
    <row r="956" spans="1:25" ht="15" x14ac:dyDescent="0.25">
      <c r="A956" s="4">
        <v>196</v>
      </c>
      <c r="C956" s="12" t="s">
        <v>2454</v>
      </c>
      <c r="D956" s="12" t="s">
        <v>2455</v>
      </c>
      <c r="E956" s="5" t="str">
        <f t="shared" si="15"/>
        <v>https://www.screener.in/company/RAILTEL/consolidated/</v>
      </c>
      <c r="F956" s="4">
        <v>443059</v>
      </c>
      <c r="G956" s="4">
        <v>3832241897</v>
      </c>
      <c r="H956" s="6">
        <f t="shared" ca="1" si="16"/>
        <v>132231.50665598502</v>
      </c>
      <c r="I956" s="7" t="str">
        <f ca="1">IFERROR(__xludf.DUMMYFUNCTION("IMPORTXML(E956,""/html/body/main/div[3]/div[3]/div[2]/ul/li[5]/span[2]/span"")"),"Loading...")</f>
        <v>Loading...</v>
      </c>
      <c r="J956" s="7">
        <f ca="1">IFERROR(__xludf.DUMMYFUNCTION("GOOGLEFINANCE(""NSE:""&amp;D956,""marketcap"")"),110563300000)</f>
        <v>110563300000</v>
      </c>
      <c r="K956" s="7">
        <v>992.8</v>
      </c>
      <c r="L956" s="8">
        <f ca="1">IFERROR(__xludf.DUMMYFUNCTION("GOOGLEFINANCE(""NSE:""&amp;D956,""price"")"),345.05)</f>
        <v>345.05</v>
      </c>
      <c r="M956" s="9">
        <f t="shared" ca="1" si="17"/>
        <v>-647.75</v>
      </c>
      <c r="N956" s="10">
        <f t="shared" ca="1" si="18"/>
        <v>-65.244762288477048</v>
      </c>
      <c r="O956" s="7">
        <f ca="1">IFERROR(__xludf.DUMMYFUNCTION("GOOGLEFINANCE(""NSE:""&amp;D956,""pe"")"),34.93)</f>
        <v>34.93</v>
      </c>
      <c r="P956" s="7">
        <f ca="1">IFERROR(__xludf.DUMMYFUNCTION("GOOGLEFINANCE(""NSE:""&amp;D956,""EPS"")"),9.88)</f>
        <v>9.8800000000000008</v>
      </c>
      <c r="Q956" s="7">
        <v>13.5</v>
      </c>
      <c r="R956" s="7" t="str">
        <f ca="1">IFERROR(__xludf.DUMMYFUNCTION("IMPORTXML(E956,""/html/body/main/div[3]/div[3]/div[2]/ul/li[7]/span[2]/span"")"),"Loading...")</f>
        <v>Loading...</v>
      </c>
      <c r="S956" s="7" t="str">
        <f ca="1">IFERROR(__xludf.DUMMYFUNCTION("IMPORTXML(E956,""/html/body/main/div[3]/div[3]/div[2]/ul/li[8]/span[2]/span"")"),"Loading...")</f>
        <v>Loading...</v>
      </c>
      <c r="T956" s="4">
        <v>34.6</v>
      </c>
      <c r="U956" s="4">
        <v>22.7</v>
      </c>
      <c r="V956" s="4">
        <v>2.6</v>
      </c>
      <c r="W956" s="4">
        <v>5.7</v>
      </c>
      <c r="X956" s="4">
        <v>519.92999999999995</v>
      </c>
      <c r="Y956" s="7">
        <f t="shared" ca="1" si="19"/>
        <v>-174.87999999999994</v>
      </c>
    </row>
    <row r="957" spans="1:25" ht="15" x14ac:dyDescent="0.25">
      <c r="A957" s="4">
        <v>3239</v>
      </c>
      <c r="C957" s="12" t="s">
        <v>2456</v>
      </c>
      <c r="D957" s="12" t="s">
        <v>2457</v>
      </c>
      <c r="E957" s="5" t="str">
        <f t="shared" si="15"/>
        <v>https://www.screener.in/company/ACEINTEG/consolidated/</v>
      </c>
      <c r="F957" s="4">
        <v>443059</v>
      </c>
      <c r="G957" s="4">
        <v>3832241897</v>
      </c>
      <c r="H957" s="6">
        <f t="shared" ca="1" si="16"/>
        <v>9266.3609069459999</v>
      </c>
      <c r="I957" s="7" t="str">
        <f ca="1">IFERROR(__xludf.DUMMYFUNCTION("IMPORTXML(E957,""/html/body/main/div[3]/div[3]/div[2]/ul/li[5]/span[2]/span"")"),"Loading...")</f>
        <v>Loading...</v>
      </c>
      <c r="J957" s="7">
        <f ca="1">IFERROR(__xludf.DUMMYFUNCTION("GOOGLEFINANCE(""NSE:""&amp;D957,""marketcap"")"),246636003)</f>
        <v>246636003</v>
      </c>
      <c r="K957" s="7">
        <v>992.8</v>
      </c>
      <c r="L957" s="8">
        <f ca="1">IFERROR(__xludf.DUMMYFUNCTION("GOOGLEFINANCE(""NSE:""&amp;D957,""price"")"),24.18)</f>
        <v>24.18</v>
      </c>
      <c r="M957" s="9">
        <f t="shared" ca="1" si="17"/>
        <v>-968.62</v>
      </c>
      <c r="N957" s="10">
        <f t="shared" ca="1" si="18"/>
        <v>-97.564464141821119</v>
      </c>
      <c r="O957" s="7" t="str">
        <f ca="1">IFERROR(__xludf.DUMMYFUNCTION("GOOGLEFINANCE(""NSE:""&amp;D957,""pe"")"),"#N/A")</f>
        <v>#N/A</v>
      </c>
      <c r="P957" s="7">
        <f ca="1">IFERROR(__xludf.DUMMYFUNCTION("GOOGLEFINANCE(""NSE:""&amp;D957,""EPS"")"),-1.84)</f>
        <v>-1.84</v>
      </c>
      <c r="Q957" s="7">
        <v>13.5</v>
      </c>
      <c r="R957" s="7" t="str">
        <f ca="1">IFERROR(__xludf.DUMMYFUNCTION("IMPORTXML(E957,""/html/body/main/div[3]/div[3]/div[2]/ul/li[7]/span[2]/span"")"),"Loading...")</f>
        <v>Loading...</v>
      </c>
      <c r="S957" s="7" t="str">
        <f ca="1">IFERROR(__xludf.DUMMYFUNCTION("IMPORTXML(E957,""/html/body/main/div[3]/div[3]/div[2]/ul/li[8]/span[2]/span"")"),"Loading...")</f>
        <v>Loading...</v>
      </c>
      <c r="T957" s="4">
        <v>34.6</v>
      </c>
      <c r="U957" s="4">
        <v>22.7</v>
      </c>
      <c r="V957" s="4">
        <v>2.6</v>
      </c>
      <c r="W957" s="4">
        <v>5.7</v>
      </c>
      <c r="X957" s="4">
        <v>519.92999999999995</v>
      </c>
      <c r="Y957" s="7">
        <f t="shared" ca="1" si="19"/>
        <v>-495.74999999999994</v>
      </c>
    </row>
    <row r="958" spans="1:25" ht="15" x14ac:dyDescent="0.25">
      <c r="A958" s="4">
        <v>1947</v>
      </c>
      <c r="C958" s="12" t="s">
        <v>2458</v>
      </c>
      <c r="D958" s="12" t="s">
        <v>2459</v>
      </c>
      <c r="E958" s="5" t="str">
        <f t="shared" si="15"/>
        <v>https://www.screener.in/company/SMLT/consolidated/</v>
      </c>
      <c r="F958" s="4">
        <v>443059</v>
      </c>
      <c r="G958" s="4">
        <v>3832241897</v>
      </c>
      <c r="H958" s="6">
        <f t="shared" ca="1" si="16"/>
        <v>40775.053784080003</v>
      </c>
      <c r="I958" s="7" t="str">
        <f ca="1">IFERROR(__xludf.DUMMYFUNCTION("IMPORTXML(E958,""/html/body/main/div[3]/div[3]/div[2]/ul/li[5]/span[2]/span"")"),"Loading...")</f>
        <v>Loading...</v>
      </c>
      <c r="J958" s="7">
        <f ca="1">IFERROR(__xludf.DUMMYFUNCTION("GOOGLEFINANCE(""NSE:""&amp;D958,""marketcap"")"),1456589420)</f>
        <v>1456589420</v>
      </c>
      <c r="K958" s="7">
        <v>992.8</v>
      </c>
      <c r="L958" s="8">
        <f ca="1">IFERROR(__xludf.DUMMYFUNCTION("GOOGLEFINANCE(""NSE:""&amp;D958,""price"")"),106.4)</f>
        <v>106.4</v>
      </c>
      <c r="M958" s="9">
        <f t="shared" ca="1" si="17"/>
        <v>-886.4</v>
      </c>
      <c r="N958" s="10">
        <f t="shared" ca="1" si="18"/>
        <v>-89.282836422240138</v>
      </c>
      <c r="O958" s="7">
        <f ca="1">IFERROR(__xludf.DUMMYFUNCTION("GOOGLEFINANCE(""NSE:""&amp;D958,""pe"")"),38.14)</f>
        <v>38.14</v>
      </c>
      <c r="P958" s="7">
        <f ca="1">IFERROR(__xludf.DUMMYFUNCTION("GOOGLEFINANCE(""NSE:""&amp;D958,""EPS"")"),2.79)</f>
        <v>2.79</v>
      </c>
      <c r="Q958" s="7">
        <v>13.5</v>
      </c>
      <c r="R958" s="7" t="str">
        <f ca="1">IFERROR(__xludf.DUMMYFUNCTION("IMPORTXML(E958,""/html/body/main/div[3]/div[3]/div[2]/ul/li[7]/span[2]/span"")"),"Loading...")</f>
        <v>Loading...</v>
      </c>
      <c r="S958" s="7" t="str">
        <f ca="1">IFERROR(__xludf.DUMMYFUNCTION("IMPORTXML(E958,""/html/body/main/div[3]/div[3]/div[2]/ul/li[8]/span[2]/span"")"),"Loading...")</f>
        <v>Loading...</v>
      </c>
      <c r="T958" s="4">
        <v>34.6</v>
      </c>
      <c r="U958" s="4">
        <v>22.7</v>
      </c>
      <c r="V958" s="4">
        <v>2.6</v>
      </c>
      <c r="W958" s="4">
        <v>5.7</v>
      </c>
      <c r="X958" s="4">
        <v>519.92999999999995</v>
      </c>
      <c r="Y958" s="7">
        <f t="shared" ca="1" si="19"/>
        <v>-413.53</v>
      </c>
    </row>
    <row r="959" spans="1:25" ht="15" x14ac:dyDescent="0.25">
      <c r="A959" s="4">
        <v>1169</v>
      </c>
      <c r="C959" s="12" t="s">
        <v>2460</v>
      </c>
      <c r="D959" s="12" t="s">
        <v>2461</v>
      </c>
      <c r="E959" s="5" t="str">
        <f t="shared" si="15"/>
        <v>https://www.screener.in/company/ELIN/consolidated/</v>
      </c>
      <c r="F959" s="4">
        <v>443059</v>
      </c>
      <c r="G959" s="4">
        <v>3832241897</v>
      </c>
      <c r="H959" s="6">
        <f t="shared" ca="1" si="16"/>
        <v>82929.714651080008</v>
      </c>
      <c r="I959" s="7">
        <f ca="1">IFERROR(__xludf.DUMMYFUNCTION("IMPORTXML(E959,""/html/body/main/div[3]/div[3]/div[2]/ul/li[5]/span[2]/span"")"),108)</f>
        <v>108</v>
      </c>
      <c r="J959" s="7">
        <f ca="1">IFERROR(__xludf.DUMMYFUNCTION("GOOGLEFINANCE(""NSE:""&amp;D959,""marketcap"")"),10746252740)</f>
        <v>10746252740</v>
      </c>
      <c r="K959" s="7">
        <v>992.8</v>
      </c>
      <c r="L959" s="8">
        <f ca="1">IFERROR(__xludf.DUMMYFUNCTION("GOOGLEFINANCE(""NSE:""&amp;D959,""price"")"),216.4)</f>
        <v>216.4</v>
      </c>
      <c r="M959" s="9">
        <f t="shared" ca="1" si="17"/>
        <v>-776.4</v>
      </c>
      <c r="N959" s="10">
        <f t="shared" ca="1" si="18"/>
        <v>-78.203062046736505</v>
      </c>
      <c r="O959" s="7">
        <f ca="1">IFERROR(__xludf.DUMMYFUNCTION("GOOGLEFINANCE(""NSE:""&amp;D959,""pe"")"),31.8)</f>
        <v>31.8</v>
      </c>
      <c r="P959" s="7">
        <f ca="1">IFERROR(__xludf.DUMMYFUNCTION("GOOGLEFINANCE(""NSE:""&amp;D959,""EPS"")"),6.8)</f>
        <v>6.8</v>
      </c>
      <c r="Q959" s="7">
        <v>13.5</v>
      </c>
      <c r="R959" s="7" t="str">
        <f ca="1">IFERROR(__xludf.DUMMYFUNCTION("IMPORTXML(E959,""/html/body/main/div[3]/div[3]/div[2]/ul/li[7]/span[2]/span"")"),"Loading...")</f>
        <v>Loading...</v>
      </c>
      <c r="S959" s="7" t="str">
        <f ca="1">IFERROR(__xludf.DUMMYFUNCTION("IMPORTXML(E959,""/html/body/main/div[3]/div[3]/div[2]/ul/li[8]/span[2]/span"")"),"Loading...")</f>
        <v>Loading...</v>
      </c>
      <c r="T959" s="4">
        <v>34.6</v>
      </c>
      <c r="U959" s="4">
        <v>22.7</v>
      </c>
      <c r="V959" s="4">
        <v>2.6</v>
      </c>
      <c r="W959" s="4">
        <v>5.7</v>
      </c>
      <c r="X959" s="4">
        <v>519.92999999999995</v>
      </c>
      <c r="Y959" s="7">
        <f t="shared" ca="1" si="19"/>
        <v>-303.52999999999997</v>
      </c>
    </row>
    <row r="960" spans="1:25" ht="15" x14ac:dyDescent="0.25">
      <c r="A960" s="4">
        <v>35</v>
      </c>
      <c r="C960" s="12" t="s">
        <v>2462</v>
      </c>
      <c r="D960" s="12" t="s">
        <v>2463</v>
      </c>
      <c r="E960" s="5" t="str">
        <f t="shared" si="15"/>
        <v>https://www.screener.in/company/SUNDRMFAST/consolidated/</v>
      </c>
      <c r="F960" s="4">
        <v>443059</v>
      </c>
      <c r="G960" s="4">
        <v>3832241897</v>
      </c>
      <c r="H960" s="6">
        <f t="shared" ca="1" si="16"/>
        <v>389739.0009249</v>
      </c>
      <c r="I960" s="7" t="str">
        <f ca="1">IFERROR(__xludf.DUMMYFUNCTION("IMPORTXML(E960,""/html/body/main/div[3]/div[3]/div[2]/ul/li[5]/span[2]/span"")"),"Loading...")</f>
        <v>Loading...</v>
      </c>
      <c r="J960" s="7">
        <f ca="1">IFERROR(__xludf.DUMMYFUNCTION("GOOGLEFINANCE(""NSE:""&amp;D960,""marketcap"")"),213700481100)</f>
        <v>213700481100</v>
      </c>
      <c r="K960" s="7">
        <v>992.8</v>
      </c>
      <c r="L960" s="8">
        <f ca="1">IFERROR(__xludf.DUMMYFUNCTION("GOOGLEFINANCE(""NSE:""&amp;D960,""price"")"),1017)</f>
        <v>1017</v>
      </c>
      <c r="M960" s="9">
        <f t="shared" ca="1" si="17"/>
        <v>24.200000000000045</v>
      </c>
      <c r="N960" s="10">
        <f t="shared" ca="1" si="18"/>
        <v>2.4375503626108022</v>
      </c>
      <c r="O960" s="7">
        <f ca="1">IFERROR(__xludf.DUMMYFUNCTION("GOOGLEFINANCE(""NSE:""&amp;D960,""pe"")"),39.17)</f>
        <v>39.17</v>
      </c>
      <c r="P960" s="7">
        <f ca="1">IFERROR(__xludf.DUMMYFUNCTION("GOOGLEFINANCE(""NSE:""&amp;D960,""EPS"")"),25.97)</f>
        <v>25.97</v>
      </c>
      <c r="Q960" s="7">
        <v>13.5</v>
      </c>
      <c r="R960" s="7" t="str">
        <f ca="1">IFERROR(__xludf.DUMMYFUNCTION("IMPORTXML(E960,""/html/body/main/div[3]/div[3]/div[2]/ul/li[7]/span[2]/span"")"),"Loading...")</f>
        <v>Loading...</v>
      </c>
      <c r="S960" s="7" t="str">
        <f ca="1">IFERROR(__xludf.DUMMYFUNCTION("IMPORTXML(E960,""/html/body/main/div[3]/div[3]/div[2]/ul/li[8]/span[2]/span"")"),"Loading...")</f>
        <v>Loading...</v>
      </c>
      <c r="T960" s="4">
        <v>34.6</v>
      </c>
      <c r="U960" s="4">
        <v>22.7</v>
      </c>
      <c r="V960" s="4">
        <v>2.6</v>
      </c>
      <c r="W960" s="4">
        <v>5.7</v>
      </c>
      <c r="X960" s="4">
        <v>519.92999999999995</v>
      </c>
      <c r="Y960" s="7">
        <f t="shared" ca="1" si="19"/>
        <v>497.07000000000005</v>
      </c>
    </row>
    <row r="961" spans="1:25" ht="15" x14ac:dyDescent="0.25">
      <c r="A961" s="4">
        <v>500</v>
      </c>
      <c r="C961" s="12" t="s">
        <v>2464</v>
      </c>
      <c r="D961" s="12" t="s">
        <v>2465</v>
      </c>
      <c r="E961" s="5" t="str">
        <f t="shared" si="15"/>
        <v>https://www.screener.in/company/SKIPPER/consolidated/</v>
      </c>
      <c r="F961" s="4">
        <v>443059</v>
      </c>
      <c r="G961" s="4">
        <v>3832241897</v>
      </c>
      <c r="H961" s="6">
        <f t="shared" ca="1" si="16"/>
        <v>216828.24653225997</v>
      </c>
      <c r="I961" s="7" t="str">
        <f ca="1">IFERROR(__xludf.DUMMYFUNCTION("IMPORTXML(E961,""/html/body/main/div[3]/div[3]/div[2]/ul/li[5]/span[2]/span"")"),"Loading...")</f>
        <v>Loading...</v>
      </c>
      <c r="J961" s="7">
        <f ca="1">IFERROR(__xludf.DUMMYFUNCTION("GOOGLEFINANCE(""NSE:""&amp;D961,""marketcap"")"),64145077203)</f>
        <v>64145077203</v>
      </c>
      <c r="K961" s="7">
        <v>992.8</v>
      </c>
      <c r="L961" s="8">
        <f ca="1">IFERROR(__xludf.DUMMYFUNCTION("GOOGLEFINANCE(""NSE:""&amp;D961,""price"")"),565.8)</f>
        <v>565.79999999999995</v>
      </c>
      <c r="M961" s="9">
        <f t="shared" ca="1" si="17"/>
        <v>-427</v>
      </c>
      <c r="N961" s="10">
        <f t="shared" ca="1" si="18"/>
        <v>-43.009669621273169</v>
      </c>
      <c r="O961" s="7">
        <f ca="1">IFERROR(__xludf.DUMMYFUNCTION("GOOGLEFINANCE(""NSE:""&amp;D961,""pe"")"),38.97)</f>
        <v>38.97</v>
      </c>
      <c r="P961" s="7">
        <f ca="1">IFERROR(__xludf.DUMMYFUNCTION("GOOGLEFINANCE(""NSE:""&amp;D961,""EPS"")"),14.52)</f>
        <v>14.52</v>
      </c>
      <c r="Q961" s="7">
        <v>13.5</v>
      </c>
      <c r="R961" s="7" t="str">
        <f ca="1">IFERROR(__xludf.DUMMYFUNCTION("IMPORTXML(E961,""/html/body/main/div[3]/div[3]/div[2]/ul/li[7]/span[2]/span"")"),"Loading...")</f>
        <v>Loading...</v>
      </c>
      <c r="S961" s="7" t="str">
        <f ca="1">IFERROR(__xludf.DUMMYFUNCTION("IMPORTXML(E961,""/html/body/main/div[3]/div[3]/div[2]/ul/li[8]/span[2]/span"")"),"Loading...")</f>
        <v>Loading...</v>
      </c>
      <c r="T961" s="4">
        <v>34.6</v>
      </c>
      <c r="U961" s="4">
        <v>22.7</v>
      </c>
      <c r="V961" s="4">
        <v>2.6</v>
      </c>
      <c r="W961" s="4">
        <v>5.7</v>
      </c>
      <c r="X961" s="4">
        <v>519.92999999999995</v>
      </c>
      <c r="Y961" s="7">
        <f t="shared" ca="1" si="19"/>
        <v>45.870000000000005</v>
      </c>
    </row>
    <row r="962" spans="1:25" ht="15" x14ac:dyDescent="0.25">
      <c r="A962" s="4">
        <v>441</v>
      </c>
      <c r="C962" s="12" t="s">
        <v>2466</v>
      </c>
      <c r="D962" s="12" t="s">
        <v>2467</v>
      </c>
      <c r="E962" s="5" t="str">
        <f t="shared" si="15"/>
        <v>https://www.screener.in/company/TDPOWERSYS/consolidated/</v>
      </c>
      <c r="F962" s="4">
        <v>443059</v>
      </c>
      <c r="G962" s="4">
        <v>3832241897</v>
      </c>
      <c r="H962" s="6">
        <f t="shared" ca="1" si="16"/>
        <v>210562.53103066501</v>
      </c>
      <c r="I962" s="7" t="str">
        <f ca="1">IFERROR(__xludf.DUMMYFUNCTION("IMPORTXML(E962,""/html/body/main/div[3]/div[3]/div[2]/ul/li[5]/span[2]/span"")"),"Loading...")</f>
        <v>Loading...</v>
      </c>
      <c r="J962" s="7">
        <f ca="1">IFERROR(__xludf.DUMMYFUNCTION("GOOGLEFINANCE(""NSE:""&amp;D962,""marketcap"")"),85815080926)</f>
        <v>85815080926</v>
      </c>
      <c r="K962" s="7">
        <v>992.8</v>
      </c>
      <c r="L962" s="8">
        <f ca="1">IFERROR(__xludf.DUMMYFUNCTION("GOOGLEFINANCE(""NSE:""&amp;D962,""price"")"),549.45)</f>
        <v>549.45000000000005</v>
      </c>
      <c r="M962" s="9">
        <f t="shared" ca="1" si="17"/>
        <v>-443.34999999999991</v>
      </c>
      <c r="N962" s="10">
        <f t="shared" ca="1" si="18"/>
        <v>-44.656526994359382</v>
      </c>
      <c r="O962" s="7">
        <f ca="1">IFERROR(__xludf.DUMMYFUNCTION("GOOGLEFINANCE(""NSE:""&amp;D962,""pe"")"),45.32)</f>
        <v>45.32</v>
      </c>
      <c r="P962" s="7">
        <f ca="1">IFERROR(__xludf.DUMMYFUNCTION("GOOGLEFINANCE(""NSE:""&amp;D962,""EPS"")"),12.12)</f>
        <v>12.12</v>
      </c>
      <c r="Q962" s="7">
        <v>13.5</v>
      </c>
      <c r="R962" s="7" t="str">
        <f ca="1">IFERROR(__xludf.DUMMYFUNCTION("IMPORTXML(E962,""/html/body/main/div[3]/div[3]/div[2]/ul/li[7]/span[2]/span"")"),"Loading...")</f>
        <v>Loading...</v>
      </c>
      <c r="S962" s="7" t="str">
        <f ca="1">IFERROR(__xludf.DUMMYFUNCTION("IMPORTXML(E962,""/html/body/main/div[3]/div[3]/div[2]/ul/li[8]/span[2]/span"")"),"Loading...")</f>
        <v>Loading...</v>
      </c>
      <c r="T962" s="4">
        <v>34.6</v>
      </c>
      <c r="U962" s="4">
        <v>22.7</v>
      </c>
      <c r="V962" s="4">
        <v>2.6</v>
      </c>
      <c r="W962" s="4">
        <v>5.7</v>
      </c>
      <c r="X962" s="4">
        <v>519.92999999999995</v>
      </c>
      <c r="Y962" s="7">
        <f t="shared" ca="1" si="19"/>
        <v>29.520000000000095</v>
      </c>
    </row>
    <row r="963" spans="1:25" ht="15" x14ac:dyDescent="0.25">
      <c r="A963" s="4">
        <v>16</v>
      </c>
      <c r="C963" s="12" t="s">
        <v>2468</v>
      </c>
      <c r="D963" s="12" t="s">
        <v>2469</v>
      </c>
      <c r="E963" s="5" t="str">
        <f t="shared" si="15"/>
        <v>https://www.screener.in/company/MSUMI/consolidated/</v>
      </c>
      <c r="F963" s="4">
        <v>443059</v>
      </c>
      <c r="G963" s="4">
        <v>3832241897</v>
      </c>
      <c r="H963" s="6">
        <f t="shared" ca="1" si="16"/>
        <v>17363.888035307002</v>
      </c>
      <c r="I963" s="7" t="str">
        <f ca="1">IFERROR(__xludf.DUMMYFUNCTION("IMPORTXML(E963,""/html/body/main/div[3]/div[3]/div[2]/ul/li[5]/span[2]/span"")"),"Loading...")</f>
        <v>Loading...</v>
      </c>
      <c r="J963" s="7">
        <f ca="1">IFERROR(__xludf.DUMMYFUNCTION("GOOGLEFINANCE(""NSE:""&amp;D963,""marketcap"")"),199834039773)</f>
        <v>199834039773</v>
      </c>
      <c r="K963" s="7">
        <v>992.8</v>
      </c>
      <c r="L963" s="8">
        <f ca="1">IFERROR(__xludf.DUMMYFUNCTION("GOOGLEFINANCE(""NSE:""&amp;D963,""price"")"),45.31)</f>
        <v>45.31</v>
      </c>
      <c r="M963" s="9">
        <f t="shared" ca="1" si="17"/>
        <v>-947.49</v>
      </c>
      <c r="N963" s="10">
        <f t="shared" ca="1" si="18"/>
        <v>-95.436140209508466</v>
      </c>
      <c r="O963" s="7">
        <f ca="1">IFERROR(__xludf.DUMMYFUNCTION("GOOGLEFINANCE(""NSE:""&amp;D963,""pe"")"),49.97)</f>
        <v>49.97</v>
      </c>
      <c r="P963" s="7">
        <f ca="1">IFERROR(__xludf.DUMMYFUNCTION("GOOGLEFINANCE(""NSE:""&amp;D963,""EPS"")"),0.91)</f>
        <v>0.91</v>
      </c>
      <c r="Q963" s="7">
        <v>13.5</v>
      </c>
      <c r="R963" s="7" t="str">
        <f ca="1">IFERROR(__xludf.DUMMYFUNCTION("IMPORTXML(E963,""/html/body/main/div[3]/div[3]/div[2]/ul/li[7]/span[2]/span"")"),"Loading...")</f>
        <v>Loading...</v>
      </c>
      <c r="S963" s="7" t="str">
        <f ca="1">IFERROR(__xludf.DUMMYFUNCTION("IMPORTXML(E963,""/html/body/main/div[3]/div[3]/div[2]/ul/li[8]/span[2]/span"")"),"Loading...")</f>
        <v>Loading...</v>
      </c>
      <c r="T963" s="4">
        <v>34.6</v>
      </c>
      <c r="U963" s="4">
        <v>22.7</v>
      </c>
      <c r="V963" s="4">
        <v>2.6</v>
      </c>
      <c r="W963" s="4">
        <v>5.7</v>
      </c>
      <c r="X963" s="4">
        <v>519.92999999999995</v>
      </c>
      <c r="Y963" s="7">
        <f t="shared" ca="1" si="19"/>
        <v>-474.61999999999995</v>
      </c>
    </row>
    <row r="964" spans="1:25" ht="15" x14ac:dyDescent="0.25">
      <c r="A964" s="4">
        <v>1360</v>
      </c>
      <c r="C964" s="12" t="s">
        <v>2470</v>
      </c>
      <c r="D964" s="12" t="s">
        <v>2471</v>
      </c>
      <c r="E964" s="5" t="str">
        <f t="shared" si="15"/>
        <v>https://www.screener.in/company/AFFORDABLE/consolidated/</v>
      </c>
      <c r="F964" s="4">
        <v>443059</v>
      </c>
      <c r="G964" s="4">
        <v>3832241897</v>
      </c>
      <c r="H964" s="6">
        <f t="shared" ca="1" si="16"/>
        <v>101554.4102705</v>
      </c>
      <c r="I964" s="7" t="str">
        <f ca="1">IFERROR(__xludf.DUMMYFUNCTION("IMPORTXML(E964,""/html/body/main/div[3]/div[3]/div[2]/ul/li[5]/span[2]/span"")"),"Loading...")</f>
        <v>Loading...</v>
      </c>
      <c r="J964" s="7">
        <f ca="1">IFERROR(__xludf.DUMMYFUNCTION("GOOGLEFINANCE(""NSE:""&amp;D964,""marketcap"")"),2980258900)</f>
        <v>2980258900</v>
      </c>
      <c r="K964" s="7">
        <v>992.8</v>
      </c>
      <c r="L964" s="8">
        <f ca="1">IFERROR(__xludf.DUMMYFUNCTION("GOOGLEFINANCE(""NSE:""&amp;D964,""price"")"),265)</f>
        <v>265</v>
      </c>
      <c r="M964" s="9">
        <f t="shared" ca="1" si="17"/>
        <v>-727.8</v>
      </c>
      <c r="N964" s="10">
        <f t="shared" ca="1" si="18"/>
        <v>-73.307816277195798</v>
      </c>
      <c r="O964" s="7" t="str">
        <f ca="1">IFERROR(__xludf.DUMMYFUNCTION("GOOGLEFINANCE(""NSE:""&amp;D964,""pe"")"),"#N/A")</f>
        <v>#N/A</v>
      </c>
      <c r="P964" s="7" t="str">
        <f ca="1">IFERROR(__xludf.DUMMYFUNCTION("GOOGLEFINANCE(""NSE:""&amp;D964,""EPS"")"),"#N/A")</f>
        <v>#N/A</v>
      </c>
      <c r="Q964" s="7">
        <v>13.5</v>
      </c>
      <c r="R964" s="7" t="str">
        <f ca="1">IFERROR(__xludf.DUMMYFUNCTION("IMPORTXML(E964,""/html/body/main/div[3]/div[3]/div[2]/ul/li[7]/span[2]/span"")"),"Loading...")</f>
        <v>Loading...</v>
      </c>
      <c r="S964" s="7" t="str">
        <f ca="1">IFERROR(__xludf.DUMMYFUNCTION("IMPORTXML(E964,""/html/body/main/div[3]/div[3]/div[2]/ul/li[8]/span[2]/span"")"),"Loading...")</f>
        <v>Loading...</v>
      </c>
      <c r="T964" s="4">
        <v>34.6</v>
      </c>
      <c r="U964" s="4">
        <v>22.7</v>
      </c>
      <c r="V964" s="4">
        <v>2.6</v>
      </c>
      <c r="W964" s="4">
        <v>5.7</v>
      </c>
      <c r="X964" s="4">
        <v>519.92999999999995</v>
      </c>
      <c r="Y964" s="7">
        <f t="shared" ca="1" si="19"/>
        <v>-254.92999999999995</v>
      </c>
    </row>
    <row r="965" spans="1:25" ht="15" x14ac:dyDescent="0.25">
      <c r="A965" s="4">
        <v>413</v>
      </c>
      <c r="C965" s="12" t="s">
        <v>2472</v>
      </c>
      <c r="D965" s="12" t="s">
        <v>2473</v>
      </c>
      <c r="E965" s="5" t="str">
        <f t="shared" si="15"/>
        <v>https://www.screener.in/company/INDIGOPNTS/consolidated/</v>
      </c>
      <c r="F965" s="4">
        <v>443059</v>
      </c>
      <c r="G965" s="4">
        <v>3832241897</v>
      </c>
      <c r="H965" s="6">
        <f t="shared" ca="1" si="16"/>
        <v>439749.75768074999</v>
      </c>
      <c r="I965" s="7" t="str">
        <f ca="1">IFERROR(__xludf.DUMMYFUNCTION("IMPORTXML(E965,""/html/body/main/div[3]/div[3]/div[2]/ul/li[5]/span[2]/span"")"),"Loading...")</f>
        <v>Loading...</v>
      </c>
      <c r="J965" s="7">
        <f ca="1">IFERROR(__xludf.DUMMYFUNCTION("GOOGLEFINANCE(""NSE:""&amp;D965,""marketcap"")"),54596500933)</f>
        <v>54596500933</v>
      </c>
      <c r="K965" s="7">
        <v>992.8</v>
      </c>
      <c r="L965" s="8">
        <f ca="1">IFERROR(__xludf.DUMMYFUNCTION("GOOGLEFINANCE(""NSE:""&amp;D965,""price"")"),1147.5)</f>
        <v>1147.5</v>
      </c>
      <c r="M965" s="9">
        <f t="shared" ca="1" si="17"/>
        <v>154.70000000000005</v>
      </c>
      <c r="N965" s="10">
        <f t="shared" ca="1" si="18"/>
        <v>15.582191780821923</v>
      </c>
      <c r="O965" s="7">
        <f ca="1">IFERROR(__xludf.DUMMYFUNCTION("GOOGLEFINANCE(""NSE:""&amp;D965,""pe"")"),38.75)</f>
        <v>38.75</v>
      </c>
      <c r="P965" s="7">
        <f ca="1">IFERROR(__xludf.DUMMYFUNCTION("GOOGLEFINANCE(""NSE:""&amp;D965,""EPS"")"),29.61)</f>
        <v>29.61</v>
      </c>
      <c r="Q965" s="7">
        <v>13.5</v>
      </c>
      <c r="R965" s="7" t="str">
        <f ca="1">IFERROR(__xludf.DUMMYFUNCTION("IMPORTXML(E965,""/html/body/main/div[3]/div[3]/div[2]/ul/li[7]/span[2]/span"")"),"Loading...")</f>
        <v>Loading...</v>
      </c>
      <c r="S965" s="7" t="str">
        <f ca="1">IFERROR(__xludf.DUMMYFUNCTION("IMPORTXML(E965,""/html/body/main/div[3]/div[3]/div[2]/ul/li[8]/span[2]/span"")"),"Loading...")</f>
        <v>Loading...</v>
      </c>
      <c r="T965" s="4">
        <v>34.6</v>
      </c>
      <c r="U965" s="4">
        <v>22.7</v>
      </c>
      <c r="V965" s="4">
        <v>2.6</v>
      </c>
      <c r="W965" s="4">
        <v>5.7</v>
      </c>
      <c r="X965" s="4">
        <v>519.92999999999995</v>
      </c>
      <c r="Y965" s="7">
        <f t="shared" ca="1" si="19"/>
        <v>627.57000000000005</v>
      </c>
    </row>
    <row r="966" spans="1:25" ht="15" x14ac:dyDescent="0.25">
      <c r="A966" s="4">
        <v>2503</v>
      </c>
      <c r="C966" s="12" t="s">
        <v>2474</v>
      </c>
      <c r="D966" s="12" t="s">
        <v>2475</v>
      </c>
      <c r="E966" s="5" t="str">
        <f t="shared" si="15"/>
        <v>https://www.screener.in/company/SECMARK/consolidated/</v>
      </c>
      <c r="F966" s="4">
        <v>443059</v>
      </c>
      <c r="G966" s="4">
        <v>3832241897</v>
      </c>
      <c r="H966" s="6">
        <f t="shared" ca="1" si="16"/>
        <v>51696.943190530008</v>
      </c>
      <c r="I966" s="7" t="str">
        <f ca="1">IFERROR(__xludf.DUMMYFUNCTION("IMPORTXML(E966,""/html/body/main/div[3]/div[3]/div[2]/ul/li[5]/span[2]/span"")"),"Loading...")</f>
        <v>Loading...</v>
      </c>
      <c r="J966" s="7">
        <f ca="1">IFERROR(__xludf.DUMMYFUNCTION("GOOGLEFINANCE(""NSE:""&amp;D966,""marketcap"")"),1404392574)</f>
        <v>1404392574</v>
      </c>
      <c r="K966" s="7">
        <v>992.8</v>
      </c>
      <c r="L966" s="8">
        <f ca="1">IFERROR(__xludf.DUMMYFUNCTION("GOOGLEFINANCE(""NSE:""&amp;D966,""price"")"),134.9)</f>
        <v>134.9</v>
      </c>
      <c r="M966" s="9">
        <f t="shared" ca="1" si="17"/>
        <v>-857.9</v>
      </c>
      <c r="N966" s="10">
        <f t="shared" ca="1" si="18"/>
        <v>-86.412167606768747</v>
      </c>
      <c r="O966" s="7">
        <f ca="1">IFERROR(__xludf.DUMMYFUNCTION("GOOGLEFINANCE(""NSE:""&amp;D966,""pe"")"),44.03)</f>
        <v>44.03</v>
      </c>
      <c r="P966" s="7">
        <f ca="1">IFERROR(__xludf.DUMMYFUNCTION("GOOGLEFINANCE(""NSE:""&amp;D966,""EPS"")"),3.06)</f>
        <v>3.06</v>
      </c>
      <c r="Q966" s="7">
        <v>13.5</v>
      </c>
      <c r="R966" s="7" t="str">
        <f ca="1">IFERROR(__xludf.DUMMYFUNCTION("IMPORTXML(E966,""/html/body/main/div[3]/div[3]/div[2]/ul/li[7]/span[2]/span"")"),"Loading...")</f>
        <v>Loading...</v>
      </c>
      <c r="S966" s="7" t="str">
        <f ca="1">IFERROR(__xludf.DUMMYFUNCTION("IMPORTXML(E966,""/html/body/main/div[3]/div[3]/div[2]/ul/li[8]/span[2]/span"")"),"Loading...")</f>
        <v>Loading...</v>
      </c>
      <c r="T966" s="4">
        <v>34.6</v>
      </c>
      <c r="U966" s="4">
        <v>22.7</v>
      </c>
      <c r="V966" s="4">
        <v>2.6</v>
      </c>
      <c r="W966" s="4">
        <v>5.7</v>
      </c>
      <c r="X966" s="4">
        <v>519.92999999999995</v>
      </c>
      <c r="Y966" s="7">
        <f t="shared" ca="1" si="19"/>
        <v>-385.03</v>
      </c>
    </row>
    <row r="967" spans="1:25" ht="15" x14ac:dyDescent="0.25">
      <c r="A967" s="4">
        <v>765</v>
      </c>
      <c r="C967" s="12" t="s">
        <v>2476</v>
      </c>
      <c r="D967" s="12" t="s">
        <v>2477</v>
      </c>
      <c r="E967" s="5" t="str">
        <f t="shared" si="15"/>
        <v>https://www.screener.in/company/PSPPROJECT/consolidated/</v>
      </c>
      <c r="F967" s="4">
        <v>443059</v>
      </c>
      <c r="G967" s="4">
        <v>3832241897</v>
      </c>
      <c r="H967" s="6">
        <f t="shared" ca="1" si="16"/>
        <v>270901.17969893001</v>
      </c>
      <c r="I967" s="7" t="str">
        <f ca="1">IFERROR(__xludf.DUMMYFUNCTION("IMPORTXML(E967,""/html/body/main/div[3]/div[3]/div[2]/ul/li[5]/span[2]/span"")"),"Loading...")</f>
        <v>Loading...</v>
      </c>
      <c r="J967" s="7">
        <f ca="1">IFERROR(__xludf.DUMMYFUNCTION("GOOGLEFINANCE(""NSE:""&amp;D967,""marketcap"")"),27995030000)</f>
        <v>27995030000</v>
      </c>
      <c r="K967" s="7">
        <v>992.8</v>
      </c>
      <c r="L967" s="8">
        <f ca="1">IFERROR(__xludf.DUMMYFUNCTION("GOOGLEFINANCE(""NSE:""&amp;D967,""price"")"),706.9)</f>
        <v>706.9</v>
      </c>
      <c r="M967" s="9">
        <f t="shared" ca="1" si="17"/>
        <v>-285.89999999999998</v>
      </c>
      <c r="N967" s="10">
        <f t="shared" ca="1" si="18"/>
        <v>-28.797340854149876</v>
      </c>
      <c r="O967" s="7">
        <f ca="1">IFERROR(__xludf.DUMMYFUNCTION("GOOGLEFINANCE(""NSE:""&amp;D967,""pe"")"),125.56)</f>
        <v>125.56</v>
      </c>
      <c r="P967" s="7">
        <f ca="1">IFERROR(__xludf.DUMMYFUNCTION("GOOGLEFINANCE(""NSE:""&amp;D967,""EPS"")"),5.63)</f>
        <v>5.63</v>
      </c>
      <c r="Q967" s="7">
        <v>13.5</v>
      </c>
      <c r="R967" s="7" t="str">
        <f ca="1">IFERROR(__xludf.DUMMYFUNCTION("IMPORTXML(E967,""/html/body/main/div[3]/div[3]/div[2]/ul/li[7]/span[2]/span"")"),"Loading...")</f>
        <v>Loading...</v>
      </c>
      <c r="S967" s="7" t="str">
        <f ca="1">IFERROR(__xludf.DUMMYFUNCTION("IMPORTXML(E967,""/html/body/main/div[3]/div[3]/div[2]/ul/li[8]/span[2]/span"")"),"Loading...")</f>
        <v>Loading...</v>
      </c>
      <c r="T967" s="4">
        <v>34.6</v>
      </c>
      <c r="U967" s="4">
        <v>22.7</v>
      </c>
      <c r="V967" s="4">
        <v>2.6</v>
      </c>
      <c r="W967" s="4">
        <v>5.7</v>
      </c>
      <c r="X967" s="4">
        <v>519.92999999999995</v>
      </c>
      <c r="Y967" s="7">
        <f t="shared" ca="1" si="19"/>
        <v>186.97000000000003</v>
      </c>
    </row>
    <row r="968" spans="1:25" ht="15" x14ac:dyDescent="0.25">
      <c r="A968" s="4">
        <v>340</v>
      </c>
      <c r="C968" s="12" t="s">
        <v>2478</v>
      </c>
      <c r="D968" s="12" t="s">
        <v>2479</v>
      </c>
      <c r="E968" s="5" t="str">
        <f t="shared" si="15"/>
        <v>https://www.screener.in/company/PGHL/consolidated/</v>
      </c>
      <c r="F968" s="4">
        <v>443059</v>
      </c>
      <c r="G968" s="4">
        <v>3832241897</v>
      </c>
      <c r="H968" s="6">
        <f t="shared" ca="1" si="16"/>
        <v>2477735.9985053502</v>
      </c>
      <c r="I968" s="7" t="str">
        <f ca="1">IFERROR(__xludf.DUMMYFUNCTION("IMPORTXML(E968,""/html/body/main/div[3]/div[3]/div[2]/ul/li[5]/span[2]/span"")"),"Loading...")</f>
        <v>Loading...</v>
      </c>
      <c r="J968" s="7">
        <f ca="1">IFERROR(__xludf.DUMMYFUNCTION("GOOGLEFINANCE(""NSE:""&amp;D968,""marketcap"")"),107323291390)</f>
        <v>107323291390</v>
      </c>
      <c r="K968" s="7">
        <v>992.8</v>
      </c>
      <c r="L968" s="8">
        <f ca="1">IFERROR(__xludf.DUMMYFUNCTION("GOOGLEFINANCE(""NSE:""&amp;D968,""price"")"),6465.5)</f>
        <v>6465.5</v>
      </c>
      <c r="M968" s="9">
        <f t="shared" ca="1" si="17"/>
        <v>5472.7</v>
      </c>
      <c r="N968" s="10">
        <f t="shared" ca="1" si="18"/>
        <v>551.2389202256245</v>
      </c>
      <c r="O968" s="7">
        <f ca="1">IFERROR(__xludf.DUMMYFUNCTION("GOOGLEFINANCE(""NSE:""&amp;D968,""pe"")"),42.73)</f>
        <v>42.73</v>
      </c>
      <c r="P968" s="7">
        <f ca="1">IFERROR(__xludf.DUMMYFUNCTION("GOOGLEFINANCE(""NSE:""&amp;D968,""EPS"")"),151.32)</f>
        <v>151.32</v>
      </c>
      <c r="Q968" s="7">
        <v>13.5</v>
      </c>
      <c r="R968" s="7" t="str">
        <f ca="1">IFERROR(__xludf.DUMMYFUNCTION("IMPORTXML(E968,""/html/body/main/div[3]/div[3]/div[2]/ul/li[7]/span[2]/span"")"),"Loading...")</f>
        <v>Loading...</v>
      </c>
      <c r="S968" s="7" t="str">
        <f ca="1">IFERROR(__xludf.DUMMYFUNCTION("IMPORTXML(E968,""/html/body/main/div[3]/div[3]/div[2]/ul/li[8]/span[2]/span"")"),"Loading...")</f>
        <v>Loading...</v>
      </c>
      <c r="T968" s="4">
        <v>34.6</v>
      </c>
      <c r="U968" s="4">
        <v>22.7</v>
      </c>
      <c r="V968" s="4">
        <v>2.6</v>
      </c>
      <c r="W968" s="4">
        <v>5.7</v>
      </c>
      <c r="X968" s="4">
        <v>519.92999999999995</v>
      </c>
      <c r="Y968" s="7">
        <f t="shared" ca="1" si="19"/>
        <v>5945.57</v>
      </c>
    </row>
    <row r="969" spans="1:25" ht="15" x14ac:dyDescent="0.25">
      <c r="A969" s="4">
        <v>2666</v>
      </c>
      <c r="C969" s="12" t="s">
        <v>2480</v>
      </c>
      <c r="D969" s="12" t="s">
        <v>2481</v>
      </c>
      <c r="E969" s="5" t="str">
        <f t="shared" si="15"/>
        <v>https://www.screener.in/company/3PLAND/consolidated/</v>
      </c>
      <c r="F969" s="4">
        <v>443059</v>
      </c>
      <c r="G969" s="4">
        <v>3832241897</v>
      </c>
      <c r="H969" s="6">
        <f t="shared" ca="1" si="16"/>
        <v>17256.585262191002</v>
      </c>
      <c r="I969" s="7" t="str">
        <f ca="1">IFERROR(__xludf.DUMMYFUNCTION("IMPORTXML(E969,""/html/body/main/div[3]/div[3]/div[2]/ul/li[5]/span[2]/span"")"),"Loading...")</f>
        <v>Loading...</v>
      </c>
      <c r="J969" s="7">
        <f ca="1">IFERROR(__xludf.DUMMYFUNCTION("GOOGLEFINANCE(""NSE:""&amp;D969,""marketcap"")"),841227705)</f>
        <v>841227705</v>
      </c>
      <c r="K969" s="7">
        <v>992.8</v>
      </c>
      <c r="L969" s="8">
        <f ca="1">IFERROR(__xludf.DUMMYFUNCTION("GOOGLEFINANCE(""NSE:""&amp;D969,""price"")"),45.03)</f>
        <v>45.03</v>
      </c>
      <c r="M969" s="9">
        <f t="shared" ca="1" si="17"/>
        <v>-947.77</v>
      </c>
      <c r="N969" s="10">
        <f t="shared" ca="1" si="18"/>
        <v>-95.464343271555194</v>
      </c>
      <c r="O969" s="7">
        <f ca="1">IFERROR(__xludf.DUMMYFUNCTION("GOOGLEFINANCE(""NSE:""&amp;D969,""pe"")"),38.97)</f>
        <v>38.97</v>
      </c>
      <c r="P969" s="7">
        <f ca="1">IFERROR(__xludf.DUMMYFUNCTION("GOOGLEFINANCE(""NSE:""&amp;D969,""EPS"")"),1.16)</f>
        <v>1.1599999999999999</v>
      </c>
      <c r="Q969" s="7">
        <v>13.5</v>
      </c>
      <c r="R969" s="7" t="str">
        <f ca="1">IFERROR(__xludf.DUMMYFUNCTION("IMPORTXML(E969,""/html/body/main/div[3]/div[3]/div[2]/ul/li[7]/span[2]/span"")"),"Loading...")</f>
        <v>Loading...</v>
      </c>
      <c r="S969" s="7" t="str">
        <f ca="1">IFERROR(__xludf.DUMMYFUNCTION("IMPORTXML(E969,""/html/body/main/div[3]/div[3]/div[2]/ul/li[8]/span[2]/span"")"),"Loading...")</f>
        <v>Loading...</v>
      </c>
      <c r="T969" s="4">
        <v>34.6</v>
      </c>
      <c r="U969" s="4">
        <v>22.7</v>
      </c>
      <c r="V969" s="4">
        <v>2.6</v>
      </c>
      <c r="W969" s="4">
        <v>5.7</v>
      </c>
      <c r="X969" s="4">
        <v>519.92999999999995</v>
      </c>
      <c r="Y969" s="7">
        <f t="shared" ca="1" si="19"/>
        <v>-474.9</v>
      </c>
    </row>
    <row r="970" spans="1:25" ht="15" x14ac:dyDescent="0.25">
      <c r="A970" s="4">
        <v>640</v>
      </c>
      <c r="C970" s="12" t="s">
        <v>2482</v>
      </c>
      <c r="D970" s="12" t="s">
        <v>2483</v>
      </c>
      <c r="E970" s="5" t="str">
        <f t="shared" si="15"/>
        <v>https://www.screener.in/company/HPL/consolidated/</v>
      </c>
      <c r="F970" s="4">
        <v>443059</v>
      </c>
      <c r="G970" s="4">
        <v>3832241897</v>
      </c>
      <c r="H970" s="6">
        <f t="shared" ca="1" si="16"/>
        <v>179712.98375981499</v>
      </c>
      <c r="I970" s="7" t="str">
        <f ca="1">IFERROR(__xludf.DUMMYFUNCTION("IMPORTXML(E970,""/html/body/main/div[3]/div[3]/div[2]/ul/li[5]/span[2]/span"")"),"Loading...")</f>
        <v>Loading...</v>
      </c>
      <c r="J970" s="7">
        <f ca="1">IFERROR(__xludf.DUMMYFUNCTION("GOOGLEFINANCE(""NSE:""&amp;D970,""marketcap"")"),30153715570)</f>
        <v>30153715570</v>
      </c>
      <c r="K970" s="7">
        <v>992.8</v>
      </c>
      <c r="L970" s="8">
        <f ca="1">IFERROR(__xludf.DUMMYFUNCTION("GOOGLEFINANCE(""NSE:""&amp;D970,""price"")"),468.95)</f>
        <v>468.95</v>
      </c>
      <c r="M970" s="9">
        <f t="shared" ca="1" si="17"/>
        <v>-523.84999999999991</v>
      </c>
      <c r="N970" s="10">
        <f t="shared" ca="1" si="18"/>
        <v>-52.764907332796128</v>
      </c>
      <c r="O970" s="7">
        <f ca="1">IFERROR(__xludf.DUMMYFUNCTION("GOOGLEFINANCE(""NSE:""&amp;D970,""pe"")"),31.66)</f>
        <v>31.66</v>
      </c>
      <c r="P970" s="7">
        <f ca="1">IFERROR(__xludf.DUMMYFUNCTION("GOOGLEFINANCE(""NSE:""&amp;D970,""EPS"")"),14.81)</f>
        <v>14.81</v>
      </c>
      <c r="Q970" s="7">
        <v>13.5</v>
      </c>
      <c r="R970" s="7" t="str">
        <f ca="1">IFERROR(__xludf.DUMMYFUNCTION("IMPORTXML(E970,""/html/body/main/div[3]/div[3]/div[2]/ul/li[7]/span[2]/span"")"),"Loading...")</f>
        <v>Loading...</v>
      </c>
      <c r="S970" s="7" t="str">
        <f ca="1">IFERROR(__xludf.DUMMYFUNCTION("IMPORTXML(E970,""/html/body/main/div[3]/div[3]/div[2]/ul/li[8]/span[2]/span"")"),"Loading...")</f>
        <v>Loading...</v>
      </c>
      <c r="T970" s="4">
        <v>34.6</v>
      </c>
      <c r="U970" s="4">
        <v>22.7</v>
      </c>
      <c r="V970" s="4">
        <v>2.6</v>
      </c>
      <c r="W970" s="4">
        <v>5.7</v>
      </c>
      <c r="X970" s="4">
        <v>519.92999999999995</v>
      </c>
      <c r="Y970" s="7">
        <f t="shared" ca="1" si="19"/>
        <v>-50.979999999999961</v>
      </c>
    </row>
    <row r="971" spans="1:25" ht="15" x14ac:dyDescent="0.25">
      <c r="A971" s="4">
        <v>584</v>
      </c>
      <c r="C971" s="12" t="s">
        <v>2484</v>
      </c>
      <c r="D971" s="12" t="s">
        <v>2485</v>
      </c>
      <c r="E971" s="5" t="str">
        <f t="shared" si="15"/>
        <v>https://www.screener.in/company/SKYGOLD/consolidated/</v>
      </c>
      <c r="F971" s="4">
        <v>443059</v>
      </c>
      <c r="G971" s="4">
        <v>3832241897</v>
      </c>
      <c r="H971" s="6">
        <f t="shared" ca="1" si="16"/>
        <v>107571.03004878999</v>
      </c>
      <c r="I971" s="7" t="str">
        <f ca="1">IFERROR(__xludf.DUMMYFUNCTION("IMPORTXML(E971,""/html/body/main/div[3]/div[3]/div[2]/ul/li[5]/span[2]/span"")"),"Loading...")</f>
        <v>Loading...</v>
      </c>
      <c r="J971" s="7">
        <f ca="1">IFERROR(__xludf.DUMMYFUNCTION("GOOGLEFINANCE(""NSE:""&amp;D971,""marketcap"")"),43168574399)</f>
        <v>43168574399</v>
      </c>
      <c r="K971" s="7">
        <v>992.8</v>
      </c>
      <c r="L971" s="8">
        <f ca="1">IFERROR(__xludf.DUMMYFUNCTION("GOOGLEFINANCE(""NSE:""&amp;D971,""price"")"),280.7)</f>
        <v>280.7</v>
      </c>
      <c r="M971" s="9">
        <f t="shared" ca="1" si="17"/>
        <v>-712.09999999999991</v>
      </c>
      <c r="N971" s="10">
        <f t="shared" ca="1" si="18"/>
        <v>-71.726430298146653</v>
      </c>
      <c r="O971" s="7">
        <f ca="1">IFERROR(__xludf.DUMMYFUNCTION("GOOGLEFINANCE(""NSE:""&amp;D971,""pe"")"),24.6)</f>
        <v>24.6</v>
      </c>
      <c r="P971" s="7">
        <f ca="1">IFERROR(__xludf.DUMMYFUNCTION("GOOGLEFINANCE(""NSE:""&amp;D971,""EPS"")"),11.41)</f>
        <v>11.41</v>
      </c>
      <c r="Q971" s="7">
        <v>13.5</v>
      </c>
      <c r="R971" s="7" t="str">
        <f ca="1">IFERROR(__xludf.DUMMYFUNCTION("IMPORTXML(E971,""/html/body/main/div[3]/div[3]/div[2]/ul/li[7]/span[2]/span"")"),"Loading...")</f>
        <v>Loading...</v>
      </c>
      <c r="S971" s="7" t="str">
        <f ca="1">IFERROR(__xludf.DUMMYFUNCTION("IMPORTXML(E971,""/html/body/main/div[3]/div[3]/div[2]/ul/li[8]/span[2]/span"")"),"Loading...")</f>
        <v>Loading...</v>
      </c>
      <c r="T971" s="4">
        <v>34.6</v>
      </c>
      <c r="U971" s="4">
        <v>22.7</v>
      </c>
      <c r="V971" s="4">
        <v>2.6</v>
      </c>
      <c r="W971" s="4">
        <v>5.7</v>
      </c>
      <c r="X971" s="4">
        <v>519.92999999999995</v>
      </c>
      <c r="Y971" s="7">
        <f t="shared" ca="1" si="19"/>
        <v>-239.22999999999996</v>
      </c>
    </row>
    <row r="972" spans="1:25" ht="15" x14ac:dyDescent="0.25">
      <c r="A972" s="4">
        <v>631</v>
      </c>
      <c r="C972" s="12" t="s">
        <v>2486</v>
      </c>
      <c r="D972" s="12" t="s">
        <v>2487</v>
      </c>
      <c r="E972" s="5" t="str">
        <f t="shared" si="15"/>
        <v>https://www.screener.in/company/MPSLTD/consolidated/</v>
      </c>
      <c r="F972" s="4">
        <v>443059</v>
      </c>
      <c r="G972" s="4">
        <v>3832241897</v>
      </c>
      <c r="H972" s="6">
        <f t="shared" ca="1" si="16"/>
        <v>865243.57550466002</v>
      </c>
      <c r="I972" s="7" t="str">
        <f ca="1">IFERROR(__xludf.DUMMYFUNCTION("IMPORTXML(E972,""/html/body/main/div[3]/div[3]/div[2]/ul/li[5]/span[2]/span"")"),"Loading...")</f>
        <v>Loading...</v>
      </c>
      <c r="J972" s="7">
        <f ca="1">IFERROR(__xludf.DUMMYFUNCTION("GOOGLEFINANCE(""NSE:""&amp;D972,""marketcap"")"),38129580000)</f>
        <v>38129580000</v>
      </c>
      <c r="K972" s="7">
        <v>992.8</v>
      </c>
      <c r="L972" s="8">
        <f ca="1">IFERROR(__xludf.DUMMYFUNCTION("GOOGLEFINANCE(""NSE:""&amp;D972,""price"")"),2257.8)</f>
        <v>2257.8000000000002</v>
      </c>
      <c r="M972" s="9">
        <f t="shared" ca="1" si="17"/>
        <v>1265.0000000000002</v>
      </c>
      <c r="N972" s="10">
        <f t="shared" ca="1" si="18"/>
        <v>127.41740531829173</v>
      </c>
      <c r="O972" s="7">
        <f ca="1">IFERROR(__xludf.DUMMYFUNCTION("GOOGLEFINANCE(""NSE:""&amp;D972,""pe"")"),24.22)</f>
        <v>24.22</v>
      </c>
      <c r="P972" s="7">
        <f ca="1">IFERROR(__xludf.DUMMYFUNCTION("GOOGLEFINANCE(""NSE:""&amp;D972,""EPS"")"),93.24)</f>
        <v>93.24</v>
      </c>
      <c r="Q972" s="7">
        <v>13.5</v>
      </c>
      <c r="R972" s="7">
        <f ca="1">IFERROR(__xludf.DUMMYFUNCTION("IMPORTXML(E972,""/html/body/main/div[3]/div[3]/div[2]/ul/li[7]/span[2]/span"")"),40.9)</f>
        <v>40.9</v>
      </c>
      <c r="S972" s="7" t="str">
        <f ca="1">IFERROR(__xludf.DUMMYFUNCTION("IMPORTXML(E972,""/html/body/main/div[3]/div[3]/div[2]/ul/li[8]/span[2]/span"")"),"Loading...")</f>
        <v>Loading...</v>
      </c>
      <c r="T972" s="4">
        <v>34.6</v>
      </c>
      <c r="U972" s="4">
        <v>22.7</v>
      </c>
      <c r="V972" s="4">
        <v>2.6</v>
      </c>
      <c r="W972" s="4">
        <v>5.7</v>
      </c>
      <c r="X972" s="4">
        <v>519.92999999999995</v>
      </c>
      <c r="Y972" s="7">
        <f t="shared" ca="1" si="19"/>
        <v>1737.8700000000003</v>
      </c>
    </row>
    <row r="973" spans="1:25" ht="15" x14ac:dyDescent="0.25">
      <c r="A973" s="4">
        <v>396</v>
      </c>
      <c r="C973" s="12" t="s">
        <v>2488</v>
      </c>
      <c r="D973" s="12" t="s">
        <v>2489</v>
      </c>
      <c r="E973" s="5" t="str">
        <f t="shared" si="15"/>
        <v>https://www.screener.in/company/PDSL/consolidated/</v>
      </c>
      <c r="F973" s="4">
        <v>443059</v>
      </c>
      <c r="G973" s="4">
        <v>3832241897</v>
      </c>
      <c r="H973" s="6">
        <f t="shared" ca="1" si="16"/>
        <v>124164.6374628</v>
      </c>
      <c r="I973" s="7" t="str">
        <f ca="1">IFERROR(__xludf.DUMMYFUNCTION("IMPORTXML(E973,""/html/body/main/div[3]/div[3]/div[2]/ul/li[5]/span[2]/span"")"),"Loading...")</f>
        <v>Loading...</v>
      </c>
      <c r="J973" s="7">
        <f ca="1">IFERROR(__xludf.DUMMYFUNCTION("GOOGLEFINANCE(""NSE:""&amp;D973,""marketcap"")"),45937346082)</f>
        <v>45937346082</v>
      </c>
      <c r="K973" s="7">
        <v>992.8</v>
      </c>
      <c r="L973" s="8">
        <f ca="1">IFERROR(__xludf.DUMMYFUNCTION("GOOGLEFINANCE(""NSE:""&amp;D973,""price"")"),324)</f>
        <v>324</v>
      </c>
      <c r="M973" s="9">
        <f t="shared" ca="1" si="17"/>
        <v>-668.8</v>
      </c>
      <c r="N973" s="10">
        <f t="shared" ca="1" si="18"/>
        <v>-67.365028203062053</v>
      </c>
      <c r="O973" s="7">
        <f ca="1">IFERROR(__xludf.DUMMYFUNCTION("GOOGLEFINANCE(""NSE:""&amp;D973,""pe"")"),30.22)</f>
        <v>30.22</v>
      </c>
      <c r="P973" s="7">
        <f ca="1">IFERROR(__xludf.DUMMYFUNCTION("GOOGLEFINANCE(""NSE:""&amp;D973,""EPS"")"),10.72)</f>
        <v>10.72</v>
      </c>
      <c r="Q973" s="7">
        <v>13.5</v>
      </c>
      <c r="R973" s="7" t="str">
        <f ca="1">IFERROR(__xludf.DUMMYFUNCTION("IMPORTXML(E973,""/html/body/main/div[3]/div[3]/div[2]/ul/li[7]/span[2]/span"")"),"Loading...")</f>
        <v>Loading...</v>
      </c>
      <c r="S973" s="7" t="str">
        <f ca="1">IFERROR(__xludf.DUMMYFUNCTION("IMPORTXML(E973,""/html/body/main/div[3]/div[3]/div[2]/ul/li[8]/span[2]/span"")"),"Loading...")</f>
        <v>Loading...</v>
      </c>
      <c r="T973" s="4">
        <v>34.6</v>
      </c>
      <c r="U973" s="4">
        <v>22.7</v>
      </c>
      <c r="V973" s="4">
        <v>2.6</v>
      </c>
      <c r="W973" s="4">
        <v>5.7</v>
      </c>
      <c r="X973" s="4">
        <v>519.92999999999995</v>
      </c>
      <c r="Y973" s="7">
        <f t="shared" ca="1" si="19"/>
        <v>-195.92999999999995</v>
      </c>
    </row>
    <row r="974" spans="1:25" ht="15" x14ac:dyDescent="0.25">
      <c r="A974" s="4">
        <v>1014</v>
      </c>
      <c r="C974" s="12" t="s">
        <v>2490</v>
      </c>
      <c r="D974" s="12" t="s">
        <v>2491</v>
      </c>
      <c r="E974" s="5" t="str">
        <f t="shared" si="15"/>
        <v>https://www.screener.in/company/FAIRCHEMOR/consolidated/</v>
      </c>
      <c r="F974" s="4">
        <v>443059</v>
      </c>
      <c r="G974" s="4">
        <v>3832241897</v>
      </c>
      <c r="H974" s="6">
        <f t="shared" ca="1" si="16"/>
        <v>308380.50545159006</v>
      </c>
      <c r="I974" s="7" t="str">
        <f ca="1">IFERROR(__xludf.DUMMYFUNCTION("IMPORTXML(E974,""/html/body/main/div[3]/div[3]/div[2]/ul/li[5]/span[2]/span"")"),"Loading...")</f>
        <v>Loading...</v>
      </c>
      <c r="J974" s="7">
        <f ca="1">IFERROR(__xludf.DUMMYFUNCTION("GOOGLEFINANCE(""NSE:""&amp;D974,""marketcap"")"),10436575506)</f>
        <v>10436575506</v>
      </c>
      <c r="K974" s="7">
        <v>992.8</v>
      </c>
      <c r="L974" s="8">
        <f ca="1">IFERROR(__xludf.DUMMYFUNCTION("GOOGLEFINANCE(""NSE:""&amp;D974,""price"")"),804.7)</f>
        <v>804.7</v>
      </c>
      <c r="M974" s="9">
        <f t="shared" ca="1" si="17"/>
        <v>-188.09999999999991</v>
      </c>
      <c r="N974" s="10">
        <f t="shared" ca="1" si="18"/>
        <v>-18.946414182111194</v>
      </c>
      <c r="O974" s="7">
        <f ca="1">IFERROR(__xludf.DUMMYFUNCTION("GOOGLEFINANCE(""NSE:""&amp;D974,""pe"")"),112.77)</f>
        <v>112.77</v>
      </c>
      <c r="P974" s="7">
        <f ca="1">IFERROR(__xludf.DUMMYFUNCTION("GOOGLEFINANCE(""NSE:""&amp;D974,""EPS"")"),7.14)</f>
        <v>7.14</v>
      </c>
      <c r="Q974" s="7">
        <v>13.5</v>
      </c>
      <c r="R974" s="7" t="str">
        <f ca="1">IFERROR(__xludf.DUMMYFUNCTION("IMPORTXML(E974,""/html/body/main/div[3]/div[3]/div[2]/ul/li[7]/span[2]/span"")"),"Loading...")</f>
        <v>Loading...</v>
      </c>
      <c r="S974" s="7" t="str">
        <f ca="1">IFERROR(__xludf.DUMMYFUNCTION("IMPORTXML(E974,""/html/body/main/div[3]/div[3]/div[2]/ul/li[8]/span[2]/span"")"),"Loading...")</f>
        <v>Loading...</v>
      </c>
      <c r="T974" s="4">
        <v>34.6</v>
      </c>
      <c r="U974" s="4">
        <v>22.7</v>
      </c>
      <c r="V974" s="4">
        <v>2.6</v>
      </c>
      <c r="W974" s="4">
        <v>5.7</v>
      </c>
      <c r="X974" s="4">
        <v>519.92999999999995</v>
      </c>
      <c r="Y974" s="7">
        <f t="shared" ca="1" si="19"/>
        <v>284.7700000000001</v>
      </c>
    </row>
    <row r="975" spans="1:25" ht="15" x14ac:dyDescent="0.25">
      <c r="A975" s="4">
        <v>672</v>
      </c>
      <c r="C975" s="12" t="s">
        <v>2492</v>
      </c>
      <c r="D975" s="12" t="s">
        <v>2493</v>
      </c>
      <c r="E975" s="5" t="str">
        <f t="shared" si="15"/>
        <v>https://www.screener.in/company/GOLDIAM/consolidated/</v>
      </c>
      <c r="F975" s="4">
        <v>443059</v>
      </c>
      <c r="G975" s="4">
        <v>3832241897</v>
      </c>
      <c r="H975" s="6">
        <f t="shared" ca="1" si="16"/>
        <v>159421.2629152</v>
      </c>
      <c r="I975" s="7" t="str">
        <f ca="1">IFERROR(__xludf.DUMMYFUNCTION("IMPORTXML(E975,""/html/body/main/div[3]/div[3]/div[2]/ul/li[5]/span[2]/span"")"),"Loading...")</f>
        <v>Loading...</v>
      </c>
      <c r="J975" s="7">
        <f ca="1">IFERROR(__xludf.DUMMYFUNCTION("GOOGLEFINANCE(""NSE:""&amp;D975,""marketcap"")"),47035326155)</f>
        <v>47035326155</v>
      </c>
      <c r="K975" s="7">
        <v>992.8</v>
      </c>
      <c r="L975" s="8">
        <f ca="1">IFERROR(__xludf.DUMMYFUNCTION("GOOGLEFINANCE(""NSE:""&amp;D975,""price"")"),416)</f>
        <v>416</v>
      </c>
      <c r="M975" s="9">
        <f t="shared" ca="1" si="17"/>
        <v>-576.79999999999995</v>
      </c>
      <c r="N975" s="10">
        <f t="shared" ca="1" si="18"/>
        <v>-58.098307816277192</v>
      </c>
      <c r="O975" s="7">
        <f ca="1">IFERROR(__xludf.DUMMYFUNCTION("GOOGLEFINANCE(""NSE:""&amp;D975,""pe"")"),34.52)</f>
        <v>34.520000000000003</v>
      </c>
      <c r="P975" s="7">
        <f ca="1">IFERROR(__xludf.DUMMYFUNCTION("GOOGLEFINANCE(""NSE:""&amp;D975,""EPS"")"),12.05)</f>
        <v>12.05</v>
      </c>
      <c r="Q975" s="7">
        <v>13.5</v>
      </c>
      <c r="R975" s="7" t="str">
        <f ca="1">IFERROR(__xludf.DUMMYFUNCTION("IMPORTXML(E975,""/html/body/main/div[3]/div[3]/div[2]/ul/li[7]/span[2]/span"")"),"Loading...")</f>
        <v>Loading...</v>
      </c>
      <c r="S975" s="7" t="str">
        <f ca="1">IFERROR(__xludf.DUMMYFUNCTION("IMPORTXML(E975,""/html/body/main/div[3]/div[3]/div[2]/ul/li[8]/span[2]/span"")"),"Loading...")</f>
        <v>Loading...</v>
      </c>
      <c r="T975" s="4">
        <v>34.6</v>
      </c>
      <c r="U975" s="4">
        <v>22.7</v>
      </c>
      <c r="V975" s="4">
        <v>2.6</v>
      </c>
      <c r="W975" s="4">
        <v>5.7</v>
      </c>
      <c r="X975" s="4">
        <v>519.92999999999995</v>
      </c>
      <c r="Y975" s="7">
        <f t="shared" ca="1" si="19"/>
        <v>-103.92999999999995</v>
      </c>
    </row>
    <row r="976" spans="1:25" ht="15" x14ac:dyDescent="0.25">
      <c r="A976" s="4">
        <v>614</v>
      </c>
      <c r="C976" s="12" t="s">
        <v>2494</v>
      </c>
      <c r="D976" s="12" t="s">
        <v>2495</v>
      </c>
      <c r="E976" s="5" t="str">
        <f t="shared" si="15"/>
        <v>https://www.screener.in/company/KDDL/consolidated/</v>
      </c>
      <c r="F976" s="4">
        <v>443059</v>
      </c>
      <c r="G976" s="4">
        <v>3832241897</v>
      </c>
      <c r="H976" s="6">
        <f t="shared" ca="1" si="16"/>
        <v>914066.33727243985</v>
      </c>
      <c r="I976" s="7" t="str">
        <f ca="1">IFERROR(__xludf.DUMMYFUNCTION("IMPORTXML(E976,""/html/body/main/div[3]/div[3]/div[2]/ul/li[5]/span[2]/span"")"),"Loading...")</f>
        <v>Loading...</v>
      </c>
      <c r="J976" s="7">
        <f ca="1">IFERROR(__xludf.DUMMYFUNCTION("GOOGLEFINANCE(""NSE:""&amp;D976,""marketcap"")"),29368220000)</f>
        <v>29368220000</v>
      </c>
      <c r="K976" s="7">
        <v>992.8</v>
      </c>
      <c r="L976" s="8">
        <f ca="1">IFERROR(__xludf.DUMMYFUNCTION("GOOGLEFINANCE(""NSE:""&amp;D976,""price"")"),2385.2)</f>
        <v>2385.1999999999998</v>
      </c>
      <c r="M976" s="9">
        <f t="shared" ca="1" si="17"/>
        <v>1392.3999999999999</v>
      </c>
      <c r="N976" s="10">
        <f t="shared" ca="1" si="18"/>
        <v>140.2497985495568</v>
      </c>
      <c r="O976" s="7">
        <f ca="1">IFERROR(__xludf.DUMMYFUNCTION("GOOGLEFINANCE(""NSE:""&amp;D976,""pe"")"),30.24)</f>
        <v>30.24</v>
      </c>
      <c r="P976" s="7">
        <f ca="1">IFERROR(__xludf.DUMMYFUNCTION("GOOGLEFINANCE(""NSE:""&amp;D976,""EPS"")"),78.88)</f>
        <v>78.88</v>
      </c>
      <c r="Q976" s="7">
        <v>13.5</v>
      </c>
      <c r="R976" s="7" t="str">
        <f ca="1">IFERROR(__xludf.DUMMYFUNCTION("IMPORTXML(E976,""/html/body/main/div[3]/div[3]/div[2]/ul/li[7]/span[2]/span"")"),"Loading...")</f>
        <v>Loading...</v>
      </c>
      <c r="S976" s="7" t="str">
        <f ca="1">IFERROR(__xludf.DUMMYFUNCTION("IMPORTXML(E976,""/html/body/main/div[3]/div[3]/div[2]/ul/li[8]/span[2]/span"")"),"Loading...")</f>
        <v>Loading...</v>
      </c>
      <c r="T976" s="4">
        <v>34.6</v>
      </c>
      <c r="U976" s="4">
        <v>22.7</v>
      </c>
      <c r="V976" s="4">
        <v>2.6</v>
      </c>
      <c r="W976" s="4">
        <v>5.7</v>
      </c>
      <c r="X976" s="4">
        <v>519.92999999999995</v>
      </c>
      <c r="Y976" s="7">
        <f t="shared" ca="1" si="19"/>
        <v>1865.27</v>
      </c>
    </row>
    <row r="977" spans="1:25" ht="15" x14ac:dyDescent="0.25">
      <c r="A977" s="4">
        <v>938</v>
      </c>
      <c r="C977" s="12" t="s">
        <v>2496</v>
      </c>
      <c r="D977" s="12" t="s">
        <v>2497</v>
      </c>
      <c r="E977" s="5" t="str">
        <f t="shared" si="15"/>
        <v>https://www.screener.in/company/SYNCOMF/consolidated/</v>
      </c>
      <c r="F977" s="4">
        <v>443059</v>
      </c>
      <c r="G977" s="4">
        <v>3832241897</v>
      </c>
      <c r="H977" s="6">
        <f t="shared" ca="1" si="16"/>
        <v>6622.1139980160006</v>
      </c>
      <c r="I977" s="7" t="str">
        <f ca="1">IFERROR(__xludf.DUMMYFUNCTION("IMPORTXML(E977,""/html/body/main/div[3]/div[3]/div[2]/ul/li[5]/span[2]/span"")"),"Loading...")</f>
        <v>Loading...</v>
      </c>
      <c r="J977" s="7">
        <f ca="1">IFERROR(__xludf.DUMMYFUNCTION("GOOGLEFINANCE(""NSE:""&amp;D977,""marketcap"")"),16158664092)</f>
        <v>16158664092</v>
      </c>
      <c r="K977" s="7">
        <v>992.8</v>
      </c>
      <c r="L977" s="8">
        <f ca="1">IFERROR(__xludf.DUMMYFUNCTION("GOOGLEFINANCE(""NSE:""&amp;D977,""price"")"),17.28)</f>
        <v>17.28</v>
      </c>
      <c r="M977" s="9">
        <f t="shared" ca="1" si="17"/>
        <v>-975.52</v>
      </c>
      <c r="N977" s="10">
        <f t="shared" ca="1" si="18"/>
        <v>-98.259468170829976</v>
      </c>
      <c r="O977" s="7">
        <f ca="1">IFERROR(__xludf.DUMMYFUNCTION("GOOGLEFINANCE(""NSE:""&amp;D977,""pe"")"),25.79)</f>
        <v>25.79</v>
      </c>
      <c r="P977" s="7">
        <f ca="1">IFERROR(__xludf.DUMMYFUNCTION("GOOGLEFINANCE(""NSE:""&amp;D977,""EPS"")"),0.67)</f>
        <v>0.67</v>
      </c>
      <c r="Q977" s="7">
        <v>13.5</v>
      </c>
      <c r="R977" s="7" t="str">
        <f ca="1">IFERROR(__xludf.DUMMYFUNCTION("IMPORTXML(E977,""/html/body/main/div[3]/div[3]/div[2]/ul/li[7]/span[2]/span"")"),"Loading...")</f>
        <v>Loading...</v>
      </c>
      <c r="S977" s="7" t="str">
        <f ca="1">IFERROR(__xludf.DUMMYFUNCTION("IMPORTXML(E977,""/html/body/main/div[3]/div[3]/div[2]/ul/li[8]/span[2]/span"")"),"Loading...")</f>
        <v>Loading...</v>
      </c>
      <c r="T977" s="4">
        <v>34.6</v>
      </c>
      <c r="U977" s="4">
        <v>22.7</v>
      </c>
      <c r="V977" s="4">
        <v>2.6</v>
      </c>
      <c r="W977" s="4">
        <v>5.7</v>
      </c>
      <c r="X977" s="4">
        <v>519.92999999999995</v>
      </c>
      <c r="Y977" s="7">
        <f t="shared" ca="1" si="19"/>
        <v>-502.65</v>
      </c>
    </row>
    <row r="978" spans="1:25" ht="15" x14ac:dyDescent="0.25">
      <c r="A978" s="4">
        <v>1471</v>
      </c>
      <c r="C978" s="12" t="s">
        <v>2498</v>
      </c>
      <c r="D978" s="12" t="s">
        <v>2499</v>
      </c>
      <c r="E978" s="5" t="str">
        <f t="shared" si="15"/>
        <v>https://www.screener.in/company/SRD/consolidated/</v>
      </c>
      <c r="F978" s="4">
        <v>443059</v>
      </c>
      <c r="G978" s="4">
        <v>3832241897</v>
      </c>
      <c r="H978" s="6">
        <f t="shared" ca="1" si="16"/>
        <v>29745.861604514001</v>
      </c>
      <c r="I978" s="7" t="str">
        <f ca="1">IFERROR(__xludf.DUMMYFUNCTION("IMPORTXML(E978,""/html/body/main/div[3]/div[3]/div[2]/ul/li[5]/span[2]/span"")"),"Loading...")</f>
        <v>Loading...</v>
      </c>
      <c r="J978" s="7">
        <f ca="1">IFERROR(__xludf.DUMMYFUNCTION("GOOGLEFINANCE(""NSE:""&amp;D978,""marketcap"")"),4965101639)</f>
        <v>4965101639</v>
      </c>
      <c r="K978" s="7">
        <v>992.8</v>
      </c>
      <c r="L978" s="8">
        <f ca="1">IFERROR(__xludf.DUMMYFUNCTION("GOOGLEFINANCE(""NSE:""&amp;D978,""price"")"),77.62)</f>
        <v>77.62</v>
      </c>
      <c r="M978" s="9">
        <f t="shared" ca="1" si="17"/>
        <v>-915.18</v>
      </c>
      <c r="N978" s="10">
        <f t="shared" ca="1" si="18"/>
        <v>-92.181708299758256</v>
      </c>
      <c r="O978" s="7">
        <f ca="1">IFERROR(__xludf.DUMMYFUNCTION("GOOGLEFINANCE(""NSE:""&amp;D978,""pe"")"),40.94)</f>
        <v>40.94</v>
      </c>
      <c r="P978" s="7">
        <f ca="1">IFERROR(__xludf.DUMMYFUNCTION("GOOGLEFINANCE(""NSE:""&amp;D978,""EPS"")"),1.9)</f>
        <v>1.9</v>
      </c>
      <c r="Q978" s="7">
        <v>13.5</v>
      </c>
      <c r="R978" s="7" t="str">
        <f ca="1">IFERROR(__xludf.DUMMYFUNCTION("IMPORTXML(E978,""/html/body/main/div[3]/div[3]/div[2]/ul/li[7]/span[2]/span"")"),"Loading...")</f>
        <v>Loading...</v>
      </c>
      <c r="S978" s="7" t="str">
        <f ca="1">IFERROR(__xludf.DUMMYFUNCTION("IMPORTXML(E978,""/html/body/main/div[3]/div[3]/div[2]/ul/li[8]/span[2]/span"")"),"Loading...")</f>
        <v>Loading...</v>
      </c>
      <c r="T978" s="4">
        <v>34.6</v>
      </c>
      <c r="U978" s="4">
        <v>22.7</v>
      </c>
      <c r="V978" s="4">
        <v>2.6</v>
      </c>
      <c r="W978" s="4">
        <v>5.7</v>
      </c>
      <c r="X978" s="4">
        <v>519.92999999999995</v>
      </c>
      <c r="Y978" s="7">
        <f t="shared" ca="1" si="19"/>
        <v>-442.30999999999995</v>
      </c>
    </row>
    <row r="979" spans="1:25" ht="15" x14ac:dyDescent="0.25">
      <c r="A979" s="4">
        <v>3382</v>
      </c>
      <c r="C979" s="12" t="s">
        <v>2500</v>
      </c>
      <c r="D979" s="12" t="s">
        <v>2501</v>
      </c>
      <c r="E979" s="5" t="str">
        <f t="shared" si="15"/>
        <v>https://www.screener.in/company/GUJRAFFIA/consolidated/</v>
      </c>
      <c r="F979" s="4">
        <v>443059</v>
      </c>
      <c r="G979" s="4">
        <v>3832241897</v>
      </c>
      <c r="H979" s="6">
        <f t="shared" ca="1" si="16"/>
        <v>15026.220478137</v>
      </c>
      <c r="I979" s="7" t="str">
        <f ca="1">IFERROR(__xludf.DUMMYFUNCTION("IMPORTXML(E979,""/html/body/main/div[3]/div[3]/div[2]/ul/li[5]/span[2]/span"")"),"Loading...")</f>
        <v>Loading...</v>
      </c>
      <c r="J979" s="7">
        <f ca="1">IFERROR(__xludf.DUMMYFUNCTION("GOOGLEFINANCE(""NSE:""&amp;D979,""marketcap"")"),205305855)</f>
        <v>205305855</v>
      </c>
      <c r="K979" s="7">
        <v>992.8</v>
      </c>
      <c r="L979" s="8">
        <f ca="1">IFERROR(__xludf.DUMMYFUNCTION("GOOGLEFINANCE(""NSE:""&amp;D979,""price"")"),39.21)</f>
        <v>39.21</v>
      </c>
      <c r="M979" s="9">
        <f t="shared" ca="1" si="17"/>
        <v>-953.58999999999992</v>
      </c>
      <c r="N979" s="10">
        <f t="shared" ca="1" si="18"/>
        <v>-96.050564061240934</v>
      </c>
      <c r="O979" s="7">
        <f ca="1">IFERROR(__xludf.DUMMYFUNCTION("GOOGLEFINANCE(""NSE:""&amp;D979,""pe"")"),36.37)</f>
        <v>36.369999999999997</v>
      </c>
      <c r="P979" s="7">
        <f ca="1">IFERROR(__xludf.DUMMYFUNCTION("GOOGLEFINANCE(""NSE:""&amp;D979,""EPS"")"),1.08)</f>
        <v>1.08</v>
      </c>
      <c r="Q979" s="7">
        <v>13.5</v>
      </c>
      <c r="R979" s="7" t="str">
        <f ca="1">IFERROR(__xludf.DUMMYFUNCTION("IMPORTXML(E979,""/html/body/main/div[3]/div[3]/div[2]/ul/li[7]/span[2]/span"")"),"Loading...")</f>
        <v>Loading...</v>
      </c>
      <c r="S979" s="7" t="str">
        <f ca="1">IFERROR(__xludf.DUMMYFUNCTION("IMPORTXML(E979,""/html/body/main/div[3]/div[3]/div[2]/ul/li[8]/span[2]/span"")"),"Loading...")</f>
        <v>Loading...</v>
      </c>
      <c r="T979" s="4">
        <v>34.6</v>
      </c>
      <c r="U979" s="4">
        <v>22.7</v>
      </c>
      <c r="V979" s="4">
        <v>2.6</v>
      </c>
      <c r="W979" s="4">
        <v>5.7</v>
      </c>
      <c r="X979" s="4">
        <v>519.92999999999995</v>
      </c>
      <c r="Y979" s="7">
        <f t="shared" ca="1" si="19"/>
        <v>-480.71999999999997</v>
      </c>
    </row>
    <row r="980" spans="1:25" ht="15" x14ac:dyDescent="0.25">
      <c r="A980" s="4">
        <v>709</v>
      </c>
      <c r="C980" s="12" t="s">
        <v>2502</v>
      </c>
      <c r="D980" s="12" t="s">
        <v>2503</v>
      </c>
      <c r="E980" s="5" t="str">
        <f t="shared" si="15"/>
        <v>https://www.screener.in/company/NSIL/consolidated/</v>
      </c>
      <c r="F980" s="4">
        <v>443059</v>
      </c>
      <c r="G980" s="4">
        <v>3832241897</v>
      </c>
      <c r="H980" s="6">
        <f t="shared" ca="1" si="16"/>
        <v>2707478.9002304999</v>
      </c>
      <c r="I980" s="7" t="str">
        <f ca="1">IFERROR(__xludf.DUMMYFUNCTION("IMPORTXML(E980,""/html/body/main/div[3]/div[3]/div[2]/ul/li[5]/span[2]/span"")"),"Loading...")</f>
        <v>Loading...</v>
      </c>
      <c r="J980" s="7">
        <f ca="1">IFERROR(__xludf.DUMMYFUNCTION("GOOGLEFINANCE(""NSE:""&amp;D980,""marketcap"")"),36340921867)</f>
        <v>36340921867</v>
      </c>
      <c r="K980" s="7">
        <v>992.8</v>
      </c>
      <c r="L980" s="8">
        <f ca="1">IFERROR(__xludf.DUMMYFUNCTION("GOOGLEFINANCE(""NSE:""&amp;D980,""price"")"),7065)</f>
        <v>7065</v>
      </c>
      <c r="M980" s="9">
        <f t="shared" ca="1" si="17"/>
        <v>6072.2</v>
      </c>
      <c r="N980" s="10">
        <f t="shared" ca="1" si="18"/>
        <v>611.62369057211924</v>
      </c>
      <c r="O980" s="7">
        <f ca="1">IFERROR(__xludf.DUMMYFUNCTION("GOOGLEFINANCE(""NSE:""&amp;D980,""pe"")"),85.24)</f>
        <v>85.24</v>
      </c>
      <c r="P980" s="7">
        <f ca="1">IFERROR(__xludf.DUMMYFUNCTION("GOOGLEFINANCE(""NSE:""&amp;D980,""EPS"")"),82.89)</f>
        <v>82.89</v>
      </c>
      <c r="Q980" s="7">
        <v>13.5</v>
      </c>
      <c r="R980" s="7" t="str">
        <f ca="1">IFERROR(__xludf.DUMMYFUNCTION("IMPORTXML(E980,""/html/body/main/div[3]/div[3]/div[2]/ul/li[7]/span[2]/span"")"),"Loading...")</f>
        <v>Loading...</v>
      </c>
      <c r="S980" s="7" t="str">
        <f ca="1">IFERROR(__xludf.DUMMYFUNCTION("IMPORTXML(E980,""/html/body/main/div[3]/div[3]/div[2]/ul/li[8]/span[2]/span"")"),"Loading...")</f>
        <v>Loading...</v>
      </c>
      <c r="T980" s="4">
        <v>34.6</v>
      </c>
      <c r="U980" s="4">
        <v>22.7</v>
      </c>
      <c r="V980" s="4">
        <v>2.6</v>
      </c>
      <c r="W980" s="4">
        <v>5.7</v>
      </c>
      <c r="X980" s="4">
        <v>519.92999999999995</v>
      </c>
      <c r="Y980" s="7">
        <f t="shared" ca="1" si="19"/>
        <v>6545.07</v>
      </c>
    </row>
    <row r="981" spans="1:25" ht="15" x14ac:dyDescent="0.25">
      <c r="A981" s="4">
        <v>311</v>
      </c>
      <c r="C981" s="12" t="s">
        <v>2504</v>
      </c>
      <c r="D981" s="12" t="s">
        <v>2505</v>
      </c>
      <c r="E981" s="5" t="str">
        <f t="shared" si="15"/>
        <v>https://www.screener.in/company/TRIVENI/consolidated/</v>
      </c>
      <c r="F981" s="4">
        <v>443059</v>
      </c>
      <c r="G981" s="4">
        <v>3832241897</v>
      </c>
      <c r="H981" s="6">
        <f t="shared" ca="1" si="16"/>
        <v>139991.79649741002</v>
      </c>
      <c r="I981" s="7" t="str">
        <f ca="1">IFERROR(__xludf.DUMMYFUNCTION("IMPORTXML(E981,""/html/body/main/div[3]/div[3]/div[2]/ul/li[5]/span[2]/span"")"),"Loading...")</f>
        <v>Loading...</v>
      </c>
      <c r="J981" s="7">
        <f ca="1">IFERROR(__xludf.DUMMYFUNCTION("GOOGLEFINANCE(""NSE:""&amp;D981,""marketcap"")"),79963400197)</f>
        <v>79963400197</v>
      </c>
      <c r="K981" s="7">
        <v>992.8</v>
      </c>
      <c r="L981" s="8">
        <f ca="1">IFERROR(__xludf.DUMMYFUNCTION("GOOGLEFINANCE(""NSE:""&amp;D981,""price"")"),365.3)</f>
        <v>365.3</v>
      </c>
      <c r="M981" s="9">
        <f t="shared" ca="1" si="17"/>
        <v>-627.5</v>
      </c>
      <c r="N981" s="10">
        <f t="shared" ca="1" si="18"/>
        <v>-63.205076551168418</v>
      </c>
      <c r="O981" s="7">
        <f ca="1">IFERROR(__xludf.DUMMYFUNCTION("GOOGLEFINANCE(""NSE:""&amp;D981,""pe"")"),19.36)</f>
        <v>19.36</v>
      </c>
      <c r="P981" s="7">
        <f ca="1">IFERROR(__xludf.DUMMYFUNCTION("GOOGLEFINANCE(""NSE:""&amp;D981,""EPS"")"),18.87)</f>
        <v>18.87</v>
      </c>
      <c r="Q981" s="7">
        <v>13.5</v>
      </c>
      <c r="R981" s="7" t="str">
        <f ca="1">IFERROR(__xludf.DUMMYFUNCTION("IMPORTXML(E981,""/html/body/main/div[3]/div[3]/div[2]/ul/li[7]/span[2]/span"")"),"Loading...")</f>
        <v>Loading...</v>
      </c>
      <c r="S981" s="7" t="str">
        <f ca="1">IFERROR(__xludf.DUMMYFUNCTION("IMPORTXML(E981,""/html/body/main/div[3]/div[3]/div[2]/ul/li[8]/span[2]/span"")"),"Loading...")</f>
        <v>Loading...</v>
      </c>
      <c r="T981" s="4">
        <v>34.6</v>
      </c>
      <c r="U981" s="4">
        <v>22.7</v>
      </c>
      <c r="V981" s="4">
        <v>2.6</v>
      </c>
      <c r="W981" s="4">
        <v>5.7</v>
      </c>
      <c r="X981" s="4">
        <v>519.92999999999995</v>
      </c>
      <c r="Y981" s="7">
        <f t="shared" ca="1" si="19"/>
        <v>-154.62999999999994</v>
      </c>
    </row>
    <row r="982" spans="1:25" ht="15" x14ac:dyDescent="0.25">
      <c r="A982" s="4">
        <v>852</v>
      </c>
      <c r="C982" s="12" t="s">
        <v>2506</v>
      </c>
      <c r="D982" s="12" t="s">
        <v>2507</v>
      </c>
      <c r="E982" s="5" t="str">
        <f t="shared" si="15"/>
        <v>https://www.screener.in/company/IKIO/consolidated/</v>
      </c>
      <c r="F982" s="4">
        <v>443059</v>
      </c>
      <c r="G982" s="4">
        <v>3832241897</v>
      </c>
      <c r="H982" s="6">
        <f t="shared" ca="1" si="16"/>
        <v>79572.670749307988</v>
      </c>
      <c r="I982" s="7" t="str">
        <f ca="1">IFERROR(__xludf.DUMMYFUNCTION("IMPORTXML(E982,""/html/body/main/div[3]/div[3]/div[2]/ul/li[5]/span[2]/span"")"),"Loading...")</f>
        <v>Loading...</v>
      </c>
      <c r="J982" s="7">
        <f ca="1">IFERROR(__xludf.DUMMYFUNCTION("GOOGLEFINANCE(""NSE:""&amp;D982,""marketcap"")"),16046558271)</f>
        <v>16046558271</v>
      </c>
      <c r="K982" s="7">
        <v>992.8</v>
      </c>
      <c r="L982" s="8">
        <f ca="1">IFERROR(__xludf.DUMMYFUNCTION("GOOGLEFINANCE(""NSE:""&amp;D982,""price"")"),207.64)</f>
        <v>207.64</v>
      </c>
      <c r="M982" s="9">
        <f t="shared" ca="1" si="17"/>
        <v>-785.16</v>
      </c>
      <c r="N982" s="10">
        <f t="shared" ca="1" si="18"/>
        <v>-79.085414987912969</v>
      </c>
      <c r="O982" s="7">
        <f ca="1">IFERROR(__xludf.DUMMYFUNCTION("GOOGLEFINANCE(""NSE:""&amp;D982,""pe"")"),72.06)</f>
        <v>72.06</v>
      </c>
      <c r="P982" s="7">
        <f ca="1">IFERROR(__xludf.DUMMYFUNCTION("GOOGLEFINANCE(""NSE:""&amp;D982,""EPS"")"),2.88)</f>
        <v>2.88</v>
      </c>
      <c r="Q982" s="7">
        <v>13.5</v>
      </c>
      <c r="R982" s="7" t="str">
        <f ca="1">IFERROR(__xludf.DUMMYFUNCTION("IMPORTXML(E982,""/html/body/main/div[3]/div[3]/div[2]/ul/li[7]/span[2]/span"")"),"Loading...")</f>
        <v>Loading...</v>
      </c>
      <c r="S982" s="7" t="str">
        <f ca="1">IFERROR(__xludf.DUMMYFUNCTION("IMPORTXML(E982,""/html/body/main/div[3]/div[3]/div[2]/ul/li[8]/span[2]/span"")"),"Loading...")</f>
        <v>Loading...</v>
      </c>
      <c r="T982" s="4">
        <v>34.6</v>
      </c>
      <c r="U982" s="4">
        <v>22.7</v>
      </c>
      <c r="V982" s="4">
        <v>2.6</v>
      </c>
      <c r="W982" s="4">
        <v>5.7</v>
      </c>
      <c r="X982" s="4">
        <v>519.92999999999995</v>
      </c>
      <c r="Y982" s="7">
        <f t="shared" ca="1" si="19"/>
        <v>-312.28999999999996</v>
      </c>
    </row>
    <row r="983" spans="1:25" ht="15" x14ac:dyDescent="0.25">
      <c r="A983" s="4">
        <v>744</v>
      </c>
      <c r="C983" s="12" t="s">
        <v>2508</v>
      </c>
      <c r="D983" s="12" t="s">
        <v>2509</v>
      </c>
      <c r="E983" s="5" t="str">
        <f t="shared" si="15"/>
        <v>https://www.screener.in/company/HLEGLAS/consolidated/</v>
      </c>
      <c r="F983" s="4">
        <v>443059</v>
      </c>
      <c r="G983" s="4">
        <v>3832241897</v>
      </c>
      <c r="H983" s="6">
        <f t="shared" ca="1" si="16"/>
        <v>211156.5285247</v>
      </c>
      <c r="I983" s="7" t="str">
        <f ca="1">IFERROR(__xludf.DUMMYFUNCTION("IMPORTXML(E983,""/html/body/main/div[3]/div[3]/div[2]/ul/li[5]/span[2]/span"")"),"Loading...")</f>
        <v>Loading...</v>
      </c>
      <c r="J983" s="7">
        <f ca="1">IFERROR(__xludf.DUMMYFUNCTION("GOOGLEFINANCE(""NSE:""&amp;D983,""marketcap"")"),37614279480)</f>
        <v>37614279480</v>
      </c>
      <c r="K983" s="7">
        <v>992.8</v>
      </c>
      <c r="L983" s="8">
        <f ca="1">IFERROR(__xludf.DUMMYFUNCTION("GOOGLEFINANCE(""NSE:""&amp;D983,""price"")"),551)</f>
        <v>551</v>
      </c>
      <c r="M983" s="9">
        <f t="shared" ca="1" si="17"/>
        <v>-441.79999999999995</v>
      </c>
      <c r="N983" s="10">
        <f t="shared" ca="1" si="18"/>
        <v>-44.500402900886385</v>
      </c>
      <c r="O983" s="7">
        <f ca="1">IFERROR(__xludf.DUMMYFUNCTION("GOOGLEFINANCE(""NSE:""&amp;D983,""pe"")"),50.64)</f>
        <v>50.64</v>
      </c>
      <c r="P983" s="7">
        <f ca="1">IFERROR(__xludf.DUMMYFUNCTION("GOOGLEFINANCE(""NSE:""&amp;D983,""EPS"")"),10.88)</f>
        <v>10.88</v>
      </c>
      <c r="Q983" s="7">
        <v>13.5</v>
      </c>
      <c r="R983" s="7" t="str">
        <f ca="1">IFERROR(__xludf.DUMMYFUNCTION("IMPORTXML(E983,""/html/body/main/div[3]/div[3]/div[2]/ul/li[7]/span[2]/span"")"),"Loading...")</f>
        <v>Loading...</v>
      </c>
      <c r="S983" s="7" t="str">
        <f ca="1">IFERROR(__xludf.DUMMYFUNCTION("IMPORTXML(E983,""/html/body/main/div[3]/div[3]/div[2]/ul/li[8]/span[2]/span"")"),"Loading...")</f>
        <v>Loading...</v>
      </c>
      <c r="T983" s="4">
        <v>34.6</v>
      </c>
      <c r="U983" s="4">
        <v>22.7</v>
      </c>
      <c r="V983" s="4">
        <v>2.6</v>
      </c>
      <c r="W983" s="4">
        <v>5.7</v>
      </c>
      <c r="X983" s="4">
        <v>519.92999999999995</v>
      </c>
      <c r="Y983" s="7">
        <f t="shared" ca="1" si="19"/>
        <v>31.07000000000005</v>
      </c>
    </row>
    <row r="984" spans="1:25" ht="15" x14ac:dyDescent="0.25">
      <c r="A984" s="4">
        <v>13</v>
      </c>
      <c r="C984" s="12" t="s">
        <v>2510</v>
      </c>
      <c r="D984" s="12" t="s">
        <v>2511</v>
      </c>
      <c r="E984" s="5" t="str">
        <f t="shared" si="15"/>
        <v>https://www.screener.in/company/GLAND/consolidated/</v>
      </c>
      <c r="F984" s="4">
        <v>443059</v>
      </c>
      <c r="G984" s="4">
        <v>3832241897</v>
      </c>
      <c r="H984" s="6">
        <f t="shared" ca="1" si="16"/>
        <v>728892.40880940005</v>
      </c>
      <c r="I984" s="7" t="str">
        <f ca="1">IFERROR(__xludf.DUMMYFUNCTION("IMPORTXML(E984,""/html/body/main/div[3]/div[3]/div[2]/ul/li[5]/span[2]/span"")"),"Loading...")</f>
        <v>Loading...</v>
      </c>
      <c r="J984" s="7">
        <f ca="1">IFERROR(__xludf.DUMMYFUNCTION("GOOGLEFINANCE(""NSE:""&amp;D984,""marketcap"")"),313366672800)</f>
        <v>313366672800</v>
      </c>
      <c r="K984" s="7">
        <v>992.8</v>
      </c>
      <c r="L984" s="8">
        <f ca="1">IFERROR(__xludf.DUMMYFUNCTION("GOOGLEFINANCE(""NSE:""&amp;D984,""price"")"),1902)</f>
        <v>1902</v>
      </c>
      <c r="M984" s="9">
        <f t="shared" ca="1" si="17"/>
        <v>909.2</v>
      </c>
      <c r="N984" s="10">
        <f t="shared" ca="1" si="18"/>
        <v>91.579371474617261</v>
      </c>
      <c r="O984" s="7">
        <f ca="1">IFERROR(__xludf.DUMMYFUNCTION("GOOGLEFINANCE(""NSE:""&amp;D984,""pe"")"),40.68)</f>
        <v>40.68</v>
      </c>
      <c r="P984" s="7">
        <f ca="1">IFERROR(__xludf.DUMMYFUNCTION("GOOGLEFINANCE(""NSE:""&amp;D984,""EPS"")"),46.75)</f>
        <v>46.75</v>
      </c>
      <c r="Q984" s="7">
        <v>13.5</v>
      </c>
      <c r="R984" s="7" t="str">
        <f ca="1">IFERROR(__xludf.DUMMYFUNCTION("IMPORTXML(E984,""/html/body/main/div[3]/div[3]/div[2]/ul/li[7]/span[2]/span"")"),"Loading...")</f>
        <v>Loading...</v>
      </c>
      <c r="S984" s="7" t="str">
        <f ca="1">IFERROR(__xludf.DUMMYFUNCTION("IMPORTXML(E984,""/html/body/main/div[3]/div[3]/div[2]/ul/li[8]/span[2]/span"")"),"Loading...")</f>
        <v>Loading...</v>
      </c>
      <c r="T984" s="4">
        <v>34.6</v>
      </c>
      <c r="U984" s="4">
        <v>22.7</v>
      </c>
      <c r="V984" s="4">
        <v>2.6</v>
      </c>
      <c r="W984" s="4">
        <v>5.7</v>
      </c>
      <c r="X984" s="4">
        <v>519.92999999999995</v>
      </c>
      <c r="Y984" s="7">
        <f t="shared" ca="1" si="19"/>
        <v>1382.0700000000002</v>
      </c>
    </row>
    <row r="985" spans="1:25" ht="15" x14ac:dyDescent="0.25">
      <c r="A985" s="4">
        <v>394</v>
      </c>
      <c r="C985" s="12" t="s">
        <v>2512</v>
      </c>
      <c r="D985" s="12" t="s">
        <v>2513</v>
      </c>
      <c r="E985" s="5" t="str">
        <f t="shared" si="15"/>
        <v>https://www.screener.in/company/LXCHEM/consolidated/</v>
      </c>
      <c r="F985" s="4">
        <v>443059</v>
      </c>
      <c r="G985" s="4">
        <v>3832241897</v>
      </c>
      <c r="H985" s="6">
        <f t="shared" ca="1" si="16"/>
        <v>81243.528216399995</v>
      </c>
      <c r="I985" s="7" t="str">
        <f ca="1">IFERROR(__xludf.DUMMYFUNCTION("IMPORTXML(E985,""/html/body/main/div[3]/div[3]/div[2]/ul/li[5]/span[2]/span"")"),"Loading...")</f>
        <v>Loading...</v>
      </c>
      <c r="J985" s="7">
        <f ca="1">IFERROR(__xludf.DUMMYFUNCTION("GOOGLEFINANCE(""NSE:""&amp;D985,""marketcap"")"),58356260000)</f>
        <v>58356260000</v>
      </c>
      <c r="K985" s="7">
        <v>992.8</v>
      </c>
      <c r="L985" s="8">
        <f ca="1">IFERROR(__xludf.DUMMYFUNCTION("GOOGLEFINANCE(""NSE:""&amp;D985,""price"")"),212)</f>
        <v>212</v>
      </c>
      <c r="M985" s="9">
        <f t="shared" ca="1" si="17"/>
        <v>-780.8</v>
      </c>
      <c r="N985" s="10">
        <f t="shared" ca="1" si="18"/>
        <v>-78.64625302175665</v>
      </c>
      <c r="O985" s="7">
        <f ca="1">IFERROR(__xludf.DUMMYFUNCTION("GOOGLEFINANCE(""NSE:""&amp;D985,""pe"")"),58.89)</f>
        <v>58.89</v>
      </c>
      <c r="P985" s="7">
        <f ca="1">IFERROR(__xludf.DUMMYFUNCTION("GOOGLEFINANCE(""NSE:""&amp;D985,""EPS"")"),3.6)</f>
        <v>3.6</v>
      </c>
      <c r="Q985" s="7">
        <v>13.5</v>
      </c>
      <c r="R985" s="7" t="str">
        <f ca="1">IFERROR(__xludf.DUMMYFUNCTION("IMPORTXML(E985,""/html/body/main/div[3]/div[3]/div[2]/ul/li[7]/span[2]/span"")"),"Loading...")</f>
        <v>Loading...</v>
      </c>
      <c r="S985" s="7" t="str">
        <f ca="1">IFERROR(__xludf.DUMMYFUNCTION("IMPORTXML(E985,""/html/body/main/div[3]/div[3]/div[2]/ul/li[8]/span[2]/span"")"),"Loading...")</f>
        <v>Loading...</v>
      </c>
      <c r="T985" s="4">
        <v>34.6</v>
      </c>
      <c r="U985" s="4">
        <v>22.7</v>
      </c>
      <c r="V985" s="4">
        <v>2.6</v>
      </c>
      <c r="W985" s="4">
        <v>5.7</v>
      </c>
      <c r="X985" s="4">
        <v>519.92999999999995</v>
      </c>
      <c r="Y985" s="7">
        <f t="shared" ca="1" si="19"/>
        <v>-307.92999999999995</v>
      </c>
    </row>
    <row r="986" spans="1:25" ht="15" x14ac:dyDescent="0.25">
      <c r="A986" s="4">
        <v>430</v>
      </c>
      <c r="C986" s="12" t="s">
        <v>2514</v>
      </c>
      <c r="D986" s="12" t="s">
        <v>2515</v>
      </c>
      <c r="E986" s="5" t="str">
        <f t="shared" si="15"/>
        <v>https://www.screener.in/company/GOKEX/consolidated/</v>
      </c>
      <c r="F986" s="4">
        <v>443059</v>
      </c>
      <c r="G986" s="4">
        <v>3832241897</v>
      </c>
      <c r="H986" s="6">
        <f t="shared" ca="1" si="16"/>
        <v>280443.46202245995</v>
      </c>
      <c r="I986" s="7" t="str">
        <f ca="1">IFERROR(__xludf.DUMMYFUNCTION("IMPORTXML(E986,""/html/body/main/div[3]/div[3]/div[2]/ul/li[5]/span[2]/span"")"),"Loading...")</f>
        <v>Loading...</v>
      </c>
      <c r="J986" s="7">
        <f ca="1">IFERROR(__xludf.DUMMYFUNCTION("GOOGLEFINANCE(""NSE:""&amp;D986,""marketcap"")"),53588527590)</f>
        <v>53588527590</v>
      </c>
      <c r="K986" s="7">
        <v>992.8</v>
      </c>
      <c r="L986" s="8">
        <f ca="1">IFERROR(__xludf.DUMMYFUNCTION("GOOGLEFINANCE(""NSE:""&amp;D986,""price"")"),731.8)</f>
        <v>731.8</v>
      </c>
      <c r="M986" s="9">
        <f t="shared" ca="1" si="17"/>
        <v>-261</v>
      </c>
      <c r="N986" s="10">
        <f t="shared" ca="1" si="18"/>
        <v>-26.289282836422238</v>
      </c>
      <c r="O986" s="7">
        <f ca="1">IFERROR(__xludf.DUMMYFUNCTION("GOOGLEFINANCE(""NSE:""&amp;D986,""pe"")"),31.52)</f>
        <v>31.52</v>
      </c>
      <c r="P986" s="7">
        <f ca="1">IFERROR(__xludf.DUMMYFUNCTION("GOOGLEFINANCE(""NSE:""&amp;D986,""EPS"")"),23.22)</f>
        <v>23.22</v>
      </c>
      <c r="Q986" s="7">
        <v>13.5</v>
      </c>
      <c r="R986" s="7" t="str">
        <f ca="1">IFERROR(__xludf.DUMMYFUNCTION("IMPORTXML(E986,""/html/body/main/div[3]/div[3]/div[2]/ul/li[7]/span[2]/span"")"),"Loading...")</f>
        <v>Loading...</v>
      </c>
      <c r="S986" s="7" t="str">
        <f ca="1">IFERROR(__xludf.DUMMYFUNCTION("IMPORTXML(E986,""/html/body/main/div[3]/div[3]/div[2]/ul/li[8]/span[2]/span"")"),"Loading...")</f>
        <v>Loading...</v>
      </c>
      <c r="T986" s="4">
        <v>34.6</v>
      </c>
      <c r="U986" s="4">
        <v>22.7</v>
      </c>
      <c r="V986" s="4">
        <v>2.6</v>
      </c>
      <c r="W986" s="4">
        <v>5.7</v>
      </c>
      <c r="X986" s="4">
        <v>519.92999999999995</v>
      </c>
      <c r="Y986" s="7">
        <f t="shared" ca="1" si="19"/>
        <v>211.87</v>
      </c>
    </row>
    <row r="987" spans="1:25" ht="15" x14ac:dyDescent="0.25">
      <c r="A987" s="4">
        <v>912</v>
      </c>
      <c r="C987" s="12" t="s">
        <v>2516</v>
      </c>
      <c r="D987" s="12" t="s">
        <v>2517</v>
      </c>
      <c r="E987" s="5" t="str">
        <f t="shared" si="15"/>
        <v>https://www.screener.in/company/VERTOZ/consolidated/</v>
      </c>
      <c r="F987" s="4">
        <v>443059</v>
      </c>
      <c r="G987" s="4">
        <v>3832241897</v>
      </c>
      <c r="H987" s="6">
        <f t="shared" ca="1" si="16"/>
        <v>29485.269155517999</v>
      </c>
      <c r="I987" s="7" t="str">
        <f ca="1">IFERROR(__xludf.DUMMYFUNCTION("IMPORTXML(E987,""/html/body/main/div[3]/div[3]/div[2]/ul/li[5]/span[2]/span"")"),"Loading...")</f>
        <v>Loading...</v>
      </c>
      <c r="J987" s="7">
        <f ca="1">IFERROR(__xludf.DUMMYFUNCTION("GOOGLEFINANCE(""NSE:""&amp;D987,""marketcap"")"),6541402000)</f>
        <v>6541402000</v>
      </c>
      <c r="K987" s="7">
        <v>992.8</v>
      </c>
      <c r="L987" s="8">
        <f ca="1">IFERROR(__xludf.DUMMYFUNCTION("GOOGLEFINANCE(""NSE:""&amp;D987,""price"")"),76.94)</f>
        <v>76.94</v>
      </c>
      <c r="M987" s="9">
        <f t="shared" ca="1" si="17"/>
        <v>-915.8599999999999</v>
      </c>
      <c r="N987" s="10">
        <f t="shared" ca="1" si="18"/>
        <v>-92.250201450443186</v>
      </c>
      <c r="O987" s="7">
        <f ca="1">IFERROR(__xludf.DUMMYFUNCTION("GOOGLEFINANCE(""NSE:""&amp;D987,""pe"")"),24.35)</f>
        <v>24.35</v>
      </c>
      <c r="P987" s="7">
        <f ca="1">IFERROR(__xludf.DUMMYFUNCTION("GOOGLEFINANCE(""NSE:""&amp;D987,""EPS"")"),3.16)</f>
        <v>3.16</v>
      </c>
      <c r="Q987" s="7">
        <v>13.5</v>
      </c>
      <c r="R987" s="7" t="str">
        <f ca="1">IFERROR(__xludf.DUMMYFUNCTION("IMPORTXML(E987,""/html/body/main/div[3]/div[3]/div[2]/ul/li[7]/span[2]/span"")"),"Loading...")</f>
        <v>Loading...</v>
      </c>
      <c r="S987" s="7" t="str">
        <f ca="1">IFERROR(__xludf.DUMMYFUNCTION("IMPORTXML(E987,""/html/body/main/div[3]/div[3]/div[2]/ul/li[8]/span[2]/span"")"),"Loading...")</f>
        <v>Loading...</v>
      </c>
      <c r="T987" s="4">
        <v>34.6</v>
      </c>
      <c r="U987" s="4">
        <v>22.7</v>
      </c>
      <c r="V987" s="4">
        <v>2.6</v>
      </c>
      <c r="W987" s="4">
        <v>5.7</v>
      </c>
      <c r="X987" s="4">
        <v>519.92999999999995</v>
      </c>
      <c r="Y987" s="7">
        <f t="shared" ca="1" si="19"/>
        <v>-442.98999999999995</v>
      </c>
    </row>
    <row r="988" spans="1:25" ht="15" x14ac:dyDescent="0.25">
      <c r="A988" s="4">
        <v>848</v>
      </c>
      <c r="C988" s="12" t="s">
        <v>2518</v>
      </c>
      <c r="D988" s="12" t="s">
        <v>2519</v>
      </c>
      <c r="E988" s="5" t="str">
        <f t="shared" si="15"/>
        <v>https://www.screener.in/company/NIITLTD/consolidated/</v>
      </c>
      <c r="F988" s="4">
        <v>443059</v>
      </c>
      <c r="G988" s="4">
        <v>3832241897</v>
      </c>
      <c r="H988" s="6">
        <f t="shared" ca="1" si="16"/>
        <v>43515.106740434996</v>
      </c>
      <c r="I988" s="7" t="str">
        <f ca="1">IFERROR(__xludf.DUMMYFUNCTION("IMPORTXML(E988,""/html/body/main/div[3]/div[3]/div[2]/ul/li[5]/span[2]/span"")"),"Loading...")</f>
        <v>Loading...</v>
      </c>
      <c r="J988" s="7">
        <f ca="1">IFERROR(__xludf.DUMMYFUNCTION("GOOGLEFINANCE(""NSE:""&amp;D988,""marketcap"")"),15456440000)</f>
        <v>15456440000</v>
      </c>
      <c r="K988" s="7">
        <v>992.8</v>
      </c>
      <c r="L988" s="8">
        <f ca="1">IFERROR(__xludf.DUMMYFUNCTION("GOOGLEFINANCE(""NSE:""&amp;D988,""price"")"),113.55)</f>
        <v>113.55</v>
      </c>
      <c r="M988" s="9">
        <f t="shared" ca="1" si="17"/>
        <v>-879.25</v>
      </c>
      <c r="N988" s="10">
        <f t="shared" ca="1" si="18"/>
        <v>-88.562651087832407</v>
      </c>
      <c r="O988" s="7">
        <f ca="1">IFERROR(__xludf.DUMMYFUNCTION("GOOGLEFINANCE(""NSE:""&amp;D988,""pe"")"),36.54)</f>
        <v>36.54</v>
      </c>
      <c r="P988" s="7">
        <f ca="1">IFERROR(__xludf.DUMMYFUNCTION("GOOGLEFINANCE(""NSE:""&amp;D988,""EPS"")"),3.11)</f>
        <v>3.11</v>
      </c>
      <c r="Q988" s="7">
        <v>13.5</v>
      </c>
      <c r="R988" s="7" t="str">
        <f ca="1">IFERROR(__xludf.DUMMYFUNCTION("IMPORTXML(E988,""/html/body/main/div[3]/div[3]/div[2]/ul/li[7]/span[2]/span"")"),"Loading...")</f>
        <v>Loading...</v>
      </c>
      <c r="S988" s="7" t="str">
        <f ca="1">IFERROR(__xludf.DUMMYFUNCTION("IMPORTXML(E988,""/html/body/main/div[3]/div[3]/div[2]/ul/li[8]/span[2]/span"")"),"Loading...")</f>
        <v>Loading...</v>
      </c>
      <c r="T988" s="4">
        <v>34.6</v>
      </c>
      <c r="U988" s="4">
        <v>22.7</v>
      </c>
      <c r="V988" s="4">
        <v>2.6</v>
      </c>
      <c r="W988" s="4">
        <v>5.7</v>
      </c>
      <c r="X988" s="4">
        <v>519.92999999999995</v>
      </c>
      <c r="Y988" s="7">
        <f t="shared" ca="1" si="19"/>
        <v>-406.37999999999994</v>
      </c>
    </row>
    <row r="989" spans="1:25" ht="15" x14ac:dyDescent="0.25">
      <c r="A989" s="4">
        <v>1300</v>
      </c>
      <c r="C989" s="12" t="s">
        <v>2520</v>
      </c>
      <c r="D989" s="12" t="s">
        <v>2521</v>
      </c>
      <c r="E989" s="5" t="str">
        <f t="shared" si="15"/>
        <v>https://www.screener.in/company/NECLIFE/consolidated/</v>
      </c>
      <c r="F989" s="4">
        <v>443059</v>
      </c>
      <c r="G989" s="4">
        <v>3832241897</v>
      </c>
      <c r="H989" s="6">
        <f t="shared" ca="1" si="16"/>
        <v>5633.3955885899995</v>
      </c>
      <c r="I989" s="7" t="str">
        <f ca="1">IFERROR(__xludf.DUMMYFUNCTION("IMPORTXML(E989,""/html/body/main/div[3]/div[3]/div[2]/ul/li[5]/span[2]/span"")"),"Loading...")</f>
        <v>Loading...</v>
      </c>
      <c r="J989" s="7">
        <f ca="1">IFERROR(__xludf.DUMMYFUNCTION("GOOGLEFINANCE(""NSE:""&amp;D989,""marketcap"")"),3267482000)</f>
        <v>3267482000</v>
      </c>
      <c r="K989" s="7">
        <v>992.8</v>
      </c>
      <c r="L989" s="8">
        <f ca="1">IFERROR(__xludf.DUMMYFUNCTION("GOOGLEFINANCE(""NSE:""&amp;D989,""price"")"),14.7)</f>
        <v>14.7</v>
      </c>
      <c r="M989" s="9">
        <f t="shared" ca="1" si="17"/>
        <v>-978.09999999999991</v>
      </c>
      <c r="N989" s="10">
        <f t="shared" ca="1" si="18"/>
        <v>-98.519339242546337</v>
      </c>
      <c r="O989" s="7" t="str">
        <f ca="1">IFERROR(__xludf.DUMMYFUNCTION("GOOGLEFINANCE(""NSE:""&amp;D989,""pe"")"),"#N/A")</f>
        <v>#N/A</v>
      </c>
      <c r="P989" s="7">
        <f ca="1">IFERROR(__xludf.DUMMYFUNCTION("GOOGLEFINANCE(""NSE:""&amp;D989,""EPS"")"),-8.06)</f>
        <v>-8.06</v>
      </c>
      <c r="Q989" s="7">
        <v>13.5</v>
      </c>
      <c r="R989" s="7" t="str">
        <f ca="1">IFERROR(__xludf.DUMMYFUNCTION("IMPORTXML(E989,""/html/body/main/div[3]/div[3]/div[2]/ul/li[7]/span[2]/span"")"),"Loading...")</f>
        <v>Loading...</v>
      </c>
      <c r="S989" s="7" t="str">
        <f ca="1">IFERROR(__xludf.DUMMYFUNCTION("IMPORTXML(E989,""/html/body/main/div[3]/div[3]/div[2]/ul/li[8]/span[2]/span"")"),"Loading...")</f>
        <v>Loading...</v>
      </c>
      <c r="T989" s="4">
        <v>34.6</v>
      </c>
      <c r="U989" s="4">
        <v>22.7</v>
      </c>
      <c r="V989" s="4">
        <v>2.6</v>
      </c>
      <c r="W989" s="4">
        <v>5.7</v>
      </c>
      <c r="X989" s="4">
        <v>519.92999999999995</v>
      </c>
      <c r="Y989" s="7">
        <f t="shared" ca="1" si="19"/>
        <v>-505.22999999999996</v>
      </c>
    </row>
    <row r="990" spans="1:25" ht="15" x14ac:dyDescent="0.25">
      <c r="A990" s="4">
        <v>1060</v>
      </c>
      <c r="C990" s="12" t="s">
        <v>2522</v>
      </c>
      <c r="D990" s="12" t="s">
        <v>2523</v>
      </c>
      <c r="E990" s="5" t="str">
        <f t="shared" si="15"/>
        <v>https://www.screener.in/company/VINCOFE/consolidated/</v>
      </c>
      <c r="F990" s="4">
        <v>443059</v>
      </c>
      <c r="G990" s="4">
        <v>3832241897</v>
      </c>
      <c r="H990" s="6">
        <f t="shared" ca="1" si="16"/>
        <v>56000.550840860997</v>
      </c>
      <c r="I990" s="7" t="str">
        <f ca="1">IFERROR(__xludf.DUMMYFUNCTION("IMPORTXML(E990,""/html/body/main/div[3]/div[3]/div[2]/ul/li[5]/span[2]/span"")"),"Loading...")</f>
        <v>Loading...</v>
      </c>
      <c r="J990" s="7">
        <f ca="1">IFERROR(__xludf.DUMMYFUNCTION("GOOGLEFINANCE(""NSE:""&amp;D990,""marketcap"")"),19009087877)</f>
        <v>19009087877</v>
      </c>
      <c r="K990" s="7">
        <v>992.8</v>
      </c>
      <c r="L990" s="8">
        <f ca="1">IFERROR(__xludf.DUMMYFUNCTION("GOOGLEFINANCE(""NSE:""&amp;D990,""price"")"),146.13)</f>
        <v>146.13</v>
      </c>
      <c r="M990" s="9">
        <f t="shared" ca="1" si="17"/>
        <v>-846.67</v>
      </c>
      <c r="N990" s="10">
        <f t="shared" ca="1" si="18"/>
        <v>-85.281023368251411</v>
      </c>
      <c r="O990" s="7">
        <f ca="1">IFERROR(__xludf.DUMMYFUNCTION("GOOGLEFINANCE(""NSE:""&amp;D990,""pe"")"),36.99)</f>
        <v>36.99</v>
      </c>
      <c r="P990" s="7">
        <f ca="1">IFERROR(__xludf.DUMMYFUNCTION("GOOGLEFINANCE(""NSE:""&amp;D990,""EPS"")"),3.95)</f>
        <v>3.95</v>
      </c>
      <c r="Q990" s="7">
        <v>13.5</v>
      </c>
      <c r="R990" s="7" t="str">
        <f ca="1">IFERROR(__xludf.DUMMYFUNCTION("IMPORTXML(E990,""/html/body/main/div[3]/div[3]/div[2]/ul/li[7]/span[2]/span"")"),"Loading...")</f>
        <v>Loading...</v>
      </c>
      <c r="S990" s="7" t="str">
        <f ca="1">IFERROR(__xludf.DUMMYFUNCTION("IMPORTXML(E990,""/html/body/main/div[3]/div[3]/div[2]/ul/li[8]/span[2]/span"")"),"Loading...")</f>
        <v>Loading...</v>
      </c>
      <c r="T990" s="4">
        <v>34.6</v>
      </c>
      <c r="U990" s="4">
        <v>22.7</v>
      </c>
      <c r="V990" s="4">
        <v>2.6</v>
      </c>
      <c r="W990" s="4">
        <v>5.7</v>
      </c>
      <c r="X990" s="4">
        <v>519.92999999999995</v>
      </c>
      <c r="Y990" s="7">
        <f t="shared" ca="1" si="19"/>
        <v>-373.79999999999995</v>
      </c>
    </row>
    <row r="991" spans="1:25" ht="15" x14ac:dyDescent="0.25">
      <c r="A991" s="4">
        <v>867</v>
      </c>
      <c r="C991" s="12" t="s">
        <v>2524</v>
      </c>
      <c r="D991" s="12" t="s">
        <v>2525</v>
      </c>
      <c r="E991" s="5" t="str">
        <f t="shared" si="15"/>
        <v>https://www.screener.in/company/HESTERBIO/consolidated/</v>
      </c>
      <c r="F991" s="4">
        <v>443059</v>
      </c>
      <c r="G991" s="4">
        <v>3832241897</v>
      </c>
      <c r="H991" s="6">
        <f t="shared" ca="1" si="16"/>
        <v>816305.84647996991</v>
      </c>
      <c r="I991" s="7" t="str">
        <f ca="1">IFERROR(__xludf.DUMMYFUNCTION("IMPORTXML(E991,""/html/body/main/div[3]/div[3]/div[2]/ul/li[5]/span[2]/span"")"),"Loading...")</f>
        <v>Loading...</v>
      </c>
      <c r="J991" s="7">
        <f ca="1">IFERROR(__xludf.DUMMYFUNCTION("GOOGLEFINANCE(""NSE:""&amp;D991,""marketcap"")"),18110270000)</f>
        <v>18110270000</v>
      </c>
      <c r="K991" s="7">
        <v>992.8</v>
      </c>
      <c r="L991" s="8">
        <f ca="1">IFERROR(__xludf.DUMMYFUNCTION("GOOGLEFINANCE(""NSE:""&amp;D991,""price"")"),2130.1)</f>
        <v>2130.1</v>
      </c>
      <c r="M991" s="9">
        <f t="shared" ca="1" si="17"/>
        <v>1137.3</v>
      </c>
      <c r="N991" s="10">
        <f t="shared" ca="1" si="18"/>
        <v>114.55479452054796</v>
      </c>
      <c r="O991" s="7">
        <f ca="1">IFERROR(__xludf.DUMMYFUNCTION("GOOGLEFINANCE(""NSE:""&amp;D991,""pe"")"),64.23)</f>
        <v>64.23</v>
      </c>
      <c r="P991" s="7">
        <f ca="1">IFERROR(__xludf.DUMMYFUNCTION("GOOGLEFINANCE(""NSE:""&amp;D991,""EPS"")"),33.17)</f>
        <v>33.17</v>
      </c>
      <c r="Q991" s="7">
        <v>13.5</v>
      </c>
      <c r="R991" s="7" t="str">
        <f ca="1">IFERROR(__xludf.DUMMYFUNCTION("IMPORTXML(E991,""/html/body/main/div[3]/div[3]/div[2]/ul/li[7]/span[2]/span"")"),"Loading...")</f>
        <v>Loading...</v>
      </c>
      <c r="S991" s="7" t="str">
        <f ca="1">IFERROR(__xludf.DUMMYFUNCTION("IMPORTXML(E991,""/html/body/main/div[3]/div[3]/div[2]/ul/li[8]/span[2]/span"")"),"Loading...")</f>
        <v>Loading...</v>
      </c>
      <c r="T991" s="4">
        <v>34.6</v>
      </c>
      <c r="U991" s="4">
        <v>22.7</v>
      </c>
      <c r="V991" s="4">
        <v>2.6</v>
      </c>
      <c r="W991" s="4">
        <v>5.7</v>
      </c>
      <c r="X991" s="4">
        <v>519.92999999999995</v>
      </c>
      <c r="Y991" s="7">
        <f t="shared" ca="1" si="19"/>
        <v>1610.17</v>
      </c>
    </row>
    <row r="992" spans="1:25" ht="15" x14ac:dyDescent="0.25">
      <c r="A992" s="4">
        <v>448</v>
      </c>
      <c r="C992" s="12" t="s">
        <v>2526</v>
      </c>
      <c r="D992" s="12" t="s">
        <v>2527</v>
      </c>
      <c r="E992" s="5" t="str">
        <f t="shared" si="15"/>
        <v>https://www.screener.in/company/PRIVISCL/consolidated/</v>
      </c>
      <c r="F992" s="4">
        <v>443059</v>
      </c>
      <c r="G992" s="4">
        <v>3832241897</v>
      </c>
      <c r="H992" s="6">
        <f t="shared" ca="1" si="16"/>
        <v>873367.9283263</v>
      </c>
      <c r="I992" s="7" t="str">
        <f ca="1">IFERROR(__xludf.DUMMYFUNCTION("IMPORTXML(E992,""/html/body/main/div[3]/div[3]/div[2]/ul/li[5]/span[2]/span"")"),"Loading...")</f>
        <v>Loading...</v>
      </c>
      <c r="J992" s="7">
        <f ca="1">IFERROR(__xludf.DUMMYFUNCTION("GOOGLEFINANCE(""NSE:""&amp;D992,""marketcap"")"),89172355560)</f>
        <v>89172355560</v>
      </c>
      <c r="K992" s="7">
        <v>992.8</v>
      </c>
      <c r="L992" s="8">
        <f ca="1">IFERROR(__xludf.DUMMYFUNCTION("GOOGLEFINANCE(""NSE:""&amp;D992,""price"")"),2279)</f>
        <v>2279</v>
      </c>
      <c r="M992" s="9">
        <f t="shared" ca="1" si="17"/>
        <v>1286.2</v>
      </c>
      <c r="N992" s="10">
        <f t="shared" ca="1" si="18"/>
        <v>129.55278001611606</v>
      </c>
      <c r="O992" s="7">
        <f ca="1">IFERROR(__xludf.DUMMYFUNCTION("GOOGLEFINANCE(""NSE:""&amp;D992,""pe"")"),40.92)</f>
        <v>40.92</v>
      </c>
      <c r="P992" s="7">
        <f ca="1">IFERROR(__xludf.DUMMYFUNCTION("GOOGLEFINANCE(""NSE:""&amp;D992,""EPS"")"),55.69)</f>
        <v>55.69</v>
      </c>
      <c r="Q992" s="7">
        <v>13.5</v>
      </c>
      <c r="R992" s="7" t="str">
        <f ca="1">IFERROR(__xludf.DUMMYFUNCTION("IMPORTXML(E992,""/html/body/main/div[3]/div[3]/div[2]/ul/li[7]/span[2]/span"")"),"Loading...")</f>
        <v>Loading...</v>
      </c>
      <c r="S992" s="7" t="str">
        <f ca="1">IFERROR(__xludf.DUMMYFUNCTION("IMPORTXML(E992,""/html/body/main/div[3]/div[3]/div[2]/ul/li[8]/span[2]/span"")"),"Loading...")</f>
        <v>Loading...</v>
      </c>
      <c r="T992" s="4">
        <v>34.6</v>
      </c>
      <c r="U992" s="4">
        <v>22.7</v>
      </c>
      <c r="V992" s="4">
        <v>2.6</v>
      </c>
      <c r="W992" s="4">
        <v>5.7</v>
      </c>
      <c r="X992" s="4">
        <v>519.92999999999995</v>
      </c>
      <c r="Y992" s="7">
        <f t="shared" ca="1" si="19"/>
        <v>1759.0700000000002</v>
      </c>
    </row>
    <row r="993" spans="1:25" ht="15" x14ac:dyDescent="0.25">
      <c r="A993" s="4">
        <v>1059</v>
      </c>
      <c r="C993" s="12" t="s">
        <v>2528</v>
      </c>
      <c r="D993" s="12" t="s">
        <v>2529</v>
      </c>
      <c r="E993" s="5" t="str">
        <f t="shared" si="15"/>
        <v>https://www.screener.in/company/ONEPOINT/consolidated/</v>
      </c>
      <c r="F993" s="4">
        <v>443059</v>
      </c>
      <c r="G993" s="4">
        <v>3832241897</v>
      </c>
      <c r="H993" s="6">
        <f t="shared" ca="1" si="16"/>
        <v>17061.140925444</v>
      </c>
      <c r="I993" s="7" t="str">
        <f ca="1">IFERROR(__xludf.DUMMYFUNCTION("IMPORTXML(E993,""/html/body/main/div[3]/div[3]/div[2]/ul/li[5]/span[2]/span"")"),"Loading...")</f>
        <v>Loading...</v>
      </c>
      <c r="J993" s="7">
        <f ca="1">IFERROR(__xludf.DUMMYFUNCTION("GOOGLEFINANCE(""NSE:""&amp;D993,""marketcap"")"),11663860000)</f>
        <v>11663860000</v>
      </c>
      <c r="K993" s="7">
        <v>992.8</v>
      </c>
      <c r="L993" s="8">
        <f ca="1">IFERROR(__xludf.DUMMYFUNCTION("GOOGLEFINANCE(""NSE:""&amp;D993,""price"")"),44.52)</f>
        <v>44.52</v>
      </c>
      <c r="M993" s="9">
        <f t="shared" ca="1" si="17"/>
        <v>-948.28</v>
      </c>
      <c r="N993" s="10">
        <f t="shared" ca="1" si="18"/>
        <v>-95.515713134568898</v>
      </c>
      <c r="O993" s="7">
        <f ca="1">IFERROR(__xludf.DUMMYFUNCTION("GOOGLEFINANCE(""NSE:""&amp;D993,""pe"")"),33.22)</f>
        <v>33.22</v>
      </c>
      <c r="P993" s="7">
        <f ca="1">IFERROR(__xludf.DUMMYFUNCTION("GOOGLEFINANCE(""NSE:""&amp;D993,""EPS"")"),1.34)</f>
        <v>1.34</v>
      </c>
      <c r="Q993" s="7">
        <v>13.5</v>
      </c>
      <c r="R993" s="7" t="str">
        <f ca="1">IFERROR(__xludf.DUMMYFUNCTION("IMPORTXML(E993,""/html/body/main/div[3]/div[3]/div[2]/ul/li[7]/span[2]/span"")"),"Loading...")</f>
        <v>Loading...</v>
      </c>
      <c r="S993" s="7" t="str">
        <f ca="1">IFERROR(__xludf.DUMMYFUNCTION("IMPORTXML(E993,""/html/body/main/div[3]/div[3]/div[2]/ul/li[8]/span[2]/span"")"),"Loading...")</f>
        <v>Loading...</v>
      </c>
      <c r="T993" s="4">
        <v>34.6</v>
      </c>
      <c r="U993" s="4">
        <v>22.7</v>
      </c>
      <c r="V993" s="4">
        <v>2.6</v>
      </c>
      <c r="W993" s="4">
        <v>5.7</v>
      </c>
      <c r="X993" s="4">
        <v>519.92999999999995</v>
      </c>
      <c r="Y993" s="7">
        <f t="shared" ca="1" si="19"/>
        <v>-475.40999999999997</v>
      </c>
    </row>
    <row r="994" spans="1:25" ht="15" x14ac:dyDescent="0.25">
      <c r="A994" s="4">
        <v>1385</v>
      </c>
      <c r="C994" s="12" t="s">
        <v>2530</v>
      </c>
      <c r="D994" s="12" t="s">
        <v>2531</v>
      </c>
      <c r="E994" s="5" t="str">
        <f t="shared" si="15"/>
        <v>https://www.screener.in/company/SAKAR/consolidated/</v>
      </c>
      <c r="F994" s="4">
        <v>443059</v>
      </c>
      <c r="G994" s="4">
        <v>3832241897</v>
      </c>
      <c r="H994" s="6">
        <f t="shared" ca="1" si="16"/>
        <v>126847.2067907</v>
      </c>
      <c r="I994" s="7" t="str">
        <f ca="1">IFERROR(__xludf.DUMMYFUNCTION("IMPORTXML(E994,""/html/body/main/div[3]/div[3]/div[2]/ul/li[5]/span[2]/span"")"),"Loading...")</f>
        <v>Loading...</v>
      </c>
      <c r="J994" s="7">
        <f ca="1">IFERROR(__xludf.DUMMYFUNCTION("GOOGLEFINANCE(""NSE:""&amp;D994,""marketcap"")"),7364720210)</f>
        <v>7364720210</v>
      </c>
      <c r="K994" s="7">
        <v>992.8</v>
      </c>
      <c r="L994" s="8">
        <f ca="1">IFERROR(__xludf.DUMMYFUNCTION("GOOGLEFINANCE(""NSE:""&amp;D994,""price"")"),331)</f>
        <v>331</v>
      </c>
      <c r="M994" s="9">
        <f t="shared" ca="1" si="17"/>
        <v>-661.8</v>
      </c>
      <c r="N994" s="10">
        <f t="shared" ca="1" si="18"/>
        <v>-66.659951651893635</v>
      </c>
      <c r="O994" s="7">
        <f ca="1">IFERROR(__xludf.DUMMYFUNCTION("GOOGLEFINANCE(""NSE:""&amp;D994,""pe"")"),36.49)</f>
        <v>36.49</v>
      </c>
      <c r="P994" s="7">
        <f ca="1">IFERROR(__xludf.DUMMYFUNCTION("GOOGLEFINANCE(""NSE:""&amp;D994,""EPS"")"),9.07)</f>
        <v>9.07</v>
      </c>
      <c r="Q994" s="7">
        <v>13.5</v>
      </c>
      <c r="R994" s="7" t="str">
        <f ca="1">IFERROR(__xludf.DUMMYFUNCTION("IMPORTXML(E994,""/html/body/main/div[3]/div[3]/div[2]/ul/li[7]/span[2]/span"")"),"Loading...")</f>
        <v>Loading...</v>
      </c>
      <c r="S994" s="7">
        <f ca="1">IFERROR(__xludf.DUMMYFUNCTION("IMPORTXML(E994,""/html/body/main/div[3]/div[3]/div[2]/ul/li[8]/span[2]/span"")"),6.4)</f>
        <v>6.4</v>
      </c>
      <c r="T994" s="4">
        <v>34.6</v>
      </c>
      <c r="U994" s="4">
        <v>22.7</v>
      </c>
      <c r="V994" s="4">
        <v>2.6</v>
      </c>
      <c r="W994" s="4">
        <v>5.7</v>
      </c>
      <c r="X994" s="4">
        <v>519.92999999999995</v>
      </c>
      <c r="Y994" s="7">
        <f t="shared" ca="1" si="19"/>
        <v>-188.92999999999995</v>
      </c>
    </row>
    <row r="995" spans="1:25" ht="15" x14ac:dyDescent="0.25">
      <c r="A995" s="4">
        <v>24</v>
      </c>
      <c r="C995" s="12" t="s">
        <v>2532</v>
      </c>
      <c r="D995" s="12" t="s">
        <v>2533</v>
      </c>
      <c r="E995" s="5" t="str">
        <f t="shared" si="15"/>
        <v>https://www.screener.in/company/JBCHEPHARM/consolidated/</v>
      </c>
      <c r="F995" s="4">
        <v>443059</v>
      </c>
      <c r="G995" s="4">
        <v>3832241897</v>
      </c>
      <c r="H995" s="6">
        <f t="shared" ca="1" si="16"/>
        <v>656424.71453713009</v>
      </c>
      <c r="I995" s="7" t="str">
        <f ca="1">IFERROR(__xludf.DUMMYFUNCTION("IMPORTXML(E995,""/html/body/main/div[3]/div[3]/div[2]/ul/li[5]/span[2]/span"")"),"Loading...")</f>
        <v>Loading...</v>
      </c>
      <c r="J995" s="7">
        <f ca="1">IFERROR(__xludf.DUMMYFUNCTION("GOOGLEFINANCE(""NSE:""&amp;D995,""marketcap"")"),268233634803)</f>
        <v>268233634803</v>
      </c>
      <c r="K995" s="7">
        <v>992.8</v>
      </c>
      <c r="L995" s="8">
        <f ca="1">IFERROR(__xludf.DUMMYFUNCTION("GOOGLEFINANCE(""NSE:""&amp;D995,""price"")"),1712.9)</f>
        <v>1712.9</v>
      </c>
      <c r="M995" s="9">
        <f t="shared" ca="1" si="17"/>
        <v>720.10000000000014</v>
      </c>
      <c r="N995" s="10">
        <f t="shared" ca="1" si="18"/>
        <v>72.532232070910567</v>
      </c>
      <c r="O995" s="7">
        <f ca="1">IFERROR(__xludf.DUMMYFUNCTION("GOOGLEFINANCE(""NSE:""&amp;D995,""pe"")"),39.7)</f>
        <v>39.700000000000003</v>
      </c>
      <c r="P995" s="7">
        <f ca="1">IFERROR(__xludf.DUMMYFUNCTION("GOOGLEFINANCE(""NSE:""&amp;D995,""EPS"")"),43.15)</f>
        <v>43.15</v>
      </c>
      <c r="Q995" s="7">
        <v>13.5</v>
      </c>
      <c r="R995" s="7" t="str">
        <f ca="1">IFERROR(__xludf.DUMMYFUNCTION("IMPORTXML(E995,""/html/body/main/div[3]/div[3]/div[2]/ul/li[7]/span[2]/span"")"),"Loading...")</f>
        <v>Loading...</v>
      </c>
      <c r="S995" s="7" t="str">
        <f ca="1">IFERROR(__xludf.DUMMYFUNCTION("IMPORTXML(E995,""/html/body/main/div[3]/div[3]/div[2]/ul/li[8]/span[2]/span"")"),"Loading...")</f>
        <v>Loading...</v>
      </c>
      <c r="T995" s="4">
        <v>34.6</v>
      </c>
      <c r="U995" s="4">
        <v>22.7</v>
      </c>
      <c r="V995" s="4">
        <v>2.6</v>
      </c>
      <c r="W995" s="4">
        <v>5.7</v>
      </c>
      <c r="X995" s="4">
        <v>519.92999999999995</v>
      </c>
      <c r="Y995" s="7">
        <f t="shared" ca="1" si="19"/>
        <v>1192.9700000000003</v>
      </c>
    </row>
    <row r="996" spans="1:25" ht="15" x14ac:dyDescent="0.25">
      <c r="A996" s="4">
        <v>346</v>
      </c>
      <c r="C996" s="12" t="s">
        <v>2534</v>
      </c>
      <c r="D996" s="12" t="s">
        <v>2535</v>
      </c>
      <c r="E996" s="5" t="str">
        <f t="shared" si="15"/>
        <v>https://www.screener.in/company/ACI/consolidated/</v>
      </c>
      <c r="F996" s="4">
        <v>443059</v>
      </c>
      <c r="G996" s="4">
        <v>3832241897</v>
      </c>
      <c r="H996" s="6">
        <f t="shared" ca="1" si="16"/>
        <v>263275.0183239</v>
      </c>
      <c r="I996" s="7" t="str">
        <f ca="1">IFERROR(__xludf.DUMMYFUNCTION("IMPORTXML(E996,""/html/body/main/div[3]/div[3]/div[2]/ul/li[5]/span[2]/span"")"),"Loading...")</f>
        <v>Loading...</v>
      </c>
      <c r="J996" s="7">
        <f ca="1">IFERROR(__xludf.DUMMYFUNCTION("GOOGLEFINANCE(""NSE:""&amp;D996,""marketcap"")"),84794761200)</f>
        <v>84794761200</v>
      </c>
      <c r="K996" s="7">
        <v>992.8</v>
      </c>
      <c r="L996" s="8">
        <f ca="1">IFERROR(__xludf.DUMMYFUNCTION("GOOGLEFINANCE(""NSE:""&amp;D996,""price"")"),687)</f>
        <v>687</v>
      </c>
      <c r="M996" s="9">
        <f t="shared" ca="1" si="17"/>
        <v>-305.79999999999995</v>
      </c>
      <c r="N996" s="10">
        <f t="shared" ca="1" si="18"/>
        <v>-30.801772763900075</v>
      </c>
      <c r="O996" s="7">
        <f ca="1">IFERROR(__xludf.DUMMYFUNCTION("GOOGLEFINANCE(""NSE:""&amp;D996,""pe"")"),53.91)</f>
        <v>53.91</v>
      </c>
      <c r="P996" s="7">
        <f ca="1">IFERROR(__xludf.DUMMYFUNCTION("GOOGLEFINANCE(""NSE:""&amp;D996,""EPS"")"),12.74)</f>
        <v>12.74</v>
      </c>
      <c r="Q996" s="7">
        <v>13.5</v>
      </c>
      <c r="R996" s="7" t="str">
        <f ca="1">IFERROR(__xludf.DUMMYFUNCTION("IMPORTXML(E996,""/html/body/main/div[3]/div[3]/div[2]/ul/li[7]/span[2]/span"")"),"Loading...")</f>
        <v>Loading...</v>
      </c>
      <c r="S996" s="7" t="str">
        <f ca="1">IFERROR(__xludf.DUMMYFUNCTION("IMPORTXML(E996,""/html/body/main/div[3]/div[3]/div[2]/ul/li[8]/span[2]/span"")"),"Loading...")</f>
        <v>Loading...</v>
      </c>
      <c r="T996" s="4">
        <v>34.6</v>
      </c>
      <c r="U996" s="4">
        <v>22.7</v>
      </c>
      <c r="V996" s="4">
        <v>2.6</v>
      </c>
      <c r="W996" s="4">
        <v>5.7</v>
      </c>
      <c r="X996" s="4">
        <v>519.92999999999995</v>
      </c>
      <c r="Y996" s="7">
        <f t="shared" ca="1" si="19"/>
        <v>167.07000000000005</v>
      </c>
    </row>
    <row r="997" spans="1:25" ht="15" x14ac:dyDescent="0.25">
      <c r="A997" s="4">
        <v>2153</v>
      </c>
      <c r="C997" s="12" t="s">
        <v>2536</v>
      </c>
      <c r="D997" s="12" t="s">
        <v>2537</v>
      </c>
      <c r="E997" s="5" t="str">
        <f t="shared" si="15"/>
        <v>https://www.screener.in/company/MRO-TEK/consolidated/</v>
      </c>
      <c r="F997" s="4">
        <v>443059</v>
      </c>
      <c r="G997" s="4">
        <v>3832241897</v>
      </c>
      <c r="H997" s="6" t="e">
        <f t="shared" ca="1" si="16"/>
        <v>#VALUE!</v>
      </c>
      <c r="I997" s="7" t="str">
        <f ca="1">IFERROR(__xludf.DUMMYFUNCTION("IMPORTXML(E997,""/html/body/main/div[3]/div[3]/div[2]/ul/li[5]/span[2]/span"")"),"Loading...")</f>
        <v>Loading...</v>
      </c>
      <c r="J997" s="7" t="str">
        <f ca="1">IFERROR(__xludf.DUMMYFUNCTION("GOOGLEFINANCE(""NSE:""&amp;D997,""marketcap"")"),"#N/A")</f>
        <v>#N/A</v>
      </c>
      <c r="K997" s="7">
        <v>992.8</v>
      </c>
      <c r="L997" s="8" t="str">
        <f ca="1">IFERROR(__xludf.DUMMYFUNCTION("GOOGLEFINANCE(""NSE:""&amp;D997,""price"")"),"#N/A")</f>
        <v>#N/A</v>
      </c>
      <c r="M997" s="9" t="e">
        <f t="shared" ca="1" si="17"/>
        <v>#VALUE!</v>
      </c>
      <c r="N997" s="10" t="e">
        <f t="shared" ca="1" si="18"/>
        <v>#VALUE!</v>
      </c>
      <c r="O997" s="7" t="str">
        <f ca="1">IFERROR(__xludf.DUMMYFUNCTION("GOOGLEFINANCE(""NSE:""&amp;D997,""pe"")"),"#N/A")</f>
        <v>#N/A</v>
      </c>
      <c r="P997" s="7" t="str">
        <f ca="1">IFERROR(__xludf.DUMMYFUNCTION("GOOGLEFINANCE(""NSE:""&amp;D997,""EPS"")"),"#N/A")</f>
        <v>#N/A</v>
      </c>
      <c r="Q997" s="7">
        <v>13.5</v>
      </c>
      <c r="R997" s="7" t="str">
        <f ca="1">IFERROR(__xludf.DUMMYFUNCTION("IMPORTXML(E997,""/html/body/main/div[3]/div[3]/div[2]/ul/li[7]/span[2]/span"")"),"Loading...")</f>
        <v>Loading...</v>
      </c>
      <c r="S997" s="7" t="str">
        <f ca="1">IFERROR(__xludf.DUMMYFUNCTION("IMPORTXML(E997,""/html/body/main/div[3]/div[3]/div[2]/ul/li[8]/span[2]/span"")"),"Loading...")</f>
        <v>Loading...</v>
      </c>
      <c r="T997" s="4">
        <v>34.6</v>
      </c>
      <c r="U997" s="4">
        <v>22.7</v>
      </c>
      <c r="V997" s="4">
        <v>2.6</v>
      </c>
      <c r="W997" s="4">
        <v>5.7</v>
      </c>
      <c r="X997" s="4">
        <v>519.92999999999995</v>
      </c>
      <c r="Y997" s="7" t="e">
        <f t="shared" ca="1" si="19"/>
        <v>#VALUE!</v>
      </c>
    </row>
    <row r="998" spans="1:25" ht="15" x14ac:dyDescent="0.25">
      <c r="A998" s="4">
        <v>119</v>
      </c>
      <c r="C998" s="12" t="s">
        <v>2538</v>
      </c>
      <c r="D998" s="12" t="s">
        <v>2539</v>
      </c>
      <c r="E998" s="5" t="str">
        <f t="shared" si="15"/>
        <v>https://www.screener.in/company/RRKABEL/consolidated/</v>
      </c>
      <c r="F998" s="4">
        <v>443059</v>
      </c>
      <c r="G998" s="4">
        <v>3832241897</v>
      </c>
      <c r="H998" s="6">
        <f t="shared" ca="1" si="16"/>
        <v>460443.86392455001</v>
      </c>
      <c r="I998" s="7" t="str">
        <f ca="1">IFERROR(__xludf.DUMMYFUNCTION("IMPORTXML(E998,""/html/body/main/div[3]/div[3]/div[2]/ul/li[5]/span[2]/span"")"),"Loading...")</f>
        <v>Loading...</v>
      </c>
      <c r="J998" s="7">
        <f ca="1">IFERROR(__xludf.DUMMYFUNCTION("GOOGLEFINANCE(""NSE:""&amp;D998,""marketcap"")"),135873069300)</f>
        <v>135873069300</v>
      </c>
      <c r="K998" s="7">
        <v>992.8</v>
      </c>
      <c r="L998" s="8">
        <f ca="1">IFERROR(__xludf.DUMMYFUNCTION("GOOGLEFINANCE(""NSE:""&amp;D998,""price"")"),1201.5)</f>
        <v>1201.5</v>
      </c>
      <c r="M998" s="9">
        <f t="shared" ca="1" si="17"/>
        <v>208.70000000000005</v>
      </c>
      <c r="N998" s="10">
        <f t="shared" ca="1" si="18"/>
        <v>21.021353746978249</v>
      </c>
      <c r="O998" s="7">
        <f ca="1">IFERROR(__xludf.DUMMYFUNCTION("GOOGLEFINANCE(""NSE:""&amp;D998,""pe"")"),40.32)</f>
        <v>40.32</v>
      </c>
      <c r="P998" s="7">
        <f ca="1">IFERROR(__xludf.DUMMYFUNCTION("GOOGLEFINANCE(""NSE:""&amp;D998,""EPS"")"),29.8)</f>
        <v>29.8</v>
      </c>
      <c r="Q998" s="7">
        <v>13.5</v>
      </c>
      <c r="R998" s="7" t="str">
        <f ca="1">IFERROR(__xludf.DUMMYFUNCTION("IMPORTXML(E998,""/html/body/main/div[3]/div[3]/div[2]/ul/li[7]/span[2]/span"")"),"Loading...")</f>
        <v>Loading...</v>
      </c>
      <c r="S998" s="7" t="str">
        <f ca="1">IFERROR(__xludf.DUMMYFUNCTION("IMPORTXML(E998,""/html/body/main/div[3]/div[3]/div[2]/ul/li[8]/span[2]/span"")"),"Loading...")</f>
        <v>Loading...</v>
      </c>
      <c r="T998" s="4">
        <v>34.6</v>
      </c>
      <c r="U998" s="4">
        <v>22.7</v>
      </c>
      <c r="V998" s="4">
        <v>2.6</v>
      </c>
      <c r="W998" s="4">
        <v>5.7</v>
      </c>
      <c r="X998" s="4">
        <v>519.92999999999995</v>
      </c>
      <c r="Y998" s="7">
        <f t="shared" ca="1" si="19"/>
        <v>681.57</v>
      </c>
    </row>
    <row r="999" spans="1:25" ht="15" x14ac:dyDescent="0.25">
      <c r="A999" s="4">
        <v>84</v>
      </c>
      <c r="C999" s="12" t="s">
        <v>2540</v>
      </c>
      <c r="D999" s="12" t="s">
        <v>2541</v>
      </c>
      <c r="E999" s="5" t="str">
        <f t="shared" si="15"/>
        <v>https://www.screener.in/company/KAJARIACER/consolidated/</v>
      </c>
      <c r="F999" s="4">
        <v>443059</v>
      </c>
      <c r="G999" s="4">
        <v>3832241897</v>
      </c>
      <c r="H999" s="6">
        <f t="shared" ca="1" si="16"/>
        <v>468683.18400309997</v>
      </c>
      <c r="I999" s="7" t="str">
        <f ca="1">IFERROR(__xludf.DUMMYFUNCTION("IMPORTXML(E999,""/html/body/main/div[3]/div[3]/div[2]/ul/li[5]/span[2]/span"")"),"Loading...")</f>
        <v>Loading...</v>
      </c>
      <c r="J999" s="7">
        <f ca="1">IFERROR(__xludf.DUMMYFUNCTION("GOOGLEFINANCE(""NSE:""&amp;D999,""marketcap"")"),194805900000)</f>
        <v>194805900000</v>
      </c>
      <c r="K999" s="7">
        <v>992.8</v>
      </c>
      <c r="L999" s="8">
        <f ca="1">IFERROR(__xludf.DUMMYFUNCTION("GOOGLEFINANCE(""NSE:""&amp;D999,""price"")"),1223)</f>
        <v>1223</v>
      </c>
      <c r="M999" s="9">
        <f t="shared" ca="1" si="17"/>
        <v>230.20000000000005</v>
      </c>
      <c r="N999" s="10">
        <f t="shared" ca="1" si="18"/>
        <v>23.186946011281233</v>
      </c>
      <c r="O999" s="7">
        <f ca="1">IFERROR(__xludf.DUMMYFUNCTION("GOOGLEFINANCE(""NSE:""&amp;D999,""pe"")"),62.18)</f>
        <v>62.18</v>
      </c>
      <c r="P999" s="7">
        <f ca="1">IFERROR(__xludf.DUMMYFUNCTION("GOOGLEFINANCE(""NSE:""&amp;D999,""EPS"")"),19.67)</f>
        <v>19.670000000000002</v>
      </c>
      <c r="Q999" s="7">
        <v>13.5</v>
      </c>
      <c r="R999" s="7" t="str">
        <f ca="1">IFERROR(__xludf.DUMMYFUNCTION("IMPORTXML(E999,""/html/body/main/div[3]/div[3]/div[2]/ul/li[7]/span[2]/span"")"),"Loading...")</f>
        <v>Loading...</v>
      </c>
      <c r="S999" s="7" t="str">
        <f ca="1">IFERROR(__xludf.DUMMYFUNCTION("IMPORTXML(E999,""/html/body/main/div[3]/div[3]/div[2]/ul/li[8]/span[2]/span"")"),"Loading...")</f>
        <v>Loading...</v>
      </c>
      <c r="T999" s="4">
        <v>34.6</v>
      </c>
      <c r="U999" s="4">
        <v>22.7</v>
      </c>
      <c r="V999" s="4">
        <v>2.6</v>
      </c>
      <c r="W999" s="4">
        <v>5.7</v>
      </c>
      <c r="X999" s="4">
        <v>519.92999999999995</v>
      </c>
      <c r="Y999" s="7">
        <f t="shared" ca="1" si="19"/>
        <v>703.07</v>
      </c>
    </row>
    <row r="1000" spans="1:25" ht="15" x14ac:dyDescent="0.25">
      <c r="A1000" s="4">
        <v>440</v>
      </c>
      <c r="C1000" s="12" t="s">
        <v>2542</v>
      </c>
      <c r="D1000" s="12" t="s">
        <v>2543</v>
      </c>
      <c r="E1000" s="5" t="str">
        <f t="shared" si="15"/>
        <v>https://www.screener.in/company/BORORENEW/consolidated/</v>
      </c>
      <c r="F1000" s="4">
        <v>443059</v>
      </c>
      <c r="G1000" s="4">
        <v>3832241897</v>
      </c>
      <c r="H1000" s="6">
        <f t="shared" ca="1" si="16"/>
        <v>220852.10052410996</v>
      </c>
      <c r="I1000" s="7" t="str">
        <f ca="1">IFERROR(__xludf.DUMMYFUNCTION("IMPORTXML(E1000,""/html/body/main/div[3]/div[3]/div[2]/ul/li[5]/span[2]/span"")"),"Loading...")</f>
        <v>Loading...</v>
      </c>
      <c r="J1000" s="7">
        <f ca="1">IFERROR(__xludf.DUMMYFUNCTION("GOOGLEFINANCE(""NSE:""&amp;D1000,""marketcap"")"),76913835375)</f>
        <v>76913835375</v>
      </c>
      <c r="K1000" s="7">
        <v>992.8</v>
      </c>
      <c r="L1000" s="8">
        <f ca="1">IFERROR(__xludf.DUMMYFUNCTION("GOOGLEFINANCE(""NSE:""&amp;D1000,""price"")"),576.3)</f>
        <v>576.29999999999995</v>
      </c>
      <c r="M1000" s="9">
        <f t="shared" ca="1" si="17"/>
        <v>-416.5</v>
      </c>
      <c r="N1000" s="10">
        <f t="shared" ca="1" si="18"/>
        <v>-41.952054794520549</v>
      </c>
      <c r="O1000" s="7">
        <f ca="1">IFERROR(__xludf.DUMMYFUNCTION("GOOGLEFINANCE(""NSE:""&amp;D1000,""pe"")"),39.51)</f>
        <v>39.51</v>
      </c>
      <c r="P1000" s="7">
        <f ca="1">IFERROR(__xludf.DUMMYFUNCTION("GOOGLEFINANCE(""NSE:""&amp;D1000,""EPS"")"),5.57)</f>
        <v>5.57</v>
      </c>
      <c r="Q1000" s="7">
        <v>13.5</v>
      </c>
      <c r="R1000" s="7" t="str">
        <f ca="1">IFERROR(__xludf.DUMMYFUNCTION("IMPORTXML(E1000,""/html/body/main/div[3]/div[3]/div[2]/ul/li[7]/span[2]/span"")"),"Loading...")</f>
        <v>Loading...</v>
      </c>
      <c r="S1000" s="7" t="str">
        <f ca="1">IFERROR(__xludf.DUMMYFUNCTION("IMPORTXML(E1000,""/html/body/main/div[3]/div[3]/div[2]/ul/li[8]/span[2]/span"")"),"Loading...")</f>
        <v>Loading...</v>
      </c>
      <c r="T1000" s="4">
        <v>34.6</v>
      </c>
      <c r="U1000" s="4">
        <v>22.7</v>
      </c>
      <c r="V1000" s="4">
        <v>2.6</v>
      </c>
      <c r="W1000" s="4">
        <v>5.7</v>
      </c>
      <c r="X1000" s="4">
        <v>519.92999999999995</v>
      </c>
      <c r="Y1000" s="7">
        <f t="shared" ca="1" si="19"/>
        <v>56.370000000000005</v>
      </c>
    </row>
    <row r="1001" spans="1:25" ht="15" x14ac:dyDescent="0.25">
      <c r="A1001" s="4">
        <v>1200</v>
      </c>
      <c r="C1001" s="12" t="s">
        <v>2544</v>
      </c>
      <c r="D1001" s="12" t="s">
        <v>2545</v>
      </c>
      <c r="E1001" s="5" t="str">
        <f t="shared" si="15"/>
        <v>https://www.screener.in/company/NINSYS/consolidated/</v>
      </c>
      <c r="F1001" s="4">
        <v>443059</v>
      </c>
      <c r="G1001" s="4">
        <v>3832241897</v>
      </c>
      <c r="H1001" s="6">
        <f t="shared" ca="1" si="16"/>
        <v>175650.80734899503</v>
      </c>
      <c r="I1001" s="7" t="str">
        <f ca="1">IFERROR(__xludf.DUMMYFUNCTION("IMPORTXML(E1001,""/html/body/main/div[3]/div[3]/div[2]/ul/li[5]/span[2]/span"")"),"Loading...")</f>
        <v>Loading...</v>
      </c>
      <c r="J1001" s="7">
        <f ca="1">IFERROR(__xludf.DUMMYFUNCTION("GOOGLEFINANCE(""NSE:""&amp;D1001,""marketcap"")"),8379634000)</f>
        <v>8379634000</v>
      </c>
      <c r="K1001" s="7">
        <v>992.8</v>
      </c>
      <c r="L1001" s="8">
        <f ca="1">IFERROR(__xludf.DUMMYFUNCTION("GOOGLEFINANCE(""NSE:""&amp;D1001,""price"")"),458.35)</f>
        <v>458.35</v>
      </c>
      <c r="M1001" s="9">
        <f t="shared" ca="1" si="17"/>
        <v>-534.44999999999993</v>
      </c>
      <c r="N1001" s="10">
        <f t="shared" ca="1" si="18"/>
        <v>-53.832594681708287</v>
      </c>
      <c r="O1001" s="7">
        <f ca="1">IFERROR(__xludf.DUMMYFUNCTION("GOOGLEFINANCE(""NSE:""&amp;D1001,""pe"")"),30.15)</f>
        <v>30.15</v>
      </c>
      <c r="P1001" s="7">
        <f ca="1">IFERROR(__xludf.DUMMYFUNCTION("GOOGLEFINANCE(""NSE:""&amp;D1001,""EPS"")"),15.2)</f>
        <v>15.2</v>
      </c>
      <c r="Q1001" s="7">
        <v>13.5</v>
      </c>
      <c r="R1001" s="7">
        <f ca="1">IFERROR(__xludf.DUMMYFUNCTION("IMPORTXML(E1001,""/html/body/main/div[3]/div[3]/div[2]/ul/li[7]/span[2]/span"")"),70)</f>
        <v>70</v>
      </c>
      <c r="S1001" s="7" t="str">
        <f ca="1">IFERROR(__xludf.DUMMYFUNCTION("IMPORTXML(E1001,""/html/body/main/div[3]/div[3]/div[2]/ul/li[8]/span[2]/span"")"),"Loading...")</f>
        <v>Loading...</v>
      </c>
      <c r="T1001" s="4">
        <v>34.6</v>
      </c>
      <c r="U1001" s="4">
        <v>22.7</v>
      </c>
      <c r="V1001" s="4">
        <v>2.6</v>
      </c>
      <c r="W1001" s="4">
        <v>5.7</v>
      </c>
      <c r="X1001" s="4">
        <v>519.92999999999995</v>
      </c>
      <c r="Y1001" s="7">
        <f t="shared" ca="1" si="19"/>
        <v>-61.579999999999927</v>
      </c>
    </row>
    <row r="1002" spans="1:25" ht="15" x14ac:dyDescent="0.25">
      <c r="A1002" s="4">
        <v>1561</v>
      </c>
      <c r="C1002" s="12" t="s">
        <v>2546</v>
      </c>
      <c r="D1002" s="12" t="s">
        <v>2547</v>
      </c>
      <c r="E1002" s="5" t="str">
        <f t="shared" si="15"/>
        <v>https://www.screener.in/company/ABINFRA/consolidated/</v>
      </c>
      <c r="F1002" s="4">
        <v>443059</v>
      </c>
      <c r="G1002" s="4">
        <v>3832241897</v>
      </c>
      <c r="H1002" s="6">
        <f t="shared" ca="1" si="16"/>
        <v>84309.321733999997</v>
      </c>
      <c r="I1002" s="7" t="str">
        <f ca="1">IFERROR(__xludf.DUMMYFUNCTION("IMPORTXML(E1002,""/html/body/main/div[3]/div[3]/div[2]/ul/li[5]/span[2]/span"")"),"Loading...")</f>
        <v>Loading...</v>
      </c>
      <c r="J1002" s="7">
        <f ca="1">IFERROR(__xludf.DUMMYFUNCTION("GOOGLEFINANCE(""NSE:""&amp;D1002,""marketcap"")"),14053362400)</f>
        <v>14053362400</v>
      </c>
      <c r="K1002" s="7">
        <v>992.8</v>
      </c>
      <c r="L1002" s="8">
        <f ca="1">IFERROR(__xludf.DUMMYFUNCTION("GOOGLEFINANCE(""NSE:""&amp;D1002,""price"")"),220)</f>
        <v>220</v>
      </c>
      <c r="M1002" s="9">
        <f t="shared" ca="1" si="17"/>
        <v>-772.8</v>
      </c>
      <c r="N1002" s="10">
        <f t="shared" ca="1" si="18"/>
        <v>-77.84045124899275</v>
      </c>
      <c r="O1002" s="7">
        <f ca="1">IFERROR(__xludf.DUMMYFUNCTION("GOOGLEFINANCE(""NSE:""&amp;D1002,""pe"")"),57.54)</f>
        <v>57.54</v>
      </c>
      <c r="P1002" s="7">
        <f ca="1">IFERROR(__xludf.DUMMYFUNCTION("GOOGLEFINANCE(""NSE:""&amp;D1002,""EPS"")"),3.82)</f>
        <v>3.82</v>
      </c>
      <c r="Q1002" s="7">
        <v>13.5</v>
      </c>
      <c r="R1002" s="7" t="str">
        <f ca="1">IFERROR(__xludf.DUMMYFUNCTION("IMPORTXML(E1002,""/html/body/main/div[3]/div[3]/div[2]/ul/li[7]/span[2]/span"")"),"Loading...")</f>
        <v>Loading...</v>
      </c>
      <c r="S1002" s="7" t="str">
        <f ca="1">IFERROR(__xludf.DUMMYFUNCTION("IMPORTXML(E1002,""/html/body/main/div[3]/div[3]/div[2]/ul/li[8]/span[2]/span"")"),"Loading...")</f>
        <v>Loading...</v>
      </c>
      <c r="T1002" s="4">
        <v>34.6</v>
      </c>
      <c r="U1002" s="4">
        <v>22.7</v>
      </c>
      <c r="V1002" s="4">
        <v>2.6</v>
      </c>
      <c r="W1002" s="4">
        <v>5.7</v>
      </c>
      <c r="X1002" s="4">
        <v>519.92999999999995</v>
      </c>
      <c r="Y1002" s="7">
        <f t="shared" ca="1" si="19"/>
        <v>-299.92999999999995</v>
      </c>
    </row>
    <row r="1003" spans="1:25" ht="15" x14ac:dyDescent="0.25">
      <c r="A1003" s="4">
        <v>1529</v>
      </c>
      <c r="C1003" s="12" t="s">
        <v>2548</v>
      </c>
      <c r="D1003" s="12" t="s">
        <v>2549</v>
      </c>
      <c r="E1003" s="5" t="str">
        <f t="shared" si="15"/>
        <v>https://www.screener.in/company/MANAKCOAT/consolidated/</v>
      </c>
      <c r="F1003" s="4">
        <v>443059</v>
      </c>
      <c r="G1003" s="4">
        <v>3832241897</v>
      </c>
      <c r="H1003" s="6">
        <f t="shared" ca="1" si="16"/>
        <v>55701.635972894997</v>
      </c>
      <c r="I1003" s="7" t="str">
        <f ca="1">IFERROR(__xludf.DUMMYFUNCTION("IMPORTXML(E1003,""/html/body/main/div[3]/div[3]/div[2]/ul/li[5]/span[2]/span"")"),"Loading...")</f>
        <v>Loading...</v>
      </c>
      <c r="J1003" s="7">
        <f ca="1">IFERROR(__xludf.DUMMYFUNCTION("GOOGLEFINANCE(""NSE:""&amp;D1003,""marketcap"")"),15367817336)</f>
        <v>15367817336</v>
      </c>
      <c r="K1003" s="7">
        <v>992.8</v>
      </c>
      <c r="L1003" s="8">
        <f ca="1">IFERROR(__xludf.DUMMYFUNCTION("GOOGLEFINANCE(""NSE:""&amp;D1003,""price"")"),145.35)</f>
        <v>145.35</v>
      </c>
      <c r="M1003" s="9">
        <f t="shared" ca="1" si="17"/>
        <v>-847.44999999999993</v>
      </c>
      <c r="N1003" s="10">
        <f t="shared" ca="1" si="18"/>
        <v>-85.359589041095887</v>
      </c>
      <c r="O1003" s="7">
        <f ca="1">IFERROR(__xludf.DUMMYFUNCTION("GOOGLEFINANCE(""NSE:""&amp;D1003,""pe"")"),46.27)</f>
        <v>46.27</v>
      </c>
      <c r="P1003" s="7">
        <f ca="1">IFERROR(__xludf.DUMMYFUNCTION("GOOGLEFINANCE(""NSE:""&amp;D1003,""EPS"")"),3.14)</f>
        <v>3.14</v>
      </c>
      <c r="Q1003" s="7">
        <v>13.5</v>
      </c>
      <c r="R1003" s="7">
        <f ca="1">IFERROR(__xludf.DUMMYFUNCTION("IMPORTXML(E1003,""/html/body/main/div[3]/div[3]/div[2]/ul/li[7]/span[2]/span"")"),15.4)</f>
        <v>15.4</v>
      </c>
      <c r="S1003" s="7" t="str">
        <f ca="1">IFERROR(__xludf.DUMMYFUNCTION("IMPORTXML(E1003,""/html/body/main/div[3]/div[3]/div[2]/ul/li[8]/span[2]/span"")"),"Loading...")</f>
        <v>Loading...</v>
      </c>
      <c r="T1003" s="4">
        <v>34.6</v>
      </c>
      <c r="U1003" s="4">
        <v>22.7</v>
      </c>
      <c r="V1003" s="4">
        <v>2.6</v>
      </c>
      <c r="W1003" s="4">
        <v>5.7</v>
      </c>
      <c r="X1003" s="4">
        <v>519.92999999999995</v>
      </c>
      <c r="Y1003" s="7">
        <f t="shared" ca="1" si="19"/>
        <v>-374.57999999999993</v>
      </c>
    </row>
    <row r="1004" spans="1:25" ht="15" x14ac:dyDescent="0.25">
      <c r="A1004" s="4">
        <v>50</v>
      </c>
      <c r="C1004" s="12" t="s">
        <v>2550</v>
      </c>
      <c r="D1004" s="12" t="s">
        <v>2551</v>
      </c>
      <c r="E1004" s="5" t="str">
        <f t="shared" si="15"/>
        <v>https://www.screener.in/company/WHIRLPOOL/consolidated/</v>
      </c>
      <c r="F1004" s="4">
        <v>443059</v>
      </c>
      <c r="G1004" s="4">
        <v>3832241897</v>
      </c>
      <c r="H1004" s="6">
        <f t="shared" ca="1" si="16"/>
        <v>517352.65609499998</v>
      </c>
      <c r="I1004" s="7" t="str">
        <f ca="1">IFERROR(__xludf.DUMMYFUNCTION("IMPORTXML(E1004,""/html/body/main/div[3]/div[3]/div[2]/ul/li[5]/span[2]/span"")"),"Loading...")</f>
        <v>Loading...</v>
      </c>
      <c r="J1004" s="7">
        <f ca="1">IFERROR(__xludf.DUMMYFUNCTION("GOOGLEFINANCE(""NSE:""&amp;D1004,""marketcap"")"),171276795000)</f>
        <v>171276795000</v>
      </c>
      <c r="K1004" s="7">
        <v>992.8</v>
      </c>
      <c r="L1004" s="8">
        <f ca="1">IFERROR(__xludf.DUMMYFUNCTION("GOOGLEFINANCE(""NSE:""&amp;D1004,""price"")"),1350)</f>
        <v>1350</v>
      </c>
      <c r="M1004" s="9">
        <f t="shared" ca="1" si="17"/>
        <v>357.20000000000005</v>
      </c>
      <c r="N1004" s="10">
        <f t="shared" ca="1" si="18"/>
        <v>35.979049153908143</v>
      </c>
      <c r="O1004" s="7">
        <f ca="1">IFERROR(__xludf.DUMMYFUNCTION("GOOGLEFINANCE(""NSE:""&amp;D1004,""pe"")"),47.46)</f>
        <v>47.46</v>
      </c>
      <c r="P1004" s="7">
        <f ca="1">IFERROR(__xludf.DUMMYFUNCTION("GOOGLEFINANCE(""NSE:""&amp;D1004,""EPS"")"),28.45)</f>
        <v>28.45</v>
      </c>
      <c r="Q1004" s="7">
        <v>13.5</v>
      </c>
      <c r="R1004" s="7" t="str">
        <f ca="1">IFERROR(__xludf.DUMMYFUNCTION("IMPORTXML(E1004,""/html/body/main/div[3]/div[3]/div[2]/ul/li[7]/span[2]/span"")"),"Loading...")</f>
        <v>Loading...</v>
      </c>
      <c r="S1004" s="7" t="str">
        <f ca="1">IFERROR(__xludf.DUMMYFUNCTION("IMPORTXML(E1004,""/html/body/main/div[3]/div[3]/div[2]/ul/li[8]/span[2]/span"")"),"Loading...")</f>
        <v>Loading...</v>
      </c>
      <c r="T1004" s="4">
        <v>34.6</v>
      </c>
      <c r="U1004" s="4">
        <v>22.7</v>
      </c>
      <c r="V1004" s="4">
        <v>2.6</v>
      </c>
      <c r="W1004" s="4">
        <v>5.7</v>
      </c>
      <c r="X1004" s="4">
        <v>519.92999999999995</v>
      </c>
      <c r="Y1004" s="7">
        <f t="shared" ca="1" si="19"/>
        <v>830.07</v>
      </c>
    </row>
    <row r="1005" spans="1:25" ht="15" x14ac:dyDescent="0.25">
      <c r="A1005" s="4">
        <v>63</v>
      </c>
      <c r="C1005" s="12" t="s">
        <v>2552</v>
      </c>
      <c r="D1005" s="12" t="s">
        <v>2553</v>
      </c>
      <c r="E1005" s="5" t="str">
        <f t="shared" si="15"/>
        <v>https://www.screener.in/company/PEL/consolidated/</v>
      </c>
      <c r="F1005" s="4">
        <v>443059</v>
      </c>
      <c r="G1005" s="4">
        <v>3832241897</v>
      </c>
      <c r="H1005" s="6">
        <f t="shared" ca="1" si="16"/>
        <v>414648.5732554</v>
      </c>
      <c r="I1005" s="7" t="str">
        <f ca="1">IFERROR(__xludf.DUMMYFUNCTION("IMPORTXML(E1005,""/html/body/main/div[3]/div[3]/div[2]/ul/li[5]/span[2]/span"")"),"Loading...")</f>
        <v>Loading...</v>
      </c>
      <c r="J1005" s="7">
        <f ca="1">IFERROR(__xludf.DUMMYFUNCTION("GOOGLEFINANCE(""NSE:""&amp;D1005,""marketcap"")"),243702322400)</f>
        <v>243702322400</v>
      </c>
      <c r="K1005" s="7">
        <v>992.8</v>
      </c>
      <c r="L1005" s="8">
        <f ca="1">IFERROR(__xludf.DUMMYFUNCTION("GOOGLEFINANCE(""NSE:""&amp;D1005,""price"")"),1082)</f>
        <v>1082</v>
      </c>
      <c r="M1005" s="9">
        <f t="shared" ca="1" si="17"/>
        <v>89.200000000000045</v>
      </c>
      <c r="N1005" s="10">
        <f t="shared" ca="1" si="18"/>
        <v>8.9846897663174907</v>
      </c>
      <c r="O1005" s="7">
        <f ca="1">IFERROR(__xludf.DUMMYFUNCTION("GOOGLEFINANCE(""NSE:""&amp;D1005,""pe"")"),42.48)</f>
        <v>42.48</v>
      </c>
      <c r="P1005" s="7">
        <f ca="1">IFERROR(__xludf.DUMMYFUNCTION("GOOGLEFINANCE(""NSE:""&amp;D1005,""EPS"")"),25.47)</f>
        <v>25.47</v>
      </c>
      <c r="Q1005" s="7">
        <v>13.5</v>
      </c>
      <c r="R1005" s="7" t="str">
        <f ca="1">IFERROR(__xludf.DUMMYFUNCTION("IMPORTXML(E1005,""/html/body/main/div[3]/div[3]/div[2]/ul/li[7]/span[2]/span"")"),"Loading...")</f>
        <v>Loading...</v>
      </c>
      <c r="S1005" s="7" t="str">
        <f ca="1">IFERROR(__xludf.DUMMYFUNCTION("IMPORTXML(E1005,""/html/body/main/div[3]/div[3]/div[2]/ul/li[8]/span[2]/span"")"),"Loading...")</f>
        <v>Loading...</v>
      </c>
      <c r="T1005" s="4">
        <v>34.6</v>
      </c>
      <c r="U1005" s="4">
        <v>22.7</v>
      </c>
      <c r="V1005" s="4">
        <v>2.6</v>
      </c>
      <c r="W1005" s="4">
        <v>5.7</v>
      </c>
      <c r="X1005" s="4">
        <v>519.92999999999995</v>
      </c>
      <c r="Y1005" s="7">
        <f t="shared" ca="1" si="19"/>
        <v>562.07000000000005</v>
      </c>
    </row>
    <row r="1006" spans="1:25" ht="15" x14ac:dyDescent="0.25">
      <c r="A1006" s="4">
        <v>557</v>
      </c>
      <c r="C1006" s="12" t="s">
        <v>2554</v>
      </c>
      <c r="D1006" s="12" t="s">
        <v>2555</v>
      </c>
      <c r="E1006" s="5" t="str">
        <f t="shared" si="15"/>
        <v>https://www.screener.in/company/JTEKTINDIA/consolidated/</v>
      </c>
      <c r="F1006" s="4">
        <v>443059</v>
      </c>
      <c r="G1006" s="4">
        <v>3832241897</v>
      </c>
      <c r="H1006" s="6">
        <f t="shared" ca="1" si="16"/>
        <v>60970.968581269997</v>
      </c>
      <c r="I1006" s="7" t="str">
        <f ca="1">IFERROR(__xludf.DUMMYFUNCTION("IMPORTXML(E1006,""/html/body/main/div[3]/div[3]/div[2]/ul/li[5]/span[2]/span"")"),"Loading...")</f>
        <v>Loading...</v>
      </c>
      <c r="J1006" s="7">
        <f ca="1">IFERROR(__xludf.DUMMYFUNCTION("GOOGLEFINANCE(""NSE:""&amp;D1006,""marketcap"")"),44156983325)</f>
        <v>44156983325</v>
      </c>
      <c r="K1006" s="7">
        <v>992.8</v>
      </c>
      <c r="L1006" s="8">
        <f ca="1">IFERROR(__xludf.DUMMYFUNCTION("GOOGLEFINANCE(""NSE:""&amp;D1006,""price"")"),159.1)</f>
        <v>159.1</v>
      </c>
      <c r="M1006" s="9">
        <f t="shared" ca="1" si="17"/>
        <v>-833.69999999999993</v>
      </c>
      <c r="N1006" s="10">
        <f t="shared" ca="1" si="18"/>
        <v>-83.97461724415794</v>
      </c>
      <c r="O1006" s="7">
        <f ca="1">IFERROR(__xludf.DUMMYFUNCTION("GOOGLEFINANCE(""NSE:""&amp;D1006,""pe"")"),57.87)</f>
        <v>57.87</v>
      </c>
      <c r="P1006" s="7">
        <f ca="1">IFERROR(__xludf.DUMMYFUNCTION("GOOGLEFINANCE(""NSE:""&amp;D1006,""EPS"")"),2.75)</f>
        <v>2.75</v>
      </c>
      <c r="Q1006" s="7">
        <v>13.5</v>
      </c>
      <c r="R1006" s="7" t="str">
        <f ca="1">IFERROR(__xludf.DUMMYFUNCTION("IMPORTXML(E1006,""/html/body/main/div[3]/div[3]/div[2]/ul/li[7]/span[2]/span"")"),"Loading...")</f>
        <v>Loading...</v>
      </c>
      <c r="S1006" s="7" t="str">
        <f ca="1">IFERROR(__xludf.DUMMYFUNCTION("IMPORTXML(E1006,""/html/body/main/div[3]/div[3]/div[2]/ul/li[8]/span[2]/span"")"),"Loading...")</f>
        <v>Loading...</v>
      </c>
      <c r="T1006" s="4">
        <v>34.6</v>
      </c>
      <c r="U1006" s="4">
        <v>22.7</v>
      </c>
      <c r="V1006" s="4">
        <v>2.6</v>
      </c>
      <c r="W1006" s="4">
        <v>5.7</v>
      </c>
      <c r="X1006" s="4">
        <v>519.92999999999995</v>
      </c>
      <c r="Y1006" s="7">
        <f t="shared" ca="1" si="19"/>
        <v>-360.82999999999993</v>
      </c>
    </row>
    <row r="1007" spans="1:25" ht="15" x14ac:dyDescent="0.25">
      <c r="A1007" s="4">
        <v>97</v>
      </c>
      <c r="C1007" s="12" t="s">
        <v>2556</v>
      </c>
      <c r="D1007" s="12" t="s">
        <v>2557</v>
      </c>
      <c r="E1007" s="5" t="str">
        <f t="shared" si="15"/>
        <v>https://www.screener.in/company/AARTIIND/consolidated/</v>
      </c>
      <c r="F1007" s="4">
        <v>443059</v>
      </c>
      <c r="G1007" s="4">
        <v>3832241897</v>
      </c>
      <c r="H1007" s="6">
        <f t="shared" ca="1" si="16"/>
        <v>144743.77644968999</v>
      </c>
      <c r="I1007" s="7" t="str">
        <f ca="1">IFERROR(__xludf.DUMMYFUNCTION("IMPORTXML(E1007,""/html/body/main/div[3]/div[3]/div[2]/ul/li[5]/span[2]/span"")"),"Loading...")</f>
        <v>Loading...</v>
      </c>
      <c r="J1007" s="7">
        <f ca="1">IFERROR(__xludf.DUMMYFUNCTION("GOOGLEFINANCE(""NSE:""&amp;D1007,""marketcap"")"),136524958892)</f>
        <v>136524958892</v>
      </c>
      <c r="K1007" s="7">
        <v>992.8</v>
      </c>
      <c r="L1007" s="8">
        <f ca="1">IFERROR(__xludf.DUMMYFUNCTION("GOOGLEFINANCE(""NSE:""&amp;D1007,""price"")"),377.7)</f>
        <v>377.7</v>
      </c>
      <c r="M1007" s="9">
        <f t="shared" ca="1" si="17"/>
        <v>-615.09999999999991</v>
      </c>
      <c r="N1007" s="10">
        <f t="shared" ca="1" si="18"/>
        <v>-61.956083803384367</v>
      </c>
      <c r="O1007" s="7">
        <f ca="1">IFERROR(__xludf.DUMMYFUNCTION("GOOGLEFINANCE(""NSE:""&amp;D1007,""pe"")"),57.75)</f>
        <v>57.75</v>
      </c>
      <c r="P1007" s="7">
        <f ca="1">IFERROR(__xludf.DUMMYFUNCTION("GOOGLEFINANCE(""NSE:""&amp;D1007,""EPS"")"),6.54)</f>
        <v>6.54</v>
      </c>
      <c r="Q1007" s="7">
        <v>13.5</v>
      </c>
      <c r="R1007" s="7" t="str">
        <f ca="1">IFERROR(__xludf.DUMMYFUNCTION("IMPORTXML(E1007,""/html/body/main/div[3]/div[3]/div[2]/ul/li[7]/span[2]/span"")"),"Loading...")</f>
        <v>Loading...</v>
      </c>
      <c r="S1007" s="7" t="str">
        <f ca="1">IFERROR(__xludf.DUMMYFUNCTION("IMPORTXML(E1007,""/html/body/main/div[3]/div[3]/div[2]/ul/li[8]/span[2]/span"")"),"Loading...")</f>
        <v>Loading...</v>
      </c>
      <c r="T1007" s="4">
        <v>34.6</v>
      </c>
      <c r="U1007" s="4">
        <v>22.7</v>
      </c>
      <c r="V1007" s="4">
        <v>2.6</v>
      </c>
      <c r="W1007" s="4">
        <v>5.7</v>
      </c>
      <c r="X1007" s="4">
        <v>519.92999999999995</v>
      </c>
      <c r="Y1007" s="7">
        <f t="shared" ca="1" si="19"/>
        <v>-142.22999999999996</v>
      </c>
    </row>
    <row r="1008" spans="1:25" ht="15" x14ac:dyDescent="0.25">
      <c r="A1008" s="4">
        <v>1023</v>
      </c>
      <c r="C1008" s="12" t="s">
        <v>2558</v>
      </c>
      <c r="D1008" s="12" t="s">
        <v>2559</v>
      </c>
      <c r="E1008" s="5" t="str">
        <f t="shared" si="15"/>
        <v>https://www.screener.in/company/ARIHANTSUP/consolidated/</v>
      </c>
      <c r="F1008" s="4">
        <v>443059</v>
      </c>
      <c r="G1008" s="4">
        <v>3832241897</v>
      </c>
      <c r="H1008" s="6">
        <f t="shared" ca="1" si="16"/>
        <v>151373.5549315</v>
      </c>
      <c r="I1008" s="7" t="str">
        <f ca="1">IFERROR(__xludf.DUMMYFUNCTION("IMPORTXML(E1008,""/html/body/main/div[3]/div[3]/div[2]/ul/li[5]/span[2]/span"")"),"Loading...")</f>
        <v>Loading...</v>
      </c>
      <c r="J1008" s="7">
        <f ca="1">IFERROR(__xludf.DUMMYFUNCTION("GOOGLEFINANCE(""NSE:""&amp;D1008,""marketcap"")"),17064197500)</f>
        <v>17064197500</v>
      </c>
      <c r="K1008" s="7">
        <v>992.8</v>
      </c>
      <c r="L1008" s="8">
        <f ca="1">IFERROR(__xludf.DUMMYFUNCTION("GOOGLEFINANCE(""NSE:""&amp;D1008,""price"")"),395)</f>
        <v>395</v>
      </c>
      <c r="M1008" s="9">
        <f t="shared" ca="1" si="17"/>
        <v>-597.79999999999995</v>
      </c>
      <c r="N1008" s="10">
        <f t="shared" ca="1" si="18"/>
        <v>-60.21353746978243</v>
      </c>
      <c r="O1008" s="7">
        <f ca="1">IFERROR(__xludf.DUMMYFUNCTION("GOOGLEFINANCE(""NSE:""&amp;D1008,""pe"")"),31.03)</f>
        <v>31.03</v>
      </c>
      <c r="P1008" s="7">
        <f ca="1">IFERROR(__xludf.DUMMYFUNCTION("GOOGLEFINANCE(""NSE:""&amp;D1008,""EPS"")"),12.73)</f>
        <v>12.73</v>
      </c>
      <c r="Q1008" s="7">
        <v>13.5</v>
      </c>
      <c r="R1008" s="7" t="str">
        <f ca="1">IFERROR(__xludf.DUMMYFUNCTION("IMPORTXML(E1008,""/html/body/main/div[3]/div[3]/div[2]/ul/li[7]/span[2]/span"")"),"Loading...")</f>
        <v>Loading...</v>
      </c>
      <c r="S1008" s="7" t="str">
        <f ca="1">IFERROR(__xludf.DUMMYFUNCTION("IMPORTXML(E1008,""/html/body/main/div[3]/div[3]/div[2]/ul/li[8]/span[2]/span"")"),"Loading...")</f>
        <v>Loading...</v>
      </c>
      <c r="T1008" s="4">
        <v>34.6</v>
      </c>
      <c r="U1008" s="4">
        <v>22.7</v>
      </c>
      <c r="V1008" s="4">
        <v>2.6</v>
      </c>
      <c r="W1008" s="4">
        <v>5.7</v>
      </c>
      <c r="X1008" s="4">
        <v>519.92999999999995</v>
      </c>
      <c r="Y1008" s="7">
        <f t="shared" ca="1" si="19"/>
        <v>-124.92999999999995</v>
      </c>
    </row>
    <row r="1009" spans="1:25" ht="15" x14ac:dyDescent="0.25">
      <c r="A1009" s="4">
        <v>182</v>
      </c>
      <c r="C1009" s="12" t="s">
        <v>2560</v>
      </c>
      <c r="D1009" s="12" t="s">
        <v>2561</v>
      </c>
      <c r="E1009" s="5" t="str">
        <f t="shared" si="15"/>
        <v>https://www.screener.in/company/SANOFI/consolidated/</v>
      </c>
      <c r="F1009" s="4">
        <v>443059</v>
      </c>
      <c r="G1009" s="4">
        <v>3832241897</v>
      </c>
      <c r="H1009" s="6">
        <f t="shared" ca="1" si="16"/>
        <v>1954443.3674699999</v>
      </c>
      <c r="I1009" s="7" t="str">
        <f ca="1">IFERROR(__xludf.DUMMYFUNCTION("IMPORTXML(E1009,""/html/body/main/div[3]/div[3]/div[2]/ul/li[5]/span[2]/span"")"),"Loading...")</f>
        <v>Loading...</v>
      </c>
      <c r="J1009" s="7">
        <f ca="1">IFERROR(__xludf.DUMMYFUNCTION("GOOGLEFINANCE(""NSE:""&amp;D1009,""marketcap"")"),117456111000)</f>
        <v>117456111000</v>
      </c>
      <c r="K1009" s="7">
        <v>992.8</v>
      </c>
      <c r="L1009" s="8">
        <f ca="1">IFERROR(__xludf.DUMMYFUNCTION("GOOGLEFINANCE(""NSE:""&amp;D1009,""price"")"),5100)</f>
        <v>5100</v>
      </c>
      <c r="M1009" s="9">
        <f t="shared" ca="1" si="17"/>
        <v>4107.2</v>
      </c>
      <c r="N1009" s="10">
        <f t="shared" ca="1" si="18"/>
        <v>413.69863013698625</v>
      </c>
      <c r="O1009" s="7">
        <f ca="1">IFERROR(__xludf.DUMMYFUNCTION("GOOGLEFINANCE(""NSE:""&amp;D1009,""pe"")"),32.4)</f>
        <v>32.4</v>
      </c>
      <c r="P1009" s="7">
        <f ca="1">IFERROR(__xludf.DUMMYFUNCTION("GOOGLEFINANCE(""NSE:""&amp;D1009,""EPS"")"),157.41)</f>
        <v>157.41</v>
      </c>
      <c r="Q1009" s="7">
        <v>13.5</v>
      </c>
      <c r="R1009" s="7" t="str">
        <f ca="1">IFERROR(__xludf.DUMMYFUNCTION("IMPORTXML(E1009,""/html/body/main/div[3]/div[3]/div[2]/ul/li[7]/span[2]/span"")"),"Loading...")</f>
        <v>Loading...</v>
      </c>
      <c r="S1009" s="7" t="str">
        <f ca="1">IFERROR(__xludf.DUMMYFUNCTION("IMPORTXML(E1009,""/html/body/main/div[3]/div[3]/div[2]/ul/li[8]/span[2]/span"")"),"Loading...")</f>
        <v>Loading...</v>
      </c>
      <c r="T1009" s="4">
        <v>34.6</v>
      </c>
      <c r="U1009" s="4">
        <v>22.7</v>
      </c>
      <c r="V1009" s="4">
        <v>2.6</v>
      </c>
      <c r="W1009" s="4">
        <v>5.7</v>
      </c>
      <c r="X1009" s="4">
        <v>519.92999999999995</v>
      </c>
      <c r="Y1009" s="7">
        <f t="shared" ca="1" si="19"/>
        <v>4580.07</v>
      </c>
    </row>
    <row r="1010" spans="1:25" ht="15" x14ac:dyDescent="0.25">
      <c r="A1010" s="4">
        <v>778</v>
      </c>
      <c r="C1010" s="12" t="s">
        <v>2562</v>
      </c>
      <c r="D1010" s="12" t="s">
        <v>2563</v>
      </c>
      <c r="E1010" s="5" t="str">
        <f t="shared" si="15"/>
        <v>https://www.screener.in/company/JYOTISTRUC/consolidated/</v>
      </c>
      <c r="F1010" s="4">
        <v>443059</v>
      </c>
      <c r="G1010" s="4">
        <v>3832241897</v>
      </c>
      <c r="H1010" s="6">
        <f t="shared" ca="1" si="16"/>
        <v>6097.0968581270008</v>
      </c>
      <c r="I1010" s="7" t="str">
        <f ca="1">IFERROR(__xludf.DUMMYFUNCTION("IMPORTXML(E1010,""/html/body/main/div[3]/div[3]/div[2]/ul/li[5]/span[2]/span"")"),"Loading...")</f>
        <v>Loading...</v>
      </c>
      <c r="J1010" s="7">
        <f ca="1">IFERROR(__xludf.DUMMYFUNCTION("GOOGLEFINANCE(""NSE:""&amp;D1010,""marketcap"")"),18968888173)</f>
        <v>18968888173</v>
      </c>
      <c r="K1010" s="7">
        <v>992.8</v>
      </c>
      <c r="L1010" s="8">
        <f ca="1">IFERROR(__xludf.DUMMYFUNCTION("GOOGLEFINANCE(""NSE:""&amp;D1010,""price"")"),15.91)</f>
        <v>15.91</v>
      </c>
      <c r="M1010" s="9">
        <f t="shared" ca="1" si="17"/>
        <v>-976.89</v>
      </c>
      <c r="N1010" s="10">
        <f t="shared" ca="1" si="18"/>
        <v>-98.397461724415805</v>
      </c>
      <c r="O1010" s="7">
        <f ca="1">IFERROR(__xludf.DUMMYFUNCTION("GOOGLEFINANCE(""NSE:""&amp;D1010,""pe"")"),34.16)</f>
        <v>34.159999999999997</v>
      </c>
      <c r="P1010" s="7">
        <f ca="1">IFERROR(__xludf.DUMMYFUNCTION("GOOGLEFINANCE(""NSE:""&amp;D1010,""EPS"")"),0.47)</f>
        <v>0.47</v>
      </c>
      <c r="Q1010" s="7">
        <v>13.5</v>
      </c>
      <c r="R1010" s="7" t="str">
        <f ca="1">IFERROR(__xludf.DUMMYFUNCTION("IMPORTXML(E1010,""/html/body/main/div[3]/div[3]/div[2]/ul/li[7]/span[2]/span"")"),"Loading...")</f>
        <v>Loading...</v>
      </c>
      <c r="S1010" s="7" t="str">
        <f ca="1">IFERROR(__xludf.DUMMYFUNCTION("IMPORTXML(E1010,""/html/body/main/div[3]/div[3]/div[2]/ul/li[8]/span[2]/span"")"),"Loading...")</f>
        <v>Loading...</v>
      </c>
      <c r="T1010" s="4">
        <v>34.6</v>
      </c>
      <c r="U1010" s="4">
        <v>22.7</v>
      </c>
      <c r="V1010" s="4">
        <v>2.6</v>
      </c>
      <c r="W1010" s="4">
        <v>5.7</v>
      </c>
      <c r="X1010" s="4">
        <v>519.92999999999995</v>
      </c>
      <c r="Y1010" s="7">
        <f t="shared" ca="1" si="19"/>
        <v>-504.01999999999992</v>
      </c>
    </row>
    <row r="1011" spans="1:25" ht="15" x14ac:dyDescent="0.25">
      <c r="A1011" s="4">
        <v>1241</v>
      </c>
      <c r="C1011" s="12" t="s">
        <v>2564</v>
      </c>
      <c r="D1011" s="12" t="s">
        <v>2565</v>
      </c>
      <c r="E1011" s="5" t="str">
        <f t="shared" si="15"/>
        <v>https://www.screener.in/company/ZODIAC/consolidated/</v>
      </c>
      <c r="F1011" s="4">
        <v>443059</v>
      </c>
      <c r="G1011" s="4">
        <v>3832241897</v>
      </c>
      <c r="H1011" s="6">
        <f t="shared" ca="1" si="16"/>
        <v>149074.20979329999</v>
      </c>
      <c r="I1011" s="7" t="str">
        <f ca="1">IFERROR(__xludf.DUMMYFUNCTION("IMPORTXML(E1011,""/html/body/main/div[3]/div[3]/div[2]/ul/li[5]/span[2]/span"")"),"Loading...")</f>
        <v>Loading...</v>
      </c>
      <c r="J1011" s="7">
        <f ca="1">IFERROR(__xludf.DUMMYFUNCTION("GOOGLEFINANCE(""NSE:""&amp;D1011,""marketcap"")"),5883115410)</f>
        <v>5883115410</v>
      </c>
      <c r="K1011" s="7">
        <v>992.8</v>
      </c>
      <c r="L1011" s="8">
        <f ca="1">IFERROR(__xludf.DUMMYFUNCTION("GOOGLEFINANCE(""NSE:""&amp;D1011,""price"")"),389)</f>
        <v>389</v>
      </c>
      <c r="M1011" s="9">
        <f t="shared" ca="1" si="17"/>
        <v>-603.79999999999995</v>
      </c>
      <c r="N1011" s="10">
        <f t="shared" ca="1" si="18"/>
        <v>-60.817888799355359</v>
      </c>
      <c r="O1011" s="7">
        <f ca="1">IFERROR(__xludf.DUMMYFUNCTION("GOOGLEFINANCE(""NSE:""&amp;D1011,""pe"")"),29.23)</f>
        <v>29.23</v>
      </c>
      <c r="P1011" s="7">
        <f ca="1">IFERROR(__xludf.DUMMYFUNCTION("GOOGLEFINANCE(""NSE:""&amp;D1011,""EPS"")"),13.31)</f>
        <v>13.31</v>
      </c>
      <c r="Q1011" s="7">
        <v>13.5</v>
      </c>
      <c r="R1011" s="7" t="str">
        <f ca="1">IFERROR(__xludf.DUMMYFUNCTION("IMPORTXML(E1011,""/html/body/main/div[3]/div[3]/div[2]/ul/li[7]/span[2]/span"")"),"Loading...")</f>
        <v>Loading...</v>
      </c>
      <c r="S1011" s="7" t="str">
        <f ca="1">IFERROR(__xludf.DUMMYFUNCTION("IMPORTXML(E1011,""/html/body/main/div[3]/div[3]/div[2]/ul/li[8]/span[2]/span"")"),"Loading...")</f>
        <v>Loading...</v>
      </c>
      <c r="T1011" s="4">
        <v>34.6</v>
      </c>
      <c r="U1011" s="4">
        <v>22.7</v>
      </c>
      <c r="V1011" s="4">
        <v>2.6</v>
      </c>
      <c r="W1011" s="4">
        <v>5.7</v>
      </c>
      <c r="X1011" s="4">
        <v>519.92999999999995</v>
      </c>
      <c r="Y1011" s="7">
        <f t="shared" ca="1" si="19"/>
        <v>-130.92999999999995</v>
      </c>
    </row>
    <row r="1012" spans="1:25" ht="15" x14ac:dyDescent="0.25">
      <c r="A1012" s="4">
        <v>86</v>
      </c>
      <c r="C1012" s="12" t="s">
        <v>2566</v>
      </c>
      <c r="D1012" s="12" t="s">
        <v>2567</v>
      </c>
      <c r="E1012" s="5" t="str">
        <f t="shared" si="15"/>
        <v>https://www.screener.in/company/GRSE/consolidated/</v>
      </c>
      <c r="F1012" s="4">
        <v>443059</v>
      </c>
      <c r="G1012" s="4">
        <v>3832241897</v>
      </c>
      <c r="H1012" s="6">
        <f t="shared" ca="1" si="16"/>
        <v>928168.98745340004</v>
      </c>
      <c r="I1012" s="7" t="str">
        <f ca="1">IFERROR(__xludf.DUMMYFUNCTION("IMPORTXML(E1012,""/html/body/main/div[3]/div[3]/div[2]/ul/li[5]/span[2]/span"")"),"Loading...")</f>
        <v>Loading...</v>
      </c>
      <c r="J1012" s="7">
        <f ca="1">IFERROR(__xludf.DUMMYFUNCTION("GOOGLEFINANCE(""NSE:""&amp;D1012,""marketcap"")"),275840669268)</f>
        <v>275840669268</v>
      </c>
      <c r="K1012" s="7">
        <v>992.8</v>
      </c>
      <c r="L1012" s="8">
        <f ca="1">IFERROR(__xludf.DUMMYFUNCTION("GOOGLEFINANCE(""NSE:""&amp;D1012,""price"")"),2422)</f>
        <v>2422</v>
      </c>
      <c r="M1012" s="9">
        <f t="shared" ca="1" si="17"/>
        <v>1429.2</v>
      </c>
      <c r="N1012" s="10">
        <f t="shared" ca="1" si="18"/>
        <v>143.95648670427076</v>
      </c>
      <c r="O1012" s="7">
        <f ca="1">IFERROR(__xludf.DUMMYFUNCTION("GOOGLEFINANCE(""NSE:""&amp;D1012,""pe"")"),49.51)</f>
        <v>49.51</v>
      </c>
      <c r="P1012" s="7">
        <f ca="1">IFERROR(__xludf.DUMMYFUNCTION("GOOGLEFINANCE(""NSE:""&amp;D1012,""EPS"")"),48.92)</f>
        <v>48.92</v>
      </c>
      <c r="Q1012" s="7">
        <v>13.5</v>
      </c>
      <c r="R1012" s="7" t="str">
        <f ca="1">IFERROR(__xludf.DUMMYFUNCTION("IMPORTXML(E1012,""/html/body/main/div[3]/div[3]/div[2]/ul/li[7]/span[2]/span"")"),"Loading...")</f>
        <v>Loading...</v>
      </c>
      <c r="S1012" s="7" t="str">
        <f ca="1">IFERROR(__xludf.DUMMYFUNCTION("IMPORTXML(E1012,""/html/body/main/div[3]/div[3]/div[2]/ul/li[8]/span[2]/span"")"),"Loading...")</f>
        <v>Loading...</v>
      </c>
      <c r="T1012" s="4">
        <v>34.6</v>
      </c>
      <c r="U1012" s="4">
        <v>22.7</v>
      </c>
      <c r="V1012" s="4">
        <v>2.6</v>
      </c>
      <c r="W1012" s="4">
        <v>5.7</v>
      </c>
      <c r="X1012" s="4">
        <v>519.92999999999995</v>
      </c>
      <c r="Y1012" s="7">
        <f t="shared" ca="1" si="19"/>
        <v>1902.0700000000002</v>
      </c>
    </row>
    <row r="1013" spans="1:25" ht="15" x14ac:dyDescent="0.25">
      <c r="A1013" s="4">
        <v>76</v>
      </c>
      <c r="C1013" s="12" t="s">
        <v>2568</v>
      </c>
      <c r="D1013" s="12" t="s">
        <v>2569</v>
      </c>
      <c r="E1013" s="5" t="str">
        <f t="shared" si="15"/>
        <v>https://www.screener.in/company/ATUL/consolidated/</v>
      </c>
      <c r="F1013" s="4">
        <v>443059</v>
      </c>
      <c r="G1013" s="4">
        <v>3832241897</v>
      </c>
      <c r="H1013" s="6">
        <f t="shared" ca="1" si="16"/>
        <v>2402815.6694189999</v>
      </c>
      <c r="I1013" s="7" t="str">
        <f ca="1">IFERROR(__xludf.DUMMYFUNCTION("IMPORTXML(E1013,""/html/body/main/div[3]/div[3]/div[2]/ul/li[5]/span[2]/span"")"),"Loading...")</f>
        <v>Loading...</v>
      </c>
      <c r="J1013" s="7">
        <f ca="1">IFERROR(__xludf.DUMMYFUNCTION("GOOGLEFINANCE(""NSE:""&amp;D1013,""marketcap"")"),185331052480)</f>
        <v>185331052480</v>
      </c>
      <c r="K1013" s="7">
        <v>992.8</v>
      </c>
      <c r="L1013" s="8">
        <f ca="1">IFERROR(__xludf.DUMMYFUNCTION("GOOGLEFINANCE(""NSE:""&amp;D1013,""price"")"),6270)</f>
        <v>6270</v>
      </c>
      <c r="M1013" s="9">
        <f t="shared" ca="1" si="17"/>
        <v>5277.2</v>
      </c>
      <c r="N1013" s="10">
        <f t="shared" ca="1" si="18"/>
        <v>531.54713940370664</v>
      </c>
      <c r="O1013" s="7">
        <f ca="1">IFERROR(__xludf.DUMMYFUNCTION("GOOGLEFINANCE(""NSE:""&amp;D1013,""pe"")"),36.93)</f>
        <v>36.93</v>
      </c>
      <c r="P1013" s="7">
        <f ca="1">IFERROR(__xludf.DUMMYFUNCTION("GOOGLEFINANCE(""NSE:""&amp;D1013,""EPS"")"),169.77)</f>
        <v>169.77</v>
      </c>
      <c r="Q1013" s="7">
        <v>13.5</v>
      </c>
      <c r="R1013" s="7" t="str">
        <f ca="1">IFERROR(__xludf.DUMMYFUNCTION("IMPORTXML(E1013,""/html/body/main/div[3]/div[3]/div[2]/ul/li[7]/span[2]/span"")"),"Loading...")</f>
        <v>Loading...</v>
      </c>
      <c r="S1013" s="7" t="str">
        <f ca="1">IFERROR(__xludf.DUMMYFUNCTION("IMPORTXML(E1013,""/html/body/main/div[3]/div[3]/div[2]/ul/li[8]/span[2]/span"")"),"Loading...")</f>
        <v>Loading...</v>
      </c>
      <c r="T1013" s="4">
        <v>34.6</v>
      </c>
      <c r="U1013" s="4">
        <v>22.7</v>
      </c>
      <c r="V1013" s="4">
        <v>2.6</v>
      </c>
      <c r="W1013" s="4">
        <v>5.7</v>
      </c>
      <c r="X1013" s="4">
        <v>519.92999999999995</v>
      </c>
      <c r="Y1013" s="7">
        <f t="shared" ca="1" si="19"/>
        <v>5750.07</v>
      </c>
    </row>
    <row r="1014" spans="1:25" ht="15" x14ac:dyDescent="0.25">
      <c r="A1014" s="4">
        <v>2258</v>
      </c>
      <c r="C1014" s="12" t="s">
        <v>2570</v>
      </c>
      <c r="D1014" s="12" t="s">
        <v>2571</v>
      </c>
      <c r="E1014" s="5" t="str">
        <f t="shared" si="15"/>
        <v>https://www.screener.in/company/AAATECH/consolidated/</v>
      </c>
      <c r="F1014" s="4">
        <v>443059</v>
      </c>
      <c r="G1014" s="4">
        <v>3832241897</v>
      </c>
      <c r="H1014" s="6">
        <f t="shared" ca="1" si="16"/>
        <v>30086.931133347003</v>
      </c>
      <c r="I1014" s="7" t="str">
        <f ca="1">IFERROR(__xludf.DUMMYFUNCTION("IMPORTXML(E1014,""/html/body/main/div[3]/div[3]/div[2]/ul/li[5]/span[2]/span"")"),"Loading...")</f>
        <v>Loading...</v>
      </c>
      <c r="J1014" s="7">
        <f ca="1">IFERROR(__xludf.DUMMYFUNCTION("GOOGLEFINANCE(""NSE:""&amp;D1014,""marketcap"")"),1018614940)</f>
        <v>1018614940</v>
      </c>
      <c r="K1014" s="7">
        <v>992.8</v>
      </c>
      <c r="L1014" s="8">
        <f ca="1">IFERROR(__xludf.DUMMYFUNCTION("GOOGLEFINANCE(""NSE:""&amp;D1014,""price"")"),78.51)</f>
        <v>78.510000000000005</v>
      </c>
      <c r="M1014" s="9">
        <f t="shared" ca="1" si="17"/>
        <v>-914.29</v>
      </c>
      <c r="N1014" s="10">
        <f t="shared" ca="1" si="18"/>
        <v>-92.092062852538277</v>
      </c>
      <c r="O1014" s="7">
        <f ca="1">IFERROR(__xludf.DUMMYFUNCTION("GOOGLEFINANCE(""NSE:""&amp;D1014,""pe"")"),28.55)</f>
        <v>28.55</v>
      </c>
      <c r="P1014" s="7">
        <f ca="1">IFERROR(__xludf.DUMMYFUNCTION("GOOGLEFINANCE(""NSE:""&amp;D1014,""EPS"")"),2.75)</f>
        <v>2.75</v>
      </c>
      <c r="Q1014" s="7">
        <v>13.5</v>
      </c>
      <c r="R1014" s="7" t="str">
        <f ca="1">IFERROR(__xludf.DUMMYFUNCTION("IMPORTXML(E1014,""/html/body/main/div[3]/div[3]/div[2]/ul/li[7]/span[2]/span"")"),"Loading...")</f>
        <v>Loading...</v>
      </c>
      <c r="S1014" s="7" t="str">
        <f ca="1">IFERROR(__xludf.DUMMYFUNCTION("IMPORTXML(E1014,""/html/body/main/div[3]/div[3]/div[2]/ul/li[8]/span[2]/span"")"),"Loading...")</f>
        <v>Loading...</v>
      </c>
      <c r="T1014" s="4">
        <v>34.6</v>
      </c>
      <c r="U1014" s="4">
        <v>22.7</v>
      </c>
      <c r="V1014" s="4">
        <v>2.6</v>
      </c>
      <c r="W1014" s="4">
        <v>5.7</v>
      </c>
      <c r="X1014" s="4">
        <v>519.92999999999995</v>
      </c>
      <c r="Y1014" s="7">
        <f t="shared" ca="1" si="19"/>
        <v>-441.41999999999996</v>
      </c>
    </row>
    <row r="1015" spans="1:25" ht="15" x14ac:dyDescent="0.25">
      <c r="A1015" s="4">
        <v>702</v>
      </c>
      <c r="C1015" s="12" t="s">
        <v>2572</v>
      </c>
      <c r="D1015" s="12" t="s">
        <v>2573</v>
      </c>
      <c r="E1015" s="5" t="str">
        <f t="shared" si="15"/>
        <v>https://www.screener.in/company/JASH/consolidated/</v>
      </c>
      <c r="F1015" s="4">
        <v>443059</v>
      </c>
      <c r="G1015" s="4">
        <v>3832241897</v>
      </c>
      <c r="H1015" s="6">
        <f t="shared" ca="1" si="16"/>
        <v>197360.45769549999</v>
      </c>
      <c r="I1015" s="7" t="str">
        <f ca="1">IFERROR(__xludf.DUMMYFUNCTION("IMPORTXML(E1015,""/html/body/main/div[3]/div[3]/div[2]/ul/li[5]/span[2]/span"")"),"Loading...")</f>
        <v>Loading...</v>
      </c>
      <c r="J1015" s="7">
        <f ca="1">IFERROR(__xludf.DUMMYFUNCTION("GOOGLEFINANCE(""NSE:""&amp;D1015,""marketcap"")"),32337720000)</f>
        <v>32337720000</v>
      </c>
      <c r="K1015" s="7">
        <v>992.8</v>
      </c>
      <c r="L1015" s="8">
        <f ca="1">IFERROR(__xludf.DUMMYFUNCTION("GOOGLEFINANCE(""NSE:""&amp;D1015,""price"")"),515)</f>
        <v>515</v>
      </c>
      <c r="M1015" s="9">
        <f t="shared" ca="1" si="17"/>
        <v>-477.79999999999995</v>
      </c>
      <c r="N1015" s="10">
        <f t="shared" ca="1" si="18"/>
        <v>-48.126510878323927</v>
      </c>
      <c r="O1015" s="7">
        <f ca="1">IFERROR(__xludf.DUMMYFUNCTION("GOOGLEFINANCE(""NSE:""&amp;D1015,""pe"")"),39.29)</f>
        <v>39.29</v>
      </c>
      <c r="P1015" s="7">
        <f ca="1">IFERROR(__xludf.DUMMYFUNCTION("GOOGLEFINANCE(""NSE:""&amp;D1015,""EPS"")"),13.11)</f>
        <v>13.11</v>
      </c>
      <c r="Q1015" s="7">
        <v>13.5</v>
      </c>
      <c r="R1015" s="7" t="str">
        <f ca="1">IFERROR(__xludf.DUMMYFUNCTION("IMPORTXML(E1015,""/html/body/main/div[3]/div[3]/div[2]/ul/li[7]/span[2]/span"")"),"Loading...")</f>
        <v>Loading...</v>
      </c>
      <c r="S1015" s="7" t="str">
        <f ca="1">IFERROR(__xludf.DUMMYFUNCTION("IMPORTXML(E1015,""/html/body/main/div[3]/div[3]/div[2]/ul/li[8]/span[2]/span"")"),"Loading...")</f>
        <v>Loading...</v>
      </c>
      <c r="T1015" s="4">
        <v>34.6</v>
      </c>
      <c r="U1015" s="4">
        <v>22.7</v>
      </c>
      <c r="V1015" s="4">
        <v>2.6</v>
      </c>
      <c r="W1015" s="4">
        <v>5.7</v>
      </c>
      <c r="X1015" s="4">
        <v>519.92999999999995</v>
      </c>
      <c r="Y1015" s="7">
        <f t="shared" ca="1" si="19"/>
        <v>-4.92999999999995</v>
      </c>
    </row>
    <row r="1016" spans="1:25" ht="15" x14ac:dyDescent="0.25">
      <c r="A1016" s="4">
        <v>195</v>
      </c>
      <c r="C1016" s="12" t="s">
        <v>2574</v>
      </c>
      <c r="D1016" s="12" t="s">
        <v>2575</v>
      </c>
      <c r="E1016" s="5" t="str">
        <f t="shared" si="15"/>
        <v>https://www.screener.in/company/GRAVITA/consolidated/</v>
      </c>
      <c r="F1016" s="4">
        <v>443059</v>
      </c>
      <c r="G1016" s="4">
        <v>3832241897</v>
      </c>
      <c r="H1016" s="6">
        <f t="shared" ca="1" si="16"/>
        <v>651097.8983003</v>
      </c>
      <c r="I1016" s="7" t="str">
        <f ca="1">IFERROR(__xludf.DUMMYFUNCTION("IMPORTXML(E1016,""/html/body/main/div[3]/div[3]/div[2]/ul/li[5]/span[2]/span"")"),"Loading...")</f>
        <v>Loading...</v>
      </c>
      <c r="J1016" s="7">
        <f ca="1">IFERROR(__xludf.DUMMYFUNCTION("GOOGLEFINANCE(""NSE:""&amp;D1016,""marketcap"")"),123329400000)</f>
        <v>123329400000</v>
      </c>
      <c r="K1016" s="7">
        <v>992.8</v>
      </c>
      <c r="L1016" s="8">
        <f ca="1">IFERROR(__xludf.DUMMYFUNCTION("GOOGLEFINANCE(""NSE:""&amp;D1016,""price"")"),1699)</f>
        <v>1699</v>
      </c>
      <c r="M1016" s="9">
        <f t="shared" ca="1" si="17"/>
        <v>706.2</v>
      </c>
      <c r="N1016" s="10">
        <f t="shared" ca="1" si="18"/>
        <v>71.132151490733293</v>
      </c>
      <c r="O1016" s="7">
        <f ca="1">IFERROR(__xludf.DUMMYFUNCTION("GOOGLEFINANCE(""NSE:""&amp;D1016,""pe"")"),35.4)</f>
        <v>35.4</v>
      </c>
      <c r="P1016" s="7">
        <f ca="1">IFERROR(__xludf.DUMMYFUNCTION("GOOGLEFINANCE(""NSE:""&amp;D1016,""EPS"")"),47.99)</f>
        <v>47.99</v>
      </c>
      <c r="Q1016" s="7">
        <v>13.5</v>
      </c>
      <c r="R1016" s="7" t="str">
        <f ca="1">IFERROR(__xludf.DUMMYFUNCTION("IMPORTXML(E1016,""/html/body/main/div[3]/div[3]/div[2]/ul/li[7]/span[2]/span"")"),"Loading...")</f>
        <v>Loading...</v>
      </c>
      <c r="S1016" s="7" t="str">
        <f ca="1">IFERROR(__xludf.DUMMYFUNCTION("IMPORTXML(E1016,""/html/body/main/div[3]/div[3]/div[2]/ul/li[8]/span[2]/span"")"),"Loading...")</f>
        <v>Loading...</v>
      </c>
      <c r="T1016" s="4">
        <v>34.6</v>
      </c>
      <c r="U1016" s="4">
        <v>22.7</v>
      </c>
      <c r="V1016" s="4">
        <v>2.6</v>
      </c>
      <c r="W1016" s="4">
        <v>5.7</v>
      </c>
      <c r="X1016" s="4">
        <v>519.92999999999995</v>
      </c>
      <c r="Y1016" s="7">
        <f t="shared" ca="1" si="19"/>
        <v>1179.0700000000002</v>
      </c>
    </row>
    <row r="1017" spans="1:25" ht="15" x14ac:dyDescent="0.25">
      <c r="A1017" s="4">
        <v>445</v>
      </c>
      <c r="C1017" s="12" t="s">
        <v>2576</v>
      </c>
      <c r="D1017" s="12" t="s">
        <v>2577</v>
      </c>
      <c r="E1017" s="5" t="str">
        <f t="shared" si="15"/>
        <v>https://www.screener.in/company/BANSALWIRE/consolidated/</v>
      </c>
      <c r="F1017" s="4">
        <v>443059</v>
      </c>
      <c r="G1017" s="4">
        <v>3832241897</v>
      </c>
      <c r="H1017" s="6">
        <f t="shared" ca="1" si="16"/>
        <v>139110.38086110001</v>
      </c>
      <c r="I1017" s="7" t="str">
        <f ca="1">IFERROR(__xludf.DUMMYFUNCTION("IMPORTXML(E1017,""/html/body/main/div[3]/div[3]/div[2]/ul/li[5]/span[2]/span"")"),"Loading...")</f>
        <v>Loading...</v>
      </c>
      <c r="J1017" s="7">
        <f ca="1">IFERROR(__xludf.DUMMYFUNCTION("GOOGLEFINANCE(""NSE:""&amp;D1017,""marketcap"")"),56829791700)</f>
        <v>56829791700</v>
      </c>
      <c r="K1017" s="7">
        <v>992.8</v>
      </c>
      <c r="L1017" s="8">
        <f ca="1">IFERROR(__xludf.DUMMYFUNCTION("GOOGLEFINANCE(""NSE:""&amp;D1017,""price"")"),363)</f>
        <v>363</v>
      </c>
      <c r="M1017" s="9">
        <f t="shared" ca="1" si="17"/>
        <v>-629.79999999999995</v>
      </c>
      <c r="N1017" s="10">
        <f t="shared" ca="1" si="18"/>
        <v>-63.436744560838029</v>
      </c>
      <c r="O1017" s="7">
        <f ca="1">IFERROR(__xludf.DUMMYFUNCTION("GOOGLEFINANCE(""NSE:""&amp;D1017,""pe"")"),36.96)</f>
        <v>36.96</v>
      </c>
      <c r="P1017" s="7">
        <f ca="1">IFERROR(__xludf.DUMMYFUNCTION("GOOGLEFINANCE(""NSE:""&amp;D1017,""EPS"")"),9.82)</f>
        <v>9.82</v>
      </c>
      <c r="Q1017" s="7">
        <v>13.5</v>
      </c>
      <c r="R1017" s="7" t="str">
        <f ca="1">IFERROR(__xludf.DUMMYFUNCTION("IMPORTXML(E1017,""/html/body/main/div[3]/div[3]/div[2]/ul/li[7]/span[2]/span"")"),"Loading...")</f>
        <v>Loading...</v>
      </c>
      <c r="S1017" s="7" t="str">
        <f ca="1">IFERROR(__xludf.DUMMYFUNCTION("IMPORTXML(E1017,""/html/body/main/div[3]/div[3]/div[2]/ul/li[8]/span[2]/span"")"),"Loading...")</f>
        <v>Loading...</v>
      </c>
      <c r="T1017" s="4">
        <v>34.6</v>
      </c>
      <c r="U1017" s="4">
        <v>22.7</v>
      </c>
      <c r="V1017" s="4">
        <v>2.6</v>
      </c>
      <c r="W1017" s="4">
        <v>5.7</v>
      </c>
      <c r="X1017" s="4">
        <v>519.92999999999995</v>
      </c>
      <c r="Y1017" s="7">
        <f t="shared" ca="1" si="19"/>
        <v>-156.92999999999995</v>
      </c>
    </row>
    <row r="1018" spans="1:25" ht="15" x14ac:dyDescent="0.25">
      <c r="A1018" s="4">
        <v>54</v>
      </c>
      <c r="C1018" s="12" t="s">
        <v>2578</v>
      </c>
      <c r="D1018" s="12" t="s">
        <v>2579</v>
      </c>
      <c r="E1018" s="5" t="str">
        <f t="shared" si="15"/>
        <v>https://www.screener.in/company/NH/consolidated/</v>
      </c>
      <c r="F1018" s="4">
        <v>443059</v>
      </c>
      <c r="G1018" s="4">
        <v>3832241897</v>
      </c>
      <c r="H1018" s="6">
        <f t="shared" ca="1" si="16"/>
        <v>684055.17861449998</v>
      </c>
      <c r="I1018" s="7" t="str">
        <f ca="1">IFERROR(__xludf.DUMMYFUNCTION("IMPORTXML(E1018,""/html/body/main/div[3]/div[3]/div[2]/ul/li[5]/span[2]/span"")"),"Loading...")</f>
        <v>Loading...</v>
      </c>
      <c r="J1018" s="7">
        <f ca="1">IFERROR(__xludf.DUMMYFUNCTION("GOOGLEFINANCE(""NSE:""&amp;D1018,""marketcap"")"),362280399509)</f>
        <v>362280399509</v>
      </c>
      <c r="K1018" s="7">
        <v>992.8</v>
      </c>
      <c r="L1018" s="8">
        <f ca="1">IFERROR(__xludf.DUMMYFUNCTION("GOOGLEFINANCE(""NSE:""&amp;D1018,""price"")"),1785)</f>
        <v>1785</v>
      </c>
      <c r="M1018" s="9">
        <f t="shared" ca="1" si="17"/>
        <v>792.2</v>
      </c>
      <c r="N1018" s="10">
        <f t="shared" ca="1" si="18"/>
        <v>79.794520547945211</v>
      </c>
      <c r="O1018" s="7">
        <f ca="1">IFERROR(__xludf.DUMMYFUNCTION("GOOGLEFINANCE(""NSE:""&amp;D1018,""pe"")"),46.15)</f>
        <v>46.15</v>
      </c>
      <c r="P1018" s="7">
        <f ca="1">IFERROR(__xludf.DUMMYFUNCTION("GOOGLEFINANCE(""NSE:""&amp;D1018,""EPS"")"),38.67)</f>
        <v>38.67</v>
      </c>
      <c r="Q1018" s="7">
        <v>13.5</v>
      </c>
      <c r="R1018" s="7" t="str">
        <f ca="1">IFERROR(__xludf.DUMMYFUNCTION("IMPORTXML(E1018,""/html/body/main/div[3]/div[3]/div[2]/ul/li[7]/span[2]/span"")"),"Loading...")</f>
        <v>Loading...</v>
      </c>
      <c r="S1018" s="7" t="str">
        <f ca="1">IFERROR(__xludf.DUMMYFUNCTION("IMPORTXML(E1018,""/html/body/main/div[3]/div[3]/div[2]/ul/li[8]/span[2]/span"")"),"Loading...")</f>
        <v>Loading...</v>
      </c>
      <c r="T1018" s="4">
        <v>34.6</v>
      </c>
      <c r="U1018" s="4">
        <v>22.7</v>
      </c>
      <c r="V1018" s="4">
        <v>2.6</v>
      </c>
      <c r="W1018" s="4">
        <v>5.7</v>
      </c>
      <c r="X1018" s="4">
        <v>519.92999999999995</v>
      </c>
      <c r="Y1018" s="7">
        <f t="shared" ca="1" si="19"/>
        <v>1265.0700000000002</v>
      </c>
    </row>
    <row r="1019" spans="1:25" ht="15" x14ac:dyDescent="0.25">
      <c r="A1019" s="4">
        <v>2158</v>
      </c>
      <c r="C1019" s="12" t="s">
        <v>2580</v>
      </c>
      <c r="D1019" s="12" t="s">
        <v>2581</v>
      </c>
      <c r="E1019" s="5" t="str">
        <f t="shared" si="15"/>
        <v>https://www.screener.in/company/AKI/consolidated/</v>
      </c>
      <c r="F1019" s="4">
        <v>443059</v>
      </c>
      <c r="G1019" s="4">
        <v>3832241897</v>
      </c>
      <c r="H1019" s="6">
        <f t="shared" ca="1" si="16"/>
        <v>3602.3073831800002</v>
      </c>
      <c r="I1019" s="7" t="str">
        <f ca="1">IFERROR(__xludf.DUMMYFUNCTION("IMPORTXML(E1019,""/html/body/main/div[3]/div[3]/div[2]/ul/li[5]/span[2]/span"")"),"Loading...")</f>
        <v>Loading...</v>
      </c>
      <c r="J1019" s="7">
        <f ca="1">IFERROR(__xludf.DUMMYFUNCTION("GOOGLEFINANCE(""NSE:""&amp;D1019,""marketcap"")"),953463078)</f>
        <v>953463078</v>
      </c>
      <c r="K1019" s="7">
        <v>992.8</v>
      </c>
      <c r="L1019" s="8">
        <f ca="1">IFERROR(__xludf.DUMMYFUNCTION("GOOGLEFINANCE(""NSE:""&amp;D1019,""price"")"),9.4)</f>
        <v>9.4</v>
      </c>
      <c r="M1019" s="9">
        <f t="shared" ca="1" si="17"/>
        <v>-983.4</v>
      </c>
      <c r="N1019" s="10">
        <f t="shared" ca="1" si="18"/>
        <v>-99.053182917002431</v>
      </c>
      <c r="O1019" s="7">
        <f ca="1">IFERROR(__xludf.DUMMYFUNCTION("GOOGLEFINANCE(""NSE:""&amp;D1019,""pe"")"),52.22)</f>
        <v>52.22</v>
      </c>
      <c r="P1019" s="7">
        <f ca="1">IFERROR(__xludf.DUMMYFUNCTION("GOOGLEFINANCE(""NSE:""&amp;D1019,""EPS"")"),0.18)</f>
        <v>0.18</v>
      </c>
      <c r="Q1019" s="7">
        <v>13.5</v>
      </c>
      <c r="R1019" s="7" t="str">
        <f ca="1">IFERROR(__xludf.DUMMYFUNCTION("IMPORTXML(E1019,""/html/body/main/div[3]/div[3]/div[2]/ul/li[7]/span[2]/span"")"),"Loading...")</f>
        <v>Loading...</v>
      </c>
      <c r="S1019" s="7" t="str">
        <f ca="1">IFERROR(__xludf.DUMMYFUNCTION("IMPORTXML(E1019,""/html/body/main/div[3]/div[3]/div[2]/ul/li[8]/span[2]/span"")"),"Loading...")</f>
        <v>Loading...</v>
      </c>
      <c r="T1019" s="4">
        <v>34.6</v>
      </c>
      <c r="U1019" s="4">
        <v>22.7</v>
      </c>
      <c r="V1019" s="4">
        <v>2.6</v>
      </c>
      <c r="W1019" s="4">
        <v>5.7</v>
      </c>
      <c r="X1019" s="4">
        <v>519.92999999999995</v>
      </c>
      <c r="Y1019" s="7">
        <f t="shared" ca="1" si="19"/>
        <v>-510.53</v>
      </c>
    </row>
    <row r="1020" spans="1:25" ht="15" x14ac:dyDescent="0.25">
      <c r="A1020" s="4">
        <v>229</v>
      </c>
      <c r="C1020" s="12" t="s">
        <v>2582</v>
      </c>
      <c r="D1020" s="12" t="s">
        <v>2583</v>
      </c>
      <c r="E1020" s="5" t="str">
        <f t="shared" si="15"/>
        <v>https://www.screener.in/company/TTKPRESTIG/consolidated/</v>
      </c>
      <c r="F1020" s="4">
        <v>443059</v>
      </c>
      <c r="G1020" s="4">
        <v>3832241897</v>
      </c>
      <c r="H1020" s="6">
        <f t="shared" ca="1" si="16"/>
        <v>259826.00061660001</v>
      </c>
      <c r="I1020" s="7" t="str">
        <f ca="1">IFERROR(__xludf.DUMMYFUNCTION("IMPORTXML(E1020,""/html/body/main/div[3]/div[3]/div[2]/ul/li[5]/span[2]/span"")"),"Loading...")</f>
        <v>Loading...</v>
      </c>
      <c r="J1020" s="7">
        <f ca="1">IFERROR(__xludf.DUMMYFUNCTION("GOOGLEFINANCE(""NSE:""&amp;D1020,""marketcap"")"),93076510000)</f>
        <v>93076510000</v>
      </c>
      <c r="K1020" s="7">
        <v>992.8</v>
      </c>
      <c r="L1020" s="8">
        <f ca="1">IFERROR(__xludf.DUMMYFUNCTION("GOOGLEFINANCE(""NSE:""&amp;D1020,""price"")"),678)</f>
        <v>678</v>
      </c>
      <c r="M1020" s="9">
        <f t="shared" ca="1" si="17"/>
        <v>-314.79999999999995</v>
      </c>
      <c r="N1020" s="10">
        <f t="shared" ca="1" si="18"/>
        <v>-31.708299758259468</v>
      </c>
      <c r="O1020" s="7">
        <f ca="1">IFERROR(__xludf.DUMMYFUNCTION("GOOGLEFINANCE(""NSE:""&amp;D1020,""pe"")"),95.96)</f>
        <v>95.96</v>
      </c>
      <c r="P1020" s="7">
        <f ca="1">IFERROR(__xludf.DUMMYFUNCTION("GOOGLEFINANCE(""NSE:""&amp;D1020,""EPS"")"),7.07)</f>
        <v>7.07</v>
      </c>
      <c r="Q1020" s="7">
        <v>13.5</v>
      </c>
      <c r="R1020" s="7" t="str">
        <f ca="1">IFERROR(__xludf.DUMMYFUNCTION("IMPORTXML(E1020,""/html/body/main/div[3]/div[3]/div[2]/ul/li[7]/span[2]/span"")"),"Loading...")</f>
        <v>Loading...</v>
      </c>
      <c r="S1020" s="7" t="str">
        <f ca="1">IFERROR(__xludf.DUMMYFUNCTION("IMPORTXML(E1020,""/html/body/main/div[3]/div[3]/div[2]/ul/li[8]/span[2]/span"")"),"Loading...")</f>
        <v>Loading...</v>
      </c>
      <c r="T1020" s="4">
        <v>34.6</v>
      </c>
      <c r="U1020" s="4">
        <v>22.7</v>
      </c>
      <c r="V1020" s="4">
        <v>2.6</v>
      </c>
      <c r="W1020" s="4">
        <v>5.7</v>
      </c>
      <c r="X1020" s="4">
        <v>519.92999999999995</v>
      </c>
      <c r="Y1020" s="7">
        <f t="shared" ca="1" si="19"/>
        <v>158.07000000000005</v>
      </c>
    </row>
    <row r="1021" spans="1:25" ht="15" x14ac:dyDescent="0.25">
      <c r="A1021" s="4">
        <v>1569</v>
      </c>
      <c r="C1021" s="12" t="s">
        <v>2584</v>
      </c>
      <c r="D1021" s="12" t="s">
        <v>2585</v>
      </c>
      <c r="E1021" s="5" t="str">
        <f t="shared" si="15"/>
        <v>https://www.screener.in/company/NILASPACES/consolidated/</v>
      </c>
      <c r="F1021" s="4">
        <v>443059</v>
      </c>
      <c r="G1021" s="4">
        <v>3832241897</v>
      </c>
      <c r="H1021" s="6">
        <f t="shared" ca="1" si="16"/>
        <v>5656.3890399720003</v>
      </c>
      <c r="I1021" s="7" t="str">
        <f ca="1">IFERROR(__xludf.DUMMYFUNCTION("IMPORTXML(E1021,""/html/body/main/div[3]/div[3]/div[2]/ul/li[5]/span[2]/span"")"),"Loading...")</f>
        <v>Loading...</v>
      </c>
      <c r="J1021" s="7">
        <f ca="1">IFERROR(__xludf.DUMMYFUNCTION("GOOGLEFINANCE(""NSE:""&amp;D1021,""marketcap"")"),5860925996)</f>
        <v>5860925996</v>
      </c>
      <c r="K1021" s="7">
        <v>992.8</v>
      </c>
      <c r="L1021" s="8">
        <f ca="1">IFERROR(__xludf.DUMMYFUNCTION("GOOGLEFINANCE(""NSE:""&amp;D1021,""price"")"),14.76)</f>
        <v>14.76</v>
      </c>
      <c r="M1021" s="9">
        <f t="shared" ca="1" si="17"/>
        <v>-978.04</v>
      </c>
      <c r="N1021" s="10">
        <f t="shared" ca="1" si="18"/>
        <v>-98.513295729250601</v>
      </c>
      <c r="O1021" s="7">
        <f ca="1">IFERROR(__xludf.DUMMYFUNCTION("GOOGLEFINANCE(""NSE:""&amp;D1021,""pe"")"),31.77)</f>
        <v>31.77</v>
      </c>
      <c r="P1021" s="7">
        <f ca="1">IFERROR(__xludf.DUMMYFUNCTION("GOOGLEFINANCE(""NSE:""&amp;D1021,""EPS"")"),0.46)</f>
        <v>0.46</v>
      </c>
      <c r="Q1021" s="7">
        <v>13.5</v>
      </c>
      <c r="R1021" s="7" t="str">
        <f ca="1">IFERROR(__xludf.DUMMYFUNCTION("IMPORTXML(E1021,""/html/body/main/div[3]/div[3]/div[2]/ul/li[7]/span[2]/span"")"),"Loading...")</f>
        <v>Loading...</v>
      </c>
      <c r="S1021" s="7" t="str">
        <f ca="1">IFERROR(__xludf.DUMMYFUNCTION("IMPORTXML(E1021,""/html/body/main/div[3]/div[3]/div[2]/ul/li[8]/span[2]/span"")"),"Loading...")</f>
        <v>Loading...</v>
      </c>
      <c r="T1021" s="4">
        <v>34.6</v>
      </c>
      <c r="U1021" s="4">
        <v>22.7</v>
      </c>
      <c r="V1021" s="4">
        <v>2.6</v>
      </c>
      <c r="W1021" s="4">
        <v>5.7</v>
      </c>
      <c r="X1021" s="4">
        <v>519.92999999999995</v>
      </c>
      <c r="Y1021" s="7">
        <f t="shared" ca="1" si="19"/>
        <v>-505.16999999999996</v>
      </c>
    </row>
    <row r="1022" spans="1:25" ht="15" x14ac:dyDescent="0.25">
      <c r="A1022" s="4">
        <v>401</v>
      </c>
      <c r="C1022" s="12" t="s">
        <v>2586</v>
      </c>
      <c r="D1022" s="12" t="s">
        <v>2587</v>
      </c>
      <c r="E1022" s="5" t="str">
        <f t="shared" ref="E1022:E1276" si="20">"https://www.screener.in/company/"&amp; D1022&amp;"/consolidated/"</f>
        <v>https://www.screener.in/company/IFBIND/consolidated/</v>
      </c>
      <c r="F1022" s="4">
        <v>443059</v>
      </c>
      <c r="G1022" s="4">
        <v>3832241897</v>
      </c>
      <c r="H1022" s="6">
        <f t="shared" ref="H1022:H1276" ca="1" si="21">(G1022*L1022)/10^7</f>
        <v>578668.52644699998</v>
      </c>
      <c r="I1022" s="7" t="str">
        <f ca="1">IFERROR(__xludf.DUMMYFUNCTION("IMPORTXML(E1022,""/html/body/main/div[3]/div[3]/div[2]/ul/li[5]/span[2]/span"")"),"Loading...")</f>
        <v>Loading...</v>
      </c>
      <c r="J1022" s="7">
        <f ca="1">IFERROR(__xludf.DUMMYFUNCTION("GOOGLEFINANCE(""NSE:""&amp;D1022,""marketcap"")"),61272520000)</f>
        <v>61272520000</v>
      </c>
      <c r="K1022" s="7">
        <v>992.8</v>
      </c>
      <c r="L1022" s="8">
        <f ca="1">IFERROR(__xludf.DUMMYFUNCTION("GOOGLEFINANCE(""NSE:""&amp;D1022,""price"")"),1510)</f>
        <v>1510</v>
      </c>
      <c r="M1022" s="9">
        <f t="shared" ref="M1022:M1276" ca="1" si="22">L1022-K1022</f>
        <v>517.20000000000005</v>
      </c>
      <c r="N1022" s="10">
        <f t="shared" ref="N1022:N1276" ca="1" si="23">(M1022/K1022)*100</f>
        <v>52.095084609186145</v>
      </c>
      <c r="O1022" s="7">
        <f ca="1">IFERROR(__xludf.DUMMYFUNCTION("GOOGLEFINANCE(""NSE:""&amp;D1022,""pe"")"),56.88)</f>
        <v>56.88</v>
      </c>
      <c r="P1022" s="7">
        <f ca="1">IFERROR(__xludf.DUMMYFUNCTION("GOOGLEFINANCE(""NSE:""&amp;D1022,""EPS"")"),26.55)</f>
        <v>26.55</v>
      </c>
      <c r="Q1022" s="7">
        <v>13.5</v>
      </c>
      <c r="R1022" s="7" t="str">
        <f ca="1">IFERROR(__xludf.DUMMYFUNCTION("IMPORTXML(E1022,""/html/body/main/div[3]/div[3]/div[2]/ul/li[7]/span[2]/span"")"),"Loading...")</f>
        <v>Loading...</v>
      </c>
      <c r="S1022" s="7" t="str">
        <f ca="1">IFERROR(__xludf.DUMMYFUNCTION("IMPORTXML(E1022,""/html/body/main/div[3]/div[3]/div[2]/ul/li[8]/span[2]/span"")"),"Loading...")</f>
        <v>Loading...</v>
      </c>
      <c r="T1022" s="4">
        <v>34.6</v>
      </c>
      <c r="U1022" s="4">
        <v>22.7</v>
      </c>
      <c r="V1022" s="4">
        <v>2.6</v>
      </c>
      <c r="W1022" s="4">
        <v>5.7</v>
      </c>
      <c r="X1022" s="4">
        <v>519.92999999999995</v>
      </c>
      <c r="Y1022" s="7">
        <f t="shared" ref="Y1022:Y1276" ca="1" si="24">L1022-X1022</f>
        <v>990.07</v>
      </c>
    </row>
    <row r="1023" spans="1:25" ht="15" x14ac:dyDescent="0.25">
      <c r="A1023" s="4">
        <v>55</v>
      </c>
      <c r="C1023" s="12" t="s">
        <v>2588</v>
      </c>
      <c r="D1023" s="12" t="s">
        <v>2589</v>
      </c>
      <c r="E1023" s="5" t="str">
        <f t="shared" si="20"/>
        <v>https://www.screener.in/company/KEC/consolidated/</v>
      </c>
      <c r="F1023" s="4">
        <v>443059</v>
      </c>
      <c r="G1023" s="4">
        <v>3832241897</v>
      </c>
      <c r="H1023" s="6">
        <f t="shared" ca="1" si="21"/>
        <v>326890.23381409998</v>
      </c>
      <c r="I1023" s="7" t="str">
        <f ca="1">IFERROR(__xludf.DUMMYFUNCTION("IMPORTXML(E1023,""/html/body/main/div[3]/div[3]/div[2]/ul/li[5]/span[2]/span"")"),"Loading...")</f>
        <v>Loading...</v>
      </c>
      <c r="J1023" s="7">
        <f ca="1">IFERROR(__xludf.DUMMYFUNCTION("GOOGLEFINANCE(""NSE:""&amp;D1023,""marketcap"")"),227068514700)</f>
        <v>227068514700</v>
      </c>
      <c r="K1023" s="7">
        <v>992.8</v>
      </c>
      <c r="L1023" s="8">
        <f ca="1">IFERROR(__xludf.DUMMYFUNCTION("GOOGLEFINANCE(""NSE:""&amp;D1023,""price"")"),853)</f>
        <v>853</v>
      </c>
      <c r="M1023" s="9">
        <f t="shared" ca="1" si="22"/>
        <v>-139.79999999999995</v>
      </c>
      <c r="N1023" s="10">
        <f t="shared" ca="1" si="23"/>
        <v>-14.081385979049148</v>
      </c>
      <c r="O1023" s="7">
        <f ca="1">IFERROR(__xludf.DUMMYFUNCTION("GOOGLEFINANCE(""NSE:""&amp;D1023,""pe"")"),37.16)</f>
        <v>37.159999999999997</v>
      </c>
      <c r="P1023" s="7">
        <f ca="1">IFERROR(__xludf.DUMMYFUNCTION("GOOGLEFINANCE(""NSE:""&amp;D1023,""EPS"")"),22.96)</f>
        <v>22.96</v>
      </c>
      <c r="Q1023" s="7">
        <v>13.5</v>
      </c>
      <c r="R1023" s="7" t="str">
        <f ca="1">IFERROR(__xludf.DUMMYFUNCTION("IMPORTXML(E1023,""/html/body/main/div[3]/div[3]/div[2]/ul/li[7]/span[2]/span"")"),"Loading...")</f>
        <v>Loading...</v>
      </c>
      <c r="S1023" s="7" t="str">
        <f ca="1">IFERROR(__xludf.DUMMYFUNCTION("IMPORTXML(E1023,""/html/body/main/div[3]/div[3]/div[2]/ul/li[8]/span[2]/span"")"),"Loading...")</f>
        <v>Loading...</v>
      </c>
      <c r="T1023" s="4">
        <v>34.6</v>
      </c>
      <c r="U1023" s="4">
        <v>22.7</v>
      </c>
      <c r="V1023" s="4">
        <v>2.6</v>
      </c>
      <c r="W1023" s="4">
        <v>5.7</v>
      </c>
      <c r="X1023" s="4">
        <v>519.92999999999995</v>
      </c>
      <c r="Y1023" s="7">
        <f t="shared" ca="1" si="24"/>
        <v>333.07000000000005</v>
      </c>
    </row>
    <row r="1024" spans="1:25" ht="15" x14ac:dyDescent="0.25">
      <c r="A1024" s="4">
        <v>909</v>
      </c>
      <c r="C1024" s="12" t="s">
        <v>2590</v>
      </c>
      <c r="D1024" s="12" t="s">
        <v>2591</v>
      </c>
      <c r="E1024" s="5" t="str">
        <f t="shared" si="20"/>
        <v>https://www.screener.in/company/YATRA/consolidated/</v>
      </c>
      <c r="F1024" s="4">
        <v>443059</v>
      </c>
      <c r="G1024" s="4">
        <v>3832241897</v>
      </c>
      <c r="H1024" s="6">
        <f t="shared" ca="1" si="21"/>
        <v>58801.919667567992</v>
      </c>
      <c r="I1024" s="7" t="str">
        <f ca="1">IFERROR(__xludf.DUMMYFUNCTION("IMPORTXML(E1024,""/html/body/main/div[3]/div[3]/div[2]/ul/li[5]/span[2]/span"")"),"Loading...")</f>
        <v>Loading...</v>
      </c>
      <c r="J1024" s="7">
        <f ca="1">IFERROR(__xludf.DUMMYFUNCTION("GOOGLEFINANCE(""NSE:""&amp;D1024,""marketcap"")"),24077206767)</f>
        <v>24077206767</v>
      </c>
      <c r="K1024" s="7">
        <v>992.8</v>
      </c>
      <c r="L1024" s="8">
        <f ca="1">IFERROR(__xludf.DUMMYFUNCTION("GOOGLEFINANCE(""NSE:""&amp;D1024,""price"")"),153.44)</f>
        <v>153.44</v>
      </c>
      <c r="M1024" s="9">
        <f t="shared" ca="1" si="22"/>
        <v>-839.3599999999999</v>
      </c>
      <c r="N1024" s="10">
        <f t="shared" ca="1" si="23"/>
        <v>-84.544721998388397</v>
      </c>
      <c r="O1024" s="7">
        <f ca="1">IFERROR(__xludf.DUMMYFUNCTION("GOOGLEFINANCE(""NSE:""&amp;D1024,""pe"")"),49.66)</f>
        <v>49.66</v>
      </c>
      <c r="P1024" s="7">
        <f ca="1">IFERROR(__xludf.DUMMYFUNCTION("GOOGLEFINANCE(""NSE:""&amp;D1024,""EPS"")"),3.09)</f>
        <v>3.09</v>
      </c>
      <c r="Q1024" s="7">
        <v>13.5</v>
      </c>
      <c r="R1024" s="7" t="str">
        <f ca="1">IFERROR(__xludf.DUMMYFUNCTION("IMPORTXML(E1024,""/html/body/main/div[3]/div[3]/div[2]/ul/li[7]/span[2]/span"")"),"Loading...")</f>
        <v>Loading...</v>
      </c>
      <c r="S1024" s="7" t="str">
        <f ca="1">IFERROR(__xludf.DUMMYFUNCTION("IMPORTXML(E1024,""/html/body/main/div[3]/div[3]/div[2]/ul/li[8]/span[2]/span"")"),"Loading...")</f>
        <v>Loading...</v>
      </c>
      <c r="T1024" s="4">
        <v>34.6</v>
      </c>
      <c r="U1024" s="4">
        <v>22.7</v>
      </c>
      <c r="V1024" s="4">
        <v>2.6</v>
      </c>
      <c r="W1024" s="4">
        <v>5.7</v>
      </c>
      <c r="X1024" s="4">
        <v>519.92999999999995</v>
      </c>
      <c r="Y1024" s="7">
        <f t="shared" ca="1" si="24"/>
        <v>-366.48999999999995</v>
      </c>
    </row>
    <row r="1025" spans="1:25" ht="15" x14ac:dyDescent="0.25">
      <c r="A1025" s="4">
        <v>1237</v>
      </c>
      <c r="C1025" s="12" t="s">
        <v>2592</v>
      </c>
      <c r="D1025" s="12" t="s">
        <v>2593</v>
      </c>
      <c r="E1025" s="5" t="str">
        <f t="shared" si="20"/>
        <v>https://www.screener.in/company/FILATFASH/consolidated/</v>
      </c>
      <c r="F1025" s="4">
        <v>443059</v>
      </c>
      <c r="G1025" s="4">
        <v>3832241897</v>
      </c>
      <c r="H1025" s="6">
        <f t="shared" ca="1" si="21"/>
        <v>222.27003002599997</v>
      </c>
      <c r="I1025" s="7" t="str">
        <f ca="1">IFERROR(__xludf.DUMMYFUNCTION("IMPORTXML(E1025,""/html/body/main/div[3]/div[3]/div[2]/ul/li[5]/span[2]/span"")"),"Loading...")</f>
        <v>Loading...</v>
      </c>
      <c r="J1025" s="7">
        <f ca="1">IFERROR(__xludf.DUMMYFUNCTION("GOOGLEFINANCE(""NSE:""&amp;D1025,""marketcap"")"),4748959243)</f>
        <v>4748959243</v>
      </c>
      <c r="K1025" s="7">
        <v>992.8</v>
      </c>
      <c r="L1025" s="8">
        <f ca="1">IFERROR(__xludf.DUMMYFUNCTION("GOOGLEFINANCE(""NSE:""&amp;D1025,""price"")"),0.58)</f>
        <v>0.57999999999999996</v>
      </c>
      <c r="M1025" s="9">
        <f t="shared" ca="1" si="22"/>
        <v>-992.21999999999991</v>
      </c>
      <c r="N1025" s="10">
        <f t="shared" ca="1" si="23"/>
        <v>-99.941579371474603</v>
      </c>
      <c r="O1025" s="7">
        <f ca="1">IFERROR(__xludf.DUMMYFUNCTION("GOOGLEFINANCE(""NSE:""&amp;D1025,""pe"")"),52.73)</f>
        <v>52.73</v>
      </c>
      <c r="P1025" s="7">
        <f ca="1">IFERROR(__xludf.DUMMYFUNCTION("GOOGLEFINANCE(""NSE:""&amp;D1025,""EPS"")"),0.01)</f>
        <v>0.01</v>
      </c>
      <c r="Q1025" s="7">
        <v>13.5</v>
      </c>
      <c r="R1025" s="7" t="str">
        <f ca="1">IFERROR(__xludf.DUMMYFUNCTION("IMPORTXML(E1025,""/html/body/main/div[3]/div[3]/div[2]/ul/li[7]/span[2]/span"")"),"Loading...")</f>
        <v>Loading...</v>
      </c>
      <c r="S1025" s="7" t="str">
        <f ca="1">IFERROR(__xludf.DUMMYFUNCTION("IMPORTXML(E1025,""/html/body/main/div[3]/div[3]/div[2]/ul/li[8]/span[2]/span"")"),"Loading...")</f>
        <v>Loading...</v>
      </c>
      <c r="T1025" s="4">
        <v>34.6</v>
      </c>
      <c r="U1025" s="4">
        <v>22.7</v>
      </c>
      <c r="V1025" s="4">
        <v>2.6</v>
      </c>
      <c r="W1025" s="4">
        <v>5.7</v>
      </c>
      <c r="X1025" s="4">
        <v>519.92999999999995</v>
      </c>
      <c r="Y1025" s="7">
        <f t="shared" ca="1" si="24"/>
        <v>-519.34999999999991</v>
      </c>
    </row>
    <row r="1026" spans="1:25" ht="15" x14ac:dyDescent="0.25">
      <c r="A1026" s="4">
        <v>44</v>
      </c>
      <c r="C1026" s="12" t="s">
        <v>2594</v>
      </c>
      <c r="D1026" s="12" t="s">
        <v>2595</v>
      </c>
      <c r="E1026" s="5" t="str">
        <f t="shared" si="20"/>
        <v>https://www.screener.in/company/HSCL/consolidated/</v>
      </c>
      <c r="F1026" s="4">
        <v>443059</v>
      </c>
      <c r="G1026" s="4">
        <v>3832241897</v>
      </c>
      <c r="H1026" s="6">
        <f t="shared" ca="1" si="21"/>
        <v>175133.45469290001</v>
      </c>
      <c r="I1026" s="7" t="str">
        <f ca="1">IFERROR(__xludf.DUMMYFUNCTION("IMPORTXML(E1026,""/html/body/main/div[3]/div[3]/div[2]/ul/li[5]/span[2]/span"")"),"Loading...")</f>
        <v>Loading...</v>
      </c>
      <c r="J1026" s="7">
        <f ca="1">IFERROR(__xludf.DUMMYFUNCTION("GOOGLEFINANCE(""NSE:""&amp;D1026,""marketcap"")"),225829931800)</f>
        <v>225829931800</v>
      </c>
      <c r="K1026" s="7">
        <v>992.8</v>
      </c>
      <c r="L1026" s="8">
        <f ca="1">IFERROR(__xludf.DUMMYFUNCTION("GOOGLEFINANCE(""NSE:""&amp;D1026,""price"")"),457)</f>
        <v>457</v>
      </c>
      <c r="M1026" s="9">
        <f t="shared" ca="1" si="22"/>
        <v>-535.79999999999995</v>
      </c>
      <c r="N1026" s="10">
        <f t="shared" ca="1" si="23"/>
        <v>-53.968573730862204</v>
      </c>
      <c r="O1026" s="7">
        <f ca="1">IFERROR(__xludf.DUMMYFUNCTION("GOOGLEFINANCE(""NSE:""&amp;D1026,""pe"")"),36.95)</f>
        <v>36.950000000000003</v>
      </c>
      <c r="P1026" s="7">
        <f ca="1">IFERROR(__xludf.DUMMYFUNCTION("GOOGLEFINANCE(""NSE:""&amp;D1026,""EPS"")"),12.37)</f>
        <v>12.37</v>
      </c>
      <c r="Q1026" s="7">
        <v>13.5</v>
      </c>
      <c r="R1026" s="7" t="str">
        <f ca="1">IFERROR(__xludf.DUMMYFUNCTION("IMPORTXML(E1026,""/html/body/main/div[3]/div[3]/div[2]/ul/li[7]/span[2]/span"")"),"Loading...")</f>
        <v>Loading...</v>
      </c>
      <c r="S1026" s="7" t="str">
        <f ca="1">IFERROR(__xludf.DUMMYFUNCTION("IMPORTXML(E1026,""/html/body/main/div[3]/div[3]/div[2]/ul/li[8]/span[2]/span"")"),"Loading...")</f>
        <v>Loading...</v>
      </c>
      <c r="T1026" s="4">
        <v>34.6</v>
      </c>
      <c r="U1026" s="4">
        <v>22.7</v>
      </c>
      <c r="V1026" s="4">
        <v>2.6</v>
      </c>
      <c r="W1026" s="4">
        <v>5.7</v>
      </c>
      <c r="X1026" s="4">
        <v>519.92999999999995</v>
      </c>
      <c r="Y1026" s="7">
        <f t="shared" ca="1" si="24"/>
        <v>-62.92999999999995</v>
      </c>
    </row>
    <row r="1027" spans="1:25" ht="15" x14ac:dyDescent="0.25">
      <c r="A1027" s="4">
        <v>1122</v>
      </c>
      <c r="C1027" s="12" t="s">
        <v>2596</v>
      </c>
      <c r="D1027" s="12" t="s">
        <v>2597</v>
      </c>
      <c r="E1027" s="5" t="str">
        <f t="shared" si="20"/>
        <v>https://www.screener.in/company/ASAL/consolidated/</v>
      </c>
      <c r="F1027" s="4">
        <v>443059</v>
      </c>
      <c r="G1027" s="4">
        <v>3832241897</v>
      </c>
      <c r="H1027" s="6">
        <f t="shared" ca="1" si="21"/>
        <v>185863.73200449999</v>
      </c>
      <c r="I1027" s="7" t="str">
        <f ca="1">IFERROR(__xludf.DUMMYFUNCTION("IMPORTXML(E1027,""/html/body/main/div[3]/div[3]/div[2]/ul/li[5]/span[2]/span"")"),"Loading...")</f>
        <v>Loading...</v>
      </c>
      <c r="J1027" s="7">
        <f ca="1">IFERROR(__xludf.DUMMYFUNCTION("GOOGLEFINANCE(""NSE:""&amp;D1027,""marketcap"")"),7702165000)</f>
        <v>7702165000</v>
      </c>
      <c r="K1027" s="7">
        <v>992.8</v>
      </c>
      <c r="L1027" s="8">
        <f ca="1">IFERROR(__xludf.DUMMYFUNCTION("GOOGLEFINANCE(""NSE:""&amp;D1027,""price"")"),485)</f>
        <v>485</v>
      </c>
      <c r="M1027" s="9">
        <f t="shared" ca="1" si="22"/>
        <v>-507.79999999999995</v>
      </c>
      <c r="N1027" s="10">
        <f t="shared" ca="1" si="23"/>
        <v>-51.148267526188548</v>
      </c>
      <c r="O1027" s="7">
        <f ca="1">IFERROR(__xludf.DUMMYFUNCTION("GOOGLEFINANCE(""NSE:""&amp;D1027,""pe"")"),50.23)</f>
        <v>50.23</v>
      </c>
      <c r="P1027" s="7">
        <f ca="1">IFERROR(__xludf.DUMMYFUNCTION("GOOGLEFINANCE(""NSE:""&amp;D1027,""EPS"")"),9.66)</f>
        <v>9.66</v>
      </c>
      <c r="Q1027" s="7">
        <v>13.5</v>
      </c>
      <c r="R1027" s="7" t="str">
        <f ca="1">IFERROR(__xludf.DUMMYFUNCTION("IMPORTXML(E1027,""/html/body/main/div[3]/div[3]/div[2]/ul/li[7]/span[2]/span"")"),"Loading...")</f>
        <v>Loading...</v>
      </c>
      <c r="S1027" s="7" t="str">
        <f ca="1">IFERROR(__xludf.DUMMYFUNCTION("IMPORTXML(E1027,""/html/body/main/div[3]/div[3]/div[2]/ul/li[8]/span[2]/span"")"),"Loading...")</f>
        <v>Loading...</v>
      </c>
      <c r="T1027" s="4">
        <v>34.6</v>
      </c>
      <c r="U1027" s="4">
        <v>22.7</v>
      </c>
      <c r="V1027" s="4">
        <v>2.6</v>
      </c>
      <c r="W1027" s="4">
        <v>5.7</v>
      </c>
      <c r="X1027" s="4">
        <v>519.92999999999995</v>
      </c>
      <c r="Y1027" s="7">
        <f t="shared" ca="1" si="24"/>
        <v>-34.92999999999995</v>
      </c>
    </row>
    <row r="1028" spans="1:25" ht="15" x14ac:dyDescent="0.25">
      <c r="A1028" s="4">
        <v>1473</v>
      </c>
      <c r="C1028" s="12" t="s">
        <v>2598</v>
      </c>
      <c r="D1028" s="12" t="s">
        <v>2599</v>
      </c>
      <c r="E1028" s="5" t="str">
        <f t="shared" si="20"/>
        <v>https://www.screener.in/company/AARTISURF/consolidated/</v>
      </c>
      <c r="F1028" s="4">
        <v>443059</v>
      </c>
      <c r="G1028" s="4">
        <v>3832241897</v>
      </c>
      <c r="H1028" s="6">
        <f t="shared" ca="1" si="21"/>
        <v>184349.996455185</v>
      </c>
      <c r="I1028" s="7" t="str">
        <f ca="1">IFERROR(__xludf.DUMMYFUNCTION("IMPORTXML(E1028,""/html/body/main/div[3]/div[3]/div[2]/ul/li[5]/span[2]/span"")"),"Loading...")</f>
        <v>Loading...</v>
      </c>
      <c r="J1028" s="7">
        <f ca="1">IFERROR(__xludf.DUMMYFUNCTION("GOOGLEFINANCE(""NSE:""&amp;D1028,""marketcap"")"),4296857937)</f>
        <v>4296857937</v>
      </c>
      <c r="K1028" s="7">
        <v>992.8</v>
      </c>
      <c r="L1028" s="8">
        <f ca="1">IFERROR(__xludf.DUMMYFUNCTION("GOOGLEFINANCE(""NSE:""&amp;D1028,""price"")"),481.05)</f>
        <v>481.05</v>
      </c>
      <c r="M1028" s="9">
        <f t="shared" ca="1" si="22"/>
        <v>-511.74999999999994</v>
      </c>
      <c r="N1028" s="10">
        <f t="shared" ca="1" si="23"/>
        <v>-51.546132151490731</v>
      </c>
      <c r="O1028" s="7">
        <f ca="1">IFERROR(__xludf.DUMMYFUNCTION("GOOGLEFINANCE(""NSE:""&amp;D1028,""pe"")"),26.49)</f>
        <v>26.49</v>
      </c>
      <c r="P1028" s="7">
        <f ca="1">IFERROR(__xludf.DUMMYFUNCTION("GOOGLEFINANCE(""NSE:""&amp;D1028,""EPS"")"),18.16)</f>
        <v>18.16</v>
      </c>
      <c r="Q1028" s="7">
        <v>13.5</v>
      </c>
      <c r="R1028" s="7" t="str">
        <f ca="1">IFERROR(__xludf.DUMMYFUNCTION("IMPORTXML(E1028,""/html/body/main/div[3]/div[3]/div[2]/ul/li[7]/span[2]/span"")"),"Loading...")</f>
        <v>Loading...</v>
      </c>
      <c r="S1028" s="7" t="str">
        <f ca="1">IFERROR(__xludf.DUMMYFUNCTION("IMPORTXML(E1028,""/html/body/main/div[3]/div[3]/div[2]/ul/li[8]/span[2]/span"")"),"Loading...")</f>
        <v>Loading...</v>
      </c>
      <c r="T1028" s="4">
        <v>34.6</v>
      </c>
      <c r="U1028" s="4">
        <v>22.7</v>
      </c>
      <c r="V1028" s="4">
        <v>2.6</v>
      </c>
      <c r="W1028" s="4">
        <v>5.7</v>
      </c>
      <c r="X1028" s="4">
        <v>519.92999999999995</v>
      </c>
      <c r="Y1028" s="7">
        <f t="shared" ca="1" si="24"/>
        <v>-38.879999999999939</v>
      </c>
    </row>
    <row r="1029" spans="1:25" ht="15" x14ac:dyDescent="0.25">
      <c r="A1029" s="4">
        <v>1195</v>
      </c>
      <c r="C1029" s="12" t="s">
        <v>2600</v>
      </c>
      <c r="D1029" s="12" t="s">
        <v>2601</v>
      </c>
      <c r="E1029" s="5" t="str">
        <f t="shared" si="20"/>
        <v>https://www.screener.in/company/KAMOPAINTS/consolidated/</v>
      </c>
      <c r="F1029" s="4">
        <v>443059</v>
      </c>
      <c r="G1029" s="4">
        <v>3832241897</v>
      </c>
      <c r="H1029" s="6">
        <f t="shared" ca="1" si="21"/>
        <v>3598.4751412830001</v>
      </c>
      <c r="I1029" s="7" t="str">
        <f ca="1">IFERROR(__xludf.DUMMYFUNCTION("IMPORTXML(E1029,""/html/body/main/div[3]/div[3]/div[2]/ul/li[5]/span[2]/span"")"),"Loading...")</f>
        <v>Loading...</v>
      </c>
      <c r="J1029" s="7">
        <f ca="1">IFERROR(__xludf.DUMMYFUNCTION("GOOGLEFINANCE(""NSE:""&amp;D1029,""marketcap"")"),2942342270)</f>
        <v>2942342270</v>
      </c>
      <c r="K1029" s="7">
        <v>992.8</v>
      </c>
      <c r="L1029" s="8">
        <f ca="1">IFERROR(__xludf.DUMMYFUNCTION("GOOGLEFINANCE(""NSE:""&amp;D1029,""price"")"),9.39)</f>
        <v>9.39</v>
      </c>
      <c r="M1029" s="9">
        <f t="shared" ca="1" si="22"/>
        <v>-983.41</v>
      </c>
      <c r="N1029" s="10">
        <f t="shared" ca="1" si="23"/>
        <v>-99.054190169218373</v>
      </c>
      <c r="O1029" s="7">
        <f ca="1">IFERROR(__xludf.DUMMYFUNCTION("GOOGLEFINANCE(""NSE:""&amp;D1029,""pe"")"),50.01)</f>
        <v>50.01</v>
      </c>
      <c r="P1029" s="7">
        <f ca="1">IFERROR(__xludf.DUMMYFUNCTION("GOOGLEFINANCE(""NSE:""&amp;D1029,""EPS"")"),0.19)</f>
        <v>0.19</v>
      </c>
      <c r="Q1029" s="7">
        <v>13.5</v>
      </c>
      <c r="R1029" s="7" t="str">
        <f ca="1">IFERROR(__xludf.DUMMYFUNCTION("IMPORTXML(E1029,""/html/body/main/div[3]/div[3]/div[2]/ul/li[7]/span[2]/span"")"),"Loading...")</f>
        <v>Loading...</v>
      </c>
      <c r="S1029" s="7" t="str">
        <f ca="1">IFERROR(__xludf.DUMMYFUNCTION("IMPORTXML(E1029,""/html/body/main/div[3]/div[3]/div[2]/ul/li[8]/span[2]/span"")"),"Loading...")</f>
        <v>Loading...</v>
      </c>
      <c r="T1029" s="4">
        <v>34.6</v>
      </c>
      <c r="U1029" s="4">
        <v>22.7</v>
      </c>
      <c r="V1029" s="4">
        <v>2.6</v>
      </c>
      <c r="W1029" s="4">
        <v>5.7</v>
      </c>
      <c r="X1029" s="4">
        <v>519.92999999999995</v>
      </c>
      <c r="Y1029" s="7">
        <f t="shared" ca="1" si="24"/>
        <v>-510.53999999999996</v>
      </c>
    </row>
    <row r="1030" spans="1:25" ht="15" x14ac:dyDescent="0.25">
      <c r="A1030" s="4">
        <v>307</v>
      </c>
      <c r="C1030" s="12" t="s">
        <v>2602</v>
      </c>
      <c r="D1030" s="12" t="s">
        <v>2603</v>
      </c>
      <c r="E1030" s="5" t="str">
        <f t="shared" si="20"/>
        <v>https://www.screener.in/company/ESABINDIA/consolidated/</v>
      </c>
      <c r="F1030" s="4">
        <v>443059</v>
      </c>
      <c r="G1030" s="4">
        <v>3832241897</v>
      </c>
      <c r="H1030" s="6">
        <f t="shared" ca="1" si="21"/>
        <v>1962874.2996433999</v>
      </c>
      <c r="I1030" s="7" t="str">
        <f ca="1">IFERROR(__xludf.DUMMYFUNCTION("IMPORTXML(E1030,""/html/body/main/div[3]/div[3]/div[2]/ul/li[5]/span[2]/span"")"),"Loading...")</f>
        <v>Loading...</v>
      </c>
      <c r="J1030" s="7">
        <f ca="1">IFERROR(__xludf.DUMMYFUNCTION("GOOGLEFINANCE(""NSE:""&amp;D1030,""marketcap"")"),78836042219)</f>
        <v>78836042219</v>
      </c>
      <c r="K1030" s="7">
        <v>992.8</v>
      </c>
      <c r="L1030" s="8">
        <f ca="1">IFERROR(__xludf.DUMMYFUNCTION("GOOGLEFINANCE(""NSE:""&amp;D1030,""price"")"),5122)</f>
        <v>5122</v>
      </c>
      <c r="M1030" s="9">
        <f t="shared" ca="1" si="22"/>
        <v>4129.2</v>
      </c>
      <c r="N1030" s="10">
        <f t="shared" ca="1" si="23"/>
        <v>415.914585012087</v>
      </c>
      <c r="O1030" s="7">
        <f ca="1">IFERROR(__xludf.DUMMYFUNCTION("GOOGLEFINANCE(""NSE:""&amp;D1030,""pe"")"),45.86)</f>
        <v>45.86</v>
      </c>
      <c r="P1030" s="7">
        <f ca="1">IFERROR(__xludf.DUMMYFUNCTION("GOOGLEFINANCE(""NSE:""&amp;D1030,""EPS"")"),111.68)</f>
        <v>111.68</v>
      </c>
      <c r="Q1030" s="7">
        <v>13.5</v>
      </c>
      <c r="R1030" s="7" t="str">
        <f ca="1">IFERROR(__xludf.DUMMYFUNCTION("IMPORTXML(E1030,""/html/body/main/div[3]/div[3]/div[2]/ul/li[7]/span[2]/span"")"),"Loading...")</f>
        <v>Loading...</v>
      </c>
      <c r="S1030" s="7" t="str">
        <f ca="1">IFERROR(__xludf.DUMMYFUNCTION("IMPORTXML(E1030,""/html/body/main/div[3]/div[3]/div[2]/ul/li[8]/span[2]/span"")"),"Loading...")</f>
        <v>Loading...</v>
      </c>
      <c r="T1030" s="4">
        <v>34.6</v>
      </c>
      <c r="U1030" s="4">
        <v>22.7</v>
      </c>
      <c r="V1030" s="4">
        <v>2.6</v>
      </c>
      <c r="W1030" s="4">
        <v>5.7</v>
      </c>
      <c r="X1030" s="4">
        <v>519.92999999999995</v>
      </c>
      <c r="Y1030" s="7">
        <f t="shared" ca="1" si="24"/>
        <v>4602.07</v>
      </c>
    </row>
    <row r="1031" spans="1:25" ht="15" x14ac:dyDescent="0.25">
      <c r="A1031" s="4">
        <v>209</v>
      </c>
      <c r="C1031" s="12" t="s">
        <v>2604</v>
      </c>
      <c r="D1031" s="12" t="s">
        <v>2605</v>
      </c>
      <c r="E1031" s="5" t="str">
        <f t="shared" si="20"/>
        <v>https://www.screener.in/company/INGERRAND/consolidated/</v>
      </c>
      <c r="F1031" s="4">
        <v>443059</v>
      </c>
      <c r="G1031" s="4">
        <v>3832241897</v>
      </c>
      <c r="H1031" s="6">
        <f t="shared" ca="1" si="21"/>
        <v>1460314.0972708198</v>
      </c>
      <c r="I1031" s="7" t="str">
        <f ca="1">IFERROR(__xludf.DUMMYFUNCTION("IMPORTXML(E1031,""/html/body/main/div[3]/div[3]/div[2]/ul/li[5]/span[2]/span"")"),"Loading...")</f>
        <v>Loading...</v>
      </c>
      <c r="J1031" s="7">
        <f ca="1">IFERROR(__xludf.DUMMYFUNCTION("GOOGLEFINANCE(""NSE:""&amp;D1031,""marketcap"")"),120138300000)</f>
        <v>120138300000</v>
      </c>
      <c r="K1031" s="7">
        <v>992.8</v>
      </c>
      <c r="L1031" s="8">
        <f ca="1">IFERROR(__xludf.DUMMYFUNCTION("GOOGLEFINANCE(""NSE:""&amp;D1031,""price"")"),3810.6)</f>
        <v>3810.6</v>
      </c>
      <c r="M1031" s="9">
        <f t="shared" ca="1" si="22"/>
        <v>2817.8</v>
      </c>
      <c r="N1031" s="10">
        <f t="shared" ca="1" si="23"/>
        <v>283.8235294117647</v>
      </c>
      <c r="O1031" s="7">
        <f ca="1">IFERROR(__xludf.DUMMYFUNCTION("GOOGLEFINANCE(""NSE:""&amp;D1031,""pe"")"),45.45)</f>
        <v>45.45</v>
      </c>
      <c r="P1031" s="7">
        <f ca="1">IFERROR(__xludf.DUMMYFUNCTION("GOOGLEFINANCE(""NSE:""&amp;D1031,""EPS"")"),83.83)</f>
        <v>83.83</v>
      </c>
      <c r="Q1031" s="7">
        <v>13.5</v>
      </c>
      <c r="R1031" s="7" t="str">
        <f ca="1">IFERROR(__xludf.DUMMYFUNCTION("IMPORTXML(E1031,""/html/body/main/div[3]/div[3]/div[2]/ul/li[7]/span[2]/span"")"),"Loading...")</f>
        <v>Loading...</v>
      </c>
      <c r="S1031" s="7" t="str">
        <f ca="1">IFERROR(__xludf.DUMMYFUNCTION("IMPORTXML(E1031,""/html/body/main/div[3]/div[3]/div[2]/ul/li[8]/span[2]/span"")"),"Loading...")</f>
        <v>Loading...</v>
      </c>
      <c r="T1031" s="4">
        <v>34.6</v>
      </c>
      <c r="U1031" s="4">
        <v>22.7</v>
      </c>
      <c r="V1031" s="4">
        <v>2.6</v>
      </c>
      <c r="W1031" s="4">
        <v>5.7</v>
      </c>
      <c r="X1031" s="4">
        <v>519.92999999999995</v>
      </c>
      <c r="Y1031" s="7">
        <f t="shared" ca="1" si="24"/>
        <v>3290.67</v>
      </c>
    </row>
    <row r="1032" spans="1:25" ht="15" x14ac:dyDescent="0.25">
      <c r="A1032" s="4">
        <v>469</v>
      </c>
      <c r="C1032" s="12" t="s">
        <v>2606</v>
      </c>
      <c r="D1032" s="12" t="s">
        <v>2607</v>
      </c>
      <c r="E1032" s="5" t="str">
        <f t="shared" si="20"/>
        <v>https://www.screener.in/company/PRINCEPIPE/consolidated/</v>
      </c>
      <c r="F1032" s="4">
        <v>443059</v>
      </c>
      <c r="G1032" s="4">
        <v>3832241897</v>
      </c>
      <c r="H1032" s="6">
        <f t="shared" ca="1" si="21"/>
        <v>125218.503984475</v>
      </c>
      <c r="I1032" s="7" t="str">
        <f ca="1">IFERROR(__xludf.DUMMYFUNCTION("IMPORTXML(E1032,""/html/body/main/div[3]/div[3]/div[2]/ul/li[5]/span[2]/span"")"),"Loading...")</f>
        <v>Loading...</v>
      </c>
      <c r="J1032" s="7">
        <f ca="1">IFERROR(__xludf.DUMMYFUNCTION("GOOGLEFINANCE(""NSE:""&amp;D1032,""marketcap"")"),35977534286)</f>
        <v>35977534286</v>
      </c>
      <c r="K1032" s="7">
        <v>992.8</v>
      </c>
      <c r="L1032" s="8">
        <f ca="1">IFERROR(__xludf.DUMMYFUNCTION("GOOGLEFINANCE(""NSE:""&amp;D1032,""price"")"),326.75)</f>
        <v>326.75</v>
      </c>
      <c r="M1032" s="9">
        <f t="shared" ca="1" si="22"/>
        <v>-666.05</v>
      </c>
      <c r="N1032" s="10">
        <f t="shared" ca="1" si="23"/>
        <v>-67.088033843674452</v>
      </c>
      <c r="O1032" s="7">
        <f ca="1">IFERROR(__xludf.DUMMYFUNCTION("GOOGLEFINANCE(""NSE:""&amp;D1032,""pe"")"),154.04)</f>
        <v>154.04</v>
      </c>
      <c r="P1032" s="7">
        <f ca="1">IFERROR(__xludf.DUMMYFUNCTION("GOOGLEFINANCE(""NSE:""&amp;D1032,""EPS"")"),2.12)</f>
        <v>2.12</v>
      </c>
      <c r="Q1032" s="7">
        <v>13.5</v>
      </c>
      <c r="R1032" s="7" t="str">
        <f ca="1">IFERROR(__xludf.DUMMYFUNCTION("IMPORTXML(E1032,""/html/body/main/div[3]/div[3]/div[2]/ul/li[7]/span[2]/span"")"),"Loading...")</f>
        <v>Loading...</v>
      </c>
      <c r="S1032" s="7" t="str">
        <f ca="1">IFERROR(__xludf.DUMMYFUNCTION("IMPORTXML(E1032,""/html/body/main/div[3]/div[3]/div[2]/ul/li[8]/span[2]/span"")"),"Loading...")</f>
        <v>Loading...</v>
      </c>
      <c r="T1032" s="4">
        <v>34.6</v>
      </c>
      <c r="U1032" s="4">
        <v>22.7</v>
      </c>
      <c r="V1032" s="4">
        <v>2.6</v>
      </c>
      <c r="W1032" s="4">
        <v>5.7</v>
      </c>
      <c r="X1032" s="4">
        <v>519.92999999999995</v>
      </c>
      <c r="Y1032" s="7">
        <f t="shared" ca="1" si="24"/>
        <v>-193.17999999999995</v>
      </c>
    </row>
    <row r="1033" spans="1:25" ht="15" x14ac:dyDescent="0.25">
      <c r="A1033" s="4">
        <v>550</v>
      </c>
      <c r="C1033" s="12" t="s">
        <v>2608</v>
      </c>
      <c r="D1033" s="12" t="s">
        <v>2609</v>
      </c>
      <c r="E1033" s="5" t="str">
        <f t="shared" si="20"/>
        <v>https://www.screener.in/company/THYROCARE/consolidated/</v>
      </c>
      <c r="F1033" s="4">
        <v>443059</v>
      </c>
      <c r="G1033" s="4">
        <v>3832241897</v>
      </c>
      <c r="H1033" s="6">
        <f t="shared" ca="1" si="21"/>
        <v>508730.11182674998</v>
      </c>
      <c r="I1033" s="7" t="str">
        <f ca="1">IFERROR(__xludf.DUMMYFUNCTION("IMPORTXML(E1033,""/html/body/main/div[3]/div[3]/div[2]/ul/li[5]/span[2]/span"")"),"Loading...")</f>
        <v>Loading...</v>
      </c>
      <c r="J1033" s="7">
        <f ca="1">IFERROR(__xludf.DUMMYFUNCTION("GOOGLEFINANCE(""NSE:""&amp;D1033,""marketcap"")"),70350119100)</f>
        <v>70350119100</v>
      </c>
      <c r="K1033" s="7">
        <v>992.8</v>
      </c>
      <c r="L1033" s="8">
        <f ca="1">IFERROR(__xludf.DUMMYFUNCTION("GOOGLEFINANCE(""NSE:""&amp;D1033,""price"")"),1327.5)</f>
        <v>1327.5</v>
      </c>
      <c r="M1033" s="9">
        <f t="shared" ca="1" si="22"/>
        <v>334.70000000000005</v>
      </c>
      <c r="N1033" s="10">
        <f t="shared" ca="1" si="23"/>
        <v>33.712731668009674</v>
      </c>
      <c r="O1033" s="7">
        <f ca="1">IFERROR(__xludf.DUMMYFUNCTION("GOOGLEFINANCE(""NSE:""&amp;D1033,""pe"")"),65.78)</f>
        <v>65.78</v>
      </c>
      <c r="P1033" s="7">
        <f ca="1">IFERROR(__xludf.DUMMYFUNCTION("GOOGLEFINANCE(""NSE:""&amp;D1033,""EPS"")"),20.18)</f>
        <v>20.18</v>
      </c>
      <c r="Q1033" s="7">
        <v>13.5</v>
      </c>
      <c r="R1033" s="7" t="str">
        <f ca="1">IFERROR(__xludf.DUMMYFUNCTION("IMPORTXML(E1033,""/html/body/main/div[3]/div[3]/div[2]/ul/li[7]/span[2]/span"")"),"Loading...")</f>
        <v>Loading...</v>
      </c>
      <c r="S1033" s="7" t="str">
        <f ca="1">IFERROR(__xludf.DUMMYFUNCTION("IMPORTXML(E1033,""/html/body/main/div[3]/div[3]/div[2]/ul/li[8]/span[2]/span"")"),"Loading...")</f>
        <v>Loading...</v>
      </c>
      <c r="T1033" s="4">
        <v>34.6</v>
      </c>
      <c r="U1033" s="4">
        <v>22.7</v>
      </c>
      <c r="V1033" s="4">
        <v>2.6</v>
      </c>
      <c r="W1033" s="4">
        <v>5.7</v>
      </c>
      <c r="X1033" s="4">
        <v>519.92999999999995</v>
      </c>
      <c r="Y1033" s="7">
        <f t="shared" ca="1" si="24"/>
        <v>807.57</v>
      </c>
    </row>
    <row r="1034" spans="1:25" ht="15" x14ac:dyDescent="0.25">
      <c r="A1034" s="4">
        <v>1296</v>
      </c>
      <c r="C1034" s="12" t="s">
        <v>2610</v>
      </c>
      <c r="D1034" s="12" t="s">
        <v>2611</v>
      </c>
      <c r="E1034" s="5" t="str">
        <f t="shared" si="20"/>
        <v>https://www.screener.in/company/LIBERTSHOE/consolidated/</v>
      </c>
      <c r="F1034" s="4">
        <v>443059</v>
      </c>
      <c r="G1034" s="4">
        <v>3832241897</v>
      </c>
      <c r="H1034" s="6">
        <f t="shared" ca="1" si="21"/>
        <v>128188.49145464999</v>
      </c>
      <c r="I1034" s="7" t="str">
        <f ca="1">IFERROR(__xludf.DUMMYFUNCTION("IMPORTXML(E1034,""/html/body/main/div[3]/div[3]/div[2]/ul/li[5]/span[2]/span"")"),"Loading...")</f>
        <v>Loading...</v>
      </c>
      <c r="J1034" s="7">
        <f ca="1">IFERROR(__xludf.DUMMYFUNCTION("GOOGLEFINANCE(""NSE:""&amp;D1034,""marketcap"")"),5682840000)</f>
        <v>5682840000</v>
      </c>
      <c r="K1034" s="7">
        <v>992.8</v>
      </c>
      <c r="L1034" s="8">
        <f ca="1">IFERROR(__xludf.DUMMYFUNCTION("GOOGLEFINANCE(""NSE:""&amp;D1034,""price"")"),334.5)</f>
        <v>334.5</v>
      </c>
      <c r="M1034" s="9">
        <f t="shared" ca="1" si="22"/>
        <v>-658.3</v>
      </c>
      <c r="N1034" s="10">
        <f t="shared" ca="1" si="23"/>
        <v>-66.307413376309427</v>
      </c>
      <c r="O1034" s="7">
        <f ca="1">IFERROR(__xludf.DUMMYFUNCTION("GOOGLEFINANCE(""NSE:""&amp;D1034,""pe"")"),46.68)</f>
        <v>46.68</v>
      </c>
      <c r="P1034" s="7">
        <f ca="1">IFERROR(__xludf.DUMMYFUNCTION("GOOGLEFINANCE(""NSE:""&amp;D1034,""EPS"")"),7.17)</f>
        <v>7.17</v>
      </c>
      <c r="Q1034" s="7">
        <v>13.5</v>
      </c>
      <c r="R1034" s="7" t="str">
        <f ca="1">IFERROR(__xludf.DUMMYFUNCTION("IMPORTXML(E1034,""/html/body/main/div[3]/div[3]/div[2]/ul/li[7]/span[2]/span"")"),"Loading...")</f>
        <v>Loading...</v>
      </c>
      <c r="S1034" s="7" t="str">
        <f ca="1">IFERROR(__xludf.DUMMYFUNCTION("IMPORTXML(E1034,""/html/body/main/div[3]/div[3]/div[2]/ul/li[8]/span[2]/span"")"),"Loading...")</f>
        <v>Loading...</v>
      </c>
      <c r="T1034" s="4">
        <v>34.6</v>
      </c>
      <c r="U1034" s="4">
        <v>22.7</v>
      </c>
      <c r="V1034" s="4">
        <v>2.6</v>
      </c>
      <c r="W1034" s="4">
        <v>5.7</v>
      </c>
      <c r="X1034" s="4">
        <v>519.92999999999995</v>
      </c>
      <c r="Y1034" s="7">
        <f t="shared" ca="1" si="24"/>
        <v>-185.42999999999995</v>
      </c>
    </row>
    <row r="1035" spans="1:25" ht="15" x14ac:dyDescent="0.25">
      <c r="A1035" s="4">
        <v>2657</v>
      </c>
      <c r="C1035" s="12" t="s">
        <v>2612</v>
      </c>
      <c r="D1035" s="12" t="s">
        <v>2613</v>
      </c>
      <c r="E1035" s="5" t="str">
        <f t="shared" si="20"/>
        <v>https://www.screener.in/company/KAVVERITEL/consolidated/</v>
      </c>
      <c r="F1035" s="4">
        <v>443059</v>
      </c>
      <c r="G1035" s="4">
        <v>3832241897</v>
      </c>
      <c r="H1035" s="6" t="e">
        <f t="shared" ca="1" si="21"/>
        <v>#VALUE!</v>
      </c>
      <c r="I1035" s="7" t="str">
        <f ca="1">IFERROR(__xludf.DUMMYFUNCTION("IMPORTXML(E1035,""/html/body/main/div[3]/div[3]/div[2]/ul/li[5]/span[2]/span"")"),"#N/A")</f>
        <v>#N/A</v>
      </c>
      <c r="J1035" s="7" t="str">
        <f ca="1">IFERROR(__xludf.DUMMYFUNCTION("GOOGLEFINANCE(""NSE:""&amp;D1035,""marketcap"")"),"#N/A")</f>
        <v>#N/A</v>
      </c>
      <c r="K1035" s="7">
        <v>992.8</v>
      </c>
      <c r="L1035" s="8" t="str">
        <f ca="1">IFERROR(__xludf.DUMMYFUNCTION("GOOGLEFINANCE(""NSE:""&amp;D1035,""price"")"),"#N/A")</f>
        <v>#N/A</v>
      </c>
      <c r="M1035" s="9" t="e">
        <f t="shared" ca="1" si="22"/>
        <v>#VALUE!</v>
      </c>
      <c r="N1035" s="10" t="e">
        <f t="shared" ca="1" si="23"/>
        <v>#VALUE!</v>
      </c>
      <c r="O1035" s="7" t="str">
        <f ca="1">IFERROR(__xludf.DUMMYFUNCTION("GOOGLEFINANCE(""NSE:""&amp;D1035,""pe"")"),"#N/A")</f>
        <v>#N/A</v>
      </c>
      <c r="P1035" s="7" t="str">
        <f ca="1">IFERROR(__xludf.DUMMYFUNCTION("GOOGLEFINANCE(""NSE:""&amp;D1035,""EPS"")"),"#N/A")</f>
        <v>#N/A</v>
      </c>
      <c r="Q1035" s="7">
        <v>13.5</v>
      </c>
      <c r="R1035" s="7" t="str">
        <f ca="1">IFERROR(__xludf.DUMMYFUNCTION("IMPORTXML(E1035,""/html/body/main/div[3]/div[3]/div[2]/ul/li[7]/span[2]/span"")"),"Loading...")</f>
        <v>Loading...</v>
      </c>
      <c r="S1035" s="7" t="str">
        <f ca="1">IFERROR(__xludf.DUMMYFUNCTION("IMPORTXML(E1035,""/html/body/main/div[3]/div[3]/div[2]/ul/li[8]/span[2]/span"")"),"Loading...")</f>
        <v>Loading...</v>
      </c>
      <c r="T1035" s="4">
        <v>34.6</v>
      </c>
      <c r="U1035" s="4">
        <v>22.7</v>
      </c>
      <c r="V1035" s="4">
        <v>2.6</v>
      </c>
      <c r="W1035" s="4">
        <v>5.7</v>
      </c>
      <c r="X1035" s="4">
        <v>519.92999999999995</v>
      </c>
      <c r="Y1035" s="7" t="e">
        <f t="shared" ca="1" si="24"/>
        <v>#VALUE!</v>
      </c>
    </row>
    <row r="1036" spans="1:25" ht="15" x14ac:dyDescent="0.25">
      <c r="A1036" s="4">
        <v>1243</v>
      </c>
      <c r="C1036" s="12" t="s">
        <v>2614</v>
      </c>
      <c r="D1036" s="12" t="s">
        <v>2615</v>
      </c>
      <c r="E1036" s="5" t="str">
        <f t="shared" si="20"/>
        <v>https://www.screener.in/company/SILVERTUC/consolidated/</v>
      </c>
      <c r="F1036" s="4">
        <v>443059</v>
      </c>
      <c r="G1036" s="4">
        <v>3832241897</v>
      </c>
      <c r="H1036" s="6">
        <f t="shared" ca="1" si="21"/>
        <v>265478.55741467502</v>
      </c>
      <c r="I1036" s="7" t="str">
        <f ca="1">IFERROR(__xludf.DUMMYFUNCTION("IMPORTXML(E1036,""/html/body/main/div[3]/div[3]/div[2]/ul/li[5]/span[2]/span"")"),"Loading...")</f>
        <v>Loading...</v>
      </c>
      <c r="J1036" s="7">
        <f ca="1">IFERROR(__xludf.DUMMYFUNCTION("GOOGLEFINANCE(""NSE:""&amp;D1036,""marketcap"")"),8784762750)</f>
        <v>8784762750</v>
      </c>
      <c r="K1036" s="7">
        <v>992.8</v>
      </c>
      <c r="L1036" s="8">
        <f ca="1">IFERROR(__xludf.DUMMYFUNCTION("GOOGLEFINANCE(""NSE:""&amp;D1036,""price"")"),692.75)</f>
        <v>692.75</v>
      </c>
      <c r="M1036" s="9">
        <f t="shared" ca="1" si="22"/>
        <v>-300.04999999999995</v>
      </c>
      <c r="N1036" s="10">
        <f t="shared" ca="1" si="23"/>
        <v>-30.222602739726025</v>
      </c>
      <c r="O1036" s="7">
        <f ca="1">IFERROR(__xludf.DUMMYFUNCTION("GOOGLEFINANCE(""NSE:""&amp;D1036,""pe"")"),38.36)</f>
        <v>38.36</v>
      </c>
      <c r="P1036" s="7">
        <f ca="1">IFERROR(__xludf.DUMMYFUNCTION("GOOGLEFINANCE(""NSE:""&amp;D1036,""EPS"")"),18.06)</f>
        <v>18.059999999999999</v>
      </c>
      <c r="Q1036" s="7">
        <v>13.5</v>
      </c>
      <c r="R1036" s="7" t="str">
        <f ca="1">IFERROR(__xludf.DUMMYFUNCTION("IMPORTXML(E1036,""/html/body/main/div[3]/div[3]/div[2]/ul/li[7]/span[2]/span"")"),"Loading...")</f>
        <v>Loading...</v>
      </c>
      <c r="S1036" s="7" t="str">
        <f ca="1">IFERROR(__xludf.DUMMYFUNCTION("IMPORTXML(E1036,""/html/body/main/div[3]/div[3]/div[2]/ul/li[8]/span[2]/span"")"),"Loading...")</f>
        <v>Loading...</v>
      </c>
      <c r="T1036" s="4">
        <v>34.6</v>
      </c>
      <c r="U1036" s="4">
        <v>22.7</v>
      </c>
      <c r="V1036" s="4">
        <v>2.6</v>
      </c>
      <c r="W1036" s="4">
        <v>5.7</v>
      </c>
      <c r="X1036" s="4">
        <v>519.92999999999995</v>
      </c>
      <c r="Y1036" s="7">
        <f t="shared" ca="1" si="24"/>
        <v>172.82000000000005</v>
      </c>
    </row>
    <row r="1037" spans="1:25" ht="15" x14ac:dyDescent="0.25">
      <c r="A1037" s="4">
        <v>38</v>
      </c>
      <c r="C1037" s="12" t="s">
        <v>2616</v>
      </c>
      <c r="D1037" s="12" t="s">
        <v>2617</v>
      </c>
      <c r="E1037" s="5" t="str">
        <f t="shared" si="20"/>
        <v>https://www.screener.in/company/CROMPTON/consolidated/</v>
      </c>
      <c r="F1037" s="4">
        <v>443059</v>
      </c>
      <c r="G1037" s="4">
        <v>3832241897</v>
      </c>
      <c r="H1037" s="6">
        <f t="shared" ca="1" si="21"/>
        <v>125448.43849829501</v>
      </c>
      <c r="I1037" s="7" t="str">
        <f ca="1">IFERROR(__xludf.DUMMYFUNCTION("IMPORTXML(E1037,""/html/body/main/div[3]/div[3]/div[2]/ul/li[5]/span[2]/span"")"),"Loading...")</f>
        <v>Loading...</v>
      </c>
      <c r="J1037" s="7">
        <f ca="1">IFERROR(__xludf.DUMMYFUNCTION("GOOGLEFINANCE(""NSE:""&amp;D1037,""marketcap"")"),210765250744)</f>
        <v>210765250744</v>
      </c>
      <c r="K1037" s="7">
        <v>992.8</v>
      </c>
      <c r="L1037" s="8">
        <f ca="1">IFERROR(__xludf.DUMMYFUNCTION("GOOGLEFINANCE(""NSE:""&amp;D1037,""price"")"),327.35)</f>
        <v>327.35000000000002</v>
      </c>
      <c r="M1037" s="9">
        <f t="shared" ca="1" si="22"/>
        <v>-665.44999999999993</v>
      </c>
      <c r="N1037" s="10">
        <f t="shared" ca="1" si="23"/>
        <v>-67.027598710717157</v>
      </c>
      <c r="O1037" s="7">
        <f ca="1">IFERROR(__xludf.DUMMYFUNCTION("GOOGLEFINANCE(""NSE:""&amp;D1037,""pe"")"),40.03)</f>
        <v>40.03</v>
      </c>
      <c r="P1037" s="7">
        <f ca="1">IFERROR(__xludf.DUMMYFUNCTION("GOOGLEFINANCE(""NSE:""&amp;D1037,""EPS"")"),8.18)</f>
        <v>8.18</v>
      </c>
      <c r="Q1037" s="7">
        <v>13.5</v>
      </c>
      <c r="R1037" s="7" t="str">
        <f ca="1">IFERROR(__xludf.DUMMYFUNCTION("IMPORTXML(E1037,""/html/body/main/div[3]/div[3]/div[2]/ul/li[7]/span[2]/span"")"),"Loading...")</f>
        <v>Loading...</v>
      </c>
      <c r="S1037" s="7" t="str">
        <f ca="1">IFERROR(__xludf.DUMMYFUNCTION("IMPORTXML(E1037,""/html/body/main/div[3]/div[3]/div[2]/ul/li[8]/span[2]/span"")"),"Loading...")</f>
        <v>Loading...</v>
      </c>
      <c r="T1037" s="4">
        <v>34.6</v>
      </c>
      <c r="U1037" s="4">
        <v>22.7</v>
      </c>
      <c r="V1037" s="4">
        <v>2.6</v>
      </c>
      <c r="W1037" s="4">
        <v>5.7</v>
      </c>
      <c r="X1037" s="4">
        <v>519.92999999999995</v>
      </c>
      <c r="Y1037" s="7">
        <f t="shared" ca="1" si="24"/>
        <v>-192.57999999999993</v>
      </c>
    </row>
    <row r="1038" spans="1:25" ht="15" x14ac:dyDescent="0.25">
      <c r="A1038" s="4">
        <v>528</v>
      </c>
      <c r="C1038" s="12" t="s">
        <v>2618</v>
      </c>
      <c r="D1038" s="12" t="s">
        <v>2619</v>
      </c>
      <c r="E1038" s="5" t="str">
        <f t="shared" si="20"/>
        <v>https://www.screener.in/company/GOPAL/consolidated/</v>
      </c>
      <c r="F1038" s="4">
        <v>443059</v>
      </c>
      <c r="G1038" s="4">
        <v>3832241897</v>
      </c>
      <c r="H1038" s="6">
        <f t="shared" ca="1" si="21"/>
        <v>139072.05844212999</v>
      </c>
      <c r="I1038" s="7" t="str">
        <f ca="1">IFERROR(__xludf.DUMMYFUNCTION("IMPORTXML(E1038,""/html/body/main/div[3]/div[3]/div[2]/ul/li[5]/span[2]/span"")"),"Loading...")</f>
        <v>Loading...</v>
      </c>
      <c r="J1038" s="7">
        <f ca="1">IFERROR(__xludf.DUMMYFUNCTION("GOOGLEFINANCE(""NSE:""&amp;D1038,""marketcap"")"),45175950594)</f>
        <v>45175950594</v>
      </c>
      <c r="K1038" s="7">
        <v>992.8</v>
      </c>
      <c r="L1038" s="8">
        <f ca="1">IFERROR(__xludf.DUMMYFUNCTION("GOOGLEFINANCE(""NSE:""&amp;D1038,""price"")"),362.9)</f>
        <v>362.9</v>
      </c>
      <c r="M1038" s="9">
        <f t="shared" ca="1" si="22"/>
        <v>-629.9</v>
      </c>
      <c r="N1038" s="10">
        <f t="shared" ca="1" si="23"/>
        <v>-63.446817082997583</v>
      </c>
      <c r="O1038" s="7" t="str">
        <f ca="1">IFERROR(__xludf.DUMMYFUNCTION("GOOGLEFINANCE(""NSE:""&amp;D1038,""pe"")"),"#N/A")</f>
        <v>#N/A</v>
      </c>
      <c r="P1038" s="7">
        <f ca="1">IFERROR(__xludf.DUMMYFUNCTION("GOOGLEFINANCE(""NSE:""&amp;D1038,""EPS"")"),-0.22)</f>
        <v>-0.22</v>
      </c>
      <c r="Q1038" s="7">
        <v>13.5</v>
      </c>
      <c r="R1038" s="7" t="str">
        <f ca="1">IFERROR(__xludf.DUMMYFUNCTION("IMPORTXML(E1038,""/html/body/main/div[3]/div[3]/div[2]/ul/li[7]/span[2]/span"")"),"Loading...")</f>
        <v>Loading...</v>
      </c>
      <c r="S1038" s="7" t="str">
        <f ca="1">IFERROR(__xludf.DUMMYFUNCTION("IMPORTXML(E1038,""/html/body/main/div[3]/div[3]/div[2]/ul/li[8]/span[2]/span"")"),"Loading...")</f>
        <v>Loading...</v>
      </c>
      <c r="T1038" s="4">
        <v>34.6</v>
      </c>
      <c r="U1038" s="4">
        <v>22.7</v>
      </c>
      <c r="V1038" s="4">
        <v>2.6</v>
      </c>
      <c r="W1038" s="4">
        <v>5.7</v>
      </c>
      <c r="X1038" s="4">
        <v>519.92999999999995</v>
      </c>
      <c r="Y1038" s="7">
        <f t="shared" ca="1" si="24"/>
        <v>-157.02999999999997</v>
      </c>
    </row>
    <row r="1039" spans="1:25" ht="15" x14ac:dyDescent="0.25">
      <c r="A1039" s="4">
        <v>3049</v>
      </c>
      <c r="C1039" s="12" t="s">
        <v>2620</v>
      </c>
      <c r="D1039" s="12" t="s">
        <v>2621</v>
      </c>
      <c r="E1039" s="5" t="str">
        <f t="shared" si="20"/>
        <v>https://www.screener.in/company/KHANDSE/consolidated/</v>
      </c>
      <c r="F1039" s="4">
        <v>443059</v>
      </c>
      <c r="G1039" s="4">
        <v>3832241897</v>
      </c>
      <c r="H1039" s="6">
        <f t="shared" ca="1" si="21"/>
        <v>9120.7357148600004</v>
      </c>
      <c r="I1039" s="7" t="str">
        <f ca="1">IFERROR(__xludf.DUMMYFUNCTION("IMPORTXML(E1039,""/html/body/main/div[3]/div[3]/div[2]/ul/li[5]/span[2]/span"")"),"Loading...")</f>
        <v>Loading...</v>
      </c>
      <c r="J1039" s="7">
        <f ca="1">IFERROR(__xludf.DUMMYFUNCTION("GOOGLEFINANCE(""NSE:""&amp;D1039,""marketcap"")"),376921500)</f>
        <v>376921500</v>
      </c>
      <c r="K1039" s="7">
        <v>992.8</v>
      </c>
      <c r="L1039" s="8">
        <f ca="1">IFERROR(__xludf.DUMMYFUNCTION("GOOGLEFINANCE(""NSE:""&amp;D1039,""price"")"),23.8)</f>
        <v>23.8</v>
      </c>
      <c r="M1039" s="9">
        <f t="shared" ca="1" si="22"/>
        <v>-969</v>
      </c>
      <c r="N1039" s="10">
        <f t="shared" ca="1" si="23"/>
        <v>-97.602739726027394</v>
      </c>
      <c r="O1039" s="7" t="str">
        <f ca="1">IFERROR(__xludf.DUMMYFUNCTION("GOOGLEFINANCE(""NSE:""&amp;D1039,""pe"")"),"#N/A")</f>
        <v>#N/A</v>
      </c>
      <c r="P1039" s="7">
        <f ca="1">IFERROR(__xludf.DUMMYFUNCTION("GOOGLEFINANCE(""NSE:""&amp;D1039,""EPS"")"),-1.23)</f>
        <v>-1.23</v>
      </c>
      <c r="Q1039" s="7">
        <v>13.5</v>
      </c>
      <c r="R1039" s="7" t="str">
        <f ca="1">IFERROR(__xludf.DUMMYFUNCTION("IMPORTXML(E1039,""/html/body/main/div[3]/div[3]/div[2]/ul/li[7]/span[2]/span"")"),"Loading...")</f>
        <v>Loading...</v>
      </c>
      <c r="S1039" s="7" t="str">
        <f ca="1">IFERROR(__xludf.DUMMYFUNCTION("IMPORTXML(E1039,""/html/body/main/div[3]/div[3]/div[2]/ul/li[8]/span[2]/span"")"),"Loading...")</f>
        <v>Loading...</v>
      </c>
      <c r="T1039" s="4">
        <v>34.6</v>
      </c>
      <c r="U1039" s="4">
        <v>22.7</v>
      </c>
      <c r="V1039" s="4">
        <v>2.6</v>
      </c>
      <c r="W1039" s="4">
        <v>5.7</v>
      </c>
      <c r="X1039" s="4">
        <v>519.92999999999995</v>
      </c>
      <c r="Y1039" s="7">
        <f t="shared" ca="1" si="24"/>
        <v>-496.12999999999994</v>
      </c>
    </row>
    <row r="1040" spans="1:25" ht="15" x14ac:dyDescent="0.25">
      <c r="A1040" s="4">
        <v>1113</v>
      </c>
      <c r="C1040" s="12" t="s">
        <v>2622</v>
      </c>
      <c r="D1040" s="12" t="s">
        <v>2623</v>
      </c>
      <c r="E1040" s="5" t="str">
        <f t="shared" si="20"/>
        <v>https://www.screener.in/company/GULPOLY/consolidated/</v>
      </c>
      <c r="F1040" s="4">
        <v>443059</v>
      </c>
      <c r="G1040" s="4">
        <v>3832241897</v>
      </c>
      <c r="H1040" s="6">
        <f t="shared" ca="1" si="21"/>
        <v>61844.719733785998</v>
      </c>
      <c r="I1040" s="7" t="str">
        <f ca="1">IFERROR(__xludf.DUMMYFUNCTION("IMPORTXML(E1040,""/html/body/main/div[3]/div[3]/div[2]/ul/li[5]/span[2]/span"")"),"Loading...")</f>
        <v>Loading...</v>
      </c>
      <c r="J1040" s="7">
        <f ca="1">IFERROR(__xludf.DUMMYFUNCTION("GOOGLEFINANCE(""NSE:""&amp;D1040,""marketcap"")"),10035157395)</f>
        <v>10035157395</v>
      </c>
      <c r="K1040" s="7">
        <v>992.8</v>
      </c>
      <c r="L1040" s="8">
        <f ca="1">IFERROR(__xludf.DUMMYFUNCTION("GOOGLEFINANCE(""NSE:""&amp;D1040,""price"")"),161.38)</f>
        <v>161.38</v>
      </c>
      <c r="M1040" s="9">
        <f t="shared" ca="1" si="22"/>
        <v>-831.42</v>
      </c>
      <c r="N1040" s="10">
        <f t="shared" ca="1" si="23"/>
        <v>-83.744963738920234</v>
      </c>
      <c r="O1040" s="7">
        <f ca="1">IFERROR(__xludf.DUMMYFUNCTION("GOOGLEFINANCE(""NSE:""&amp;D1040,""pe"")"),35.74)</f>
        <v>35.74</v>
      </c>
      <c r="P1040" s="7">
        <f ca="1">IFERROR(__xludf.DUMMYFUNCTION("GOOGLEFINANCE(""NSE:""&amp;D1040,""EPS"")"),4.52)</f>
        <v>4.5199999999999996</v>
      </c>
      <c r="Q1040" s="7">
        <v>13.5</v>
      </c>
      <c r="R1040" s="7" t="str">
        <f ca="1">IFERROR(__xludf.DUMMYFUNCTION("IMPORTXML(E1040,""/html/body/main/div[3]/div[3]/div[2]/ul/li[7]/span[2]/span"")"),"Loading...")</f>
        <v>Loading...</v>
      </c>
      <c r="S1040" s="7" t="str">
        <f ca="1">IFERROR(__xludf.DUMMYFUNCTION("IMPORTXML(E1040,""/html/body/main/div[3]/div[3]/div[2]/ul/li[8]/span[2]/span"")"),"Loading...")</f>
        <v>Loading...</v>
      </c>
      <c r="T1040" s="4">
        <v>34.6</v>
      </c>
      <c r="U1040" s="4">
        <v>22.7</v>
      </c>
      <c r="V1040" s="4">
        <v>2.6</v>
      </c>
      <c r="W1040" s="4">
        <v>5.7</v>
      </c>
      <c r="X1040" s="4">
        <v>519.92999999999995</v>
      </c>
      <c r="Y1040" s="7">
        <f t="shared" ca="1" si="24"/>
        <v>-358.54999999999995</v>
      </c>
    </row>
    <row r="1041" spans="1:25" ht="15" x14ac:dyDescent="0.25">
      <c r="A1041" s="4">
        <v>142</v>
      </c>
      <c r="C1041" s="12" t="s">
        <v>2624</v>
      </c>
      <c r="D1041" s="12" t="s">
        <v>2625</v>
      </c>
      <c r="E1041" s="5" t="str">
        <f t="shared" si="20"/>
        <v>https://www.screener.in/company/BEML/consolidated/</v>
      </c>
      <c r="F1041" s="4">
        <v>443059</v>
      </c>
      <c r="G1041" s="4">
        <v>3832241897</v>
      </c>
      <c r="H1041" s="6">
        <f t="shared" ca="1" si="21"/>
        <v>1567003.7116833001</v>
      </c>
      <c r="I1041" s="7" t="str">
        <f ca="1">IFERROR(__xludf.DUMMYFUNCTION("IMPORTXML(E1041,""/html/body/main/div[3]/div[3]/div[2]/ul/li[5]/span[2]/span"")"),"Loading...")</f>
        <v>Loading...</v>
      </c>
      <c r="J1041" s="7">
        <f ca="1">IFERROR(__xludf.DUMMYFUNCTION("GOOGLEFINANCE(""NSE:""&amp;D1041,""marketcap"")"),170825335200)</f>
        <v>170825335200</v>
      </c>
      <c r="K1041" s="7">
        <v>992.8</v>
      </c>
      <c r="L1041" s="8">
        <f ca="1">IFERROR(__xludf.DUMMYFUNCTION("GOOGLEFINANCE(""NSE:""&amp;D1041,""price"")"),4089)</f>
        <v>4089</v>
      </c>
      <c r="M1041" s="9">
        <f t="shared" ca="1" si="22"/>
        <v>3096.2</v>
      </c>
      <c r="N1041" s="10">
        <f t="shared" ca="1" si="23"/>
        <v>311.86543110394842</v>
      </c>
      <c r="O1041" s="7">
        <f ca="1">IFERROR(__xludf.DUMMYFUNCTION("GOOGLEFINANCE(""NSE:""&amp;D1041,""pe"")"),56.98)</f>
        <v>56.98</v>
      </c>
      <c r="P1041" s="7">
        <f ca="1">IFERROR(__xludf.DUMMYFUNCTION("GOOGLEFINANCE(""NSE:""&amp;D1041,""EPS"")"),71.76)</f>
        <v>71.760000000000005</v>
      </c>
      <c r="Q1041" s="7">
        <v>13.5</v>
      </c>
      <c r="R1041" s="7" t="str">
        <f ca="1">IFERROR(__xludf.DUMMYFUNCTION("IMPORTXML(E1041,""/html/body/main/div[3]/div[3]/div[2]/ul/li[7]/span[2]/span"")"),"Loading...")</f>
        <v>Loading...</v>
      </c>
      <c r="S1041" s="7" t="str">
        <f ca="1">IFERROR(__xludf.DUMMYFUNCTION("IMPORTXML(E1041,""/html/body/main/div[3]/div[3]/div[2]/ul/li[8]/span[2]/span"")"),"Loading...")</f>
        <v>Loading...</v>
      </c>
      <c r="T1041" s="4">
        <v>34.6</v>
      </c>
      <c r="U1041" s="4">
        <v>22.7</v>
      </c>
      <c r="V1041" s="4">
        <v>2.6</v>
      </c>
      <c r="W1041" s="4">
        <v>5.7</v>
      </c>
      <c r="X1041" s="4">
        <v>519.92999999999995</v>
      </c>
      <c r="Y1041" s="7">
        <f t="shared" ca="1" si="24"/>
        <v>3569.07</v>
      </c>
    </row>
    <row r="1042" spans="1:25" ht="15" x14ac:dyDescent="0.25">
      <c r="A1042" s="4">
        <v>816</v>
      </c>
      <c r="C1042" s="12" t="s">
        <v>2626</v>
      </c>
      <c r="D1042" s="12" t="s">
        <v>2627</v>
      </c>
      <c r="E1042" s="5" t="str">
        <f t="shared" si="20"/>
        <v>https://www.screener.in/company/MOTISONS/consolidated/</v>
      </c>
      <c r="F1042" s="4">
        <v>443059</v>
      </c>
      <c r="G1042" s="4">
        <v>3832241897</v>
      </c>
      <c r="H1042" s="6">
        <f t="shared" ca="1" si="21"/>
        <v>7400.0591031069989</v>
      </c>
      <c r="I1042" s="7" t="str">
        <f ca="1">IFERROR(__xludf.DUMMYFUNCTION("IMPORTXML(E1042,""/html/body/main/div[3]/div[3]/div[2]/ul/li[5]/span[2]/span"")"),"Loading...")</f>
        <v>Loading...</v>
      </c>
      <c r="J1042" s="7">
        <f ca="1">IFERROR(__xludf.DUMMYFUNCTION("GOOGLEFINANCE(""NSE:""&amp;D1042,""marketcap"")"),19019910038)</f>
        <v>19019910038</v>
      </c>
      <c r="K1042" s="7">
        <v>992.8</v>
      </c>
      <c r="L1042" s="8">
        <f ca="1">IFERROR(__xludf.DUMMYFUNCTION("GOOGLEFINANCE(""NSE:""&amp;D1042,""price"")"),19.31)</f>
        <v>19.309999999999999</v>
      </c>
      <c r="M1042" s="9">
        <f t="shared" ca="1" si="22"/>
        <v>-973.49</v>
      </c>
      <c r="N1042" s="10">
        <f t="shared" ca="1" si="23"/>
        <v>-98.054995970991143</v>
      </c>
      <c r="O1042" s="7">
        <f ca="1">IFERROR(__xludf.DUMMYFUNCTION("GOOGLEFINANCE(""NSE:""&amp;D1042,""pe"")"),42.33)</f>
        <v>42.33</v>
      </c>
      <c r="P1042" s="7">
        <f ca="1">IFERROR(__xludf.DUMMYFUNCTION("GOOGLEFINANCE(""NSE:""&amp;D1042,""EPS"")"),0.46)</f>
        <v>0.46</v>
      </c>
      <c r="Q1042" s="7">
        <v>13.5</v>
      </c>
      <c r="R1042" s="7" t="str">
        <f ca="1">IFERROR(__xludf.DUMMYFUNCTION("IMPORTXML(E1042,""/html/body/main/div[3]/div[3]/div[2]/ul/li[7]/span[2]/span"")"),"Loading...")</f>
        <v>Loading...</v>
      </c>
      <c r="S1042" s="7" t="str">
        <f ca="1">IFERROR(__xludf.DUMMYFUNCTION("IMPORTXML(E1042,""/html/body/main/div[3]/div[3]/div[2]/ul/li[8]/span[2]/span"")"),"Loading...")</f>
        <v>Loading...</v>
      </c>
      <c r="T1042" s="4">
        <v>34.6</v>
      </c>
      <c r="U1042" s="4">
        <v>22.7</v>
      </c>
      <c r="V1042" s="4">
        <v>2.6</v>
      </c>
      <c r="W1042" s="4">
        <v>5.7</v>
      </c>
      <c r="X1042" s="4">
        <v>519.92999999999995</v>
      </c>
      <c r="Y1042" s="7">
        <f t="shared" ca="1" si="24"/>
        <v>-500.61999999999995</v>
      </c>
    </row>
    <row r="1043" spans="1:25" ht="15" x14ac:dyDescent="0.25">
      <c r="A1043" s="4">
        <v>492</v>
      </c>
      <c r="C1043" s="12" t="s">
        <v>2628</v>
      </c>
      <c r="D1043" s="12" t="s">
        <v>2629</v>
      </c>
      <c r="E1043" s="5" t="str">
        <f t="shared" si="20"/>
        <v>https://www.screener.in/company/THANGAMAYL/consolidated/</v>
      </c>
      <c r="F1043" s="4">
        <v>443059</v>
      </c>
      <c r="G1043" s="4">
        <v>3832241897</v>
      </c>
      <c r="H1043" s="6">
        <f t="shared" ca="1" si="21"/>
        <v>841560.32058119995</v>
      </c>
      <c r="I1043" s="7" t="str">
        <f ca="1">IFERROR(__xludf.DUMMYFUNCTION("IMPORTXML(E1043,""/html/body/main/div[3]/div[3]/div[2]/ul/li[5]/span[2]/span"")"),"Loading...")</f>
        <v>Loading...</v>
      </c>
      <c r="J1043" s="7">
        <f ca="1">IFERROR(__xludf.DUMMYFUNCTION("GOOGLEFINANCE(""NSE:""&amp;D1043,""marketcap"")"),68253010000)</f>
        <v>68253010000</v>
      </c>
      <c r="K1043" s="7">
        <v>992.8</v>
      </c>
      <c r="L1043" s="8">
        <f ca="1">IFERROR(__xludf.DUMMYFUNCTION("GOOGLEFINANCE(""NSE:""&amp;D1043,""price"")"),2196)</f>
        <v>2196</v>
      </c>
      <c r="M1043" s="9">
        <f t="shared" ca="1" si="22"/>
        <v>1203.2</v>
      </c>
      <c r="N1043" s="10">
        <f t="shared" ca="1" si="23"/>
        <v>121.19258662369059</v>
      </c>
      <c r="O1043" s="7">
        <f ca="1">IFERROR(__xludf.DUMMYFUNCTION("GOOGLEFINANCE(""NSE:""&amp;D1043,""pe"")"),60.2)</f>
        <v>60.2</v>
      </c>
      <c r="P1043" s="7">
        <f ca="1">IFERROR(__xludf.DUMMYFUNCTION("GOOGLEFINANCE(""NSE:""&amp;D1043,""EPS"")"),36.48)</f>
        <v>36.479999999999997</v>
      </c>
      <c r="Q1043" s="7">
        <v>13.5</v>
      </c>
      <c r="R1043" s="7" t="str">
        <f ca="1">IFERROR(__xludf.DUMMYFUNCTION("IMPORTXML(E1043,""/html/body/main/div[3]/div[3]/div[2]/ul/li[7]/span[2]/span"")"),"Loading...")</f>
        <v>Loading...</v>
      </c>
      <c r="S1043" s="7" t="str">
        <f ca="1">IFERROR(__xludf.DUMMYFUNCTION("IMPORTXML(E1043,""/html/body/main/div[3]/div[3]/div[2]/ul/li[8]/span[2]/span"")"),"Loading...")</f>
        <v>Loading...</v>
      </c>
      <c r="T1043" s="4">
        <v>34.6</v>
      </c>
      <c r="U1043" s="4">
        <v>22.7</v>
      </c>
      <c r="V1043" s="4">
        <v>2.6</v>
      </c>
      <c r="W1043" s="4">
        <v>5.7</v>
      </c>
      <c r="X1043" s="4">
        <v>519.92999999999995</v>
      </c>
      <c r="Y1043" s="7">
        <f t="shared" ca="1" si="24"/>
        <v>1676.0700000000002</v>
      </c>
    </row>
    <row r="1044" spans="1:25" ht="15" x14ac:dyDescent="0.25">
      <c r="A1044" s="4">
        <v>1007</v>
      </c>
      <c r="C1044" s="12" t="s">
        <v>2630</v>
      </c>
      <c r="D1044" s="12" t="s">
        <v>2631</v>
      </c>
      <c r="E1044" s="5" t="str">
        <f t="shared" si="20"/>
        <v>https://www.screener.in/company/YUKEN/consolidated/</v>
      </c>
      <c r="F1044" s="4">
        <v>443059</v>
      </c>
      <c r="G1044" s="4">
        <v>3832241897</v>
      </c>
      <c r="H1044" s="6">
        <f t="shared" ca="1" si="21"/>
        <v>372877.13657809998</v>
      </c>
      <c r="I1044" s="7" t="str">
        <f ca="1">IFERROR(__xludf.DUMMYFUNCTION("IMPORTXML(E1044,""/html/body/main/div[3]/div[3]/div[2]/ul/li[5]/span[2]/span"")"),"Loading...")</f>
        <v>Loading...</v>
      </c>
      <c r="J1044" s="7">
        <f ca="1">IFERROR(__xludf.DUMMYFUNCTION("GOOGLEFINANCE(""NSE:""&amp;D1044,""marketcap"")"),13217232000)</f>
        <v>13217232000</v>
      </c>
      <c r="K1044" s="7">
        <v>992.8</v>
      </c>
      <c r="L1044" s="8">
        <f ca="1">IFERROR(__xludf.DUMMYFUNCTION("GOOGLEFINANCE(""NSE:""&amp;D1044,""price"")"),973)</f>
        <v>973</v>
      </c>
      <c r="M1044" s="9">
        <f t="shared" ca="1" si="22"/>
        <v>-19.799999999999955</v>
      </c>
      <c r="N1044" s="10">
        <f t="shared" ca="1" si="23"/>
        <v>-1.9943593875906482</v>
      </c>
      <c r="O1044" s="7">
        <f ca="1">IFERROR(__xludf.DUMMYFUNCTION("GOOGLEFINANCE(""NSE:""&amp;D1044,""pe"")"),54.03)</f>
        <v>54.03</v>
      </c>
      <c r="P1044" s="7">
        <f ca="1">IFERROR(__xludf.DUMMYFUNCTION("GOOGLEFINANCE(""NSE:""&amp;D1044,""EPS"")"),18.01)</f>
        <v>18.010000000000002</v>
      </c>
      <c r="Q1044" s="7">
        <v>13.5</v>
      </c>
      <c r="R1044" s="7" t="str">
        <f ca="1">IFERROR(__xludf.DUMMYFUNCTION("IMPORTXML(E1044,""/html/body/main/div[3]/div[3]/div[2]/ul/li[7]/span[2]/span"")"),"Loading...")</f>
        <v>Loading...</v>
      </c>
      <c r="S1044" s="7" t="str">
        <f ca="1">IFERROR(__xludf.DUMMYFUNCTION("IMPORTXML(E1044,""/html/body/main/div[3]/div[3]/div[2]/ul/li[8]/span[2]/span"")"),"Loading...")</f>
        <v>Loading...</v>
      </c>
      <c r="T1044" s="4">
        <v>34.6</v>
      </c>
      <c r="U1044" s="4">
        <v>22.7</v>
      </c>
      <c r="V1044" s="4">
        <v>2.6</v>
      </c>
      <c r="W1044" s="4">
        <v>5.7</v>
      </c>
      <c r="X1044" s="4">
        <v>519.92999999999995</v>
      </c>
      <c r="Y1044" s="7">
        <f t="shared" ca="1" si="24"/>
        <v>453.07000000000005</v>
      </c>
    </row>
    <row r="1045" spans="1:25" ht="15" x14ac:dyDescent="0.25">
      <c r="A1045" s="4">
        <v>978</v>
      </c>
      <c r="C1045" s="12" t="s">
        <v>2632</v>
      </c>
      <c r="D1045" s="12" t="s">
        <v>2633</v>
      </c>
      <c r="E1045" s="5" t="str">
        <f t="shared" si="20"/>
        <v>https://www.screener.in/company/BOROSCI/consolidated/</v>
      </c>
      <c r="F1045" s="4">
        <v>443059</v>
      </c>
      <c r="G1045" s="4">
        <v>3832241897</v>
      </c>
      <c r="H1045" s="6">
        <f t="shared" ca="1" si="21"/>
        <v>55050.154850405008</v>
      </c>
      <c r="I1045" s="7" t="str">
        <f ca="1">IFERROR(__xludf.DUMMYFUNCTION("IMPORTXML(E1045,""/html/body/main/div[3]/div[3]/div[2]/ul/li[5]/span[2]/span"")"),"Loading...")</f>
        <v>Loading...</v>
      </c>
      <c r="J1045" s="7">
        <f ca="1">IFERROR(__xludf.DUMMYFUNCTION("GOOGLEFINANCE(""NSE:""&amp;D1045,""marketcap"")"),12777246062)</f>
        <v>12777246062</v>
      </c>
      <c r="K1045" s="7">
        <v>992.8</v>
      </c>
      <c r="L1045" s="8">
        <f ca="1">IFERROR(__xludf.DUMMYFUNCTION("GOOGLEFINANCE(""NSE:""&amp;D1045,""price"")"),143.65)</f>
        <v>143.65</v>
      </c>
      <c r="M1045" s="9">
        <f t="shared" ca="1" si="22"/>
        <v>-849.15</v>
      </c>
      <c r="N1045" s="10">
        <f t="shared" ca="1" si="23"/>
        <v>-85.530821917808225</v>
      </c>
      <c r="O1045" s="7">
        <f ca="1">IFERROR(__xludf.DUMMYFUNCTION("GOOGLEFINANCE(""NSE:""&amp;D1045,""pe"")"),72.66)</f>
        <v>72.66</v>
      </c>
      <c r="P1045" s="7">
        <f ca="1">IFERROR(__xludf.DUMMYFUNCTION("GOOGLEFINANCE(""NSE:""&amp;D1045,""EPS"")"),1.98)</f>
        <v>1.98</v>
      </c>
      <c r="Q1045" s="7">
        <v>13.5</v>
      </c>
      <c r="R1045" s="7" t="str">
        <f ca="1">IFERROR(__xludf.DUMMYFUNCTION("IMPORTXML(E1045,""/html/body/main/div[3]/div[3]/div[2]/ul/li[7]/span[2]/span"")"),"Loading...")</f>
        <v>Loading...</v>
      </c>
      <c r="S1045" s="7" t="str">
        <f ca="1">IFERROR(__xludf.DUMMYFUNCTION("IMPORTXML(E1045,""/html/body/main/div[3]/div[3]/div[2]/ul/li[8]/span[2]/span"")"),"Loading...")</f>
        <v>Loading...</v>
      </c>
      <c r="T1045" s="4">
        <v>34.6</v>
      </c>
      <c r="U1045" s="4">
        <v>22.7</v>
      </c>
      <c r="V1045" s="4">
        <v>2.6</v>
      </c>
      <c r="W1045" s="4">
        <v>5.7</v>
      </c>
      <c r="X1045" s="4">
        <v>519.92999999999995</v>
      </c>
      <c r="Y1045" s="7">
        <f t="shared" ca="1" si="24"/>
        <v>-376.28</v>
      </c>
    </row>
    <row r="1046" spans="1:25" ht="15" x14ac:dyDescent="0.25">
      <c r="A1046" s="4">
        <v>100</v>
      </c>
      <c r="C1046" s="12" t="s">
        <v>2634</v>
      </c>
      <c r="D1046" s="12" t="s">
        <v>2635</v>
      </c>
      <c r="E1046" s="5" t="str">
        <f t="shared" si="20"/>
        <v>https://www.screener.in/company/VINATIORGA/consolidated/</v>
      </c>
      <c r="F1046" s="4">
        <v>443059</v>
      </c>
      <c r="G1046" s="4">
        <v>3832241897</v>
      </c>
      <c r="H1046" s="6">
        <f t="shared" ca="1" si="21"/>
        <v>652400.86054528004</v>
      </c>
      <c r="I1046" s="7" t="str">
        <f ca="1">IFERROR(__xludf.DUMMYFUNCTION("IMPORTXML(E1046,""/html/body/main/div[3]/div[3]/div[2]/ul/li[5]/span[2]/span"")"),"Loading...")</f>
        <v>Loading...</v>
      </c>
      <c r="J1046" s="7">
        <f ca="1">IFERROR(__xludf.DUMMYFUNCTION("GOOGLEFINANCE(""NSE:""&amp;D1046,""marketcap"")"),176480319970)</f>
        <v>176480319970</v>
      </c>
      <c r="K1046" s="7">
        <v>992.8</v>
      </c>
      <c r="L1046" s="8">
        <f ca="1">IFERROR(__xludf.DUMMYFUNCTION("GOOGLEFINANCE(""NSE:""&amp;D1046,""price"")"),1702.4)</f>
        <v>1702.4</v>
      </c>
      <c r="M1046" s="9">
        <f t="shared" ca="1" si="22"/>
        <v>709.60000000000014</v>
      </c>
      <c r="N1046" s="10">
        <f t="shared" ca="1" si="23"/>
        <v>71.474617244157955</v>
      </c>
      <c r="O1046" s="7">
        <f ca="1">IFERROR(__xludf.DUMMYFUNCTION("GOOGLEFINANCE(""NSE:""&amp;D1046,""pe"")"),41.5)</f>
        <v>41.5</v>
      </c>
      <c r="P1046" s="7">
        <f ca="1">IFERROR(__xludf.DUMMYFUNCTION("GOOGLEFINANCE(""NSE:""&amp;D1046,""EPS"")"),41.02)</f>
        <v>41.02</v>
      </c>
      <c r="Q1046" s="7">
        <v>13.5</v>
      </c>
      <c r="R1046" s="7" t="str">
        <f ca="1">IFERROR(__xludf.DUMMYFUNCTION("IMPORTXML(E1046,""/html/body/main/div[3]/div[3]/div[2]/ul/li[7]/span[2]/span"")"),"Loading...")</f>
        <v>Loading...</v>
      </c>
      <c r="S1046" s="7" t="str">
        <f ca="1">IFERROR(__xludf.DUMMYFUNCTION("IMPORTXML(E1046,""/html/body/main/div[3]/div[3]/div[2]/ul/li[8]/span[2]/span"")"),"Loading...")</f>
        <v>Loading...</v>
      </c>
      <c r="T1046" s="4">
        <v>34.6</v>
      </c>
      <c r="U1046" s="4">
        <v>22.7</v>
      </c>
      <c r="V1046" s="4">
        <v>2.6</v>
      </c>
      <c r="W1046" s="4">
        <v>5.7</v>
      </c>
      <c r="X1046" s="4">
        <v>519.92999999999995</v>
      </c>
      <c r="Y1046" s="7">
        <f t="shared" ca="1" si="24"/>
        <v>1182.4700000000003</v>
      </c>
    </row>
    <row r="1047" spans="1:25" ht="15" x14ac:dyDescent="0.25">
      <c r="A1047" s="4">
        <v>937</v>
      </c>
      <c r="C1047" s="12" t="s">
        <v>2636</v>
      </c>
      <c r="D1047" s="12" t="s">
        <v>2637</v>
      </c>
      <c r="E1047" s="5" t="str">
        <f t="shared" si="20"/>
        <v>https://www.screener.in/company/ROTO/consolidated/</v>
      </c>
      <c r="F1047" s="4">
        <v>443059</v>
      </c>
      <c r="G1047" s="4">
        <v>3832241897</v>
      </c>
      <c r="H1047" s="6">
        <f t="shared" ca="1" si="21"/>
        <v>32267.476772740003</v>
      </c>
      <c r="I1047" s="7" t="str">
        <f ca="1">IFERROR(__xludf.DUMMYFUNCTION("IMPORTXML(E1047,""/html/body/main/div[3]/div[3]/div[2]/ul/li[5]/span[2]/span"")"),"Loading...")</f>
        <v>Loading...</v>
      </c>
      <c r="J1047" s="7">
        <f ca="1">IFERROR(__xludf.DUMMYFUNCTION("GOOGLEFINANCE(""NSE:""&amp;D1047,""marketcap"")"),15867118944)</f>
        <v>15867118944</v>
      </c>
      <c r="K1047" s="7">
        <v>992.8</v>
      </c>
      <c r="L1047" s="8">
        <f ca="1">IFERROR(__xludf.DUMMYFUNCTION("GOOGLEFINANCE(""NSE:""&amp;D1047,""price"")"),84.2)</f>
        <v>84.2</v>
      </c>
      <c r="M1047" s="9">
        <f t="shared" ca="1" si="22"/>
        <v>-908.59999999999991</v>
      </c>
      <c r="N1047" s="10">
        <f t="shared" ca="1" si="23"/>
        <v>-91.518936341659952</v>
      </c>
      <c r="O1047" s="7">
        <f ca="1">IFERROR(__xludf.DUMMYFUNCTION("GOOGLEFINANCE(""NSE:""&amp;D1047,""pe"")"),52.74)</f>
        <v>52.74</v>
      </c>
      <c r="P1047" s="7">
        <f ca="1">IFERROR(__xludf.DUMMYFUNCTION("GOOGLEFINANCE(""NSE:""&amp;D1047,""EPS"")"),1.6)</f>
        <v>1.6</v>
      </c>
      <c r="Q1047" s="7">
        <v>13.5</v>
      </c>
      <c r="R1047" s="7" t="str">
        <f ca="1">IFERROR(__xludf.DUMMYFUNCTION("IMPORTXML(E1047,""/html/body/main/div[3]/div[3]/div[2]/ul/li[7]/span[2]/span"")"),"Loading...")</f>
        <v>Loading...</v>
      </c>
      <c r="S1047" s="7" t="str">
        <f ca="1">IFERROR(__xludf.DUMMYFUNCTION("IMPORTXML(E1047,""/html/body/main/div[3]/div[3]/div[2]/ul/li[8]/span[2]/span"")"),"Loading...")</f>
        <v>Loading...</v>
      </c>
      <c r="T1047" s="4">
        <v>34.6</v>
      </c>
      <c r="U1047" s="4">
        <v>22.7</v>
      </c>
      <c r="V1047" s="4">
        <v>2.6</v>
      </c>
      <c r="W1047" s="4">
        <v>5.7</v>
      </c>
      <c r="X1047" s="4">
        <v>519.92999999999995</v>
      </c>
      <c r="Y1047" s="7">
        <f t="shared" ca="1" si="24"/>
        <v>-435.72999999999996</v>
      </c>
    </row>
    <row r="1048" spans="1:25" ht="15" x14ac:dyDescent="0.25">
      <c r="A1048" s="4">
        <v>148</v>
      </c>
      <c r="C1048" s="12" t="s">
        <v>2638</v>
      </c>
      <c r="D1048" s="12" t="s">
        <v>2639</v>
      </c>
      <c r="E1048" s="5" t="str">
        <f t="shared" si="20"/>
        <v>https://www.screener.in/company/ASAHIINDIA/consolidated/</v>
      </c>
      <c r="F1048" s="4">
        <v>443059</v>
      </c>
      <c r="G1048" s="4">
        <v>3832241897</v>
      </c>
      <c r="H1048" s="6">
        <f t="shared" ca="1" si="21"/>
        <v>310794.81784670003</v>
      </c>
      <c r="I1048" s="7" t="str">
        <f ca="1">IFERROR(__xludf.DUMMYFUNCTION("IMPORTXML(E1048,""/html/body/main/div[3]/div[3]/div[2]/ul/li[5]/span[2]/span"")"),"Loading...")</f>
        <v>Loading...</v>
      </c>
      <c r="J1048" s="7">
        <f ca="1">IFERROR(__xludf.DUMMYFUNCTION("GOOGLEFINANCE(""NSE:""&amp;D1048,""marketcap"")"),196814856151)</f>
        <v>196814856151</v>
      </c>
      <c r="K1048" s="7">
        <v>992.8</v>
      </c>
      <c r="L1048" s="8">
        <f ca="1">IFERROR(__xludf.DUMMYFUNCTION("GOOGLEFINANCE(""NSE:""&amp;D1048,""price"")"),811)</f>
        <v>811</v>
      </c>
      <c r="M1048" s="9">
        <f t="shared" ca="1" si="22"/>
        <v>-181.79999999999995</v>
      </c>
      <c r="N1048" s="10">
        <f t="shared" ca="1" si="23"/>
        <v>-18.311845286059626</v>
      </c>
      <c r="O1048" s="7">
        <f ca="1">IFERROR(__xludf.DUMMYFUNCTION("GOOGLEFINANCE(""NSE:""&amp;D1048,""pe"")"),56.39)</f>
        <v>56.39</v>
      </c>
      <c r="P1048" s="7">
        <f ca="1">IFERROR(__xludf.DUMMYFUNCTION("GOOGLEFINANCE(""NSE:""&amp;D1048,""EPS"")"),14.38)</f>
        <v>14.38</v>
      </c>
      <c r="Q1048" s="7">
        <v>13.5</v>
      </c>
      <c r="R1048" s="7" t="str">
        <f ca="1">IFERROR(__xludf.DUMMYFUNCTION("IMPORTXML(E1048,""/html/body/main/div[3]/div[3]/div[2]/ul/li[7]/span[2]/span"")"),"Loading...")</f>
        <v>Loading...</v>
      </c>
      <c r="S1048" s="7" t="str">
        <f ca="1">IFERROR(__xludf.DUMMYFUNCTION("IMPORTXML(E1048,""/html/body/main/div[3]/div[3]/div[2]/ul/li[8]/span[2]/span"")"),"Loading...")</f>
        <v>Loading...</v>
      </c>
      <c r="T1048" s="4">
        <v>34.6</v>
      </c>
      <c r="U1048" s="4">
        <v>22.7</v>
      </c>
      <c r="V1048" s="4">
        <v>2.6</v>
      </c>
      <c r="W1048" s="4">
        <v>5.7</v>
      </c>
      <c r="X1048" s="4">
        <v>519.92999999999995</v>
      </c>
      <c r="Y1048" s="7">
        <f t="shared" ca="1" si="24"/>
        <v>291.07000000000005</v>
      </c>
    </row>
    <row r="1049" spans="1:25" ht="15" x14ac:dyDescent="0.25">
      <c r="A1049" s="4">
        <v>1727</v>
      </c>
      <c r="C1049" s="12" t="s">
        <v>2640</v>
      </c>
      <c r="D1049" s="12" t="s">
        <v>2641</v>
      </c>
      <c r="E1049" s="5" t="str">
        <f t="shared" si="20"/>
        <v>https://www.screener.in/company/RHL/consolidated/</v>
      </c>
      <c r="F1049" s="4">
        <v>443059</v>
      </c>
      <c r="G1049" s="4">
        <v>3832241897</v>
      </c>
      <c r="H1049" s="6">
        <f t="shared" ca="1" si="21"/>
        <v>107781.803353125</v>
      </c>
      <c r="I1049" s="7" t="str">
        <f ca="1">IFERROR(__xludf.DUMMYFUNCTION("IMPORTXML(E1049,""/html/body/main/div[3]/div[3]/div[2]/ul/li[5]/span[2]/span"")"),"Loading...")</f>
        <v>Loading...</v>
      </c>
      <c r="J1049" s="7">
        <f ca="1">IFERROR(__xludf.DUMMYFUNCTION("GOOGLEFINANCE(""NSE:""&amp;D1049,""marketcap"")"),4863287812)</f>
        <v>4863287812</v>
      </c>
      <c r="K1049" s="7">
        <v>992.8</v>
      </c>
      <c r="L1049" s="8">
        <f ca="1">IFERROR(__xludf.DUMMYFUNCTION("GOOGLEFINANCE(""NSE:""&amp;D1049,""price"")"),281.25)</f>
        <v>281.25</v>
      </c>
      <c r="M1049" s="9">
        <f t="shared" ca="1" si="22"/>
        <v>-711.55</v>
      </c>
      <c r="N1049" s="10">
        <f t="shared" ca="1" si="23"/>
        <v>-71.671031426269138</v>
      </c>
      <c r="O1049" s="7">
        <f ca="1">IFERROR(__xludf.DUMMYFUNCTION("GOOGLEFINANCE(""NSE:""&amp;D1049,""pe"")"),25.4)</f>
        <v>25.4</v>
      </c>
      <c r="P1049" s="7">
        <f ca="1">IFERROR(__xludf.DUMMYFUNCTION("GOOGLEFINANCE(""NSE:""&amp;D1049,""EPS"")"),11.07)</f>
        <v>11.07</v>
      </c>
      <c r="Q1049" s="7">
        <v>13.5</v>
      </c>
      <c r="R1049" s="7" t="str">
        <f ca="1">IFERROR(__xludf.DUMMYFUNCTION("IMPORTXML(E1049,""/html/body/main/div[3]/div[3]/div[2]/ul/li[7]/span[2]/span"")"),"Loading...")</f>
        <v>Loading...</v>
      </c>
      <c r="S1049" s="7" t="str">
        <f ca="1">IFERROR(__xludf.DUMMYFUNCTION("IMPORTXML(E1049,""/html/body/main/div[3]/div[3]/div[2]/ul/li[8]/span[2]/span"")"),"Loading...")</f>
        <v>Loading...</v>
      </c>
      <c r="T1049" s="4">
        <v>34.6</v>
      </c>
      <c r="U1049" s="4">
        <v>22.7</v>
      </c>
      <c r="V1049" s="4">
        <v>2.6</v>
      </c>
      <c r="W1049" s="4">
        <v>5.7</v>
      </c>
      <c r="X1049" s="4">
        <v>519.92999999999995</v>
      </c>
      <c r="Y1049" s="7">
        <f t="shared" ca="1" si="24"/>
        <v>-238.67999999999995</v>
      </c>
    </row>
    <row r="1050" spans="1:25" ht="15" x14ac:dyDescent="0.25">
      <c r="A1050" s="4">
        <v>484</v>
      </c>
      <c r="C1050" s="12" t="s">
        <v>2642</v>
      </c>
      <c r="D1050" s="12" t="s">
        <v>2643</v>
      </c>
      <c r="E1050" s="5" t="str">
        <f t="shared" si="20"/>
        <v>https://www.screener.in/company/ENTERO/consolidated/</v>
      </c>
      <c r="F1050" s="4">
        <v>443059</v>
      </c>
      <c r="G1050" s="4">
        <v>3832241897</v>
      </c>
      <c r="H1050" s="6">
        <f t="shared" ca="1" si="21"/>
        <v>460405.54150558007</v>
      </c>
      <c r="I1050" s="7" t="str">
        <f ca="1">IFERROR(__xludf.DUMMYFUNCTION("IMPORTXML(E1050,""/html/body/main/div[3]/div[3]/div[2]/ul/li[5]/span[2]/span"")"),"Loading...")</f>
        <v>Loading...</v>
      </c>
      <c r="J1050" s="7">
        <f ca="1">IFERROR(__xludf.DUMMYFUNCTION("GOOGLEFINANCE(""NSE:""&amp;D1050,""marketcap"")"),52554305760)</f>
        <v>52554305760</v>
      </c>
      <c r="K1050" s="7">
        <v>992.8</v>
      </c>
      <c r="L1050" s="8">
        <f ca="1">IFERROR(__xludf.DUMMYFUNCTION("GOOGLEFINANCE(""NSE:""&amp;D1050,""price"")"),1201.4)</f>
        <v>1201.4000000000001</v>
      </c>
      <c r="M1050" s="9">
        <f t="shared" ca="1" si="22"/>
        <v>208.60000000000014</v>
      </c>
      <c r="N1050" s="10">
        <f t="shared" ca="1" si="23"/>
        <v>21.01128122481871</v>
      </c>
      <c r="O1050" s="7">
        <f ca="1">IFERROR(__xludf.DUMMYFUNCTION("GOOGLEFINANCE(""NSE:""&amp;D1050,""pe"")"),51.06)</f>
        <v>51.06</v>
      </c>
      <c r="P1050" s="7">
        <f ca="1">IFERROR(__xludf.DUMMYFUNCTION("GOOGLEFINANCE(""NSE:""&amp;D1050,""EPS"")"),23.53)</f>
        <v>23.53</v>
      </c>
      <c r="Q1050" s="7">
        <v>13.5</v>
      </c>
      <c r="R1050" s="7" t="str">
        <f ca="1">IFERROR(__xludf.DUMMYFUNCTION("IMPORTXML(E1050,""/html/body/main/div[3]/div[3]/div[2]/ul/li[7]/span[2]/span"")"),"Loading...")</f>
        <v>Loading...</v>
      </c>
      <c r="S1050" s="7" t="str">
        <f ca="1">IFERROR(__xludf.DUMMYFUNCTION("IMPORTXML(E1050,""/html/body/main/div[3]/div[3]/div[2]/ul/li[8]/span[2]/span"")"),"Loading...")</f>
        <v>Loading...</v>
      </c>
      <c r="T1050" s="4">
        <v>34.6</v>
      </c>
      <c r="U1050" s="4">
        <v>22.7</v>
      </c>
      <c r="V1050" s="4">
        <v>2.6</v>
      </c>
      <c r="W1050" s="4">
        <v>5.7</v>
      </c>
      <c r="X1050" s="4">
        <v>519.92999999999995</v>
      </c>
      <c r="Y1050" s="7">
        <f t="shared" ca="1" si="24"/>
        <v>681.47000000000014</v>
      </c>
    </row>
    <row r="1051" spans="1:25" ht="15" x14ac:dyDescent="0.25">
      <c r="A1051" s="4">
        <v>270</v>
      </c>
      <c r="C1051" s="12" t="s">
        <v>2644</v>
      </c>
      <c r="D1051" s="12" t="s">
        <v>2645</v>
      </c>
      <c r="E1051" s="5" t="str">
        <f t="shared" si="20"/>
        <v>https://www.screener.in/company/PRUDENT/consolidated/</v>
      </c>
      <c r="F1051" s="4">
        <v>443059</v>
      </c>
      <c r="G1051" s="4">
        <v>3832241897</v>
      </c>
      <c r="H1051" s="6">
        <f t="shared" ca="1" si="21"/>
        <v>1034705.31219</v>
      </c>
      <c r="I1051" s="7" t="str">
        <f ca="1">IFERROR(__xludf.DUMMYFUNCTION("IMPORTXML(E1051,""/html/body/main/div[3]/div[3]/div[2]/ul/li[5]/span[2]/span"")"),"Loading...")</f>
        <v>Loading...</v>
      </c>
      <c r="J1051" s="7">
        <f ca="1">IFERROR(__xludf.DUMMYFUNCTION("GOOGLEFINANCE(""NSE:""&amp;D1051,""marketcap"")"),111798036000)</f>
        <v>111798036000</v>
      </c>
      <c r="K1051" s="7">
        <v>992.8</v>
      </c>
      <c r="L1051" s="8">
        <f ca="1">IFERROR(__xludf.DUMMYFUNCTION("GOOGLEFINANCE(""NSE:""&amp;D1051,""price"")"),2700)</f>
        <v>2700</v>
      </c>
      <c r="M1051" s="9">
        <f t="shared" ca="1" si="22"/>
        <v>1707.2</v>
      </c>
      <c r="N1051" s="10">
        <f t="shared" ca="1" si="23"/>
        <v>171.9580983078163</v>
      </c>
      <c r="O1051" s="7">
        <f ca="1">IFERROR(__xludf.DUMMYFUNCTION("GOOGLEFINANCE(""NSE:""&amp;D1051,""pe"")"),55.01)</f>
        <v>55.01</v>
      </c>
      <c r="P1051" s="7">
        <f ca="1">IFERROR(__xludf.DUMMYFUNCTION("GOOGLEFINANCE(""NSE:""&amp;D1051,""EPS"")"),49.08)</f>
        <v>49.08</v>
      </c>
      <c r="Q1051" s="7">
        <v>13.5</v>
      </c>
      <c r="R1051" s="7" t="str">
        <f ca="1">IFERROR(__xludf.DUMMYFUNCTION("IMPORTXML(E1051,""/html/body/main/div[3]/div[3]/div[2]/ul/li[7]/span[2]/span"")"),"Loading...")</f>
        <v>Loading...</v>
      </c>
      <c r="S1051" s="7" t="str">
        <f ca="1">IFERROR(__xludf.DUMMYFUNCTION("IMPORTXML(E1051,""/html/body/main/div[3]/div[3]/div[2]/ul/li[8]/span[2]/span"")"),"Loading...")</f>
        <v>Loading...</v>
      </c>
      <c r="T1051" s="4">
        <v>34.6</v>
      </c>
      <c r="U1051" s="4">
        <v>22.7</v>
      </c>
      <c r="V1051" s="4">
        <v>2.6</v>
      </c>
      <c r="W1051" s="4">
        <v>5.7</v>
      </c>
      <c r="X1051" s="4">
        <v>519.92999999999995</v>
      </c>
      <c r="Y1051" s="7">
        <f t="shared" ca="1" si="24"/>
        <v>2180.0700000000002</v>
      </c>
    </row>
    <row r="1052" spans="1:25" ht="15" x14ac:dyDescent="0.25">
      <c r="A1052" s="4">
        <v>10</v>
      </c>
      <c r="C1052" s="12" t="s">
        <v>2646</v>
      </c>
      <c r="D1052" s="12" t="s">
        <v>2647</v>
      </c>
      <c r="E1052" s="5" t="str">
        <f t="shared" si="20"/>
        <v>https://www.screener.in/company/CDSL/consolidated/</v>
      </c>
      <c r="F1052" s="4">
        <v>443059</v>
      </c>
      <c r="G1052" s="4">
        <v>3832241897</v>
      </c>
      <c r="H1052" s="6">
        <f t="shared" ca="1" si="21"/>
        <v>584416.88929249998</v>
      </c>
      <c r="I1052" s="7" t="str">
        <f ca="1">IFERROR(__xludf.DUMMYFUNCTION("IMPORTXML(E1052,""/html/body/main/div[3]/div[3]/div[2]/ul/li[5]/span[2]/span"")"),"Loading...")</f>
        <v>Loading...</v>
      </c>
      <c r="J1052" s="7">
        <f ca="1">IFERROR(__xludf.DUMMYFUNCTION("GOOGLEFINANCE(""NSE:""&amp;D1052,""marketcap"")"),318725000000)</f>
        <v>318725000000</v>
      </c>
      <c r="K1052" s="7">
        <v>992.8</v>
      </c>
      <c r="L1052" s="8">
        <f ca="1">IFERROR(__xludf.DUMMYFUNCTION("GOOGLEFINANCE(""NSE:""&amp;D1052,""price"")"),1525)</f>
        <v>1525</v>
      </c>
      <c r="M1052" s="9">
        <f t="shared" ca="1" si="22"/>
        <v>532.20000000000005</v>
      </c>
      <c r="N1052" s="10">
        <f t="shared" ca="1" si="23"/>
        <v>53.605962933118455</v>
      </c>
      <c r="O1052" s="7">
        <f ca="1">IFERROR(__xludf.DUMMYFUNCTION("GOOGLEFINANCE(""NSE:""&amp;D1052,""pe"")"),64.4)</f>
        <v>64.400000000000006</v>
      </c>
      <c r="P1052" s="7">
        <f ca="1">IFERROR(__xludf.DUMMYFUNCTION("GOOGLEFINANCE(""NSE:""&amp;D1052,""EPS"")"),23.68)</f>
        <v>23.68</v>
      </c>
      <c r="Q1052" s="7">
        <v>13.5</v>
      </c>
      <c r="R1052" s="7" t="str">
        <f ca="1">IFERROR(__xludf.DUMMYFUNCTION("IMPORTXML(E1052,""/html/body/main/div[3]/div[3]/div[2]/ul/li[7]/span[2]/span"")"),"Loading...")</f>
        <v>Loading...</v>
      </c>
      <c r="S1052" s="7" t="str">
        <f ca="1">IFERROR(__xludf.DUMMYFUNCTION("IMPORTXML(E1052,""/html/body/main/div[3]/div[3]/div[2]/ul/li[8]/span[2]/span"")"),"Loading...")</f>
        <v>Loading...</v>
      </c>
      <c r="T1052" s="4">
        <v>34.6</v>
      </c>
      <c r="U1052" s="4">
        <v>22.7</v>
      </c>
      <c r="V1052" s="4">
        <v>2.6</v>
      </c>
      <c r="W1052" s="4">
        <v>5.7</v>
      </c>
      <c r="X1052" s="4">
        <v>519.92999999999995</v>
      </c>
      <c r="Y1052" s="7">
        <f t="shared" ca="1" si="24"/>
        <v>1005.07</v>
      </c>
    </row>
    <row r="1053" spans="1:25" ht="15" x14ac:dyDescent="0.25">
      <c r="A1053" s="4">
        <v>282</v>
      </c>
      <c r="C1053" s="12" t="s">
        <v>2648</v>
      </c>
      <c r="D1053" s="12" t="s">
        <v>2649</v>
      </c>
      <c r="E1053" s="5" t="str">
        <f t="shared" si="20"/>
        <v>https://www.screener.in/company/SYMPHONY/consolidated/</v>
      </c>
      <c r="F1053" s="4">
        <v>443059</v>
      </c>
      <c r="G1053" s="4">
        <v>3832241897</v>
      </c>
      <c r="H1053" s="6">
        <f t="shared" ca="1" si="21"/>
        <v>360805.57460255001</v>
      </c>
      <c r="I1053" s="7" t="str">
        <f ca="1">IFERROR(__xludf.DUMMYFUNCTION("IMPORTXML(E1053,""/html/body/main/div[3]/div[3]/div[2]/ul/li[5]/span[2]/span"")"),"Loading...")</f>
        <v>Loading...</v>
      </c>
      <c r="J1053" s="7">
        <f ca="1">IFERROR(__xludf.DUMMYFUNCTION("GOOGLEFINANCE(""NSE:""&amp;D1053,""marketcap"")"),64966580000)</f>
        <v>64966580000</v>
      </c>
      <c r="K1053" s="7">
        <v>992.8</v>
      </c>
      <c r="L1053" s="8">
        <f ca="1">IFERROR(__xludf.DUMMYFUNCTION("GOOGLEFINANCE(""NSE:""&amp;D1053,""price"")"),941.5)</f>
        <v>941.5</v>
      </c>
      <c r="M1053" s="9">
        <f t="shared" ca="1" si="22"/>
        <v>-51.299999999999955</v>
      </c>
      <c r="N1053" s="10">
        <f t="shared" ca="1" si="23"/>
        <v>-5.1672038678485048</v>
      </c>
      <c r="O1053" s="7">
        <f ca="1">IFERROR(__xludf.DUMMYFUNCTION("GOOGLEFINANCE(""NSE:""&amp;D1053,""pe"")"),38.92)</f>
        <v>38.92</v>
      </c>
      <c r="P1053" s="7">
        <f ca="1">IFERROR(__xludf.DUMMYFUNCTION("GOOGLEFINANCE(""NSE:""&amp;D1053,""EPS"")"),24.19)</f>
        <v>24.19</v>
      </c>
      <c r="Q1053" s="7">
        <v>13.5</v>
      </c>
      <c r="R1053" s="7" t="str">
        <f ca="1">IFERROR(__xludf.DUMMYFUNCTION("IMPORTXML(E1053,""/html/body/main/div[3]/div[3]/div[2]/ul/li[7]/span[2]/span"")"),"Loading...")</f>
        <v>Loading...</v>
      </c>
      <c r="S1053" s="7" t="str">
        <f ca="1">IFERROR(__xludf.DUMMYFUNCTION("IMPORTXML(E1053,""/html/body/main/div[3]/div[3]/div[2]/ul/li[8]/span[2]/span"")"),"Loading...")</f>
        <v>Loading...</v>
      </c>
      <c r="T1053" s="4">
        <v>34.6</v>
      </c>
      <c r="U1053" s="4">
        <v>22.7</v>
      </c>
      <c r="V1053" s="4">
        <v>2.6</v>
      </c>
      <c r="W1053" s="4">
        <v>5.7</v>
      </c>
      <c r="X1053" s="4">
        <v>519.92999999999995</v>
      </c>
      <c r="Y1053" s="7">
        <f t="shared" ca="1" si="24"/>
        <v>421.57000000000005</v>
      </c>
    </row>
    <row r="1054" spans="1:25" ht="15" x14ac:dyDescent="0.25">
      <c r="A1054" s="4">
        <v>511</v>
      </c>
      <c r="C1054" s="12" t="s">
        <v>2650</v>
      </c>
      <c r="D1054" s="12" t="s">
        <v>2651</v>
      </c>
      <c r="E1054" s="5" t="str">
        <f t="shared" si="20"/>
        <v>https://www.screener.in/company/HEIDELBERG/consolidated/</v>
      </c>
      <c r="F1054" s="4">
        <v>443059</v>
      </c>
      <c r="G1054" s="4">
        <v>3832241897</v>
      </c>
      <c r="H1054" s="6">
        <f t="shared" ca="1" si="21"/>
        <v>82032.970047182011</v>
      </c>
      <c r="I1054" s="7" t="str">
        <f ca="1">IFERROR(__xludf.DUMMYFUNCTION("IMPORTXML(E1054,""/html/body/main/div[3]/div[3]/div[2]/ul/li[5]/span[2]/span"")"),"Loading...")</f>
        <v>Loading...</v>
      </c>
      <c r="J1054" s="7">
        <f ca="1">IFERROR(__xludf.DUMMYFUNCTION("GOOGLEFINANCE(""NSE:""&amp;D1054,""marketcap"")"),48506741400)</f>
        <v>48506741400</v>
      </c>
      <c r="K1054" s="7">
        <v>992.8</v>
      </c>
      <c r="L1054" s="8">
        <f ca="1">IFERROR(__xludf.DUMMYFUNCTION("GOOGLEFINANCE(""NSE:""&amp;D1054,""price"")"),214.06)</f>
        <v>214.06</v>
      </c>
      <c r="M1054" s="9">
        <f t="shared" ca="1" si="22"/>
        <v>-778.74</v>
      </c>
      <c r="N1054" s="10">
        <f t="shared" ca="1" si="23"/>
        <v>-78.438759065269949</v>
      </c>
      <c r="O1054" s="7">
        <f ca="1">IFERROR(__xludf.DUMMYFUNCTION("GOOGLEFINANCE(""NSE:""&amp;D1054,""pe"")"),42.07)</f>
        <v>42.07</v>
      </c>
      <c r="P1054" s="7">
        <f ca="1">IFERROR(__xludf.DUMMYFUNCTION("GOOGLEFINANCE(""NSE:""&amp;D1054,""EPS"")"),5.09)</f>
        <v>5.09</v>
      </c>
      <c r="Q1054" s="7">
        <v>13.5</v>
      </c>
      <c r="R1054" s="7" t="str">
        <f ca="1">IFERROR(__xludf.DUMMYFUNCTION("IMPORTXML(E1054,""/html/body/main/div[3]/div[3]/div[2]/ul/li[7]/span[2]/span"")"),"Loading...")</f>
        <v>Loading...</v>
      </c>
      <c r="S1054" s="7" t="str">
        <f ca="1">IFERROR(__xludf.DUMMYFUNCTION("IMPORTXML(E1054,""/html/body/main/div[3]/div[3]/div[2]/ul/li[8]/span[2]/span"")"),"Loading...")</f>
        <v>Loading...</v>
      </c>
      <c r="T1054" s="4">
        <v>34.6</v>
      </c>
      <c r="U1054" s="4">
        <v>22.7</v>
      </c>
      <c r="V1054" s="4">
        <v>2.6</v>
      </c>
      <c r="W1054" s="4">
        <v>5.7</v>
      </c>
      <c r="X1054" s="4">
        <v>519.92999999999995</v>
      </c>
      <c r="Y1054" s="7">
        <f t="shared" ca="1" si="24"/>
        <v>-305.86999999999995</v>
      </c>
    </row>
    <row r="1055" spans="1:25" ht="15" x14ac:dyDescent="0.25">
      <c r="A1055" s="4">
        <v>761</v>
      </c>
      <c r="C1055" s="12" t="s">
        <v>2652</v>
      </c>
      <c r="D1055" s="12" t="s">
        <v>2653</v>
      </c>
      <c r="E1055" s="5" t="str">
        <f t="shared" si="20"/>
        <v>https://www.screener.in/company/SASKEN/consolidated/</v>
      </c>
      <c r="F1055" s="4">
        <v>443059</v>
      </c>
      <c r="G1055" s="4">
        <v>3832241897</v>
      </c>
      <c r="H1055" s="6">
        <f t="shared" ca="1" si="21"/>
        <v>546477.69451219996</v>
      </c>
      <c r="I1055" s="7" t="str">
        <f ca="1">IFERROR(__xludf.DUMMYFUNCTION("IMPORTXML(E1055,""/html/body/main/div[3]/div[3]/div[2]/ul/li[5]/span[2]/span"")"),"Loading...")</f>
        <v>Loading...</v>
      </c>
      <c r="J1055" s="7">
        <f ca="1">IFERROR(__xludf.DUMMYFUNCTION("GOOGLEFINANCE(""NSE:""&amp;D1055,""marketcap"")"),21665430360)</f>
        <v>21665430360</v>
      </c>
      <c r="K1055" s="7">
        <v>992.8</v>
      </c>
      <c r="L1055" s="8">
        <f ca="1">IFERROR(__xludf.DUMMYFUNCTION("GOOGLEFINANCE(""NSE:""&amp;D1055,""price"")"),1426)</f>
        <v>1426</v>
      </c>
      <c r="M1055" s="9">
        <f t="shared" ca="1" si="22"/>
        <v>433.20000000000005</v>
      </c>
      <c r="N1055" s="10">
        <f t="shared" ca="1" si="23"/>
        <v>43.634165995165198</v>
      </c>
      <c r="O1055" s="7">
        <f ca="1">IFERROR(__xludf.DUMMYFUNCTION("GOOGLEFINANCE(""NSE:""&amp;D1055,""pe"")"),52.18)</f>
        <v>52.18</v>
      </c>
      <c r="P1055" s="7">
        <f ca="1">IFERROR(__xludf.DUMMYFUNCTION("GOOGLEFINANCE(""NSE:""&amp;D1055,""EPS"")"),27.33)</f>
        <v>27.33</v>
      </c>
      <c r="Q1055" s="7">
        <v>13.5</v>
      </c>
      <c r="R1055" s="7" t="str">
        <f ca="1">IFERROR(__xludf.DUMMYFUNCTION("IMPORTXML(E1055,""/html/body/main/div[3]/div[3]/div[2]/ul/li[7]/span[2]/span"")"),"Loading...")</f>
        <v>Loading...</v>
      </c>
      <c r="S1055" s="7">
        <f ca="1">IFERROR(__xludf.DUMMYFUNCTION("IMPORTXML(E1055,""/html/body/main/div[3]/div[3]/div[2]/ul/li[8]/span[2]/span"")"),5.97)</f>
        <v>5.97</v>
      </c>
      <c r="T1055" s="4">
        <v>34.6</v>
      </c>
      <c r="U1055" s="4">
        <v>22.7</v>
      </c>
      <c r="V1055" s="4">
        <v>2.6</v>
      </c>
      <c r="W1055" s="4">
        <v>5.7</v>
      </c>
      <c r="X1055" s="4">
        <v>519.92999999999995</v>
      </c>
      <c r="Y1055" s="7">
        <f t="shared" ca="1" si="24"/>
        <v>906.07</v>
      </c>
    </row>
    <row r="1056" spans="1:25" ht="15" x14ac:dyDescent="0.25">
      <c r="A1056" s="4">
        <v>419</v>
      </c>
      <c r="C1056" s="12" t="s">
        <v>2654</v>
      </c>
      <c r="D1056" s="12" t="s">
        <v>2655</v>
      </c>
      <c r="E1056" s="5" t="str">
        <f t="shared" si="20"/>
        <v>https://www.screener.in/company/SUPRAJIT/consolidated/</v>
      </c>
      <c r="F1056" s="4">
        <v>443059</v>
      </c>
      <c r="G1056" s="4">
        <v>3832241897</v>
      </c>
      <c r="H1056" s="6">
        <f t="shared" ca="1" si="21"/>
        <v>176034.03153869501</v>
      </c>
      <c r="I1056" s="7" t="str">
        <f ca="1">IFERROR(__xludf.DUMMYFUNCTION("IMPORTXML(E1056,""/html/body/main/div[3]/div[3]/div[2]/ul/li[5]/span[2]/span"")"),"Loading...")</f>
        <v>Loading...</v>
      </c>
      <c r="J1056" s="7">
        <f ca="1">IFERROR(__xludf.DUMMYFUNCTION("GOOGLEFINANCE(""NSE:""&amp;D1056,""marketcap"")"),63004860252)</f>
        <v>63004860252</v>
      </c>
      <c r="K1056" s="7">
        <v>992.8</v>
      </c>
      <c r="L1056" s="8">
        <f ca="1">IFERROR(__xludf.DUMMYFUNCTION("GOOGLEFINANCE(""NSE:""&amp;D1056,""price"")"),459.35)</f>
        <v>459.35</v>
      </c>
      <c r="M1056" s="9">
        <f t="shared" ca="1" si="22"/>
        <v>-533.44999999999993</v>
      </c>
      <c r="N1056" s="10">
        <f t="shared" ca="1" si="23"/>
        <v>-53.731869460112812</v>
      </c>
      <c r="O1056" s="7">
        <f ca="1">IFERROR(__xludf.DUMMYFUNCTION("GOOGLEFINANCE(""NSE:""&amp;D1056,""pe"")"),57.84)</f>
        <v>57.84</v>
      </c>
      <c r="P1056" s="7">
        <f ca="1">IFERROR(__xludf.DUMMYFUNCTION("GOOGLEFINANCE(""NSE:""&amp;D1056,""EPS"")"),7.94)</f>
        <v>7.94</v>
      </c>
      <c r="Q1056" s="7">
        <v>13.5</v>
      </c>
      <c r="R1056" s="7" t="str">
        <f ca="1">IFERROR(__xludf.DUMMYFUNCTION("IMPORTXML(E1056,""/html/body/main/div[3]/div[3]/div[2]/ul/li[7]/span[2]/span"")"),"Loading...")</f>
        <v>Loading...</v>
      </c>
      <c r="S1056" s="7" t="str">
        <f ca="1">IFERROR(__xludf.DUMMYFUNCTION("IMPORTXML(E1056,""/html/body/main/div[3]/div[3]/div[2]/ul/li[8]/span[2]/span"")"),"Loading...")</f>
        <v>Loading...</v>
      </c>
      <c r="T1056" s="4">
        <v>34.6</v>
      </c>
      <c r="U1056" s="4">
        <v>22.7</v>
      </c>
      <c r="V1056" s="4">
        <v>2.6</v>
      </c>
      <c r="W1056" s="4">
        <v>5.7</v>
      </c>
      <c r="X1056" s="4">
        <v>519.92999999999995</v>
      </c>
      <c r="Y1056" s="7">
        <f t="shared" ca="1" si="24"/>
        <v>-60.579999999999927</v>
      </c>
    </row>
    <row r="1057" spans="1:25" ht="15" x14ac:dyDescent="0.25">
      <c r="A1057" s="4">
        <v>18</v>
      </c>
      <c r="C1057" s="12" t="s">
        <v>2656</v>
      </c>
      <c r="D1057" s="12" t="s">
        <v>2657</v>
      </c>
      <c r="E1057" s="5" t="str">
        <f t="shared" si="20"/>
        <v>https://www.screener.in/company/NBCC/consolidated/</v>
      </c>
      <c r="F1057" s="4">
        <v>443059</v>
      </c>
      <c r="G1057" s="4">
        <v>3832241897</v>
      </c>
      <c r="H1057" s="6">
        <f t="shared" ca="1" si="21"/>
        <v>39395.446701159999</v>
      </c>
      <c r="I1057" s="7" t="str">
        <f ca="1">IFERROR(__xludf.DUMMYFUNCTION("IMPORTXML(E1057,""/html/body/main/div[3]/div[3]/div[2]/ul/li[5]/span[2]/span"")"),"Loading...")</f>
        <v>Loading...</v>
      </c>
      <c r="J1057" s="7">
        <f ca="1">IFERROR(__xludf.DUMMYFUNCTION("GOOGLEFINANCE(""NSE:""&amp;D1057,""marketcap"")"),275849434778)</f>
        <v>275849434778</v>
      </c>
      <c r="K1057" s="7">
        <v>992.8</v>
      </c>
      <c r="L1057" s="8">
        <f ca="1">IFERROR(__xludf.DUMMYFUNCTION("GOOGLEFINANCE(""NSE:""&amp;D1057,""price"")"),102.8)</f>
        <v>102.8</v>
      </c>
      <c r="M1057" s="9">
        <f t="shared" ca="1" si="22"/>
        <v>-890</v>
      </c>
      <c r="N1057" s="10">
        <f t="shared" ca="1" si="23"/>
        <v>-89.645447219983893</v>
      </c>
      <c r="O1057" s="7">
        <f ca="1">IFERROR(__xludf.DUMMYFUNCTION("GOOGLEFINANCE(""NSE:""&amp;D1057,""pe"")"),48.75)</f>
        <v>48.75</v>
      </c>
      <c r="P1057" s="7">
        <f ca="1">IFERROR(__xludf.DUMMYFUNCTION("GOOGLEFINANCE(""NSE:""&amp;D1057,""EPS"")"),2.11)</f>
        <v>2.11</v>
      </c>
      <c r="Q1057" s="7">
        <v>13.5</v>
      </c>
      <c r="R1057" s="7" t="str">
        <f ca="1">IFERROR(__xludf.DUMMYFUNCTION("IMPORTXML(E1057,""/html/body/main/div[3]/div[3]/div[2]/ul/li[7]/span[2]/span"")"),"Loading...")</f>
        <v>Loading...</v>
      </c>
      <c r="S1057" s="7" t="str">
        <f ca="1">IFERROR(__xludf.DUMMYFUNCTION("IMPORTXML(E1057,""/html/body/main/div[3]/div[3]/div[2]/ul/li[8]/span[2]/span"")"),"Loading...")</f>
        <v>Loading...</v>
      </c>
      <c r="T1057" s="4">
        <v>34.6</v>
      </c>
      <c r="U1057" s="4">
        <v>22.7</v>
      </c>
      <c r="V1057" s="4">
        <v>2.6</v>
      </c>
      <c r="W1057" s="4">
        <v>5.7</v>
      </c>
      <c r="X1057" s="4">
        <v>519.92999999999995</v>
      </c>
      <c r="Y1057" s="7">
        <f t="shared" ca="1" si="24"/>
        <v>-417.12999999999994</v>
      </c>
    </row>
    <row r="1058" spans="1:25" ht="15" x14ac:dyDescent="0.25">
      <c r="A1058" s="4">
        <v>120</v>
      </c>
      <c r="C1058" s="12" t="s">
        <v>2658</v>
      </c>
      <c r="D1058" s="12" t="s">
        <v>2659</v>
      </c>
      <c r="E1058" s="5" t="str">
        <f t="shared" si="20"/>
        <v>https://www.screener.in/company/TRIDENT/consolidated/</v>
      </c>
      <c r="F1058" s="4">
        <v>443059</v>
      </c>
      <c r="G1058" s="4">
        <v>3832241897</v>
      </c>
      <c r="H1058" s="6">
        <f t="shared" ca="1" si="21"/>
        <v>10852.909052304001</v>
      </c>
      <c r="I1058" s="7" t="str">
        <f ca="1">IFERROR(__xludf.DUMMYFUNCTION("IMPORTXML(E1058,""/html/body/main/div[3]/div[3]/div[2]/ul/li[5]/span[2]/span"")"),"Loading...")</f>
        <v>Loading...</v>
      </c>
      <c r="J1058" s="7">
        <f ca="1">IFERROR(__xludf.DUMMYFUNCTION("GOOGLEFINANCE(""NSE:""&amp;D1058,""marketcap"")"),142478075773)</f>
        <v>142478075773</v>
      </c>
      <c r="K1058" s="7">
        <v>992.8</v>
      </c>
      <c r="L1058" s="8">
        <f ca="1">IFERROR(__xludf.DUMMYFUNCTION("GOOGLEFINANCE(""NSE:""&amp;D1058,""price"")"),28.32)</f>
        <v>28.32</v>
      </c>
      <c r="M1058" s="9">
        <f t="shared" ca="1" si="22"/>
        <v>-964.4799999999999</v>
      </c>
      <c r="N1058" s="10">
        <f t="shared" ca="1" si="23"/>
        <v>-97.147461724415791</v>
      </c>
      <c r="O1058" s="7">
        <f ca="1">IFERROR(__xludf.DUMMYFUNCTION("GOOGLEFINANCE(""NSE:""&amp;D1058,""pe"")"),33.15)</f>
        <v>33.15</v>
      </c>
      <c r="P1058" s="7">
        <f ca="1">IFERROR(__xludf.DUMMYFUNCTION("GOOGLEFINANCE(""NSE:""&amp;D1058,""EPS"")"),0.85)</f>
        <v>0.85</v>
      </c>
      <c r="Q1058" s="7">
        <v>13.5</v>
      </c>
      <c r="R1058" s="7" t="str">
        <f ca="1">IFERROR(__xludf.DUMMYFUNCTION("IMPORTXML(E1058,""/html/body/main/div[3]/div[3]/div[2]/ul/li[7]/span[2]/span"")"),"Loading...")</f>
        <v>Loading...</v>
      </c>
      <c r="S1058" s="7" t="str">
        <f ca="1">IFERROR(__xludf.DUMMYFUNCTION("IMPORTXML(E1058,""/html/body/main/div[3]/div[3]/div[2]/ul/li[8]/span[2]/span"")"),"Loading...")</f>
        <v>Loading...</v>
      </c>
      <c r="T1058" s="4">
        <v>34.6</v>
      </c>
      <c r="U1058" s="4">
        <v>22.7</v>
      </c>
      <c r="V1058" s="4">
        <v>2.6</v>
      </c>
      <c r="W1058" s="4">
        <v>5.7</v>
      </c>
      <c r="X1058" s="4">
        <v>519.92999999999995</v>
      </c>
      <c r="Y1058" s="7">
        <f t="shared" ca="1" si="24"/>
        <v>-491.60999999999996</v>
      </c>
    </row>
    <row r="1059" spans="1:25" ht="15" x14ac:dyDescent="0.25">
      <c r="A1059" s="4">
        <v>75</v>
      </c>
      <c r="C1059" s="12" t="s">
        <v>2660</v>
      </c>
      <c r="D1059" s="12" t="s">
        <v>2661</v>
      </c>
      <c r="E1059" s="5" t="str">
        <f t="shared" si="20"/>
        <v>https://www.screener.in/company/FSL/consolidated/</v>
      </c>
      <c r="F1059" s="4">
        <v>443059</v>
      </c>
      <c r="G1059" s="4">
        <v>3832241897</v>
      </c>
      <c r="H1059" s="6">
        <f t="shared" ca="1" si="21"/>
        <v>134109.305185515</v>
      </c>
      <c r="I1059" s="7" t="str">
        <f ca="1">IFERROR(__xludf.DUMMYFUNCTION("IMPORTXML(E1059,""/html/body/main/div[3]/div[3]/div[2]/ul/li[5]/span[2]/span"")"),"Loading...")</f>
        <v>Loading...</v>
      </c>
      <c r="J1059" s="7">
        <f ca="1">IFERROR(__xludf.DUMMYFUNCTION("GOOGLEFINANCE(""NSE:""&amp;D1059,""marketcap"")"),241391076097)</f>
        <v>241391076097</v>
      </c>
      <c r="K1059" s="7">
        <v>992.8</v>
      </c>
      <c r="L1059" s="8">
        <f ca="1">IFERROR(__xludf.DUMMYFUNCTION("GOOGLEFINANCE(""NSE:""&amp;D1059,""price"")"),349.95)</f>
        <v>349.95</v>
      </c>
      <c r="M1059" s="9">
        <f t="shared" ca="1" si="22"/>
        <v>-642.84999999999991</v>
      </c>
      <c r="N1059" s="10">
        <f t="shared" ca="1" si="23"/>
        <v>-64.751208702659142</v>
      </c>
      <c r="O1059" s="7">
        <f ca="1">IFERROR(__xludf.DUMMYFUNCTION("GOOGLEFINANCE(""NSE:""&amp;D1059,""pe"")"),39.3)</f>
        <v>39.299999999999997</v>
      </c>
      <c r="P1059" s="7">
        <f ca="1">IFERROR(__xludf.DUMMYFUNCTION("GOOGLEFINANCE(""NSE:""&amp;D1059,""EPS"")"),8.9)</f>
        <v>8.9</v>
      </c>
      <c r="Q1059" s="7">
        <v>13.5</v>
      </c>
      <c r="R1059" s="7" t="str">
        <f ca="1">IFERROR(__xludf.DUMMYFUNCTION("IMPORTXML(E1059,""/html/body/main/div[3]/div[3]/div[2]/ul/li[7]/span[2]/span"")"),"Loading...")</f>
        <v>Loading...</v>
      </c>
      <c r="S1059" s="7" t="str">
        <f ca="1">IFERROR(__xludf.DUMMYFUNCTION("IMPORTXML(E1059,""/html/body/main/div[3]/div[3]/div[2]/ul/li[8]/span[2]/span"")"),"Loading...")</f>
        <v>Loading...</v>
      </c>
      <c r="T1059" s="4">
        <v>34.6</v>
      </c>
      <c r="U1059" s="4">
        <v>22.7</v>
      </c>
      <c r="V1059" s="4">
        <v>2.6</v>
      </c>
      <c r="W1059" s="4">
        <v>5.7</v>
      </c>
      <c r="X1059" s="4">
        <v>519.92999999999995</v>
      </c>
      <c r="Y1059" s="7">
        <f t="shared" ca="1" si="24"/>
        <v>-169.97999999999996</v>
      </c>
    </row>
    <row r="1060" spans="1:25" ht="15" x14ac:dyDescent="0.25">
      <c r="A1060" s="4">
        <v>815</v>
      </c>
      <c r="C1060" s="12" t="s">
        <v>2662</v>
      </c>
      <c r="D1060" s="12" t="s">
        <v>2663</v>
      </c>
      <c r="E1060" s="5" t="str">
        <f t="shared" si="20"/>
        <v>https://www.screener.in/company/AEROFLEX/consolidated/</v>
      </c>
      <c r="F1060" s="4">
        <v>443059</v>
      </c>
      <c r="G1060" s="4">
        <v>3832241897</v>
      </c>
      <c r="H1060" s="6">
        <f t="shared" ca="1" si="21"/>
        <v>68405.517861450004</v>
      </c>
      <c r="I1060" s="7" t="str">
        <f ca="1">IFERROR(__xludf.DUMMYFUNCTION("IMPORTXML(E1060,""/html/body/main/div[3]/div[3]/div[2]/ul/li[5]/span[2]/span"")"),"Loading...")</f>
        <v>Loading...</v>
      </c>
      <c r="J1060" s="7">
        <f ca="1">IFERROR(__xludf.DUMMYFUNCTION("GOOGLEFINANCE(""NSE:""&amp;D1060,""marketcap"")"),23051116731)</f>
        <v>23051116731</v>
      </c>
      <c r="K1060" s="7">
        <v>992.8</v>
      </c>
      <c r="L1060" s="8">
        <f ca="1">IFERROR(__xludf.DUMMYFUNCTION("GOOGLEFINANCE(""NSE:""&amp;D1060,""price"")"),178.5)</f>
        <v>178.5</v>
      </c>
      <c r="M1060" s="9">
        <f t="shared" ca="1" si="22"/>
        <v>-814.3</v>
      </c>
      <c r="N1060" s="10">
        <f t="shared" ca="1" si="23"/>
        <v>-82.020547945205479</v>
      </c>
      <c r="O1060" s="7">
        <f ca="1">IFERROR(__xludf.DUMMYFUNCTION("GOOGLEFINANCE(""NSE:""&amp;D1060,""pe"")"),48.77)</f>
        <v>48.77</v>
      </c>
      <c r="P1060" s="7">
        <f ca="1">IFERROR(__xludf.DUMMYFUNCTION("GOOGLEFINANCE(""NSE:""&amp;D1060,""EPS"")"),3.66)</f>
        <v>3.66</v>
      </c>
      <c r="Q1060" s="7">
        <v>13.5</v>
      </c>
      <c r="R1060" s="7" t="str">
        <f ca="1">IFERROR(__xludf.DUMMYFUNCTION("IMPORTXML(E1060,""/html/body/main/div[3]/div[3]/div[2]/ul/li[7]/span[2]/span"")"),"Loading...")</f>
        <v>Loading...</v>
      </c>
      <c r="S1060" s="7" t="str">
        <f ca="1">IFERROR(__xludf.DUMMYFUNCTION("IMPORTXML(E1060,""/html/body/main/div[3]/div[3]/div[2]/ul/li[8]/span[2]/span"")"),"Loading...")</f>
        <v>Loading...</v>
      </c>
      <c r="T1060" s="4">
        <v>34.6</v>
      </c>
      <c r="U1060" s="4">
        <v>22.7</v>
      </c>
      <c r="V1060" s="4">
        <v>2.6</v>
      </c>
      <c r="W1060" s="4">
        <v>5.7</v>
      </c>
      <c r="X1060" s="4">
        <v>519.92999999999995</v>
      </c>
      <c r="Y1060" s="7">
        <f t="shared" ca="1" si="24"/>
        <v>-341.42999999999995</v>
      </c>
    </row>
    <row r="1061" spans="1:25" ht="15" x14ac:dyDescent="0.25">
      <c r="A1061" s="4">
        <v>1132</v>
      </c>
      <c r="C1061" s="12" t="s">
        <v>2664</v>
      </c>
      <c r="D1061" s="12" t="s">
        <v>2665</v>
      </c>
      <c r="E1061" s="5" t="str">
        <f t="shared" si="20"/>
        <v>https://www.screener.in/company/ICEMAKE/consolidated/</v>
      </c>
      <c r="F1061" s="4">
        <v>443059</v>
      </c>
      <c r="G1061" s="4">
        <v>3832241897</v>
      </c>
      <c r="H1061" s="6">
        <f t="shared" ca="1" si="21"/>
        <v>280903.33105009998</v>
      </c>
      <c r="I1061" s="7" t="str">
        <f ca="1">IFERROR(__xludf.DUMMYFUNCTION("IMPORTXML(E1061,""/html/body/main/div[3]/div[3]/div[2]/ul/li[5]/span[2]/span"")"),"Loading...")</f>
        <v>Loading...</v>
      </c>
      <c r="J1061" s="7">
        <f ca="1">IFERROR(__xludf.DUMMYFUNCTION("GOOGLEFINANCE(""NSE:""&amp;D1061,""marketcap"")"),11566549420)</f>
        <v>11566549420</v>
      </c>
      <c r="K1061" s="7">
        <v>992.8</v>
      </c>
      <c r="L1061" s="8">
        <f ca="1">IFERROR(__xludf.DUMMYFUNCTION("GOOGLEFINANCE(""NSE:""&amp;D1061,""price"")"),733)</f>
        <v>733</v>
      </c>
      <c r="M1061" s="9">
        <f t="shared" ca="1" si="22"/>
        <v>-259.79999999999995</v>
      </c>
      <c r="N1061" s="10">
        <f t="shared" ca="1" si="23"/>
        <v>-26.168412570507655</v>
      </c>
      <c r="O1061" s="7">
        <f ca="1">IFERROR(__xludf.DUMMYFUNCTION("GOOGLEFINANCE(""NSE:""&amp;D1061,""pe"")"),64.35)</f>
        <v>64.349999999999994</v>
      </c>
      <c r="P1061" s="7">
        <f ca="1">IFERROR(__xludf.DUMMYFUNCTION("GOOGLEFINANCE(""NSE:""&amp;D1061,""EPS"")"),11.39)</f>
        <v>11.39</v>
      </c>
      <c r="Q1061" s="7">
        <v>13.5</v>
      </c>
      <c r="R1061" s="7" t="str">
        <f ca="1">IFERROR(__xludf.DUMMYFUNCTION("IMPORTXML(E1061,""/html/body/main/div[3]/div[3]/div[2]/ul/li[7]/span[2]/span"")"),"Loading...")</f>
        <v>Loading...</v>
      </c>
      <c r="S1061" s="7" t="str">
        <f ca="1">IFERROR(__xludf.DUMMYFUNCTION("IMPORTXML(E1061,""/html/body/main/div[3]/div[3]/div[2]/ul/li[8]/span[2]/span"")"),"Loading...")</f>
        <v>Loading...</v>
      </c>
      <c r="T1061" s="4">
        <v>34.6</v>
      </c>
      <c r="U1061" s="4">
        <v>22.7</v>
      </c>
      <c r="V1061" s="4">
        <v>2.6</v>
      </c>
      <c r="W1061" s="4">
        <v>5.7</v>
      </c>
      <c r="X1061" s="4">
        <v>519.92999999999995</v>
      </c>
      <c r="Y1061" s="7">
        <f t="shared" ca="1" si="24"/>
        <v>213.07000000000005</v>
      </c>
    </row>
    <row r="1062" spans="1:25" ht="15" x14ac:dyDescent="0.25">
      <c r="A1062" s="4">
        <v>74</v>
      </c>
      <c r="C1062" s="12" t="s">
        <v>2666</v>
      </c>
      <c r="D1062" s="12" t="s">
        <v>2667</v>
      </c>
      <c r="E1062" s="5" t="str">
        <f t="shared" si="20"/>
        <v>https://www.screener.in/company/ANANTRAJ/consolidated/</v>
      </c>
      <c r="F1062" s="4">
        <v>443059</v>
      </c>
      <c r="G1062" s="4">
        <v>3832241897</v>
      </c>
      <c r="H1062" s="6">
        <f t="shared" ca="1" si="21"/>
        <v>206097.96922065999</v>
      </c>
      <c r="I1062" s="7" t="str">
        <f ca="1">IFERROR(__xludf.DUMMYFUNCTION("IMPORTXML(E1062,""/html/body/main/div[3]/div[3]/div[2]/ul/li[5]/span[2]/span"")"),"Loading...")</f>
        <v>Loading...</v>
      </c>
      <c r="J1062" s="7">
        <f ca="1">IFERROR(__xludf.DUMMYFUNCTION("GOOGLEFINANCE(""NSE:""&amp;D1062,""marketcap"")"),184519868949)</f>
        <v>184519868949</v>
      </c>
      <c r="K1062" s="7">
        <v>992.8</v>
      </c>
      <c r="L1062" s="8">
        <f ca="1">IFERROR(__xludf.DUMMYFUNCTION("GOOGLEFINANCE(""NSE:""&amp;D1062,""price"")"),537.8)</f>
        <v>537.79999999999995</v>
      </c>
      <c r="M1062" s="9">
        <f t="shared" ca="1" si="22"/>
        <v>-455</v>
      </c>
      <c r="N1062" s="10">
        <f t="shared" ca="1" si="23"/>
        <v>-45.829975825946818</v>
      </c>
      <c r="O1062" s="7">
        <f ca="1">IFERROR(__xludf.DUMMYFUNCTION("GOOGLEFINANCE(""NSE:""&amp;D1062,""pe"")"),39.99)</f>
        <v>39.99</v>
      </c>
      <c r="P1062" s="7">
        <f ca="1">IFERROR(__xludf.DUMMYFUNCTION("GOOGLEFINANCE(""NSE:""&amp;D1062,""EPS"")"),13.45)</f>
        <v>13.45</v>
      </c>
      <c r="Q1062" s="7">
        <v>13.5</v>
      </c>
      <c r="R1062" s="7" t="str">
        <f ca="1">IFERROR(__xludf.DUMMYFUNCTION("IMPORTXML(E1062,""/html/body/main/div[3]/div[3]/div[2]/ul/li[7]/span[2]/span"")"),"Loading...")</f>
        <v>Loading...</v>
      </c>
      <c r="S1062" s="7" t="str">
        <f ca="1">IFERROR(__xludf.DUMMYFUNCTION("IMPORTXML(E1062,""/html/body/main/div[3]/div[3]/div[2]/ul/li[8]/span[2]/span"")"),"Loading...")</f>
        <v>Loading...</v>
      </c>
      <c r="T1062" s="4">
        <v>34.6</v>
      </c>
      <c r="U1062" s="4">
        <v>22.7</v>
      </c>
      <c r="V1062" s="4">
        <v>2.6</v>
      </c>
      <c r="W1062" s="4">
        <v>5.7</v>
      </c>
      <c r="X1062" s="4">
        <v>519.92999999999995</v>
      </c>
      <c r="Y1062" s="7">
        <f t="shared" ca="1" si="24"/>
        <v>17.870000000000005</v>
      </c>
    </row>
    <row r="1063" spans="1:25" ht="15" x14ac:dyDescent="0.25">
      <c r="A1063" s="4">
        <v>2338</v>
      </c>
      <c r="C1063" s="12" t="s">
        <v>2668</v>
      </c>
      <c r="D1063" s="12" t="s">
        <v>2669</v>
      </c>
      <c r="E1063" s="5" t="str">
        <f t="shared" si="20"/>
        <v>https://www.screener.in/company/EXCEL/consolidated/</v>
      </c>
      <c r="F1063" s="4">
        <v>443059</v>
      </c>
      <c r="G1063" s="4">
        <v>3832241897</v>
      </c>
      <c r="H1063" s="6">
        <f t="shared" ca="1" si="21"/>
        <v>574.83628454999996</v>
      </c>
      <c r="I1063" s="7" t="str">
        <f ca="1">IFERROR(__xludf.DUMMYFUNCTION("IMPORTXML(E1063,""/html/body/main/div[3]/div[3]/div[2]/ul/li[5]/span[2]/span"")"),"Loading...")</f>
        <v>Loading...</v>
      </c>
      <c r="J1063" s="7">
        <f ca="1">IFERROR(__xludf.DUMMYFUNCTION("GOOGLEFINANCE(""NSE:""&amp;D1063,""marketcap"")"),2087829000)</f>
        <v>2087829000</v>
      </c>
      <c r="K1063" s="7">
        <v>992.8</v>
      </c>
      <c r="L1063" s="8">
        <f ca="1">IFERROR(__xludf.DUMMYFUNCTION("GOOGLEFINANCE(""NSE:""&amp;D1063,""price"")"),1.5)</f>
        <v>1.5</v>
      </c>
      <c r="M1063" s="9">
        <f t="shared" ca="1" si="22"/>
        <v>-991.3</v>
      </c>
      <c r="N1063" s="10">
        <f t="shared" ca="1" si="23"/>
        <v>-99.84891216760677</v>
      </c>
      <c r="O1063" s="7">
        <f ca="1">IFERROR(__xludf.DUMMYFUNCTION("GOOGLEFINANCE(""NSE:""&amp;D1063,""pe"")"),1304.35)</f>
        <v>1304.3499999999999</v>
      </c>
      <c r="P1063" s="7">
        <f ca="1">IFERROR(__xludf.DUMMYFUNCTION("GOOGLEFINANCE(""NSE:""&amp;D1063,""EPS"")"),0)</f>
        <v>0</v>
      </c>
      <c r="Q1063" s="7">
        <v>13.5</v>
      </c>
      <c r="R1063" s="7" t="str">
        <f ca="1">IFERROR(__xludf.DUMMYFUNCTION("IMPORTXML(E1063,""/html/body/main/div[3]/div[3]/div[2]/ul/li[7]/span[2]/span"")"),"Loading...")</f>
        <v>Loading...</v>
      </c>
      <c r="S1063" s="7" t="str">
        <f ca="1">IFERROR(__xludf.DUMMYFUNCTION("IMPORTXML(E1063,""/html/body/main/div[3]/div[3]/div[2]/ul/li[8]/span[2]/span"")"),"Loading...")</f>
        <v>Loading...</v>
      </c>
      <c r="T1063" s="4">
        <v>34.6</v>
      </c>
      <c r="U1063" s="4">
        <v>22.7</v>
      </c>
      <c r="V1063" s="4">
        <v>2.6</v>
      </c>
      <c r="W1063" s="4">
        <v>5.7</v>
      </c>
      <c r="X1063" s="4">
        <v>519.92999999999995</v>
      </c>
      <c r="Y1063" s="7">
        <f t="shared" ca="1" si="24"/>
        <v>-518.42999999999995</v>
      </c>
    </row>
    <row r="1064" spans="1:25" ht="15" x14ac:dyDescent="0.25">
      <c r="A1064" s="4">
        <v>27</v>
      </c>
      <c r="C1064" s="12" t="s">
        <v>2670</v>
      </c>
      <c r="D1064" s="12" t="s">
        <v>2671</v>
      </c>
      <c r="E1064" s="5" t="str">
        <f t="shared" si="20"/>
        <v>https://www.screener.in/company/CARBORUNIV/consolidated/</v>
      </c>
      <c r="F1064" s="4">
        <v>443059</v>
      </c>
      <c r="G1064" s="4">
        <v>3832241897</v>
      </c>
      <c r="H1064" s="6">
        <f t="shared" ca="1" si="21"/>
        <v>362338.47136134998</v>
      </c>
      <c r="I1064" s="7" t="str">
        <f ca="1">IFERROR(__xludf.DUMMYFUNCTION("IMPORTXML(E1064,""/html/body/main/div[3]/div[3]/div[2]/ul/li[5]/span[2]/span"")"),"Loading...")</f>
        <v>Loading...</v>
      </c>
      <c r="J1064" s="7">
        <f ca="1">IFERROR(__xludf.DUMMYFUNCTION("GOOGLEFINANCE(""NSE:""&amp;D1064,""marketcap"")"),181794298400)</f>
        <v>181794298400</v>
      </c>
      <c r="K1064" s="7">
        <v>992.8</v>
      </c>
      <c r="L1064" s="8">
        <f ca="1">IFERROR(__xludf.DUMMYFUNCTION("GOOGLEFINANCE(""NSE:""&amp;D1064,""price"")"),945.5)</f>
        <v>945.5</v>
      </c>
      <c r="M1064" s="9">
        <f t="shared" ca="1" si="22"/>
        <v>-47.299999999999955</v>
      </c>
      <c r="N1064" s="10">
        <f t="shared" ca="1" si="23"/>
        <v>-4.764302981466555</v>
      </c>
      <c r="O1064" s="7">
        <f ca="1">IFERROR(__xludf.DUMMYFUNCTION("GOOGLEFINANCE(""NSE:""&amp;D1064,""pe"")"),74.03)</f>
        <v>74.03</v>
      </c>
      <c r="P1064" s="7">
        <f ca="1">IFERROR(__xludf.DUMMYFUNCTION("GOOGLEFINANCE(""NSE:""&amp;D1064,""EPS"")"),12.77)</f>
        <v>12.77</v>
      </c>
      <c r="Q1064" s="7">
        <v>13.5</v>
      </c>
      <c r="R1064" s="7" t="str">
        <f ca="1">IFERROR(__xludf.DUMMYFUNCTION("IMPORTXML(E1064,""/html/body/main/div[3]/div[3]/div[2]/ul/li[7]/span[2]/span"")"),"Loading...")</f>
        <v>Loading...</v>
      </c>
      <c r="S1064" s="7" t="str">
        <f ca="1">IFERROR(__xludf.DUMMYFUNCTION("IMPORTXML(E1064,""/html/body/main/div[3]/div[3]/div[2]/ul/li[8]/span[2]/span"")"),"Loading...")</f>
        <v>Loading...</v>
      </c>
      <c r="T1064" s="4">
        <v>34.6</v>
      </c>
      <c r="U1064" s="4">
        <v>22.7</v>
      </c>
      <c r="V1064" s="4">
        <v>2.6</v>
      </c>
      <c r="W1064" s="4">
        <v>5.7</v>
      </c>
      <c r="X1064" s="4">
        <v>519.92999999999995</v>
      </c>
      <c r="Y1064" s="7">
        <f t="shared" ca="1" si="24"/>
        <v>425.57000000000005</v>
      </c>
    </row>
    <row r="1065" spans="1:25" ht="15" x14ac:dyDescent="0.25">
      <c r="A1065" s="4">
        <v>405</v>
      </c>
      <c r="C1065" s="12" t="s">
        <v>2672</v>
      </c>
      <c r="D1065" s="12" t="s">
        <v>2673</v>
      </c>
      <c r="E1065" s="5" t="str">
        <f t="shared" si="20"/>
        <v>https://www.screener.in/company/ORCHPHARMA/consolidated/</v>
      </c>
      <c r="F1065" s="4">
        <v>443059</v>
      </c>
      <c r="G1065" s="4">
        <v>3832241897</v>
      </c>
      <c r="H1065" s="6">
        <f t="shared" ca="1" si="21"/>
        <v>272491.56008618494</v>
      </c>
      <c r="I1065" s="7" t="str">
        <f ca="1">IFERROR(__xludf.DUMMYFUNCTION("IMPORTXML(E1065,""/html/body/main/div[3]/div[3]/div[2]/ul/li[5]/span[2]/span"")"),"Loading...")</f>
        <v>Loading...</v>
      </c>
      <c r="J1065" s="7">
        <f ca="1">IFERROR(__xludf.DUMMYFUNCTION("GOOGLEFINANCE(""NSE:""&amp;D1065,""marketcap"")"),36063822546)</f>
        <v>36063822546</v>
      </c>
      <c r="K1065" s="7">
        <v>992.8</v>
      </c>
      <c r="L1065" s="8">
        <f ca="1">IFERROR(__xludf.DUMMYFUNCTION("GOOGLEFINANCE(""NSE:""&amp;D1065,""price"")"),711.05)</f>
        <v>711.05</v>
      </c>
      <c r="M1065" s="9">
        <f t="shared" ca="1" si="22"/>
        <v>-281.75</v>
      </c>
      <c r="N1065" s="10">
        <f t="shared" ca="1" si="23"/>
        <v>-28.379331184528606</v>
      </c>
      <c r="O1065" s="7">
        <f ca="1">IFERROR(__xludf.DUMMYFUNCTION("GOOGLEFINANCE(""NSE:""&amp;D1065,""pe"")"),42.3)</f>
        <v>42.3</v>
      </c>
      <c r="P1065" s="7">
        <f ca="1">IFERROR(__xludf.DUMMYFUNCTION("GOOGLEFINANCE(""NSE:""&amp;D1065,""EPS"")"),16.81)</f>
        <v>16.809999999999999</v>
      </c>
      <c r="Q1065" s="7">
        <v>13.5</v>
      </c>
      <c r="R1065" s="7" t="str">
        <f ca="1">IFERROR(__xludf.DUMMYFUNCTION("IMPORTXML(E1065,""/html/body/main/div[3]/div[3]/div[2]/ul/li[7]/span[2]/span"")"),"Loading...")</f>
        <v>Loading...</v>
      </c>
      <c r="S1065" s="7" t="str">
        <f ca="1">IFERROR(__xludf.DUMMYFUNCTION("IMPORTXML(E1065,""/html/body/main/div[3]/div[3]/div[2]/ul/li[8]/span[2]/span"")"),"Loading...")</f>
        <v>Loading...</v>
      </c>
      <c r="T1065" s="4">
        <v>34.6</v>
      </c>
      <c r="U1065" s="4">
        <v>22.7</v>
      </c>
      <c r="V1065" s="4">
        <v>2.6</v>
      </c>
      <c r="W1065" s="4">
        <v>5.7</v>
      </c>
      <c r="X1065" s="4">
        <v>519.92999999999995</v>
      </c>
      <c r="Y1065" s="7">
        <f t="shared" ca="1" si="24"/>
        <v>191.12</v>
      </c>
    </row>
    <row r="1066" spans="1:25" ht="15" x14ac:dyDescent="0.25">
      <c r="A1066" s="4">
        <v>318</v>
      </c>
      <c r="C1066" s="12" t="s">
        <v>2674</v>
      </c>
      <c r="D1066" s="12" t="s">
        <v>2675</v>
      </c>
      <c r="E1066" s="5" t="str">
        <f t="shared" si="20"/>
        <v>https://www.screener.in/company/AURIONPRO/consolidated/</v>
      </c>
      <c r="F1066" s="4">
        <v>443059</v>
      </c>
      <c r="G1066" s="4">
        <v>3832241897</v>
      </c>
      <c r="H1066" s="6">
        <f t="shared" ca="1" si="21"/>
        <v>493975.98052330001</v>
      </c>
      <c r="I1066" s="7" t="str">
        <f ca="1">IFERROR(__xludf.DUMMYFUNCTION("IMPORTXML(E1066,""/html/body/main/div[3]/div[3]/div[2]/ul/li[5]/span[2]/span"")"),"Loading...")</f>
        <v>Loading...</v>
      </c>
      <c r="J1066" s="7">
        <f ca="1">IFERROR(__xludf.DUMMYFUNCTION("GOOGLEFINANCE(""NSE:""&amp;D1066,""marketcap"")"),71172999203)</f>
        <v>71172999203</v>
      </c>
      <c r="K1066" s="7">
        <v>992.8</v>
      </c>
      <c r="L1066" s="8">
        <f ca="1">IFERROR(__xludf.DUMMYFUNCTION("GOOGLEFINANCE(""NSE:""&amp;D1066,""price"")"),1289)</f>
        <v>1289</v>
      </c>
      <c r="M1066" s="9">
        <f t="shared" ca="1" si="22"/>
        <v>296.20000000000005</v>
      </c>
      <c r="N1066" s="10">
        <f t="shared" ca="1" si="23"/>
        <v>29.834810636583409</v>
      </c>
      <c r="O1066" s="7">
        <f ca="1">IFERROR(__xludf.DUMMYFUNCTION("GOOGLEFINANCE(""NSE:""&amp;D1066,""pe"")"),36.27)</f>
        <v>36.270000000000003</v>
      </c>
      <c r="P1066" s="7">
        <f ca="1">IFERROR(__xludf.DUMMYFUNCTION("GOOGLEFINANCE(""NSE:""&amp;D1066,""EPS"")"),35.54)</f>
        <v>35.54</v>
      </c>
      <c r="Q1066" s="7">
        <v>13.5</v>
      </c>
      <c r="R1066" s="7" t="str">
        <f ca="1">IFERROR(__xludf.DUMMYFUNCTION("IMPORTXML(E1066,""/html/body/main/div[3]/div[3]/div[2]/ul/li[7]/span[2]/span"")"),"Loading...")</f>
        <v>Loading...</v>
      </c>
      <c r="S1066" s="7" t="str">
        <f ca="1">IFERROR(__xludf.DUMMYFUNCTION("IMPORTXML(E1066,""/html/body/main/div[3]/div[3]/div[2]/ul/li[8]/span[2]/span"")"),"Loading...")</f>
        <v>Loading...</v>
      </c>
      <c r="T1066" s="4">
        <v>34.6</v>
      </c>
      <c r="U1066" s="4">
        <v>22.7</v>
      </c>
      <c r="V1066" s="4">
        <v>2.6</v>
      </c>
      <c r="W1066" s="4">
        <v>5.7</v>
      </c>
      <c r="X1066" s="4">
        <v>519.92999999999995</v>
      </c>
      <c r="Y1066" s="7">
        <f t="shared" ca="1" si="24"/>
        <v>769.07</v>
      </c>
    </row>
    <row r="1067" spans="1:25" ht="15" x14ac:dyDescent="0.25">
      <c r="A1067" s="4">
        <v>592</v>
      </c>
      <c r="C1067" s="12" t="s">
        <v>2676</v>
      </c>
      <c r="D1067" s="12" t="s">
        <v>2677</v>
      </c>
      <c r="E1067" s="5" t="str">
        <f t="shared" si="20"/>
        <v>https://www.screener.in/company/GUFICBIO/consolidated/</v>
      </c>
      <c r="F1067" s="4">
        <v>443059</v>
      </c>
      <c r="G1067" s="4">
        <v>3832241897</v>
      </c>
      <c r="H1067" s="6">
        <f t="shared" ca="1" si="21"/>
        <v>136044.5873435</v>
      </c>
      <c r="I1067" s="7" t="str">
        <f ca="1">IFERROR(__xludf.DUMMYFUNCTION("IMPORTXML(E1067,""/html/body/main/div[3]/div[3]/div[2]/ul/li[5]/span[2]/span"")"),"Loading...")</f>
        <v>Loading...</v>
      </c>
      <c r="J1067" s="7">
        <f ca="1">IFERROR(__xludf.DUMMYFUNCTION("GOOGLEFINANCE(""NSE:""&amp;D1067,""marketcap"")"),35485354510)</f>
        <v>35485354510</v>
      </c>
      <c r="K1067" s="7">
        <v>992.8</v>
      </c>
      <c r="L1067" s="8">
        <f ca="1">IFERROR(__xludf.DUMMYFUNCTION("GOOGLEFINANCE(""NSE:""&amp;D1067,""price"")"),355)</f>
        <v>355</v>
      </c>
      <c r="M1067" s="9">
        <f t="shared" ca="1" si="22"/>
        <v>-637.79999999999995</v>
      </c>
      <c r="N1067" s="10">
        <f t="shared" ca="1" si="23"/>
        <v>-64.242546333601936</v>
      </c>
      <c r="O1067" s="7">
        <f ca="1">IFERROR(__xludf.DUMMYFUNCTION("GOOGLEFINANCE(""NSE:""&amp;D1067,""pe"")"),57.54)</f>
        <v>57.54</v>
      </c>
      <c r="P1067" s="7">
        <f ca="1">IFERROR(__xludf.DUMMYFUNCTION("GOOGLEFINANCE(""NSE:""&amp;D1067,""EPS"")"),6.17)</f>
        <v>6.17</v>
      </c>
      <c r="Q1067" s="7">
        <v>13.5</v>
      </c>
      <c r="R1067" s="7" t="str">
        <f ca="1">IFERROR(__xludf.DUMMYFUNCTION("IMPORTXML(E1067,""/html/body/main/div[3]/div[3]/div[2]/ul/li[7]/span[2]/span"")"),"Loading...")</f>
        <v>Loading...</v>
      </c>
      <c r="S1067" s="7" t="str">
        <f ca="1">IFERROR(__xludf.DUMMYFUNCTION("IMPORTXML(E1067,""/html/body/main/div[3]/div[3]/div[2]/ul/li[8]/span[2]/span"")"),"Loading...")</f>
        <v>Loading...</v>
      </c>
      <c r="T1067" s="4">
        <v>34.6</v>
      </c>
      <c r="U1067" s="4">
        <v>22.7</v>
      </c>
      <c r="V1067" s="4">
        <v>2.6</v>
      </c>
      <c r="W1067" s="4">
        <v>5.7</v>
      </c>
      <c r="X1067" s="4">
        <v>519.92999999999995</v>
      </c>
      <c r="Y1067" s="7">
        <f t="shared" ca="1" si="24"/>
        <v>-164.92999999999995</v>
      </c>
    </row>
    <row r="1068" spans="1:25" ht="15" x14ac:dyDescent="0.25">
      <c r="A1068" s="4">
        <v>2895</v>
      </c>
      <c r="C1068" s="12" t="s">
        <v>2678</v>
      </c>
      <c r="D1068" s="12" t="s">
        <v>2679</v>
      </c>
      <c r="E1068" s="5" t="str">
        <f t="shared" si="20"/>
        <v>https://www.screener.in/company/KANANIIND/consolidated/</v>
      </c>
      <c r="F1068" s="4">
        <v>443059</v>
      </c>
      <c r="G1068" s="4">
        <v>3832241897</v>
      </c>
      <c r="H1068" s="6">
        <f t="shared" ca="1" si="21"/>
        <v>758.78389560599999</v>
      </c>
      <c r="I1068" s="7" t="str">
        <f ca="1">IFERROR(__xludf.DUMMYFUNCTION("IMPORTXML(E1068,""/html/body/main/div[3]/div[3]/div[2]/ul/li[5]/span[2]/span"")"),"Loading...")</f>
        <v>Loading...</v>
      </c>
      <c r="J1068" s="7">
        <f ca="1">IFERROR(__xludf.DUMMYFUNCTION("GOOGLEFINANCE(""NSE:""&amp;D1068,""marketcap"")"),387821300)</f>
        <v>387821300</v>
      </c>
      <c r="K1068" s="7">
        <v>992.8</v>
      </c>
      <c r="L1068" s="8">
        <f ca="1">IFERROR(__xludf.DUMMYFUNCTION("GOOGLEFINANCE(""NSE:""&amp;D1068,""price"")"),1.98)</f>
        <v>1.98</v>
      </c>
      <c r="M1068" s="9">
        <f t="shared" ca="1" si="22"/>
        <v>-990.81999999999994</v>
      </c>
      <c r="N1068" s="10">
        <f t="shared" ca="1" si="23"/>
        <v>-99.800564061240934</v>
      </c>
      <c r="O1068" s="7">
        <f ca="1">IFERROR(__xludf.DUMMYFUNCTION("GOOGLEFINANCE(""NSE:""&amp;D1068,""pe"")"),46.05)</f>
        <v>46.05</v>
      </c>
      <c r="P1068" s="7">
        <f ca="1">IFERROR(__xludf.DUMMYFUNCTION("GOOGLEFINANCE(""NSE:""&amp;D1068,""EPS"")"),0.04)</f>
        <v>0.04</v>
      </c>
      <c r="Q1068" s="7">
        <v>13.5</v>
      </c>
      <c r="R1068" s="7" t="str">
        <f ca="1">IFERROR(__xludf.DUMMYFUNCTION("IMPORTXML(E1068,""/html/body/main/div[3]/div[3]/div[2]/ul/li[7]/span[2]/span"")"),"Loading...")</f>
        <v>Loading...</v>
      </c>
      <c r="S1068" s="7" t="str">
        <f ca="1">IFERROR(__xludf.DUMMYFUNCTION("IMPORTXML(E1068,""/html/body/main/div[3]/div[3]/div[2]/ul/li[8]/span[2]/span"")"),"Loading...")</f>
        <v>Loading...</v>
      </c>
      <c r="T1068" s="4">
        <v>34.6</v>
      </c>
      <c r="U1068" s="4">
        <v>22.7</v>
      </c>
      <c r="V1068" s="4">
        <v>2.6</v>
      </c>
      <c r="W1068" s="4">
        <v>5.7</v>
      </c>
      <c r="X1068" s="4">
        <v>519.92999999999995</v>
      </c>
      <c r="Y1068" s="7">
        <f t="shared" ca="1" si="24"/>
        <v>-517.94999999999993</v>
      </c>
    </row>
    <row r="1069" spans="1:25" ht="15" x14ac:dyDescent="0.25">
      <c r="A1069" s="4">
        <v>91</v>
      </c>
      <c r="C1069" s="12" t="s">
        <v>2680</v>
      </c>
      <c r="D1069" s="12" t="s">
        <v>2681</v>
      </c>
      <c r="E1069" s="5" t="str">
        <f t="shared" si="20"/>
        <v>https://www.screener.in/company/ELGIEQUIP/consolidated/</v>
      </c>
      <c r="F1069" s="4">
        <v>443059</v>
      </c>
      <c r="G1069" s="4">
        <v>3832241897</v>
      </c>
      <c r="H1069" s="6">
        <f t="shared" ca="1" si="21"/>
        <v>183430.25839990497</v>
      </c>
      <c r="I1069" s="7" t="str">
        <f ca="1">IFERROR(__xludf.DUMMYFUNCTION("IMPORTXML(E1069,""/html/body/main/div[3]/div[3]/div[2]/ul/li[5]/span[2]/span"")"),"Loading...")</f>
        <v>Loading...</v>
      </c>
      <c r="J1069" s="7">
        <f ca="1">IFERROR(__xludf.DUMMYFUNCTION("GOOGLEFINANCE(""NSE:""&amp;D1069,""marketcap"")"),150969345829)</f>
        <v>150969345829</v>
      </c>
      <c r="K1069" s="7">
        <v>992.8</v>
      </c>
      <c r="L1069" s="8">
        <f ca="1">IFERROR(__xludf.DUMMYFUNCTION("GOOGLEFINANCE(""NSE:""&amp;D1069,""price"")"),478.65)</f>
        <v>478.65</v>
      </c>
      <c r="M1069" s="9">
        <f t="shared" ca="1" si="22"/>
        <v>-514.15</v>
      </c>
      <c r="N1069" s="10">
        <f t="shared" ca="1" si="23"/>
        <v>-51.787872683319904</v>
      </c>
      <c r="O1069" s="7">
        <f ca="1">IFERROR(__xludf.DUMMYFUNCTION("GOOGLEFINANCE(""NSE:""&amp;D1069,""pe"")"),41.71)</f>
        <v>41.71</v>
      </c>
      <c r="P1069" s="7">
        <f ca="1">IFERROR(__xludf.DUMMYFUNCTION("GOOGLEFINANCE(""NSE:""&amp;D1069,""EPS"")"),11.47)</f>
        <v>11.47</v>
      </c>
      <c r="Q1069" s="7">
        <v>13.5</v>
      </c>
      <c r="R1069" s="7" t="str">
        <f ca="1">IFERROR(__xludf.DUMMYFUNCTION("IMPORTXML(E1069,""/html/body/main/div[3]/div[3]/div[2]/ul/li[7]/span[2]/span"")"),"Loading...")</f>
        <v>Loading...</v>
      </c>
      <c r="S1069" s="7" t="str">
        <f ca="1">IFERROR(__xludf.DUMMYFUNCTION("IMPORTXML(E1069,""/html/body/main/div[3]/div[3]/div[2]/ul/li[8]/span[2]/span"")"),"Loading...")</f>
        <v>Loading...</v>
      </c>
      <c r="T1069" s="4">
        <v>34.6</v>
      </c>
      <c r="U1069" s="4">
        <v>22.7</v>
      </c>
      <c r="V1069" s="4">
        <v>2.6</v>
      </c>
      <c r="W1069" s="4">
        <v>5.7</v>
      </c>
      <c r="X1069" s="4">
        <v>519.92999999999995</v>
      </c>
      <c r="Y1069" s="7">
        <f t="shared" ca="1" si="24"/>
        <v>-41.279999999999973</v>
      </c>
    </row>
    <row r="1070" spans="1:25" ht="15" x14ac:dyDescent="0.25">
      <c r="A1070" s="4">
        <v>458</v>
      </c>
      <c r="C1070" s="12" t="s">
        <v>2682</v>
      </c>
      <c r="D1070" s="12" t="s">
        <v>2683</v>
      </c>
      <c r="E1070" s="5" t="str">
        <f t="shared" si="20"/>
        <v>https://www.screener.in/company/GOCOLORS/consolidated/</v>
      </c>
      <c r="F1070" s="4">
        <v>443059</v>
      </c>
      <c r="G1070" s="4">
        <v>3832241897</v>
      </c>
      <c r="H1070" s="6">
        <f t="shared" ca="1" si="21"/>
        <v>280520.1068604</v>
      </c>
      <c r="I1070" s="7" t="str">
        <f ca="1">IFERROR(__xludf.DUMMYFUNCTION("IMPORTXML(E1070,""/html/body/main/div[3]/div[3]/div[2]/ul/li[5]/span[2]/span"")"),"Loading...")</f>
        <v>Loading...</v>
      </c>
      <c r="J1070" s="7">
        <f ca="1">IFERROR(__xludf.DUMMYFUNCTION("GOOGLEFINANCE(""NSE:""&amp;D1070,""marketcap"")"),39534573360)</f>
        <v>39534573360</v>
      </c>
      <c r="K1070" s="7">
        <v>992.8</v>
      </c>
      <c r="L1070" s="8">
        <f ca="1">IFERROR(__xludf.DUMMYFUNCTION("GOOGLEFINANCE(""NSE:""&amp;D1070,""price"")"),732)</f>
        <v>732</v>
      </c>
      <c r="M1070" s="9">
        <f t="shared" ca="1" si="22"/>
        <v>-260.79999999999995</v>
      </c>
      <c r="N1070" s="10">
        <f t="shared" ca="1" si="23"/>
        <v>-26.269137792103137</v>
      </c>
      <c r="O1070" s="7">
        <f ca="1">IFERROR(__xludf.DUMMYFUNCTION("GOOGLEFINANCE(""NSE:""&amp;D1070,""pe"")"),45.38)</f>
        <v>45.38</v>
      </c>
      <c r="P1070" s="7">
        <f ca="1">IFERROR(__xludf.DUMMYFUNCTION("GOOGLEFINANCE(""NSE:""&amp;D1070,""EPS"")"),16.13)</f>
        <v>16.13</v>
      </c>
      <c r="Q1070" s="7">
        <v>13.5</v>
      </c>
      <c r="R1070" s="7" t="str">
        <f ca="1">IFERROR(__xludf.DUMMYFUNCTION("IMPORTXML(E1070,""/html/body/main/div[3]/div[3]/div[2]/ul/li[7]/span[2]/span"")"),"Loading...")</f>
        <v>Loading...</v>
      </c>
      <c r="S1070" s="7" t="str">
        <f ca="1">IFERROR(__xludf.DUMMYFUNCTION("IMPORTXML(E1070,""/html/body/main/div[3]/div[3]/div[2]/ul/li[8]/span[2]/span"")"),"Loading...")</f>
        <v>Loading...</v>
      </c>
      <c r="T1070" s="4">
        <v>34.6</v>
      </c>
      <c r="U1070" s="4">
        <v>22.7</v>
      </c>
      <c r="V1070" s="4">
        <v>2.6</v>
      </c>
      <c r="W1070" s="4">
        <v>5.7</v>
      </c>
      <c r="X1070" s="4">
        <v>519.92999999999995</v>
      </c>
      <c r="Y1070" s="7">
        <f t="shared" ca="1" si="24"/>
        <v>212.07000000000005</v>
      </c>
    </row>
    <row r="1071" spans="1:25" ht="15" x14ac:dyDescent="0.25">
      <c r="A1071" s="4">
        <v>2090</v>
      </c>
      <c r="C1071" s="12" t="s">
        <v>2684</v>
      </c>
      <c r="D1071" s="12" t="s">
        <v>2685</v>
      </c>
      <c r="E1071" s="5" t="str">
        <f t="shared" si="20"/>
        <v>https://www.screener.in/company/BAFNAPH/consolidated/</v>
      </c>
      <c r="F1071" s="4">
        <v>443059</v>
      </c>
      <c r="G1071" s="4">
        <v>3832241897</v>
      </c>
      <c r="H1071" s="6">
        <f t="shared" ca="1" si="21"/>
        <v>38705.643159699997</v>
      </c>
      <c r="I1071" s="7" t="str">
        <f ca="1">IFERROR(__xludf.DUMMYFUNCTION("IMPORTXML(E1071,""/html/body/main/div[3]/div[3]/div[2]/ul/li[5]/span[2]/span"")"),"Loading...")</f>
        <v>Loading...</v>
      </c>
      <c r="J1071" s="7">
        <f ca="1">IFERROR(__xludf.DUMMYFUNCTION("GOOGLEFINANCE(""NSE:""&amp;D1071,""marketcap"")"),2304463436)</f>
        <v>2304463436</v>
      </c>
      <c r="K1071" s="7">
        <v>992.8</v>
      </c>
      <c r="L1071" s="8">
        <f ca="1">IFERROR(__xludf.DUMMYFUNCTION("GOOGLEFINANCE(""NSE:""&amp;D1071,""price"")"),101)</f>
        <v>101</v>
      </c>
      <c r="M1071" s="9">
        <f t="shared" ca="1" si="22"/>
        <v>-891.8</v>
      </c>
      <c r="N1071" s="10">
        <f t="shared" ca="1" si="23"/>
        <v>-89.826752618855764</v>
      </c>
      <c r="O1071" s="7">
        <f ca="1">IFERROR(__xludf.DUMMYFUNCTION("GOOGLEFINANCE(""NSE:""&amp;D1071,""pe"")"),28.94)</f>
        <v>28.94</v>
      </c>
      <c r="P1071" s="7">
        <f ca="1">IFERROR(__xludf.DUMMYFUNCTION("GOOGLEFINANCE(""NSE:""&amp;D1071,""EPS"")"),3.49)</f>
        <v>3.49</v>
      </c>
      <c r="Q1071" s="7">
        <v>13.5</v>
      </c>
      <c r="R1071" s="7" t="str">
        <f ca="1">IFERROR(__xludf.DUMMYFUNCTION("IMPORTXML(E1071,""/html/body/main/div[3]/div[3]/div[2]/ul/li[7]/span[2]/span"")"),"Loading...")</f>
        <v>Loading...</v>
      </c>
      <c r="S1071" s="7" t="str">
        <f ca="1">IFERROR(__xludf.DUMMYFUNCTION("IMPORTXML(E1071,""/html/body/main/div[3]/div[3]/div[2]/ul/li[8]/span[2]/span"")"),"Loading...")</f>
        <v>Loading...</v>
      </c>
      <c r="T1071" s="4">
        <v>34.6</v>
      </c>
      <c r="U1071" s="4">
        <v>22.7</v>
      </c>
      <c r="V1071" s="4">
        <v>2.6</v>
      </c>
      <c r="W1071" s="4">
        <v>5.7</v>
      </c>
      <c r="X1071" s="4">
        <v>519.92999999999995</v>
      </c>
      <c r="Y1071" s="7">
        <f t="shared" ca="1" si="24"/>
        <v>-418.92999999999995</v>
      </c>
    </row>
    <row r="1072" spans="1:25" ht="15" x14ac:dyDescent="0.25">
      <c r="A1072" s="4">
        <v>561</v>
      </c>
      <c r="C1072" s="12" t="s">
        <v>2686</v>
      </c>
      <c r="D1072" s="12" t="s">
        <v>2687</v>
      </c>
      <c r="E1072" s="5" t="str">
        <f t="shared" si="20"/>
        <v>https://www.screener.in/company/GREENPANEL/consolidated/</v>
      </c>
      <c r="F1072" s="4">
        <v>443059</v>
      </c>
      <c r="G1072" s="4">
        <v>3832241897</v>
      </c>
      <c r="H1072" s="6">
        <f t="shared" ca="1" si="21"/>
        <v>101975.95687917</v>
      </c>
      <c r="I1072" s="7" t="str">
        <f ca="1">IFERROR(__xludf.DUMMYFUNCTION("IMPORTXML(E1072,""/html/body/main/div[3]/div[3]/div[2]/ul/li[5]/span[2]/span"")"),"Loading...")</f>
        <v>Loading...</v>
      </c>
      <c r="J1072" s="7">
        <f ca="1">IFERROR(__xludf.DUMMYFUNCTION("GOOGLEFINANCE(""NSE:""&amp;D1072,""marketcap"")"),32631151888)</f>
        <v>32631151888</v>
      </c>
      <c r="K1072" s="7">
        <v>992.8</v>
      </c>
      <c r="L1072" s="8">
        <f ca="1">IFERROR(__xludf.DUMMYFUNCTION("GOOGLEFINANCE(""NSE:""&amp;D1072,""price"")"),266.1)</f>
        <v>266.10000000000002</v>
      </c>
      <c r="M1072" s="9">
        <f t="shared" ca="1" si="22"/>
        <v>-726.69999999999993</v>
      </c>
      <c r="N1072" s="10">
        <f t="shared" ca="1" si="23"/>
        <v>-73.197018533440769</v>
      </c>
      <c r="O1072" s="7">
        <f ca="1">IFERROR(__xludf.DUMMYFUNCTION("GOOGLEFINANCE(""NSE:""&amp;D1072,""pe"")"),149.11)</f>
        <v>149.11000000000001</v>
      </c>
      <c r="P1072" s="7">
        <f ca="1">IFERROR(__xludf.DUMMYFUNCTION("GOOGLEFINANCE(""NSE:""&amp;D1072,""EPS"")"),1.78)</f>
        <v>1.78</v>
      </c>
      <c r="Q1072" s="7">
        <v>13.5</v>
      </c>
      <c r="R1072" s="7" t="str">
        <f ca="1">IFERROR(__xludf.DUMMYFUNCTION("IMPORTXML(E1072,""/html/body/main/div[3]/div[3]/div[2]/ul/li[7]/span[2]/span"")"),"Loading...")</f>
        <v>Loading...</v>
      </c>
      <c r="S1072" s="7" t="str">
        <f ca="1">IFERROR(__xludf.DUMMYFUNCTION("IMPORTXML(E1072,""/html/body/main/div[3]/div[3]/div[2]/ul/li[8]/span[2]/span"")"),"Loading...")</f>
        <v>Loading...</v>
      </c>
      <c r="T1072" s="4">
        <v>34.6</v>
      </c>
      <c r="U1072" s="4">
        <v>22.7</v>
      </c>
      <c r="V1072" s="4">
        <v>2.6</v>
      </c>
      <c r="W1072" s="4">
        <v>5.7</v>
      </c>
      <c r="X1072" s="4">
        <v>519.92999999999995</v>
      </c>
      <c r="Y1072" s="7">
        <f t="shared" ca="1" si="24"/>
        <v>-253.82999999999993</v>
      </c>
    </row>
    <row r="1073" spans="1:25" ht="15" x14ac:dyDescent="0.25">
      <c r="A1073" s="4">
        <v>263</v>
      </c>
      <c r="C1073" s="12" t="s">
        <v>2688</v>
      </c>
      <c r="D1073" s="12" t="s">
        <v>2689</v>
      </c>
      <c r="E1073" s="5" t="str">
        <f t="shared" si="20"/>
        <v>https://www.screener.in/company/INOXINDIA/consolidated/</v>
      </c>
      <c r="F1073" s="4">
        <v>443059</v>
      </c>
      <c r="G1073" s="4">
        <v>3832241897</v>
      </c>
      <c r="H1073" s="6">
        <f t="shared" ca="1" si="21"/>
        <v>444540.06005199999</v>
      </c>
      <c r="I1073" s="7" t="str">
        <f ca="1">IFERROR(__xludf.DUMMYFUNCTION("IMPORTXML(E1073,""/html/body/main/div[3]/div[3]/div[2]/ul/li[5]/span[2]/span"")"),"Loading...")</f>
        <v>Loading...</v>
      </c>
      <c r="J1073" s="7">
        <f ca="1">IFERROR(__xludf.DUMMYFUNCTION("GOOGLEFINANCE(""NSE:""&amp;D1073,""marketcap"")"),105467200000)</f>
        <v>105467200000</v>
      </c>
      <c r="K1073" s="7">
        <v>992.8</v>
      </c>
      <c r="L1073" s="8">
        <f ca="1">IFERROR(__xludf.DUMMYFUNCTION("GOOGLEFINANCE(""NSE:""&amp;D1073,""price"")"),1160)</f>
        <v>1160</v>
      </c>
      <c r="M1073" s="9">
        <f t="shared" ca="1" si="22"/>
        <v>167.20000000000005</v>
      </c>
      <c r="N1073" s="10">
        <f t="shared" ca="1" si="23"/>
        <v>16.841257050765517</v>
      </c>
      <c r="O1073" s="7">
        <f ca="1">IFERROR(__xludf.DUMMYFUNCTION("GOOGLEFINANCE(""NSE:""&amp;D1073,""pe"")"),45.02)</f>
        <v>45.02</v>
      </c>
      <c r="P1073" s="7">
        <f ca="1">IFERROR(__xludf.DUMMYFUNCTION("GOOGLEFINANCE(""NSE:""&amp;D1073,""EPS"")"),25.76)</f>
        <v>25.76</v>
      </c>
      <c r="Q1073" s="7">
        <v>13.5</v>
      </c>
      <c r="R1073" s="7" t="str">
        <f ca="1">IFERROR(__xludf.DUMMYFUNCTION("IMPORTXML(E1073,""/html/body/main/div[3]/div[3]/div[2]/ul/li[7]/span[2]/span"")"),"Loading...")</f>
        <v>Loading...</v>
      </c>
      <c r="S1073" s="7" t="str">
        <f ca="1">IFERROR(__xludf.DUMMYFUNCTION("IMPORTXML(E1073,""/html/body/main/div[3]/div[3]/div[2]/ul/li[8]/span[2]/span"")"),"Loading...")</f>
        <v>Loading...</v>
      </c>
      <c r="T1073" s="4">
        <v>34.6</v>
      </c>
      <c r="U1073" s="4">
        <v>22.7</v>
      </c>
      <c r="V1073" s="4">
        <v>2.6</v>
      </c>
      <c r="W1073" s="4">
        <v>5.7</v>
      </c>
      <c r="X1073" s="4">
        <v>519.92999999999995</v>
      </c>
      <c r="Y1073" s="7">
        <f t="shared" ca="1" si="24"/>
        <v>640.07000000000005</v>
      </c>
    </row>
    <row r="1074" spans="1:25" ht="15" x14ac:dyDescent="0.25">
      <c r="A1074" s="4">
        <v>1150</v>
      </c>
      <c r="C1074" s="12" t="s">
        <v>2690</v>
      </c>
      <c r="D1074" s="12" t="s">
        <v>2691</v>
      </c>
      <c r="E1074" s="5" t="str">
        <f t="shared" si="20"/>
        <v>https://www.screener.in/company/APTECHT/consolidated/</v>
      </c>
      <c r="F1074" s="4">
        <v>443059</v>
      </c>
      <c r="G1074" s="4">
        <v>3832241897</v>
      </c>
      <c r="H1074" s="6">
        <f t="shared" ca="1" si="21"/>
        <v>50547.270621430005</v>
      </c>
      <c r="I1074" s="7" t="str">
        <f ca="1">IFERROR(__xludf.DUMMYFUNCTION("IMPORTXML(E1074,""/html/body/main/div[3]/div[3]/div[2]/ul/li[5]/span[2]/span"")"),"Loading...")</f>
        <v>Loading...</v>
      </c>
      <c r="J1074" s="7">
        <f ca="1">IFERROR(__xludf.DUMMYFUNCTION("GOOGLEFINANCE(""NSE:""&amp;D1074,""marketcap"")"),7650421237)</f>
        <v>7650421237</v>
      </c>
      <c r="K1074" s="7">
        <v>992.8</v>
      </c>
      <c r="L1074" s="8">
        <f ca="1">IFERROR(__xludf.DUMMYFUNCTION("GOOGLEFINANCE(""NSE:""&amp;D1074,""price"")"),131.9)</f>
        <v>131.9</v>
      </c>
      <c r="M1074" s="9">
        <f t="shared" ca="1" si="22"/>
        <v>-860.9</v>
      </c>
      <c r="N1074" s="10">
        <f t="shared" ca="1" si="23"/>
        <v>-86.714343271555194</v>
      </c>
      <c r="O1074" s="7">
        <f ca="1">IFERROR(__xludf.DUMMYFUNCTION("GOOGLEFINANCE(""NSE:""&amp;D1074,""pe"")"),36.86)</f>
        <v>36.86</v>
      </c>
      <c r="P1074" s="7">
        <f ca="1">IFERROR(__xludf.DUMMYFUNCTION("GOOGLEFINANCE(""NSE:""&amp;D1074,""EPS"")"),3.58)</f>
        <v>3.58</v>
      </c>
      <c r="Q1074" s="7">
        <v>13.5</v>
      </c>
      <c r="R1074" s="7" t="str">
        <f ca="1">IFERROR(__xludf.DUMMYFUNCTION("IMPORTXML(E1074,""/html/body/main/div[3]/div[3]/div[2]/ul/li[7]/span[2]/span"")"),"Loading...")</f>
        <v>Loading...</v>
      </c>
      <c r="S1074" s="7" t="str">
        <f ca="1">IFERROR(__xludf.DUMMYFUNCTION("IMPORTXML(E1074,""/html/body/main/div[3]/div[3]/div[2]/ul/li[8]/span[2]/span"")"),"Loading...")</f>
        <v>Loading...</v>
      </c>
      <c r="T1074" s="4">
        <v>34.6</v>
      </c>
      <c r="U1074" s="4">
        <v>22.7</v>
      </c>
      <c r="V1074" s="4">
        <v>2.6</v>
      </c>
      <c r="W1074" s="4">
        <v>5.7</v>
      </c>
      <c r="X1074" s="4">
        <v>519.92999999999995</v>
      </c>
      <c r="Y1074" s="7">
        <f t="shared" ca="1" si="24"/>
        <v>-388.03</v>
      </c>
    </row>
    <row r="1075" spans="1:25" ht="15" x14ac:dyDescent="0.25">
      <c r="A1075" s="4">
        <v>633</v>
      </c>
      <c r="C1075" s="12" t="s">
        <v>2692</v>
      </c>
      <c r="D1075" s="12" t="s">
        <v>2693</v>
      </c>
      <c r="E1075" s="5" t="str">
        <f t="shared" si="20"/>
        <v>https://www.screener.in/company/RPGLIFE/consolidated/</v>
      </c>
      <c r="F1075" s="4">
        <v>443059</v>
      </c>
      <c r="G1075" s="4">
        <v>3832241897</v>
      </c>
      <c r="H1075" s="6">
        <f t="shared" ca="1" si="21"/>
        <v>918779.99480574997</v>
      </c>
      <c r="I1075" s="7" t="str">
        <f ca="1">IFERROR(__xludf.DUMMYFUNCTION("IMPORTXML(E1075,""/html/body/main/div[3]/div[3]/div[2]/ul/li[5]/span[2]/span"")"),"Loading...")</f>
        <v>Loading...</v>
      </c>
      <c r="J1075" s="7">
        <f ca="1">IFERROR(__xludf.DUMMYFUNCTION("GOOGLEFINANCE(""NSE:""&amp;D1075,""marketcap"")"),39652276475)</f>
        <v>39652276475</v>
      </c>
      <c r="K1075" s="7">
        <v>992.8</v>
      </c>
      <c r="L1075" s="8">
        <f ca="1">IFERROR(__xludf.DUMMYFUNCTION("GOOGLEFINANCE(""NSE:""&amp;D1075,""price"")"),2397.5)</f>
        <v>2397.5</v>
      </c>
      <c r="M1075" s="9">
        <f t="shared" ca="1" si="22"/>
        <v>1404.7</v>
      </c>
      <c r="N1075" s="10">
        <f t="shared" ca="1" si="23"/>
        <v>141.48871877518133</v>
      </c>
      <c r="O1075" s="7">
        <f ca="1">IFERROR(__xludf.DUMMYFUNCTION("GOOGLEFINANCE(""NSE:""&amp;D1075,""pe"")"),21.7)</f>
        <v>21.7</v>
      </c>
      <c r="P1075" s="7">
        <f ca="1">IFERROR(__xludf.DUMMYFUNCTION("GOOGLEFINANCE(""NSE:""&amp;D1075,""EPS"")"),110.51)</f>
        <v>110.51</v>
      </c>
      <c r="Q1075" s="7">
        <v>13.5</v>
      </c>
      <c r="R1075" s="7" t="str">
        <f ca="1">IFERROR(__xludf.DUMMYFUNCTION("IMPORTXML(E1075,""/html/body/main/div[3]/div[3]/div[2]/ul/li[7]/span[2]/span"")"),"Loading...")</f>
        <v>Loading...</v>
      </c>
      <c r="S1075" s="7" t="str">
        <f ca="1">IFERROR(__xludf.DUMMYFUNCTION("IMPORTXML(E1075,""/html/body/main/div[3]/div[3]/div[2]/ul/li[8]/span[2]/span"")"),"Loading...")</f>
        <v>Loading...</v>
      </c>
      <c r="T1075" s="4">
        <v>34.6</v>
      </c>
      <c r="U1075" s="4">
        <v>22.7</v>
      </c>
      <c r="V1075" s="4">
        <v>2.6</v>
      </c>
      <c r="W1075" s="4">
        <v>5.7</v>
      </c>
      <c r="X1075" s="4">
        <v>519.92999999999995</v>
      </c>
      <c r="Y1075" s="7">
        <f t="shared" ca="1" si="24"/>
        <v>1877.5700000000002</v>
      </c>
    </row>
    <row r="1076" spans="1:25" ht="15" x14ac:dyDescent="0.25">
      <c r="A1076" s="4">
        <v>2762</v>
      </c>
      <c r="C1076" s="12" t="s">
        <v>2694</v>
      </c>
      <c r="D1076" s="12" t="s">
        <v>2695</v>
      </c>
      <c r="E1076" s="5" t="str">
        <f t="shared" si="20"/>
        <v>https://www.screener.in/company/RKDL/consolidated/</v>
      </c>
      <c r="F1076" s="4">
        <v>443059</v>
      </c>
      <c r="G1076" s="4">
        <v>3832241897</v>
      </c>
      <c r="H1076" s="6">
        <f t="shared" ca="1" si="21"/>
        <v>10519.504007264999</v>
      </c>
      <c r="I1076" s="7" t="str">
        <f ca="1">IFERROR(__xludf.DUMMYFUNCTION("IMPORTXML(E1076,""/html/body/main/div[3]/div[3]/div[2]/ul/li[5]/span[2]/span"")"),"Loading...")</f>
        <v>Loading...</v>
      </c>
      <c r="J1076" s="7">
        <f ca="1">IFERROR(__xludf.DUMMYFUNCTION("GOOGLEFINANCE(""NSE:""&amp;D1076,""marketcap"")"),651818876)</f>
        <v>651818876</v>
      </c>
      <c r="K1076" s="7">
        <v>992.8</v>
      </c>
      <c r="L1076" s="8">
        <f ca="1">IFERROR(__xludf.DUMMYFUNCTION("GOOGLEFINANCE(""NSE:""&amp;D1076,""price"")"),27.45)</f>
        <v>27.45</v>
      </c>
      <c r="M1076" s="9">
        <f t="shared" ca="1" si="22"/>
        <v>-965.34999999999991</v>
      </c>
      <c r="N1076" s="10">
        <f t="shared" ca="1" si="23"/>
        <v>-97.235092667203858</v>
      </c>
      <c r="O1076" s="7">
        <f ca="1">IFERROR(__xludf.DUMMYFUNCTION("GOOGLEFINANCE(""NSE:""&amp;D1076,""pe"")"),457.5)</f>
        <v>457.5</v>
      </c>
      <c r="P1076" s="7">
        <f ca="1">IFERROR(__xludf.DUMMYFUNCTION("GOOGLEFINANCE(""NSE:""&amp;D1076,""EPS"")"),0.06)</f>
        <v>0.06</v>
      </c>
      <c r="Q1076" s="7">
        <v>13.5</v>
      </c>
      <c r="R1076" s="7" t="str">
        <f ca="1">IFERROR(__xludf.DUMMYFUNCTION("IMPORTXML(E1076,""/html/body/main/div[3]/div[3]/div[2]/ul/li[7]/span[2]/span"")"),"Loading...")</f>
        <v>Loading...</v>
      </c>
      <c r="S1076" s="7" t="str">
        <f ca="1">IFERROR(__xludf.DUMMYFUNCTION("IMPORTXML(E1076,""/html/body/main/div[3]/div[3]/div[2]/ul/li[8]/span[2]/span"")"),"Loading...")</f>
        <v>Loading...</v>
      </c>
      <c r="T1076" s="4">
        <v>34.6</v>
      </c>
      <c r="U1076" s="4">
        <v>22.7</v>
      </c>
      <c r="V1076" s="4">
        <v>2.6</v>
      </c>
      <c r="W1076" s="4">
        <v>5.7</v>
      </c>
      <c r="X1076" s="4">
        <v>519.92999999999995</v>
      </c>
      <c r="Y1076" s="7">
        <f t="shared" ca="1" si="24"/>
        <v>-492.47999999999996</v>
      </c>
    </row>
    <row r="1077" spans="1:25" ht="15" x14ac:dyDescent="0.25">
      <c r="A1077" s="4">
        <v>221</v>
      </c>
      <c r="C1077" s="12" t="s">
        <v>2696</v>
      </c>
      <c r="D1077" s="12" t="s">
        <v>2697</v>
      </c>
      <c r="E1077" s="5" t="str">
        <f t="shared" si="20"/>
        <v>https://www.screener.in/company/MINDACORP/consolidated/</v>
      </c>
      <c r="F1077" s="4">
        <v>443059</v>
      </c>
      <c r="G1077" s="4">
        <v>3832241897</v>
      </c>
      <c r="H1077" s="6">
        <f t="shared" ca="1" si="21"/>
        <v>193451.57096056</v>
      </c>
      <c r="I1077" s="7" t="str">
        <f ca="1">IFERROR(__xludf.DUMMYFUNCTION("IMPORTXML(E1077,""/html/body/main/div[3]/div[3]/div[2]/ul/li[5]/span[2]/span"")"),"Loading...")</f>
        <v>Loading...</v>
      </c>
      <c r="J1077" s="7">
        <f ca="1">IFERROR(__xludf.DUMMYFUNCTION("GOOGLEFINANCE(""NSE:""&amp;D1077,""marketcap"")"),118789987447)</f>
        <v>118789987447</v>
      </c>
      <c r="K1077" s="7">
        <v>992.8</v>
      </c>
      <c r="L1077" s="8">
        <f ca="1">IFERROR(__xludf.DUMMYFUNCTION("GOOGLEFINANCE(""NSE:""&amp;D1077,""price"")"),504.8)</f>
        <v>504.8</v>
      </c>
      <c r="M1077" s="9">
        <f t="shared" ca="1" si="22"/>
        <v>-487.99999999999994</v>
      </c>
      <c r="N1077" s="10">
        <f t="shared" ca="1" si="23"/>
        <v>-49.153908138597899</v>
      </c>
      <c r="O1077" s="7">
        <f ca="1">IFERROR(__xludf.DUMMYFUNCTION("GOOGLEFINANCE(""NSE:""&amp;D1077,""pe"")"),46.85)</f>
        <v>46.85</v>
      </c>
      <c r="P1077" s="7">
        <f ca="1">IFERROR(__xludf.DUMMYFUNCTION("GOOGLEFINANCE(""NSE:""&amp;D1077,""EPS"")"),10.77)</f>
        <v>10.77</v>
      </c>
      <c r="Q1077" s="7">
        <v>13.5</v>
      </c>
      <c r="R1077" s="7" t="str">
        <f ca="1">IFERROR(__xludf.DUMMYFUNCTION("IMPORTXML(E1077,""/html/body/main/div[3]/div[3]/div[2]/ul/li[7]/span[2]/span"")"),"Loading...")</f>
        <v>Loading...</v>
      </c>
      <c r="S1077" s="7" t="str">
        <f ca="1">IFERROR(__xludf.DUMMYFUNCTION("IMPORTXML(E1077,""/html/body/main/div[3]/div[3]/div[2]/ul/li[8]/span[2]/span"")"),"Loading...")</f>
        <v>Loading...</v>
      </c>
      <c r="T1077" s="4">
        <v>34.6</v>
      </c>
      <c r="U1077" s="4">
        <v>22.7</v>
      </c>
      <c r="V1077" s="4">
        <v>2.6</v>
      </c>
      <c r="W1077" s="4">
        <v>5.7</v>
      </c>
      <c r="X1077" s="4">
        <v>519.92999999999995</v>
      </c>
      <c r="Y1077" s="7">
        <f t="shared" ca="1" si="24"/>
        <v>-15.129999999999939</v>
      </c>
    </row>
    <row r="1078" spans="1:25" ht="15" x14ac:dyDescent="0.25">
      <c r="A1078" s="4">
        <v>786</v>
      </c>
      <c r="C1078" s="12" t="s">
        <v>2698</v>
      </c>
      <c r="D1078" s="12" t="s">
        <v>2699</v>
      </c>
      <c r="E1078" s="5" t="str">
        <f t="shared" si="20"/>
        <v>https://www.screener.in/company/MANGLMCEM/consolidated/</v>
      </c>
      <c r="F1078" s="4">
        <v>443059</v>
      </c>
      <c r="G1078" s="4">
        <v>3832241897</v>
      </c>
      <c r="H1078" s="6">
        <f t="shared" ca="1" si="21"/>
        <v>292093.47738934006</v>
      </c>
      <c r="I1078" s="7" t="str">
        <f ca="1">IFERROR(__xludf.DUMMYFUNCTION("IMPORTXML(E1078,""/html/body/main/div[3]/div[3]/div[2]/ul/li[5]/span[2]/span"")"),"Loading...")</f>
        <v>Loading...</v>
      </c>
      <c r="J1078" s="7">
        <f ca="1">IFERROR(__xludf.DUMMYFUNCTION("GOOGLEFINANCE(""NSE:""&amp;D1078,""marketcap"")"),21120670000)</f>
        <v>21120670000</v>
      </c>
      <c r="K1078" s="7">
        <v>992.8</v>
      </c>
      <c r="L1078" s="8">
        <f ca="1">IFERROR(__xludf.DUMMYFUNCTION("GOOGLEFINANCE(""NSE:""&amp;D1078,""price"")"),762.2)</f>
        <v>762.2</v>
      </c>
      <c r="M1078" s="9">
        <f t="shared" ca="1" si="22"/>
        <v>-230.59999999999991</v>
      </c>
      <c r="N1078" s="10">
        <f t="shared" ca="1" si="23"/>
        <v>-23.227236099919413</v>
      </c>
      <c r="O1078" s="7">
        <f ca="1">IFERROR(__xludf.DUMMYFUNCTION("GOOGLEFINANCE(""NSE:""&amp;D1078,""pe"")"),34.79)</f>
        <v>34.79</v>
      </c>
      <c r="P1078" s="7">
        <f ca="1">IFERROR(__xludf.DUMMYFUNCTION("GOOGLEFINANCE(""NSE:""&amp;D1078,""EPS"")"),21.91)</f>
        <v>21.91</v>
      </c>
      <c r="Q1078" s="7">
        <v>13.5</v>
      </c>
      <c r="R1078" s="7" t="str">
        <f ca="1">IFERROR(__xludf.DUMMYFUNCTION("IMPORTXML(E1078,""/html/body/main/div[3]/div[3]/div[2]/ul/li[7]/span[2]/span"")"),"Loading...")</f>
        <v>Loading...</v>
      </c>
      <c r="S1078" s="7" t="str">
        <f ca="1">IFERROR(__xludf.DUMMYFUNCTION("IMPORTXML(E1078,""/html/body/main/div[3]/div[3]/div[2]/ul/li[8]/span[2]/span"")"),"Loading...")</f>
        <v>Loading...</v>
      </c>
      <c r="T1078" s="4">
        <v>34.6</v>
      </c>
      <c r="U1078" s="4">
        <v>22.7</v>
      </c>
      <c r="V1078" s="4">
        <v>2.6</v>
      </c>
      <c r="W1078" s="4">
        <v>5.7</v>
      </c>
      <c r="X1078" s="4">
        <v>519.92999999999995</v>
      </c>
      <c r="Y1078" s="7">
        <f t="shared" ca="1" si="24"/>
        <v>242.2700000000001</v>
      </c>
    </row>
    <row r="1079" spans="1:25" ht="15" x14ac:dyDescent="0.25">
      <c r="A1079" s="4">
        <v>3011</v>
      </c>
      <c r="C1079" s="12" t="s">
        <v>2700</v>
      </c>
      <c r="D1079" s="12" t="s">
        <v>2701</v>
      </c>
      <c r="E1079" s="5" t="str">
        <f t="shared" si="20"/>
        <v>https://www.screener.in/company/SAGARDEEP/consolidated/</v>
      </c>
      <c r="F1079" s="4">
        <v>443059</v>
      </c>
      <c r="G1079" s="4">
        <v>3832241897</v>
      </c>
      <c r="H1079" s="6">
        <f t="shared" ca="1" si="21"/>
        <v>10178.434478432</v>
      </c>
      <c r="I1079" s="7" t="str">
        <f ca="1">IFERROR(__xludf.DUMMYFUNCTION("IMPORTXML(E1079,""/html/body/main/div[3]/div[3]/div[2]/ul/li[5]/span[2]/span"")"),"Loading...")</f>
        <v>Loading...</v>
      </c>
      <c r="J1079" s="7">
        <f ca="1">IFERROR(__xludf.DUMMYFUNCTION("GOOGLEFINANCE(""NSE:""&amp;D1079,""marketcap"")"),454409100)</f>
        <v>454409100</v>
      </c>
      <c r="K1079" s="7">
        <v>992.8</v>
      </c>
      <c r="L1079" s="8">
        <f ca="1">IFERROR(__xludf.DUMMYFUNCTION("GOOGLEFINANCE(""NSE:""&amp;D1079,""price"")"),26.56)</f>
        <v>26.56</v>
      </c>
      <c r="M1079" s="9">
        <f t="shared" ca="1" si="22"/>
        <v>-966.24</v>
      </c>
      <c r="N1079" s="10">
        <f t="shared" ca="1" si="23"/>
        <v>-97.324738114423866</v>
      </c>
      <c r="O1079" s="7">
        <f ca="1">IFERROR(__xludf.DUMMYFUNCTION("GOOGLEFINANCE(""NSE:""&amp;D1079,""pe"")"),21.42)</f>
        <v>21.42</v>
      </c>
      <c r="P1079" s="7">
        <f ca="1">IFERROR(__xludf.DUMMYFUNCTION("GOOGLEFINANCE(""NSE:""&amp;D1079,""EPS"")"),1.24)</f>
        <v>1.24</v>
      </c>
      <c r="Q1079" s="7">
        <v>13.5</v>
      </c>
      <c r="R1079" s="7" t="str">
        <f ca="1">IFERROR(__xludf.DUMMYFUNCTION("IMPORTXML(E1079,""/html/body/main/div[3]/div[3]/div[2]/ul/li[7]/span[2]/span"")"),"Loading...")</f>
        <v>Loading...</v>
      </c>
      <c r="S1079" s="7" t="str">
        <f ca="1">IFERROR(__xludf.DUMMYFUNCTION("IMPORTXML(E1079,""/html/body/main/div[3]/div[3]/div[2]/ul/li[8]/span[2]/span"")"),"Loading...")</f>
        <v>Loading...</v>
      </c>
      <c r="T1079" s="4">
        <v>34.6</v>
      </c>
      <c r="U1079" s="4">
        <v>22.7</v>
      </c>
      <c r="V1079" s="4">
        <v>2.6</v>
      </c>
      <c r="W1079" s="4">
        <v>5.7</v>
      </c>
      <c r="X1079" s="4">
        <v>519.92999999999995</v>
      </c>
      <c r="Y1079" s="7">
        <f t="shared" ca="1" si="24"/>
        <v>-493.36999999999995</v>
      </c>
    </row>
    <row r="1080" spans="1:25" ht="15" x14ac:dyDescent="0.25">
      <c r="A1080" s="4">
        <v>118</v>
      </c>
      <c r="C1080" s="12" t="s">
        <v>2702</v>
      </c>
      <c r="D1080" s="12" t="s">
        <v>2703</v>
      </c>
      <c r="E1080" s="5" t="str">
        <f t="shared" si="20"/>
        <v>https://www.screener.in/company/BATAINDIA/consolidated/</v>
      </c>
      <c r="F1080" s="4">
        <v>443059</v>
      </c>
      <c r="G1080" s="4">
        <v>3832241897</v>
      </c>
      <c r="H1080" s="6">
        <f t="shared" ca="1" si="21"/>
        <v>476156.05570224999</v>
      </c>
      <c r="I1080" s="7" t="str">
        <f ca="1">IFERROR(__xludf.DUMMYFUNCTION("IMPORTXML(E1080,""/html/body/main/div[3]/div[3]/div[2]/ul/li[5]/span[2]/span"")"),"Loading...")</f>
        <v>Loading...</v>
      </c>
      <c r="J1080" s="7">
        <f ca="1">IFERROR(__xludf.DUMMYFUNCTION("GOOGLEFINANCE(""NSE:""&amp;D1080,""marketcap"")"),159644100000)</f>
        <v>159644100000</v>
      </c>
      <c r="K1080" s="7">
        <v>992.8</v>
      </c>
      <c r="L1080" s="8">
        <f ca="1">IFERROR(__xludf.DUMMYFUNCTION("GOOGLEFINANCE(""NSE:""&amp;D1080,""price"")"),1242.5)</f>
        <v>1242.5</v>
      </c>
      <c r="M1080" s="9">
        <f t="shared" ca="1" si="22"/>
        <v>249.70000000000005</v>
      </c>
      <c r="N1080" s="10">
        <f t="shared" ca="1" si="23"/>
        <v>25.151087832393237</v>
      </c>
      <c r="O1080" s="7">
        <f ca="1">IFERROR(__xludf.DUMMYFUNCTION("GOOGLEFINANCE(""NSE:""&amp;D1080,""pe"")"),76.54)</f>
        <v>76.540000000000006</v>
      </c>
      <c r="P1080" s="7">
        <f ca="1">IFERROR(__xludf.DUMMYFUNCTION("GOOGLEFINANCE(""NSE:""&amp;D1080,""EPS"")"),16.23)</f>
        <v>16.23</v>
      </c>
      <c r="Q1080" s="7">
        <v>13.5</v>
      </c>
      <c r="R1080" s="7" t="str">
        <f ca="1">IFERROR(__xludf.DUMMYFUNCTION("IMPORTXML(E1080,""/html/body/main/div[3]/div[3]/div[2]/ul/li[7]/span[2]/span"")"),"Loading...")</f>
        <v>Loading...</v>
      </c>
      <c r="S1080" s="7" t="str">
        <f ca="1">IFERROR(__xludf.DUMMYFUNCTION("IMPORTXML(E1080,""/html/body/main/div[3]/div[3]/div[2]/ul/li[8]/span[2]/span"")"),"Loading...")</f>
        <v>Loading...</v>
      </c>
      <c r="T1080" s="4">
        <v>34.6</v>
      </c>
      <c r="U1080" s="4">
        <v>22.7</v>
      </c>
      <c r="V1080" s="4">
        <v>2.6</v>
      </c>
      <c r="W1080" s="4">
        <v>5.7</v>
      </c>
      <c r="X1080" s="4">
        <v>519.92999999999995</v>
      </c>
      <c r="Y1080" s="7">
        <f t="shared" ca="1" si="24"/>
        <v>722.57</v>
      </c>
    </row>
    <row r="1081" spans="1:25" ht="15" x14ac:dyDescent="0.25">
      <c r="A1081" s="4">
        <v>574</v>
      </c>
      <c r="C1081" s="12" t="s">
        <v>2704</v>
      </c>
      <c r="D1081" s="12" t="s">
        <v>2705</v>
      </c>
      <c r="E1081" s="5" t="str">
        <f t="shared" si="20"/>
        <v>https://www.screener.in/company/BANARISUG/consolidated/</v>
      </c>
      <c r="F1081" s="4">
        <v>443059</v>
      </c>
      <c r="G1081" s="4">
        <v>3832241897</v>
      </c>
      <c r="H1081" s="6">
        <f t="shared" ca="1" si="21"/>
        <v>1398615.00272912</v>
      </c>
      <c r="I1081" s="7" t="str">
        <f ca="1">IFERROR(__xludf.DUMMYFUNCTION("IMPORTXML(E1081,""/html/body/main/div[3]/div[3]/div[2]/ul/li[5]/span[2]/span"")"),"Loading...")</f>
        <v>Loading...</v>
      </c>
      <c r="J1081" s="7">
        <f ca="1">IFERROR(__xludf.DUMMYFUNCTION("GOOGLEFINANCE(""NSE:""&amp;D1081,""marketcap"")"),45793730000)</f>
        <v>45793730000</v>
      </c>
      <c r="K1081" s="7">
        <v>992.8</v>
      </c>
      <c r="L1081" s="8">
        <f ca="1">IFERROR(__xludf.DUMMYFUNCTION("GOOGLEFINANCE(""NSE:""&amp;D1081,""price"")"),3649.6)</f>
        <v>3649.6</v>
      </c>
      <c r="M1081" s="9">
        <f t="shared" ca="1" si="22"/>
        <v>2656.8</v>
      </c>
      <c r="N1081" s="10">
        <f t="shared" ca="1" si="23"/>
        <v>267.60676873489126</v>
      </c>
      <c r="O1081" s="7">
        <f ca="1">IFERROR(__xludf.DUMMYFUNCTION("GOOGLEFINANCE(""NSE:""&amp;D1081,""pe"")"),40.32)</f>
        <v>40.32</v>
      </c>
      <c r="P1081" s="7">
        <f ca="1">IFERROR(__xludf.DUMMYFUNCTION("GOOGLEFINANCE(""NSE:""&amp;D1081,""EPS"")"),90.51)</f>
        <v>90.51</v>
      </c>
      <c r="Q1081" s="7">
        <v>13.5</v>
      </c>
      <c r="R1081" s="7" t="str">
        <f ca="1">IFERROR(__xludf.DUMMYFUNCTION("IMPORTXML(E1081,""/html/body/main/div[3]/div[3]/div[2]/ul/li[7]/span[2]/span"")"),"Loading...")</f>
        <v>Loading...</v>
      </c>
      <c r="S1081" s="7" t="str">
        <f ca="1">IFERROR(__xludf.DUMMYFUNCTION("IMPORTXML(E1081,""/html/body/main/div[3]/div[3]/div[2]/ul/li[8]/span[2]/span"")"),"Loading...")</f>
        <v>Loading...</v>
      </c>
      <c r="T1081" s="4">
        <v>34.6</v>
      </c>
      <c r="U1081" s="4">
        <v>22.7</v>
      </c>
      <c r="V1081" s="4">
        <v>2.6</v>
      </c>
      <c r="W1081" s="4">
        <v>5.7</v>
      </c>
      <c r="X1081" s="4">
        <v>519.92999999999995</v>
      </c>
      <c r="Y1081" s="7">
        <f t="shared" ca="1" si="24"/>
        <v>3129.67</v>
      </c>
    </row>
    <row r="1082" spans="1:25" ht="15" x14ac:dyDescent="0.25">
      <c r="A1082" s="4">
        <v>40</v>
      </c>
      <c r="C1082" s="12" t="s">
        <v>2706</v>
      </c>
      <c r="D1082" s="12" t="s">
        <v>2707</v>
      </c>
      <c r="E1082" s="5" t="str">
        <f t="shared" si="20"/>
        <v>https://www.screener.in/company/JYOTICNC/consolidated/</v>
      </c>
      <c r="F1082" s="4">
        <v>443059</v>
      </c>
      <c r="G1082" s="4">
        <v>3832241897</v>
      </c>
      <c r="H1082" s="6">
        <f t="shared" ca="1" si="21"/>
        <v>343752.0981609</v>
      </c>
      <c r="I1082" s="7" t="str">
        <f ca="1">IFERROR(__xludf.DUMMYFUNCTION("IMPORTXML(E1082,""/html/body/main/div[3]/div[3]/div[2]/ul/li[5]/span[2]/span"")"),"Loading...")</f>
        <v>Loading...</v>
      </c>
      <c r="J1082" s="7">
        <f ca="1">IFERROR(__xludf.DUMMYFUNCTION("GOOGLEFINANCE(""NSE:""&amp;D1082,""marketcap"")"),203998520700)</f>
        <v>203998520700</v>
      </c>
      <c r="K1082" s="7">
        <v>992.8</v>
      </c>
      <c r="L1082" s="8">
        <f ca="1">IFERROR(__xludf.DUMMYFUNCTION("GOOGLEFINANCE(""NSE:""&amp;D1082,""price"")"),897)</f>
        <v>897</v>
      </c>
      <c r="M1082" s="9">
        <f t="shared" ca="1" si="22"/>
        <v>-95.799999999999955</v>
      </c>
      <c r="N1082" s="10">
        <f t="shared" ca="1" si="23"/>
        <v>-9.6494762288476998</v>
      </c>
      <c r="O1082" s="7">
        <f ca="1">IFERROR(__xludf.DUMMYFUNCTION("GOOGLEFINANCE(""NSE:""&amp;D1082,""pe"")"),60.62)</f>
        <v>60.62</v>
      </c>
      <c r="P1082" s="7">
        <f ca="1">IFERROR(__xludf.DUMMYFUNCTION("GOOGLEFINANCE(""NSE:""&amp;D1082,""EPS"")"),14.8)</f>
        <v>14.8</v>
      </c>
      <c r="Q1082" s="7">
        <v>13.5</v>
      </c>
      <c r="R1082" s="7" t="str">
        <f ca="1">IFERROR(__xludf.DUMMYFUNCTION("IMPORTXML(E1082,""/html/body/main/div[3]/div[3]/div[2]/ul/li[7]/span[2]/span"")"),"Loading...")</f>
        <v>Loading...</v>
      </c>
      <c r="S1082" s="7" t="str">
        <f ca="1">IFERROR(__xludf.DUMMYFUNCTION("IMPORTXML(E1082,""/html/body/main/div[3]/div[3]/div[2]/ul/li[8]/span[2]/span"")"),"Loading...")</f>
        <v>Loading...</v>
      </c>
      <c r="T1082" s="4">
        <v>34.6</v>
      </c>
      <c r="U1082" s="4">
        <v>22.7</v>
      </c>
      <c r="V1082" s="4">
        <v>2.6</v>
      </c>
      <c r="W1082" s="4">
        <v>5.7</v>
      </c>
      <c r="X1082" s="4">
        <v>519.92999999999995</v>
      </c>
      <c r="Y1082" s="7">
        <f t="shared" ca="1" si="24"/>
        <v>377.07000000000005</v>
      </c>
    </row>
    <row r="1083" spans="1:25" ht="15" x14ac:dyDescent="0.25">
      <c r="A1083" s="4">
        <v>1656</v>
      </c>
      <c r="C1083" s="12" t="s">
        <v>2708</v>
      </c>
      <c r="D1083" s="12" t="s">
        <v>2709</v>
      </c>
      <c r="E1083" s="5" t="str">
        <f t="shared" si="20"/>
        <v>https://www.screener.in/company/TIRUPATIFL/consolidated/</v>
      </c>
      <c r="F1083" s="4">
        <v>443059</v>
      </c>
      <c r="G1083" s="4">
        <v>3832241897</v>
      </c>
      <c r="H1083" s="6">
        <f t="shared" ca="1" si="21"/>
        <v>15520.579682850001</v>
      </c>
      <c r="I1083" s="7" t="str">
        <f ca="1">IFERROR(__xludf.DUMMYFUNCTION("IMPORTXML(E1083,""/html/body/main/div[3]/div[3]/div[2]/ul/li[5]/span[2]/span"")"),"#N/A")</f>
        <v>#N/A</v>
      </c>
      <c r="J1083" s="7">
        <f ca="1">IFERROR(__xludf.DUMMYFUNCTION("GOOGLEFINANCE(""NSE:""&amp;D1083,""marketcap"")"),4952340000)</f>
        <v>4952340000</v>
      </c>
      <c r="K1083" s="7">
        <v>992.8</v>
      </c>
      <c r="L1083" s="8">
        <f ca="1">IFERROR(__xludf.DUMMYFUNCTION("GOOGLEFINANCE(""NSE:""&amp;D1083,""price"")"),40.5)</f>
        <v>40.5</v>
      </c>
      <c r="M1083" s="9">
        <f t="shared" ca="1" si="22"/>
        <v>-952.3</v>
      </c>
      <c r="N1083" s="10">
        <f t="shared" ca="1" si="23"/>
        <v>-95.920628525382753</v>
      </c>
      <c r="O1083" s="7">
        <f ca="1">IFERROR(__xludf.DUMMYFUNCTION("GOOGLEFINANCE(""NSE:""&amp;D1083,""pe"")"),65.36)</f>
        <v>65.36</v>
      </c>
      <c r="P1083" s="7">
        <f ca="1">IFERROR(__xludf.DUMMYFUNCTION("GOOGLEFINANCE(""NSE:""&amp;D1083,""EPS"")"),0.62)</f>
        <v>0.62</v>
      </c>
      <c r="Q1083" s="7">
        <v>13.5</v>
      </c>
      <c r="R1083" s="7" t="str">
        <f ca="1">IFERROR(__xludf.DUMMYFUNCTION("IMPORTXML(E1083,""/html/body/main/div[3]/div[3]/div[2]/ul/li[7]/span[2]/span"")"),"Loading...")</f>
        <v>Loading...</v>
      </c>
      <c r="S1083" s="7" t="str">
        <f ca="1">IFERROR(__xludf.DUMMYFUNCTION("IMPORTXML(E1083,""/html/body/main/div[3]/div[3]/div[2]/ul/li[8]/span[2]/span"")"),"Loading...")</f>
        <v>Loading...</v>
      </c>
      <c r="T1083" s="4">
        <v>34.6</v>
      </c>
      <c r="U1083" s="4">
        <v>22.7</v>
      </c>
      <c r="V1083" s="4">
        <v>2.6</v>
      </c>
      <c r="W1083" s="4">
        <v>5.7</v>
      </c>
      <c r="X1083" s="4">
        <v>519.92999999999995</v>
      </c>
      <c r="Y1083" s="7">
        <f t="shared" ca="1" si="24"/>
        <v>-479.42999999999995</v>
      </c>
    </row>
    <row r="1084" spans="1:25" ht="15" x14ac:dyDescent="0.25">
      <c r="A1084" s="4">
        <v>153</v>
      </c>
      <c r="C1084" s="12" t="s">
        <v>2710</v>
      </c>
      <c r="D1084" s="12" t="s">
        <v>2711</v>
      </c>
      <c r="E1084" s="5" t="str">
        <f t="shared" si="20"/>
        <v>https://www.screener.in/company/NEWGEN/consolidated/</v>
      </c>
      <c r="F1084" s="4">
        <v>443059</v>
      </c>
      <c r="G1084" s="4">
        <v>3832241897</v>
      </c>
      <c r="H1084" s="6">
        <f t="shared" ca="1" si="21"/>
        <v>340283.91924411507</v>
      </c>
      <c r="I1084" s="7" t="str">
        <f ca="1">IFERROR(__xludf.DUMMYFUNCTION("IMPORTXML(E1084,""/html/body/main/div[3]/div[3]/div[2]/ul/li[5]/span[2]/span"")"),"Loading...")</f>
        <v>Loading...</v>
      </c>
      <c r="J1084" s="7">
        <f ca="1">IFERROR(__xludf.DUMMYFUNCTION("GOOGLEFINANCE(""NSE:""&amp;D1084,""marketcap"")"),125231127289)</f>
        <v>125231127289</v>
      </c>
      <c r="K1084" s="7">
        <v>992.8</v>
      </c>
      <c r="L1084" s="8">
        <f ca="1">IFERROR(__xludf.DUMMYFUNCTION("GOOGLEFINANCE(""NSE:""&amp;D1084,""price"")"),887.95)</f>
        <v>887.95</v>
      </c>
      <c r="M1084" s="9">
        <f t="shared" ca="1" si="22"/>
        <v>-104.84999999999991</v>
      </c>
      <c r="N1084" s="10">
        <f t="shared" ca="1" si="23"/>
        <v>-10.561039484286857</v>
      </c>
      <c r="O1084" s="7">
        <f ca="1">IFERROR(__xludf.DUMMYFUNCTION("GOOGLEFINANCE(""NSE:""&amp;D1084,""pe"")"),40.18)</f>
        <v>40.18</v>
      </c>
      <c r="P1084" s="7">
        <f ca="1">IFERROR(__xludf.DUMMYFUNCTION("GOOGLEFINANCE(""NSE:""&amp;D1084,""EPS"")"),22.1)</f>
        <v>22.1</v>
      </c>
      <c r="Q1084" s="7">
        <v>13.5</v>
      </c>
      <c r="R1084" s="7" t="str">
        <f ca="1">IFERROR(__xludf.DUMMYFUNCTION("IMPORTXML(E1084,""/html/body/main/div[3]/div[3]/div[2]/ul/li[7]/span[2]/span"")"),"Loading...")</f>
        <v>Loading...</v>
      </c>
      <c r="S1084" s="7" t="str">
        <f ca="1">IFERROR(__xludf.DUMMYFUNCTION("IMPORTXML(E1084,""/html/body/main/div[3]/div[3]/div[2]/ul/li[8]/span[2]/span"")"),"Loading...")</f>
        <v>Loading...</v>
      </c>
      <c r="T1084" s="4">
        <v>34.6</v>
      </c>
      <c r="U1084" s="4">
        <v>22.7</v>
      </c>
      <c r="V1084" s="4">
        <v>2.6</v>
      </c>
      <c r="W1084" s="4">
        <v>5.7</v>
      </c>
      <c r="X1084" s="4">
        <v>519.92999999999995</v>
      </c>
      <c r="Y1084" s="7">
        <f t="shared" ca="1" si="24"/>
        <v>368.0200000000001</v>
      </c>
    </row>
    <row r="1085" spans="1:25" ht="15" x14ac:dyDescent="0.25">
      <c r="A1085" s="4">
        <v>376</v>
      </c>
      <c r="C1085" s="12" t="s">
        <v>2712</v>
      </c>
      <c r="D1085" s="12" t="s">
        <v>2713</v>
      </c>
      <c r="E1085" s="5" t="str">
        <f t="shared" si="20"/>
        <v>https://www.screener.in/company/ASTRAMICRO/consolidated/</v>
      </c>
      <c r="F1085" s="4">
        <v>443059</v>
      </c>
      <c r="G1085" s="4">
        <v>3832241897</v>
      </c>
      <c r="H1085" s="6">
        <f t="shared" ca="1" si="21"/>
        <v>387477.97820567002</v>
      </c>
      <c r="I1085" s="7" t="str">
        <f ca="1">IFERROR(__xludf.DUMMYFUNCTION("IMPORTXML(E1085,""/html/body/main/div[3]/div[3]/div[2]/ul/li[5]/span[2]/span"")"),"Loading...")</f>
        <v>Loading...</v>
      </c>
      <c r="J1085" s="7">
        <f ca="1">IFERROR(__xludf.DUMMYFUNCTION("GOOGLEFINANCE(""NSE:""&amp;D1085,""marketcap"")"),95761530000)</f>
        <v>95761530000</v>
      </c>
      <c r="K1085" s="7">
        <v>992.8</v>
      </c>
      <c r="L1085" s="8">
        <f ca="1">IFERROR(__xludf.DUMMYFUNCTION("GOOGLEFINANCE(""NSE:""&amp;D1085,""price"")"),1011.1)</f>
        <v>1011.1</v>
      </c>
      <c r="M1085" s="9">
        <f t="shared" ca="1" si="22"/>
        <v>18.300000000000068</v>
      </c>
      <c r="N1085" s="10">
        <f t="shared" ca="1" si="23"/>
        <v>1.8432715551974284</v>
      </c>
      <c r="O1085" s="7">
        <f ca="1">IFERROR(__xludf.DUMMYFUNCTION("GOOGLEFINANCE(""NSE:""&amp;D1085,""pe"")"),59.08)</f>
        <v>59.08</v>
      </c>
      <c r="P1085" s="7">
        <f ca="1">IFERROR(__xludf.DUMMYFUNCTION("GOOGLEFINANCE(""NSE:""&amp;D1085,""EPS"")"),17.12)</f>
        <v>17.12</v>
      </c>
      <c r="Q1085" s="7">
        <v>13.5</v>
      </c>
      <c r="R1085" s="7" t="str">
        <f ca="1">IFERROR(__xludf.DUMMYFUNCTION("IMPORTXML(E1085,""/html/body/main/div[3]/div[3]/div[2]/ul/li[7]/span[2]/span"")"),"Loading...")</f>
        <v>Loading...</v>
      </c>
      <c r="S1085" s="7" t="str">
        <f ca="1">IFERROR(__xludf.DUMMYFUNCTION("IMPORTXML(E1085,""/html/body/main/div[3]/div[3]/div[2]/ul/li[8]/span[2]/span"")"),"Loading...")</f>
        <v>Loading...</v>
      </c>
      <c r="T1085" s="4">
        <v>34.6</v>
      </c>
      <c r="U1085" s="4">
        <v>22.7</v>
      </c>
      <c r="V1085" s="4">
        <v>2.6</v>
      </c>
      <c r="W1085" s="4">
        <v>5.7</v>
      </c>
      <c r="X1085" s="4">
        <v>519.92999999999995</v>
      </c>
      <c r="Y1085" s="7">
        <f t="shared" ca="1" si="24"/>
        <v>491.17000000000007</v>
      </c>
    </row>
    <row r="1086" spans="1:25" ht="15" x14ac:dyDescent="0.25">
      <c r="A1086" s="4">
        <v>369</v>
      </c>
      <c r="C1086" s="12" t="s">
        <v>2714</v>
      </c>
      <c r="D1086" s="12" t="s">
        <v>2715</v>
      </c>
      <c r="E1086" s="5" t="str">
        <f t="shared" si="20"/>
        <v>https://www.screener.in/company/MHRIL/consolidated/</v>
      </c>
      <c r="F1086" s="4">
        <v>443059</v>
      </c>
      <c r="G1086" s="4">
        <v>3832241897</v>
      </c>
      <c r="H1086" s="6">
        <f t="shared" ca="1" si="21"/>
        <v>137539.16168332999</v>
      </c>
      <c r="I1086" s="7" t="str">
        <f ca="1">IFERROR(__xludf.DUMMYFUNCTION("IMPORTXML(E1086,""/html/body/main/div[3]/div[3]/div[2]/ul/li[5]/span[2]/span"")"),"Loading...")</f>
        <v>Loading...</v>
      </c>
      <c r="J1086" s="7">
        <f ca="1">IFERROR(__xludf.DUMMYFUNCTION("GOOGLEFINANCE(""NSE:""&amp;D1086,""marketcap"")"),72197870000)</f>
        <v>72197870000</v>
      </c>
      <c r="K1086" s="7">
        <v>992.8</v>
      </c>
      <c r="L1086" s="8">
        <f ca="1">IFERROR(__xludf.DUMMYFUNCTION("GOOGLEFINANCE(""NSE:""&amp;D1086,""price"")"),358.9)</f>
        <v>358.9</v>
      </c>
      <c r="M1086" s="9">
        <f t="shared" ca="1" si="22"/>
        <v>-633.9</v>
      </c>
      <c r="N1086" s="10">
        <f t="shared" ca="1" si="23"/>
        <v>-63.84971796937954</v>
      </c>
      <c r="O1086" s="7">
        <f ca="1">IFERROR(__xludf.DUMMYFUNCTION("GOOGLEFINANCE(""NSE:""&amp;D1086,""pe"")"),55.75)</f>
        <v>55.75</v>
      </c>
      <c r="P1086" s="7">
        <f ca="1">IFERROR(__xludf.DUMMYFUNCTION("GOOGLEFINANCE(""NSE:""&amp;D1086,""EPS"")"),6.44)</f>
        <v>6.44</v>
      </c>
      <c r="Q1086" s="7">
        <v>13.5</v>
      </c>
      <c r="R1086" s="7" t="str">
        <f ca="1">IFERROR(__xludf.DUMMYFUNCTION("IMPORTXML(E1086,""/html/body/main/div[3]/div[3]/div[2]/ul/li[7]/span[2]/span"")"),"Loading...")</f>
        <v>Loading...</v>
      </c>
      <c r="S1086" s="7" t="str">
        <f ca="1">IFERROR(__xludf.DUMMYFUNCTION("IMPORTXML(E1086,""/html/body/main/div[3]/div[3]/div[2]/ul/li[8]/span[2]/span"")"),"Loading...")</f>
        <v>Loading...</v>
      </c>
      <c r="T1086" s="4">
        <v>34.6</v>
      </c>
      <c r="U1086" s="4">
        <v>22.7</v>
      </c>
      <c r="V1086" s="4">
        <v>2.6</v>
      </c>
      <c r="W1086" s="4">
        <v>5.7</v>
      </c>
      <c r="X1086" s="4">
        <v>519.92999999999995</v>
      </c>
      <c r="Y1086" s="7">
        <f t="shared" ca="1" si="24"/>
        <v>-161.02999999999997</v>
      </c>
    </row>
    <row r="1087" spans="1:25" ht="15" x14ac:dyDescent="0.25">
      <c r="A1087" s="4">
        <v>1249</v>
      </c>
      <c r="C1087" s="12" t="s">
        <v>2716</v>
      </c>
      <c r="D1087" s="12" t="s">
        <v>2717</v>
      </c>
      <c r="E1087" s="5" t="str">
        <f t="shared" si="20"/>
        <v>https://www.screener.in/company/STEL/consolidated/</v>
      </c>
      <c r="F1087" s="4">
        <v>443059</v>
      </c>
      <c r="G1087" s="4">
        <v>3832241897</v>
      </c>
      <c r="H1087" s="6">
        <f t="shared" ca="1" si="21"/>
        <v>180115.36915899999</v>
      </c>
      <c r="I1087" s="7" t="str">
        <f ca="1">IFERROR(__xludf.DUMMYFUNCTION("IMPORTXML(E1087,""/html/body/main/div[3]/div[3]/div[2]/ul/li[5]/span[2]/span"")"),"Loading...")</f>
        <v>Loading...</v>
      </c>
      <c r="J1087" s="7">
        <f ca="1">IFERROR(__xludf.DUMMYFUNCTION("GOOGLEFINANCE(""NSE:""&amp;D1087,""marketcap"")"),8657431000)</f>
        <v>8657431000</v>
      </c>
      <c r="K1087" s="7">
        <v>992.8</v>
      </c>
      <c r="L1087" s="8">
        <f ca="1">IFERROR(__xludf.DUMMYFUNCTION("GOOGLEFINANCE(""NSE:""&amp;D1087,""price"")"),470)</f>
        <v>470</v>
      </c>
      <c r="M1087" s="9">
        <f t="shared" ca="1" si="22"/>
        <v>-522.79999999999995</v>
      </c>
      <c r="N1087" s="10">
        <f t="shared" ca="1" si="23"/>
        <v>-52.659145850120872</v>
      </c>
      <c r="O1087" s="7">
        <f ca="1">IFERROR(__xludf.DUMMYFUNCTION("GOOGLEFINANCE(""NSE:""&amp;D1087,""pe"")"),53.82)</f>
        <v>53.82</v>
      </c>
      <c r="P1087" s="7">
        <f ca="1">IFERROR(__xludf.DUMMYFUNCTION("GOOGLEFINANCE(""NSE:""&amp;D1087,""EPS"")"),8.73)</f>
        <v>8.73</v>
      </c>
      <c r="Q1087" s="7">
        <v>13.5</v>
      </c>
      <c r="R1087" s="7" t="str">
        <f ca="1">IFERROR(__xludf.DUMMYFUNCTION("IMPORTXML(E1087,""/html/body/main/div[3]/div[3]/div[2]/ul/li[7]/span[2]/span"")"),"Loading...")</f>
        <v>Loading...</v>
      </c>
      <c r="S1087" s="7" t="str">
        <f ca="1">IFERROR(__xludf.DUMMYFUNCTION("IMPORTXML(E1087,""/html/body/main/div[3]/div[3]/div[2]/ul/li[8]/span[2]/span"")"),"Loading...")</f>
        <v>Loading...</v>
      </c>
      <c r="T1087" s="4">
        <v>34.6</v>
      </c>
      <c r="U1087" s="4">
        <v>22.7</v>
      </c>
      <c r="V1087" s="4">
        <v>2.6</v>
      </c>
      <c r="W1087" s="4">
        <v>5.7</v>
      </c>
      <c r="X1087" s="4">
        <v>519.92999999999995</v>
      </c>
      <c r="Y1087" s="7">
        <f t="shared" ca="1" si="24"/>
        <v>-49.92999999999995</v>
      </c>
    </row>
    <row r="1088" spans="1:25" ht="15" x14ac:dyDescent="0.25">
      <c r="A1088" s="4">
        <v>483</v>
      </c>
      <c r="C1088" s="12" t="s">
        <v>2718</v>
      </c>
      <c r="D1088" s="12" t="s">
        <v>2719</v>
      </c>
      <c r="E1088" s="5" t="str">
        <f t="shared" si="20"/>
        <v>https://www.screener.in/company/LLOYDSENT/consolidated/</v>
      </c>
      <c r="F1088" s="4">
        <v>443059</v>
      </c>
      <c r="G1088" s="4">
        <v>3832241897</v>
      </c>
      <c r="H1088" s="6">
        <f t="shared" ca="1" si="21"/>
        <v>28358.590037800001</v>
      </c>
      <c r="I1088" s="7" t="str">
        <f ca="1">IFERROR(__xludf.DUMMYFUNCTION("IMPORTXML(E1088,""/html/body/main/div[3]/div[3]/div[2]/ul/li[5]/span[2]/span"")"),"Loading...")</f>
        <v>Loading...</v>
      </c>
      <c r="J1088" s="7">
        <f ca="1">IFERROR(__xludf.DUMMYFUNCTION("GOOGLEFINANCE(""NSE:""&amp;D1088,""marketcap"")"),113219535310)</f>
        <v>113219535310</v>
      </c>
      <c r="K1088" s="7">
        <v>992.8</v>
      </c>
      <c r="L1088" s="8">
        <f ca="1">IFERROR(__xludf.DUMMYFUNCTION("GOOGLEFINANCE(""NSE:""&amp;D1088,""price"")"),74)</f>
        <v>74</v>
      </c>
      <c r="M1088" s="9">
        <f t="shared" ca="1" si="22"/>
        <v>-918.8</v>
      </c>
      <c r="N1088" s="10">
        <f t="shared" ca="1" si="23"/>
        <v>-92.546333601933924</v>
      </c>
      <c r="O1088" s="7">
        <f ca="1">IFERROR(__xludf.DUMMYFUNCTION("GOOGLEFINANCE(""NSE:""&amp;D1088,""pe"")"),30.26)</f>
        <v>30.26</v>
      </c>
      <c r="P1088" s="7">
        <f ca="1">IFERROR(__xludf.DUMMYFUNCTION("GOOGLEFINANCE(""NSE:""&amp;D1088,""EPS"")"),2.45)</f>
        <v>2.4500000000000002</v>
      </c>
      <c r="Q1088" s="7">
        <v>13.5</v>
      </c>
      <c r="R1088" s="7" t="str">
        <f ca="1">IFERROR(__xludf.DUMMYFUNCTION("IMPORTXML(E1088,""/html/body/main/div[3]/div[3]/div[2]/ul/li[7]/span[2]/span"")"),"Loading...")</f>
        <v>Loading...</v>
      </c>
      <c r="S1088" s="7" t="str">
        <f ca="1">IFERROR(__xludf.DUMMYFUNCTION("IMPORTXML(E1088,""/html/body/main/div[3]/div[3]/div[2]/ul/li[8]/span[2]/span"")"),"Loading...")</f>
        <v>Loading...</v>
      </c>
      <c r="T1088" s="4">
        <v>34.6</v>
      </c>
      <c r="U1088" s="4">
        <v>22.7</v>
      </c>
      <c r="V1088" s="4">
        <v>2.6</v>
      </c>
      <c r="W1088" s="4">
        <v>5.7</v>
      </c>
      <c r="X1088" s="4">
        <v>519.92999999999995</v>
      </c>
      <c r="Y1088" s="7">
        <f t="shared" ca="1" si="24"/>
        <v>-445.92999999999995</v>
      </c>
    </row>
    <row r="1089" spans="1:25" ht="15" x14ac:dyDescent="0.25">
      <c r="A1089" s="4">
        <v>2176</v>
      </c>
      <c r="C1089" s="12" t="s">
        <v>2720</v>
      </c>
      <c r="D1089" s="12" t="s">
        <v>2721</v>
      </c>
      <c r="E1089" s="5" t="str">
        <f t="shared" si="20"/>
        <v>https://www.screener.in/company/RELCHEMQ/consolidated/</v>
      </c>
      <c r="F1089" s="4">
        <v>443059</v>
      </c>
      <c r="G1089" s="4">
        <v>3832241897</v>
      </c>
      <c r="H1089" s="6">
        <f t="shared" ca="1" si="21"/>
        <v>60932.6461623</v>
      </c>
      <c r="I1089" s="7" t="str">
        <f ca="1">IFERROR(__xludf.DUMMYFUNCTION("IMPORTXML(E1089,""/html/body/main/div[3]/div[3]/div[2]/ul/li[5]/span[2]/span"")"),"Loading...")</f>
        <v>Loading...</v>
      </c>
      <c r="J1089" s="7">
        <f ca="1">IFERROR(__xludf.DUMMYFUNCTION("GOOGLEFINANCE(""NSE:""&amp;D1089,""marketcap"")"),1199426358)</f>
        <v>1199426358</v>
      </c>
      <c r="K1089" s="7">
        <v>992.8</v>
      </c>
      <c r="L1089" s="8">
        <f ca="1">IFERROR(__xludf.DUMMYFUNCTION("GOOGLEFINANCE(""NSE:""&amp;D1089,""price"")"),159)</f>
        <v>159</v>
      </c>
      <c r="M1089" s="9">
        <f t="shared" ca="1" si="22"/>
        <v>-833.8</v>
      </c>
      <c r="N1089" s="10">
        <f t="shared" ca="1" si="23"/>
        <v>-83.984689766317487</v>
      </c>
      <c r="O1089" s="7">
        <f ca="1">IFERROR(__xludf.DUMMYFUNCTION("GOOGLEFINANCE(""NSE:""&amp;D1089,""pe"")"),26.5)</f>
        <v>26.5</v>
      </c>
      <c r="P1089" s="7">
        <f ca="1">IFERROR(__xludf.DUMMYFUNCTION("GOOGLEFINANCE(""NSE:""&amp;D1089,""EPS"")"),6)</f>
        <v>6</v>
      </c>
      <c r="Q1089" s="7">
        <v>13.5</v>
      </c>
      <c r="R1089" s="7" t="str">
        <f ca="1">IFERROR(__xludf.DUMMYFUNCTION("IMPORTXML(E1089,""/html/body/main/div[3]/div[3]/div[2]/ul/li[7]/span[2]/span"")"),"Loading...")</f>
        <v>Loading...</v>
      </c>
      <c r="S1089" s="7" t="str">
        <f ca="1">IFERROR(__xludf.DUMMYFUNCTION("IMPORTXML(E1089,""/html/body/main/div[3]/div[3]/div[2]/ul/li[8]/span[2]/span"")"),"#N/A")</f>
        <v>#N/A</v>
      </c>
      <c r="T1089" s="4">
        <v>34.6</v>
      </c>
      <c r="U1089" s="4">
        <v>22.7</v>
      </c>
      <c r="V1089" s="4">
        <v>2.6</v>
      </c>
      <c r="W1089" s="4">
        <v>5.7</v>
      </c>
      <c r="X1089" s="4">
        <v>519.92999999999995</v>
      </c>
      <c r="Y1089" s="7">
        <f t="shared" ca="1" si="24"/>
        <v>-360.92999999999995</v>
      </c>
    </row>
    <row r="1090" spans="1:25" ht="15" x14ac:dyDescent="0.25">
      <c r="A1090" s="4">
        <v>2480</v>
      </c>
      <c r="C1090" s="12" t="s">
        <v>2722</v>
      </c>
      <c r="D1090" s="12" t="s">
        <v>2723</v>
      </c>
      <c r="E1090" s="5" t="str">
        <f t="shared" si="20"/>
        <v>https://www.screener.in/company/SAMBHAAV/consolidated/</v>
      </c>
      <c r="F1090" s="4">
        <v>443059</v>
      </c>
      <c r="G1090" s="4">
        <v>3832241897</v>
      </c>
      <c r="H1090" s="6">
        <f t="shared" ca="1" si="21"/>
        <v>2529.2796520199995</v>
      </c>
      <c r="I1090" s="7" t="str">
        <f ca="1">IFERROR(__xludf.DUMMYFUNCTION("IMPORTXML(E1090,""/html/body/main/div[3]/div[3]/div[2]/ul/li[5]/span[2]/span"")"),"Loading...")</f>
        <v>Loading...</v>
      </c>
      <c r="J1090" s="7">
        <f ca="1">IFERROR(__xludf.DUMMYFUNCTION("GOOGLEFINANCE(""NSE:""&amp;D1090,""marketcap"")"),1246043000)</f>
        <v>1246043000</v>
      </c>
      <c r="K1090" s="7">
        <v>992.8</v>
      </c>
      <c r="L1090" s="8">
        <f ca="1">IFERROR(__xludf.DUMMYFUNCTION("GOOGLEFINANCE(""NSE:""&amp;D1090,""price"")"),6.6)</f>
        <v>6.6</v>
      </c>
      <c r="M1090" s="9">
        <f t="shared" ca="1" si="22"/>
        <v>-986.19999999999993</v>
      </c>
      <c r="N1090" s="10">
        <f t="shared" ca="1" si="23"/>
        <v>-99.335213537469784</v>
      </c>
      <c r="O1090" s="7" t="str">
        <f ca="1">IFERROR(__xludf.DUMMYFUNCTION("GOOGLEFINANCE(""NSE:""&amp;D1090,""pe"")"),"#N/A")</f>
        <v>#N/A</v>
      </c>
      <c r="P1090" s="7">
        <f ca="1">IFERROR(__xludf.DUMMYFUNCTION("GOOGLEFINANCE(""NSE:""&amp;D1090,""EPS"")"),-0.04)</f>
        <v>-0.04</v>
      </c>
      <c r="Q1090" s="7">
        <v>13.5</v>
      </c>
      <c r="R1090" s="7" t="str">
        <f ca="1">IFERROR(__xludf.DUMMYFUNCTION("IMPORTXML(E1090,""/html/body/main/div[3]/div[3]/div[2]/ul/li[7]/span[2]/span"")"),"Loading...")</f>
        <v>Loading...</v>
      </c>
      <c r="S1090" s="7" t="str">
        <f ca="1">IFERROR(__xludf.DUMMYFUNCTION("IMPORTXML(E1090,""/html/body/main/div[3]/div[3]/div[2]/ul/li[8]/span[2]/span"")"),"Loading...")</f>
        <v>Loading...</v>
      </c>
      <c r="T1090" s="4">
        <v>34.6</v>
      </c>
      <c r="U1090" s="4">
        <v>22.7</v>
      </c>
      <c r="V1090" s="4">
        <v>2.6</v>
      </c>
      <c r="W1090" s="4">
        <v>5.7</v>
      </c>
      <c r="X1090" s="4">
        <v>519.92999999999995</v>
      </c>
      <c r="Y1090" s="7">
        <f t="shared" ca="1" si="24"/>
        <v>-513.32999999999993</v>
      </c>
    </row>
    <row r="1091" spans="1:25" ht="15" x14ac:dyDescent="0.25">
      <c r="A1091" s="4">
        <v>237</v>
      </c>
      <c r="C1091" s="12" t="s">
        <v>2724</v>
      </c>
      <c r="D1091" s="12" t="s">
        <v>2725</v>
      </c>
      <c r="E1091" s="5" t="str">
        <f t="shared" si="20"/>
        <v>https://www.screener.in/company/HAPPSTMNDS/consolidated/</v>
      </c>
      <c r="F1091" s="4">
        <v>443059</v>
      </c>
      <c r="G1091" s="4">
        <v>3832241897</v>
      </c>
      <c r="H1091" s="6">
        <f t="shared" ca="1" si="21"/>
        <v>217096.50346504999</v>
      </c>
      <c r="I1091" s="7" t="str">
        <f ca="1">IFERROR(__xludf.DUMMYFUNCTION("IMPORTXML(E1091,""/html/body/main/div[3]/div[3]/div[2]/ul/li[5]/span[2]/span"")"),"Loading...")</f>
        <v>Loading...</v>
      </c>
      <c r="J1091" s="7">
        <f ca="1">IFERROR(__xludf.DUMMYFUNCTION("GOOGLEFINANCE(""NSE:""&amp;D1091,""marketcap"")"),85187997680)</f>
        <v>85187997680</v>
      </c>
      <c r="K1091" s="7">
        <v>992.8</v>
      </c>
      <c r="L1091" s="8">
        <f ca="1">IFERROR(__xludf.DUMMYFUNCTION("GOOGLEFINANCE(""NSE:""&amp;D1091,""price"")"),566.5)</f>
        <v>566.5</v>
      </c>
      <c r="M1091" s="9">
        <f t="shared" ca="1" si="22"/>
        <v>-426.29999999999995</v>
      </c>
      <c r="N1091" s="10">
        <f t="shared" ca="1" si="23"/>
        <v>-42.939161966156327</v>
      </c>
      <c r="O1091" s="7">
        <f ca="1">IFERROR(__xludf.DUMMYFUNCTION("GOOGLEFINANCE(""NSE:""&amp;D1091,""pe"")"),44.73)</f>
        <v>44.73</v>
      </c>
      <c r="P1091" s="7">
        <f ca="1">IFERROR(__xludf.DUMMYFUNCTION("GOOGLEFINANCE(""NSE:""&amp;D1091,""EPS"")"),12.67)</f>
        <v>12.67</v>
      </c>
      <c r="Q1091" s="7">
        <v>13.5</v>
      </c>
      <c r="R1091" s="7" t="str">
        <f ca="1">IFERROR(__xludf.DUMMYFUNCTION("IMPORTXML(E1091,""/html/body/main/div[3]/div[3]/div[2]/ul/li[7]/span[2]/span"")"),"Loading...")</f>
        <v>Loading...</v>
      </c>
      <c r="S1091" s="7" t="str">
        <f ca="1">IFERROR(__xludf.DUMMYFUNCTION("IMPORTXML(E1091,""/html/body/main/div[3]/div[3]/div[2]/ul/li[8]/span[2]/span"")"),"Loading...")</f>
        <v>Loading...</v>
      </c>
      <c r="T1091" s="4">
        <v>34.6</v>
      </c>
      <c r="U1091" s="4">
        <v>22.7</v>
      </c>
      <c r="V1091" s="4">
        <v>2.6</v>
      </c>
      <c r="W1091" s="4">
        <v>5.7</v>
      </c>
      <c r="X1091" s="4">
        <v>519.92999999999995</v>
      </c>
      <c r="Y1091" s="7">
        <f t="shared" ca="1" si="24"/>
        <v>46.57000000000005</v>
      </c>
    </row>
    <row r="1092" spans="1:25" ht="15" x14ac:dyDescent="0.25">
      <c r="A1092" s="4">
        <v>103</v>
      </c>
      <c r="C1092" s="12" t="s">
        <v>2726</v>
      </c>
      <c r="D1092" s="12" t="s">
        <v>2727</v>
      </c>
      <c r="E1092" s="5" t="str">
        <f t="shared" si="20"/>
        <v>https://www.screener.in/company/CONCORDBIO/consolidated/</v>
      </c>
      <c r="F1092" s="4">
        <v>443059</v>
      </c>
      <c r="G1092" s="4">
        <v>3832241897</v>
      </c>
      <c r="H1092" s="6">
        <f t="shared" ca="1" si="21"/>
        <v>639601.1726093</v>
      </c>
      <c r="I1092" s="7" t="str">
        <f ca="1">IFERROR(__xludf.DUMMYFUNCTION("IMPORTXML(E1092,""/html/body/main/div[3]/div[3]/div[2]/ul/li[5]/span[2]/span"")"),"Loading...")</f>
        <v>Loading...</v>
      </c>
      <c r="J1092" s="7">
        <f ca="1">IFERROR(__xludf.DUMMYFUNCTION("GOOGLEFINANCE(""NSE:""&amp;D1092,""marketcap"")"),174604437800)</f>
        <v>174604437800</v>
      </c>
      <c r="K1092" s="7">
        <v>992.8</v>
      </c>
      <c r="L1092" s="8">
        <f ca="1">IFERROR(__xludf.DUMMYFUNCTION("GOOGLEFINANCE(""NSE:""&amp;D1092,""price"")"),1669)</f>
        <v>1669</v>
      </c>
      <c r="M1092" s="9">
        <f t="shared" ca="1" si="22"/>
        <v>676.2</v>
      </c>
      <c r="N1092" s="10">
        <f t="shared" ca="1" si="23"/>
        <v>68.110394842868658</v>
      </c>
      <c r="O1092" s="7">
        <f ca="1">IFERROR(__xludf.DUMMYFUNCTION("GOOGLEFINANCE(""NSE:""&amp;D1092,""pe"")"),42.01)</f>
        <v>42.01</v>
      </c>
      <c r="P1092" s="7">
        <f ca="1">IFERROR(__xludf.DUMMYFUNCTION("GOOGLEFINANCE(""NSE:""&amp;D1092,""EPS"")"),39.73)</f>
        <v>39.729999999999997</v>
      </c>
      <c r="Q1092" s="7">
        <v>13.5</v>
      </c>
      <c r="R1092" s="7" t="str">
        <f ca="1">IFERROR(__xludf.DUMMYFUNCTION("IMPORTXML(E1092,""/html/body/main/div[3]/div[3]/div[2]/ul/li[7]/span[2]/span"")"),"Loading...")</f>
        <v>Loading...</v>
      </c>
      <c r="S1092" s="7" t="str">
        <f ca="1">IFERROR(__xludf.DUMMYFUNCTION("IMPORTXML(E1092,""/html/body/main/div[3]/div[3]/div[2]/ul/li[8]/span[2]/span"")"),"Loading...")</f>
        <v>Loading...</v>
      </c>
      <c r="T1092" s="4">
        <v>34.6</v>
      </c>
      <c r="U1092" s="4">
        <v>22.7</v>
      </c>
      <c r="V1092" s="4">
        <v>2.6</v>
      </c>
      <c r="W1092" s="4">
        <v>5.7</v>
      </c>
      <c r="X1092" s="4">
        <v>519.92999999999995</v>
      </c>
      <c r="Y1092" s="7">
        <f t="shared" ca="1" si="24"/>
        <v>1149.0700000000002</v>
      </c>
    </row>
    <row r="1093" spans="1:25" ht="15" x14ac:dyDescent="0.25">
      <c r="A1093" s="4">
        <v>1816</v>
      </c>
      <c r="C1093" s="12" t="s">
        <v>2728</v>
      </c>
      <c r="D1093" s="12" t="s">
        <v>2729</v>
      </c>
      <c r="E1093" s="5" t="str">
        <f t="shared" si="20"/>
        <v>https://www.screener.in/company/AARON/consolidated/</v>
      </c>
      <c r="F1093" s="4">
        <v>443059</v>
      </c>
      <c r="G1093" s="4">
        <v>3832241897</v>
      </c>
      <c r="H1093" s="6">
        <f t="shared" ca="1" si="21"/>
        <v>78714.248564380003</v>
      </c>
      <c r="I1093" s="7" t="str">
        <f ca="1">IFERROR(__xludf.DUMMYFUNCTION("IMPORTXML(E1093,""/html/body/main/div[3]/div[3]/div[2]/ul/li[5]/span[2]/span"")"),"Loading...")</f>
        <v>Loading...</v>
      </c>
      <c r="J1093" s="7">
        <f ca="1">IFERROR(__xludf.DUMMYFUNCTION("GOOGLEFINANCE(""NSE:""&amp;D1093,""marketcap"")"),4302406864)</f>
        <v>4302406864</v>
      </c>
      <c r="K1093" s="7">
        <v>992.8</v>
      </c>
      <c r="L1093" s="8">
        <f ca="1">IFERROR(__xludf.DUMMYFUNCTION("GOOGLEFINANCE(""NSE:""&amp;D1093,""price"")"),205.4)</f>
        <v>205.4</v>
      </c>
      <c r="M1093" s="9">
        <f t="shared" ca="1" si="22"/>
        <v>-787.4</v>
      </c>
      <c r="N1093" s="10">
        <f t="shared" ca="1" si="23"/>
        <v>-79.311039484286866</v>
      </c>
      <c r="O1093" s="7">
        <f ca="1">IFERROR(__xludf.DUMMYFUNCTION("GOOGLEFINANCE(""NSE:""&amp;D1093,""pe"")"),57.76)</f>
        <v>57.76</v>
      </c>
      <c r="P1093" s="7">
        <f ca="1">IFERROR(__xludf.DUMMYFUNCTION("GOOGLEFINANCE(""NSE:""&amp;D1093,""EPS"")"),3.56)</f>
        <v>3.56</v>
      </c>
      <c r="Q1093" s="7">
        <v>13.5</v>
      </c>
      <c r="R1093" s="7" t="str">
        <f ca="1">IFERROR(__xludf.DUMMYFUNCTION("IMPORTXML(E1093,""/html/body/main/div[3]/div[3]/div[2]/ul/li[7]/span[2]/span"")"),"Loading...")</f>
        <v>Loading...</v>
      </c>
      <c r="S1093" s="7" t="str">
        <f ca="1">IFERROR(__xludf.DUMMYFUNCTION("IMPORTXML(E1093,""/html/body/main/div[3]/div[3]/div[2]/ul/li[8]/span[2]/span"")"),"Loading...")</f>
        <v>Loading...</v>
      </c>
      <c r="T1093" s="4">
        <v>34.6</v>
      </c>
      <c r="U1093" s="4">
        <v>22.7</v>
      </c>
      <c r="V1093" s="4">
        <v>2.6</v>
      </c>
      <c r="W1093" s="4">
        <v>5.7</v>
      </c>
      <c r="X1093" s="4">
        <v>519.92999999999995</v>
      </c>
      <c r="Y1093" s="7">
        <f t="shared" ca="1" si="24"/>
        <v>-314.52999999999997</v>
      </c>
    </row>
    <row r="1094" spans="1:25" ht="15" x14ac:dyDescent="0.25">
      <c r="A1094" s="4">
        <v>121</v>
      </c>
      <c r="C1094" s="12" t="s">
        <v>2730</v>
      </c>
      <c r="D1094" s="12" t="s">
        <v>2731</v>
      </c>
      <c r="E1094" s="5" t="str">
        <f t="shared" si="20"/>
        <v>https://www.screener.in/company/SAGILITY/consolidated/</v>
      </c>
      <c r="F1094" s="4">
        <v>443059</v>
      </c>
      <c r="G1094" s="4">
        <v>3832241897</v>
      </c>
      <c r="H1094" s="6">
        <f t="shared" ca="1" si="21"/>
        <v>16490.136882791001</v>
      </c>
      <c r="I1094" s="7" t="str">
        <f ca="1">IFERROR(__xludf.DUMMYFUNCTION("IMPORTXML(E1094,""/html/body/main/div[3]/div[3]/div[2]/ul/li[5]/span[2]/span"")"),"Loading...")</f>
        <v>Loading...</v>
      </c>
      <c r="J1094" s="7">
        <f ca="1">IFERROR(__xludf.DUMMYFUNCTION("GOOGLEFINANCE(""NSE:""&amp;D1094,""marketcap"")"),201819598194)</f>
        <v>201819598194</v>
      </c>
      <c r="K1094" s="7">
        <v>992.8</v>
      </c>
      <c r="L1094" s="8">
        <f ca="1">IFERROR(__xludf.DUMMYFUNCTION("GOOGLEFINANCE(""NSE:""&amp;D1094,""price"")"),43.03)</f>
        <v>43.03</v>
      </c>
      <c r="M1094" s="9">
        <f t="shared" ca="1" si="22"/>
        <v>-949.77</v>
      </c>
      <c r="N1094" s="10">
        <f t="shared" ca="1" si="23"/>
        <v>-95.665793714746172</v>
      </c>
      <c r="O1094" s="7">
        <f ca="1">IFERROR(__xludf.DUMMYFUNCTION("GOOGLEFINANCE(""NSE:""&amp;D1094,""pe"")"),29.75)</f>
        <v>29.75</v>
      </c>
      <c r="P1094" s="7">
        <f ca="1">IFERROR(__xludf.DUMMYFUNCTION("GOOGLEFINANCE(""NSE:""&amp;D1094,""EPS"")"),1.45)</f>
        <v>1.45</v>
      </c>
      <c r="Q1094" s="7">
        <v>13.5</v>
      </c>
      <c r="R1094" s="7" t="str">
        <f ca="1">IFERROR(__xludf.DUMMYFUNCTION("IMPORTXML(E1094,""/html/body/main/div[3]/div[3]/div[2]/ul/li[7]/span[2]/span"")"),"Loading...")</f>
        <v>Loading...</v>
      </c>
      <c r="S1094" s="7" t="str">
        <f ca="1">IFERROR(__xludf.DUMMYFUNCTION("IMPORTXML(E1094,""/html/body/main/div[3]/div[3]/div[2]/ul/li[8]/span[2]/span"")"),"Loading...")</f>
        <v>Loading...</v>
      </c>
      <c r="T1094" s="4">
        <v>34.6</v>
      </c>
      <c r="U1094" s="4">
        <v>22.7</v>
      </c>
      <c r="V1094" s="4">
        <v>2.6</v>
      </c>
      <c r="W1094" s="4">
        <v>5.7</v>
      </c>
      <c r="X1094" s="4">
        <v>519.92999999999995</v>
      </c>
      <c r="Y1094" s="7">
        <f t="shared" ca="1" si="24"/>
        <v>-476.9</v>
      </c>
    </row>
    <row r="1095" spans="1:25" ht="15" x14ac:dyDescent="0.25">
      <c r="A1095" s="4">
        <v>259</v>
      </c>
      <c r="C1095" s="12" t="s">
        <v>2732</v>
      </c>
      <c r="D1095" s="12" t="s">
        <v>2733</v>
      </c>
      <c r="E1095" s="5" t="str">
        <f t="shared" si="20"/>
        <v>https://www.screener.in/company/REDTAPE/consolidated/</v>
      </c>
      <c r="F1095" s="4">
        <v>443059</v>
      </c>
      <c r="G1095" s="4">
        <v>3832241897</v>
      </c>
      <c r="H1095" s="6">
        <f t="shared" ca="1" si="21"/>
        <v>56525.567980749998</v>
      </c>
      <c r="I1095" s="7" t="str">
        <f ca="1">IFERROR(__xludf.DUMMYFUNCTION("IMPORTXML(E1095,""/html/body/main/div[3]/div[3]/div[2]/ul/li[5]/span[2]/span"")"),"Loading...")</f>
        <v>Loading...</v>
      </c>
      <c r="J1095" s="7">
        <f ca="1">IFERROR(__xludf.DUMMYFUNCTION("GOOGLEFINANCE(""NSE:""&amp;D1095,""marketcap"")"),20204510625)</f>
        <v>20204510625</v>
      </c>
      <c r="K1095" s="7">
        <v>992.8</v>
      </c>
      <c r="L1095" s="8">
        <f ca="1">IFERROR(__xludf.DUMMYFUNCTION("GOOGLEFINANCE(""NSE:""&amp;D1095,""price"")"),147.5)</f>
        <v>147.5</v>
      </c>
      <c r="M1095" s="9">
        <f t="shared" ca="1" si="22"/>
        <v>-845.3</v>
      </c>
      <c r="N1095" s="10">
        <f t="shared" ca="1" si="23"/>
        <v>-85.143029814665596</v>
      </c>
      <c r="O1095" s="7">
        <f ca="1">IFERROR(__xludf.DUMMYFUNCTION("GOOGLEFINANCE(""NSE:""&amp;D1095,""pe"")"),45.8)</f>
        <v>45.8</v>
      </c>
      <c r="P1095" s="7">
        <f ca="1">IFERROR(__xludf.DUMMYFUNCTION("GOOGLEFINANCE(""NSE:""&amp;D1095,""EPS"")"),3.22)</f>
        <v>3.22</v>
      </c>
      <c r="Q1095" s="7">
        <v>13.5</v>
      </c>
      <c r="R1095" s="7" t="str">
        <f ca="1">IFERROR(__xludf.DUMMYFUNCTION("IMPORTXML(E1095,""/html/body/main/div[3]/div[3]/div[2]/ul/li[7]/span[2]/span"")"),"Loading...")</f>
        <v>Loading...</v>
      </c>
      <c r="S1095" s="7" t="str">
        <f ca="1">IFERROR(__xludf.DUMMYFUNCTION("IMPORTXML(E1095,""/html/body/main/div[3]/div[3]/div[2]/ul/li[8]/span[2]/span"")"),"Loading...")</f>
        <v>Loading...</v>
      </c>
      <c r="T1095" s="4">
        <v>34.6</v>
      </c>
      <c r="U1095" s="4">
        <v>22.7</v>
      </c>
      <c r="V1095" s="4">
        <v>2.6</v>
      </c>
      <c r="W1095" s="4">
        <v>5.7</v>
      </c>
      <c r="X1095" s="4">
        <v>519.92999999999995</v>
      </c>
      <c r="Y1095" s="7">
        <f t="shared" ca="1" si="24"/>
        <v>-372.42999999999995</v>
      </c>
    </row>
    <row r="1096" spans="1:25" ht="15" x14ac:dyDescent="0.25">
      <c r="A1096" s="4">
        <v>583</v>
      </c>
      <c r="C1096" s="12" t="s">
        <v>2734</v>
      </c>
      <c r="D1096" s="12" t="s">
        <v>2735</v>
      </c>
      <c r="E1096" s="5" t="str">
        <f t="shared" si="20"/>
        <v>https://www.screener.in/company/AVANTEL/consolidated/</v>
      </c>
      <c r="F1096" s="4">
        <v>443059</v>
      </c>
      <c r="G1096" s="4">
        <v>3832241897</v>
      </c>
      <c r="H1096" s="6">
        <f t="shared" ca="1" si="21"/>
        <v>68267.557153157992</v>
      </c>
      <c r="I1096" s="7" t="str">
        <f ca="1">IFERROR(__xludf.DUMMYFUNCTION("IMPORTXML(E1096,""/html/body/main/div[3]/div[3]/div[2]/ul/li[5]/span[2]/span"")"),"Loading...")</f>
        <v>Loading...</v>
      </c>
      <c r="J1096" s="7">
        <f ca="1">IFERROR(__xludf.DUMMYFUNCTION("GOOGLEFINANCE(""NSE:""&amp;D1096,""marketcap"")"),46839183926)</f>
        <v>46839183926</v>
      </c>
      <c r="K1096" s="7">
        <v>992.8</v>
      </c>
      <c r="L1096" s="8">
        <f ca="1">IFERROR(__xludf.DUMMYFUNCTION("GOOGLEFINANCE(""NSE:""&amp;D1096,""price"")"),178.14)</f>
        <v>178.14</v>
      </c>
      <c r="M1096" s="9">
        <f t="shared" ca="1" si="22"/>
        <v>-814.66</v>
      </c>
      <c r="N1096" s="10">
        <f t="shared" ca="1" si="23"/>
        <v>-82.056809024979856</v>
      </c>
      <c r="O1096" s="7">
        <f ca="1">IFERROR(__xludf.DUMMYFUNCTION("GOOGLEFINANCE(""NSE:""&amp;D1096,""pe"")"),88.3)</f>
        <v>88.3</v>
      </c>
      <c r="P1096" s="7">
        <f ca="1">IFERROR(__xludf.DUMMYFUNCTION("GOOGLEFINANCE(""NSE:""&amp;D1096,""EPS"")"),2.02)</f>
        <v>2.02</v>
      </c>
      <c r="Q1096" s="7">
        <v>13.5</v>
      </c>
      <c r="R1096" s="7" t="str">
        <f ca="1">IFERROR(__xludf.DUMMYFUNCTION("IMPORTXML(E1096,""/html/body/main/div[3]/div[3]/div[2]/ul/li[7]/span[2]/span"")"),"Loading...")</f>
        <v>Loading...</v>
      </c>
      <c r="S1096" s="7" t="str">
        <f ca="1">IFERROR(__xludf.DUMMYFUNCTION("IMPORTXML(E1096,""/html/body/main/div[3]/div[3]/div[2]/ul/li[8]/span[2]/span"")"),"Loading...")</f>
        <v>Loading...</v>
      </c>
      <c r="T1096" s="4">
        <v>34.6</v>
      </c>
      <c r="U1096" s="4">
        <v>22.7</v>
      </c>
      <c r="V1096" s="4">
        <v>2.6</v>
      </c>
      <c r="W1096" s="4">
        <v>5.7</v>
      </c>
      <c r="X1096" s="4">
        <v>519.92999999999995</v>
      </c>
      <c r="Y1096" s="7">
        <f t="shared" ca="1" si="24"/>
        <v>-341.78999999999996</v>
      </c>
    </row>
    <row r="1097" spans="1:25" ht="15" x14ac:dyDescent="0.25">
      <c r="A1097" s="4">
        <v>2680</v>
      </c>
      <c r="C1097" s="12" t="s">
        <v>2736</v>
      </c>
      <c r="D1097" s="12" t="s">
        <v>2737</v>
      </c>
      <c r="E1097" s="5" t="str">
        <f t="shared" si="20"/>
        <v>https://www.screener.in/company/ROML/consolidated/</v>
      </c>
      <c r="F1097" s="4">
        <v>443059</v>
      </c>
      <c r="G1097" s="4">
        <v>3832241897</v>
      </c>
      <c r="H1097" s="6">
        <f t="shared" ca="1" si="21"/>
        <v>18333.445235248</v>
      </c>
      <c r="I1097" s="7" t="str">
        <f ca="1">IFERROR(__xludf.DUMMYFUNCTION("IMPORTXML(E1097,""/html/body/main/div[3]/div[3]/div[2]/ul/li[5]/span[2]/span"")"),"Loading...")</f>
        <v>Loading...</v>
      </c>
      <c r="J1097" s="7">
        <f ca="1">IFERROR(__xludf.DUMMYFUNCTION("GOOGLEFINANCE(""NSE:""&amp;D1097,""marketcap"")"),717058453)</f>
        <v>717058453</v>
      </c>
      <c r="K1097" s="7">
        <v>992.8</v>
      </c>
      <c r="L1097" s="8">
        <f ca="1">IFERROR(__xludf.DUMMYFUNCTION("GOOGLEFINANCE(""NSE:""&amp;D1097,""price"")"),47.84)</f>
        <v>47.84</v>
      </c>
      <c r="M1097" s="9">
        <f t="shared" ca="1" si="22"/>
        <v>-944.95999999999992</v>
      </c>
      <c r="N1097" s="10">
        <f t="shared" ca="1" si="23"/>
        <v>-95.181305398871871</v>
      </c>
      <c r="O1097" s="7">
        <f ca="1">IFERROR(__xludf.DUMMYFUNCTION("GOOGLEFINANCE(""NSE:""&amp;D1097,""pe"")"),14.54)</f>
        <v>14.54</v>
      </c>
      <c r="P1097" s="7">
        <f ca="1">IFERROR(__xludf.DUMMYFUNCTION("GOOGLEFINANCE(""NSE:""&amp;D1097,""EPS"")"),3.29)</f>
        <v>3.29</v>
      </c>
      <c r="Q1097" s="7">
        <v>13.5</v>
      </c>
      <c r="R1097" s="7" t="str">
        <f ca="1">IFERROR(__xludf.DUMMYFUNCTION("IMPORTXML(E1097,""/html/body/main/div[3]/div[3]/div[2]/ul/li[7]/span[2]/span"")"),"Loading...")</f>
        <v>Loading...</v>
      </c>
      <c r="S1097" s="7" t="str">
        <f ca="1">IFERROR(__xludf.DUMMYFUNCTION("IMPORTXML(E1097,""/html/body/main/div[3]/div[3]/div[2]/ul/li[8]/span[2]/span"")"),"Loading...")</f>
        <v>Loading...</v>
      </c>
      <c r="T1097" s="4">
        <v>34.6</v>
      </c>
      <c r="U1097" s="4">
        <v>22.7</v>
      </c>
      <c r="V1097" s="4">
        <v>2.6</v>
      </c>
      <c r="W1097" s="4">
        <v>5.7</v>
      </c>
      <c r="X1097" s="4">
        <v>519.92999999999995</v>
      </c>
      <c r="Y1097" s="7">
        <f t="shared" ca="1" si="24"/>
        <v>-472.08999999999992</v>
      </c>
    </row>
    <row r="1098" spans="1:25" ht="15" x14ac:dyDescent="0.25">
      <c r="A1098" s="4">
        <v>505</v>
      </c>
      <c r="C1098" s="12" t="s">
        <v>2738</v>
      </c>
      <c r="D1098" s="12" t="s">
        <v>2739</v>
      </c>
      <c r="E1098" s="5" t="str">
        <f t="shared" si="20"/>
        <v>https://www.screener.in/company/ANUP/consolidated/</v>
      </c>
      <c r="F1098" s="4">
        <v>443059</v>
      </c>
      <c r="G1098" s="4">
        <v>3832241897</v>
      </c>
      <c r="H1098" s="6">
        <f t="shared" ca="1" si="21"/>
        <v>868002.78967049997</v>
      </c>
      <c r="I1098" s="7" t="str">
        <f ca="1">IFERROR(__xludf.DUMMYFUNCTION("IMPORTXML(E1098,""/html/body/main/div[3]/div[3]/div[2]/ul/li[5]/span[2]/span"")"),"Loading...")</f>
        <v>Loading...</v>
      </c>
      <c r="J1098" s="7">
        <f ca="1">IFERROR(__xludf.DUMMYFUNCTION("GOOGLEFINANCE(""NSE:""&amp;D1098,""marketcap"")"),45359931900)</f>
        <v>45359931900</v>
      </c>
      <c r="K1098" s="7">
        <v>992.8</v>
      </c>
      <c r="L1098" s="8">
        <f ca="1">IFERROR(__xludf.DUMMYFUNCTION("GOOGLEFINANCE(""NSE:""&amp;D1098,""price"")"),2265)</f>
        <v>2265</v>
      </c>
      <c r="M1098" s="9">
        <f t="shared" ca="1" si="22"/>
        <v>1272.2</v>
      </c>
      <c r="N1098" s="10">
        <f t="shared" ca="1" si="23"/>
        <v>128.14262691377922</v>
      </c>
      <c r="O1098" s="7">
        <f ca="1">IFERROR(__xludf.DUMMYFUNCTION("GOOGLEFINANCE(""NSE:""&amp;D1098,""pe"")"),37.68)</f>
        <v>37.68</v>
      </c>
      <c r="P1098" s="7">
        <f ca="1">IFERROR(__xludf.DUMMYFUNCTION("GOOGLEFINANCE(""NSE:""&amp;D1098,""EPS"")"),60.11)</f>
        <v>60.11</v>
      </c>
      <c r="Q1098" s="7">
        <v>13.5</v>
      </c>
      <c r="R1098" s="7" t="str">
        <f ca="1">IFERROR(__xludf.DUMMYFUNCTION("IMPORTXML(E1098,""/html/body/main/div[3]/div[3]/div[2]/ul/li[7]/span[2]/span"")"),"Loading...")</f>
        <v>Loading...</v>
      </c>
      <c r="S1098" s="7" t="str">
        <f ca="1">IFERROR(__xludf.DUMMYFUNCTION("IMPORTXML(E1098,""/html/body/main/div[3]/div[3]/div[2]/ul/li[8]/span[2]/span"")"),"Loading...")</f>
        <v>Loading...</v>
      </c>
      <c r="T1098" s="4">
        <v>34.6</v>
      </c>
      <c r="U1098" s="4">
        <v>22.7</v>
      </c>
      <c r="V1098" s="4">
        <v>2.6</v>
      </c>
      <c r="W1098" s="4">
        <v>5.7</v>
      </c>
      <c r="X1098" s="4">
        <v>519.92999999999995</v>
      </c>
      <c r="Y1098" s="7">
        <f t="shared" ca="1" si="24"/>
        <v>1745.0700000000002</v>
      </c>
    </row>
    <row r="1099" spans="1:25" ht="15" x14ac:dyDescent="0.25">
      <c r="A1099" s="4">
        <v>893</v>
      </c>
      <c r="C1099" s="12" t="s">
        <v>2740</v>
      </c>
      <c r="D1099" s="12" t="s">
        <v>2741</v>
      </c>
      <c r="E1099" s="5" t="str">
        <f t="shared" si="20"/>
        <v>https://www.screener.in/company/SANGAMIND/consolidated/</v>
      </c>
      <c r="F1099" s="4">
        <v>443059</v>
      </c>
      <c r="G1099" s="4">
        <v>3832241897</v>
      </c>
      <c r="H1099" s="6">
        <f t="shared" ca="1" si="21"/>
        <v>139416.96021286002</v>
      </c>
      <c r="I1099" s="7" t="str">
        <f ca="1">IFERROR(__xludf.DUMMYFUNCTION("IMPORTXML(E1099,""/html/body/main/div[3]/div[3]/div[2]/ul/li[5]/span[2]/span"")"),"Loading...")</f>
        <v>Loading...</v>
      </c>
      <c r="J1099" s="7">
        <f ca="1">IFERROR(__xludf.DUMMYFUNCTION("GOOGLEFINANCE(""NSE:""&amp;D1099,""marketcap"")"),18133710000)</f>
        <v>18133710000</v>
      </c>
      <c r="K1099" s="7">
        <v>992.8</v>
      </c>
      <c r="L1099" s="8">
        <f ca="1">IFERROR(__xludf.DUMMYFUNCTION("GOOGLEFINANCE(""NSE:""&amp;D1099,""price"")"),363.8)</f>
        <v>363.8</v>
      </c>
      <c r="M1099" s="9">
        <f t="shared" ca="1" si="22"/>
        <v>-629</v>
      </c>
      <c r="N1099" s="10">
        <f t="shared" ca="1" si="23"/>
        <v>-63.356164383561641</v>
      </c>
      <c r="O1099" s="7">
        <f ca="1">IFERROR(__xludf.DUMMYFUNCTION("GOOGLEFINANCE(""NSE:""&amp;D1099,""pe"")"),93.04)</f>
        <v>93.04</v>
      </c>
      <c r="P1099" s="7">
        <f ca="1">IFERROR(__xludf.DUMMYFUNCTION("GOOGLEFINANCE(""NSE:""&amp;D1099,""EPS"")"),3.91)</f>
        <v>3.91</v>
      </c>
      <c r="Q1099" s="7">
        <v>13.5</v>
      </c>
      <c r="R1099" s="7" t="str">
        <f ca="1">IFERROR(__xludf.DUMMYFUNCTION("IMPORTXML(E1099,""/html/body/main/div[3]/div[3]/div[2]/ul/li[7]/span[2]/span"")"),"Loading...")</f>
        <v>Loading...</v>
      </c>
      <c r="S1099" s="7" t="str">
        <f ca="1">IFERROR(__xludf.DUMMYFUNCTION("IMPORTXML(E1099,""/html/body/main/div[3]/div[3]/div[2]/ul/li[8]/span[2]/span"")"),"Loading...")</f>
        <v>Loading...</v>
      </c>
      <c r="T1099" s="4">
        <v>34.6</v>
      </c>
      <c r="U1099" s="4">
        <v>22.7</v>
      </c>
      <c r="V1099" s="4">
        <v>2.6</v>
      </c>
      <c r="W1099" s="4">
        <v>5.7</v>
      </c>
      <c r="X1099" s="4">
        <v>519.92999999999995</v>
      </c>
      <c r="Y1099" s="7">
        <f t="shared" ca="1" si="24"/>
        <v>-156.12999999999994</v>
      </c>
    </row>
    <row r="1100" spans="1:25" ht="15" x14ac:dyDescent="0.25">
      <c r="A1100" s="4">
        <v>465</v>
      </c>
      <c r="C1100" s="12" t="s">
        <v>2742</v>
      </c>
      <c r="D1100" s="12" t="s">
        <v>2743</v>
      </c>
      <c r="E1100" s="5" t="str">
        <f t="shared" si="20"/>
        <v>https://www.screener.in/company/GMMPFAUDLR/consolidated/</v>
      </c>
      <c r="F1100" s="4">
        <v>443059</v>
      </c>
      <c r="G1100" s="4">
        <v>3832241897</v>
      </c>
      <c r="H1100" s="6">
        <f t="shared" ca="1" si="21"/>
        <v>443390.3874829</v>
      </c>
      <c r="I1100" s="7" t="str">
        <f ca="1">IFERROR(__xludf.DUMMYFUNCTION("IMPORTXML(E1100,""/html/body/main/div[3]/div[3]/div[2]/ul/li[5]/span[2]/span"")"),"Loading...")</f>
        <v>Loading...</v>
      </c>
      <c r="J1100" s="7">
        <f ca="1">IFERROR(__xludf.DUMMYFUNCTION("GOOGLEFINANCE(""NSE:""&amp;D1100,""marketcap"")"),52100930000)</f>
        <v>52100930000</v>
      </c>
      <c r="K1100" s="7">
        <v>992.8</v>
      </c>
      <c r="L1100" s="8">
        <f ca="1">IFERROR(__xludf.DUMMYFUNCTION("GOOGLEFINANCE(""NSE:""&amp;D1100,""price"")"),1157)</f>
        <v>1157</v>
      </c>
      <c r="M1100" s="9">
        <f t="shared" ca="1" si="22"/>
        <v>164.20000000000005</v>
      </c>
      <c r="N1100" s="10">
        <f t="shared" ca="1" si="23"/>
        <v>16.539081385979053</v>
      </c>
      <c r="O1100" s="7">
        <f ca="1">IFERROR(__xludf.DUMMYFUNCTION("GOOGLEFINANCE(""NSE:""&amp;D1100,""pe"")"),121.13)</f>
        <v>121.13</v>
      </c>
      <c r="P1100" s="7">
        <f ca="1">IFERROR(__xludf.DUMMYFUNCTION("GOOGLEFINANCE(""NSE:""&amp;D1100,""EPS"")"),9.55)</f>
        <v>9.5500000000000007</v>
      </c>
      <c r="Q1100" s="7">
        <v>13.5</v>
      </c>
      <c r="R1100" s="7" t="str">
        <f ca="1">IFERROR(__xludf.DUMMYFUNCTION("IMPORTXML(E1100,""/html/body/main/div[3]/div[3]/div[2]/ul/li[7]/span[2]/span"")"),"Loading...")</f>
        <v>Loading...</v>
      </c>
      <c r="S1100" s="7" t="str">
        <f ca="1">IFERROR(__xludf.DUMMYFUNCTION("IMPORTXML(E1100,""/html/body/main/div[3]/div[3]/div[2]/ul/li[8]/span[2]/span"")"),"Loading...")</f>
        <v>Loading...</v>
      </c>
      <c r="T1100" s="4">
        <v>34.6</v>
      </c>
      <c r="U1100" s="4">
        <v>22.7</v>
      </c>
      <c r="V1100" s="4">
        <v>2.6</v>
      </c>
      <c r="W1100" s="4">
        <v>5.7</v>
      </c>
      <c r="X1100" s="4">
        <v>519.92999999999995</v>
      </c>
      <c r="Y1100" s="7">
        <f t="shared" ca="1" si="24"/>
        <v>637.07000000000005</v>
      </c>
    </row>
    <row r="1101" spans="1:25" ht="15" x14ac:dyDescent="0.25">
      <c r="A1101" s="4">
        <v>286</v>
      </c>
      <c r="C1101" s="12" t="s">
        <v>2744</v>
      </c>
      <c r="D1101" s="12" t="s">
        <v>2745</v>
      </c>
      <c r="E1101" s="5" t="str">
        <f t="shared" si="20"/>
        <v>https://www.screener.in/company/SAREGAMA/consolidated/</v>
      </c>
      <c r="F1101" s="4">
        <v>443059</v>
      </c>
      <c r="G1101" s="4">
        <v>3832241897</v>
      </c>
      <c r="H1101" s="6">
        <f t="shared" ca="1" si="21"/>
        <v>188335.52802806499</v>
      </c>
      <c r="I1101" s="7" t="str">
        <f ca="1">IFERROR(__xludf.DUMMYFUNCTION("IMPORTXML(E1101,""/html/body/main/div[3]/div[3]/div[2]/ul/li[5]/span[2]/span"")"),"Loading...")</f>
        <v>Loading...</v>
      </c>
      <c r="J1101" s="7">
        <f ca="1">IFERROR(__xludf.DUMMYFUNCTION("GOOGLEFINANCE(""NSE:""&amp;D1101,""marketcap"")"),94188590000)</f>
        <v>94188590000</v>
      </c>
      <c r="K1101" s="7">
        <v>992.8</v>
      </c>
      <c r="L1101" s="8">
        <f ca="1">IFERROR(__xludf.DUMMYFUNCTION("GOOGLEFINANCE(""NSE:""&amp;D1101,""price"")"),491.45)</f>
        <v>491.45</v>
      </c>
      <c r="M1101" s="9">
        <f t="shared" ca="1" si="22"/>
        <v>-501.34999999999997</v>
      </c>
      <c r="N1101" s="10">
        <f t="shared" ca="1" si="23"/>
        <v>-50.498589846897659</v>
      </c>
      <c r="O1101" s="7">
        <f ca="1">IFERROR(__xludf.DUMMYFUNCTION("GOOGLEFINANCE(""NSE:""&amp;D1101,""pe"")"),46.42)</f>
        <v>46.42</v>
      </c>
      <c r="P1101" s="7">
        <f ca="1">IFERROR(__xludf.DUMMYFUNCTION("GOOGLEFINANCE(""NSE:""&amp;D1101,""EPS"")"),10.59)</f>
        <v>10.59</v>
      </c>
      <c r="Q1101" s="7">
        <v>13.5</v>
      </c>
      <c r="R1101" s="7" t="str">
        <f ca="1">IFERROR(__xludf.DUMMYFUNCTION("IMPORTXML(E1101,""/html/body/main/div[3]/div[3]/div[2]/ul/li[7]/span[2]/span"")"),"Loading...")</f>
        <v>Loading...</v>
      </c>
      <c r="S1101" s="7" t="str">
        <f ca="1">IFERROR(__xludf.DUMMYFUNCTION("IMPORTXML(E1101,""/html/body/main/div[3]/div[3]/div[2]/ul/li[8]/span[2]/span"")"),"Loading...")</f>
        <v>Loading...</v>
      </c>
      <c r="T1101" s="4">
        <v>34.6</v>
      </c>
      <c r="U1101" s="4">
        <v>22.7</v>
      </c>
      <c r="V1101" s="4">
        <v>2.6</v>
      </c>
      <c r="W1101" s="4">
        <v>5.7</v>
      </c>
      <c r="X1101" s="4">
        <v>519.92999999999995</v>
      </c>
      <c r="Y1101" s="7">
        <f t="shared" ca="1" si="24"/>
        <v>-28.479999999999961</v>
      </c>
    </row>
    <row r="1102" spans="1:25" ht="15" x14ac:dyDescent="0.25">
      <c r="A1102" s="4">
        <v>1233</v>
      </c>
      <c r="C1102" s="12" t="s">
        <v>2746</v>
      </c>
      <c r="D1102" s="12" t="s">
        <v>2747</v>
      </c>
      <c r="E1102" s="5" t="str">
        <f t="shared" si="20"/>
        <v>https://www.screener.in/company/SBC/consolidated/</v>
      </c>
      <c r="F1102" s="4">
        <v>443059</v>
      </c>
      <c r="G1102" s="4">
        <v>3832241897</v>
      </c>
      <c r="H1102" s="6">
        <f t="shared" ca="1" si="21"/>
        <v>7848.4314050559997</v>
      </c>
      <c r="I1102" s="7" t="str">
        <f ca="1">IFERROR(__xludf.DUMMYFUNCTION("IMPORTXML(E1102,""/html/body/main/div[3]/div[3]/div[2]/ul/li[5]/span[2]/span"")"),"Loading...")</f>
        <v>Loading...</v>
      </c>
      <c r="J1102" s="7">
        <f ca="1">IFERROR(__xludf.DUMMYFUNCTION("GOOGLEFINANCE(""NSE:""&amp;D1102,""marketcap"")"),9752370982)</f>
        <v>9752370982</v>
      </c>
      <c r="K1102" s="7">
        <v>992.8</v>
      </c>
      <c r="L1102" s="8">
        <f ca="1">IFERROR(__xludf.DUMMYFUNCTION("GOOGLEFINANCE(""NSE:""&amp;D1102,""price"")"),20.48)</f>
        <v>20.48</v>
      </c>
      <c r="M1102" s="9">
        <f t="shared" ca="1" si="22"/>
        <v>-972.31999999999994</v>
      </c>
      <c r="N1102" s="10">
        <f t="shared" ca="1" si="23"/>
        <v>-97.937147461724422</v>
      </c>
      <c r="O1102" s="7">
        <f ca="1">IFERROR(__xludf.DUMMYFUNCTION("GOOGLEFINANCE(""NSE:""&amp;D1102,""pe"")"),60.83)</f>
        <v>60.83</v>
      </c>
      <c r="P1102" s="7">
        <f ca="1">IFERROR(__xludf.DUMMYFUNCTION("GOOGLEFINANCE(""NSE:""&amp;D1102,""EPS"")"),0.34)</f>
        <v>0.34</v>
      </c>
      <c r="Q1102" s="7">
        <v>13.5</v>
      </c>
      <c r="R1102" s="7" t="str">
        <f ca="1">IFERROR(__xludf.DUMMYFUNCTION("IMPORTXML(E1102,""/html/body/main/div[3]/div[3]/div[2]/ul/li[7]/span[2]/span"")"),"Loading...")</f>
        <v>Loading...</v>
      </c>
      <c r="S1102" s="7" t="str">
        <f ca="1">IFERROR(__xludf.DUMMYFUNCTION("IMPORTXML(E1102,""/html/body/main/div[3]/div[3]/div[2]/ul/li[8]/span[2]/span"")"),"Loading...")</f>
        <v>Loading...</v>
      </c>
      <c r="T1102" s="4">
        <v>34.6</v>
      </c>
      <c r="U1102" s="4">
        <v>22.7</v>
      </c>
      <c r="V1102" s="4">
        <v>2.6</v>
      </c>
      <c r="W1102" s="4">
        <v>5.7</v>
      </c>
      <c r="X1102" s="4">
        <v>519.92999999999995</v>
      </c>
      <c r="Y1102" s="7">
        <f t="shared" ca="1" si="24"/>
        <v>-499.44999999999993</v>
      </c>
    </row>
    <row r="1103" spans="1:25" ht="15" x14ac:dyDescent="0.25">
      <c r="A1103" s="4">
        <v>41</v>
      </c>
      <c r="C1103" s="12" t="s">
        <v>2748</v>
      </c>
      <c r="D1103" s="12" t="s">
        <v>2749</v>
      </c>
      <c r="E1103" s="5" t="str">
        <f t="shared" si="20"/>
        <v>https://www.screener.in/company/SUMICHEM/consolidated/</v>
      </c>
      <c r="F1103" s="4">
        <v>443059</v>
      </c>
      <c r="G1103" s="4">
        <v>3832241897</v>
      </c>
      <c r="H1103" s="6">
        <f t="shared" ca="1" si="21"/>
        <v>218246.17603415</v>
      </c>
      <c r="I1103" s="7" t="str">
        <f ca="1">IFERROR(__xludf.DUMMYFUNCTION("IMPORTXML(E1103,""/html/body/main/div[3]/div[3]/div[2]/ul/li[5]/span[2]/span"")"),"Loading...")</f>
        <v>Loading...</v>
      </c>
      <c r="J1103" s="7">
        <f ca="1">IFERROR(__xludf.DUMMYFUNCTION("GOOGLEFINANCE(""NSE:""&amp;D1103,""marketcap"")"),284263500000)</f>
        <v>284263500000</v>
      </c>
      <c r="K1103" s="7">
        <v>992.8</v>
      </c>
      <c r="L1103" s="8">
        <f ca="1">IFERROR(__xludf.DUMMYFUNCTION("GOOGLEFINANCE(""NSE:""&amp;D1103,""price"")"),569.5)</f>
        <v>569.5</v>
      </c>
      <c r="M1103" s="9">
        <f t="shared" ca="1" si="22"/>
        <v>-423.29999999999995</v>
      </c>
      <c r="N1103" s="10">
        <f t="shared" ca="1" si="23"/>
        <v>-42.636986301369859</v>
      </c>
      <c r="O1103" s="7">
        <f ca="1">IFERROR(__xludf.DUMMYFUNCTION("GOOGLEFINANCE(""NSE:""&amp;D1103,""pe"")"),51.05)</f>
        <v>51.05</v>
      </c>
      <c r="P1103" s="7">
        <f ca="1">IFERROR(__xludf.DUMMYFUNCTION("GOOGLEFINANCE(""NSE:""&amp;D1103,""EPS"")"),11.16)</f>
        <v>11.16</v>
      </c>
      <c r="Q1103" s="7">
        <v>13.5</v>
      </c>
      <c r="R1103" s="7" t="str">
        <f ca="1">IFERROR(__xludf.DUMMYFUNCTION("IMPORTXML(E1103,""/html/body/main/div[3]/div[3]/div[2]/ul/li[7]/span[2]/span"")"),"Loading...")</f>
        <v>Loading...</v>
      </c>
      <c r="S1103" s="7" t="str">
        <f ca="1">IFERROR(__xludf.DUMMYFUNCTION("IMPORTXML(E1103,""/html/body/main/div[3]/div[3]/div[2]/ul/li[8]/span[2]/span"")"),"Loading...")</f>
        <v>Loading...</v>
      </c>
      <c r="T1103" s="4">
        <v>34.6</v>
      </c>
      <c r="U1103" s="4">
        <v>22.7</v>
      </c>
      <c r="V1103" s="4">
        <v>2.6</v>
      </c>
      <c r="W1103" s="4">
        <v>5.7</v>
      </c>
      <c r="X1103" s="4">
        <v>519.92999999999995</v>
      </c>
      <c r="Y1103" s="7">
        <f t="shared" ca="1" si="24"/>
        <v>49.57000000000005</v>
      </c>
    </row>
    <row r="1104" spans="1:25" ht="15" x14ac:dyDescent="0.25">
      <c r="A1104" s="4">
        <v>824</v>
      </c>
      <c r="C1104" s="12" t="s">
        <v>2750</v>
      </c>
      <c r="D1104" s="12" t="s">
        <v>2751</v>
      </c>
      <c r="E1104" s="5" t="str">
        <f t="shared" si="20"/>
        <v>https://www.screener.in/company/APOLLOPIPE/consolidated/</v>
      </c>
      <c r="F1104" s="4">
        <v>443059</v>
      </c>
      <c r="G1104" s="4">
        <v>3832241897</v>
      </c>
      <c r="H1104" s="6">
        <f t="shared" ca="1" si="21"/>
        <v>154822.57263879999</v>
      </c>
      <c r="I1104" s="7" t="str">
        <f ca="1">IFERROR(__xludf.DUMMYFUNCTION("IMPORTXML(E1104,""/html/body/main/div[3]/div[3]/div[2]/ul/li[5]/span[2]/span"")"),"Loading...")</f>
        <v>Loading...</v>
      </c>
      <c r="J1104" s="7">
        <f ca="1">IFERROR(__xludf.DUMMYFUNCTION("GOOGLEFINANCE(""NSE:""&amp;D1104,""marketcap"")"),17619831515)</f>
        <v>17619831515</v>
      </c>
      <c r="K1104" s="7">
        <v>992.8</v>
      </c>
      <c r="L1104" s="8">
        <f ca="1">IFERROR(__xludf.DUMMYFUNCTION("GOOGLEFINANCE(""NSE:""&amp;D1104,""price"")"),404)</f>
        <v>404</v>
      </c>
      <c r="M1104" s="9">
        <f t="shared" ca="1" si="22"/>
        <v>-588.79999999999995</v>
      </c>
      <c r="N1104" s="10">
        <f t="shared" ca="1" si="23"/>
        <v>-59.307010475423041</v>
      </c>
      <c r="O1104" s="7">
        <f ca="1">IFERROR(__xludf.DUMMYFUNCTION("GOOGLEFINANCE(""NSE:""&amp;D1104,""pe"")"),65.68)</f>
        <v>65.680000000000007</v>
      </c>
      <c r="P1104" s="7">
        <f ca="1">IFERROR(__xludf.DUMMYFUNCTION("GOOGLEFINANCE(""NSE:""&amp;D1104,""EPS"")"),6.15)</f>
        <v>6.15</v>
      </c>
      <c r="Q1104" s="7">
        <v>13.5</v>
      </c>
      <c r="R1104" s="7" t="str">
        <f ca="1">IFERROR(__xludf.DUMMYFUNCTION("IMPORTXML(E1104,""/html/body/main/div[3]/div[3]/div[2]/ul/li[7]/span[2]/span"")"),"Loading...")</f>
        <v>Loading...</v>
      </c>
      <c r="S1104" s="7" t="str">
        <f ca="1">IFERROR(__xludf.DUMMYFUNCTION("IMPORTXML(E1104,""/html/body/main/div[3]/div[3]/div[2]/ul/li[8]/span[2]/span"")"),"Loading...")</f>
        <v>Loading...</v>
      </c>
      <c r="T1104" s="4">
        <v>34.6</v>
      </c>
      <c r="U1104" s="4">
        <v>22.7</v>
      </c>
      <c r="V1104" s="4">
        <v>2.6</v>
      </c>
      <c r="W1104" s="4">
        <v>5.7</v>
      </c>
      <c r="X1104" s="4">
        <v>519.92999999999995</v>
      </c>
      <c r="Y1104" s="7">
        <f t="shared" ca="1" si="24"/>
        <v>-115.92999999999995</v>
      </c>
    </row>
    <row r="1105" spans="1:25" ht="15" x14ac:dyDescent="0.25">
      <c r="A1105" s="4">
        <v>1080</v>
      </c>
      <c r="C1105" s="12" t="s">
        <v>2752</v>
      </c>
      <c r="D1105" s="12" t="s">
        <v>2753</v>
      </c>
      <c r="E1105" s="5" t="str">
        <f t="shared" si="20"/>
        <v>https://www.screener.in/company/SPMLINFRA/consolidated/</v>
      </c>
      <c r="F1105" s="4">
        <v>443059</v>
      </c>
      <c r="G1105" s="4">
        <v>3832241897</v>
      </c>
      <c r="H1105" s="6">
        <f t="shared" ca="1" si="21"/>
        <v>111901.46339239999</v>
      </c>
      <c r="I1105" s="7" t="str">
        <f ca="1">IFERROR(__xludf.DUMMYFUNCTION("IMPORTXML(E1105,""/html/body/main/div[3]/div[3]/div[2]/ul/li[5]/span[2]/span"")"),"Loading...")</f>
        <v>Loading...</v>
      </c>
      <c r="J1105" s="7">
        <f ca="1">IFERROR(__xludf.DUMMYFUNCTION("GOOGLEFINANCE(""NSE:""&amp;D1105,""marketcap"")"),20933325240)</f>
        <v>20933325240</v>
      </c>
      <c r="K1105" s="7">
        <v>992.8</v>
      </c>
      <c r="L1105" s="8">
        <f ca="1">IFERROR(__xludf.DUMMYFUNCTION("GOOGLEFINANCE(""NSE:""&amp;D1105,""price"")"),292)</f>
        <v>292</v>
      </c>
      <c r="M1105" s="9">
        <f t="shared" ca="1" si="22"/>
        <v>-700.8</v>
      </c>
      <c r="N1105" s="10">
        <f t="shared" ca="1" si="23"/>
        <v>-70.588235294117638</v>
      </c>
      <c r="O1105" s="7">
        <f ca="1">IFERROR(__xludf.DUMMYFUNCTION("GOOGLEFINANCE(""NSE:""&amp;D1105,""pe"")"),52.52)</f>
        <v>52.52</v>
      </c>
      <c r="P1105" s="7">
        <f ca="1">IFERROR(__xludf.DUMMYFUNCTION("GOOGLEFINANCE(""NSE:""&amp;D1105,""EPS"")"),5.56)</f>
        <v>5.56</v>
      </c>
      <c r="Q1105" s="7">
        <v>13.5</v>
      </c>
      <c r="R1105" s="7" t="str">
        <f ca="1">IFERROR(__xludf.DUMMYFUNCTION("IMPORTXML(E1105,""/html/body/main/div[3]/div[3]/div[2]/ul/li[7]/span[2]/span"")"),"Loading...")</f>
        <v>Loading...</v>
      </c>
      <c r="S1105" s="7" t="str">
        <f ca="1">IFERROR(__xludf.DUMMYFUNCTION("IMPORTXML(E1105,""/html/body/main/div[3]/div[3]/div[2]/ul/li[8]/span[2]/span"")"),"Loading...")</f>
        <v>Loading...</v>
      </c>
      <c r="T1105" s="4">
        <v>34.6</v>
      </c>
      <c r="U1105" s="4">
        <v>22.7</v>
      </c>
      <c r="V1105" s="4">
        <v>2.6</v>
      </c>
      <c r="W1105" s="4">
        <v>5.7</v>
      </c>
      <c r="X1105" s="4">
        <v>519.92999999999995</v>
      </c>
      <c r="Y1105" s="7">
        <f t="shared" ca="1" si="24"/>
        <v>-227.92999999999995</v>
      </c>
    </row>
    <row r="1106" spans="1:25" ht="15" x14ac:dyDescent="0.25">
      <c r="A1106" s="4">
        <v>1056</v>
      </c>
      <c r="C1106" s="12" t="s">
        <v>2754</v>
      </c>
      <c r="D1106" s="12" t="s">
        <v>2755</v>
      </c>
      <c r="E1106" s="5" t="str">
        <f t="shared" si="20"/>
        <v>https://www.screener.in/company/SPCENET/consolidated/</v>
      </c>
      <c r="F1106" s="4">
        <v>443059</v>
      </c>
      <c r="G1106" s="4">
        <v>3832241897</v>
      </c>
      <c r="H1106" s="6">
        <f t="shared" ca="1" si="21"/>
        <v>2809.0333105010004</v>
      </c>
      <c r="I1106" s="7" t="str">
        <f ca="1">IFERROR(__xludf.DUMMYFUNCTION("IMPORTXML(E1106,""/html/body/main/div[3]/div[3]/div[2]/ul/li[5]/span[2]/span"")"),"Loading...")</f>
        <v>Loading...</v>
      </c>
      <c r="J1106" s="7">
        <f ca="1">IFERROR(__xludf.DUMMYFUNCTION("GOOGLEFINANCE(""NSE:""&amp;D1106,""marketcap"")"),4149541000)</f>
        <v>4149541000</v>
      </c>
      <c r="K1106" s="7">
        <v>992.8</v>
      </c>
      <c r="L1106" s="8">
        <f ca="1">IFERROR(__xludf.DUMMYFUNCTION("GOOGLEFINANCE(""NSE:""&amp;D1106,""price"")"),7.33)</f>
        <v>7.33</v>
      </c>
      <c r="M1106" s="9">
        <f t="shared" ca="1" si="22"/>
        <v>-985.46999999999991</v>
      </c>
      <c r="N1106" s="10">
        <f t="shared" ca="1" si="23"/>
        <v>-99.261684125705074</v>
      </c>
      <c r="O1106" s="7" t="str">
        <f ca="1">IFERROR(__xludf.DUMMYFUNCTION("GOOGLEFINANCE(""NSE:""&amp;D1106,""pe"")"),"#N/A")</f>
        <v>#N/A</v>
      </c>
      <c r="P1106" s="7" t="str">
        <f ca="1">IFERROR(__xludf.DUMMYFUNCTION("GOOGLEFINANCE(""NSE:""&amp;D1106,""EPS"")"),"#N/A")</f>
        <v>#N/A</v>
      </c>
      <c r="Q1106" s="7">
        <v>13.5</v>
      </c>
      <c r="R1106" s="7" t="str">
        <f ca="1">IFERROR(__xludf.DUMMYFUNCTION("IMPORTXML(E1106,""/html/body/main/div[3]/div[3]/div[2]/ul/li[7]/span[2]/span"")"),"Loading...")</f>
        <v>Loading...</v>
      </c>
      <c r="S1106" s="7" t="str">
        <f ca="1">IFERROR(__xludf.DUMMYFUNCTION("IMPORTXML(E1106,""/html/body/main/div[3]/div[3]/div[2]/ul/li[8]/span[2]/span"")"),"Loading...")</f>
        <v>Loading...</v>
      </c>
      <c r="T1106" s="4">
        <v>34.6</v>
      </c>
      <c r="U1106" s="4">
        <v>22.7</v>
      </c>
      <c r="V1106" s="4">
        <v>2.6</v>
      </c>
      <c r="W1106" s="4">
        <v>5.7</v>
      </c>
      <c r="X1106" s="4">
        <v>519.92999999999995</v>
      </c>
      <c r="Y1106" s="7">
        <f t="shared" ca="1" si="24"/>
        <v>-512.59999999999991</v>
      </c>
    </row>
    <row r="1107" spans="1:25" ht="15" x14ac:dyDescent="0.25">
      <c r="A1107" s="4">
        <v>333</v>
      </c>
      <c r="C1107" s="12" t="s">
        <v>2756</v>
      </c>
      <c r="D1107" s="12" t="s">
        <v>2757</v>
      </c>
      <c r="E1107" s="5" t="str">
        <f t="shared" si="20"/>
        <v>https://www.screener.in/company/RUSTOMJEE/consolidated/</v>
      </c>
      <c r="F1107" s="4">
        <v>443059</v>
      </c>
      <c r="G1107" s="4">
        <v>3832241897</v>
      </c>
      <c r="H1107" s="6">
        <f t="shared" ca="1" si="21"/>
        <v>236353.51899747501</v>
      </c>
      <c r="I1107" s="7" t="str">
        <f ca="1">IFERROR(__xludf.DUMMYFUNCTION("IMPORTXML(E1107,""/html/body/main/div[3]/div[3]/div[2]/ul/li[5]/span[2]/span"")"),"Loading...")</f>
        <v>Loading...</v>
      </c>
      <c r="J1107" s="7">
        <f ca="1">IFERROR(__xludf.DUMMYFUNCTION("GOOGLEFINANCE(""NSE:""&amp;D1107,""marketcap"")"),77759840000)</f>
        <v>77759840000</v>
      </c>
      <c r="K1107" s="7">
        <v>992.8</v>
      </c>
      <c r="L1107" s="8">
        <f ca="1">IFERROR(__xludf.DUMMYFUNCTION("GOOGLEFINANCE(""NSE:""&amp;D1107,""price"")"),616.75)</f>
        <v>616.75</v>
      </c>
      <c r="M1107" s="9">
        <f t="shared" ca="1" si="22"/>
        <v>-376.04999999999995</v>
      </c>
      <c r="N1107" s="10">
        <f t="shared" ca="1" si="23"/>
        <v>-37.877719580983076</v>
      </c>
      <c r="O1107" s="7">
        <f ca="1">IFERROR(__xludf.DUMMYFUNCTION("GOOGLEFINANCE(""NSE:""&amp;D1107,""pe"")"),48.48)</f>
        <v>48.48</v>
      </c>
      <c r="P1107" s="7">
        <f ca="1">IFERROR(__xludf.DUMMYFUNCTION("GOOGLEFINANCE(""NSE:""&amp;D1107,""EPS"")"),12.72)</f>
        <v>12.72</v>
      </c>
      <c r="Q1107" s="7">
        <v>13.5</v>
      </c>
      <c r="R1107" s="7" t="str">
        <f ca="1">IFERROR(__xludf.DUMMYFUNCTION("IMPORTXML(E1107,""/html/body/main/div[3]/div[3]/div[2]/ul/li[7]/span[2]/span"")"),"Loading...")</f>
        <v>Loading...</v>
      </c>
      <c r="S1107" s="7" t="str">
        <f ca="1">IFERROR(__xludf.DUMMYFUNCTION("IMPORTXML(E1107,""/html/body/main/div[3]/div[3]/div[2]/ul/li[8]/span[2]/span"")"),"Loading...")</f>
        <v>Loading...</v>
      </c>
      <c r="T1107" s="4">
        <v>34.6</v>
      </c>
      <c r="U1107" s="4">
        <v>22.7</v>
      </c>
      <c r="V1107" s="4">
        <v>2.6</v>
      </c>
      <c r="W1107" s="4">
        <v>5.7</v>
      </c>
      <c r="X1107" s="4">
        <v>519.92999999999995</v>
      </c>
      <c r="Y1107" s="7">
        <f t="shared" ca="1" si="24"/>
        <v>96.82000000000005</v>
      </c>
    </row>
    <row r="1108" spans="1:25" ht="15" x14ac:dyDescent="0.25">
      <c r="A1108" s="4">
        <v>293</v>
      </c>
      <c r="C1108" s="12" t="s">
        <v>2758</v>
      </c>
      <c r="D1108" s="12" t="s">
        <v>2759</v>
      </c>
      <c r="E1108" s="5" t="str">
        <f t="shared" si="20"/>
        <v>https://www.screener.in/company/LATENTVIEW/consolidated/</v>
      </c>
      <c r="F1108" s="4">
        <v>443059</v>
      </c>
      <c r="G1108" s="4">
        <v>3832241897</v>
      </c>
      <c r="H1108" s="6">
        <f t="shared" ca="1" si="21"/>
        <v>164230.726495935</v>
      </c>
      <c r="I1108" s="7" t="str">
        <f ca="1">IFERROR(__xludf.DUMMYFUNCTION("IMPORTXML(E1108,""/html/body/main/div[3]/div[3]/div[2]/ul/li[5]/span[2]/span"")"),"Loading...")</f>
        <v>Loading...</v>
      </c>
      <c r="J1108" s="7">
        <f ca="1">IFERROR(__xludf.DUMMYFUNCTION("GOOGLEFINANCE(""NSE:""&amp;D1108,""marketcap"")"),88538898883)</f>
        <v>88538898883</v>
      </c>
      <c r="K1108" s="7">
        <v>992.8</v>
      </c>
      <c r="L1108" s="8">
        <f ca="1">IFERROR(__xludf.DUMMYFUNCTION("GOOGLEFINANCE(""NSE:""&amp;D1108,""price"")"),428.55)</f>
        <v>428.55</v>
      </c>
      <c r="M1108" s="9">
        <f t="shared" ca="1" si="22"/>
        <v>-564.25</v>
      </c>
      <c r="N1108" s="10">
        <f t="shared" ca="1" si="23"/>
        <v>-56.834206285253828</v>
      </c>
      <c r="O1108" s="7">
        <f ca="1">IFERROR(__xludf.DUMMYFUNCTION("GOOGLEFINANCE(""NSE:""&amp;D1108,""pe"")"),47.77)</f>
        <v>47.77</v>
      </c>
      <c r="P1108" s="7">
        <f ca="1">IFERROR(__xludf.DUMMYFUNCTION("GOOGLEFINANCE(""NSE:""&amp;D1108,""EPS"")"),8.97)</f>
        <v>8.9700000000000006</v>
      </c>
      <c r="Q1108" s="7">
        <v>13.5</v>
      </c>
      <c r="R1108" s="7" t="str">
        <f ca="1">IFERROR(__xludf.DUMMYFUNCTION("IMPORTXML(E1108,""/html/body/main/div[3]/div[3]/div[2]/ul/li[7]/span[2]/span"")"),"Loading...")</f>
        <v>Loading...</v>
      </c>
      <c r="S1108" s="7" t="str">
        <f ca="1">IFERROR(__xludf.DUMMYFUNCTION("IMPORTXML(E1108,""/html/body/main/div[3]/div[3]/div[2]/ul/li[8]/span[2]/span"")"),"Loading...")</f>
        <v>Loading...</v>
      </c>
      <c r="T1108" s="4">
        <v>34.6</v>
      </c>
      <c r="U1108" s="4">
        <v>22.7</v>
      </c>
      <c r="V1108" s="4">
        <v>2.6</v>
      </c>
      <c r="W1108" s="4">
        <v>5.7</v>
      </c>
      <c r="X1108" s="4">
        <v>519.92999999999995</v>
      </c>
      <c r="Y1108" s="7">
        <f t="shared" ca="1" si="24"/>
        <v>-91.379999999999939</v>
      </c>
    </row>
    <row r="1109" spans="1:25" ht="15" x14ac:dyDescent="0.25">
      <c r="A1109" s="4">
        <v>1601</v>
      </c>
      <c r="C1109" s="12" t="s">
        <v>2760</v>
      </c>
      <c r="D1109" s="12" t="s">
        <v>2761</v>
      </c>
      <c r="E1109" s="5" t="str">
        <f t="shared" si="20"/>
        <v>https://www.screener.in/company/APOLSINHOT/consolidated/</v>
      </c>
      <c r="F1109" s="4">
        <v>443059</v>
      </c>
      <c r="G1109" s="4">
        <v>3832241897</v>
      </c>
      <c r="H1109" s="6">
        <f t="shared" ca="1" si="21"/>
        <v>552226.05735769996</v>
      </c>
      <c r="I1109" s="7" t="str">
        <f ca="1">IFERROR(__xludf.DUMMYFUNCTION("IMPORTXML(E1109,""/html/body/main/div[3]/div[3]/div[2]/ul/li[5]/span[2]/span"")"),"Loading...")</f>
        <v>Loading...</v>
      </c>
      <c r="J1109" s="7">
        <f ca="1">IFERROR(__xludf.DUMMYFUNCTION("GOOGLEFINANCE(""NSE:""&amp;D1109,""marketcap"")"),3751337000)</f>
        <v>3751337000</v>
      </c>
      <c r="K1109" s="7">
        <v>992.8</v>
      </c>
      <c r="L1109" s="8">
        <f ca="1">IFERROR(__xludf.DUMMYFUNCTION("GOOGLEFINANCE(""NSE:""&amp;D1109,""price"")"),1441)</f>
        <v>1441</v>
      </c>
      <c r="M1109" s="9">
        <f t="shared" ca="1" si="22"/>
        <v>448.20000000000005</v>
      </c>
      <c r="N1109" s="10">
        <f t="shared" ca="1" si="23"/>
        <v>45.145044319097508</v>
      </c>
      <c r="O1109" s="7">
        <f ca="1">IFERROR(__xludf.DUMMYFUNCTION("GOOGLEFINANCE(""NSE:""&amp;D1109,""pe"")"),36.8)</f>
        <v>36.799999999999997</v>
      </c>
      <c r="P1109" s="7">
        <f ca="1">IFERROR(__xludf.DUMMYFUNCTION("GOOGLEFINANCE(""NSE:""&amp;D1109,""EPS"")"),39.16)</f>
        <v>39.159999999999997</v>
      </c>
      <c r="Q1109" s="7">
        <v>13.5</v>
      </c>
      <c r="R1109" s="7" t="str">
        <f ca="1">IFERROR(__xludf.DUMMYFUNCTION("IMPORTXML(E1109,""/html/body/main/div[3]/div[3]/div[2]/ul/li[7]/span[2]/span"")"),"Loading...")</f>
        <v>Loading...</v>
      </c>
      <c r="S1109" s="7" t="str">
        <f ca="1">IFERROR(__xludf.DUMMYFUNCTION("IMPORTXML(E1109,""/html/body/main/div[3]/div[3]/div[2]/ul/li[8]/span[2]/span"")"),"Loading...")</f>
        <v>Loading...</v>
      </c>
      <c r="T1109" s="4">
        <v>34.6</v>
      </c>
      <c r="U1109" s="4">
        <v>22.7</v>
      </c>
      <c r="V1109" s="4">
        <v>2.6</v>
      </c>
      <c r="W1109" s="4">
        <v>5.7</v>
      </c>
      <c r="X1109" s="4">
        <v>519.92999999999995</v>
      </c>
      <c r="Y1109" s="7">
        <f t="shared" ca="1" si="24"/>
        <v>921.07</v>
      </c>
    </row>
    <row r="1110" spans="1:25" ht="15" x14ac:dyDescent="0.25">
      <c r="A1110" s="4">
        <v>238</v>
      </c>
      <c r="C1110" s="12" t="s">
        <v>2762</v>
      </c>
      <c r="D1110" s="12" t="s">
        <v>2763</v>
      </c>
      <c r="E1110" s="5" t="str">
        <f t="shared" si="20"/>
        <v>https://www.screener.in/company/TEGA/consolidated/</v>
      </c>
      <c r="F1110" s="4">
        <v>443059</v>
      </c>
      <c r="G1110" s="4">
        <v>3832241897</v>
      </c>
      <c r="H1110" s="6">
        <f t="shared" ca="1" si="21"/>
        <v>795151.87120853004</v>
      </c>
      <c r="I1110" s="7" t="str">
        <f ca="1">IFERROR(__xludf.DUMMYFUNCTION("IMPORTXML(E1110,""/html/body/main/div[3]/div[3]/div[2]/ul/li[5]/span[2]/span"")"),"Loading...")</f>
        <v>Loading...</v>
      </c>
      <c r="J1110" s="7">
        <f ca="1">IFERROR(__xludf.DUMMYFUNCTION("GOOGLEFINANCE(""NSE:""&amp;D1110,""marketcap"")"),138054502452)</f>
        <v>138054502452</v>
      </c>
      <c r="K1110" s="7">
        <v>992.8</v>
      </c>
      <c r="L1110" s="8">
        <f ca="1">IFERROR(__xludf.DUMMYFUNCTION("GOOGLEFINANCE(""NSE:""&amp;D1110,""price"")"),2074.9)</f>
        <v>2074.9</v>
      </c>
      <c r="M1110" s="9">
        <f t="shared" ca="1" si="22"/>
        <v>1082.1000000000001</v>
      </c>
      <c r="N1110" s="10">
        <f t="shared" ca="1" si="23"/>
        <v>108.99476228847705</v>
      </c>
      <c r="O1110" s="7">
        <f ca="1">IFERROR(__xludf.DUMMYFUNCTION("GOOGLEFINANCE(""NSE:""&amp;D1110,""pe"")"),69.49)</f>
        <v>69.489999999999995</v>
      </c>
      <c r="P1110" s="7">
        <f ca="1">IFERROR(__xludf.DUMMYFUNCTION("GOOGLEFINANCE(""NSE:""&amp;D1110,""EPS"")"),29.86)</f>
        <v>29.86</v>
      </c>
      <c r="Q1110" s="7">
        <v>13.5</v>
      </c>
      <c r="R1110" s="7" t="str">
        <f ca="1">IFERROR(__xludf.DUMMYFUNCTION("IMPORTXML(E1110,""/html/body/main/div[3]/div[3]/div[2]/ul/li[7]/span[2]/span"")"),"Loading...")</f>
        <v>Loading...</v>
      </c>
      <c r="S1110" s="7" t="str">
        <f ca="1">IFERROR(__xludf.DUMMYFUNCTION("IMPORTXML(E1110,""/html/body/main/div[3]/div[3]/div[2]/ul/li[8]/span[2]/span"")"),"Loading...")</f>
        <v>Loading...</v>
      </c>
      <c r="T1110" s="4">
        <v>34.6</v>
      </c>
      <c r="U1110" s="4">
        <v>22.7</v>
      </c>
      <c r="V1110" s="4">
        <v>2.6</v>
      </c>
      <c r="W1110" s="4">
        <v>5.7</v>
      </c>
      <c r="X1110" s="4">
        <v>519.92999999999995</v>
      </c>
      <c r="Y1110" s="7">
        <f t="shared" ca="1" si="24"/>
        <v>1554.9700000000003</v>
      </c>
    </row>
    <row r="1111" spans="1:25" ht="15" x14ac:dyDescent="0.25">
      <c r="A1111" s="4">
        <v>2275</v>
      </c>
      <c r="C1111" s="12" t="s">
        <v>2764</v>
      </c>
      <c r="D1111" s="12" t="s">
        <v>2765</v>
      </c>
      <c r="E1111" s="5" t="str">
        <f t="shared" si="20"/>
        <v>https://www.screener.in/company/TOTAL/consolidated/</v>
      </c>
      <c r="F1111" s="4">
        <v>443059</v>
      </c>
      <c r="G1111" s="4">
        <v>3832241897</v>
      </c>
      <c r="H1111" s="6">
        <f t="shared" ca="1" si="21"/>
        <v>27208.917468700001</v>
      </c>
      <c r="I1111" s="7" t="str">
        <f ca="1">IFERROR(__xludf.DUMMYFUNCTION("IMPORTXML(E1111,""/html/body/main/div[3]/div[3]/div[2]/ul/li[5]/span[2]/span"")"),"Loading...")</f>
        <v>Loading...</v>
      </c>
      <c r="J1111" s="7">
        <f ca="1">IFERROR(__xludf.DUMMYFUNCTION("GOOGLEFINANCE(""NSE:""&amp;D1111,""marketcap"")"),1145014160)</f>
        <v>1145014160</v>
      </c>
      <c r="K1111" s="7">
        <v>992.8</v>
      </c>
      <c r="L1111" s="8">
        <f ca="1">IFERROR(__xludf.DUMMYFUNCTION("GOOGLEFINANCE(""NSE:""&amp;D1111,""price"")"),71)</f>
        <v>71</v>
      </c>
      <c r="M1111" s="9">
        <f t="shared" ca="1" si="22"/>
        <v>-921.8</v>
      </c>
      <c r="N1111" s="10">
        <f t="shared" ca="1" si="23"/>
        <v>-92.848509266720384</v>
      </c>
      <c r="O1111" s="7">
        <f ca="1">IFERROR(__xludf.DUMMYFUNCTION("GOOGLEFINANCE(""NSE:""&amp;D1111,""pe"")"),9.85)</f>
        <v>9.85</v>
      </c>
      <c r="P1111" s="7">
        <f ca="1">IFERROR(__xludf.DUMMYFUNCTION("GOOGLEFINANCE(""NSE:""&amp;D1111,""EPS"")"),7.21)</f>
        <v>7.21</v>
      </c>
      <c r="Q1111" s="7">
        <v>13.5</v>
      </c>
      <c r="R1111" s="7" t="str">
        <f ca="1">IFERROR(__xludf.DUMMYFUNCTION("IMPORTXML(E1111,""/html/body/main/div[3]/div[3]/div[2]/ul/li[7]/span[2]/span"")"),"Loading...")</f>
        <v>Loading...</v>
      </c>
      <c r="S1111" s="7" t="str">
        <f ca="1">IFERROR(__xludf.DUMMYFUNCTION("IMPORTXML(E1111,""/html/body/main/div[3]/div[3]/div[2]/ul/li[8]/span[2]/span"")"),"Loading...")</f>
        <v>Loading...</v>
      </c>
      <c r="T1111" s="4">
        <v>34.6</v>
      </c>
      <c r="U1111" s="4">
        <v>22.7</v>
      </c>
      <c r="V1111" s="4">
        <v>2.6</v>
      </c>
      <c r="W1111" s="4">
        <v>5.7</v>
      </c>
      <c r="X1111" s="4">
        <v>519.92999999999995</v>
      </c>
      <c r="Y1111" s="7">
        <f t="shared" ca="1" si="24"/>
        <v>-448.92999999999995</v>
      </c>
    </row>
    <row r="1112" spans="1:25" ht="15" x14ac:dyDescent="0.25">
      <c r="A1112" s="4">
        <v>36</v>
      </c>
      <c r="C1112" s="12" t="s">
        <v>2766</v>
      </c>
      <c r="D1112" s="12" t="s">
        <v>2767</v>
      </c>
      <c r="E1112" s="5" t="str">
        <f t="shared" si="20"/>
        <v>https://www.screener.in/company/TIMKEN/consolidated/</v>
      </c>
      <c r="F1112" s="4">
        <v>443059</v>
      </c>
      <c r="G1112" s="4">
        <v>3832241897</v>
      </c>
      <c r="H1112" s="6">
        <f t="shared" ca="1" si="21"/>
        <v>1100619.8728183999</v>
      </c>
      <c r="I1112" s="7" t="str">
        <f ca="1">IFERROR(__xludf.DUMMYFUNCTION("IMPORTXML(E1112,""/html/body/main/div[3]/div[3]/div[2]/ul/li[5]/span[2]/span"")"),"Loading...")</f>
        <v>Loading...</v>
      </c>
      <c r="J1112" s="7">
        <f ca="1">IFERROR(__xludf.DUMMYFUNCTION("GOOGLEFINANCE(""NSE:""&amp;D1112,""marketcap"")"),216028221280)</f>
        <v>216028221280</v>
      </c>
      <c r="K1112" s="7">
        <v>992.8</v>
      </c>
      <c r="L1112" s="8">
        <f ca="1">IFERROR(__xludf.DUMMYFUNCTION("GOOGLEFINANCE(""NSE:""&amp;D1112,""price"")"),2872)</f>
        <v>2872</v>
      </c>
      <c r="M1112" s="9">
        <f t="shared" ca="1" si="22"/>
        <v>1879.2</v>
      </c>
      <c r="N1112" s="10">
        <f t="shared" ca="1" si="23"/>
        <v>189.28283642224017</v>
      </c>
      <c r="O1112" s="7">
        <f ca="1">IFERROR(__xludf.DUMMYFUNCTION("GOOGLEFINANCE(""NSE:""&amp;D1112,""pe"")"),47.44)</f>
        <v>47.44</v>
      </c>
      <c r="P1112" s="7">
        <f ca="1">IFERROR(__xludf.DUMMYFUNCTION("GOOGLEFINANCE(""NSE:""&amp;D1112,""EPS"")"),60.54)</f>
        <v>60.54</v>
      </c>
      <c r="Q1112" s="7">
        <v>13.5</v>
      </c>
      <c r="R1112" s="7" t="str">
        <f ca="1">IFERROR(__xludf.DUMMYFUNCTION("IMPORTXML(E1112,""/html/body/main/div[3]/div[3]/div[2]/ul/li[7]/span[2]/span"")"),"Loading...")</f>
        <v>Loading...</v>
      </c>
      <c r="S1112" s="7" t="str">
        <f ca="1">IFERROR(__xludf.DUMMYFUNCTION("IMPORTXML(E1112,""/html/body/main/div[3]/div[3]/div[2]/ul/li[8]/span[2]/span"")"),"Loading...")</f>
        <v>Loading...</v>
      </c>
      <c r="T1112" s="4">
        <v>34.6</v>
      </c>
      <c r="U1112" s="4">
        <v>22.7</v>
      </c>
      <c r="V1112" s="4">
        <v>2.6</v>
      </c>
      <c r="W1112" s="4">
        <v>5.7</v>
      </c>
      <c r="X1112" s="4">
        <v>519.92999999999995</v>
      </c>
      <c r="Y1112" s="7">
        <f t="shared" ca="1" si="24"/>
        <v>2352.0700000000002</v>
      </c>
    </row>
    <row r="1113" spans="1:25" ht="15" x14ac:dyDescent="0.25">
      <c r="A1113" s="4">
        <v>1515</v>
      </c>
      <c r="C1113" s="12" t="s">
        <v>2768</v>
      </c>
      <c r="D1113" s="12" t="s">
        <v>2769</v>
      </c>
      <c r="E1113" s="5" t="str">
        <f t="shared" si="20"/>
        <v>https://www.screener.in/company/AXITA/consolidated/</v>
      </c>
      <c r="F1113" s="4">
        <v>443059</v>
      </c>
      <c r="G1113" s="4">
        <v>3832241897</v>
      </c>
      <c r="H1113" s="6">
        <f t="shared" ca="1" si="21"/>
        <v>3353.2116598749999</v>
      </c>
      <c r="I1113" s="7" t="str">
        <f ca="1">IFERROR(__xludf.DUMMYFUNCTION("IMPORTXML(E1113,""/html/body/main/div[3]/div[3]/div[2]/ul/li[5]/span[2]/span"")"),"Loading...")</f>
        <v>Loading...</v>
      </c>
      <c r="J1113" s="7">
        <f ca="1">IFERROR(__xludf.DUMMYFUNCTION("GOOGLEFINANCE(""NSE:""&amp;D1113,""marketcap"")"),3049964107)</f>
        <v>3049964107</v>
      </c>
      <c r="K1113" s="7">
        <v>992.8</v>
      </c>
      <c r="L1113" s="8">
        <f ca="1">IFERROR(__xludf.DUMMYFUNCTION("GOOGLEFINANCE(""NSE:""&amp;D1113,""price"")"),8.75)</f>
        <v>8.75</v>
      </c>
      <c r="M1113" s="9">
        <f t="shared" ca="1" si="22"/>
        <v>-984.05</v>
      </c>
      <c r="N1113" s="10">
        <f t="shared" ca="1" si="23"/>
        <v>-99.118654311039492</v>
      </c>
      <c r="O1113" s="7" t="str">
        <f ca="1">IFERROR(__xludf.DUMMYFUNCTION("GOOGLEFINANCE(""NSE:""&amp;D1113,""pe"")"),"#N/A")</f>
        <v>#N/A</v>
      </c>
      <c r="P1113" s="7">
        <f ca="1">IFERROR(__xludf.DUMMYFUNCTION("GOOGLEFINANCE(""NSE:""&amp;D1113,""EPS"")"),-0.03)</f>
        <v>-0.03</v>
      </c>
      <c r="Q1113" s="7">
        <v>13.5</v>
      </c>
      <c r="R1113" s="7" t="str">
        <f ca="1">IFERROR(__xludf.DUMMYFUNCTION("IMPORTXML(E1113,""/html/body/main/div[3]/div[3]/div[2]/ul/li[7]/span[2]/span"")"),"Loading...")</f>
        <v>Loading...</v>
      </c>
      <c r="S1113" s="7" t="str">
        <f ca="1">IFERROR(__xludf.DUMMYFUNCTION("IMPORTXML(E1113,""/html/body/main/div[3]/div[3]/div[2]/ul/li[8]/span[2]/span"")"),"Loading...")</f>
        <v>Loading...</v>
      </c>
      <c r="T1113" s="4">
        <v>34.6</v>
      </c>
      <c r="U1113" s="4">
        <v>22.7</v>
      </c>
      <c r="V1113" s="4">
        <v>2.6</v>
      </c>
      <c r="W1113" s="4">
        <v>5.7</v>
      </c>
      <c r="X1113" s="4">
        <v>519.92999999999995</v>
      </c>
      <c r="Y1113" s="7">
        <f t="shared" ca="1" si="24"/>
        <v>-511.17999999999995</v>
      </c>
    </row>
    <row r="1114" spans="1:25" ht="15" x14ac:dyDescent="0.25">
      <c r="A1114" s="4">
        <v>1261</v>
      </c>
      <c r="C1114" s="12" t="s">
        <v>2770</v>
      </c>
      <c r="D1114" s="12" t="s">
        <v>2771</v>
      </c>
      <c r="E1114" s="5" t="str">
        <f t="shared" si="20"/>
        <v>https://www.screener.in/company/DBOL/consolidated/</v>
      </c>
      <c r="F1114" s="4">
        <v>443059</v>
      </c>
      <c r="G1114" s="4">
        <v>3832241897</v>
      </c>
      <c r="H1114" s="6">
        <f t="shared" ca="1" si="21"/>
        <v>32577.888366397005</v>
      </c>
      <c r="I1114" s="7" t="str">
        <f ca="1">IFERROR(__xludf.DUMMYFUNCTION("IMPORTXML(E1114,""/html/body/main/div[3]/div[3]/div[2]/ul/li[5]/span[2]/span"")"),"Loading...")</f>
        <v>Loading...</v>
      </c>
      <c r="J1114" s="7">
        <f ca="1">IFERROR(__xludf.DUMMYFUNCTION("GOOGLEFINANCE(""NSE:""&amp;D1114,""marketcap"")"),5661534000)</f>
        <v>5661534000</v>
      </c>
      <c r="K1114" s="7">
        <v>992.8</v>
      </c>
      <c r="L1114" s="8">
        <f ca="1">IFERROR(__xludf.DUMMYFUNCTION("GOOGLEFINANCE(""NSE:""&amp;D1114,""price"")"),85.01)</f>
        <v>85.01</v>
      </c>
      <c r="M1114" s="9">
        <f t="shared" ca="1" si="22"/>
        <v>-907.79</v>
      </c>
      <c r="N1114" s="10">
        <f t="shared" ca="1" si="23"/>
        <v>-91.437348912167607</v>
      </c>
      <c r="O1114" s="7" t="str">
        <f ca="1">IFERROR(__xludf.DUMMYFUNCTION("GOOGLEFINANCE(""NSE:""&amp;D1114,""pe"")"),"#N/A")</f>
        <v>#N/A</v>
      </c>
      <c r="P1114" s="7">
        <f ca="1">IFERROR(__xludf.DUMMYFUNCTION("GOOGLEFINANCE(""NSE:""&amp;D1114,""EPS"")"),-1.13)</f>
        <v>-1.1299999999999999</v>
      </c>
      <c r="Q1114" s="7">
        <v>13.5</v>
      </c>
      <c r="R1114" s="7" t="str">
        <f ca="1">IFERROR(__xludf.DUMMYFUNCTION("IMPORTXML(E1114,""/html/body/main/div[3]/div[3]/div[2]/ul/li[7]/span[2]/span"")"),"Loading...")</f>
        <v>Loading...</v>
      </c>
      <c r="S1114" s="7" t="str">
        <f ca="1">IFERROR(__xludf.DUMMYFUNCTION("IMPORTXML(E1114,""/html/body/main/div[3]/div[3]/div[2]/ul/li[8]/span[2]/span"")"),"Loading...")</f>
        <v>Loading...</v>
      </c>
      <c r="T1114" s="4">
        <v>34.6</v>
      </c>
      <c r="U1114" s="4">
        <v>22.7</v>
      </c>
      <c r="V1114" s="4">
        <v>2.6</v>
      </c>
      <c r="W1114" s="4">
        <v>5.7</v>
      </c>
      <c r="X1114" s="4">
        <v>519.92999999999995</v>
      </c>
      <c r="Y1114" s="7">
        <f t="shared" ca="1" si="24"/>
        <v>-434.91999999999996</v>
      </c>
    </row>
    <row r="1115" spans="1:25" ht="15" x14ac:dyDescent="0.25">
      <c r="A1115" s="4">
        <v>959</v>
      </c>
      <c r="C1115" s="12" t="s">
        <v>2772</v>
      </c>
      <c r="D1115" s="12" t="s">
        <v>2773</v>
      </c>
      <c r="E1115" s="5" t="str">
        <f t="shared" si="20"/>
        <v>https://www.screener.in/company/HIRECT/consolidated/</v>
      </c>
      <c r="F1115" s="4">
        <v>443059</v>
      </c>
      <c r="G1115" s="4">
        <v>3832241897</v>
      </c>
      <c r="H1115" s="6">
        <f t="shared" ca="1" si="21"/>
        <v>643088.51273556997</v>
      </c>
      <c r="I1115" s="7" t="str">
        <f ca="1">IFERROR(__xludf.DUMMYFUNCTION("IMPORTXML(E1115,""/html/body/main/div[3]/div[3]/div[2]/ul/li[5]/span[2]/span"")"),"Loading...")</f>
        <v>Loading...</v>
      </c>
      <c r="J1115" s="7">
        <f ca="1">IFERROR(__xludf.DUMMYFUNCTION("GOOGLEFINANCE(""NSE:""&amp;D1115,""marketcap"")"),28836094828)</f>
        <v>28836094828</v>
      </c>
      <c r="K1115" s="7">
        <v>992.8</v>
      </c>
      <c r="L1115" s="8">
        <f ca="1">IFERROR(__xludf.DUMMYFUNCTION("GOOGLEFINANCE(""NSE:""&amp;D1115,""price"")"),1678.1)</f>
        <v>1678.1</v>
      </c>
      <c r="M1115" s="9">
        <f t="shared" ca="1" si="22"/>
        <v>685.3</v>
      </c>
      <c r="N1115" s="10">
        <f t="shared" ca="1" si="23"/>
        <v>69.026994359387601</v>
      </c>
      <c r="O1115" s="7">
        <f ca="1">IFERROR(__xludf.DUMMYFUNCTION("GOOGLEFINANCE(""NSE:""&amp;D1115,""pe"")"),67.14)</f>
        <v>67.14</v>
      </c>
      <c r="P1115" s="7">
        <f ca="1">IFERROR(__xludf.DUMMYFUNCTION("GOOGLEFINANCE(""NSE:""&amp;D1115,""EPS"")"),24.99)</f>
        <v>24.99</v>
      </c>
      <c r="Q1115" s="7">
        <v>13.5</v>
      </c>
      <c r="R1115" s="7" t="str">
        <f ca="1">IFERROR(__xludf.DUMMYFUNCTION("IMPORTXML(E1115,""/html/body/main/div[3]/div[3]/div[2]/ul/li[7]/span[2]/span"")"),"Loading...")</f>
        <v>Loading...</v>
      </c>
      <c r="S1115" s="7" t="str">
        <f ca="1">IFERROR(__xludf.DUMMYFUNCTION("IMPORTXML(E1115,""/html/body/main/div[3]/div[3]/div[2]/ul/li[8]/span[2]/span"")"),"Loading...")</f>
        <v>Loading...</v>
      </c>
      <c r="T1115" s="4">
        <v>34.6</v>
      </c>
      <c r="U1115" s="4">
        <v>22.7</v>
      </c>
      <c r="V1115" s="4">
        <v>2.6</v>
      </c>
      <c r="W1115" s="4">
        <v>5.7</v>
      </c>
      <c r="X1115" s="4">
        <v>519.92999999999995</v>
      </c>
      <c r="Y1115" s="7">
        <f t="shared" ca="1" si="24"/>
        <v>1158.17</v>
      </c>
    </row>
    <row r="1116" spans="1:25" ht="15" x14ac:dyDescent="0.25">
      <c r="A1116" s="4">
        <v>105</v>
      </c>
      <c r="C1116" s="12" t="s">
        <v>2774</v>
      </c>
      <c r="D1116" s="12" t="s">
        <v>2775</v>
      </c>
      <c r="E1116" s="5" t="str">
        <f t="shared" si="20"/>
        <v>https://www.screener.in/company/VGUARD/consolidated/</v>
      </c>
      <c r="F1116" s="4">
        <v>443059</v>
      </c>
      <c r="G1116" s="4">
        <v>3832241897</v>
      </c>
      <c r="H1116" s="6">
        <f t="shared" ca="1" si="21"/>
        <v>142176.1743787</v>
      </c>
      <c r="I1116" s="7" t="str">
        <f ca="1">IFERROR(__xludf.DUMMYFUNCTION("IMPORTXML(E1116,""/html/body/main/div[3]/div[3]/div[2]/ul/li[5]/span[2]/span"")"),"Loading...")</f>
        <v>Loading...</v>
      </c>
      <c r="J1116" s="7">
        <f ca="1">IFERROR(__xludf.DUMMYFUNCTION("GOOGLEFINANCE(""NSE:""&amp;D1116,""marketcap"")"),161624800000)</f>
        <v>161624800000</v>
      </c>
      <c r="K1116" s="7">
        <v>992.8</v>
      </c>
      <c r="L1116" s="8">
        <f ca="1">IFERROR(__xludf.DUMMYFUNCTION("GOOGLEFINANCE(""NSE:""&amp;D1116,""price"")"),371)</f>
        <v>371</v>
      </c>
      <c r="M1116" s="9">
        <f t="shared" ca="1" si="22"/>
        <v>-621.79999999999995</v>
      </c>
      <c r="N1116" s="10">
        <f t="shared" ca="1" si="23"/>
        <v>-62.63094278807413</v>
      </c>
      <c r="O1116" s="7">
        <f ca="1">IFERROR(__xludf.DUMMYFUNCTION("GOOGLEFINANCE(""NSE:""&amp;D1116,""pe"")"),56.58)</f>
        <v>56.58</v>
      </c>
      <c r="P1116" s="7">
        <f ca="1">IFERROR(__xludf.DUMMYFUNCTION("GOOGLEFINANCE(""NSE:""&amp;D1116,""EPS"")"),6.56)</f>
        <v>6.56</v>
      </c>
      <c r="Q1116" s="7">
        <v>13.5</v>
      </c>
      <c r="R1116" s="7" t="str">
        <f ca="1">IFERROR(__xludf.DUMMYFUNCTION("IMPORTXML(E1116,""/html/body/main/div[3]/div[3]/div[2]/ul/li[7]/span[2]/span"")"),"Loading...")</f>
        <v>Loading...</v>
      </c>
      <c r="S1116" s="7" t="str">
        <f ca="1">IFERROR(__xludf.DUMMYFUNCTION("IMPORTXML(E1116,""/html/body/main/div[3]/div[3]/div[2]/ul/li[8]/span[2]/span"")"),"Loading...")</f>
        <v>Loading...</v>
      </c>
      <c r="T1116" s="4">
        <v>34.6</v>
      </c>
      <c r="U1116" s="4">
        <v>22.7</v>
      </c>
      <c r="V1116" s="4">
        <v>2.6</v>
      </c>
      <c r="W1116" s="4">
        <v>5.7</v>
      </c>
      <c r="X1116" s="4">
        <v>519.92999999999995</v>
      </c>
      <c r="Y1116" s="7">
        <f t="shared" ca="1" si="24"/>
        <v>-148.92999999999995</v>
      </c>
    </row>
    <row r="1117" spans="1:25" ht="15" x14ac:dyDescent="0.25">
      <c r="A1117" s="4">
        <v>180</v>
      </c>
      <c r="C1117" s="12" t="s">
        <v>2776</v>
      </c>
      <c r="D1117" s="12" t="s">
        <v>2777</v>
      </c>
      <c r="E1117" s="5" t="str">
        <f t="shared" si="20"/>
        <v>https://www.screener.in/company/KSB/consolidated/</v>
      </c>
      <c r="F1117" s="4">
        <v>443059</v>
      </c>
      <c r="G1117" s="4">
        <v>3832241897</v>
      </c>
      <c r="H1117" s="6">
        <f t="shared" ca="1" si="21"/>
        <v>314627.05974370003</v>
      </c>
      <c r="I1117" s="7" t="str">
        <f ca="1">IFERROR(__xludf.DUMMYFUNCTION("IMPORTXML(E1117,""/html/body/main/div[3]/div[3]/div[2]/ul/li[5]/span[2]/span"")"),"Loading...")</f>
        <v>Loading...</v>
      </c>
      <c r="J1117" s="7">
        <f ca="1">IFERROR(__xludf.DUMMYFUNCTION("GOOGLEFINANCE(""NSE:""&amp;D1117,""marketcap"")"),142886183200)</f>
        <v>142886183200</v>
      </c>
      <c r="K1117" s="7">
        <v>992.8</v>
      </c>
      <c r="L1117" s="8">
        <f ca="1">IFERROR(__xludf.DUMMYFUNCTION("GOOGLEFINANCE(""NSE:""&amp;D1117,""price"")"),821)</f>
        <v>821</v>
      </c>
      <c r="M1117" s="9">
        <f t="shared" ca="1" si="22"/>
        <v>-171.79999999999995</v>
      </c>
      <c r="N1117" s="10">
        <f t="shared" ca="1" si="23"/>
        <v>-17.304593070104751</v>
      </c>
      <c r="O1117" s="7">
        <f ca="1">IFERROR(__xludf.DUMMYFUNCTION("GOOGLEFINANCE(""NSE:""&amp;D1117,""pe"")"),55.62)</f>
        <v>55.62</v>
      </c>
      <c r="P1117" s="7">
        <f ca="1">IFERROR(__xludf.DUMMYFUNCTION("GOOGLEFINANCE(""NSE:""&amp;D1117,""EPS"")"),14.76)</f>
        <v>14.76</v>
      </c>
      <c r="Q1117" s="7">
        <v>13.5</v>
      </c>
      <c r="R1117" s="7" t="str">
        <f ca="1">IFERROR(__xludf.DUMMYFUNCTION("IMPORTXML(E1117,""/html/body/main/div[3]/div[3]/div[2]/ul/li[7]/span[2]/span"")"),"Loading...")</f>
        <v>Loading...</v>
      </c>
      <c r="S1117" s="7" t="str">
        <f ca="1">IFERROR(__xludf.DUMMYFUNCTION("IMPORTXML(E1117,""/html/body/main/div[3]/div[3]/div[2]/ul/li[8]/span[2]/span"")"),"Loading...")</f>
        <v>Loading...</v>
      </c>
      <c r="T1117" s="4">
        <v>34.6</v>
      </c>
      <c r="U1117" s="4">
        <v>22.7</v>
      </c>
      <c r="V1117" s="4">
        <v>2.6</v>
      </c>
      <c r="W1117" s="4">
        <v>5.7</v>
      </c>
      <c r="X1117" s="4">
        <v>519.92999999999995</v>
      </c>
      <c r="Y1117" s="7">
        <f t="shared" ca="1" si="24"/>
        <v>301.07000000000005</v>
      </c>
    </row>
    <row r="1118" spans="1:25" ht="15" x14ac:dyDescent="0.25">
      <c r="A1118" s="4">
        <v>1535</v>
      </c>
      <c r="C1118" s="12" t="s">
        <v>2778</v>
      </c>
      <c r="D1118" s="12" t="s">
        <v>2779</v>
      </c>
      <c r="E1118" s="5" t="str">
        <f t="shared" si="20"/>
        <v>https://www.screener.in/company/GOKUL/consolidated/</v>
      </c>
      <c r="F1118" s="4">
        <v>443059</v>
      </c>
      <c r="G1118" s="4">
        <v>3832241897</v>
      </c>
      <c r="H1118" s="6">
        <f t="shared" ca="1" si="21"/>
        <v>15386.451216455</v>
      </c>
      <c r="I1118" s="7" t="str">
        <f ca="1">IFERROR(__xludf.DUMMYFUNCTION("IMPORTXML(E1118,""/html/body/main/div[3]/div[3]/div[2]/ul/li[5]/span[2]/span"")"),"Loading...")</f>
        <v>Loading...</v>
      </c>
      <c r="J1118" s="7">
        <f ca="1">IFERROR(__xludf.DUMMYFUNCTION("GOOGLEFINANCE(""NSE:""&amp;D1118,""marketcap"")"),3920202000)</f>
        <v>3920202000</v>
      </c>
      <c r="K1118" s="7">
        <v>992.8</v>
      </c>
      <c r="L1118" s="8">
        <f ca="1">IFERROR(__xludf.DUMMYFUNCTION("GOOGLEFINANCE(""NSE:""&amp;D1118,""price"")"),40.15)</f>
        <v>40.15</v>
      </c>
      <c r="M1118" s="9">
        <f t="shared" ca="1" si="22"/>
        <v>-952.65</v>
      </c>
      <c r="N1118" s="10">
        <f t="shared" ca="1" si="23"/>
        <v>-95.955882352941174</v>
      </c>
      <c r="O1118" s="7">
        <f ca="1">IFERROR(__xludf.DUMMYFUNCTION("GOOGLEFINANCE(""NSE:""&amp;D1118,""pe"")"),24.66)</f>
        <v>24.66</v>
      </c>
      <c r="P1118" s="7">
        <f ca="1">IFERROR(__xludf.DUMMYFUNCTION("GOOGLEFINANCE(""NSE:""&amp;D1118,""EPS"")"),1.63)</f>
        <v>1.63</v>
      </c>
      <c r="Q1118" s="7">
        <v>13.5</v>
      </c>
      <c r="R1118" s="7" t="str">
        <f ca="1">IFERROR(__xludf.DUMMYFUNCTION("IMPORTXML(E1118,""/html/body/main/div[3]/div[3]/div[2]/ul/li[7]/span[2]/span"")"),"Loading...")</f>
        <v>Loading...</v>
      </c>
      <c r="S1118" s="7" t="str">
        <f ca="1">IFERROR(__xludf.DUMMYFUNCTION("IMPORTXML(E1118,""/html/body/main/div[3]/div[3]/div[2]/ul/li[8]/span[2]/span"")"),"Loading...")</f>
        <v>Loading...</v>
      </c>
      <c r="T1118" s="4">
        <v>34.6</v>
      </c>
      <c r="U1118" s="4">
        <v>22.7</v>
      </c>
      <c r="V1118" s="4">
        <v>2.6</v>
      </c>
      <c r="W1118" s="4">
        <v>5.7</v>
      </c>
      <c r="X1118" s="4">
        <v>519.92999999999995</v>
      </c>
      <c r="Y1118" s="7">
        <f t="shared" ca="1" si="24"/>
        <v>-479.78</v>
      </c>
    </row>
    <row r="1119" spans="1:25" ht="15" x14ac:dyDescent="0.25">
      <c r="A1119" s="4">
        <v>48</v>
      </c>
      <c r="C1119" s="12" t="s">
        <v>2780</v>
      </c>
      <c r="D1119" s="12" t="s">
        <v>2781</v>
      </c>
      <c r="E1119" s="5" t="str">
        <f t="shared" si="20"/>
        <v>https://www.screener.in/company/GRINDWELL/consolidated/</v>
      </c>
      <c r="F1119" s="4">
        <v>443059</v>
      </c>
      <c r="G1119" s="4">
        <v>3832241897</v>
      </c>
      <c r="H1119" s="6">
        <f t="shared" ca="1" si="21"/>
        <v>602428.42620840005</v>
      </c>
      <c r="I1119" s="7" t="str">
        <f ca="1">IFERROR(__xludf.DUMMYFUNCTION("IMPORTXML(E1119,""/html/body/main/div[3]/div[3]/div[2]/ul/li[5]/span[2]/span"")"),"Loading...")</f>
        <v>Loading...</v>
      </c>
      <c r="J1119" s="7">
        <f ca="1">IFERROR(__xludf.DUMMYFUNCTION("GOOGLEFINANCE(""NSE:""&amp;D1119,""marketcap"")"),174051840000)</f>
        <v>174051840000</v>
      </c>
      <c r="K1119" s="7">
        <v>992.8</v>
      </c>
      <c r="L1119" s="8">
        <f ca="1">IFERROR(__xludf.DUMMYFUNCTION("GOOGLEFINANCE(""NSE:""&amp;D1119,""price"")"),1572)</f>
        <v>1572</v>
      </c>
      <c r="M1119" s="9">
        <f t="shared" ca="1" si="22"/>
        <v>579.20000000000005</v>
      </c>
      <c r="N1119" s="10">
        <f t="shared" ca="1" si="23"/>
        <v>58.340048348106379</v>
      </c>
      <c r="O1119" s="7">
        <f ca="1">IFERROR(__xludf.DUMMYFUNCTION("GOOGLEFINANCE(""NSE:""&amp;D1119,""pe"")"),47.03)</f>
        <v>47.03</v>
      </c>
      <c r="P1119" s="7">
        <f ca="1">IFERROR(__xludf.DUMMYFUNCTION("GOOGLEFINANCE(""NSE:""&amp;D1119,""EPS"")"),33.42)</f>
        <v>33.42</v>
      </c>
      <c r="Q1119" s="7">
        <v>13.5</v>
      </c>
      <c r="R1119" s="7" t="str">
        <f ca="1">IFERROR(__xludf.DUMMYFUNCTION("IMPORTXML(E1119,""/html/body/main/div[3]/div[3]/div[2]/ul/li[7]/span[2]/span"")"),"Loading...")</f>
        <v>Loading...</v>
      </c>
      <c r="S1119" s="7">
        <f ca="1">IFERROR(__xludf.DUMMYFUNCTION("IMPORTXML(E1119,""/html/body/main/div[3]/div[3]/div[2]/ul/li[8]/span[2]/span"")"),16)</f>
        <v>16</v>
      </c>
      <c r="T1119" s="4">
        <v>34.6</v>
      </c>
      <c r="U1119" s="4">
        <v>22.7</v>
      </c>
      <c r="V1119" s="4">
        <v>2.6</v>
      </c>
      <c r="W1119" s="4">
        <v>5.7</v>
      </c>
      <c r="X1119" s="4">
        <v>519.92999999999995</v>
      </c>
      <c r="Y1119" s="7">
        <f t="shared" ca="1" si="24"/>
        <v>1052.0700000000002</v>
      </c>
    </row>
    <row r="1120" spans="1:25" ht="15" x14ac:dyDescent="0.25">
      <c r="A1120" s="4">
        <v>31</v>
      </c>
      <c r="C1120" s="12" t="s">
        <v>2782</v>
      </c>
      <c r="D1120" s="12" t="s">
        <v>2783</v>
      </c>
      <c r="E1120" s="5" t="str">
        <f t="shared" si="20"/>
        <v>https://www.screener.in/company/ZFCVINDIA/consolidated/</v>
      </c>
      <c r="F1120" s="4">
        <v>443059</v>
      </c>
      <c r="G1120" s="4">
        <v>3832241897</v>
      </c>
      <c r="H1120" s="6">
        <f t="shared" ca="1" si="21"/>
        <v>5175442.6818984998</v>
      </c>
      <c r="I1120" s="7" t="str">
        <f ca="1">IFERROR(__xludf.DUMMYFUNCTION("IMPORTXML(E1120,""/html/body/main/div[3]/div[3]/div[2]/ul/li[5]/span[2]/span"")"),"Loading...")</f>
        <v>Loading...</v>
      </c>
      <c r="J1120" s="7">
        <f ca="1">IFERROR(__xludf.DUMMYFUNCTION("GOOGLEFINANCE(""NSE:""&amp;D1120,""marketcap"")"),256157167900)</f>
        <v>256157167900</v>
      </c>
      <c r="K1120" s="7">
        <v>992.8</v>
      </c>
      <c r="L1120" s="8">
        <f ca="1">IFERROR(__xludf.DUMMYFUNCTION("GOOGLEFINANCE(""NSE:""&amp;D1120,""price"")"),13505)</f>
        <v>13505</v>
      </c>
      <c r="M1120" s="9">
        <f t="shared" ca="1" si="22"/>
        <v>12512.2</v>
      </c>
      <c r="N1120" s="10">
        <f t="shared" ca="1" si="23"/>
        <v>1260.2941176470588</v>
      </c>
      <c r="O1120" s="7">
        <f ca="1">IFERROR(__xludf.DUMMYFUNCTION("GOOGLEFINANCE(""NSE:""&amp;D1120,""pe"")"),52.96)</f>
        <v>52.96</v>
      </c>
      <c r="P1120" s="7">
        <f ca="1">IFERROR(__xludf.DUMMYFUNCTION("GOOGLEFINANCE(""NSE:""&amp;D1120,""EPS"")"),255)</f>
        <v>255</v>
      </c>
      <c r="Q1120" s="7">
        <v>13.5</v>
      </c>
      <c r="R1120" s="7" t="str">
        <f ca="1">IFERROR(__xludf.DUMMYFUNCTION("IMPORTXML(E1120,""/html/body/main/div[3]/div[3]/div[2]/ul/li[7]/span[2]/span"")"),"Loading...")</f>
        <v>Loading...</v>
      </c>
      <c r="S1120" s="7" t="str">
        <f ca="1">IFERROR(__xludf.DUMMYFUNCTION("IMPORTXML(E1120,""/html/body/main/div[3]/div[3]/div[2]/ul/li[8]/span[2]/span"")"),"Loading...")</f>
        <v>Loading...</v>
      </c>
      <c r="T1120" s="4">
        <v>34.6</v>
      </c>
      <c r="U1120" s="4">
        <v>22.7</v>
      </c>
      <c r="V1120" s="4">
        <v>2.6</v>
      </c>
      <c r="W1120" s="4">
        <v>5.7</v>
      </c>
      <c r="X1120" s="4">
        <v>519.92999999999995</v>
      </c>
      <c r="Y1120" s="7">
        <f t="shared" ca="1" si="24"/>
        <v>12985.07</v>
      </c>
    </row>
    <row r="1121" spans="1:25" ht="15" x14ac:dyDescent="0.25">
      <c r="A1121" s="4">
        <v>1590</v>
      </c>
      <c r="C1121" s="12" t="s">
        <v>2784</v>
      </c>
      <c r="D1121" s="12" t="s">
        <v>2785</v>
      </c>
      <c r="E1121" s="5" t="str">
        <f t="shared" si="20"/>
        <v>https://www.screener.in/company/SEJALLTD/consolidated/</v>
      </c>
      <c r="F1121" s="4">
        <v>443059</v>
      </c>
      <c r="G1121" s="4">
        <v>3832241897</v>
      </c>
      <c r="H1121" s="6">
        <f t="shared" ca="1" si="21"/>
        <v>200426.25121310001</v>
      </c>
      <c r="I1121" s="7" t="str">
        <f ca="1">IFERROR(__xludf.DUMMYFUNCTION("IMPORTXML(E1121,""/html/body/main/div[3]/div[3]/div[2]/ul/li[5]/span[2]/span"")"),"Loading...")</f>
        <v>Loading...</v>
      </c>
      <c r="J1121" s="7">
        <f ca="1">IFERROR(__xludf.DUMMYFUNCTION("GOOGLEFINANCE(""NSE:""&amp;D1121,""marketcap"")"),5476944903)</f>
        <v>5476944903</v>
      </c>
      <c r="K1121" s="7">
        <v>992.8</v>
      </c>
      <c r="L1121" s="8">
        <f ca="1">IFERROR(__xludf.DUMMYFUNCTION("GOOGLEFINANCE(""NSE:""&amp;D1121,""price"")"),523)</f>
        <v>523</v>
      </c>
      <c r="M1121" s="9">
        <f t="shared" ca="1" si="22"/>
        <v>-469.79999999999995</v>
      </c>
      <c r="N1121" s="10">
        <f t="shared" ca="1" si="23"/>
        <v>-47.320709105560027</v>
      </c>
      <c r="O1121" s="7">
        <f ca="1">IFERROR(__xludf.DUMMYFUNCTION("GOOGLEFINANCE(""NSE:""&amp;D1121,""pe"")"),37.84)</f>
        <v>37.840000000000003</v>
      </c>
      <c r="P1121" s="7">
        <f ca="1">IFERROR(__xludf.DUMMYFUNCTION("GOOGLEFINANCE(""NSE:""&amp;D1121,""EPS"")"),13.82)</f>
        <v>13.82</v>
      </c>
      <c r="Q1121" s="7">
        <v>13.5</v>
      </c>
      <c r="R1121" s="7" t="str">
        <f ca="1">IFERROR(__xludf.DUMMYFUNCTION("IMPORTXML(E1121,""/html/body/main/div[3]/div[3]/div[2]/ul/li[7]/span[2]/span"")"),"Loading...")</f>
        <v>Loading...</v>
      </c>
      <c r="S1121" s="7" t="str">
        <f ca="1">IFERROR(__xludf.DUMMYFUNCTION("IMPORTXML(E1121,""/html/body/main/div[3]/div[3]/div[2]/ul/li[8]/span[2]/span"")"),"Loading...")</f>
        <v>Loading...</v>
      </c>
      <c r="T1121" s="4">
        <v>34.6</v>
      </c>
      <c r="U1121" s="4">
        <v>22.7</v>
      </c>
      <c r="V1121" s="4">
        <v>2.6</v>
      </c>
      <c r="W1121" s="4">
        <v>5.7</v>
      </c>
      <c r="X1121" s="4">
        <v>519.92999999999995</v>
      </c>
      <c r="Y1121" s="7">
        <f t="shared" ca="1" si="24"/>
        <v>3.07000000000005</v>
      </c>
    </row>
    <row r="1122" spans="1:25" ht="15" x14ac:dyDescent="0.25">
      <c r="A1122" s="4">
        <v>618</v>
      </c>
      <c r="C1122" s="12" t="s">
        <v>2786</v>
      </c>
      <c r="D1122" s="12" t="s">
        <v>2787</v>
      </c>
      <c r="E1122" s="5" t="str">
        <f t="shared" si="20"/>
        <v>https://www.screener.in/company/ARTEMISMED/consolidated/</v>
      </c>
      <c r="F1122" s="4">
        <v>443059</v>
      </c>
      <c r="G1122" s="4">
        <v>3832241897</v>
      </c>
      <c r="H1122" s="6">
        <f t="shared" ca="1" si="21"/>
        <v>87681.694603360011</v>
      </c>
      <c r="I1122" s="7" t="str">
        <f ca="1">IFERROR(__xludf.DUMMYFUNCTION("IMPORTXML(E1122,""/html/body/main/div[3]/div[3]/div[2]/ul/li[5]/span[2]/span"")"),"Loading...")</f>
        <v>Loading...</v>
      </c>
      <c r="J1122" s="7">
        <f ca="1">IFERROR(__xludf.DUMMYFUNCTION("GOOGLEFINANCE(""NSE:""&amp;D1122,""marketcap"")"),31787687783)</f>
        <v>31787687783</v>
      </c>
      <c r="K1122" s="7">
        <v>992.8</v>
      </c>
      <c r="L1122" s="8">
        <f ca="1">IFERROR(__xludf.DUMMYFUNCTION("GOOGLEFINANCE(""NSE:""&amp;D1122,""price"")"),228.8)</f>
        <v>228.8</v>
      </c>
      <c r="M1122" s="9">
        <f t="shared" ca="1" si="22"/>
        <v>-764</v>
      </c>
      <c r="N1122" s="10">
        <f t="shared" ca="1" si="23"/>
        <v>-76.954069298952462</v>
      </c>
      <c r="O1122" s="7">
        <f ca="1">IFERROR(__xludf.DUMMYFUNCTION("GOOGLEFINANCE(""NSE:""&amp;D1122,""pe"")"),41.42)</f>
        <v>41.42</v>
      </c>
      <c r="P1122" s="7">
        <f ca="1">IFERROR(__xludf.DUMMYFUNCTION("GOOGLEFINANCE(""NSE:""&amp;D1122,""EPS"")"),5.52)</f>
        <v>5.52</v>
      </c>
      <c r="Q1122" s="7">
        <v>13.5</v>
      </c>
      <c r="R1122" s="7" t="str">
        <f ca="1">IFERROR(__xludf.DUMMYFUNCTION("IMPORTXML(E1122,""/html/body/main/div[3]/div[3]/div[2]/ul/li[7]/span[2]/span"")"),"Loading...")</f>
        <v>Loading...</v>
      </c>
      <c r="S1122" s="7" t="str">
        <f ca="1">IFERROR(__xludf.DUMMYFUNCTION("IMPORTXML(E1122,""/html/body/main/div[3]/div[3]/div[2]/ul/li[8]/span[2]/span"")"),"Loading...")</f>
        <v>Loading...</v>
      </c>
      <c r="T1122" s="4">
        <v>34.6</v>
      </c>
      <c r="U1122" s="4">
        <v>22.7</v>
      </c>
      <c r="V1122" s="4">
        <v>2.6</v>
      </c>
      <c r="W1122" s="4">
        <v>5.7</v>
      </c>
      <c r="X1122" s="4">
        <v>519.92999999999995</v>
      </c>
      <c r="Y1122" s="7">
        <f t="shared" ca="1" si="24"/>
        <v>-291.12999999999994</v>
      </c>
    </row>
    <row r="1123" spans="1:25" ht="15" x14ac:dyDescent="0.25">
      <c r="A1123" s="4">
        <v>266</v>
      </c>
      <c r="C1123" s="12" t="s">
        <v>2788</v>
      </c>
      <c r="D1123" s="12" t="s">
        <v>2789</v>
      </c>
      <c r="E1123" s="5" t="str">
        <f t="shared" si="20"/>
        <v>https://www.screener.in/company/ALKYLAMINE/consolidated/</v>
      </c>
      <c r="F1123" s="4">
        <v>443059</v>
      </c>
      <c r="G1123" s="4">
        <v>3832241897</v>
      </c>
      <c r="H1123" s="6">
        <f t="shared" ca="1" si="21"/>
        <v>790208.27916140005</v>
      </c>
      <c r="I1123" s="7" t="str">
        <f ca="1">IFERROR(__xludf.DUMMYFUNCTION("IMPORTXML(E1123,""/html/body/main/div[3]/div[3]/div[2]/ul/li[5]/span[2]/span"")"),"Loading...")</f>
        <v>Loading...</v>
      </c>
      <c r="J1123" s="7">
        <f ca="1">IFERROR(__xludf.DUMMYFUNCTION("GOOGLEFINANCE(""NSE:""&amp;D1123,""marketcap"")"),105451566660)</f>
        <v>105451566660</v>
      </c>
      <c r="K1123" s="7">
        <v>992.8</v>
      </c>
      <c r="L1123" s="8">
        <f ca="1">IFERROR(__xludf.DUMMYFUNCTION("GOOGLEFINANCE(""NSE:""&amp;D1123,""price"")"),2062)</f>
        <v>2062</v>
      </c>
      <c r="M1123" s="9">
        <f t="shared" ca="1" si="22"/>
        <v>1069.2</v>
      </c>
      <c r="N1123" s="10">
        <f t="shared" ca="1" si="23"/>
        <v>107.69540692989526</v>
      </c>
      <c r="O1123" s="7">
        <f ca="1">IFERROR(__xludf.DUMMYFUNCTION("GOOGLEFINANCE(""NSE:""&amp;D1123,""pe"")"),56.54)</f>
        <v>56.54</v>
      </c>
      <c r="P1123" s="7">
        <f ca="1">IFERROR(__xludf.DUMMYFUNCTION("GOOGLEFINANCE(""NSE:""&amp;D1123,""EPS"")"),36.47)</f>
        <v>36.47</v>
      </c>
      <c r="Q1123" s="7">
        <v>13.5</v>
      </c>
      <c r="R1123" s="7" t="str">
        <f ca="1">IFERROR(__xludf.DUMMYFUNCTION("IMPORTXML(E1123,""/html/body/main/div[3]/div[3]/div[2]/ul/li[7]/span[2]/span"")"),"Loading...")</f>
        <v>Loading...</v>
      </c>
      <c r="S1123" s="7" t="str">
        <f ca="1">IFERROR(__xludf.DUMMYFUNCTION("IMPORTXML(E1123,""/html/body/main/div[3]/div[3]/div[2]/ul/li[8]/span[2]/span"")"),"Loading...")</f>
        <v>Loading...</v>
      </c>
      <c r="T1123" s="4">
        <v>34.6</v>
      </c>
      <c r="U1123" s="4">
        <v>22.7</v>
      </c>
      <c r="V1123" s="4">
        <v>2.6</v>
      </c>
      <c r="W1123" s="4">
        <v>5.7</v>
      </c>
      <c r="X1123" s="4">
        <v>519.92999999999995</v>
      </c>
      <c r="Y1123" s="7">
        <f t="shared" ca="1" si="24"/>
        <v>1542.0700000000002</v>
      </c>
    </row>
    <row r="1124" spans="1:25" ht="15" x14ac:dyDescent="0.25">
      <c r="A1124" s="4">
        <v>700</v>
      </c>
      <c r="C1124" s="12" t="s">
        <v>2790</v>
      </c>
      <c r="D1124" s="12" t="s">
        <v>2791</v>
      </c>
      <c r="E1124" s="5" t="str">
        <f t="shared" si="20"/>
        <v>https://www.screener.in/company/WENDT/consolidated/</v>
      </c>
      <c r="F1124" s="4">
        <v>443059</v>
      </c>
      <c r="G1124" s="4">
        <v>3832241897</v>
      </c>
      <c r="H1124" s="6">
        <f t="shared" ca="1" si="21"/>
        <v>3788554.3393742</v>
      </c>
      <c r="I1124" s="7" t="str">
        <f ca="1">IFERROR(__xludf.DUMMYFUNCTION("IMPORTXML(E1124,""/html/body/main/div[3]/div[3]/div[2]/ul/li[5]/span[2]/span"")"),"Loading...")</f>
        <v>Loading...</v>
      </c>
      <c r="J1124" s="7">
        <f ca="1">IFERROR(__xludf.DUMMYFUNCTION("GOOGLEFINANCE(""NSE:""&amp;D1124,""marketcap"")"),19800143463)</f>
        <v>19800143463</v>
      </c>
      <c r="K1124" s="7">
        <v>992.8</v>
      </c>
      <c r="L1124" s="8">
        <f ca="1">IFERROR(__xludf.DUMMYFUNCTION("GOOGLEFINANCE(""NSE:""&amp;D1124,""price"")"),9886)</f>
        <v>9886</v>
      </c>
      <c r="M1124" s="9">
        <f t="shared" ca="1" si="22"/>
        <v>8893.2000000000007</v>
      </c>
      <c r="N1124" s="10">
        <f t="shared" ca="1" si="23"/>
        <v>895.76954069298972</v>
      </c>
      <c r="O1124" s="7">
        <f ca="1">IFERROR(__xludf.DUMMYFUNCTION("GOOGLEFINANCE(""NSE:""&amp;D1124,""pe"")"),55.57)</f>
        <v>55.57</v>
      </c>
      <c r="P1124" s="7">
        <f ca="1">IFERROR(__xludf.DUMMYFUNCTION("GOOGLEFINANCE(""NSE:""&amp;D1124,""EPS"")"),177.89)</f>
        <v>177.89</v>
      </c>
      <c r="Q1124" s="7">
        <v>13.5</v>
      </c>
      <c r="R1124" s="7" t="str">
        <f ca="1">IFERROR(__xludf.DUMMYFUNCTION("IMPORTXML(E1124,""/html/body/main/div[3]/div[3]/div[2]/ul/li[7]/span[2]/span"")"),"Loading...")</f>
        <v>Loading...</v>
      </c>
      <c r="S1124" s="7" t="str">
        <f ca="1">IFERROR(__xludf.DUMMYFUNCTION("IMPORTXML(E1124,""/html/body/main/div[3]/div[3]/div[2]/ul/li[8]/span[2]/span"")"),"Loading...")</f>
        <v>Loading...</v>
      </c>
      <c r="T1124" s="4">
        <v>34.6</v>
      </c>
      <c r="U1124" s="4">
        <v>22.7</v>
      </c>
      <c r="V1124" s="4">
        <v>2.6</v>
      </c>
      <c r="W1124" s="4">
        <v>5.7</v>
      </c>
      <c r="X1124" s="4">
        <v>519.92999999999995</v>
      </c>
      <c r="Y1124" s="7">
        <f t="shared" ca="1" si="24"/>
        <v>9366.07</v>
      </c>
    </row>
    <row r="1125" spans="1:25" ht="15" x14ac:dyDescent="0.25">
      <c r="A1125" s="4">
        <v>1046</v>
      </c>
      <c r="C1125" s="12" t="s">
        <v>2792</v>
      </c>
      <c r="D1125" s="12" t="s">
        <v>2793</v>
      </c>
      <c r="E1125" s="5" t="str">
        <f t="shared" si="20"/>
        <v>https://www.screener.in/company/RISHABH/consolidated/</v>
      </c>
      <c r="F1125" s="4">
        <v>443059</v>
      </c>
      <c r="G1125" s="4">
        <v>3832241897</v>
      </c>
      <c r="H1125" s="6">
        <f t="shared" ca="1" si="21"/>
        <v>182625.48760153502</v>
      </c>
      <c r="I1125" s="7" t="str">
        <f ca="1">IFERROR(__xludf.DUMMYFUNCTION("IMPORTXML(E1125,""/html/body/main/div[3]/div[3]/div[2]/ul/li[5]/span[2]/span"")"),"Loading...")</f>
        <v>Loading...</v>
      </c>
      <c r="J1125" s="7">
        <f ca="1">IFERROR(__xludf.DUMMYFUNCTION("GOOGLEFINANCE(""NSE:""&amp;D1125,""marketcap"")"),18288650000)</f>
        <v>18288650000</v>
      </c>
      <c r="K1125" s="7">
        <v>992.8</v>
      </c>
      <c r="L1125" s="8">
        <f ca="1">IFERROR(__xludf.DUMMYFUNCTION("GOOGLEFINANCE(""NSE:""&amp;D1125,""price"")"),476.55)</f>
        <v>476.55</v>
      </c>
      <c r="M1125" s="9">
        <f t="shared" ca="1" si="22"/>
        <v>-516.25</v>
      </c>
      <c r="N1125" s="10">
        <f t="shared" ca="1" si="23"/>
        <v>-51.999395648670429</v>
      </c>
      <c r="O1125" s="7">
        <f ca="1">IFERROR(__xludf.DUMMYFUNCTION("GOOGLEFINANCE(""NSE:""&amp;D1125,""pe"")"),48.04)</f>
        <v>48.04</v>
      </c>
      <c r="P1125" s="7">
        <f ca="1">IFERROR(__xludf.DUMMYFUNCTION("GOOGLEFINANCE(""NSE:""&amp;D1125,""EPS"")"),9.92)</f>
        <v>9.92</v>
      </c>
      <c r="Q1125" s="7">
        <v>13.5</v>
      </c>
      <c r="R1125" s="7" t="str">
        <f ca="1">IFERROR(__xludf.DUMMYFUNCTION("IMPORTXML(E1125,""/html/body/main/div[3]/div[3]/div[2]/ul/li[7]/span[2]/span"")"),"Loading...")</f>
        <v>Loading...</v>
      </c>
      <c r="S1125" s="7">
        <f ca="1">IFERROR(__xludf.DUMMYFUNCTION("IMPORTXML(E1125,""/html/body/main/div[3]/div[3]/div[2]/ul/li[8]/span[2]/span"")"),3.87)</f>
        <v>3.87</v>
      </c>
      <c r="T1125" s="4">
        <v>34.6</v>
      </c>
      <c r="U1125" s="4">
        <v>22.7</v>
      </c>
      <c r="V1125" s="4">
        <v>2.6</v>
      </c>
      <c r="W1125" s="4">
        <v>5.7</v>
      </c>
      <c r="X1125" s="4">
        <v>519.92999999999995</v>
      </c>
      <c r="Y1125" s="7">
        <f t="shared" ca="1" si="24"/>
        <v>-43.379999999999939</v>
      </c>
    </row>
    <row r="1126" spans="1:25" ht="15" x14ac:dyDescent="0.25">
      <c r="A1126" s="4">
        <v>1978</v>
      </c>
      <c r="C1126" s="12" t="s">
        <v>2794</v>
      </c>
      <c r="D1126" s="12" t="s">
        <v>2795</v>
      </c>
      <c r="E1126" s="5" t="str">
        <f t="shared" si="20"/>
        <v>https://www.screener.in/company/SHAH/consolidated/</v>
      </c>
      <c r="F1126" s="4">
        <v>443059</v>
      </c>
      <c r="G1126" s="4">
        <v>3832241897</v>
      </c>
      <c r="H1126" s="6">
        <f t="shared" ca="1" si="21"/>
        <v>1429.4262275809999</v>
      </c>
      <c r="I1126" s="7" t="str">
        <f ca="1">IFERROR(__xludf.DUMMYFUNCTION("IMPORTXML(E1126,""/html/body/main/div[3]/div[3]/div[2]/ul/li[5]/span[2]/span"")"),"Loading...")</f>
        <v>Loading...</v>
      </c>
      <c r="J1126" s="7">
        <f ca="1">IFERROR(__xludf.DUMMYFUNCTION("GOOGLEFINANCE(""NSE:""&amp;D1126,""marketcap"")"),2454377000)</f>
        <v>2454377000</v>
      </c>
      <c r="K1126" s="7">
        <v>992.8</v>
      </c>
      <c r="L1126" s="8">
        <f ca="1">IFERROR(__xludf.DUMMYFUNCTION("GOOGLEFINANCE(""NSE:""&amp;D1126,""price"")"),3.73)</f>
        <v>3.73</v>
      </c>
      <c r="M1126" s="9">
        <f t="shared" ca="1" si="22"/>
        <v>-989.06999999999994</v>
      </c>
      <c r="N1126" s="10">
        <f t="shared" ca="1" si="23"/>
        <v>-99.624294923448829</v>
      </c>
      <c r="O1126" s="7">
        <f ca="1">IFERROR(__xludf.DUMMYFUNCTION("GOOGLEFINANCE(""NSE:""&amp;D1126,""pe"")"),49.17)</f>
        <v>49.17</v>
      </c>
      <c r="P1126" s="7">
        <f ca="1">IFERROR(__xludf.DUMMYFUNCTION("GOOGLEFINANCE(""NSE:""&amp;D1126,""EPS"")"),0.06)</f>
        <v>0.06</v>
      </c>
      <c r="Q1126" s="7">
        <v>13.5</v>
      </c>
      <c r="R1126" s="7" t="str">
        <f ca="1">IFERROR(__xludf.DUMMYFUNCTION("IMPORTXML(E1126,""/html/body/main/div[3]/div[3]/div[2]/ul/li[7]/span[2]/span"")"),"Loading...")</f>
        <v>Loading...</v>
      </c>
      <c r="S1126" s="7" t="str">
        <f ca="1">IFERROR(__xludf.DUMMYFUNCTION("IMPORTXML(E1126,""/html/body/main/div[3]/div[3]/div[2]/ul/li[8]/span[2]/span"")"),"Loading...")</f>
        <v>Loading...</v>
      </c>
      <c r="T1126" s="4">
        <v>34.6</v>
      </c>
      <c r="U1126" s="4">
        <v>22.7</v>
      </c>
      <c r="V1126" s="4">
        <v>2.6</v>
      </c>
      <c r="W1126" s="4">
        <v>5.7</v>
      </c>
      <c r="X1126" s="4">
        <v>519.92999999999995</v>
      </c>
      <c r="Y1126" s="7">
        <f t="shared" ca="1" si="24"/>
        <v>-516.19999999999993</v>
      </c>
    </row>
    <row r="1127" spans="1:25" ht="15" x14ac:dyDescent="0.25">
      <c r="A1127" s="4">
        <v>1543</v>
      </c>
      <c r="C1127" s="12" t="s">
        <v>2796</v>
      </c>
      <c r="D1127" s="12" t="s">
        <v>2797</v>
      </c>
      <c r="E1127" s="5" t="str">
        <f t="shared" si="20"/>
        <v>https://www.screener.in/company/RADIOCITY/consolidated/</v>
      </c>
      <c r="F1127" s="4">
        <v>443059</v>
      </c>
      <c r="G1127" s="4">
        <v>3832241897</v>
      </c>
      <c r="H1127" s="6">
        <f t="shared" ca="1" si="21"/>
        <v>3253.5733705530001</v>
      </c>
      <c r="I1127" s="7" t="str">
        <f ca="1">IFERROR(__xludf.DUMMYFUNCTION("IMPORTXML(E1127,""/html/body/main/div[3]/div[3]/div[2]/ul/li[5]/span[2]/span"")"),"Loading...")</f>
        <v>Loading...</v>
      </c>
      <c r="J1127" s="7">
        <f ca="1">IFERROR(__xludf.DUMMYFUNCTION("GOOGLEFINANCE(""NSE:""&amp;D1127,""marketcap"")"),3966375000)</f>
        <v>3966375000</v>
      </c>
      <c r="K1127" s="7">
        <v>992.8</v>
      </c>
      <c r="L1127" s="8">
        <f ca="1">IFERROR(__xludf.DUMMYFUNCTION("GOOGLEFINANCE(""NSE:""&amp;D1127,""price"")"),8.49)</f>
        <v>8.49</v>
      </c>
      <c r="M1127" s="9">
        <f t="shared" ca="1" si="22"/>
        <v>-984.31</v>
      </c>
      <c r="N1127" s="10">
        <f t="shared" ca="1" si="23"/>
        <v>-99.144842868654308</v>
      </c>
      <c r="O1127" s="7" t="str">
        <f ca="1">IFERROR(__xludf.DUMMYFUNCTION("GOOGLEFINANCE(""NSE:""&amp;D1127,""pe"")"),"#N/A")</f>
        <v>#N/A</v>
      </c>
      <c r="P1127" s="7">
        <f ca="1">IFERROR(__xludf.DUMMYFUNCTION("GOOGLEFINANCE(""NSE:""&amp;D1127,""EPS"")"),-1.15)</f>
        <v>-1.1499999999999999</v>
      </c>
      <c r="Q1127" s="7">
        <v>13.5</v>
      </c>
      <c r="R1127" s="7" t="str">
        <f ca="1">IFERROR(__xludf.DUMMYFUNCTION("IMPORTXML(E1127,""/html/body/main/div[3]/div[3]/div[2]/ul/li[7]/span[2]/span"")"),"Loading...")</f>
        <v>Loading...</v>
      </c>
      <c r="S1127" s="7" t="str">
        <f ca="1">IFERROR(__xludf.DUMMYFUNCTION("IMPORTXML(E1127,""/html/body/main/div[3]/div[3]/div[2]/ul/li[8]/span[2]/span"")"),"Loading...")</f>
        <v>Loading...</v>
      </c>
      <c r="T1127" s="4">
        <v>34.6</v>
      </c>
      <c r="U1127" s="4">
        <v>22.7</v>
      </c>
      <c r="V1127" s="4">
        <v>2.6</v>
      </c>
      <c r="W1127" s="4">
        <v>5.7</v>
      </c>
      <c r="X1127" s="4">
        <v>519.92999999999995</v>
      </c>
      <c r="Y1127" s="7">
        <f t="shared" ca="1" si="24"/>
        <v>-511.43999999999994</v>
      </c>
    </row>
    <row r="1128" spans="1:25" ht="15" x14ac:dyDescent="0.25">
      <c r="A1128" s="4">
        <v>968</v>
      </c>
      <c r="C1128" s="12" t="s">
        <v>2798</v>
      </c>
      <c r="D1128" s="12" t="s">
        <v>2799</v>
      </c>
      <c r="E1128" s="5" t="str">
        <f t="shared" si="20"/>
        <v>https://www.screener.in/company/PENINLAND/consolidated/</v>
      </c>
      <c r="F1128" s="4">
        <v>443059</v>
      </c>
      <c r="G1128" s="4">
        <v>3832241897</v>
      </c>
      <c r="H1128" s="6">
        <f t="shared" ca="1" si="21"/>
        <v>13106.26728774</v>
      </c>
      <c r="I1128" s="7" t="str">
        <f ca="1">IFERROR(__xludf.DUMMYFUNCTION("IMPORTXML(E1128,""/html/body/main/div[3]/div[3]/div[2]/ul/li[5]/span[2]/span"")"),"Loading...")</f>
        <v>Loading...</v>
      </c>
      <c r="J1128" s="7">
        <f ca="1">IFERROR(__xludf.DUMMYFUNCTION("GOOGLEFINANCE(""NSE:""&amp;D1128,""marketcap"")"),11279404890)</f>
        <v>11279404890</v>
      </c>
      <c r="K1128" s="7">
        <v>992.8</v>
      </c>
      <c r="L1128" s="8">
        <f ca="1">IFERROR(__xludf.DUMMYFUNCTION("GOOGLEFINANCE(""NSE:""&amp;D1128,""price"")"),34.2)</f>
        <v>34.200000000000003</v>
      </c>
      <c r="M1128" s="9">
        <f t="shared" ca="1" si="22"/>
        <v>-958.59999999999991</v>
      </c>
      <c r="N1128" s="10">
        <f t="shared" ca="1" si="23"/>
        <v>-96.555197421434329</v>
      </c>
      <c r="O1128" s="7" t="str">
        <f ca="1">IFERROR(__xludf.DUMMYFUNCTION("GOOGLEFINANCE(""NSE:""&amp;D1128,""pe"")"),"#N/A")</f>
        <v>#N/A</v>
      </c>
      <c r="P1128" s="7">
        <f ca="1">IFERROR(__xludf.DUMMYFUNCTION("GOOGLEFINANCE(""NSE:""&amp;D1128,""EPS"")"),-1.16)</f>
        <v>-1.1599999999999999</v>
      </c>
      <c r="Q1128" s="7">
        <v>13.5</v>
      </c>
      <c r="R1128" s="7" t="str">
        <f ca="1">IFERROR(__xludf.DUMMYFUNCTION("IMPORTXML(E1128,""/html/body/main/div[3]/div[3]/div[2]/ul/li[7]/span[2]/span"")"),"Loading...")</f>
        <v>Loading...</v>
      </c>
      <c r="S1128" s="7" t="str">
        <f ca="1">IFERROR(__xludf.DUMMYFUNCTION("IMPORTXML(E1128,""/html/body/main/div[3]/div[3]/div[2]/ul/li[8]/span[2]/span"")"),"Loading...")</f>
        <v>Loading...</v>
      </c>
      <c r="T1128" s="4">
        <v>34.6</v>
      </c>
      <c r="U1128" s="4">
        <v>22.7</v>
      </c>
      <c r="V1128" s="4">
        <v>2.6</v>
      </c>
      <c r="W1128" s="4">
        <v>5.7</v>
      </c>
      <c r="X1128" s="4">
        <v>519.92999999999995</v>
      </c>
      <c r="Y1128" s="7">
        <f t="shared" ca="1" si="24"/>
        <v>-485.72999999999996</v>
      </c>
    </row>
    <row r="1129" spans="1:25" ht="15" x14ac:dyDescent="0.25">
      <c r="A1129" s="4">
        <v>130</v>
      </c>
      <c r="C1129" s="12" t="s">
        <v>2800</v>
      </c>
      <c r="D1129" s="12" t="s">
        <v>2801</v>
      </c>
      <c r="E1129" s="5" t="str">
        <f t="shared" si="20"/>
        <v>https://www.screener.in/company/KFINTECH/consolidated/</v>
      </c>
      <c r="F1129" s="4">
        <v>443059</v>
      </c>
      <c r="G1129" s="4">
        <v>3832241897</v>
      </c>
      <c r="H1129" s="6">
        <f t="shared" ca="1" si="21"/>
        <v>417101.20806948002</v>
      </c>
      <c r="I1129" s="7" t="str">
        <f ca="1">IFERROR(__xludf.DUMMYFUNCTION("IMPORTXML(E1129,""/html/body/main/div[3]/div[3]/div[2]/ul/li[5]/span[2]/span"")"),"Loading...")</f>
        <v>Loading...</v>
      </c>
      <c r="J1129" s="7">
        <f ca="1">IFERROR(__xludf.DUMMYFUNCTION("GOOGLEFINANCE(""NSE:""&amp;D1129,""marketcap"")"),187447299724)</f>
        <v>187447299724</v>
      </c>
      <c r="K1129" s="7">
        <v>992.8</v>
      </c>
      <c r="L1129" s="8">
        <f ca="1">IFERROR(__xludf.DUMMYFUNCTION("GOOGLEFINANCE(""NSE:""&amp;D1129,""price"")"),1088.4)</f>
        <v>1088.4000000000001</v>
      </c>
      <c r="M1129" s="9">
        <f t="shared" ca="1" si="22"/>
        <v>95.600000000000136</v>
      </c>
      <c r="N1129" s="10">
        <f t="shared" ca="1" si="23"/>
        <v>9.6293311845286187</v>
      </c>
      <c r="O1129" s="7">
        <f ca="1">IFERROR(__xludf.DUMMYFUNCTION("GOOGLEFINANCE(""NSE:""&amp;D1129,""pe"")"),55.01)</f>
        <v>55.01</v>
      </c>
      <c r="P1129" s="7">
        <f ca="1">IFERROR(__xludf.DUMMYFUNCTION("GOOGLEFINANCE(""NSE:""&amp;D1129,""EPS"")"),19.79)</f>
        <v>19.79</v>
      </c>
      <c r="Q1129" s="7">
        <v>13.5</v>
      </c>
      <c r="R1129" s="7" t="str">
        <f ca="1">IFERROR(__xludf.DUMMYFUNCTION("IMPORTXML(E1129,""/html/body/main/div[3]/div[3]/div[2]/ul/li[7]/span[2]/span"")"),"Loading...")</f>
        <v>Loading...</v>
      </c>
      <c r="S1129" s="7" t="str">
        <f ca="1">IFERROR(__xludf.DUMMYFUNCTION("IMPORTXML(E1129,""/html/body/main/div[3]/div[3]/div[2]/ul/li[8]/span[2]/span"")"),"Loading...")</f>
        <v>Loading...</v>
      </c>
      <c r="T1129" s="4">
        <v>34.6</v>
      </c>
      <c r="U1129" s="4">
        <v>22.7</v>
      </c>
      <c r="V1129" s="4">
        <v>2.6</v>
      </c>
      <c r="W1129" s="4">
        <v>5.7</v>
      </c>
      <c r="X1129" s="4">
        <v>519.92999999999995</v>
      </c>
      <c r="Y1129" s="7">
        <f t="shared" ca="1" si="24"/>
        <v>568.47000000000014</v>
      </c>
    </row>
    <row r="1130" spans="1:25" ht="15" x14ac:dyDescent="0.25">
      <c r="A1130" s="4">
        <v>1990</v>
      </c>
      <c r="C1130" s="12" t="s">
        <v>2802</v>
      </c>
      <c r="D1130" s="12" t="s">
        <v>2803</v>
      </c>
      <c r="E1130" s="5" t="str">
        <f t="shared" si="20"/>
        <v>https://www.screener.in/company/AARTECH/consolidated/</v>
      </c>
      <c r="F1130" s="4">
        <v>443059</v>
      </c>
      <c r="G1130" s="4">
        <v>3832241897</v>
      </c>
      <c r="H1130" s="6">
        <f t="shared" ca="1" si="21"/>
        <v>22265.32542157</v>
      </c>
      <c r="I1130" s="7" t="str">
        <f ca="1">IFERROR(__xludf.DUMMYFUNCTION("IMPORTXML(E1130,""/html/body/main/div[3]/div[3]/div[2]/ul/li[5]/span[2]/span"")"),"Loading...")</f>
        <v>Loading...</v>
      </c>
      <c r="J1130" s="7">
        <f ca="1">IFERROR(__xludf.DUMMYFUNCTION("GOOGLEFINANCE(""NSE:""&amp;D1130,""marketcap"")"),1837010862)</f>
        <v>1837010862</v>
      </c>
      <c r="K1130" s="7">
        <v>992.8</v>
      </c>
      <c r="L1130" s="8">
        <f ca="1">IFERROR(__xludf.DUMMYFUNCTION("GOOGLEFINANCE(""NSE:""&amp;D1130,""price"")"),58.1)</f>
        <v>58.1</v>
      </c>
      <c r="M1130" s="9">
        <f t="shared" ca="1" si="22"/>
        <v>-934.69999999999993</v>
      </c>
      <c r="N1130" s="10">
        <f t="shared" ca="1" si="23"/>
        <v>-94.147864625302162</v>
      </c>
      <c r="O1130" s="7">
        <f ca="1">IFERROR(__xludf.DUMMYFUNCTION("GOOGLEFINANCE(""NSE:""&amp;D1130,""pe"")"),78.51)</f>
        <v>78.510000000000005</v>
      </c>
      <c r="P1130" s="7">
        <f ca="1">IFERROR(__xludf.DUMMYFUNCTION("GOOGLEFINANCE(""NSE:""&amp;D1130,""EPS"")"),0.74)</f>
        <v>0.74</v>
      </c>
      <c r="Q1130" s="7">
        <v>13.5</v>
      </c>
      <c r="R1130" s="7" t="str">
        <f ca="1">IFERROR(__xludf.DUMMYFUNCTION("IMPORTXML(E1130,""/html/body/main/div[3]/div[3]/div[2]/ul/li[7]/span[2]/span"")"),"Loading...")</f>
        <v>Loading...</v>
      </c>
      <c r="S1130" s="7" t="str">
        <f ca="1">IFERROR(__xludf.DUMMYFUNCTION("IMPORTXML(E1130,""/html/body/main/div[3]/div[3]/div[2]/ul/li[8]/span[2]/span"")"),"Loading...")</f>
        <v>Loading...</v>
      </c>
      <c r="T1130" s="4">
        <v>34.6</v>
      </c>
      <c r="U1130" s="4">
        <v>22.7</v>
      </c>
      <c r="V1130" s="4">
        <v>2.6</v>
      </c>
      <c r="W1130" s="4">
        <v>5.7</v>
      </c>
      <c r="X1130" s="4">
        <v>519.92999999999995</v>
      </c>
      <c r="Y1130" s="7">
        <f t="shared" ca="1" si="24"/>
        <v>-461.82999999999993</v>
      </c>
    </row>
    <row r="1131" spans="1:25" ht="15" x14ac:dyDescent="0.25">
      <c r="A1131" s="4">
        <v>512</v>
      </c>
      <c r="C1131" s="12" t="s">
        <v>2804</v>
      </c>
      <c r="D1131" s="12" t="s">
        <v>2805</v>
      </c>
      <c r="E1131" s="5" t="str">
        <f t="shared" si="20"/>
        <v>https://www.screener.in/company/ZAGGLE/consolidated/</v>
      </c>
      <c r="F1131" s="4">
        <v>443059</v>
      </c>
      <c r="G1131" s="4">
        <v>3832241897</v>
      </c>
      <c r="H1131" s="6">
        <f t="shared" ca="1" si="21"/>
        <v>145510.22482909</v>
      </c>
      <c r="I1131" s="7" t="str">
        <f ca="1">IFERROR(__xludf.DUMMYFUNCTION("IMPORTXML(E1131,""/html/body/main/div[3]/div[3]/div[2]/ul/li[5]/span[2]/span"")"),"Loading...")</f>
        <v>Loading...</v>
      </c>
      <c r="J1131" s="7">
        <f ca="1">IFERROR(__xludf.DUMMYFUNCTION("GOOGLEFINANCE(""NSE:""&amp;D1131,""marketcap"")"),51063677900)</f>
        <v>51063677900</v>
      </c>
      <c r="K1131" s="7">
        <v>992.8</v>
      </c>
      <c r="L1131" s="8">
        <f ca="1">IFERROR(__xludf.DUMMYFUNCTION("GOOGLEFINANCE(""NSE:""&amp;D1131,""price"")"),379.7)</f>
        <v>379.7</v>
      </c>
      <c r="M1131" s="9">
        <f t="shared" ca="1" si="22"/>
        <v>-613.09999999999991</v>
      </c>
      <c r="N1131" s="10">
        <f t="shared" ca="1" si="23"/>
        <v>-61.754633360193388</v>
      </c>
      <c r="O1131" s="7">
        <f ca="1">IFERROR(__xludf.DUMMYFUNCTION("GOOGLEFINANCE(""NSE:""&amp;D1131,""pe"")"),50.57)</f>
        <v>50.57</v>
      </c>
      <c r="P1131" s="7">
        <f ca="1">IFERROR(__xludf.DUMMYFUNCTION("GOOGLEFINANCE(""NSE:""&amp;D1131,""EPS"")"),7.51)</f>
        <v>7.51</v>
      </c>
      <c r="Q1131" s="7">
        <v>13.5</v>
      </c>
      <c r="R1131" s="7" t="str">
        <f ca="1">IFERROR(__xludf.DUMMYFUNCTION("IMPORTXML(E1131,""/html/body/main/div[3]/div[3]/div[2]/ul/li[7]/span[2]/span"")"),"Loading...")</f>
        <v>Loading...</v>
      </c>
      <c r="S1131" s="7" t="str">
        <f ca="1">IFERROR(__xludf.DUMMYFUNCTION("IMPORTXML(E1131,""/html/body/main/div[3]/div[3]/div[2]/ul/li[8]/span[2]/span"")"),"Loading...")</f>
        <v>Loading...</v>
      </c>
      <c r="T1131" s="4">
        <v>34.6</v>
      </c>
      <c r="U1131" s="4">
        <v>22.7</v>
      </c>
      <c r="V1131" s="4">
        <v>2.6</v>
      </c>
      <c r="W1131" s="4">
        <v>5.7</v>
      </c>
      <c r="X1131" s="4">
        <v>519.92999999999995</v>
      </c>
      <c r="Y1131" s="7">
        <f t="shared" ca="1" si="24"/>
        <v>-140.22999999999996</v>
      </c>
    </row>
    <row r="1132" spans="1:25" ht="15" x14ac:dyDescent="0.25">
      <c r="A1132" s="4">
        <v>42</v>
      </c>
      <c r="C1132" s="12" t="s">
        <v>2806</v>
      </c>
      <c r="D1132" s="12" t="s">
        <v>2807</v>
      </c>
      <c r="E1132" s="5" t="str">
        <f t="shared" si="20"/>
        <v>https://www.screener.in/company/LALPATHLAB/consolidated/</v>
      </c>
      <c r="F1132" s="4">
        <v>443059</v>
      </c>
      <c r="G1132" s="4">
        <v>3832241897</v>
      </c>
      <c r="H1132" s="6">
        <f t="shared" ca="1" si="21"/>
        <v>1245478.616525</v>
      </c>
      <c r="I1132" s="7" t="str">
        <f ca="1">IFERROR(__xludf.DUMMYFUNCTION("IMPORTXML(E1132,""/html/body/main/div[3]/div[3]/div[2]/ul/li[5]/span[2]/span"")"),"Loading...")</f>
        <v>Loading...</v>
      </c>
      <c r="J1132" s="7">
        <f ca="1">IFERROR(__xludf.DUMMYFUNCTION("GOOGLEFINANCE(""NSE:""&amp;D1132,""marketcap"")"),270140534673)</f>
        <v>270140534673</v>
      </c>
      <c r="K1132" s="7">
        <v>992.8</v>
      </c>
      <c r="L1132" s="8">
        <f ca="1">IFERROR(__xludf.DUMMYFUNCTION("GOOGLEFINANCE(""NSE:""&amp;D1132,""price"")"),3250)</f>
        <v>3250</v>
      </c>
      <c r="M1132" s="9">
        <f t="shared" ca="1" si="22"/>
        <v>2257.1999999999998</v>
      </c>
      <c r="N1132" s="10">
        <f t="shared" ca="1" si="23"/>
        <v>227.3569701853344</v>
      </c>
      <c r="O1132" s="7">
        <f ca="1">IFERROR(__xludf.DUMMYFUNCTION("GOOGLEFINANCE(""NSE:""&amp;D1132,""pe"")"),52.77)</f>
        <v>52.77</v>
      </c>
      <c r="P1132" s="7">
        <f ca="1">IFERROR(__xludf.DUMMYFUNCTION("GOOGLEFINANCE(""NSE:""&amp;D1132,""EPS"")"),61.59)</f>
        <v>61.59</v>
      </c>
      <c r="Q1132" s="7">
        <v>13.5</v>
      </c>
      <c r="R1132" s="7" t="str">
        <f ca="1">IFERROR(__xludf.DUMMYFUNCTION("IMPORTXML(E1132,""/html/body/main/div[3]/div[3]/div[2]/ul/li[7]/span[2]/span"")"),"Loading...")</f>
        <v>Loading...</v>
      </c>
      <c r="S1132" s="7" t="str">
        <f ca="1">IFERROR(__xludf.DUMMYFUNCTION("IMPORTXML(E1132,""/html/body/main/div[3]/div[3]/div[2]/ul/li[8]/span[2]/span"")"),"Loading...")</f>
        <v>Loading...</v>
      </c>
      <c r="T1132" s="4">
        <v>34.6</v>
      </c>
      <c r="U1132" s="4">
        <v>22.7</v>
      </c>
      <c r="V1132" s="4">
        <v>2.6</v>
      </c>
      <c r="W1132" s="4">
        <v>5.7</v>
      </c>
      <c r="X1132" s="4">
        <v>519.92999999999995</v>
      </c>
      <c r="Y1132" s="7">
        <f t="shared" ca="1" si="24"/>
        <v>2730.07</v>
      </c>
    </row>
    <row r="1133" spans="1:25" ht="15" x14ac:dyDescent="0.25">
      <c r="A1133" s="4">
        <v>309</v>
      </c>
      <c r="C1133" s="12" t="s">
        <v>2808</v>
      </c>
      <c r="D1133" s="12" t="s">
        <v>2809</v>
      </c>
      <c r="E1133" s="5" t="str">
        <f t="shared" si="20"/>
        <v>https://www.screener.in/company/TIPSMUSIC/consolidated/</v>
      </c>
      <c r="F1133" s="4">
        <v>443059</v>
      </c>
      <c r="G1133" s="4">
        <v>3832241897</v>
      </c>
      <c r="H1133" s="6">
        <f t="shared" ca="1" si="21"/>
        <v>222691.57663467003</v>
      </c>
      <c r="I1133" s="7" t="str">
        <f ca="1">IFERROR(__xludf.DUMMYFUNCTION("IMPORTXML(E1133,""/html/body/main/div[3]/div[3]/div[2]/ul/li[5]/span[2]/span"")"),"Loading...")</f>
        <v>Loading...</v>
      </c>
      <c r="J1133" s="7">
        <f ca="1">IFERROR(__xludf.DUMMYFUNCTION("GOOGLEFINANCE(""NSE:""&amp;D1133,""marketcap"")"),74282881529)</f>
        <v>74282881529</v>
      </c>
      <c r="K1133" s="7">
        <v>992.8</v>
      </c>
      <c r="L1133" s="8">
        <f ca="1">IFERROR(__xludf.DUMMYFUNCTION("GOOGLEFINANCE(""NSE:""&amp;D1133,""price"")"),581.1)</f>
        <v>581.1</v>
      </c>
      <c r="M1133" s="9">
        <f t="shared" ca="1" si="22"/>
        <v>-411.69999999999993</v>
      </c>
      <c r="N1133" s="10">
        <f t="shared" ca="1" si="23"/>
        <v>-41.468573730862204</v>
      </c>
      <c r="O1133" s="7">
        <f ca="1">IFERROR(__xludf.DUMMYFUNCTION("GOOGLEFINANCE(""NSE:""&amp;D1133,""pe"")"),43.98)</f>
        <v>43.98</v>
      </c>
      <c r="P1133" s="7">
        <f ca="1">IFERROR(__xludf.DUMMYFUNCTION("GOOGLEFINANCE(""NSE:""&amp;D1133,""EPS"")"),13.21)</f>
        <v>13.21</v>
      </c>
      <c r="Q1133" s="7">
        <v>13.5</v>
      </c>
      <c r="R1133" s="7" t="str">
        <f ca="1">IFERROR(__xludf.DUMMYFUNCTION("IMPORTXML(E1133,""/html/body/main/div[3]/div[3]/div[2]/ul/li[7]/span[2]/span"")"),"Loading...")</f>
        <v>Loading...</v>
      </c>
      <c r="S1133" s="7" t="str">
        <f ca="1">IFERROR(__xludf.DUMMYFUNCTION("IMPORTXML(E1133,""/html/body/main/div[3]/div[3]/div[2]/ul/li[8]/span[2]/span"")"),"Loading...")</f>
        <v>Loading...</v>
      </c>
      <c r="T1133" s="4">
        <v>34.6</v>
      </c>
      <c r="U1133" s="4">
        <v>22.7</v>
      </c>
      <c r="V1133" s="4">
        <v>2.6</v>
      </c>
      <c r="W1133" s="4">
        <v>5.7</v>
      </c>
      <c r="X1133" s="4">
        <v>519.92999999999995</v>
      </c>
      <c r="Y1133" s="7">
        <f t="shared" ca="1" si="24"/>
        <v>61.170000000000073</v>
      </c>
    </row>
    <row r="1134" spans="1:25" ht="15" x14ac:dyDescent="0.25">
      <c r="A1134" s="4">
        <v>12</v>
      </c>
      <c r="C1134" s="12" t="s">
        <v>2810</v>
      </c>
      <c r="D1134" s="12" t="s">
        <v>2811</v>
      </c>
      <c r="E1134" s="5" t="str">
        <f t="shared" si="20"/>
        <v>https://www.screener.in/company/MANYAVAR/consolidated/</v>
      </c>
      <c r="F1134" s="4">
        <v>443059</v>
      </c>
      <c r="G1134" s="4">
        <v>3832241897</v>
      </c>
      <c r="H1134" s="6">
        <f t="shared" ca="1" si="21"/>
        <v>278086.63325580501</v>
      </c>
      <c r="I1134" s="7" t="str">
        <f ca="1">IFERROR(__xludf.DUMMYFUNCTION("IMPORTXML(E1134,""/html/body/main/div[3]/div[3]/div[2]/ul/li[5]/span[2]/span"")"),"Loading...")</f>
        <v>Loading...</v>
      </c>
      <c r="J1134" s="7">
        <f ca="1">IFERROR(__xludf.DUMMYFUNCTION("GOOGLEFINANCE(""NSE:""&amp;D1134,""marketcap"")"),176008770507)</f>
        <v>176008770507</v>
      </c>
      <c r="K1134" s="7">
        <v>992.8</v>
      </c>
      <c r="L1134" s="8">
        <f ca="1">IFERROR(__xludf.DUMMYFUNCTION("GOOGLEFINANCE(""NSE:""&amp;D1134,""price"")"),725.65)</f>
        <v>725.65</v>
      </c>
      <c r="M1134" s="9">
        <f t="shared" ca="1" si="22"/>
        <v>-267.14999999999998</v>
      </c>
      <c r="N1134" s="10">
        <f t="shared" ca="1" si="23"/>
        <v>-26.908742949234487</v>
      </c>
      <c r="O1134" s="7">
        <f ca="1">IFERROR(__xludf.DUMMYFUNCTION("GOOGLEFINANCE(""NSE:""&amp;D1134,""pe"")"),44.51)</f>
        <v>44.51</v>
      </c>
      <c r="P1134" s="7">
        <f ca="1">IFERROR(__xludf.DUMMYFUNCTION("GOOGLEFINANCE(""NSE:""&amp;D1134,""EPS"")"),16.3)</f>
        <v>16.3</v>
      </c>
      <c r="Q1134" s="7">
        <v>13.5</v>
      </c>
      <c r="R1134" s="7" t="str">
        <f ca="1">IFERROR(__xludf.DUMMYFUNCTION("IMPORTXML(E1134,""/html/body/main/div[3]/div[3]/div[2]/ul/li[7]/span[2]/span"")"),"Loading...")</f>
        <v>Loading...</v>
      </c>
      <c r="S1134" s="7" t="str">
        <f ca="1">IFERROR(__xludf.DUMMYFUNCTION("IMPORTXML(E1134,""/html/body/main/div[3]/div[3]/div[2]/ul/li[8]/span[2]/span"")"),"Loading...")</f>
        <v>Loading...</v>
      </c>
      <c r="T1134" s="4">
        <v>34.6</v>
      </c>
      <c r="U1134" s="4">
        <v>22.7</v>
      </c>
      <c r="V1134" s="4">
        <v>2.6</v>
      </c>
      <c r="W1134" s="4">
        <v>5.7</v>
      </c>
      <c r="X1134" s="4">
        <v>519.92999999999995</v>
      </c>
      <c r="Y1134" s="7">
        <f t="shared" ca="1" si="24"/>
        <v>205.72000000000003</v>
      </c>
    </row>
    <row r="1135" spans="1:25" ht="15" x14ac:dyDescent="0.25">
      <c r="A1135" s="4">
        <v>605</v>
      </c>
      <c r="C1135" s="12" t="s">
        <v>2812</v>
      </c>
      <c r="D1135" s="12" t="s">
        <v>2813</v>
      </c>
      <c r="E1135" s="5" t="str">
        <f t="shared" si="20"/>
        <v>https://www.screener.in/company/JNKINDIA/consolidated/</v>
      </c>
      <c r="F1135" s="4">
        <v>443059</v>
      </c>
      <c r="G1135" s="4">
        <v>3832241897</v>
      </c>
      <c r="H1135" s="6">
        <f t="shared" ca="1" si="21"/>
        <v>112648.75056231499</v>
      </c>
      <c r="I1135" s="7" t="str">
        <f ca="1">IFERROR(__xludf.DUMMYFUNCTION("IMPORTXML(E1135,""/html/body/main/div[3]/div[3]/div[2]/ul/li[5]/span[2]/span"")"),"Loading...")</f>
        <v>Loading...</v>
      </c>
      <c r="J1135" s="7">
        <f ca="1">IFERROR(__xludf.DUMMYFUNCTION("GOOGLEFINANCE(""NSE:""&amp;D1135,""marketcap"")"),16447655467)</f>
        <v>16447655467</v>
      </c>
      <c r="K1135" s="7">
        <v>992.8</v>
      </c>
      <c r="L1135" s="8">
        <f ca="1">IFERROR(__xludf.DUMMYFUNCTION("GOOGLEFINANCE(""NSE:""&amp;D1135,""price"")"),293.95)</f>
        <v>293.95</v>
      </c>
      <c r="M1135" s="9">
        <f t="shared" ca="1" si="22"/>
        <v>-698.84999999999991</v>
      </c>
      <c r="N1135" s="10">
        <f t="shared" ca="1" si="23"/>
        <v>-70.39182111200644</v>
      </c>
      <c r="O1135" s="7">
        <f ca="1">IFERROR(__xludf.DUMMYFUNCTION("GOOGLEFINANCE(""NSE:""&amp;D1135,""pe"")"),65.47)</f>
        <v>65.47</v>
      </c>
      <c r="P1135" s="7">
        <f ca="1">IFERROR(__xludf.DUMMYFUNCTION("GOOGLEFINANCE(""NSE:""&amp;D1135,""EPS"")"),4.49)</f>
        <v>4.49</v>
      </c>
      <c r="Q1135" s="7">
        <v>13.5</v>
      </c>
      <c r="R1135" s="7" t="str">
        <f ca="1">IFERROR(__xludf.DUMMYFUNCTION("IMPORTXML(E1135,""/html/body/main/div[3]/div[3]/div[2]/ul/li[7]/span[2]/span"")"),"Loading...")</f>
        <v>Loading...</v>
      </c>
      <c r="S1135" s="7" t="str">
        <f ca="1">IFERROR(__xludf.DUMMYFUNCTION("IMPORTXML(E1135,""/html/body/main/div[3]/div[3]/div[2]/ul/li[8]/span[2]/span"")"),"Loading...")</f>
        <v>Loading...</v>
      </c>
      <c r="T1135" s="4">
        <v>34.6</v>
      </c>
      <c r="U1135" s="4">
        <v>22.7</v>
      </c>
      <c r="V1135" s="4">
        <v>2.6</v>
      </c>
      <c r="W1135" s="4">
        <v>5.7</v>
      </c>
      <c r="X1135" s="4">
        <v>519.92999999999995</v>
      </c>
      <c r="Y1135" s="7">
        <f t="shared" ca="1" si="24"/>
        <v>-225.97999999999996</v>
      </c>
    </row>
    <row r="1136" spans="1:25" ht="15" x14ac:dyDescent="0.25">
      <c r="A1136" s="4">
        <v>175</v>
      </c>
      <c r="C1136" s="12" t="s">
        <v>2814</v>
      </c>
      <c r="D1136" s="12" t="s">
        <v>2815</v>
      </c>
      <c r="E1136" s="5" t="str">
        <f t="shared" si="20"/>
        <v>https://www.screener.in/company/ZENTEC/consolidated/</v>
      </c>
      <c r="F1136" s="4">
        <v>443059</v>
      </c>
      <c r="G1136" s="4">
        <v>3832241897</v>
      </c>
      <c r="H1136" s="6">
        <f t="shared" ca="1" si="21"/>
        <v>567171.80075599998</v>
      </c>
      <c r="I1136" s="7" t="str">
        <f ca="1">IFERROR(__xludf.DUMMYFUNCTION("IMPORTXML(E1136,""/html/body/main/div[3]/div[3]/div[2]/ul/li[5]/span[2]/span"")"),"Loading...")</f>
        <v>Loading...</v>
      </c>
      <c r="J1136" s="7">
        <f ca="1">IFERROR(__xludf.DUMMYFUNCTION("GOOGLEFINANCE(""NSE:""&amp;D1136,""marketcap"")"),133050031600)</f>
        <v>133050031600</v>
      </c>
      <c r="K1136" s="7">
        <v>992.8</v>
      </c>
      <c r="L1136" s="8">
        <f ca="1">IFERROR(__xludf.DUMMYFUNCTION("GOOGLEFINANCE(""NSE:""&amp;D1136,""price"")"),1480)</f>
        <v>1480</v>
      </c>
      <c r="M1136" s="9">
        <f t="shared" ca="1" si="22"/>
        <v>487.20000000000005</v>
      </c>
      <c r="N1136" s="10">
        <f t="shared" ca="1" si="23"/>
        <v>49.073327961321525</v>
      </c>
      <c r="O1136" s="7">
        <f ca="1">IFERROR(__xludf.DUMMYFUNCTION("GOOGLEFINANCE(""NSE:""&amp;D1136,""pe"")"),52.57)</f>
        <v>52.57</v>
      </c>
      <c r="P1136" s="7">
        <f ca="1">IFERROR(__xludf.DUMMYFUNCTION("GOOGLEFINANCE(""NSE:""&amp;D1136,""EPS"")"),28.15)</f>
        <v>28.15</v>
      </c>
      <c r="Q1136" s="7">
        <v>13.5</v>
      </c>
      <c r="R1136" s="7" t="str">
        <f ca="1">IFERROR(__xludf.DUMMYFUNCTION("IMPORTXML(E1136,""/html/body/main/div[3]/div[3]/div[2]/ul/li[7]/span[2]/span"")"),"Loading...")</f>
        <v>Loading...</v>
      </c>
      <c r="S1136" s="7" t="str">
        <f ca="1">IFERROR(__xludf.DUMMYFUNCTION("IMPORTXML(E1136,""/html/body/main/div[3]/div[3]/div[2]/ul/li[8]/span[2]/span"")"),"Loading...")</f>
        <v>Loading...</v>
      </c>
      <c r="T1136" s="4">
        <v>34.6</v>
      </c>
      <c r="U1136" s="4">
        <v>22.7</v>
      </c>
      <c r="V1136" s="4">
        <v>2.6</v>
      </c>
      <c r="W1136" s="4">
        <v>5.7</v>
      </c>
      <c r="X1136" s="4">
        <v>519.92999999999995</v>
      </c>
      <c r="Y1136" s="7">
        <f t="shared" ca="1" si="24"/>
        <v>960.07</v>
      </c>
    </row>
    <row r="1137" spans="1:25" ht="15" x14ac:dyDescent="0.25">
      <c r="A1137" s="4">
        <v>985</v>
      </c>
      <c r="C1137" s="12" t="s">
        <v>2816</v>
      </c>
      <c r="D1137" s="12" t="s">
        <v>2817</v>
      </c>
      <c r="E1137" s="5" t="str">
        <f t="shared" si="20"/>
        <v>https://www.screener.in/company/OMINFRAL/consolidated/</v>
      </c>
      <c r="F1137" s="4">
        <v>443059</v>
      </c>
      <c r="G1137" s="4">
        <v>3832241897</v>
      </c>
      <c r="H1137" s="6">
        <f t="shared" ca="1" si="21"/>
        <v>41848.081515240003</v>
      </c>
      <c r="I1137" s="7" t="str">
        <f ca="1">IFERROR(__xludf.DUMMYFUNCTION("IMPORTXML(E1137,""/html/body/main/div[3]/div[3]/div[2]/ul/li[5]/span[2]/span"")"),"Loading...")</f>
        <v>Loading...</v>
      </c>
      <c r="J1137" s="7">
        <f ca="1">IFERROR(__xludf.DUMMYFUNCTION("GOOGLEFINANCE(""NSE:""&amp;D1137,""marketcap"")"),10612471331)</f>
        <v>10612471331</v>
      </c>
      <c r="K1137" s="7">
        <v>992.8</v>
      </c>
      <c r="L1137" s="8">
        <f ca="1">IFERROR(__xludf.DUMMYFUNCTION("GOOGLEFINANCE(""NSE:""&amp;D1137,""price"")"),109.2)</f>
        <v>109.2</v>
      </c>
      <c r="M1137" s="9">
        <f t="shared" ca="1" si="22"/>
        <v>-883.59999999999991</v>
      </c>
      <c r="N1137" s="10">
        <f t="shared" ca="1" si="23"/>
        <v>-89.000805801772771</v>
      </c>
      <c r="O1137" s="7">
        <f ca="1">IFERROR(__xludf.DUMMYFUNCTION("GOOGLEFINANCE(""NSE:""&amp;D1137,""pe"")"),51.27)</f>
        <v>51.27</v>
      </c>
      <c r="P1137" s="7">
        <f ca="1">IFERROR(__xludf.DUMMYFUNCTION("GOOGLEFINANCE(""NSE:""&amp;D1137,""EPS"")"),2.13)</f>
        <v>2.13</v>
      </c>
      <c r="Q1137" s="7">
        <v>13.5</v>
      </c>
      <c r="R1137" s="7" t="str">
        <f ca="1">IFERROR(__xludf.DUMMYFUNCTION("IMPORTXML(E1137,""/html/body/main/div[3]/div[3]/div[2]/ul/li[7]/span[2]/span"")"),"Loading...")</f>
        <v>Loading...</v>
      </c>
      <c r="S1137" s="7" t="str">
        <f ca="1">IFERROR(__xludf.DUMMYFUNCTION("IMPORTXML(E1137,""/html/body/main/div[3]/div[3]/div[2]/ul/li[8]/span[2]/span"")"),"Loading...")</f>
        <v>Loading...</v>
      </c>
      <c r="T1137" s="4">
        <v>34.6</v>
      </c>
      <c r="U1137" s="4">
        <v>22.7</v>
      </c>
      <c r="V1137" s="4">
        <v>2.6</v>
      </c>
      <c r="W1137" s="4">
        <v>5.7</v>
      </c>
      <c r="X1137" s="4">
        <v>519.92999999999995</v>
      </c>
      <c r="Y1137" s="7">
        <f t="shared" ca="1" si="24"/>
        <v>-410.72999999999996</v>
      </c>
    </row>
    <row r="1138" spans="1:25" ht="15" x14ac:dyDescent="0.25">
      <c r="A1138" s="4">
        <v>903</v>
      </c>
      <c r="C1138" s="12" t="s">
        <v>2818</v>
      </c>
      <c r="D1138" s="12" t="s">
        <v>2819</v>
      </c>
      <c r="E1138" s="5" t="str">
        <f t="shared" si="20"/>
        <v>https://www.screener.in/company/DIVGIITTS/consolidated/</v>
      </c>
      <c r="F1138" s="4">
        <v>443059</v>
      </c>
      <c r="G1138" s="4">
        <v>3832241897</v>
      </c>
      <c r="H1138" s="6">
        <f t="shared" ca="1" si="21"/>
        <v>258676.32804749999</v>
      </c>
      <c r="I1138" s="7" t="str">
        <f ca="1">IFERROR(__xludf.DUMMYFUNCTION("IMPORTXML(E1138,""/html/body/main/div[3]/div[3]/div[2]/ul/li[5]/span[2]/span"")"),"Loading...")</f>
        <v>Loading...</v>
      </c>
      <c r="J1138" s="7">
        <f ca="1">IFERROR(__xludf.DUMMYFUNCTION("GOOGLEFINANCE(""NSE:""&amp;D1138,""marketcap"")"),20643477750)</f>
        <v>20643477750</v>
      </c>
      <c r="K1138" s="7">
        <v>992.8</v>
      </c>
      <c r="L1138" s="8">
        <f ca="1">IFERROR(__xludf.DUMMYFUNCTION("GOOGLEFINANCE(""NSE:""&amp;D1138,""price"")"),675)</f>
        <v>675</v>
      </c>
      <c r="M1138" s="9">
        <f t="shared" ca="1" si="22"/>
        <v>-317.79999999999995</v>
      </c>
      <c r="N1138" s="10">
        <f t="shared" ca="1" si="23"/>
        <v>-32.010475423045925</v>
      </c>
      <c r="O1138" s="7">
        <f ca="1">IFERROR(__xludf.DUMMYFUNCTION("GOOGLEFINANCE(""NSE:""&amp;D1138,""pe"")"),75.53)</f>
        <v>75.53</v>
      </c>
      <c r="P1138" s="7">
        <f ca="1">IFERROR(__xludf.DUMMYFUNCTION("GOOGLEFINANCE(""NSE:""&amp;D1138,""EPS"")"),8.94)</f>
        <v>8.94</v>
      </c>
      <c r="Q1138" s="7">
        <v>13.5</v>
      </c>
      <c r="R1138" s="7" t="str">
        <f ca="1">IFERROR(__xludf.DUMMYFUNCTION("IMPORTXML(E1138,""/html/body/main/div[3]/div[3]/div[2]/ul/li[7]/span[2]/span"")"),"Loading...")</f>
        <v>Loading...</v>
      </c>
      <c r="S1138" s="7" t="str">
        <f ca="1">IFERROR(__xludf.DUMMYFUNCTION("IMPORTXML(E1138,""/html/body/main/div[3]/div[3]/div[2]/ul/li[8]/span[2]/span"")"),"Loading...")</f>
        <v>Loading...</v>
      </c>
      <c r="T1138" s="4">
        <v>34.6</v>
      </c>
      <c r="U1138" s="4">
        <v>22.7</v>
      </c>
      <c r="V1138" s="4">
        <v>2.6</v>
      </c>
      <c r="W1138" s="4">
        <v>5.7</v>
      </c>
      <c r="X1138" s="4">
        <v>519.92999999999995</v>
      </c>
      <c r="Y1138" s="7">
        <f t="shared" ca="1" si="24"/>
        <v>155.07000000000005</v>
      </c>
    </row>
    <row r="1139" spans="1:25" ht="15" x14ac:dyDescent="0.25">
      <c r="A1139" s="4">
        <v>1405</v>
      </c>
      <c r="C1139" s="12" t="s">
        <v>2820</v>
      </c>
      <c r="D1139" s="12" t="s">
        <v>2821</v>
      </c>
      <c r="E1139" s="5" t="str">
        <f t="shared" si="20"/>
        <v>https://www.screener.in/company/IRIS/consolidated/</v>
      </c>
      <c r="F1139" s="4">
        <v>443059</v>
      </c>
      <c r="G1139" s="4">
        <v>3832241897</v>
      </c>
      <c r="H1139" s="6">
        <f t="shared" ca="1" si="21"/>
        <v>132787.18173104999</v>
      </c>
      <c r="I1139" s="7" t="str">
        <f ca="1">IFERROR(__xludf.DUMMYFUNCTION("IMPORTXML(E1139,""/html/body/main/div[3]/div[3]/div[2]/ul/li[5]/span[2]/span"")"),"Loading...")</f>
        <v>Loading...</v>
      </c>
      <c r="J1139" s="7">
        <f ca="1">IFERROR(__xludf.DUMMYFUNCTION("GOOGLEFINANCE(""NSE:""&amp;D1139,""marketcap"")"),7116455115)</f>
        <v>7116455115</v>
      </c>
      <c r="K1139" s="7">
        <v>992.8</v>
      </c>
      <c r="L1139" s="8">
        <f ca="1">IFERROR(__xludf.DUMMYFUNCTION("GOOGLEFINANCE(""NSE:""&amp;D1139,""price"")"),346.5)</f>
        <v>346.5</v>
      </c>
      <c r="M1139" s="9">
        <f t="shared" ca="1" si="22"/>
        <v>-646.29999999999995</v>
      </c>
      <c r="N1139" s="10">
        <f t="shared" ca="1" si="23"/>
        <v>-65.098710717163584</v>
      </c>
      <c r="O1139" s="7">
        <f ca="1">IFERROR(__xludf.DUMMYFUNCTION("GOOGLEFINANCE(""NSE:""&amp;D1139,""pe"")"),66.51)</f>
        <v>66.510000000000005</v>
      </c>
      <c r="P1139" s="7">
        <f ca="1">IFERROR(__xludf.DUMMYFUNCTION("GOOGLEFINANCE(""NSE:""&amp;D1139,""EPS"")"),5.21)</f>
        <v>5.21</v>
      </c>
      <c r="Q1139" s="7">
        <v>13.5</v>
      </c>
      <c r="R1139" s="7" t="str">
        <f ca="1">IFERROR(__xludf.DUMMYFUNCTION("IMPORTXML(E1139,""/html/body/main/div[3]/div[3]/div[2]/ul/li[7]/span[2]/span"")"),"Loading...")</f>
        <v>Loading...</v>
      </c>
      <c r="S1139" s="7" t="str">
        <f ca="1">IFERROR(__xludf.DUMMYFUNCTION("IMPORTXML(E1139,""/html/body/main/div[3]/div[3]/div[2]/ul/li[8]/span[2]/span"")"),"Loading...")</f>
        <v>Loading...</v>
      </c>
      <c r="T1139" s="4">
        <v>34.6</v>
      </c>
      <c r="U1139" s="4">
        <v>22.7</v>
      </c>
      <c r="V1139" s="4">
        <v>2.6</v>
      </c>
      <c r="W1139" s="4">
        <v>5.7</v>
      </c>
      <c r="X1139" s="4">
        <v>519.92999999999995</v>
      </c>
      <c r="Y1139" s="7">
        <f t="shared" ca="1" si="24"/>
        <v>-173.42999999999995</v>
      </c>
    </row>
    <row r="1140" spans="1:25" ht="15" x14ac:dyDescent="0.25">
      <c r="A1140" s="4">
        <v>399</v>
      </c>
      <c r="C1140" s="12" t="s">
        <v>2822</v>
      </c>
      <c r="D1140" s="12" t="s">
        <v>2823</v>
      </c>
      <c r="E1140" s="5" t="str">
        <f t="shared" si="20"/>
        <v>https://www.screener.in/company/MIDHANI/consolidated/</v>
      </c>
      <c r="F1140" s="4">
        <v>443059</v>
      </c>
      <c r="G1140" s="4">
        <v>3832241897</v>
      </c>
      <c r="H1140" s="6">
        <f t="shared" ca="1" si="21"/>
        <v>144858.74370660001</v>
      </c>
      <c r="I1140" s="7" t="str">
        <f ca="1">IFERROR(__xludf.DUMMYFUNCTION("IMPORTXML(E1140,""/html/body/main/div[3]/div[3]/div[2]/ul/li[5]/span[2]/span"")"),"Loading...")</f>
        <v>Loading...</v>
      </c>
      <c r="J1140" s="7">
        <f ca="1">IFERROR(__xludf.DUMMYFUNCTION("GOOGLEFINANCE(""NSE:""&amp;D1140,""marketcap"")"),70608450000)</f>
        <v>70608450000</v>
      </c>
      <c r="K1140" s="7">
        <v>992.8</v>
      </c>
      <c r="L1140" s="8">
        <f ca="1">IFERROR(__xludf.DUMMYFUNCTION("GOOGLEFINANCE(""NSE:""&amp;D1140,""price"")"),378)</f>
        <v>378</v>
      </c>
      <c r="M1140" s="9">
        <f t="shared" ca="1" si="22"/>
        <v>-614.79999999999995</v>
      </c>
      <c r="N1140" s="10">
        <f t="shared" ca="1" si="23"/>
        <v>-61.925866236905726</v>
      </c>
      <c r="O1140" s="7">
        <f ca="1">IFERROR(__xludf.DUMMYFUNCTION("GOOGLEFINANCE(""NSE:""&amp;D1140,""pe"")"),59.8)</f>
        <v>59.8</v>
      </c>
      <c r="P1140" s="7">
        <f ca="1">IFERROR(__xludf.DUMMYFUNCTION("GOOGLEFINANCE(""NSE:""&amp;D1140,""EPS"")"),6.32)</f>
        <v>6.32</v>
      </c>
      <c r="Q1140" s="7">
        <v>13.5</v>
      </c>
      <c r="R1140" s="7" t="str">
        <f ca="1">IFERROR(__xludf.DUMMYFUNCTION("IMPORTXML(E1140,""/html/body/main/div[3]/div[3]/div[2]/ul/li[7]/span[2]/span"")"),"Loading...")</f>
        <v>Loading...</v>
      </c>
      <c r="S1140" s="7" t="str">
        <f ca="1">IFERROR(__xludf.DUMMYFUNCTION("IMPORTXML(E1140,""/html/body/main/div[3]/div[3]/div[2]/ul/li[8]/span[2]/span"")"),"Loading...")</f>
        <v>Loading...</v>
      </c>
      <c r="T1140" s="4">
        <v>34.6</v>
      </c>
      <c r="U1140" s="4">
        <v>22.7</v>
      </c>
      <c r="V1140" s="4">
        <v>2.6</v>
      </c>
      <c r="W1140" s="4">
        <v>5.7</v>
      </c>
      <c r="X1140" s="4">
        <v>519.92999999999995</v>
      </c>
      <c r="Y1140" s="7">
        <f t="shared" ca="1" si="24"/>
        <v>-141.92999999999995</v>
      </c>
    </row>
    <row r="1141" spans="1:25" ht="15" x14ac:dyDescent="0.25">
      <c r="A1141" s="4">
        <v>644</v>
      </c>
      <c r="C1141" s="12" t="s">
        <v>2824</v>
      </c>
      <c r="D1141" s="12" t="s">
        <v>2825</v>
      </c>
      <c r="E1141" s="5" t="str">
        <f t="shared" si="20"/>
        <v>https://www.screener.in/company/SCILAL/consolidated/</v>
      </c>
      <c r="F1141" s="4">
        <v>443059</v>
      </c>
      <c r="G1141" s="4">
        <v>3832241897</v>
      </c>
      <c r="H1141" s="6">
        <f t="shared" ca="1" si="21"/>
        <v>20000.470460443001</v>
      </c>
      <c r="I1141" s="7" t="str">
        <f ca="1">IFERROR(__xludf.DUMMYFUNCTION("IMPORTXML(E1141,""/html/body/main/div[3]/div[3]/div[2]/ul/li[5]/span[2]/span"")"),"Loading...")</f>
        <v>Loading...</v>
      </c>
      <c r="J1141" s="7">
        <f ca="1">IFERROR(__xludf.DUMMYFUNCTION("GOOGLEFINANCE(""NSE:""&amp;D1141,""marketcap"")"),24249444629)</f>
        <v>24249444629</v>
      </c>
      <c r="K1141" s="7">
        <v>992.8</v>
      </c>
      <c r="L1141" s="8">
        <f ca="1">IFERROR(__xludf.DUMMYFUNCTION("GOOGLEFINANCE(""NSE:""&amp;D1141,""price"")"),52.19)</f>
        <v>52.19</v>
      </c>
      <c r="M1141" s="9">
        <f t="shared" ca="1" si="22"/>
        <v>-940.6099999999999</v>
      </c>
      <c r="N1141" s="10">
        <f t="shared" ca="1" si="23"/>
        <v>-94.743150684931493</v>
      </c>
      <c r="O1141" s="7" t="str">
        <f ca="1">IFERROR(__xludf.DUMMYFUNCTION("GOOGLEFINANCE(""NSE:""&amp;D1141,""pe"")"),"#N/A")</f>
        <v>#N/A</v>
      </c>
      <c r="P1141" s="7">
        <f ca="1">IFERROR(__xludf.DUMMYFUNCTION("GOOGLEFINANCE(""NSE:""&amp;D1141,""EPS"")"),-4.03)</f>
        <v>-4.03</v>
      </c>
      <c r="Q1141" s="7">
        <v>13.5</v>
      </c>
      <c r="R1141" s="7" t="str">
        <f ca="1">IFERROR(__xludf.DUMMYFUNCTION("IMPORTXML(E1141,""/html/body/main/div[3]/div[3]/div[2]/ul/li[7]/span[2]/span"")"),"Loading...")</f>
        <v>Loading...</v>
      </c>
      <c r="S1141" s="7" t="str">
        <f ca="1">IFERROR(__xludf.DUMMYFUNCTION("IMPORTXML(E1141,""/html/body/main/div[3]/div[3]/div[2]/ul/li[8]/span[2]/span"")"),"Loading...")</f>
        <v>Loading...</v>
      </c>
      <c r="T1141" s="4">
        <v>34.6</v>
      </c>
      <c r="U1141" s="4">
        <v>22.7</v>
      </c>
      <c r="V1141" s="4">
        <v>2.6</v>
      </c>
      <c r="W1141" s="4">
        <v>5.7</v>
      </c>
      <c r="X1141" s="4">
        <v>519.92999999999995</v>
      </c>
      <c r="Y1141" s="7">
        <f t="shared" ca="1" si="24"/>
        <v>-467.73999999999995</v>
      </c>
    </row>
    <row r="1142" spans="1:25" ht="15" x14ac:dyDescent="0.25">
      <c r="A1142" s="4">
        <v>1688</v>
      </c>
      <c r="C1142" s="12" t="s">
        <v>2826</v>
      </c>
      <c r="D1142" s="12" t="s">
        <v>2827</v>
      </c>
      <c r="E1142" s="5" t="str">
        <f t="shared" si="20"/>
        <v>https://www.screener.in/company/BYKE/consolidated/</v>
      </c>
      <c r="F1142" s="4">
        <v>443059</v>
      </c>
      <c r="G1142" s="4">
        <v>3832241897</v>
      </c>
      <c r="H1142" s="6">
        <f t="shared" ca="1" si="21"/>
        <v>26446.301331197003</v>
      </c>
      <c r="I1142" s="7" t="str">
        <f ca="1">IFERROR(__xludf.DUMMYFUNCTION("IMPORTXML(E1142,""/html/body/main/div[3]/div[3]/div[2]/ul/li[5]/span[2]/span"")"),"Loading...")</f>
        <v>Loading...</v>
      </c>
      <c r="J1142" s="7">
        <f ca="1">IFERROR(__xludf.DUMMYFUNCTION("GOOGLEFINANCE(""NSE:""&amp;D1142,""marketcap"")"),3652723380)</f>
        <v>3652723380</v>
      </c>
      <c r="K1142" s="7">
        <v>992.8</v>
      </c>
      <c r="L1142" s="8">
        <f ca="1">IFERROR(__xludf.DUMMYFUNCTION("GOOGLEFINANCE(""NSE:""&amp;D1142,""price"")"),69.01)</f>
        <v>69.010000000000005</v>
      </c>
      <c r="M1142" s="9">
        <f t="shared" ca="1" si="22"/>
        <v>-923.79</v>
      </c>
      <c r="N1142" s="10">
        <f t="shared" ca="1" si="23"/>
        <v>-93.048952457695407</v>
      </c>
      <c r="O1142" s="7">
        <f ca="1">IFERROR(__xludf.DUMMYFUNCTION("GOOGLEFINANCE(""NSE:""&amp;D1142,""pe"")"),81.55)</f>
        <v>81.55</v>
      </c>
      <c r="P1142" s="7">
        <f ca="1">IFERROR(__xludf.DUMMYFUNCTION("GOOGLEFINANCE(""NSE:""&amp;D1142,""EPS"")"),0.85)</f>
        <v>0.85</v>
      </c>
      <c r="Q1142" s="7">
        <v>13.5</v>
      </c>
      <c r="R1142" s="7" t="str">
        <f ca="1">IFERROR(__xludf.DUMMYFUNCTION("IMPORTXML(E1142,""/html/body/main/div[3]/div[3]/div[2]/ul/li[7]/span[2]/span"")"),"Loading...")</f>
        <v>Loading...</v>
      </c>
      <c r="S1142" s="7" t="str">
        <f ca="1">IFERROR(__xludf.DUMMYFUNCTION("IMPORTXML(E1142,""/html/body/main/div[3]/div[3]/div[2]/ul/li[8]/span[2]/span"")"),"Loading...")</f>
        <v>Loading...</v>
      </c>
      <c r="T1142" s="4">
        <v>34.6</v>
      </c>
      <c r="U1142" s="4">
        <v>22.7</v>
      </c>
      <c r="V1142" s="4">
        <v>2.6</v>
      </c>
      <c r="W1142" s="4">
        <v>5.7</v>
      </c>
      <c r="X1142" s="4">
        <v>519.92999999999995</v>
      </c>
      <c r="Y1142" s="7">
        <f t="shared" ca="1" si="24"/>
        <v>-450.91999999999996</v>
      </c>
    </row>
    <row r="1143" spans="1:25" ht="15" x14ac:dyDescent="0.25">
      <c r="A1143" s="4">
        <v>112</v>
      </c>
      <c r="C1143" s="12" t="s">
        <v>2828</v>
      </c>
      <c r="D1143" s="12" t="s">
        <v>2829</v>
      </c>
      <c r="E1143" s="5" t="str">
        <f t="shared" si="20"/>
        <v>https://www.screener.in/company/BLUEDART/consolidated/</v>
      </c>
      <c r="F1143" s="4">
        <v>443059</v>
      </c>
      <c r="G1143" s="4">
        <v>3832241897</v>
      </c>
      <c r="H1143" s="6">
        <f t="shared" ca="1" si="21"/>
        <v>2186868.8385230498</v>
      </c>
      <c r="I1143" s="7" t="str">
        <f ca="1">IFERROR(__xludf.DUMMYFUNCTION("IMPORTXML(E1143,""/html/body/main/div[3]/div[3]/div[2]/ul/li[5]/span[2]/span"")"),"Loading...")</f>
        <v>Loading...</v>
      </c>
      <c r="J1143" s="7">
        <f ca="1">IFERROR(__xludf.DUMMYFUNCTION("GOOGLEFINANCE(""NSE:""&amp;D1143,""marketcap"")"),135379700000)</f>
        <v>135379700000</v>
      </c>
      <c r="K1143" s="7">
        <v>992.8</v>
      </c>
      <c r="L1143" s="8">
        <f ca="1">IFERROR(__xludf.DUMMYFUNCTION("GOOGLEFINANCE(""NSE:""&amp;D1143,""price"")"),5706.5)</f>
        <v>5706.5</v>
      </c>
      <c r="M1143" s="9">
        <f t="shared" ca="1" si="22"/>
        <v>4713.7</v>
      </c>
      <c r="N1143" s="10">
        <f t="shared" ca="1" si="23"/>
        <v>474.78847703464953</v>
      </c>
      <c r="O1143" s="7">
        <f ca="1">IFERROR(__xludf.DUMMYFUNCTION("GOOGLEFINANCE(""NSE:""&amp;D1143,""pe"")"),54.63)</f>
        <v>54.63</v>
      </c>
      <c r="P1143" s="7">
        <f ca="1">IFERROR(__xludf.DUMMYFUNCTION("GOOGLEFINANCE(""NSE:""&amp;D1143,""EPS"")"),104.45)</f>
        <v>104.45</v>
      </c>
      <c r="Q1143" s="7">
        <v>13.5</v>
      </c>
      <c r="R1143" s="7" t="str">
        <f ca="1">IFERROR(__xludf.DUMMYFUNCTION("IMPORTXML(E1143,""/html/body/main/div[3]/div[3]/div[2]/ul/li[7]/span[2]/span"")"),"Loading...")</f>
        <v>Loading...</v>
      </c>
      <c r="S1143" s="7" t="str">
        <f ca="1">IFERROR(__xludf.DUMMYFUNCTION("IMPORTXML(E1143,""/html/body/main/div[3]/div[3]/div[2]/ul/li[8]/span[2]/span"")"),"Loading...")</f>
        <v>Loading...</v>
      </c>
      <c r="T1143" s="4">
        <v>34.6</v>
      </c>
      <c r="U1143" s="4">
        <v>22.7</v>
      </c>
      <c r="V1143" s="4">
        <v>2.6</v>
      </c>
      <c r="W1143" s="4">
        <v>5.7</v>
      </c>
      <c r="X1143" s="4">
        <v>519.92999999999995</v>
      </c>
      <c r="Y1143" s="7">
        <f t="shared" ca="1" si="24"/>
        <v>5186.57</v>
      </c>
    </row>
    <row r="1144" spans="1:25" ht="15" x14ac:dyDescent="0.25">
      <c r="A1144" s="4">
        <v>323</v>
      </c>
      <c r="C1144" s="12" t="s">
        <v>2830</v>
      </c>
      <c r="D1144" s="12" t="s">
        <v>2831</v>
      </c>
      <c r="E1144" s="5" t="str">
        <f t="shared" si="20"/>
        <v>https://www.screener.in/company/JLHL/consolidated/</v>
      </c>
      <c r="F1144" s="4">
        <v>443059</v>
      </c>
      <c r="G1144" s="4">
        <v>3832241897</v>
      </c>
      <c r="H1144" s="6">
        <f t="shared" ca="1" si="21"/>
        <v>546745.95144499</v>
      </c>
      <c r="I1144" s="7" t="str">
        <f ca="1">IFERROR(__xludf.DUMMYFUNCTION("IMPORTXML(E1144,""/html/body/main/div[3]/div[3]/div[2]/ul/li[5]/span[2]/span"")"),"Loading...")</f>
        <v>Loading...</v>
      </c>
      <c r="J1144" s="7">
        <f ca="1">IFERROR(__xludf.DUMMYFUNCTION("GOOGLEFINANCE(""NSE:""&amp;D1144,""marketcap"")"),94323818857)</f>
        <v>94323818857</v>
      </c>
      <c r="K1144" s="7">
        <v>992.8</v>
      </c>
      <c r="L1144" s="8">
        <f ca="1">IFERROR(__xludf.DUMMYFUNCTION("GOOGLEFINANCE(""NSE:""&amp;D1144,""price"")"),1426.7)</f>
        <v>1426.7</v>
      </c>
      <c r="M1144" s="9">
        <f t="shared" ca="1" si="22"/>
        <v>433.90000000000009</v>
      </c>
      <c r="N1144" s="10">
        <f t="shared" ca="1" si="23"/>
        <v>43.704673650282047</v>
      </c>
      <c r="O1144" s="7">
        <f ca="1">IFERROR(__xludf.DUMMYFUNCTION("GOOGLEFINANCE(""NSE:""&amp;D1144,""pe"")"),48.52)</f>
        <v>48.52</v>
      </c>
      <c r="P1144" s="7">
        <f ca="1">IFERROR(__xludf.DUMMYFUNCTION("GOOGLEFINANCE(""NSE:""&amp;D1144,""EPS"")"),29.4)</f>
        <v>29.4</v>
      </c>
      <c r="Q1144" s="7">
        <v>13.5</v>
      </c>
      <c r="R1144" s="7" t="str">
        <f ca="1">IFERROR(__xludf.DUMMYFUNCTION("IMPORTXML(E1144,""/html/body/main/div[3]/div[3]/div[2]/ul/li[7]/span[2]/span"")"),"Loading...")</f>
        <v>Loading...</v>
      </c>
      <c r="S1144" s="7" t="str">
        <f ca="1">IFERROR(__xludf.DUMMYFUNCTION("IMPORTXML(E1144,""/html/body/main/div[3]/div[3]/div[2]/ul/li[8]/span[2]/span"")"),"Loading...")</f>
        <v>Loading...</v>
      </c>
      <c r="T1144" s="4">
        <v>34.6</v>
      </c>
      <c r="U1144" s="4">
        <v>22.7</v>
      </c>
      <c r="V1144" s="4">
        <v>2.6</v>
      </c>
      <c r="W1144" s="4">
        <v>5.7</v>
      </c>
      <c r="X1144" s="4">
        <v>519.92999999999995</v>
      </c>
      <c r="Y1144" s="7">
        <f t="shared" ca="1" si="24"/>
        <v>906.7700000000001</v>
      </c>
    </row>
    <row r="1145" spans="1:25" ht="15" x14ac:dyDescent="0.25">
      <c r="A1145" s="4">
        <v>2252</v>
      </c>
      <c r="C1145" s="12" t="s">
        <v>2832</v>
      </c>
      <c r="D1145" s="12" t="s">
        <v>2833</v>
      </c>
      <c r="E1145" s="5" t="str">
        <f t="shared" si="20"/>
        <v>https://www.screener.in/company/AVROIND/consolidated/</v>
      </c>
      <c r="F1145" s="4">
        <v>443059</v>
      </c>
      <c r="G1145" s="4">
        <v>3832241897</v>
      </c>
      <c r="H1145" s="6">
        <f t="shared" ca="1" si="21"/>
        <v>54992.671221949997</v>
      </c>
      <c r="I1145" s="7" t="str">
        <f ca="1">IFERROR(__xludf.DUMMYFUNCTION("IMPORTXML(E1145,""/html/body/main/div[3]/div[3]/div[2]/ul/li[5]/span[2]/span"")"),"Loading...")</f>
        <v>Loading...</v>
      </c>
      <c r="J1145" s="7">
        <f ca="1">IFERROR(__xludf.DUMMYFUNCTION("GOOGLEFINANCE(""NSE:""&amp;D1145,""marketcap"")"),1895144717)</f>
        <v>1895144717</v>
      </c>
      <c r="K1145" s="7">
        <v>992.8</v>
      </c>
      <c r="L1145" s="8">
        <f ca="1">IFERROR(__xludf.DUMMYFUNCTION("GOOGLEFINANCE(""NSE:""&amp;D1145,""price"")"),143.5)</f>
        <v>143.5</v>
      </c>
      <c r="M1145" s="9">
        <f t="shared" ca="1" si="22"/>
        <v>-849.3</v>
      </c>
      <c r="N1145" s="10">
        <f t="shared" ca="1" si="23"/>
        <v>-85.545930701047553</v>
      </c>
      <c r="O1145" s="7">
        <f ca="1">IFERROR(__xludf.DUMMYFUNCTION("GOOGLEFINANCE(""NSE:""&amp;D1145,""pe"")"),50.35)</f>
        <v>50.35</v>
      </c>
      <c r="P1145" s="7">
        <f ca="1">IFERROR(__xludf.DUMMYFUNCTION("GOOGLEFINANCE(""NSE:""&amp;D1145,""EPS"")"),2.85)</f>
        <v>2.85</v>
      </c>
      <c r="Q1145" s="7">
        <v>13.5</v>
      </c>
      <c r="R1145" s="7" t="str">
        <f ca="1">IFERROR(__xludf.DUMMYFUNCTION("IMPORTXML(E1145,""/html/body/main/div[3]/div[3]/div[2]/ul/li[7]/span[2]/span"")"),"Loading...")</f>
        <v>Loading...</v>
      </c>
      <c r="S1145" s="7" t="str">
        <f ca="1">IFERROR(__xludf.DUMMYFUNCTION("IMPORTXML(E1145,""/html/body/main/div[3]/div[3]/div[2]/ul/li[8]/span[2]/span"")"),"Loading...")</f>
        <v>Loading...</v>
      </c>
      <c r="T1145" s="4">
        <v>34.6</v>
      </c>
      <c r="U1145" s="4">
        <v>22.7</v>
      </c>
      <c r="V1145" s="4">
        <v>2.6</v>
      </c>
      <c r="W1145" s="4">
        <v>5.7</v>
      </c>
      <c r="X1145" s="4">
        <v>519.92999999999995</v>
      </c>
      <c r="Y1145" s="7">
        <f t="shared" ca="1" si="24"/>
        <v>-376.42999999999995</v>
      </c>
    </row>
    <row r="1146" spans="1:25" ht="15" x14ac:dyDescent="0.25">
      <c r="A1146" s="4">
        <v>162</v>
      </c>
      <c r="C1146" s="12" t="s">
        <v>2834</v>
      </c>
      <c r="D1146" s="12" t="s">
        <v>2835</v>
      </c>
      <c r="E1146" s="5" t="str">
        <f t="shared" si="20"/>
        <v>https://www.screener.in/company/NEULANDLAB/consolidated/</v>
      </c>
      <c r="F1146" s="4">
        <v>443059</v>
      </c>
      <c r="G1146" s="4">
        <v>3832241897</v>
      </c>
      <c r="H1146" s="6">
        <f t="shared" ca="1" si="21"/>
        <v>5575528.7359453002</v>
      </c>
      <c r="I1146" s="7" t="str">
        <f ca="1">IFERROR(__xludf.DUMMYFUNCTION("IMPORTXML(E1146,""/html/body/main/div[3]/div[3]/div[2]/ul/li[5]/span[2]/span"")"),"Loading...")</f>
        <v>Loading...</v>
      </c>
      <c r="J1146" s="7">
        <f ca="1">IFERROR(__xludf.DUMMYFUNCTION("GOOGLEFINANCE(""NSE:""&amp;D1146,""marketcap"")"),185507400000)</f>
        <v>185507400000</v>
      </c>
      <c r="K1146" s="7">
        <v>992.8</v>
      </c>
      <c r="L1146" s="8">
        <f ca="1">IFERROR(__xludf.DUMMYFUNCTION("GOOGLEFINANCE(""NSE:""&amp;D1146,""price"")"),14549)</f>
        <v>14549</v>
      </c>
      <c r="M1146" s="9">
        <f t="shared" ca="1" si="22"/>
        <v>13556.2</v>
      </c>
      <c r="N1146" s="10">
        <f t="shared" ca="1" si="23"/>
        <v>1365.4512489927479</v>
      </c>
      <c r="O1146" s="7">
        <f ca="1">IFERROR(__xludf.DUMMYFUNCTION("GOOGLEFINANCE(""NSE:""&amp;D1146,""pe"")"),105.98)</f>
        <v>105.98</v>
      </c>
      <c r="P1146" s="7">
        <f ca="1">IFERROR(__xludf.DUMMYFUNCTION("GOOGLEFINANCE(""NSE:""&amp;D1146,""EPS"")"),137.29)</f>
        <v>137.29</v>
      </c>
      <c r="Q1146" s="7">
        <v>13.5</v>
      </c>
      <c r="R1146" s="7" t="str">
        <f ca="1">IFERROR(__xludf.DUMMYFUNCTION("IMPORTXML(E1146,""/html/body/main/div[3]/div[3]/div[2]/ul/li[7]/span[2]/span"")"),"Loading...")</f>
        <v>Loading...</v>
      </c>
      <c r="S1146" s="7" t="str">
        <f ca="1">IFERROR(__xludf.DUMMYFUNCTION("IMPORTXML(E1146,""/html/body/main/div[3]/div[3]/div[2]/ul/li[8]/span[2]/span"")"),"Loading...")</f>
        <v>Loading...</v>
      </c>
      <c r="T1146" s="4">
        <v>34.6</v>
      </c>
      <c r="U1146" s="4">
        <v>22.7</v>
      </c>
      <c r="V1146" s="4">
        <v>2.6</v>
      </c>
      <c r="W1146" s="4">
        <v>5.7</v>
      </c>
      <c r="X1146" s="4">
        <v>519.92999999999995</v>
      </c>
      <c r="Y1146" s="7">
        <f t="shared" ca="1" si="24"/>
        <v>14029.07</v>
      </c>
    </row>
    <row r="1147" spans="1:25" ht="15" x14ac:dyDescent="0.25">
      <c r="A1147" s="4">
        <v>1153</v>
      </c>
      <c r="C1147" s="12" t="s">
        <v>2836</v>
      </c>
      <c r="D1147" s="12" t="s">
        <v>2837</v>
      </c>
      <c r="E1147" s="5" t="str">
        <f t="shared" si="20"/>
        <v>https://www.screener.in/company/HARDWYN/consolidated/</v>
      </c>
      <c r="F1147" s="4">
        <v>443059</v>
      </c>
      <c r="G1147" s="4">
        <v>3832241897</v>
      </c>
      <c r="H1147" s="6">
        <f t="shared" ca="1" si="21"/>
        <v>5096.8817230100003</v>
      </c>
      <c r="I1147" s="7" t="str">
        <f ca="1">IFERROR(__xludf.DUMMYFUNCTION("IMPORTXML(E1147,""/html/body/main/div[3]/div[3]/div[2]/ul/li[5]/span[2]/span"")"),"Loading...")</f>
        <v>Loading...</v>
      </c>
      <c r="J1147" s="7">
        <f ca="1">IFERROR(__xludf.DUMMYFUNCTION("GOOGLEFINANCE(""NSE:""&amp;D1147,""marketcap"")"),6496172293)</f>
        <v>6496172293</v>
      </c>
      <c r="K1147" s="7">
        <v>992.8</v>
      </c>
      <c r="L1147" s="8">
        <f ca="1">IFERROR(__xludf.DUMMYFUNCTION("GOOGLEFINANCE(""NSE:""&amp;D1147,""price"")"),13.3)</f>
        <v>13.3</v>
      </c>
      <c r="M1147" s="9">
        <f t="shared" ca="1" si="22"/>
        <v>-979.5</v>
      </c>
      <c r="N1147" s="10">
        <f t="shared" ca="1" si="23"/>
        <v>-98.660354552780021</v>
      </c>
      <c r="O1147" s="7">
        <f ca="1">IFERROR(__xludf.DUMMYFUNCTION("GOOGLEFINANCE(""NSE:""&amp;D1147,""pe"")"),49.52)</f>
        <v>49.52</v>
      </c>
      <c r="P1147" s="7">
        <f ca="1">IFERROR(__xludf.DUMMYFUNCTION("GOOGLEFINANCE(""NSE:""&amp;D1147,""EPS"")"),0.27)</f>
        <v>0.27</v>
      </c>
      <c r="Q1147" s="7">
        <v>13.5</v>
      </c>
      <c r="R1147" s="7" t="str">
        <f ca="1">IFERROR(__xludf.DUMMYFUNCTION("IMPORTXML(E1147,""/html/body/main/div[3]/div[3]/div[2]/ul/li[7]/span[2]/span"")"),"Loading...")</f>
        <v>Loading...</v>
      </c>
      <c r="S1147" s="7" t="str">
        <f ca="1">IFERROR(__xludf.DUMMYFUNCTION("IMPORTXML(E1147,""/html/body/main/div[3]/div[3]/div[2]/ul/li[8]/span[2]/span"")"),"Loading...")</f>
        <v>Loading...</v>
      </c>
      <c r="T1147" s="4">
        <v>34.6</v>
      </c>
      <c r="U1147" s="4">
        <v>22.7</v>
      </c>
      <c r="V1147" s="4">
        <v>2.6</v>
      </c>
      <c r="W1147" s="4">
        <v>5.7</v>
      </c>
      <c r="X1147" s="4">
        <v>519.92999999999995</v>
      </c>
      <c r="Y1147" s="7">
        <f t="shared" ca="1" si="24"/>
        <v>-506.62999999999994</v>
      </c>
    </row>
    <row r="1148" spans="1:25" ht="15" x14ac:dyDescent="0.25">
      <c r="A1148" s="4">
        <v>343</v>
      </c>
      <c r="C1148" s="12" t="s">
        <v>2838</v>
      </c>
      <c r="D1148" s="12" t="s">
        <v>2839</v>
      </c>
      <c r="E1148" s="5" t="str">
        <f t="shared" si="20"/>
        <v>https://www.screener.in/company/RELIGARE/consolidated/</v>
      </c>
      <c r="F1148" s="4">
        <v>443059</v>
      </c>
      <c r="G1148" s="4">
        <v>3832241897</v>
      </c>
      <c r="H1148" s="6">
        <f t="shared" ca="1" si="21"/>
        <v>96718.120996486003</v>
      </c>
      <c r="I1148" s="7" t="str">
        <f ca="1">IFERROR(__xludf.DUMMYFUNCTION("IMPORTXML(E1148,""/html/body/main/div[3]/div[3]/div[2]/ul/li[5]/span[2]/span"")"),"Loading...")</f>
        <v>Loading...</v>
      </c>
      <c r="J1148" s="7">
        <f ca="1">IFERROR(__xludf.DUMMYFUNCTION("GOOGLEFINANCE(""NSE:""&amp;D1148,""marketcap"")"),83773219270)</f>
        <v>83773219270</v>
      </c>
      <c r="K1148" s="7">
        <v>992.8</v>
      </c>
      <c r="L1148" s="8">
        <f ca="1">IFERROR(__xludf.DUMMYFUNCTION("GOOGLEFINANCE(""NSE:""&amp;D1148,""price"")"),252.38)</f>
        <v>252.38</v>
      </c>
      <c r="M1148" s="9">
        <f t="shared" ca="1" si="22"/>
        <v>-740.42</v>
      </c>
      <c r="N1148" s="10">
        <f t="shared" ca="1" si="23"/>
        <v>-74.578968573730862</v>
      </c>
      <c r="O1148" s="7">
        <f ca="1">IFERROR(__xludf.DUMMYFUNCTION("GOOGLEFINANCE(""NSE:""&amp;D1148,""pe"")"),71.5)</f>
        <v>71.5</v>
      </c>
      <c r="P1148" s="7">
        <f ca="1">IFERROR(__xludf.DUMMYFUNCTION("GOOGLEFINANCE(""NSE:""&amp;D1148,""EPS"")"),3.53)</f>
        <v>3.53</v>
      </c>
      <c r="Q1148" s="7">
        <v>13.5</v>
      </c>
      <c r="R1148" s="7" t="str">
        <f ca="1">IFERROR(__xludf.DUMMYFUNCTION("IMPORTXML(E1148,""/html/body/main/div[3]/div[3]/div[2]/ul/li[7]/span[2]/span"")"),"Loading...")</f>
        <v>Loading...</v>
      </c>
      <c r="S1148" s="7" t="str">
        <f ca="1">IFERROR(__xludf.DUMMYFUNCTION("IMPORTXML(E1148,""/html/body/main/div[3]/div[3]/div[2]/ul/li[8]/span[2]/span"")"),"Loading...")</f>
        <v>Loading...</v>
      </c>
      <c r="T1148" s="4">
        <v>34.6</v>
      </c>
      <c r="U1148" s="4">
        <v>22.7</v>
      </c>
      <c r="V1148" s="4">
        <v>2.6</v>
      </c>
      <c r="W1148" s="4">
        <v>5.7</v>
      </c>
      <c r="X1148" s="4">
        <v>519.92999999999995</v>
      </c>
      <c r="Y1148" s="7">
        <f t="shared" ca="1" si="24"/>
        <v>-267.54999999999995</v>
      </c>
    </row>
    <row r="1149" spans="1:25" ht="15" x14ac:dyDescent="0.25">
      <c r="A1149" s="4">
        <v>184</v>
      </c>
      <c r="C1149" s="12" t="s">
        <v>2840</v>
      </c>
      <c r="D1149" s="12" t="s">
        <v>2841</v>
      </c>
      <c r="E1149" s="5" t="str">
        <f t="shared" si="20"/>
        <v>https://www.screener.in/company/DATAPATTNS/consolidated/</v>
      </c>
      <c r="F1149" s="4">
        <v>443059</v>
      </c>
      <c r="G1149" s="4">
        <v>3832241897</v>
      </c>
      <c r="H1149" s="6">
        <f t="shared" ca="1" si="21"/>
        <v>946180.52436929999</v>
      </c>
      <c r="I1149" s="7" t="str">
        <f ca="1">IFERROR(__xludf.DUMMYFUNCTION("IMPORTXML(E1149,""/html/body/main/div[3]/div[3]/div[2]/ul/li[5]/span[2]/span"")"),"Loading...")</f>
        <v>Loading...</v>
      </c>
      <c r="J1149" s="7">
        <f ca="1">IFERROR(__xludf.DUMMYFUNCTION("GOOGLEFINANCE(""NSE:""&amp;D1149,""marketcap"")"),138224372550)</f>
        <v>138224372550</v>
      </c>
      <c r="K1149" s="7">
        <v>992.8</v>
      </c>
      <c r="L1149" s="8">
        <f ca="1">IFERROR(__xludf.DUMMYFUNCTION("GOOGLEFINANCE(""NSE:""&amp;D1149,""price"")"),2469)</f>
        <v>2469</v>
      </c>
      <c r="M1149" s="9">
        <f t="shared" ca="1" si="22"/>
        <v>1476.2</v>
      </c>
      <c r="N1149" s="10">
        <f t="shared" ca="1" si="23"/>
        <v>148.69057211925866</v>
      </c>
      <c r="O1149" s="7">
        <f ca="1">IFERROR(__xludf.DUMMYFUNCTION("GOOGLEFINANCE(""NSE:""&amp;D1149,""pe"")"),64.74)</f>
        <v>64.739999999999995</v>
      </c>
      <c r="P1149" s="7">
        <f ca="1">IFERROR(__xludf.DUMMYFUNCTION("GOOGLEFINANCE(""NSE:""&amp;D1149,""EPS"")"),38.14)</f>
        <v>38.14</v>
      </c>
      <c r="Q1149" s="7">
        <v>13.5</v>
      </c>
      <c r="R1149" s="7" t="str">
        <f ca="1">IFERROR(__xludf.DUMMYFUNCTION("IMPORTXML(E1149,""/html/body/main/div[3]/div[3]/div[2]/ul/li[7]/span[2]/span"")"),"Loading...")</f>
        <v>Loading...</v>
      </c>
      <c r="S1149" s="7" t="str">
        <f ca="1">IFERROR(__xludf.DUMMYFUNCTION("IMPORTXML(E1149,""/html/body/main/div[3]/div[3]/div[2]/ul/li[8]/span[2]/span"")"),"Loading...")</f>
        <v>Loading...</v>
      </c>
      <c r="T1149" s="4">
        <v>34.6</v>
      </c>
      <c r="U1149" s="4">
        <v>22.7</v>
      </c>
      <c r="V1149" s="4">
        <v>2.6</v>
      </c>
      <c r="W1149" s="4">
        <v>5.7</v>
      </c>
      <c r="X1149" s="4">
        <v>519.92999999999995</v>
      </c>
      <c r="Y1149" s="7">
        <f t="shared" ca="1" si="24"/>
        <v>1949.0700000000002</v>
      </c>
    </row>
    <row r="1150" spans="1:25" ht="15" x14ac:dyDescent="0.25">
      <c r="A1150" s="4">
        <v>172</v>
      </c>
      <c r="C1150" s="12" t="s">
        <v>2842</v>
      </c>
      <c r="D1150" s="12" t="s">
        <v>2843</v>
      </c>
      <c r="E1150" s="5" t="str">
        <f t="shared" si="20"/>
        <v>https://www.screener.in/company/CLEAN/consolidated/</v>
      </c>
      <c r="F1150" s="4">
        <v>443059</v>
      </c>
      <c r="G1150" s="4">
        <v>3832241897</v>
      </c>
      <c r="H1150" s="6">
        <f t="shared" ca="1" si="21"/>
        <v>455270.33736359997</v>
      </c>
      <c r="I1150" s="7" t="str">
        <f ca="1">IFERROR(__xludf.DUMMYFUNCTION("IMPORTXML(E1150,""/html/body/main/div[3]/div[3]/div[2]/ul/li[5]/span[2]/span"")"),"Loading...")</f>
        <v>Loading...</v>
      </c>
      <c r="J1150" s="7">
        <f ca="1">IFERROR(__xludf.DUMMYFUNCTION("GOOGLEFINANCE(""NSE:""&amp;D1150,""marketcap"")"),126253274400)</f>
        <v>126253274400</v>
      </c>
      <c r="K1150" s="7">
        <v>992.8</v>
      </c>
      <c r="L1150" s="8">
        <f ca="1">IFERROR(__xludf.DUMMYFUNCTION("GOOGLEFINANCE(""NSE:""&amp;D1150,""price"")"),1188)</f>
        <v>1188</v>
      </c>
      <c r="M1150" s="9">
        <f t="shared" ca="1" si="22"/>
        <v>195.20000000000005</v>
      </c>
      <c r="N1150" s="10">
        <f t="shared" ca="1" si="23"/>
        <v>19.661563255439169</v>
      </c>
      <c r="O1150" s="7">
        <f ca="1">IFERROR(__xludf.DUMMYFUNCTION("GOOGLEFINANCE(""NSE:""&amp;D1150,""pe"")"),47.01)</f>
        <v>47.01</v>
      </c>
      <c r="P1150" s="7">
        <f ca="1">IFERROR(__xludf.DUMMYFUNCTION("GOOGLEFINANCE(""NSE:""&amp;D1150,""EPS"")"),25.27)</f>
        <v>25.27</v>
      </c>
      <c r="Q1150" s="7">
        <v>13.5</v>
      </c>
      <c r="R1150" s="7" t="str">
        <f ca="1">IFERROR(__xludf.DUMMYFUNCTION("IMPORTXML(E1150,""/html/body/main/div[3]/div[3]/div[2]/ul/li[7]/span[2]/span"")"),"Loading...")</f>
        <v>Loading...</v>
      </c>
      <c r="S1150" s="7" t="str">
        <f ca="1">IFERROR(__xludf.DUMMYFUNCTION("IMPORTXML(E1150,""/html/body/main/div[3]/div[3]/div[2]/ul/li[8]/span[2]/span"")"),"Loading...")</f>
        <v>Loading...</v>
      </c>
      <c r="T1150" s="4">
        <v>34.6</v>
      </c>
      <c r="U1150" s="4">
        <v>22.7</v>
      </c>
      <c r="V1150" s="4">
        <v>2.6</v>
      </c>
      <c r="W1150" s="4">
        <v>5.7</v>
      </c>
      <c r="X1150" s="4">
        <v>519.92999999999995</v>
      </c>
      <c r="Y1150" s="7">
        <f t="shared" ca="1" si="24"/>
        <v>668.07</v>
      </c>
    </row>
    <row r="1151" spans="1:25" ht="15" x14ac:dyDescent="0.25">
      <c r="A1151" s="4">
        <v>935</v>
      </c>
      <c r="C1151" s="12" t="s">
        <v>2844</v>
      </c>
      <c r="D1151" s="12" t="s">
        <v>2845</v>
      </c>
      <c r="E1151" s="5" t="str">
        <f t="shared" si="20"/>
        <v>https://www.screener.in/company/GRPLTD/consolidated/</v>
      </c>
      <c r="F1151" s="4">
        <v>443059</v>
      </c>
      <c r="G1151" s="4">
        <v>3832241897</v>
      </c>
      <c r="H1151" s="6">
        <f t="shared" ca="1" si="21"/>
        <v>819716.5417683</v>
      </c>
      <c r="I1151" s="7" t="str">
        <f ca="1">IFERROR(__xludf.DUMMYFUNCTION("IMPORTXML(E1151,""/html/body/main/div[3]/div[3]/div[2]/ul/li[5]/span[2]/span"")"),"Loading...")</f>
        <v>Loading...</v>
      </c>
      <c r="J1151" s="7">
        <f ca="1">IFERROR(__xludf.DUMMYFUNCTION("GOOGLEFINANCE(""NSE:""&amp;D1151,""marketcap"")"),11363200000)</f>
        <v>11363200000</v>
      </c>
      <c r="K1151" s="7">
        <v>992.8</v>
      </c>
      <c r="L1151" s="8">
        <f ca="1">IFERROR(__xludf.DUMMYFUNCTION("GOOGLEFINANCE(""NSE:""&amp;D1151,""price"")"),2139)</f>
        <v>2139</v>
      </c>
      <c r="M1151" s="9">
        <f t="shared" ca="1" si="22"/>
        <v>1146.2</v>
      </c>
      <c r="N1151" s="10">
        <f t="shared" ca="1" si="23"/>
        <v>115.45124899274779</v>
      </c>
      <c r="O1151" s="7">
        <f ca="1">IFERROR(__xludf.DUMMYFUNCTION("GOOGLEFINANCE(""NSE:""&amp;D1151,""pe"")"),40.63)</f>
        <v>40.630000000000003</v>
      </c>
      <c r="P1151" s="7">
        <f ca="1">IFERROR(__xludf.DUMMYFUNCTION("GOOGLEFINANCE(""NSE:""&amp;D1151,""EPS"")"),52.64)</f>
        <v>52.64</v>
      </c>
      <c r="Q1151" s="7">
        <v>13.5</v>
      </c>
      <c r="R1151" s="7" t="str">
        <f ca="1">IFERROR(__xludf.DUMMYFUNCTION("IMPORTXML(E1151,""/html/body/main/div[3]/div[3]/div[2]/ul/li[7]/span[2]/span"")"),"Loading...")</f>
        <v>Loading...</v>
      </c>
      <c r="S1151" s="7" t="str">
        <f ca="1">IFERROR(__xludf.DUMMYFUNCTION("IMPORTXML(E1151,""/html/body/main/div[3]/div[3]/div[2]/ul/li[8]/span[2]/span"")"),"Loading...")</f>
        <v>Loading...</v>
      </c>
      <c r="T1151" s="4">
        <v>34.6</v>
      </c>
      <c r="U1151" s="4">
        <v>22.7</v>
      </c>
      <c r="V1151" s="4">
        <v>2.6</v>
      </c>
      <c r="W1151" s="4">
        <v>5.7</v>
      </c>
      <c r="X1151" s="4">
        <v>519.92999999999995</v>
      </c>
      <c r="Y1151" s="7">
        <f t="shared" ca="1" si="24"/>
        <v>1619.0700000000002</v>
      </c>
    </row>
    <row r="1152" spans="1:25" ht="15" x14ac:dyDescent="0.25">
      <c r="A1152" s="4">
        <v>1478</v>
      </c>
      <c r="C1152" s="12" t="s">
        <v>2846</v>
      </c>
      <c r="D1152" s="12" t="s">
        <v>2847</v>
      </c>
      <c r="E1152" s="5" t="str">
        <f t="shared" si="20"/>
        <v>https://www.screener.in/company/XTGLOBAL/consolidated/</v>
      </c>
      <c r="F1152" s="4">
        <v>443059</v>
      </c>
      <c r="G1152" s="4">
        <v>3832241897</v>
      </c>
      <c r="H1152" s="6">
        <f t="shared" ca="1" si="21"/>
        <v>13566.136315379999</v>
      </c>
      <c r="I1152" s="7" t="str">
        <f ca="1">IFERROR(__xludf.DUMMYFUNCTION("IMPORTXML(E1152,""/html/body/main/div[3]/div[3]/div[2]/ul/li[5]/span[2]/span"")"),"Loading...")</f>
        <v>Loading...</v>
      </c>
      <c r="J1152" s="7">
        <f ca="1">IFERROR(__xludf.DUMMYFUNCTION("GOOGLEFINANCE(""NSE:""&amp;D1152,""marketcap"")"),4728102083)</f>
        <v>4728102083</v>
      </c>
      <c r="K1152" s="7">
        <v>992.8</v>
      </c>
      <c r="L1152" s="8">
        <f ca="1">IFERROR(__xludf.DUMMYFUNCTION("GOOGLEFINANCE(""NSE:""&amp;D1152,""price"")"),35.4)</f>
        <v>35.4</v>
      </c>
      <c r="M1152" s="9">
        <f t="shared" ca="1" si="22"/>
        <v>-957.4</v>
      </c>
      <c r="N1152" s="10">
        <f t="shared" ca="1" si="23"/>
        <v>-96.434327155519739</v>
      </c>
      <c r="O1152" s="7">
        <f ca="1">IFERROR(__xludf.DUMMYFUNCTION("GOOGLEFINANCE(""NSE:""&amp;D1152,""pe"")"),49.17)</f>
        <v>49.17</v>
      </c>
      <c r="P1152" s="7">
        <f ca="1">IFERROR(__xludf.DUMMYFUNCTION("GOOGLEFINANCE(""NSE:""&amp;D1152,""EPS"")"),0.72)</f>
        <v>0.72</v>
      </c>
      <c r="Q1152" s="7">
        <v>13.5</v>
      </c>
      <c r="R1152" s="7" t="str">
        <f ca="1">IFERROR(__xludf.DUMMYFUNCTION("IMPORTXML(E1152,""/html/body/main/div[3]/div[3]/div[2]/ul/li[7]/span[2]/span"")"),"Loading...")</f>
        <v>Loading...</v>
      </c>
      <c r="S1152" s="7" t="str">
        <f ca="1">IFERROR(__xludf.DUMMYFUNCTION("IMPORTXML(E1152,""/html/body/main/div[3]/div[3]/div[2]/ul/li[8]/span[2]/span"")"),"Loading...")</f>
        <v>Loading...</v>
      </c>
      <c r="T1152" s="4">
        <v>34.6</v>
      </c>
      <c r="U1152" s="4">
        <v>22.7</v>
      </c>
      <c r="V1152" s="4">
        <v>2.6</v>
      </c>
      <c r="W1152" s="4">
        <v>5.7</v>
      </c>
      <c r="X1152" s="4">
        <v>519.92999999999995</v>
      </c>
      <c r="Y1152" s="7">
        <f t="shared" ca="1" si="24"/>
        <v>-484.53</v>
      </c>
    </row>
    <row r="1153" spans="1:25" ht="15" x14ac:dyDescent="0.25">
      <c r="A1153" s="4">
        <v>2313</v>
      </c>
      <c r="C1153" s="12" t="s">
        <v>2848</v>
      </c>
      <c r="D1153" s="12" t="s">
        <v>2849</v>
      </c>
      <c r="E1153" s="5" t="str">
        <f t="shared" si="20"/>
        <v>https://www.screener.in/company/MOTOGENFIN/consolidated/</v>
      </c>
      <c r="F1153" s="4">
        <v>443059</v>
      </c>
      <c r="G1153" s="4">
        <v>3832241897</v>
      </c>
      <c r="H1153" s="6">
        <f t="shared" ca="1" si="21"/>
        <v>10327.891912415</v>
      </c>
      <c r="I1153" s="7" t="str">
        <f ca="1">IFERROR(__xludf.DUMMYFUNCTION("IMPORTXML(E1153,""/html/body/main/div[3]/div[3]/div[2]/ul/li[5]/span[2]/span"")"),"Loading...")</f>
        <v>Loading...</v>
      </c>
      <c r="J1153" s="7">
        <f ca="1">IFERROR(__xludf.DUMMYFUNCTION("GOOGLEFINANCE(""NSE:""&amp;D1153,""marketcap"")"),1028207000)</f>
        <v>1028207000</v>
      </c>
      <c r="K1153" s="7">
        <v>992.8</v>
      </c>
      <c r="L1153" s="8">
        <f ca="1">IFERROR(__xludf.DUMMYFUNCTION("GOOGLEFINANCE(""NSE:""&amp;D1153,""price"")"),26.95)</f>
        <v>26.95</v>
      </c>
      <c r="M1153" s="9">
        <f t="shared" ca="1" si="22"/>
        <v>-965.84999999999991</v>
      </c>
      <c r="N1153" s="10">
        <f t="shared" ca="1" si="23"/>
        <v>-97.285455278001606</v>
      </c>
      <c r="O1153" s="7">
        <f ca="1">IFERROR(__xludf.DUMMYFUNCTION("GOOGLEFINANCE(""NSE:""&amp;D1153,""pe"")"),147.69)</f>
        <v>147.69</v>
      </c>
      <c r="P1153" s="7">
        <f ca="1">IFERROR(__xludf.DUMMYFUNCTION("GOOGLEFINANCE(""NSE:""&amp;D1153,""EPS"")"),0.18)</f>
        <v>0.18</v>
      </c>
      <c r="Q1153" s="7">
        <v>13.5</v>
      </c>
      <c r="R1153" s="7" t="str">
        <f ca="1">IFERROR(__xludf.DUMMYFUNCTION("IMPORTXML(E1153,""/html/body/main/div[3]/div[3]/div[2]/ul/li[7]/span[2]/span"")"),"Loading...")</f>
        <v>Loading...</v>
      </c>
      <c r="S1153" s="7" t="str">
        <f ca="1">IFERROR(__xludf.DUMMYFUNCTION("IMPORTXML(E1153,""/html/body/main/div[3]/div[3]/div[2]/ul/li[8]/span[2]/span"")"),"Loading...")</f>
        <v>Loading...</v>
      </c>
      <c r="T1153" s="4">
        <v>34.6</v>
      </c>
      <c r="U1153" s="4">
        <v>22.7</v>
      </c>
      <c r="V1153" s="4">
        <v>2.6</v>
      </c>
      <c r="W1153" s="4">
        <v>5.7</v>
      </c>
      <c r="X1153" s="4">
        <v>519.92999999999995</v>
      </c>
      <c r="Y1153" s="7">
        <f t="shared" ca="1" si="24"/>
        <v>-492.97999999999996</v>
      </c>
    </row>
    <row r="1154" spans="1:25" ht="15" x14ac:dyDescent="0.25">
      <c r="A1154" s="4">
        <v>3017</v>
      </c>
      <c r="C1154" s="12" t="s">
        <v>2850</v>
      </c>
      <c r="D1154" s="12" t="s">
        <v>2851</v>
      </c>
      <c r="E1154" s="5" t="str">
        <f t="shared" si="20"/>
        <v>https://www.screener.in/company/MADHAV/consolidated/</v>
      </c>
      <c r="F1154" s="4">
        <v>443059</v>
      </c>
      <c r="G1154" s="4">
        <v>3832241897</v>
      </c>
      <c r="H1154" s="6">
        <f t="shared" ca="1" si="21"/>
        <v>17934.892077959998</v>
      </c>
      <c r="I1154" s="7" t="str">
        <f ca="1">IFERROR(__xludf.DUMMYFUNCTION("IMPORTXML(E1154,""/html/body/main/div[3]/div[3]/div[2]/ul/li[5]/span[2]/span"")"),"Loading...")</f>
        <v>Loading...</v>
      </c>
      <c r="J1154" s="7">
        <f ca="1">IFERROR(__xludf.DUMMYFUNCTION("GOOGLEFINANCE(""NSE:""&amp;D1154,""marketcap"")"),412814600)</f>
        <v>412814600</v>
      </c>
      <c r="K1154" s="7">
        <v>992.8</v>
      </c>
      <c r="L1154" s="8">
        <f ca="1">IFERROR(__xludf.DUMMYFUNCTION("GOOGLEFINANCE(""NSE:""&amp;D1154,""price"")"),46.8)</f>
        <v>46.8</v>
      </c>
      <c r="M1154" s="9">
        <f t="shared" ca="1" si="22"/>
        <v>-946</v>
      </c>
      <c r="N1154" s="10">
        <f t="shared" ca="1" si="23"/>
        <v>-95.286059629331191</v>
      </c>
      <c r="O1154" s="7" t="str">
        <f ca="1">IFERROR(__xludf.DUMMYFUNCTION("GOOGLEFINANCE(""NSE:""&amp;D1154,""pe"")"),"#N/A")</f>
        <v>#N/A</v>
      </c>
      <c r="P1154" s="7">
        <f ca="1">IFERROR(__xludf.DUMMYFUNCTION("GOOGLEFINANCE(""NSE:""&amp;D1154,""EPS"")"),-0.5)</f>
        <v>-0.5</v>
      </c>
      <c r="Q1154" s="7">
        <v>13.5</v>
      </c>
      <c r="R1154" s="7" t="str">
        <f ca="1">IFERROR(__xludf.DUMMYFUNCTION("IMPORTXML(E1154,""/html/body/main/div[3]/div[3]/div[2]/ul/li[7]/span[2]/span"")"),"Loading...")</f>
        <v>Loading...</v>
      </c>
      <c r="S1154" s="7" t="str">
        <f ca="1">IFERROR(__xludf.DUMMYFUNCTION("IMPORTXML(E1154,""/html/body/main/div[3]/div[3]/div[2]/ul/li[8]/span[2]/span"")"),"Loading...")</f>
        <v>Loading...</v>
      </c>
      <c r="T1154" s="4">
        <v>34.6</v>
      </c>
      <c r="U1154" s="4">
        <v>22.7</v>
      </c>
      <c r="V1154" s="4">
        <v>2.6</v>
      </c>
      <c r="W1154" s="4">
        <v>5.7</v>
      </c>
      <c r="X1154" s="4">
        <v>519.92999999999995</v>
      </c>
      <c r="Y1154" s="7">
        <f t="shared" ca="1" si="24"/>
        <v>-473.12999999999994</v>
      </c>
    </row>
    <row r="1155" spans="1:25" ht="15" x14ac:dyDescent="0.25">
      <c r="A1155" s="4">
        <v>132</v>
      </c>
      <c r="C1155" s="12" t="s">
        <v>2852</v>
      </c>
      <c r="D1155" s="12" t="s">
        <v>2853</v>
      </c>
      <c r="E1155" s="5" t="str">
        <f t="shared" si="20"/>
        <v>https://www.screener.in/company/ERIS/consolidated/</v>
      </c>
      <c r="F1155" s="4">
        <v>443059</v>
      </c>
      <c r="G1155" s="4">
        <v>3832241897</v>
      </c>
      <c r="H1155" s="6">
        <f t="shared" ca="1" si="21"/>
        <v>664510.7449398</v>
      </c>
      <c r="I1155" s="7" t="str">
        <f ca="1">IFERROR(__xludf.DUMMYFUNCTION("IMPORTXML(E1155,""/html/body/main/div[3]/div[3]/div[2]/ul/li[5]/span[2]/span"")"),"Loading...")</f>
        <v>Loading...</v>
      </c>
      <c r="J1155" s="7">
        <f ca="1">IFERROR(__xludf.DUMMYFUNCTION("GOOGLEFINANCE(""NSE:""&amp;D1155,""marketcap"")"),236194209000)</f>
        <v>236194209000</v>
      </c>
      <c r="K1155" s="7">
        <v>992.8</v>
      </c>
      <c r="L1155" s="8">
        <f ca="1">IFERROR(__xludf.DUMMYFUNCTION("GOOGLEFINANCE(""NSE:""&amp;D1155,""price"")"),1734)</f>
        <v>1734</v>
      </c>
      <c r="M1155" s="9">
        <f t="shared" ca="1" si="22"/>
        <v>741.2</v>
      </c>
      <c r="N1155" s="10">
        <f t="shared" ca="1" si="23"/>
        <v>74.657534246575352</v>
      </c>
      <c r="O1155" s="7">
        <f ca="1">IFERROR(__xludf.DUMMYFUNCTION("GOOGLEFINANCE(""NSE:""&amp;D1155,""pe"")"),61.15)</f>
        <v>61.15</v>
      </c>
      <c r="P1155" s="7">
        <f ca="1">IFERROR(__xludf.DUMMYFUNCTION("GOOGLEFINANCE(""NSE:""&amp;D1155,""EPS"")"),28.35)</f>
        <v>28.35</v>
      </c>
      <c r="Q1155" s="7">
        <v>13.5</v>
      </c>
      <c r="R1155" s="7" t="str">
        <f ca="1">IFERROR(__xludf.DUMMYFUNCTION("IMPORTXML(E1155,""/html/body/main/div[3]/div[3]/div[2]/ul/li[7]/span[2]/span"")"),"Loading...")</f>
        <v>Loading...</v>
      </c>
      <c r="S1155" s="7" t="str">
        <f ca="1">IFERROR(__xludf.DUMMYFUNCTION("IMPORTXML(E1155,""/html/body/main/div[3]/div[3]/div[2]/ul/li[8]/span[2]/span"")"),"Loading...")</f>
        <v>Loading...</v>
      </c>
      <c r="T1155" s="4">
        <v>34.6</v>
      </c>
      <c r="U1155" s="4">
        <v>22.7</v>
      </c>
      <c r="V1155" s="4">
        <v>2.6</v>
      </c>
      <c r="W1155" s="4">
        <v>5.7</v>
      </c>
      <c r="X1155" s="4">
        <v>519.92999999999995</v>
      </c>
      <c r="Y1155" s="7">
        <f t="shared" ca="1" si="24"/>
        <v>1214.0700000000002</v>
      </c>
    </row>
    <row r="1156" spans="1:25" ht="15" x14ac:dyDescent="0.25">
      <c r="A1156" s="4">
        <v>880</v>
      </c>
      <c r="C1156" s="12" t="s">
        <v>2854</v>
      </c>
      <c r="D1156" s="12" t="s">
        <v>2855</v>
      </c>
      <c r="E1156" s="5" t="str">
        <f t="shared" si="20"/>
        <v>https://www.screener.in/company/SBGLP/consolidated/</v>
      </c>
      <c r="F1156" s="4">
        <v>443059</v>
      </c>
      <c r="G1156" s="4">
        <v>3832241897</v>
      </c>
      <c r="H1156" s="6">
        <f t="shared" ca="1" si="21"/>
        <v>13221.23454465</v>
      </c>
      <c r="I1156" s="7" t="str">
        <f ca="1">IFERROR(__xludf.DUMMYFUNCTION("IMPORTXML(E1156,""/html/body/main/div[3]/div[3]/div[2]/ul/li[5]/span[2]/span"")"),"Loading...")</f>
        <v>Loading...</v>
      </c>
      <c r="J1156" s="7">
        <f ca="1">IFERROR(__xludf.DUMMYFUNCTION("GOOGLEFINANCE(""NSE:""&amp;D1156,""marketcap"")"),5982865800)</f>
        <v>5982865800</v>
      </c>
      <c r="K1156" s="7">
        <v>992.8</v>
      </c>
      <c r="L1156" s="8">
        <f ca="1">IFERROR(__xludf.DUMMYFUNCTION("GOOGLEFINANCE(""NSE:""&amp;D1156,""price"")"),34.5)</f>
        <v>34.5</v>
      </c>
      <c r="M1156" s="9">
        <f t="shared" ca="1" si="22"/>
        <v>-958.3</v>
      </c>
      <c r="N1156" s="10">
        <f t="shared" ca="1" si="23"/>
        <v>-96.524979854955689</v>
      </c>
      <c r="O1156" s="7">
        <f ca="1">IFERROR(__xludf.DUMMYFUNCTION("GOOGLEFINANCE(""NSE:""&amp;D1156,""pe"")"),48.39)</f>
        <v>48.39</v>
      </c>
      <c r="P1156" s="7">
        <f ca="1">IFERROR(__xludf.DUMMYFUNCTION("GOOGLEFINANCE(""NSE:""&amp;D1156,""EPS"")"),0.71)</f>
        <v>0.71</v>
      </c>
      <c r="Q1156" s="7">
        <v>13.5</v>
      </c>
      <c r="R1156" s="7" t="str">
        <f ca="1">IFERROR(__xludf.DUMMYFUNCTION("IMPORTXML(E1156,""/html/body/main/div[3]/div[3]/div[2]/ul/li[7]/span[2]/span"")"),"Loading...")</f>
        <v>Loading...</v>
      </c>
      <c r="S1156" s="7" t="str">
        <f ca="1">IFERROR(__xludf.DUMMYFUNCTION("IMPORTXML(E1156,""/html/body/main/div[3]/div[3]/div[2]/ul/li[8]/span[2]/span"")"),"Loading...")</f>
        <v>Loading...</v>
      </c>
      <c r="T1156" s="4">
        <v>34.6</v>
      </c>
      <c r="U1156" s="4">
        <v>22.7</v>
      </c>
      <c r="V1156" s="4">
        <v>2.6</v>
      </c>
      <c r="W1156" s="4">
        <v>5.7</v>
      </c>
      <c r="X1156" s="4">
        <v>519.92999999999995</v>
      </c>
      <c r="Y1156" s="7">
        <f t="shared" ca="1" si="24"/>
        <v>-485.42999999999995</v>
      </c>
    </row>
    <row r="1157" spans="1:25" ht="15" x14ac:dyDescent="0.25">
      <c r="A1157" s="4">
        <v>2328</v>
      </c>
      <c r="C1157" s="12" t="s">
        <v>2856</v>
      </c>
      <c r="D1157" s="12" t="s">
        <v>2857</v>
      </c>
      <c r="E1157" s="5" t="str">
        <f t="shared" si="20"/>
        <v>https://www.screener.in/company/GOYALALUM/consolidated/</v>
      </c>
      <c r="F1157" s="4">
        <v>443059</v>
      </c>
      <c r="G1157" s="4">
        <v>3832241897</v>
      </c>
      <c r="H1157" s="6">
        <f t="shared" ca="1" si="21"/>
        <v>2839.6912456770001</v>
      </c>
      <c r="I1157" s="7" t="str">
        <f ca="1">IFERROR(__xludf.DUMMYFUNCTION("IMPORTXML(E1157,""/html/body/main/div[3]/div[3]/div[2]/ul/li[5]/span[2]/span"")"),"Loading...")</f>
        <v>Loading...</v>
      </c>
      <c r="J1157" s="7">
        <f ca="1">IFERROR(__xludf.DUMMYFUNCTION("GOOGLEFINANCE(""NSE:""&amp;D1157,""marketcap"")"),1025650691)</f>
        <v>1025650691</v>
      </c>
      <c r="K1157" s="7">
        <v>992.8</v>
      </c>
      <c r="L1157" s="8">
        <f ca="1">IFERROR(__xludf.DUMMYFUNCTION("GOOGLEFINANCE(""NSE:""&amp;D1157,""price"")"),7.41)</f>
        <v>7.41</v>
      </c>
      <c r="M1157" s="9">
        <f t="shared" ca="1" si="22"/>
        <v>-985.39</v>
      </c>
      <c r="N1157" s="10">
        <f t="shared" ca="1" si="23"/>
        <v>-99.253626107977439</v>
      </c>
      <c r="O1157" s="7">
        <f ca="1">IFERROR(__xludf.DUMMYFUNCTION("GOOGLEFINANCE(""NSE:""&amp;D1157,""pe"")"),49.14)</f>
        <v>49.14</v>
      </c>
      <c r="P1157" s="7">
        <f ca="1">IFERROR(__xludf.DUMMYFUNCTION("GOOGLEFINANCE(""NSE:""&amp;D1157,""EPS"")"),0.15)</f>
        <v>0.15</v>
      </c>
      <c r="Q1157" s="7">
        <v>13.5</v>
      </c>
      <c r="R1157" s="7" t="str">
        <f ca="1">IFERROR(__xludf.DUMMYFUNCTION("IMPORTXML(E1157,""/html/body/main/div[3]/div[3]/div[2]/ul/li[7]/span[2]/span"")"),"Loading...")</f>
        <v>Loading...</v>
      </c>
      <c r="S1157" s="7" t="str">
        <f ca="1">IFERROR(__xludf.DUMMYFUNCTION("IMPORTXML(E1157,""/html/body/main/div[3]/div[3]/div[2]/ul/li[8]/span[2]/span"")"),"Loading...")</f>
        <v>Loading...</v>
      </c>
      <c r="T1157" s="4">
        <v>34.6</v>
      </c>
      <c r="U1157" s="4">
        <v>22.7</v>
      </c>
      <c r="V1157" s="4">
        <v>2.6</v>
      </c>
      <c r="W1157" s="4">
        <v>5.7</v>
      </c>
      <c r="X1157" s="4">
        <v>519.92999999999995</v>
      </c>
      <c r="Y1157" s="7">
        <f t="shared" ca="1" si="24"/>
        <v>-512.52</v>
      </c>
    </row>
    <row r="1158" spans="1:25" ht="15" x14ac:dyDescent="0.25">
      <c r="A1158" s="4">
        <v>510</v>
      </c>
      <c r="C1158" s="12" t="s">
        <v>2858</v>
      </c>
      <c r="D1158" s="12" t="s">
        <v>2859</v>
      </c>
      <c r="E1158" s="5" t="str">
        <f t="shared" si="20"/>
        <v>https://www.screener.in/company/DYNAMATECH/consolidated/</v>
      </c>
      <c r="F1158" s="4">
        <v>443059</v>
      </c>
      <c r="G1158" s="4">
        <v>3832241897</v>
      </c>
      <c r="H1158" s="6">
        <f t="shared" ca="1" si="21"/>
        <v>2526405.4705972499</v>
      </c>
      <c r="I1158" s="7" t="str">
        <f ca="1">IFERROR(__xludf.DUMMYFUNCTION("IMPORTXML(E1158,""/html/body/main/div[3]/div[3]/div[2]/ul/li[5]/span[2]/span"")"),"Loading...")</f>
        <v>Loading...</v>
      </c>
      <c r="J1158" s="7">
        <f ca="1">IFERROR(__xludf.DUMMYFUNCTION("GOOGLEFINANCE(""NSE:""&amp;D1158,""marketcap"")"),44918610000)</f>
        <v>44918610000</v>
      </c>
      <c r="K1158" s="7">
        <v>992.8</v>
      </c>
      <c r="L1158" s="8">
        <f ca="1">IFERROR(__xludf.DUMMYFUNCTION("GOOGLEFINANCE(""NSE:""&amp;D1158,""price"")"),6592.5)</f>
        <v>6592.5</v>
      </c>
      <c r="M1158" s="9">
        <f t="shared" ca="1" si="22"/>
        <v>5599.7</v>
      </c>
      <c r="N1158" s="10">
        <f t="shared" ca="1" si="23"/>
        <v>564.03102336825145</v>
      </c>
      <c r="O1158" s="7">
        <f ca="1">IFERROR(__xludf.DUMMYFUNCTION("GOOGLEFINANCE(""NSE:""&amp;D1158,""pe"")"),105.51)</f>
        <v>105.51</v>
      </c>
      <c r="P1158" s="7">
        <f ca="1">IFERROR(__xludf.DUMMYFUNCTION("GOOGLEFINANCE(""NSE:""&amp;D1158,""EPS"")"),62.48)</f>
        <v>62.48</v>
      </c>
      <c r="Q1158" s="7">
        <v>13.5</v>
      </c>
      <c r="R1158" s="7" t="str">
        <f ca="1">IFERROR(__xludf.DUMMYFUNCTION("IMPORTXML(E1158,""/html/body/main/div[3]/div[3]/div[2]/ul/li[7]/span[2]/span"")"),"Loading...")</f>
        <v>Loading...</v>
      </c>
      <c r="S1158" s="7" t="str">
        <f ca="1">IFERROR(__xludf.DUMMYFUNCTION("IMPORTXML(E1158,""/html/body/main/div[3]/div[3]/div[2]/ul/li[8]/span[2]/span"")"),"Loading...")</f>
        <v>Loading...</v>
      </c>
      <c r="T1158" s="4">
        <v>34.6</v>
      </c>
      <c r="U1158" s="4">
        <v>22.7</v>
      </c>
      <c r="V1158" s="4">
        <v>2.6</v>
      </c>
      <c r="W1158" s="4">
        <v>5.7</v>
      </c>
      <c r="X1158" s="4">
        <v>519.92999999999995</v>
      </c>
      <c r="Y1158" s="7">
        <f t="shared" ca="1" si="24"/>
        <v>6072.57</v>
      </c>
    </row>
    <row r="1159" spans="1:25" ht="15" x14ac:dyDescent="0.25">
      <c r="A1159" s="4">
        <v>254</v>
      </c>
      <c r="C1159" s="12" t="s">
        <v>2860</v>
      </c>
      <c r="D1159" s="12" t="s">
        <v>2861</v>
      </c>
      <c r="E1159" s="5" t="str">
        <f t="shared" si="20"/>
        <v>https://www.screener.in/company/JUBLINGREA/consolidated/</v>
      </c>
      <c r="F1159" s="4">
        <v>443059</v>
      </c>
      <c r="G1159" s="4">
        <v>3832241897</v>
      </c>
      <c r="H1159" s="6">
        <f t="shared" ca="1" si="21"/>
        <v>274771.7440149</v>
      </c>
      <c r="I1159" s="7" t="str">
        <f ca="1">IFERROR(__xludf.DUMMYFUNCTION("IMPORTXML(E1159,""/html/body/main/div[3]/div[3]/div[2]/ul/li[5]/span[2]/span"")"),"Loading...")</f>
        <v>Loading...</v>
      </c>
      <c r="J1159" s="7">
        <f ca="1">IFERROR(__xludf.DUMMYFUNCTION("GOOGLEFINANCE(""NSE:""&amp;D1159,""marketcap"")"),113376198600)</f>
        <v>113376198600</v>
      </c>
      <c r="K1159" s="7">
        <v>992.8</v>
      </c>
      <c r="L1159" s="8">
        <f ca="1">IFERROR(__xludf.DUMMYFUNCTION("GOOGLEFINANCE(""NSE:""&amp;D1159,""price"")"),717)</f>
        <v>717</v>
      </c>
      <c r="M1159" s="9">
        <f t="shared" ca="1" si="22"/>
        <v>-275.79999999999995</v>
      </c>
      <c r="N1159" s="10">
        <f t="shared" ca="1" si="23"/>
        <v>-27.780016116035451</v>
      </c>
      <c r="O1159" s="7">
        <f ca="1">IFERROR(__xludf.DUMMYFUNCTION("GOOGLEFINANCE(""NSE:""&amp;D1159,""pe"")"),40.97)</f>
        <v>40.97</v>
      </c>
      <c r="P1159" s="7">
        <f ca="1">IFERROR(__xludf.DUMMYFUNCTION("GOOGLEFINANCE(""NSE:""&amp;D1159,""EPS"")"),17.5)</f>
        <v>17.5</v>
      </c>
      <c r="Q1159" s="7">
        <v>13.5</v>
      </c>
      <c r="R1159" s="7" t="str">
        <f ca="1">IFERROR(__xludf.DUMMYFUNCTION("IMPORTXML(E1159,""/html/body/main/div[3]/div[3]/div[2]/ul/li[7]/span[2]/span"")"),"Loading...")</f>
        <v>Loading...</v>
      </c>
      <c r="S1159" s="7" t="str">
        <f ca="1">IFERROR(__xludf.DUMMYFUNCTION("IMPORTXML(E1159,""/html/body/main/div[3]/div[3]/div[2]/ul/li[8]/span[2]/span"")"),"Loading...")</f>
        <v>Loading...</v>
      </c>
      <c r="T1159" s="4">
        <v>34.6</v>
      </c>
      <c r="U1159" s="4">
        <v>22.7</v>
      </c>
      <c r="V1159" s="4">
        <v>2.6</v>
      </c>
      <c r="W1159" s="4">
        <v>5.7</v>
      </c>
      <c r="X1159" s="4">
        <v>519.92999999999995</v>
      </c>
      <c r="Y1159" s="7">
        <f t="shared" ca="1" si="24"/>
        <v>197.07000000000005</v>
      </c>
    </row>
    <row r="1160" spans="1:25" ht="15" x14ac:dyDescent="0.25">
      <c r="A1160" s="4">
        <v>607</v>
      </c>
      <c r="C1160" s="12" t="s">
        <v>2862</v>
      </c>
      <c r="D1160" s="12" t="s">
        <v>2863</v>
      </c>
      <c r="E1160" s="5" t="str">
        <f t="shared" si="20"/>
        <v>https://www.screener.in/company/DCXINDIA/consolidated/</v>
      </c>
      <c r="F1160" s="4">
        <v>443059</v>
      </c>
      <c r="G1160" s="4">
        <v>3832241897</v>
      </c>
      <c r="H1160" s="6">
        <f t="shared" ca="1" si="21"/>
        <v>103163.95186723999</v>
      </c>
      <c r="I1160" s="7" t="str">
        <f ca="1">IFERROR(__xludf.DUMMYFUNCTION("IMPORTXML(E1160,""/html/body/main/div[3]/div[3]/div[2]/ul/li[5]/span[2]/span"")"),"Loading...")</f>
        <v>Loading...</v>
      </c>
      <c r="J1160" s="7">
        <f ca="1">IFERROR(__xludf.DUMMYFUNCTION("GOOGLEFINANCE(""NSE:""&amp;D1160,""marketcap"")"),29873840000)</f>
        <v>29873840000</v>
      </c>
      <c r="K1160" s="7">
        <v>992.8</v>
      </c>
      <c r="L1160" s="8">
        <f ca="1">IFERROR(__xludf.DUMMYFUNCTION("GOOGLEFINANCE(""NSE:""&amp;D1160,""price"")"),269.2)</f>
        <v>269.2</v>
      </c>
      <c r="M1160" s="9">
        <f t="shared" ca="1" si="22"/>
        <v>-723.59999999999991</v>
      </c>
      <c r="N1160" s="10">
        <f t="shared" ca="1" si="23"/>
        <v>-72.884770346494747</v>
      </c>
      <c r="O1160" s="7">
        <f ca="1">IFERROR(__xludf.DUMMYFUNCTION("GOOGLEFINANCE(""NSE:""&amp;D1160,""pe"")"),119.12)</f>
        <v>119.12</v>
      </c>
      <c r="P1160" s="7">
        <f ca="1">IFERROR(__xludf.DUMMYFUNCTION("GOOGLEFINANCE(""NSE:""&amp;D1160,""EPS"")"),2.26)</f>
        <v>2.2599999999999998</v>
      </c>
      <c r="Q1160" s="7">
        <v>13.5</v>
      </c>
      <c r="R1160" s="7" t="str">
        <f ca="1">IFERROR(__xludf.DUMMYFUNCTION("IMPORTXML(E1160,""/html/body/main/div[3]/div[3]/div[2]/ul/li[7]/span[2]/span"")"),"Loading...")</f>
        <v>Loading...</v>
      </c>
      <c r="S1160" s="7" t="str">
        <f ca="1">IFERROR(__xludf.DUMMYFUNCTION("IMPORTXML(E1160,""/html/body/main/div[3]/div[3]/div[2]/ul/li[8]/span[2]/span"")"),"Loading...")</f>
        <v>Loading...</v>
      </c>
      <c r="T1160" s="4">
        <v>34.6</v>
      </c>
      <c r="U1160" s="4">
        <v>22.7</v>
      </c>
      <c r="V1160" s="4">
        <v>2.6</v>
      </c>
      <c r="W1160" s="4">
        <v>5.7</v>
      </c>
      <c r="X1160" s="4">
        <v>519.92999999999995</v>
      </c>
      <c r="Y1160" s="7">
        <f t="shared" ca="1" si="24"/>
        <v>-250.72999999999996</v>
      </c>
    </row>
    <row r="1161" spans="1:25" ht="15" x14ac:dyDescent="0.25">
      <c r="A1161" s="4">
        <v>1634</v>
      </c>
      <c r="C1161" s="12" t="s">
        <v>2864</v>
      </c>
      <c r="D1161" s="12" t="s">
        <v>2865</v>
      </c>
      <c r="E1161" s="5" t="str">
        <f t="shared" si="20"/>
        <v>https://www.screener.in/company/DJML/consolidated/</v>
      </c>
      <c r="F1161" s="4">
        <v>443059</v>
      </c>
      <c r="G1161" s="4">
        <v>3832241897</v>
      </c>
      <c r="H1161" s="6">
        <f t="shared" ca="1" si="21"/>
        <v>36406.298021499999</v>
      </c>
      <c r="I1161" s="7" t="str">
        <f ca="1">IFERROR(__xludf.DUMMYFUNCTION("IMPORTXML(E1161,""/html/body/main/div[3]/div[3]/div[2]/ul/li[5]/span[2]/span"")"),"Loading...")</f>
        <v>Loading...</v>
      </c>
      <c r="J1161" s="7">
        <f ca="1">IFERROR(__xludf.DUMMYFUNCTION("GOOGLEFINANCE(""NSE:""&amp;D1161,""marketcap"")"),3132895750)</f>
        <v>3132895750</v>
      </c>
      <c r="K1161" s="7">
        <v>992.8</v>
      </c>
      <c r="L1161" s="8">
        <f ca="1">IFERROR(__xludf.DUMMYFUNCTION("GOOGLEFINANCE(""NSE:""&amp;D1161,""price"")"),95)</f>
        <v>95</v>
      </c>
      <c r="M1161" s="9">
        <f t="shared" ca="1" si="22"/>
        <v>-897.8</v>
      </c>
      <c r="N1161" s="10">
        <f t="shared" ca="1" si="23"/>
        <v>-90.431103948428685</v>
      </c>
      <c r="O1161" s="7">
        <f ca="1">IFERROR(__xludf.DUMMYFUNCTION("GOOGLEFINANCE(""NSE:""&amp;D1161,""pe"")"),42.42)</f>
        <v>42.42</v>
      </c>
      <c r="P1161" s="7">
        <f ca="1">IFERROR(__xludf.DUMMYFUNCTION("GOOGLEFINANCE(""NSE:""&amp;D1161,""EPS"")"),2.24)</f>
        <v>2.2400000000000002</v>
      </c>
      <c r="Q1161" s="7">
        <v>13.5</v>
      </c>
      <c r="R1161" s="7" t="str">
        <f ca="1">IFERROR(__xludf.DUMMYFUNCTION("IMPORTXML(E1161,""/html/body/main/div[3]/div[3]/div[2]/ul/li[7]/span[2]/span"")"),"Loading...")</f>
        <v>Loading...</v>
      </c>
      <c r="S1161" s="7" t="str">
        <f ca="1">IFERROR(__xludf.DUMMYFUNCTION("IMPORTXML(E1161,""/html/body/main/div[3]/div[3]/div[2]/ul/li[8]/span[2]/span"")"),"Loading...")</f>
        <v>Loading...</v>
      </c>
      <c r="T1161" s="4">
        <v>34.6</v>
      </c>
      <c r="U1161" s="4">
        <v>22.7</v>
      </c>
      <c r="V1161" s="4">
        <v>2.6</v>
      </c>
      <c r="W1161" s="4">
        <v>5.7</v>
      </c>
      <c r="X1161" s="4">
        <v>519.92999999999995</v>
      </c>
      <c r="Y1161" s="7">
        <f t="shared" ca="1" si="24"/>
        <v>-424.92999999999995</v>
      </c>
    </row>
    <row r="1162" spans="1:25" ht="15" x14ac:dyDescent="0.25">
      <c r="A1162" s="4">
        <v>1438</v>
      </c>
      <c r="C1162" s="12" t="s">
        <v>2866</v>
      </c>
      <c r="D1162" s="12" t="s">
        <v>2867</v>
      </c>
      <c r="E1162" s="5" t="str">
        <f t="shared" si="20"/>
        <v>https://www.screener.in/company/PAVNAIND/consolidated/</v>
      </c>
      <c r="F1162" s="4">
        <v>443059</v>
      </c>
      <c r="G1162" s="4">
        <v>3832241897</v>
      </c>
      <c r="H1162" s="6">
        <f t="shared" ca="1" si="21"/>
        <v>13202.073335165001</v>
      </c>
      <c r="I1162" s="7" t="str">
        <f ca="1">IFERROR(__xludf.DUMMYFUNCTION("IMPORTXML(E1162,""/html/body/main/div[3]/div[3]/div[2]/ul/li[5]/span[2]/span"")"),"Loading...")</f>
        <v>Loading...</v>
      </c>
      <c r="J1162" s="7">
        <f ca="1">IFERROR(__xludf.DUMMYFUNCTION("GOOGLEFINANCE(""NSE:""&amp;D1162,""marketcap"")"),4806808606)</f>
        <v>4806808606</v>
      </c>
      <c r="K1162" s="7">
        <v>992.8</v>
      </c>
      <c r="L1162" s="8">
        <f ca="1">IFERROR(__xludf.DUMMYFUNCTION("GOOGLEFINANCE(""NSE:""&amp;D1162,""price"")"),34.45)</f>
        <v>34.450000000000003</v>
      </c>
      <c r="M1162" s="9">
        <f t="shared" ca="1" si="22"/>
        <v>-958.34999999999991</v>
      </c>
      <c r="N1162" s="10">
        <f t="shared" ca="1" si="23"/>
        <v>-96.530016116035455</v>
      </c>
      <c r="O1162" s="7">
        <f ca="1">IFERROR(__xludf.DUMMYFUNCTION("GOOGLEFINANCE(""NSE:""&amp;D1162,""pe"")"),135.63)</f>
        <v>135.63</v>
      </c>
      <c r="P1162" s="7">
        <f ca="1">IFERROR(__xludf.DUMMYFUNCTION("GOOGLEFINANCE(""NSE:""&amp;D1162,""EPS"")"),0.25)</f>
        <v>0.25</v>
      </c>
      <c r="Q1162" s="7">
        <v>13.5</v>
      </c>
      <c r="R1162" s="7" t="str">
        <f ca="1">IFERROR(__xludf.DUMMYFUNCTION("IMPORTXML(E1162,""/html/body/main/div[3]/div[3]/div[2]/ul/li[7]/span[2]/span"")"),"Loading...")</f>
        <v>Loading...</v>
      </c>
      <c r="S1162" s="7" t="str">
        <f ca="1">IFERROR(__xludf.DUMMYFUNCTION("IMPORTXML(E1162,""/html/body/main/div[3]/div[3]/div[2]/ul/li[8]/span[2]/span"")"),"Loading...")</f>
        <v>Loading...</v>
      </c>
      <c r="T1162" s="4">
        <v>34.6</v>
      </c>
      <c r="U1162" s="4">
        <v>22.7</v>
      </c>
      <c r="V1162" s="4">
        <v>2.6</v>
      </c>
      <c r="W1162" s="4">
        <v>5.7</v>
      </c>
      <c r="X1162" s="4">
        <v>519.92999999999995</v>
      </c>
      <c r="Y1162" s="7">
        <f t="shared" ca="1" si="24"/>
        <v>-485.47999999999996</v>
      </c>
    </row>
    <row r="1163" spans="1:25" ht="15" x14ac:dyDescent="0.25">
      <c r="A1163" s="4">
        <v>857</v>
      </c>
      <c r="C1163" s="12" t="s">
        <v>2868</v>
      </c>
      <c r="D1163" s="12" t="s">
        <v>2869</v>
      </c>
      <c r="E1163" s="5" t="str">
        <f t="shared" si="20"/>
        <v>https://www.screener.in/company/DEEDEV/consolidated/</v>
      </c>
      <c r="F1163" s="4">
        <v>443059</v>
      </c>
      <c r="G1163" s="4">
        <v>3832241897</v>
      </c>
      <c r="H1163" s="6">
        <f t="shared" ca="1" si="21"/>
        <v>104620.2037881</v>
      </c>
      <c r="I1163" s="7" t="str">
        <f ca="1">IFERROR(__xludf.DUMMYFUNCTION("IMPORTXML(E1163,""/html/body/main/div[3]/div[3]/div[2]/ul/li[5]/span[2]/span"")"),"Loading...")</f>
        <v>Loading...</v>
      </c>
      <c r="J1163" s="7">
        <f ca="1">IFERROR(__xludf.DUMMYFUNCTION("GOOGLEFINANCE(""NSE:""&amp;D1163,""marketcap"")"),19055462250)</f>
        <v>19055462250</v>
      </c>
      <c r="K1163" s="7">
        <v>992.8</v>
      </c>
      <c r="L1163" s="8">
        <f ca="1">IFERROR(__xludf.DUMMYFUNCTION("GOOGLEFINANCE(""NSE:""&amp;D1163,""price"")"),273)</f>
        <v>273</v>
      </c>
      <c r="M1163" s="9">
        <f t="shared" ca="1" si="22"/>
        <v>-719.8</v>
      </c>
      <c r="N1163" s="10">
        <f t="shared" ca="1" si="23"/>
        <v>-72.502014504431912</v>
      </c>
      <c r="O1163" s="7">
        <f ca="1">IFERROR(__xludf.DUMMYFUNCTION("GOOGLEFINANCE(""NSE:""&amp;D1163,""pe"")"),34.3)</f>
        <v>34.299999999999997</v>
      </c>
      <c r="P1163" s="7">
        <f ca="1">IFERROR(__xludf.DUMMYFUNCTION("GOOGLEFINANCE(""NSE:""&amp;D1163,""EPS"")"),7.96)</f>
        <v>7.96</v>
      </c>
      <c r="Q1163" s="7">
        <v>13.5</v>
      </c>
      <c r="R1163" s="7" t="str">
        <f ca="1">IFERROR(__xludf.DUMMYFUNCTION("IMPORTXML(E1163,""/html/body/main/div[3]/div[3]/div[2]/ul/li[7]/span[2]/span"")"),"Loading...")</f>
        <v>Loading...</v>
      </c>
      <c r="S1163" s="7" t="str">
        <f ca="1">IFERROR(__xludf.DUMMYFUNCTION("IMPORTXML(E1163,""/html/body/main/div[3]/div[3]/div[2]/ul/li[8]/span[2]/span"")"),"Loading...")</f>
        <v>Loading...</v>
      </c>
      <c r="T1163" s="4">
        <v>34.6</v>
      </c>
      <c r="U1163" s="4">
        <v>22.7</v>
      </c>
      <c r="V1163" s="4">
        <v>2.6</v>
      </c>
      <c r="W1163" s="4">
        <v>5.7</v>
      </c>
      <c r="X1163" s="4">
        <v>519.92999999999995</v>
      </c>
      <c r="Y1163" s="7">
        <f t="shared" ca="1" si="24"/>
        <v>-246.92999999999995</v>
      </c>
    </row>
    <row r="1164" spans="1:25" ht="15" x14ac:dyDescent="0.25">
      <c r="A1164" s="4">
        <v>19</v>
      </c>
      <c r="C1164" s="12" t="s">
        <v>2870</v>
      </c>
      <c r="D1164" s="12" t="s">
        <v>2871</v>
      </c>
      <c r="E1164" s="5" t="str">
        <f t="shared" si="20"/>
        <v>https://www.screener.in/company/HINDCOPPER/consolidated/</v>
      </c>
      <c r="F1164" s="4">
        <v>443059</v>
      </c>
      <c r="G1164" s="4">
        <v>3832241897</v>
      </c>
      <c r="H1164" s="6">
        <f t="shared" ca="1" si="21"/>
        <v>93889.926476499997</v>
      </c>
      <c r="I1164" s="7" t="str">
        <f ca="1">IFERROR(__xludf.DUMMYFUNCTION("IMPORTXML(E1164,""/html/body/main/div[3]/div[3]/div[2]/ul/li[5]/span[2]/span"")"),"Loading...")</f>
        <v>Loading...</v>
      </c>
      <c r="J1164" s="7">
        <f ca="1">IFERROR(__xludf.DUMMYFUNCTION("GOOGLEFINANCE(""NSE:""&amp;D1164,""marketcap"")"),236920855500)</f>
        <v>236920855500</v>
      </c>
      <c r="K1164" s="7">
        <v>992.8</v>
      </c>
      <c r="L1164" s="8">
        <f ca="1">IFERROR(__xludf.DUMMYFUNCTION("GOOGLEFINANCE(""NSE:""&amp;D1164,""price"")"),245)</f>
        <v>245</v>
      </c>
      <c r="M1164" s="9">
        <f t="shared" ca="1" si="22"/>
        <v>-747.8</v>
      </c>
      <c r="N1164" s="10">
        <f t="shared" ca="1" si="23"/>
        <v>-75.322320709105554</v>
      </c>
      <c r="O1164" s="7">
        <f ca="1">IFERROR(__xludf.DUMMYFUNCTION("GOOGLEFINANCE(""NSE:""&amp;D1164,""pe"")"),48.86)</f>
        <v>48.86</v>
      </c>
      <c r="P1164" s="7">
        <f ca="1">IFERROR(__xludf.DUMMYFUNCTION("GOOGLEFINANCE(""NSE:""&amp;D1164,""EPS"")"),5.01)</f>
        <v>5.01</v>
      </c>
      <c r="Q1164" s="7">
        <v>13.5</v>
      </c>
      <c r="R1164" s="7" t="str">
        <f ca="1">IFERROR(__xludf.DUMMYFUNCTION("IMPORTXML(E1164,""/html/body/main/div[3]/div[3]/div[2]/ul/li[7]/span[2]/span"")"),"Loading...")</f>
        <v>Loading...</v>
      </c>
      <c r="S1164" s="7" t="str">
        <f ca="1">IFERROR(__xludf.DUMMYFUNCTION("IMPORTXML(E1164,""/html/body/main/div[3]/div[3]/div[2]/ul/li[8]/span[2]/span"")"),"Loading...")</f>
        <v>Loading...</v>
      </c>
      <c r="T1164" s="4">
        <v>34.6</v>
      </c>
      <c r="U1164" s="4">
        <v>22.7</v>
      </c>
      <c r="V1164" s="4">
        <v>2.6</v>
      </c>
      <c r="W1164" s="4">
        <v>5.7</v>
      </c>
      <c r="X1164" s="4">
        <v>519.92999999999995</v>
      </c>
      <c r="Y1164" s="7">
        <f t="shared" ca="1" si="24"/>
        <v>-274.92999999999995</v>
      </c>
    </row>
    <row r="1165" spans="1:25" ht="15" x14ac:dyDescent="0.25">
      <c r="A1165" s="4">
        <v>1068</v>
      </c>
      <c r="C1165" s="12" t="s">
        <v>2872</v>
      </c>
      <c r="D1165" s="12" t="s">
        <v>2873</v>
      </c>
      <c r="E1165" s="5" t="str">
        <f t="shared" si="20"/>
        <v>https://www.screener.in/company/MANALIPETC/consolidated/</v>
      </c>
      <c r="F1165" s="4">
        <v>443059</v>
      </c>
      <c r="G1165" s="4">
        <v>3832241897</v>
      </c>
      <c r="H1165" s="6">
        <f t="shared" ca="1" si="21"/>
        <v>27875.727558777999</v>
      </c>
      <c r="I1165" s="7" t="str">
        <f ca="1">IFERROR(__xludf.DUMMYFUNCTION("IMPORTXML(E1165,""/html/body/main/div[3]/div[3]/div[2]/ul/li[5]/span[2]/span"")"),"Loading...")</f>
        <v>Loading...</v>
      </c>
      <c r="J1165" s="7">
        <f ca="1">IFERROR(__xludf.DUMMYFUNCTION("GOOGLEFINANCE(""NSE:""&amp;D1165,""marketcap"")"),12394260000)</f>
        <v>12394260000</v>
      </c>
      <c r="K1165" s="7">
        <v>992.8</v>
      </c>
      <c r="L1165" s="8">
        <f ca="1">IFERROR(__xludf.DUMMYFUNCTION("GOOGLEFINANCE(""NSE:""&amp;D1165,""price"")"),72.74)</f>
        <v>72.739999999999995</v>
      </c>
      <c r="M1165" s="9">
        <f t="shared" ca="1" si="22"/>
        <v>-920.06</v>
      </c>
      <c r="N1165" s="10">
        <f t="shared" ca="1" si="23"/>
        <v>-92.673247381144236</v>
      </c>
      <c r="O1165" s="7">
        <f ca="1">IFERROR(__xludf.DUMMYFUNCTION("GOOGLEFINANCE(""NSE:""&amp;D1165,""pe"")"),41.07)</f>
        <v>41.07</v>
      </c>
      <c r="P1165" s="7">
        <f ca="1">IFERROR(__xludf.DUMMYFUNCTION("GOOGLEFINANCE(""NSE:""&amp;D1165,""EPS"")"),1.77)</f>
        <v>1.77</v>
      </c>
      <c r="Q1165" s="7">
        <v>13.5</v>
      </c>
      <c r="R1165" s="7" t="str">
        <f ca="1">IFERROR(__xludf.DUMMYFUNCTION("IMPORTXML(E1165,""/html/body/main/div[3]/div[3]/div[2]/ul/li[7]/span[2]/span"")"),"Loading...")</f>
        <v>Loading...</v>
      </c>
      <c r="S1165" s="7" t="str">
        <f ca="1">IFERROR(__xludf.DUMMYFUNCTION("IMPORTXML(E1165,""/html/body/main/div[3]/div[3]/div[2]/ul/li[8]/span[2]/span"")"),"Loading...")</f>
        <v>Loading...</v>
      </c>
      <c r="T1165" s="4">
        <v>34.6</v>
      </c>
      <c r="U1165" s="4">
        <v>22.7</v>
      </c>
      <c r="V1165" s="4">
        <v>2.6</v>
      </c>
      <c r="W1165" s="4">
        <v>5.7</v>
      </c>
      <c r="X1165" s="4">
        <v>519.92999999999995</v>
      </c>
      <c r="Y1165" s="7">
        <f t="shared" ca="1" si="24"/>
        <v>-447.18999999999994</v>
      </c>
    </row>
    <row r="1166" spans="1:25" ht="15" x14ac:dyDescent="0.25">
      <c r="A1166" s="4">
        <v>25</v>
      </c>
      <c r="C1166" s="12" t="s">
        <v>2874</v>
      </c>
      <c r="D1166" s="12" t="s">
        <v>2875</v>
      </c>
      <c r="E1166" s="5" t="str">
        <f t="shared" si="20"/>
        <v>https://www.screener.in/company/GILLETTE/consolidated/</v>
      </c>
      <c r="F1166" s="4">
        <v>443059</v>
      </c>
      <c r="G1166" s="4">
        <v>3832241897</v>
      </c>
      <c r="H1166" s="6">
        <f t="shared" ca="1" si="21"/>
        <v>4004692.7823649999</v>
      </c>
      <c r="I1166" s="7" t="str">
        <f ca="1">IFERROR(__xludf.DUMMYFUNCTION("IMPORTXML(E1166,""/html/body/main/div[3]/div[3]/div[2]/ul/li[5]/span[2]/span"")"),"Loading...")</f>
        <v>Loading...</v>
      </c>
      <c r="J1166" s="7">
        <f ca="1">IFERROR(__xludf.DUMMYFUNCTION("GOOGLEFINANCE(""NSE:""&amp;D1166,""marketcap"")"),340515444500)</f>
        <v>340515444500</v>
      </c>
      <c r="K1166" s="7">
        <v>992.8</v>
      </c>
      <c r="L1166" s="8">
        <f ca="1">IFERROR(__xludf.DUMMYFUNCTION("GOOGLEFINANCE(""NSE:""&amp;D1166,""price"")"),10450)</f>
        <v>10450</v>
      </c>
      <c r="M1166" s="9">
        <f t="shared" ca="1" si="22"/>
        <v>9457.2000000000007</v>
      </c>
      <c r="N1166" s="10">
        <f t="shared" ca="1" si="23"/>
        <v>952.57856567284466</v>
      </c>
      <c r="O1166" s="7">
        <f ca="1">IFERROR(__xludf.DUMMYFUNCTION("GOOGLEFINANCE(""NSE:""&amp;D1166,""pe"")"),60.45)</f>
        <v>60.45</v>
      </c>
      <c r="P1166" s="7">
        <f ca="1">IFERROR(__xludf.DUMMYFUNCTION("GOOGLEFINANCE(""NSE:""&amp;D1166,""EPS"")"),172.88)</f>
        <v>172.88</v>
      </c>
      <c r="Q1166" s="7">
        <v>13.5</v>
      </c>
      <c r="R1166" s="7" t="str">
        <f ca="1">IFERROR(__xludf.DUMMYFUNCTION("IMPORTXML(E1166,""/html/body/main/div[3]/div[3]/div[2]/ul/li[7]/span[2]/span"")"),"Loading...")</f>
        <v>Loading...</v>
      </c>
      <c r="S1166" s="7" t="str">
        <f ca="1">IFERROR(__xludf.DUMMYFUNCTION("IMPORTXML(E1166,""/html/body/main/div[3]/div[3]/div[2]/ul/li[8]/span[2]/span"")"),"Loading...")</f>
        <v>Loading...</v>
      </c>
      <c r="T1166" s="4">
        <v>34.6</v>
      </c>
      <c r="U1166" s="4">
        <v>22.7</v>
      </c>
      <c r="V1166" s="4">
        <v>2.6</v>
      </c>
      <c r="W1166" s="4">
        <v>5.7</v>
      </c>
      <c r="X1166" s="4">
        <v>519.92999999999995</v>
      </c>
      <c r="Y1166" s="7">
        <f t="shared" ca="1" si="24"/>
        <v>9930.07</v>
      </c>
    </row>
    <row r="1167" spans="1:25" ht="15" x14ac:dyDescent="0.25">
      <c r="A1167" s="4">
        <v>547</v>
      </c>
      <c r="C1167" s="12" t="s">
        <v>2876</v>
      </c>
      <c r="D1167" s="12" t="s">
        <v>2877</v>
      </c>
      <c r="E1167" s="5" t="str">
        <f t="shared" si="20"/>
        <v>https://www.screener.in/company/WEBELSOLAR/consolidated/</v>
      </c>
      <c r="F1167" s="4">
        <v>443059</v>
      </c>
      <c r="G1167" s="4">
        <v>3832241897</v>
      </c>
      <c r="H1167" s="6">
        <f t="shared" ca="1" si="21"/>
        <v>503939.80945549998</v>
      </c>
      <c r="I1167" s="7" t="str">
        <f ca="1">IFERROR(__xludf.DUMMYFUNCTION("IMPORTXML(E1167,""/html/body/main/div[3]/div[3]/div[2]/ul/li[5]/span[2]/span"")"),"Loading...")</f>
        <v>Loading...</v>
      </c>
      <c r="J1167" s="7">
        <f ca="1">IFERROR(__xludf.DUMMYFUNCTION("GOOGLEFINANCE(""NSE:""&amp;D1167,""marketcap"")"),55351502532)</f>
        <v>55351502532</v>
      </c>
      <c r="K1167" s="7">
        <v>992.8</v>
      </c>
      <c r="L1167" s="8">
        <f ca="1">IFERROR(__xludf.DUMMYFUNCTION("GOOGLEFINANCE(""NSE:""&amp;D1167,""price"")"),1315)</f>
        <v>1315</v>
      </c>
      <c r="M1167" s="9">
        <f t="shared" ca="1" si="22"/>
        <v>322.20000000000005</v>
      </c>
      <c r="N1167" s="10">
        <f t="shared" ca="1" si="23"/>
        <v>32.453666398066083</v>
      </c>
      <c r="O1167" s="7">
        <f ca="1">IFERROR(__xludf.DUMMYFUNCTION("GOOGLEFINANCE(""NSE:""&amp;D1167,""pe"")"),25.34)</f>
        <v>25.34</v>
      </c>
      <c r="P1167" s="7">
        <f ca="1">IFERROR(__xludf.DUMMYFUNCTION("GOOGLEFINANCE(""NSE:""&amp;D1167,""EPS"")"),51.89)</f>
        <v>51.89</v>
      </c>
      <c r="Q1167" s="7">
        <v>13.5</v>
      </c>
      <c r="R1167" s="7" t="str">
        <f ca="1">IFERROR(__xludf.DUMMYFUNCTION("IMPORTXML(E1167,""/html/body/main/div[3]/div[3]/div[2]/ul/li[7]/span[2]/span"")"),"Loading...")</f>
        <v>Loading...</v>
      </c>
      <c r="S1167" s="7" t="str">
        <f ca="1">IFERROR(__xludf.DUMMYFUNCTION("IMPORTXML(E1167,""/html/body/main/div[3]/div[3]/div[2]/ul/li[8]/span[2]/span"")"),"Loading...")</f>
        <v>Loading...</v>
      </c>
      <c r="T1167" s="4">
        <v>34.6</v>
      </c>
      <c r="U1167" s="4">
        <v>22.7</v>
      </c>
      <c r="V1167" s="4">
        <v>2.6</v>
      </c>
      <c r="W1167" s="4">
        <v>5.7</v>
      </c>
      <c r="X1167" s="4">
        <v>519.92999999999995</v>
      </c>
      <c r="Y1167" s="7">
        <f t="shared" ca="1" si="24"/>
        <v>795.07</v>
      </c>
    </row>
    <row r="1168" spans="1:25" ht="15" x14ac:dyDescent="0.25">
      <c r="A1168" s="4">
        <v>1777</v>
      </c>
      <c r="C1168" s="12" t="s">
        <v>2878</v>
      </c>
      <c r="D1168" s="12" t="s">
        <v>2879</v>
      </c>
      <c r="E1168" s="5" t="str">
        <f t="shared" si="20"/>
        <v>https://www.screener.in/company/RANEENGINE/consolidated/</v>
      </c>
      <c r="F1168" s="4">
        <v>443059</v>
      </c>
      <c r="G1168" s="4">
        <v>3832241897</v>
      </c>
      <c r="H1168" s="6" t="e">
        <f t="shared" ca="1" si="21"/>
        <v>#VALUE!</v>
      </c>
      <c r="I1168" s="7" t="str">
        <f ca="1">IFERROR(__xludf.DUMMYFUNCTION("IMPORTXML(E1168,""/html/body/main/div[3]/div[3]/div[2]/ul/li[5]/span[2]/span"")"),"Loading...")</f>
        <v>Loading...</v>
      </c>
      <c r="J1168" s="7" t="str">
        <f ca="1">IFERROR(__xludf.DUMMYFUNCTION("GOOGLEFINANCE(""NSE:""&amp;D1168,""marketcap"")"),"#N/A")</f>
        <v>#N/A</v>
      </c>
      <c r="K1168" s="7">
        <v>992.8</v>
      </c>
      <c r="L1168" s="8" t="str">
        <f ca="1">IFERROR(__xludf.DUMMYFUNCTION("GOOGLEFINANCE(""NSE:""&amp;D1168,""price"")"),"#N/A")</f>
        <v>#N/A</v>
      </c>
      <c r="M1168" s="9" t="e">
        <f t="shared" ca="1" si="22"/>
        <v>#VALUE!</v>
      </c>
      <c r="N1168" s="10" t="e">
        <f t="shared" ca="1" si="23"/>
        <v>#VALUE!</v>
      </c>
      <c r="O1168" s="7" t="str">
        <f ca="1">IFERROR(__xludf.DUMMYFUNCTION("GOOGLEFINANCE(""NSE:""&amp;D1168,""pe"")"),"#N/A")</f>
        <v>#N/A</v>
      </c>
      <c r="P1168" s="7" t="str">
        <f ca="1">IFERROR(__xludf.DUMMYFUNCTION("GOOGLEFINANCE(""NSE:""&amp;D1168,""EPS"")"),"#N/A")</f>
        <v>#N/A</v>
      </c>
      <c r="Q1168" s="7">
        <v>13.5</v>
      </c>
      <c r="R1168" s="7" t="str">
        <f ca="1">IFERROR(__xludf.DUMMYFUNCTION("IMPORTXML(E1168,""/html/body/main/div[3]/div[3]/div[2]/ul/li[7]/span[2]/span"")"),"Loading...")</f>
        <v>Loading...</v>
      </c>
      <c r="S1168" s="7" t="str">
        <f ca="1">IFERROR(__xludf.DUMMYFUNCTION("IMPORTXML(E1168,""/html/body/main/div[3]/div[3]/div[2]/ul/li[8]/span[2]/span"")"),"Loading...")</f>
        <v>Loading...</v>
      </c>
      <c r="T1168" s="4">
        <v>34.6</v>
      </c>
      <c r="U1168" s="4">
        <v>22.7</v>
      </c>
      <c r="V1168" s="4">
        <v>2.6</v>
      </c>
      <c r="W1168" s="4">
        <v>5.7</v>
      </c>
      <c r="X1168" s="4">
        <v>519.92999999999995</v>
      </c>
      <c r="Y1168" s="7" t="e">
        <f t="shared" ca="1" si="24"/>
        <v>#VALUE!</v>
      </c>
    </row>
    <row r="1169" spans="1:25" ht="15" x14ac:dyDescent="0.25">
      <c r="A1169" s="4">
        <v>1320</v>
      </c>
      <c r="C1169" s="12" t="s">
        <v>2880</v>
      </c>
      <c r="D1169" s="12" t="s">
        <v>2881</v>
      </c>
      <c r="E1169" s="5" t="str">
        <f t="shared" si="20"/>
        <v>https://www.screener.in/company/DIGISPICE/consolidated/</v>
      </c>
      <c r="F1169" s="4">
        <v>443059</v>
      </c>
      <c r="G1169" s="4">
        <v>3832241897</v>
      </c>
      <c r="H1169" s="6">
        <f t="shared" ca="1" si="21"/>
        <v>9465.6374855899994</v>
      </c>
      <c r="I1169" s="7" t="str">
        <f ca="1">IFERROR(__xludf.DUMMYFUNCTION("IMPORTXML(E1169,""/html/body/main/div[3]/div[3]/div[2]/ul/li[5]/span[2]/span"")"),"Loading...")</f>
        <v>Loading...</v>
      </c>
      <c r="J1169" s="7">
        <f ca="1">IFERROR(__xludf.DUMMYFUNCTION("GOOGLEFINANCE(""NSE:""&amp;D1169,""marketcap"")"),5785123028)</f>
        <v>5785123028</v>
      </c>
      <c r="K1169" s="7">
        <v>992.8</v>
      </c>
      <c r="L1169" s="8">
        <f ca="1">IFERROR(__xludf.DUMMYFUNCTION("GOOGLEFINANCE(""NSE:""&amp;D1169,""price"")"),24.7)</f>
        <v>24.7</v>
      </c>
      <c r="M1169" s="9">
        <f t="shared" ca="1" si="22"/>
        <v>-968.09999999999991</v>
      </c>
      <c r="N1169" s="10">
        <f t="shared" ca="1" si="23"/>
        <v>-97.512087026591459</v>
      </c>
      <c r="O1169" s="7" t="str">
        <f ca="1">IFERROR(__xludf.DUMMYFUNCTION("GOOGLEFINANCE(""NSE:""&amp;D1169,""pe"")"),"#N/A")</f>
        <v>#N/A</v>
      </c>
      <c r="P1169" s="7">
        <f ca="1">IFERROR(__xludf.DUMMYFUNCTION("GOOGLEFINANCE(""NSE:""&amp;D1169,""EPS"")"),-1.4)</f>
        <v>-1.4</v>
      </c>
      <c r="Q1169" s="7">
        <v>13.5</v>
      </c>
      <c r="R1169" s="7" t="str">
        <f ca="1">IFERROR(__xludf.DUMMYFUNCTION("IMPORTXML(E1169,""/html/body/main/div[3]/div[3]/div[2]/ul/li[7]/span[2]/span"")"),"Loading...")</f>
        <v>Loading...</v>
      </c>
      <c r="S1169" s="7" t="str">
        <f ca="1">IFERROR(__xludf.DUMMYFUNCTION("IMPORTXML(E1169,""/html/body/main/div[3]/div[3]/div[2]/ul/li[8]/span[2]/span"")"),"Loading...")</f>
        <v>Loading...</v>
      </c>
      <c r="T1169" s="4">
        <v>34.6</v>
      </c>
      <c r="U1169" s="4">
        <v>22.7</v>
      </c>
      <c r="V1169" s="4">
        <v>2.6</v>
      </c>
      <c r="W1169" s="4">
        <v>5.7</v>
      </c>
      <c r="X1169" s="4">
        <v>519.92999999999995</v>
      </c>
      <c r="Y1169" s="7">
        <f t="shared" ca="1" si="24"/>
        <v>-495.22999999999996</v>
      </c>
    </row>
    <row r="1170" spans="1:25" ht="15" x14ac:dyDescent="0.25">
      <c r="A1170" s="4">
        <v>213</v>
      </c>
      <c r="C1170" s="12" t="s">
        <v>2882</v>
      </c>
      <c r="D1170" s="12" t="s">
        <v>2883</v>
      </c>
      <c r="E1170" s="5" t="str">
        <f t="shared" si="20"/>
        <v>https://www.screener.in/company/MMTC/consolidated/</v>
      </c>
      <c r="F1170" s="4">
        <v>443059</v>
      </c>
      <c r="G1170" s="4">
        <v>3832241897</v>
      </c>
      <c r="H1170" s="6">
        <f t="shared" ca="1" si="21"/>
        <v>24794.605073590003</v>
      </c>
      <c r="I1170" s="7" t="str">
        <f ca="1">IFERROR(__xludf.DUMMYFUNCTION("IMPORTXML(E1170,""/html/body/main/div[3]/div[3]/div[2]/ul/li[5]/span[2]/span"")"),"Loading...")</f>
        <v>Loading...</v>
      </c>
      <c r="J1170" s="7">
        <f ca="1">IFERROR(__xludf.DUMMYFUNCTION("GOOGLEFINANCE(""NSE:""&amp;D1170,""marketcap"")"),97049995422)</f>
        <v>97049995422</v>
      </c>
      <c r="K1170" s="7">
        <v>992.8</v>
      </c>
      <c r="L1170" s="8">
        <f ca="1">IFERROR(__xludf.DUMMYFUNCTION("GOOGLEFINANCE(""NSE:""&amp;D1170,""price"")"),64.7)</f>
        <v>64.7</v>
      </c>
      <c r="M1170" s="9">
        <f t="shared" ca="1" si="22"/>
        <v>-928.09999999999991</v>
      </c>
      <c r="N1170" s="10">
        <f t="shared" ca="1" si="23"/>
        <v>-93.483078162771946</v>
      </c>
      <c r="O1170" s="7">
        <f ca="1">IFERROR(__xludf.DUMMYFUNCTION("GOOGLEFINANCE(""NSE:""&amp;D1170,""pe"")"),98.77)</f>
        <v>98.77</v>
      </c>
      <c r="P1170" s="7">
        <f ca="1">IFERROR(__xludf.DUMMYFUNCTION("GOOGLEFINANCE(""NSE:""&amp;D1170,""EPS"")"),0.66)</f>
        <v>0.66</v>
      </c>
      <c r="Q1170" s="7">
        <v>13.5</v>
      </c>
      <c r="R1170" s="7" t="str">
        <f ca="1">IFERROR(__xludf.DUMMYFUNCTION("IMPORTXML(E1170,""/html/body/main/div[3]/div[3]/div[2]/ul/li[7]/span[2]/span"")"),"Loading...")</f>
        <v>Loading...</v>
      </c>
      <c r="S1170" s="7" t="str">
        <f ca="1">IFERROR(__xludf.DUMMYFUNCTION("IMPORTXML(E1170,""/html/body/main/div[3]/div[3]/div[2]/ul/li[8]/span[2]/span"")"),"Loading...")</f>
        <v>Loading...</v>
      </c>
      <c r="T1170" s="4">
        <v>34.6</v>
      </c>
      <c r="U1170" s="4">
        <v>22.7</v>
      </c>
      <c r="V1170" s="4">
        <v>2.6</v>
      </c>
      <c r="W1170" s="4">
        <v>5.7</v>
      </c>
      <c r="X1170" s="4">
        <v>519.92999999999995</v>
      </c>
      <c r="Y1170" s="7">
        <f t="shared" ca="1" si="24"/>
        <v>-455.22999999999996</v>
      </c>
    </row>
    <row r="1171" spans="1:25" ht="15" x14ac:dyDescent="0.25">
      <c r="A1171" s="4">
        <v>201</v>
      </c>
      <c r="C1171" s="12" t="s">
        <v>2884</v>
      </c>
      <c r="D1171" s="12" t="s">
        <v>2885</v>
      </c>
      <c r="E1171" s="5" t="str">
        <f t="shared" si="20"/>
        <v>https://www.screener.in/company/RAINBOW/consolidated/</v>
      </c>
      <c r="F1171" s="4">
        <v>443059</v>
      </c>
      <c r="G1171" s="4">
        <v>3832241897</v>
      </c>
      <c r="H1171" s="6">
        <f t="shared" ca="1" si="21"/>
        <v>577212.27452614007</v>
      </c>
      <c r="I1171" s="7" t="str">
        <f ca="1">IFERROR(__xludf.DUMMYFUNCTION("IMPORTXML(E1171,""/html/body/main/div[3]/div[3]/div[2]/ul/li[5]/span[2]/span"")"),"Loading...")</f>
        <v>Loading...</v>
      </c>
      <c r="J1171" s="7">
        <f ca="1">IFERROR(__xludf.DUMMYFUNCTION("GOOGLEFINANCE(""NSE:""&amp;D1171,""marketcap"")"),153395000000)</f>
        <v>153395000000</v>
      </c>
      <c r="K1171" s="7">
        <v>992.8</v>
      </c>
      <c r="L1171" s="8">
        <f ca="1">IFERROR(__xludf.DUMMYFUNCTION("GOOGLEFINANCE(""NSE:""&amp;D1171,""price"")"),1506.2)</f>
        <v>1506.2</v>
      </c>
      <c r="M1171" s="9">
        <f t="shared" ca="1" si="22"/>
        <v>513.40000000000009</v>
      </c>
      <c r="N1171" s="10">
        <f t="shared" ca="1" si="23"/>
        <v>51.712328767123296</v>
      </c>
      <c r="O1171" s="7">
        <f ca="1">IFERROR(__xludf.DUMMYFUNCTION("GOOGLEFINANCE(""NSE:""&amp;D1171,""pe"")"),59.52)</f>
        <v>59.52</v>
      </c>
      <c r="P1171" s="7">
        <f ca="1">IFERROR(__xludf.DUMMYFUNCTION("GOOGLEFINANCE(""NSE:""&amp;D1171,""EPS"")"),25.31)</f>
        <v>25.31</v>
      </c>
      <c r="Q1171" s="7">
        <v>13.5</v>
      </c>
      <c r="R1171" s="7" t="str">
        <f ca="1">IFERROR(__xludf.DUMMYFUNCTION("IMPORTXML(E1171,""/html/body/main/div[3]/div[3]/div[2]/ul/li[7]/span[2]/span"")"),"Loading...")</f>
        <v>Loading...</v>
      </c>
      <c r="S1171" s="7" t="str">
        <f ca="1">IFERROR(__xludf.DUMMYFUNCTION("IMPORTXML(E1171,""/html/body/main/div[3]/div[3]/div[2]/ul/li[8]/span[2]/span"")"),"Loading...")</f>
        <v>Loading...</v>
      </c>
      <c r="T1171" s="4">
        <v>34.6</v>
      </c>
      <c r="U1171" s="4">
        <v>22.7</v>
      </c>
      <c r="V1171" s="4">
        <v>2.6</v>
      </c>
      <c r="W1171" s="4">
        <v>5.7</v>
      </c>
      <c r="X1171" s="4">
        <v>519.92999999999995</v>
      </c>
      <c r="Y1171" s="7">
        <f t="shared" ca="1" si="24"/>
        <v>986.2700000000001</v>
      </c>
    </row>
    <row r="1172" spans="1:25" ht="15" x14ac:dyDescent="0.25">
      <c r="A1172" s="4">
        <v>94</v>
      </c>
      <c r="C1172" s="12" t="s">
        <v>2886</v>
      </c>
      <c r="D1172" s="12" t="s">
        <v>2887</v>
      </c>
      <c r="E1172" s="5" t="str">
        <f t="shared" si="20"/>
        <v>https://www.screener.in/company/RAMCOCEM/consolidated/</v>
      </c>
      <c r="F1172" s="4">
        <v>443059</v>
      </c>
      <c r="G1172" s="4">
        <v>3832241897</v>
      </c>
      <c r="H1172" s="6">
        <f t="shared" ca="1" si="21"/>
        <v>408516.98622020002</v>
      </c>
      <c r="I1172" s="7" t="str">
        <f ca="1">IFERROR(__xludf.DUMMYFUNCTION("IMPORTXML(E1172,""/html/body/main/div[3]/div[3]/div[2]/ul/li[5]/span[2]/span"")"),"Loading...")</f>
        <v>Loading...</v>
      </c>
      <c r="J1172" s="7">
        <f ca="1">IFERROR(__xludf.DUMMYFUNCTION("GOOGLEFINANCE(""NSE:""&amp;D1172,""marketcap"")"),251887591800)</f>
        <v>251887591800</v>
      </c>
      <c r="K1172" s="7">
        <v>992.8</v>
      </c>
      <c r="L1172" s="8">
        <f ca="1">IFERROR(__xludf.DUMMYFUNCTION("GOOGLEFINANCE(""NSE:""&amp;D1172,""price"")"),1066)</f>
        <v>1066</v>
      </c>
      <c r="M1172" s="9">
        <f t="shared" ca="1" si="22"/>
        <v>73.200000000000045</v>
      </c>
      <c r="N1172" s="10">
        <f t="shared" ca="1" si="23"/>
        <v>7.3730862207896903</v>
      </c>
      <c r="O1172" s="7">
        <f ca="1">IFERROR(__xludf.DUMMYFUNCTION("GOOGLEFINANCE(""NSE:""&amp;D1172,""pe"")"),78.96)</f>
        <v>78.959999999999994</v>
      </c>
      <c r="P1172" s="7">
        <f ca="1">IFERROR(__xludf.DUMMYFUNCTION("GOOGLEFINANCE(""NSE:""&amp;D1172,""EPS"")"),13.5)</f>
        <v>13.5</v>
      </c>
      <c r="Q1172" s="7">
        <v>13.5</v>
      </c>
      <c r="R1172" s="7" t="str">
        <f ca="1">IFERROR(__xludf.DUMMYFUNCTION("IMPORTXML(E1172,""/html/body/main/div[3]/div[3]/div[2]/ul/li[7]/span[2]/span"")"),"Loading...")</f>
        <v>Loading...</v>
      </c>
      <c r="S1172" s="7" t="str">
        <f ca="1">IFERROR(__xludf.DUMMYFUNCTION("IMPORTXML(E1172,""/html/body/main/div[3]/div[3]/div[2]/ul/li[8]/span[2]/span"")"),"Loading...")</f>
        <v>Loading...</v>
      </c>
      <c r="T1172" s="4">
        <v>34.6</v>
      </c>
      <c r="U1172" s="4">
        <v>22.7</v>
      </c>
      <c r="V1172" s="4">
        <v>2.6</v>
      </c>
      <c r="W1172" s="4">
        <v>5.7</v>
      </c>
      <c r="X1172" s="4">
        <v>519.92999999999995</v>
      </c>
      <c r="Y1172" s="7">
        <f t="shared" ca="1" si="24"/>
        <v>546.07000000000005</v>
      </c>
    </row>
    <row r="1173" spans="1:25" ht="15" x14ac:dyDescent="0.25">
      <c r="A1173" s="4">
        <v>841</v>
      </c>
      <c r="C1173" s="12" t="s">
        <v>2888</v>
      </c>
      <c r="D1173" s="12" t="s">
        <v>2889</v>
      </c>
      <c r="E1173" s="5" t="str">
        <f t="shared" si="20"/>
        <v>https://www.screener.in/company/GREENPOWER/consolidated/</v>
      </c>
      <c r="F1173" s="4">
        <v>443059</v>
      </c>
      <c r="G1173" s="4">
        <v>3832241897</v>
      </c>
      <c r="H1173" s="6">
        <f t="shared" ca="1" si="21"/>
        <v>5388.1321071820003</v>
      </c>
      <c r="I1173" s="7" t="str">
        <f ca="1">IFERROR(__xludf.DUMMYFUNCTION("IMPORTXML(E1173,""/html/body/main/div[3]/div[3]/div[2]/ul/li[5]/span[2]/span"")"),"Loading...")</f>
        <v>Loading...</v>
      </c>
      <c r="J1173" s="7">
        <f ca="1">IFERROR(__xludf.DUMMYFUNCTION("GOOGLEFINANCE(""NSE:""&amp;D1173,""marketcap"")"),16492816352)</f>
        <v>16492816352</v>
      </c>
      <c r="K1173" s="7">
        <v>992.8</v>
      </c>
      <c r="L1173" s="8">
        <f ca="1">IFERROR(__xludf.DUMMYFUNCTION("GOOGLEFINANCE(""NSE:""&amp;D1173,""price"")"),14.06)</f>
        <v>14.06</v>
      </c>
      <c r="M1173" s="9">
        <f t="shared" ca="1" si="22"/>
        <v>-978.74</v>
      </c>
      <c r="N1173" s="10">
        <f t="shared" ca="1" si="23"/>
        <v>-98.583803384367457</v>
      </c>
      <c r="O1173" s="7">
        <f ca="1">IFERROR(__xludf.DUMMYFUNCTION("GOOGLEFINANCE(""NSE:""&amp;D1173,""pe"")"),31.11)</f>
        <v>31.11</v>
      </c>
      <c r="P1173" s="7">
        <f ca="1">IFERROR(__xludf.DUMMYFUNCTION("GOOGLEFINANCE(""NSE:""&amp;D1173,""EPS"")"),0.45)</f>
        <v>0.45</v>
      </c>
      <c r="Q1173" s="7">
        <v>13.5</v>
      </c>
      <c r="R1173" s="7" t="str">
        <f ca="1">IFERROR(__xludf.DUMMYFUNCTION("IMPORTXML(E1173,""/html/body/main/div[3]/div[3]/div[2]/ul/li[7]/span[2]/span"")"),"Loading...")</f>
        <v>Loading...</v>
      </c>
      <c r="S1173" s="7" t="str">
        <f ca="1">IFERROR(__xludf.DUMMYFUNCTION("IMPORTXML(E1173,""/html/body/main/div[3]/div[3]/div[2]/ul/li[8]/span[2]/span"")"),"Loading...")</f>
        <v>Loading...</v>
      </c>
      <c r="T1173" s="4">
        <v>34.6</v>
      </c>
      <c r="U1173" s="4">
        <v>22.7</v>
      </c>
      <c r="V1173" s="4">
        <v>2.6</v>
      </c>
      <c r="W1173" s="4">
        <v>5.7</v>
      </c>
      <c r="X1173" s="4">
        <v>519.92999999999995</v>
      </c>
      <c r="Y1173" s="7">
        <f t="shared" ca="1" si="24"/>
        <v>-505.86999999999995</v>
      </c>
    </row>
    <row r="1174" spans="1:25" ht="15" x14ac:dyDescent="0.25">
      <c r="A1174" s="4">
        <v>775</v>
      </c>
      <c r="C1174" s="12" t="s">
        <v>2890</v>
      </c>
      <c r="D1174" s="12" t="s">
        <v>2891</v>
      </c>
      <c r="E1174" s="5" t="str">
        <f t="shared" si="20"/>
        <v>https://www.screener.in/company/DCW/consolidated/</v>
      </c>
      <c r="F1174" s="4">
        <v>443059</v>
      </c>
      <c r="G1174" s="4">
        <v>3832241897</v>
      </c>
      <c r="H1174" s="6">
        <f t="shared" ca="1" si="21"/>
        <v>28849.117000616003</v>
      </c>
      <c r="I1174" s="7" t="str">
        <f ca="1">IFERROR(__xludf.DUMMYFUNCTION("IMPORTXML(E1174,""/html/body/main/div[3]/div[3]/div[2]/ul/li[5]/span[2]/span"")"),"Loading...")</f>
        <v>Loading...</v>
      </c>
      <c r="J1174" s="7">
        <f ca="1">IFERROR(__xludf.DUMMYFUNCTION("GOOGLEFINANCE(""NSE:""&amp;D1174,""marketcap"")"),22095300000)</f>
        <v>22095300000</v>
      </c>
      <c r="K1174" s="7">
        <v>992.8</v>
      </c>
      <c r="L1174" s="8">
        <f ca="1">IFERROR(__xludf.DUMMYFUNCTION("GOOGLEFINANCE(""NSE:""&amp;D1174,""price"")"),75.28)</f>
        <v>75.28</v>
      </c>
      <c r="M1174" s="9">
        <f t="shared" ca="1" si="22"/>
        <v>-917.52</v>
      </c>
      <c r="N1174" s="10">
        <f t="shared" ca="1" si="23"/>
        <v>-92.417405318291699</v>
      </c>
      <c r="O1174" s="7">
        <f ca="1">IFERROR(__xludf.DUMMYFUNCTION("GOOGLEFINANCE(""NSE:""&amp;D1174,""pe"")"),63.26)</f>
        <v>63.26</v>
      </c>
      <c r="P1174" s="7">
        <f ca="1">IFERROR(__xludf.DUMMYFUNCTION("GOOGLEFINANCE(""NSE:""&amp;D1174,""EPS"")"),1.19)</f>
        <v>1.19</v>
      </c>
      <c r="Q1174" s="7">
        <v>13.5</v>
      </c>
      <c r="R1174" s="7" t="str">
        <f ca="1">IFERROR(__xludf.DUMMYFUNCTION("IMPORTXML(E1174,""/html/body/main/div[3]/div[3]/div[2]/ul/li[7]/span[2]/span"")"),"Loading...")</f>
        <v>Loading...</v>
      </c>
      <c r="S1174" s="7" t="str">
        <f ca="1">IFERROR(__xludf.DUMMYFUNCTION("IMPORTXML(E1174,""/html/body/main/div[3]/div[3]/div[2]/ul/li[8]/span[2]/span"")"),"Loading...")</f>
        <v>Loading...</v>
      </c>
      <c r="T1174" s="4">
        <v>34.6</v>
      </c>
      <c r="U1174" s="4">
        <v>22.7</v>
      </c>
      <c r="V1174" s="4">
        <v>2.6</v>
      </c>
      <c r="W1174" s="4">
        <v>5.7</v>
      </c>
      <c r="X1174" s="4">
        <v>519.92999999999995</v>
      </c>
      <c r="Y1174" s="7">
        <f t="shared" ca="1" si="24"/>
        <v>-444.65</v>
      </c>
    </row>
    <row r="1175" spans="1:25" ht="15" x14ac:dyDescent="0.25">
      <c r="A1175" s="4">
        <v>1985</v>
      </c>
      <c r="C1175" s="12" t="s">
        <v>2892</v>
      </c>
      <c r="D1175" s="12" t="s">
        <v>2893</v>
      </c>
      <c r="E1175" s="5" t="str">
        <f t="shared" si="20"/>
        <v>https://www.screener.in/company/TAINWALCHM/consolidated/</v>
      </c>
      <c r="F1175" s="4">
        <v>443059</v>
      </c>
      <c r="G1175" s="4">
        <v>3832241897</v>
      </c>
      <c r="H1175" s="6">
        <f t="shared" ca="1" si="21"/>
        <v>79534.348330338005</v>
      </c>
      <c r="I1175" s="7" t="str">
        <f ca="1">IFERROR(__xludf.DUMMYFUNCTION("IMPORTXML(E1175,""/html/body/main/div[3]/div[3]/div[2]/ul/li[5]/span[2]/span"")"),"Loading...")</f>
        <v>Loading...</v>
      </c>
      <c r="J1175" s="7">
        <f ca="1">IFERROR(__xludf.DUMMYFUNCTION("GOOGLEFINANCE(""NSE:""&amp;D1175,""marketcap"")"),1954051000)</f>
        <v>1954051000</v>
      </c>
      <c r="K1175" s="7">
        <v>992.8</v>
      </c>
      <c r="L1175" s="8">
        <f ca="1">IFERROR(__xludf.DUMMYFUNCTION("GOOGLEFINANCE(""NSE:""&amp;D1175,""price"")"),207.54)</f>
        <v>207.54</v>
      </c>
      <c r="M1175" s="9">
        <f t="shared" ca="1" si="22"/>
        <v>-785.26</v>
      </c>
      <c r="N1175" s="10">
        <f t="shared" ca="1" si="23"/>
        <v>-79.09548751007253</v>
      </c>
      <c r="O1175" s="7">
        <f ca="1">IFERROR(__xludf.DUMMYFUNCTION("GOOGLEFINANCE(""NSE:""&amp;D1175,""pe"")"),28.01)</f>
        <v>28.01</v>
      </c>
      <c r="P1175" s="7">
        <f ca="1">IFERROR(__xludf.DUMMYFUNCTION("GOOGLEFINANCE(""NSE:""&amp;D1175,""EPS"")"),7.41)</f>
        <v>7.41</v>
      </c>
      <c r="Q1175" s="7">
        <v>13.5</v>
      </c>
      <c r="R1175" s="7" t="str">
        <f ca="1">IFERROR(__xludf.DUMMYFUNCTION("IMPORTXML(E1175,""/html/body/main/div[3]/div[3]/div[2]/ul/li[7]/span[2]/span"")"),"Loading...")</f>
        <v>Loading...</v>
      </c>
      <c r="S1175" s="7" t="str">
        <f ca="1">IFERROR(__xludf.DUMMYFUNCTION("IMPORTXML(E1175,""/html/body/main/div[3]/div[3]/div[2]/ul/li[8]/span[2]/span"")"),"Loading...")</f>
        <v>Loading...</v>
      </c>
      <c r="T1175" s="4">
        <v>34.6</v>
      </c>
      <c r="U1175" s="4">
        <v>22.7</v>
      </c>
      <c r="V1175" s="4">
        <v>2.6</v>
      </c>
      <c r="W1175" s="4">
        <v>5.7</v>
      </c>
      <c r="X1175" s="4">
        <v>519.92999999999995</v>
      </c>
      <c r="Y1175" s="7">
        <f t="shared" ca="1" si="24"/>
        <v>-312.39</v>
      </c>
    </row>
    <row r="1176" spans="1:25" ht="15" x14ac:dyDescent="0.25">
      <c r="A1176" s="4">
        <v>152</v>
      </c>
      <c r="C1176" s="12" t="s">
        <v>2894</v>
      </c>
      <c r="D1176" s="12" t="s">
        <v>2895</v>
      </c>
      <c r="E1176" s="5" t="str">
        <f t="shared" si="20"/>
        <v>https://www.screener.in/company/HBLENGINE/consolidated/</v>
      </c>
      <c r="F1176" s="4">
        <v>443059</v>
      </c>
      <c r="G1176" s="4">
        <v>3832241897</v>
      </c>
      <c r="H1176" s="6">
        <f t="shared" ca="1" si="21"/>
        <v>330664.99208264501</v>
      </c>
      <c r="I1176" s="7" t="str">
        <f ca="1">IFERROR(__xludf.DUMMYFUNCTION("IMPORTXML(E1176,""/html/body/main/div[3]/div[3]/div[2]/ul/li[5]/span[2]/span"")"),"Loading...")</f>
        <v>Loading...</v>
      </c>
      <c r="J1176" s="7">
        <f ca="1">IFERROR(__xludf.DUMMYFUNCTION("GOOGLEFINANCE(""NSE:""&amp;D1176,""marketcap"")"),239177612697)</f>
        <v>239177612697</v>
      </c>
      <c r="K1176" s="7">
        <v>992.8</v>
      </c>
      <c r="L1176" s="8">
        <f ca="1">IFERROR(__xludf.DUMMYFUNCTION("GOOGLEFINANCE(""NSE:""&amp;D1176,""price"")"),862.85)</f>
        <v>862.85</v>
      </c>
      <c r="M1176" s="9">
        <f t="shared" ca="1" si="22"/>
        <v>-129.94999999999993</v>
      </c>
      <c r="N1176" s="10">
        <f t="shared" ca="1" si="23"/>
        <v>-13.089242546333596</v>
      </c>
      <c r="O1176" s="7">
        <f ca="1">IFERROR(__xludf.DUMMYFUNCTION("GOOGLEFINANCE(""NSE:""&amp;D1176,""pe"")"),55.29)</f>
        <v>55.29</v>
      </c>
      <c r="P1176" s="7">
        <f ca="1">IFERROR(__xludf.DUMMYFUNCTION("GOOGLEFINANCE(""NSE:""&amp;D1176,""EPS"")"),11.81)</f>
        <v>11.81</v>
      </c>
      <c r="Q1176" s="7">
        <v>13.5</v>
      </c>
      <c r="R1176" s="7" t="str">
        <f ca="1">IFERROR(__xludf.DUMMYFUNCTION("IMPORTXML(E1176,""/html/body/main/div[3]/div[3]/div[2]/ul/li[7]/span[2]/span"")"),"Loading...")</f>
        <v>Loading...</v>
      </c>
      <c r="S1176" s="7" t="str">
        <f ca="1">IFERROR(__xludf.DUMMYFUNCTION("IMPORTXML(E1176,""/html/body/main/div[3]/div[3]/div[2]/ul/li[8]/span[2]/span"")"),"Loading...")</f>
        <v>Loading...</v>
      </c>
      <c r="T1176" s="4">
        <v>34.6</v>
      </c>
      <c r="U1176" s="4">
        <v>22.7</v>
      </c>
      <c r="V1176" s="4">
        <v>2.6</v>
      </c>
      <c r="W1176" s="4">
        <v>5.7</v>
      </c>
      <c r="X1176" s="4">
        <v>519.92999999999995</v>
      </c>
      <c r="Y1176" s="7">
        <f t="shared" ca="1" si="24"/>
        <v>342.92000000000007</v>
      </c>
    </row>
    <row r="1177" spans="1:25" ht="15" x14ac:dyDescent="0.25">
      <c r="A1177" s="4">
        <v>2062</v>
      </c>
      <c r="C1177" s="12" t="s">
        <v>2896</v>
      </c>
      <c r="D1177" s="12" t="s">
        <v>2897</v>
      </c>
      <c r="E1177" s="5" t="str">
        <f t="shared" si="20"/>
        <v>https://www.screener.in/company/BAGFILMS/consolidated/</v>
      </c>
      <c r="F1177" s="4">
        <v>443059</v>
      </c>
      <c r="G1177" s="4">
        <v>3832241897</v>
      </c>
      <c r="H1177" s="6">
        <f t="shared" ca="1" si="21"/>
        <v>2433.4736045949999</v>
      </c>
      <c r="I1177" s="7" t="str">
        <f ca="1">IFERROR(__xludf.DUMMYFUNCTION("IMPORTXML(E1177,""/html/body/main/div[3]/div[3]/div[2]/ul/li[5]/span[2]/span"")"),"Loading...")</f>
        <v>Loading...</v>
      </c>
      <c r="J1177" s="7">
        <f ca="1">IFERROR(__xludf.DUMMYFUNCTION("GOOGLEFINANCE(""NSE:""&amp;D1177,""marketcap"")"),1270499824)</f>
        <v>1270499824</v>
      </c>
      <c r="K1177" s="7">
        <v>992.8</v>
      </c>
      <c r="L1177" s="8">
        <f ca="1">IFERROR(__xludf.DUMMYFUNCTION("GOOGLEFINANCE(""NSE:""&amp;D1177,""price"")"),6.35)</f>
        <v>6.35</v>
      </c>
      <c r="M1177" s="9">
        <f t="shared" ca="1" si="22"/>
        <v>-986.44999999999993</v>
      </c>
      <c r="N1177" s="10">
        <f t="shared" ca="1" si="23"/>
        <v>-99.360394842868644</v>
      </c>
      <c r="O1177" s="7">
        <f ca="1">IFERROR(__xludf.DUMMYFUNCTION("GOOGLEFINANCE(""NSE:""&amp;D1177,""pe"")"),14.43)</f>
        <v>14.43</v>
      </c>
      <c r="P1177" s="7">
        <f ca="1">IFERROR(__xludf.DUMMYFUNCTION("GOOGLEFINANCE(""NSE:""&amp;D1177,""EPS"")"),0.44)</f>
        <v>0.44</v>
      </c>
      <c r="Q1177" s="7">
        <v>13.5</v>
      </c>
      <c r="R1177" s="7" t="str">
        <f ca="1">IFERROR(__xludf.DUMMYFUNCTION("IMPORTXML(E1177,""/html/body/main/div[3]/div[3]/div[2]/ul/li[7]/span[2]/span"")"),"Loading...")</f>
        <v>Loading...</v>
      </c>
      <c r="S1177" s="7" t="str">
        <f ca="1">IFERROR(__xludf.DUMMYFUNCTION("IMPORTXML(E1177,""/html/body/main/div[3]/div[3]/div[2]/ul/li[8]/span[2]/span"")"),"Loading...")</f>
        <v>Loading...</v>
      </c>
      <c r="T1177" s="4">
        <v>34.6</v>
      </c>
      <c r="U1177" s="4">
        <v>22.7</v>
      </c>
      <c r="V1177" s="4">
        <v>2.6</v>
      </c>
      <c r="W1177" s="4">
        <v>5.7</v>
      </c>
      <c r="X1177" s="4">
        <v>519.92999999999995</v>
      </c>
      <c r="Y1177" s="7">
        <f t="shared" ca="1" si="24"/>
        <v>-513.57999999999993</v>
      </c>
    </row>
    <row r="1178" spans="1:25" ht="15" x14ac:dyDescent="0.25">
      <c r="A1178" s="4">
        <v>1643</v>
      </c>
      <c r="C1178" s="12" t="s">
        <v>2898</v>
      </c>
      <c r="D1178" s="12" t="s">
        <v>2899</v>
      </c>
      <c r="E1178" s="5" t="str">
        <f t="shared" si="20"/>
        <v>https://www.screener.in/company/DCMNVL/consolidated/</v>
      </c>
      <c r="F1178" s="4">
        <v>443059</v>
      </c>
      <c r="G1178" s="4">
        <v>3832241897</v>
      </c>
      <c r="H1178" s="6">
        <f t="shared" ca="1" si="21"/>
        <v>63040.379205650002</v>
      </c>
      <c r="I1178" s="7" t="str">
        <f ca="1">IFERROR(__xludf.DUMMYFUNCTION("IMPORTXML(E1178,""/html/body/main/div[3]/div[3]/div[2]/ul/li[5]/span[2]/span"")"),"Loading...")</f>
        <v>Loading...</v>
      </c>
      <c r="J1178" s="7">
        <f ca="1">IFERROR(__xludf.DUMMYFUNCTION("GOOGLEFINANCE(""NSE:""&amp;D1178,""marketcap"")"),3075042629)</f>
        <v>3075042629</v>
      </c>
      <c r="K1178" s="7">
        <v>992.8</v>
      </c>
      <c r="L1178" s="8">
        <f ca="1">IFERROR(__xludf.DUMMYFUNCTION("GOOGLEFINANCE(""NSE:""&amp;D1178,""price"")"),164.5)</f>
        <v>164.5</v>
      </c>
      <c r="M1178" s="9">
        <f t="shared" ca="1" si="22"/>
        <v>-828.3</v>
      </c>
      <c r="N1178" s="10">
        <f t="shared" ca="1" si="23"/>
        <v>-83.4307010475423</v>
      </c>
      <c r="O1178" s="7">
        <f ca="1">IFERROR(__xludf.DUMMYFUNCTION("GOOGLEFINANCE(""NSE:""&amp;D1178,""pe"")"),25.52)</f>
        <v>25.52</v>
      </c>
      <c r="P1178" s="7">
        <f ca="1">IFERROR(__xludf.DUMMYFUNCTION("GOOGLEFINANCE(""NSE:""&amp;D1178,""EPS"")"),6.45)</f>
        <v>6.45</v>
      </c>
      <c r="Q1178" s="7">
        <v>13.5</v>
      </c>
      <c r="R1178" s="7" t="str">
        <f ca="1">IFERROR(__xludf.DUMMYFUNCTION("IMPORTXML(E1178,""/html/body/main/div[3]/div[3]/div[2]/ul/li[7]/span[2]/span"")"),"Loading...")</f>
        <v>Loading...</v>
      </c>
      <c r="S1178" s="7" t="str">
        <f ca="1">IFERROR(__xludf.DUMMYFUNCTION("IMPORTXML(E1178,""/html/body/main/div[3]/div[3]/div[2]/ul/li[8]/span[2]/span"")"),"Loading...")</f>
        <v>Loading...</v>
      </c>
      <c r="T1178" s="4">
        <v>34.6</v>
      </c>
      <c r="U1178" s="4">
        <v>22.7</v>
      </c>
      <c r="V1178" s="4">
        <v>2.6</v>
      </c>
      <c r="W1178" s="4">
        <v>5.7</v>
      </c>
      <c r="X1178" s="4">
        <v>519.92999999999995</v>
      </c>
      <c r="Y1178" s="7">
        <f t="shared" ca="1" si="24"/>
        <v>-355.42999999999995</v>
      </c>
    </row>
    <row r="1179" spans="1:25" ht="15" x14ac:dyDescent="0.25">
      <c r="A1179" s="4">
        <v>821</v>
      </c>
      <c r="C1179" s="12" t="s">
        <v>2900</v>
      </c>
      <c r="D1179" s="12" t="s">
        <v>2901</v>
      </c>
      <c r="E1179" s="5" t="str">
        <f t="shared" si="20"/>
        <v>https://www.screener.in/company/VIDHIING/consolidated/</v>
      </c>
      <c r="F1179" s="4">
        <v>443059</v>
      </c>
      <c r="G1179" s="4">
        <v>3832241897</v>
      </c>
      <c r="H1179" s="6">
        <f t="shared" ca="1" si="21"/>
        <v>149055.04858381499</v>
      </c>
      <c r="I1179" s="7" t="str">
        <f ca="1">IFERROR(__xludf.DUMMYFUNCTION("IMPORTXML(E1179,""/html/body/main/div[3]/div[3]/div[2]/ul/li[5]/span[2]/span"")"),"Loading...")</f>
        <v>Loading...</v>
      </c>
      <c r="J1179" s="7">
        <f ca="1">IFERROR(__xludf.DUMMYFUNCTION("GOOGLEFINANCE(""NSE:""&amp;D1179,""marketcap"")"),19426108359)</f>
        <v>19426108359</v>
      </c>
      <c r="K1179" s="7">
        <v>992.8</v>
      </c>
      <c r="L1179" s="8">
        <f ca="1">IFERROR(__xludf.DUMMYFUNCTION("GOOGLEFINANCE(""NSE:""&amp;D1179,""price"")"),388.95)</f>
        <v>388.95</v>
      </c>
      <c r="M1179" s="9">
        <f t="shared" ca="1" si="22"/>
        <v>-603.84999999999991</v>
      </c>
      <c r="N1179" s="10">
        <f t="shared" ca="1" si="23"/>
        <v>-60.822925060435132</v>
      </c>
      <c r="O1179" s="7">
        <f ca="1">IFERROR(__xludf.DUMMYFUNCTION("GOOGLEFINANCE(""NSE:""&amp;D1179,""pe"")"),41.96)</f>
        <v>41.96</v>
      </c>
      <c r="P1179" s="7">
        <f ca="1">IFERROR(__xludf.DUMMYFUNCTION("GOOGLEFINANCE(""NSE:""&amp;D1179,""EPS"")"),9.27)</f>
        <v>9.27</v>
      </c>
      <c r="Q1179" s="7">
        <v>13.5</v>
      </c>
      <c r="R1179" s="7" t="str">
        <f ca="1">IFERROR(__xludf.DUMMYFUNCTION("IMPORTXML(E1179,""/html/body/main/div[3]/div[3]/div[2]/ul/li[7]/span[2]/span"")"),"Loading...")</f>
        <v>Loading...</v>
      </c>
      <c r="S1179" s="7" t="str">
        <f ca="1">IFERROR(__xludf.DUMMYFUNCTION("IMPORTXML(E1179,""/html/body/main/div[3]/div[3]/div[2]/ul/li[8]/span[2]/span"")"),"Loading...")</f>
        <v>Loading...</v>
      </c>
      <c r="T1179" s="4">
        <v>34.6</v>
      </c>
      <c r="U1179" s="4">
        <v>22.7</v>
      </c>
      <c r="V1179" s="4">
        <v>2.6</v>
      </c>
      <c r="W1179" s="4">
        <v>5.7</v>
      </c>
      <c r="X1179" s="4">
        <v>519.92999999999995</v>
      </c>
      <c r="Y1179" s="7">
        <f t="shared" ca="1" si="24"/>
        <v>-130.97999999999996</v>
      </c>
    </row>
    <row r="1180" spans="1:25" ht="15" x14ac:dyDescent="0.25">
      <c r="A1180" s="4">
        <v>1378</v>
      </c>
      <c r="C1180" s="12" t="s">
        <v>2902</v>
      </c>
      <c r="D1180" s="12" t="s">
        <v>2903</v>
      </c>
      <c r="E1180" s="5" t="str">
        <f t="shared" si="20"/>
        <v>https://www.screener.in/company/LOKESHMACH/consolidated/</v>
      </c>
      <c r="F1180" s="4">
        <v>443059</v>
      </c>
      <c r="G1180" s="4">
        <v>3832241897</v>
      </c>
      <c r="H1180" s="6">
        <f t="shared" ca="1" si="21"/>
        <v>77602.898414249998</v>
      </c>
      <c r="I1180" s="7" t="str">
        <f ca="1">IFERROR(__xludf.DUMMYFUNCTION("IMPORTXML(E1180,""/html/body/main/div[3]/div[3]/div[2]/ul/li[5]/span[2]/span"")"),"Loading...")</f>
        <v>Loading...</v>
      </c>
      <c r="J1180" s="7">
        <f ca="1">IFERROR(__xludf.DUMMYFUNCTION("GOOGLEFINANCE(""NSE:""&amp;D1180,""marketcap"")"),4045947000)</f>
        <v>4045947000</v>
      </c>
      <c r="K1180" s="7">
        <v>992.8</v>
      </c>
      <c r="L1180" s="8">
        <f ca="1">IFERROR(__xludf.DUMMYFUNCTION("GOOGLEFINANCE(""NSE:""&amp;D1180,""price"")"),202.5)</f>
        <v>202.5</v>
      </c>
      <c r="M1180" s="9">
        <f t="shared" ca="1" si="22"/>
        <v>-790.3</v>
      </c>
      <c r="N1180" s="10">
        <f t="shared" ca="1" si="23"/>
        <v>-79.60314262691378</v>
      </c>
      <c r="O1180" s="7">
        <f ca="1">IFERROR(__xludf.DUMMYFUNCTION("GOOGLEFINANCE(""NSE:""&amp;D1180,""pe"")"),5062.5)</f>
        <v>5062.5</v>
      </c>
      <c r="P1180" s="7">
        <f ca="1">IFERROR(__xludf.DUMMYFUNCTION("GOOGLEFINANCE(""NSE:""&amp;D1180,""EPS"")"),0.04)</f>
        <v>0.04</v>
      </c>
      <c r="Q1180" s="7">
        <v>13.5</v>
      </c>
      <c r="R1180" s="7" t="str">
        <f ca="1">IFERROR(__xludf.DUMMYFUNCTION("IMPORTXML(E1180,""/html/body/main/div[3]/div[3]/div[2]/ul/li[7]/span[2]/span"")"),"Loading...")</f>
        <v>Loading...</v>
      </c>
      <c r="S1180" s="7" t="str">
        <f ca="1">IFERROR(__xludf.DUMMYFUNCTION("IMPORTXML(E1180,""/html/body/main/div[3]/div[3]/div[2]/ul/li[8]/span[2]/span"")"),"Loading...")</f>
        <v>Loading...</v>
      </c>
      <c r="T1180" s="4">
        <v>34.6</v>
      </c>
      <c r="U1180" s="4">
        <v>22.7</v>
      </c>
      <c r="V1180" s="4">
        <v>2.6</v>
      </c>
      <c r="W1180" s="4">
        <v>5.7</v>
      </c>
      <c r="X1180" s="4">
        <v>519.92999999999995</v>
      </c>
      <c r="Y1180" s="7">
        <f t="shared" ca="1" si="24"/>
        <v>-317.42999999999995</v>
      </c>
    </row>
    <row r="1181" spans="1:25" ht="15" x14ac:dyDescent="0.25">
      <c r="A1181" s="4">
        <v>262</v>
      </c>
      <c r="C1181" s="12" t="s">
        <v>2904</v>
      </c>
      <c r="D1181" s="12" t="s">
        <v>2905</v>
      </c>
      <c r="E1181" s="5" t="str">
        <f t="shared" si="20"/>
        <v>https://www.screener.in/company/METROPOLIS/consolidated/</v>
      </c>
      <c r="F1181" s="4">
        <v>443059</v>
      </c>
      <c r="G1181" s="4">
        <v>3832241897</v>
      </c>
      <c r="H1181" s="6">
        <f t="shared" ca="1" si="21"/>
        <v>845775.78666790004</v>
      </c>
      <c r="I1181" s="7" t="str">
        <f ca="1">IFERROR(__xludf.DUMMYFUNCTION("IMPORTXML(E1181,""/html/body/main/div[3]/div[3]/div[2]/ul/li[5]/span[2]/span"")"),"Loading...")</f>
        <v>Loading...</v>
      </c>
      <c r="J1181" s="7">
        <f ca="1">IFERROR(__xludf.DUMMYFUNCTION("GOOGLEFINANCE(""NSE:""&amp;D1181,""marketcap"")"),114282100000)</f>
        <v>114282100000</v>
      </c>
      <c r="K1181" s="7">
        <v>992.8</v>
      </c>
      <c r="L1181" s="8">
        <f ca="1">IFERROR(__xludf.DUMMYFUNCTION("GOOGLEFINANCE(""NSE:""&amp;D1181,""price"")"),2207)</f>
        <v>2207</v>
      </c>
      <c r="M1181" s="9">
        <f t="shared" ca="1" si="22"/>
        <v>1214.2</v>
      </c>
      <c r="N1181" s="10">
        <f t="shared" ca="1" si="23"/>
        <v>122.30056406124095</v>
      </c>
      <c r="O1181" s="7">
        <f ca="1">IFERROR(__xludf.DUMMYFUNCTION("GOOGLEFINANCE(""NSE:""&amp;D1181,""pe"")"),74.94)</f>
        <v>74.94</v>
      </c>
      <c r="P1181" s="7">
        <f ca="1">IFERROR(__xludf.DUMMYFUNCTION("GOOGLEFINANCE(""NSE:""&amp;D1181,""EPS"")"),29.45)</f>
        <v>29.45</v>
      </c>
      <c r="Q1181" s="7">
        <v>13.5</v>
      </c>
      <c r="R1181" s="7" t="str">
        <f ca="1">IFERROR(__xludf.DUMMYFUNCTION("IMPORTXML(E1181,""/html/body/main/div[3]/div[3]/div[2]/ul/li[7]/span[2]/span"")"),"Loading...")</f>
        <v>Loading...</v>
      </c>
      <c r="S1181" s="7" t="str">
        <f ca="1">IFERROR(__xludf.DUMMYFUNCTION("IMPORTXML(E1181,""/html/body/main/div[3]/div[3]/div[2]/ul/li[8]/span[2]/span"")"),"Loading...")</f>
        <v>Loading...</v>
      </c>
      <c r="T1181" s="4">
        <v>34.6</v>
      </c>
      <c r="U1181" s="4">
        <v>22.7</v>
      </c>
      <c r="V1181" s="4">
        <v>2.6</v>
      </c>
      <c r="W1181" s="4">
        <v>5.7</v>
      </c>
      <c r="X1181" s="4">
        <v>519.92999999999995</v>
      </c>
      <c r="Y1181" s="7">
        <f t="shared" ca="1" si="24"/>
        <v>1687.0700000000002</v>
      </c>
    </row>
    <row r="1182" spans="1:25" ht="15" x14ac:dyDescent="0.25">
      <c r="A1182" s="4">
        <v>415</v>
      </c>
      <c r="C1182" s="12" t="s">
        <v>2906</v>
      </c>
      <c r="D1182" s="12" t="s">
        <v>2907</v>
      </c>
      <c r="E1182" s="5" t="str">
        <f t="shared" si="20"/>
        <v>https://www.screener.in/company/GREENLAM/consolidated/</v>
      </c>
      <c r="F1182" s="4">
        <v>443059</v>
      </c>
      <c r="G1182" s="4">
        <v>3832241897</v>
      </c>
      <c r="H1182" s="6">
        <f t="shared" ca="1" si="21"/>
        <v>91786.025675047</v>
      </c>
      <c r="I1182" s="7" t="str">
        <f ca="1">IFERROR(__xludf.DUMMYFUNCTION("IMPORTXML(E1182,""/html/body/main/div[3]/div[3]/div[2]/ul/li[5]/span[2]/span"")"),"Loading...")</f>
        <v>Loading...</v>
      </c>
      <c r="J1182" s="7">
        <f ca="1">IFERROR(__xludf.DUMMYFUNCTION("GOOGLEFINANCE(""NSE:""&amp;D1182,""marketcap"")"),60843528000)</f>
        <v>60843528000</v>
      </c>
      <c r="K1182" s="7">
        <v>992.8</v>
      </c>
      <c r="L1182" s="8">
        <f ca="1">IFERROR(__xludf.DUMMYFUNCTION("GOOGLEFINANCE(""NSE:""&amp;D1182,""price"")"),239.51)</f>
        <v>239.51</v>
      </c>
      <c r="M1182" s="9">
        <f t="shared" ca="1" si="22"/>
        <v>-753.29</v>
      </c>
      <c r="N1182" s="10">
        <f t="shared" ca="1" si="23"/>
        <v>-75.875302175664785</v>
      </c>
      <c r="O1182" s="7">
        <f ca="1">IFERROR(__xludf.DUMMYFUNCTION("GOOGLEFINANCE(""NSE:""&amp;D1182,""pe"")"),133.48)</f>
        <v>133.47999999999999</v>
      </c>
      <c r="P1182" s="7">
        <f ca="1">IFERROR(__xludf.DUMMYFUNCTION("GOOGLEFINANCE(""NSE:""&amp;D1182,""EPS"")"),1.79)</f>
        <v>1.79</v>
      </c>
      <c r="Q1182" s="7">
        <v>13.5</v>
      </c>
      <c r="R1182" s="7" t="str">
        <f ca="1">IFERROR(__xludf.DUMMYFUNCTION("IMPORTXML(E1182,""/html/body/main/div[3]/div[3]/div[2]/ul/li[7]/span[2]/span"")"),"Loading...")</f>
        <v>Loading...</v>
      </c>
      <c r="S1182" s="7" t="str">
        <f ca="1">IFERROR(__xludf.DUMMYFUNCTION("IMPORTXML(E1182,""/html/body/main/div[3]/div[3]/div[2]/ul/li[8]/span[2]/span"")"),"Loading...")</f>
        <v>Loading...</v>
      </c>
      <c r="T1182" s="4">
        <v>34.6</v>
      </c>
      <c r="U1182" s="4">
        <v>22.7</v>
      </c>
      <c r="V1182" s="4">
        <v>2.6</v>
      </c>
      <c r="W1182" s="4">
        <v>5.7</v>
      </c>
      <c r="X1182" s="4">
        <v>519.92999999999995</v>
      </c>
      <c r="Y1182" s="7">
        <f t="shared" ca="1" si="24"/>
        <v>-280.41999999999996</v>
      </c>
    </row>
    <row r="1183" spans="1:25" ht="15" x14ac:dyDescent="0.25">
      <c r="A1183" s="4">
        <v>214</v>
      </c>
      <c r="C1183" s="12" t="s">
        <v>2908</v>
      </c>
      <c r="D1183" s="12" t="s">
        <v>2909</v>
      </c>
      <c r="E1183" s="5" t="str">
        <f t="shared" si="20"/>
        <v>https://www.screener.in/company/CRAFTSMAN/consolidated/</v>
      </c>
      <c r="F1183" s="4">
        <v>443059</v>
      </c>
      <c r="G1183" s="4">
        <v>3832241897</v>
      </c>
      <c r="H1183" s="6">
        <f t="shared" ca="1" si="21"/>
        <v>2621253.4575479999</v>
      </c>
      <c r="I1183" s="7" t="str">
        <f ca="1">IFERROR(__xludf.DUMMYFUNCTION("IMPORTXML(E1183,""/html/body/main/div[3]/div[3]/div[2]/ul/li[5]/span[2]/span"")"),"Loading...")</f>
        <v>Loading...</v>
      </c>
      <c r="J1183" s="7">
        <f ca="1">IFERROR(__xludf.DUMMYFUNCTION("GOOGLEFINANCE(""NSE:""&amp;D1183,""marketcap"")"),163172098800)</f>
        <v>163172098800</v>
      </c>
      <c r="K1183" s="7">
        <v>992.8</v>
      </c>
      <c r="L1183" s="8">
        <f ca="1">IFERROR(__xludf.DUMMYFUNCTION("GOOGLEFINANCE(""NSE:""&amp;D1183,""price"")"),6840)</f>
        <v>6840</v>
      </c>
      <c r="M1183" s="9">
        <f t="shared" ca="1" si="22"/>
        <v>5847.2</v>
      </c>
      <c r="N1183" s="10">
        <f t="shared" ca="1" si="23"/>
        <v>588.96051571313455</v>
      </c>
      <c r="O1183" s="7">
        <f ca="1">IFERROR(__xludf.DUMMYFUNCTION("GOOGLEFINANCE(""NSE:""&amp;D1183,""pe"")"),69.19)</f>
        <v>69.19</v>
      </c>
      <c r="P1183" s="7">
        <f ca="1">IFERROR(__xludf.DUMMYFUNCTION("GOOGLEFINANCE(""NSE:""&amp;D1183,""EPS"")"),98.86)</f>
        <v>98.86</v>
      </c>
      <c r="Q1183" s="7">
        <v>13.5</v>
      </c>
      <c r="R1183" s="7" t="str">
        <f ca="1">IFERROR(__xludf.DUMMYFUNCTION("IMPORTXML(E1183,""/html/body/main/div[3]/div[3]/div[2]/ul/li[7]/span[2]/span"")"),"Loading...")</f>
        <v>Loading...</v>
      </c>
      <c r="S1183" s="7" t="str">
        <f ca="1">IFERROR(__xludf.DUMMYFUNCTION("IMPORTXML(E1183,""/html/body/main/div[3]/div[3]/div[2]/ul/li[8]/span[2]/span"")"),"Loading...")</f>
        <v>Loading...</v>
      </c>
      <c r="T1183" s="4">
        <v>34.6</v>
      </c>
      <c r="U1183" s="4">
        <v>22.7</v>
      </c>
      <c r="V1183" s="4">
        <v>2.6</v>
      </c>
      <c r="W1183" s="4">
        <v>5.7</v>
      </c>
      <c r="X1183" s="4">
        <v>519.92999999999995</v>
      </c>
      <c r="Y1183" s="7">
        <f t="shared" ca="1" si="24"/>
        <v>6320.07</v>
      </c>
    </row>
    <row r="1184" spans="1:25" ht="15" x14ac:dyDescent="0.25">
      <c r="A1184" s="4">
        <v>3327</v>
      </c>
      <c r="C1184" s="12" t="s">
        <v>2910</v>
      </c>
      <c r="D1184" s="12" t="s">
        <v>2911</v>
      </c>
      <c r="E1184" s="5" t="str">
        <f t="shared" si="20"/>
        <v>https://www.screener.in/company/CALSOFT/consolidated/</v>
      </c>
      <c r="F1184" s="4">
        <v>443059</v>
      </c>
      <c r="G1184" s="4">
        <v>3832241897</v>
      </c>
      <c r="H1184" s="6">
        <f t="shared" ca="1" si="21"/>
        <v>6093.2646162300007</v>
      </c>
      <c r="I1184" s="7" t="str">
        <f ca="1">IFERROR(__xludf.DUMMYFUNCTION("IMPORTXML(E1184,""/html/body/main/div[3]/div[3]/div[2]/ul/li[5]/span[2]/span"")"),"Loading...")</f>
        <v>Loading...</v>
      </c>
      <c r="J1184" s="7">
        <f ca="1">IFERROR(__xludf.DUMMYFUNCTION("GOOGLEFINANCE(""NSE:""&amp;D1184,""marketcap"")"),1216076967)</f>
        <v>1216076967</v>
      </c>
      <c r="K1184" s="7">
        <v>992.8</v>
      </c>
      <c r="L1184" s="8">
        <f ca="1">IFERROR(__xludf.DUMMYFUNCTION("GOOGLEFINANCE(""NSE:""&amp;D1184,""price"")"),15.9)</f>
        <v>15.9</v>
      </c>
      <c r="M1184" s="9">
        <f t="shared" ca="1" si="22"/>
        <v>-976.9</v>
      </c>
      <c r="N1184" s="10">
        <f t="shared" ca="1" si="23"/>
        <v>-98.398468976631747</v>
      </c>
      <c r="O1184" s="7">
        <f ca="1">IFERROR(__xludf.DUMMYFUNCTION("GOOGLEFINANCE(""NSE:""&amp;D1184,""pe"")"),86.4)</f>
        <v>86.4</v>
      </c>
      <c r="P1184" s="7">
        <f ca="1">IFERROR(__xludf.DUMMYFUNCTION("GOOGLEFINANCE(""NSE:""&amp;D1184,""EPS"")"),0.18)</f>
        <v>0.18</v>
      </c>
      <c r="Q1184" s="7">
        <v>13.5</v>
      </c>
      <c r="R1184" s="7" t="str">
        <f ca="1">IFERROR(__xludf.DUMMYFUNCTION("IMPORTXML(E1184,""/html/body/main/div[3]/div[3]/div[2]/ul/li[7]/span[2]/span"")"),"Loading...")</f>
        <v>Loading...</v>
      </c>
      <c r="S1184" s="7" t="str">
        <f ca="1">IFERROR(__xludf.DUMMYFUNCTION("IMPORTXML(E1184,""/html/body/main/div[3]/div[3]/div[2]/ul/li[8]/span[2]/span"")"),"Loading...")</f>
        <v>Loading...</v>
      </c>
      <c r="T1184" s="4">
        <v>34.6</v>
      </c>
      <c r="U1184" s="4">
        <v>22.7</v>
      </c>
      <c r="V1184" s="4">
        <v>2.6</v>
      </c>
      <c r="W1184" s="4">
        <v>5.7</v>
      </c>
      <c r="X1184" s="4">
        <v>519.92999999999995</v>
      </c>
      <c r="Y1184" s="7">
        <f t="shared" ca="1" si="24"/>
        <v>-504.03</v>
      </c>
    </row>
    <row r="1185" spans="1:25" ht="15" x14ac:dyDescent="0.25">
      <c r="A1185" s="4">
        <v>291</v>
      </c>
      <c r="C1185" s="12" t="s">
        <v>2912</v>
      </c>
      <c r="D1185" s="12" t="s">
        <v>2913</v>
      </c>
      <c r="E1185" s="5" t="str">
        <f t="shared" si="20"/>
        <v>https://www.screener.in/company/SFL/consolidated/</v>
      </c>
      <c r="F1185" s="4">
        <v>443059</v>
      </c>
      <c r="G1185" s="4">
        <v>3832241897</v>
      </c>
      <c r="H1185" s="6">
        <f t="shared" ca="1" si="21"/>
        <v>274982.51731923496</v>
      </c>
      <c r="I1185" s="7" t="str">
        <f ca="1">IFERROR(__xludf.DUMMYFUNCTION("IMPORTXML(E1185,""/html/body/main/div[3]/div[3]/div[2]/ul/li[5]/span[2]/span"")"),"Loading...")</f>
        <v>Loading...</v>
      </c>
      <c r="J1185" s="7">
        <f ca="1">IFERROR(__xludf.DUMMYFUNCTION("GOOGLEFINANCE(""NSE:""&amp;D1185,""marketcap"")"),78005361457)</f>
        <v>78005361457</v>
      </c>
      <c r="K1185" s="7">
        <v>992.8</v>
      </c>
      <c r="L1185" s="8">
        <f ca="1">IFERROR(__xludf.DUMMYFUNCTION("GOOGLEFINANCE(""NSE:""&amp;D1185,""price"")"),717.55)</f>
        <v>717.55</v>
      </c>
      <c r="M1185" s="9">
        <f t="shared" ca="1" si="22"/>
        <v>-275.25</v>
      </c>
      <c r="N1185" s="10">
        <f t="shared" ca="1" si="23"/>
        <v>-27.72461724415794</v>
      </c>
      <c r="O1185" s="7">
        <f ca="1">IFERROR(__xludf.DUMMYFUNCTION("GOOGLEFINANCE(""NSE:""&amp;D1185,""pe"")"),136.03)</f>
        <v>136.03</v>
      </c>
      <c r="P1185" s="7">
        <f ca="1">IFERROR(__xludf.DUMMYFUNCTION("GOOGLEFINANCE(""NSE:""&amp;D1185,""EPS"")"),5.27)</f>
        <v>5.27</v>
      </c>
      <c r="Q1185" s="7">
        <v>13.5</v>
      </c>
      <c r="R1185" s="7" t="str">
        <f ca="1">IFERROR(__xludf.DUMMYFUNCTION("IMPORTXML(E1185,""/html/body/main/div[3]/div[3]/div[2]/ul/li[7]/span[2]/span"")"),"Loading...")</f>
        <v>Loading...</v>
      </c>
      <c r="S1185" s="7" t="str">
        <f ca="1">IFERROR(__xludf.DUMMYFUNCTION("IMPORTXML(E1185,""/html/body/main/div[3]/div[3]/div[2]/ul/li[8]/span[2]/span"")"),"Loading...")</f>
        <v>Loading...</v>
      </c>
      <c r="T1185" s="4">
        <v>34.6</v>
      </c>
      <c r="U1185" s="4">
        <v>22.7</v>
      </c>
      <c r="V1185" s="4">
        <v>2.6</v>
      </c>
      <c r="W1185" s="4">
        <v>5.7</v>
      </c>
      <c r="X1185" s="4">
        <v>519.92999999999995</v>
      </c>
      <c r="Y1185" s="7">
        <f t="shared" ca="1" si="24"/>
        <v>197.62</v>
      </c>
    </row>
    <row r="1186" spans="1:25" ht="15" x14ac:dyDescent="0.25">
      <c r="A1186" s="4">
        <v>78</v>
      </c>
      <c r="C1186" s="12" t="s">
        <v>2914</v>
      </c>
      <c r="D1186" s="12" t="s">
        <v>2915</v>
      </c>
      <c r="E1186" s="5" t="str">
        <f t="shared" si="20"/>
        <v>https://www.screener.in/company/AFFLE/consolidated/</v>
      </c>
      <c r="F1186" s="4">
        <v>443059</v>
      </c>
      <c r="G1186" s="4">
        <v>3832241897</v>
      </c>
      <c r="H1186" s="6">
        <f t="shared" ca="1" si="21"/>
        <v>740005.91031069995</v>
      </c>
      <c r="I1186" s="7" t="str">
        <f ca="1">IFERROR(__xludf.DUMMYFUNCTION("IMPORTXML(E1186,""/html/body/main/div[3]/div[3]/div[2]/ul/li[5]/span[2]/span"")"),"Loading...")</f>
        <v>Loading...</v>
      </c>
      <c r="J1186" s="7">
        <f ca="1">IFERROR(__xludf.DUMMYFUNCTION("GOOGLEFINANCE(""NSE:""&amp;D1186,""marketcap"")"),270946800000)</f>
        <v>270946800000</v>
      </c>
      <c r="K1186" s="7">
        <v>992.8</v>
      </c>
      <c r="L1186" s="8">
        <f ca="1">IFERROR(__xludf.DUMMYFUNCTION("GOOGLEFINANCE(""NSE:""&amp;D1186,""price"")"),1931)</f>
        <v>1931</v>
      </c>
      <c r="M1186" s="9">
        <f t="shared" ca="1" si="22"/>
        <v>938.2</v>
      </c>
      <c r="N1186" s="10">
        <f t="shared" ca="1" si="23"/>
        <v>94.500402900886399</v>
      </c>
      <c r="O1186" s="7">
        <f ca="1">IFERROR(__xludf.DUMMYFUNCTION("GOOGLEFINANCE(""NSE:""&amp;D1186,""pe"")"),67.76)</f>
        <v>67.760000000000005</v>
      </c>
      <c r="P1186" s="7">
        <f ca="1">IFERROR(__xludf.DUMMYFUNCTION("GOOGLEFINANCE(""NSE:""&amp;D1186,""EPS"")"),28.5)</f>
        <v>28.5</v>
      </c>
      <c r="Q1186" s="7">
        <v>13.5</v>
      </c>
      <c r="R1186" s="7" t="str">
        <f ca="1">IFERROR(__xludf.DUMMYFUNCTION("IMPORTXML(E1186,""/html/body/main/div[3]/div[3]/div[2]/ul/li[7]/span[2]/span"")"),"Loading...")</f>
        <v>Loading...</v>
      </c>
      <c r="S1186" s="7" t="str">
        <f ca="1">IFERROR(__xludf.DUMMYFUNCTION("IMPORTXML(E1186,""/html/body/main/div[3]/div[3]/div[2]/ul/li[8]/span[2]/span"")"),"Loading...")</f>
        <v>Loading...</v>
      </c>
      <c r="T1186" s="4">
        <v>34.6</v>
      </c>
      <c r="U1186" s="4">
        <v>22.7</v>
      </c>
      <c r="V1186" s="4">
        <v>2.6</v>
      </c>
      <c r="W1186" s="4">
        <v>5.7</v>
      </c>
      <c r="X1186" s="4">
        <v>519.92999999999995</v>
      </c>
      <c r="Y1186" s="7">
        <f t="shared" ca="1" si="24"/>
        <v>1411.0700000000002</v>
      </c>
    </row>
    <row r="1187" spans="1:25" ht="15" x14ac:dyDescent="0.25">
      <c r="A1187" s="4">
        <v>274</v>
      </c>
      <c r="C1187" s="12" t="s">
        <v>2916</v>
      </c>
      <c r="D1187" s="12" t="s">
        <v>2917</v>
      </c>
      <c r="E1187" s="5" t="str">
        <f t="shared" si="20"/>
        <v>https://www.screener.in/company/LEMONTREE/consolidated/</v>
      </c>
      <c r="F1187" s="4">
        <v>443059</v>
      </c>
      <c r="G1187" s="4">
        <v>3832241897</v>
      </c>
      <c r="H1187" s="6">
        <f t="shared" ca="1" si="21"/>
        <v>67121.716825955009</v>
      </c>
      <c r="I1187" s="7" t="str">
        <f ca="1">IFERROR(__xludf.DUMMYFUNCTION("IMPORTXML(E1187,""/html/body/main/div[3]/div[3]/div[2]/ul/li[5]/span[2]/span"")"),"Loading...")</f>
        <v>Loading...</v>
      </c>
      <c r="J1187" s="7">
        <f ca="1">IFERROR(__xludf.DUMMYFUNCTION("GOOGLEFINANCE(""NSE:""&amp;D1187,""marketcap"")"),138608373825)</f>
        <v>138608373825</v>
      </c>
      <c r="K1187" s="7">
        <v>992.8</v>
      </c>
      <c r="L1187" s="8">
        <f ca="1">IFERROR(__xludf.DUMMYFUNCTION("GOOGLEFINANCE(""NSE:""&amp;D1187,""price"")"),175.15)</f>
        <v>175.15</v>
      </c>
      <c r="M1187" s="9">
        <f t="shared" ca="1" si="22"/>
        <v>-817.65</v>
      </c>
      <c r="N1187" s="10">
        <f t="shared" ca="1" si="23"/>
        <v>-82.35797743755036</v>
      </c>
      <c r="O1187" s="7">
        <f ca="1">IFERROR(__xludf.DUMMYFUNCTION("GOOGLEFINANCE(""NSE:""&amp;D1187,""pe"")"),64.63)</f>
        <v>64.63</v>
      </c>
      <c r="P1187" s="7">
        <f ca="1">IFERROR(__xludf.DUMMYFUNCTION("GOOGLEFINANCE(""NSE:""&amp;D1187,""EPS"")"),2.71)</f>
        <v>2.71</v>
      </c>
      <c r="Q1187" s="7">
        <v>13.5</v>
      </c>
      <c r="R1187" s="7" t="str">
        <f ca="1">IFERROR(__xludf.DUMMYFUNCTION("IMPORTXML(E1187,""/html/body/main/div[3]/div[3]/div[2]/ul/li[7]/span[2]/span"")"),"Loading...")</f>
        <v>Loading...</v>
      </c>
      <c r="S1187" s="7" t="str">
        <f ca="1">IFERROR(__xludf.DUMMYFUNCTION("IMPORTXML(E1187,""/html/body/main/div[3]/div[3]/div[2]/ul/li[8]/span[2]/span"")"),"Loading...")</f>
        <v>Loading...</v>
      </c>
      <c r="T1187" s="4">
        <v>34.6</v>
      </c>
      <c r="U1187" s="4">
        <v>22.7</v>
      </c>
      <c r="V1187" s="4">
        <v>2.6</v>
      </c>
      <c r="W1187" s="4">
        <v>5.7</v>
      </c>
      <c r="X1187" s="4">
        <v>519.92999999999995</v>
      </c>
      <c r="Y1187" s="7">
        <f t="shared" ca="1" si="24"/>
        <v>-344.78</v>
      </c>
    </row>
    <row r="1188" spans="1:25" ht="15" x14ac:dyDescent="0.25">
      <c r="A1188" s="4">
        <v>927</v>
      </c>
      <c r="C1188" s="12" t="s">
        <v>2918</v>
      </c>
      <c r="D1188" s="12" t="s">
        <v>2919</v>
      </c>
      <c r="E1188" s="5" t="str">
        <f t="shared" si="20"/>
        <v>https://www.screener.in/company/BSHSL/consolidated/</v>
      </c>
      <c r="F1188" s="4">
        <v>443059</v>
      </c>
      <c r="G1188" s="4">
        <v>3832241897</v>
      </c>
      <c r="H1188" s="6">
        <f t="shared" ca="1" si="21"/>
        <v>53268.1623683</v>
      </c>
      <c r="I1188" s="7" t="str">
        <f ca="1">IFERROR(__xludf.DUMMYFUNCTION("IMPORTXML(E1188,""/html/body/main/div[3]/div[3]/div[2]/ul/li[5]/span[2]/span"")"),"Loading...")</f>
        <v>Loading...</v>
      </c>
      <c r="J1188" s="7">
        <f ca="1">IFERROR(__xludf.DUMMYFUNCTION("GOOGLEFINANCE(""NSE:""&amp;D1188,""marketcap"")"),14586270800)</f>
        <v>14586270800</v>
      </c>
      <c r="K1188" s="7">
        <v>992.8</v>
      </c>
      <c r="L1188" s="8">
        <f ca="1">IFERROR(__xludf.DUMMYFUNCTION("GOOGLEFINANCE(""NSE:""&amp;D1188,""price"")"),139)</f>
        <v>139</v>
      </c>
      <c r="M1188" s="9">
        <f t="shared" ca="1" si="22"/>
        <v>-853.8</v>
      </c>
      <c r="N1188" s="10">
        <f t="shared" ca="1" si="23"/>
        <v>-85.999194198227229</v>
      </c>
      <c r="O1188" s="7">
        <f ca="1">IFERROR(__xludf.DUMMYFUNCTION("GOOGLEFINANCE(""NSE:""&amp;D1188,""pe"")"),53.05)</f>
        <v>53.05</v>
      </c>
      <c r="P1188" s="7">
        <f ca="1">IFERROR(__xludf.DUMMYFUNCTION("GOOGLEFINANCE(""NSE:""&amp;D1188,""EPS"")"),2.62)</f>
        <v>2.62</v>
      </c>
      <c r="Q1188" s="7">
        <v>13.5</v>
      </c>
      <c r="R1188" s="7" t="str">
        <f ca="1">IFERROR(__xludf.DUMMYFUNCTION("IMPORTXML(E1188,""/html/body/main/div[3]/div[3]/div[2]/ul/li[7]/span[2]/span"")"),"Loading...")</f>
        <v>Loading...</v>
      </c>
      <c r="S1188" s="7" t="str">
        <f ca="1">IFERROR(__xludf.DUMMYFUNCTION("IMPORTXML(E1188,""/html/body/main/div[3]/div[3]/div[2]/ul/li[8]/span[2]/span"")"),"Loading...")</f>
        <v>Loading...</v>
      </c>
      <c r="T1188" s="4">
        <v>34.6</v>
      </c>
      <c r="U1188" s="4">
        <v>22.7</v>
      </c>
      <c r="V1188" s="4">
        <v>2.6</v>
      </c>
      <c r="W1188" s="4">
        <v>5.7</v>
      </c>
      <c r="X1188" s="4">
        <v>519.92999999999995</v>
      </c>
      <c r="Y1188" s="7">
        <f t="shared" ca="1" si="24"/>
        <v>-380.92999999999995</v>
      </c>
    </row>
    <row r="1189" spans="1:25" ht="15" x14ac:dyDescent="0.25">
      <c r="A1189" s="4">
        <v>810</v>
      </c>
      <c r="C1189" s="12" t="s">
        <v>2920</v>
      </c>
      <c r="D1189" s="12" t="s">
        <v>2921</v>
      </c>
      <c r="E1189" s="5" t="str">
        <f t="shared" si="20"/>
        <v>https://www.screener.in/company/TARSONS/consolidated/</v>
      </c>
      <c r="F1189" s="4">
        <v>443059</v>
      </c>
      <c r="G1189" s="4">
        <v>3832241897</v>
      </c>
      <c r="H1189" s="6">
        <f t="shared" ca="1" si="21"/>
        <v>122171.87167636001</v>
      </c>
      <c r="I1189" s="7" t="str">
        <f ca="1">IFERROR(__xludf.DUMMYFUNCTION("IMPORTXML(E1189,""/html/body/main/div[3]/div[3]/div[2]/ul/li[5]/span[2]/span"")"),"Loading...")</f>
        <v>Loading...</v>
      </c>
      <c r="J1189" s="7">
        <f ca="1">IFERROR(__xludf.DUMMYFUNCTION("GOOGLEFINANCE(""NSE:""&amp;D1189,""marketcap"")"),16962164602)</f>
        <v>16962164602</v>
      </c>
      <c r="K1189" s="7">
        <v>992.8</v>
      </c>
      <c r="L1189" s="8">
        <f ca="1">IFERROR(__xludf.DUMMYFUNCTION("GOOGLEFINANCE(""NSE:""&amp;D1189,""price"")"),318.8)</f>
        <v>318.8</v>
      </c>
      <c r="M1189" s="9">
        <f t="shared" ca="1" si="22"/>
        <v>-674</v>
      </c>
      <c r="N1189" s="10">
        <f t="shared" ca="1" si="23"/>
        <v>-67.888799355358586</v>
      </c>
      <c r="O1189" s="7">
        <f ca="1">IFERROR(__xludf.DUMMYFUNCTION("GOOGLEFINANCE(""NSE:""&amp;D1189,""pe"")"),61.62)</f>
        <v>61.62</v>
      </c>
      <c r="P1189" s="7">
        <f ca="1">IFERROR(__xludf.DUMMYFUNCTION("GOOGLEFINANCE(""NSE:""&amp;D1189,""EPS"")"),5.17)</f>
        <v>5.17</v>
      </c>
      <c r="Q1189" s="7">
        <v>13.5</v>
      </c>
      <c r="R1189" s="7" t="str">
        <f ca="1">IFERROR(__xludf.DUMMYFUNCTION("IMPORTXML(E1189,""/html/body/main/div[3]/div[3]/div[2]/ul/li[7]/span[2]/span"")"),"Loading...")</f>
        <v>Loading...</v>
      </c>
      <c r="S1189" s="7" t="str">
        <f ca="1">IFERROR(__xludf.DUMMYFUNCTION("IMPORTXML(E1189,""/html/body/main/div[3]/div[3]/div[2]/ul/li[8]/span[2]/span"")"),"Loading...")</f>
        <v>Loading...</v>
      </c>
      <c r="T1189" s="4">
        <v>34.6</v>
      </c>
      <c r="U1189" s="4">
        <v>22.7</v>
      </c>
      <c r="V1189" s="4">
        <v>2.6</v>
      </c>
      <c r="W1189" s="4">
        <v>5.7</v>
      </c>
      <c r="X1189" s="4">
        <v>519.92999999999995</v>
      </c>
      <c r="Y1189" s="7">
        <f t="shared" ca="1" si="24"/>
        <v>-201.12999999999994</v>
      </c>
    </row>
    <row r="1190" spans="1:25" ht="15" x14ac:dyDescent="0.25">
      <c r="A1190" s="4">
        <v>72</v>
      </c>
      <c r="C1190" s="12" t="s">
        <v>2922</v>
      </c>
      <c r="D1190" s="12" t="s">
        <v>2923</v>
      </c>
      <c r="E1190" s="5" t="str">
        <f t="shared" si="20"/>
        <v>https://www.screener.in/company/TRITURBINE/consolidated/</v>
      </c>
      <c r="F1190" s="4">
        <v>443059</v>
      </c>
      <c r="G1190" s="4">
        <v>3832241897</v>
      </c>
      <c r="H1190" s="6">
        <f t="shared" ca="1" si="21"/>
        <v>196402.39722124999</v>
      </c>
      <c r="I1190" s="7" t="str">
        <f ca="1">IFERROR(__xludf.DUMMYFUNCTION("IMPORTXML(E1190,""/html/body/main/div[3]/div[3]/div[2]/ul/li[5]/span[2]/span"")"),"Loading...")</f>
        <v>Loading...</v>
      </c>
      <c r="J1190" s="7">
        <f ca="1">IFERROR(__xludf.DUMMYFUNCTION("GOOGLEFINANCE(""NSE:""&amp;D1190,""marketcap"")"),162913653750)</f>
        <v>162913653750</v>
      </c>
      <c r="K1190" s="7">
        <v>992.8</v>
      </c>
      <c r="L1190" s="8">
        <f ca="1">IFERROR(__xludf.DUMMYFUNCTION("GOOGLEFINANCE(""NSE:""&amp;D1190,""price"")"),512.5)</f>
        <v>512.5</v>
      </c>
      <c r="M1190" s="9">
        <f t="shared" ca="1" si="22"/>
        <v>-480.29999999999995</v>
      </c>
      <c r="N1190" s="10">
        <f t="shared" ca="1" si="23"/>
        <v>-48.378323932312654</v>
      </c>
      <c r="O1190" s="7">
        <f ca="1">IFERROR(__xludf.DUMMYFUNCTION("GOOGLEFINANCE(""NSE:""&amp;D1190,""pe"")"),47.71)</f>
        <v>47.71</v>
      </c>
      <c r="P1190" s="7">
        <f ca="1">IFERROR(__xludf.DUMMYFUNCTION("GOOGLEFINANCE(""NSE:""&amp;D1190,""EPS"")"),10.74)</f>
        <v>10.74</v>
      </c>
      <c r="Q1190" s="7">
        <v>13.5</v>
      </c>
      <c r="R1190" s="7" t="str">
        <f ca="1">IFERROR(__xludf.DUMMYFUNCTION("IMPORTXML(E1190,""/html/body/main/div[3]/div[3]/div[2]/ul/li[7]/span[2]/span"")"),"Loading...")</f>
        <v>Loading...</v>
      </c>
      <c r="S1190" s="7" t="str">
        <f ca="1">IFERROR(__xludf.DUMMYFUNCTION("IMPORTXML(E1190,""/html/body/main/div[3]/div[3]/div[2]/ul/li[8]/span[2]/span"")"),"Loading...")</f>
        <v>Loading...</v>
      </c>
      <c r="T1190" s="4">
        <v>34.6</v>
      </c>
      <c r="U1190" s="4">
        <v>22.7</v>
      </c>
      <c r="V1190" s="4">
        <v>2.6</v>
      </c>
      <c r="W1190" s="4">
        <v>5.7</v>
      </c>
      <c r="X1190" s="4">
        <v>519.92999999999995</v>
      </c>
      <c r="Y1190" s="7">
        <f t="shared" ca="1" si="24"/>
        <v>-7.42999999999995</v>
      </c>
    </row>
    <row r="1191" spans="1:25" ht="15" x14ac:dyDescent="0.25">
      <c r="A1191" s="4">
        <v>1678</v>
      </c>
      <c r="C1191" s="12" t="s">
        <v>2924</v>
      </c>
      <c r="D1191" s="12" t="s">
        <v>2925</v>
      </c>
      <c r="E1191" s="5" t="str">
        <f t="shared" si="20"/>
        <v>https://www.screener.in/company/MEDICO/consolidated/</v>
      </c>
      <c r="F1191" s="4">
        <v>443059</v>
      </c>
      <c r="G1191" s="4">
        <v>3832241897</v>
      </c>
      <c r="H1191" s="6">
        <f t="shared" ca="1" si="21"/>
        <v>15290.645169029998</v>
      </c>
      <c r="I1191" s="7" t="str">
        <f ca="1">IFERROR(__xludf.DUMMYFUNCTION("IMPORTXML(E1191,""/html/body/main/div[3]/div[3]/div[2]/ul/li[5]/span[2]/span"")"),"Loading...")</f>
        <v>Loading...</v>
      </c>
      <c r="J1191" s="7">
        <f ca="1">IFERROR(__xludf.DUMMYFUNCTION("GOOGLEFINANCE(""NSE:""&amp;D1191,""marketcap"")"),3311061726)</f>
        <v>3311061726</v>
      </c>
      <c r="K1191" s="7">
        <v>992.8</v>
      </c>
      <c r="L1191" s="8">
        <f ca="1">IFERROR(__xludf.DUMMYFUNCTION("GOOGLEFINANCE(""NSE:""&amp;D1191,""price"")"),39.9)</f>
        <v>39.9</v>
      </c>
      <c r="M1191" s="9">
        <f t="shared" ca="1" si="22"/>
        <v>-952.9</v>
      </c>
      <c r="N1191" s="10">
        <f t="shared" ca="1" si="23"/>
        <v>-95.981063658340048</v>
      </c>
      <c r="O1191" s="7">
        <f ca="1">IFERROR(__xludf.DUMMYFUNCTION("GOOGLEFINANCE(""NSE:""&amp;D1191,""pe"")"),31.66)</f>
        <v>31.66</v>
      </c>
      <c r="P1191" s="7">
        <f ca="1">IFERROR(__xludf.DUMMYFUNCTION("GOOGLEFINANCE(""NSE:""&amp;D1191,""EPS"")"),1.26)</f>
        <v>1.26</v>
      </c>
      <c r="Q1191" s="7">
        <v>13.5</v>
      </c>
      <c r="R1191" s="7" t="str">
        <f ca="1">IFERROR(__xludf.DUMMYFUNCTION("IMPORTXML(E1191,""/html/body/main/div[3]/div[3]/div[2]/ul/li[7]/span[2]/span"")"),"Loading...")</f>
        <v>Loading...</v>
      </c>
      <c r="S1191" s="7" t="str">
        <f ca="1">IFERROR(__xludf.DUMMYFUNCTION("IMPORTXML(E1191,""/html/body/main/div[3]/div[3]/div[2]/ul/li[8]/span[2]/span"")"),"Loading...")</f>
        <v>Loading...</v>
      </c>
      <c r="T1191" s="4">
        <v>34.6</v>
      </c>
      <c r="U1191" s="4">
        <v>22.7</v>
      </c>
      <c r="V1191" s="4">
        <v>2.6</v>
      </c>
      <c r="W1191" s="4">
        <v>5.7</v>
      </c>
      <c r="X1191" s="4">
        <v>519.92999999999995</v>
      </c>
      <c r="Y1191" s="7">
        <f t="shared" ca="1" si="24"/>
        <v>-480.03</v>
      </c>
    </row>
    <row r="1192" spans="1:25" ht="15" x14ac:dyDescent="0.25">
      <c r="A1192" s="4">
        <v>491</v>
      </c>
      <c r="C1192" s="12" t="s">
        <v>2926</v>
      </c>
      <c r="D1192" s="12" t="s">
        <v>2927</v>
      </c>
      <c r="E1192" s="5" t="str">
        <f t="shared" si="20"/>
        <v>https://www.screener.in/company/CYIENTDLM/consolidated/</v>
      </c>
      <c r="F1192" s="4">
        <v>443059</v>
      </c>
      <c r="G1192" s="4">
        <v>3832241897</v>
      </c>
      <c r="H1192" s="6">
        <f t="shared" ca="1" si="21"/>
        <v>165782.78446422002</v>
      </c>
      <c r="I1192" s="7" t="str">
        <f ca="1">IFERROR(__xludf.DUMMYFUNCTION("IMPORTXML(E1192,""/html/body/main/div[3]/div[3]/div[2]/ul/li[5]/span[2]/span"")"),"Loading...")</f>
        <v>Loading...</v>
      </c>
      <c r="J1192" s="7">
        <f ca="1">IFERROR(__xludf.DUMMYFUNCTION("GOOGLEFINANCE(""NSE:""&amp;D1192,""marketcap"")"),34333031272)</f>
        <v>34333031272</v>
      </c>
      <c r="K1192" s="7">
        <v>992.8</v>
      </c>
      <c r="L1192" s="8">
        <f ca="1">IFERROR(__xludf.DUMMYFUNCTION("GOOGLEFINANCE(""NSE:""&amp;D1192,""price"")"),432.6)</f>
        <v>432.6</v>
      </c>
      <c r="M1192" s="9">
        <f t="shared" ca="1" si="22"/>
        <v>-560.19999999999993</v>
      </c>
      <c r="N1192" s="10">
        <f t="shared" ca="1" si="23"/>
        <v>-56.426269137792097</v>
      </c>
      <c r="O1192" s="7">
        <f ca="1">IFERROR(__xludf.DUMMYFUNCTION("GOOGLEFINANCE(""NSE:""&amp;D1192,""pe"")"),53.04)</f>
        <v>53.04</v>
      </c>
      <c r="P1192" s="7">
        <f ca="1">IFERROR(__xludf.DUMMYFUNCTION("GOOGLEFINANCE(""NSE:""&amp;D1192,""EPS"")"),8.16)</f>
        <v>8.16</v>
      </c>
      <c r="Q1192" s="7">
        <v>13.5</v>
      </c>
      <c r="R1192" s="7" t="str">
        <f ca="1">IFERROR(__xludf.DUMMYFUNCTION("IMPORTXML(E1192,""/html/body/main/div[3]/div[3]/div[2]/ul/li[7]/span[2]/span"")"),"Loading...")</f>
        <v>Loading...</v>
      </c>
      <c r="S1192" s="7" t="str">
        <f ca="1">IFERROR(__xludf.DUMMYFUNCTION("IMPORTXML(E1192,""/html/body/main/div[3]/div[3]/div[2]/ul/li[8]/span[2]/span"")"),"Loading...")</f>
        <v>Loading...</v>
      </c>
      <c r="T1192" s="4">
        <v>34.6</v>
      </c>
      <c r="U1192" s="4">
        <v>22.7</v>
      </c>
      <c r="V1192" s="4">
        <v>2.6</v>
      </c>
      <c r="W1192" s="4">
        <v>5.7</v>
      </c>
      <c r="X1192" s="4">
        <v>519.92999999999995</v>
      </c>
      <c r="Y1192" s="7">
        <f t="shared" ca="1" si="24"/>
        <v>-87.329999999999927</v>
      </c>
    </row>
    <row r="1193" spans="1:25" ht="15" x14ac:dyDescent="0.25">
      <c r="A1193" s="4">
        <v>699</v>
      </c>
      <c r="C1193" s="12" t="s">
        <v>2928</v>
      </c>
      <c r="D1193" s="12" t="s">
        <v>2929</v>
      </c>
      <c r="E1193" s="5" t="str">
        <f t="shared" si="20"/>
        <v>https://www.screener.in/company/GENESYS/consolidated/</v>
      </c>
      <c r="F1193" s="4">
        <v>443059</v>
      </c>
      <c r="G1193" s="4">
        <v>3832241897</v>
      </c>
      <c r="H1193" s="6">
        <f t="shared" ca="1" si="21"/>
        <v>242236.01030937003</v>
      </c>
      <c r="I1193" s="7" t="str">
        <f ca="1">IFERROR(__xludf.DUMMYFUNCTION("IMPORTXML(E1193,""/html/body/main/div[3]/div[3]/div[2]/ul/li[5]/span[2]/span"")"),"Loading...")</f>
        <v>Loading...</v>
      </c>
      <c r="J1193" s="7">
        <f ca="1">IFERROR(__xludf.DUMMYFUNCTION("GOOGLEFINANCE(""NSE:""&amp;D1193,""marketcap"")"),26370515671)</f>
        <v>26370515671</v>
      </c>
      <c r="K1193" s="7">
        <v>992.8</v>
      </c>
      <c r="L1193" s="8">
        <f ca="1">IFERROR(__xludf.DUMMYFUNCTION("GOOGLEFINANCE(""NSE:""&amp;D1193,""price"")"),632.1)</f>
        <v>632.1</v>
      </c>
      <c r="M1193" s="9">
        <f t="shared" ca="1" si="22"/>
        <v>-360.69999999999993</v>
      </c>
      <c r="N1193" s="10">
        <f t="shared" ca="1" si="23"/>
        <v>-36.331587429492338</v>
      </c>
      <c r="O1193" s="7">
        <f ca="1">IFERROR(__xludf.DUMMYFUNCTION("GOOGLEFINANCE(""NSE:""&amp;D1193,""pe"")"),43.83)</f>
        <v>43.83</v>
      </c>
      <c r="P1193" s="7">
        <f ca="1">IFERROR(__xludf.DUMMYFUNCTION("GOOGLEFINANCE(""NSE:""&amp;D1193,""EPS"")"),14.42)</f>
        <v>14.42</v>
      </c>
      <c r="Q1193" s="7">
        <v>13.5</v>
      </c>
      <c r="R1193" s="7" t="str">
        <f ca="1">IFERROR(__xludf.DUMMYFUNCTION("IMPORTXML(E1193,""/html/body/main/div[3]/div[3]/div[2]/ul/li[7]/span[2]/span"")"),"Loading...")</f>
        <v>Loading...</v>
      </c>
      <c r="S1193" s="7" t="str">
        <f ca="1">IFERROR(__xludf.DUMMYFUNCTION("IMPORTXML(E1193,""/html/body/main/div[3]/div[3]/div[2]/ul/li[8]/span[2]/span"")"),"Loading...")</f>
        <v>Loading...</v>
      </c>
      <c r="T1193" s="4">
        <v>34.6</v>
      </c>
      <c r="U1193" s="4">
        <v>22.7</v>
      </c>
      <c r="V1193" s="4">
        <v>2.6</v>
      </c>
      <c r="W1193" s="4">
        <v>5.7</v>
      </c>
      <c r="X1193" s="4">
        <v>519.92999999999995</v>
      </c>
      <c r="Y1193" s="7">
        <f t="shared" ca="1" si="24"/>
        <v>112.17000000000007</v>
      </c>
    </row>
    <row r="1194" spans="1:25" ht="15" x14ac:dyDescent="0.25">
      <c r="A1194" s="4">
        <v>347</v>
      </c>
      <c r="C1194" s="12" t="s">
        <v>2930</v>
      </c>
      <c r="D1194" s="12" t="s">
        <v>2931</v>
      </c>
      <c r="E1194" s="5" t="str">
        <f t="shared" si="20"/>
        <v>https://www.screener.in/company/SYRMA/consolidated/</v>
      </c>
      <c r="F1194" s="4">
        <v>443059</v>
      </c>
      <c r="G1194" s="4">
        <v>3832241897</v>
      </c>
      <c r="H1194" s="6">
        <f t="shared" ca="1" si="21"/>
        <v>319149.10518215998</v>
      </c>
      <c r="I1194" s="7" t="str">
        <f ca="1">IFERROR(__xludf.DUMMYFUNCTION("IMPORTXML(E1194,""/html/body/main/div[3]/div[3]/div[2]/ul/li[5]/span[2]/span"")"),"Loading...")</f>
        <v>Loading...</v>
      </c>
      <c r="J1194" s="7">
        <f ca="1">IFERROR(__xludf.DUMMYFUNCTION("GOOGLEFINANCE(""NSE:""&amp;D1194,""marketcap"")"),148064935230)</f>
        <v>148064935230</v>
      </c>
      <c r="K1194" s="7">
        <v>992.8</v>
      </c>
      <c r="L1194" s="8">
        <f ca="1">IFERROR(__xludf.DUMMYFUNCTION("GOOGLEFINANCE(""NSE:""&amp;D1194,""price"")"),832.8)</f>
        <v>832.8</v>
      </c>
      <c r="M1194" s="9">
        <f t="shared" ca="1" si="22"/>
        <v>-160</v>
      </c>
      <c r="N1194" s="10">
        <f t="shared" ca="1" si="23"/>
        <v>-16.116035455278002</v>
      </c>
      <c r="O1194" s="7">
        <f ca="1">IFERROR(__xludf.DUMMYFUNCTION("GOOGLEFINANCE(""NSE:""&amp;D1194,""pe"")"),74.17)</f>
        <v>74.17</v>
      </c>
      <c r="P1194" s="7">
        <f ca="1">IFERROR(__xludf.DUMMYFUNCTION("GOOGLEFINANCE(""NSE:""&amp;D1194,""EPS"")"),11.23)</f>
        <v>11.23</v>
      </c>
      <c r="Q1194" s="7">
        <v>13.5</v>
      </c>
      <c r="R1194" s="7" t="str">
        <f ca="1">IFERROR(__xludf.DUMMYFUNCTION("IMPORTXML(E1194,""/html/body/main/div[3]/div[3]/div[2]/ul/li[7]/span[2]/span"")"),"Loading...")</f>
        <v>Loading...</v>
      </c>
      <c r="S1194" s="7" t="str">
        <f ca="1">IFERROR(__xludf.DUMMYFUNCTION("IMPORTXML(E1194,""/html/body/main/div[3]/div[3]/div[2]/ul/li[8]/span[2]/span"")"),"Loading...")</f>
        <v>Loading...</v>
      </c>
      <c r="T1194" s="4">
        <v>34.6</v>
      </c>
      <c r="U1194" s="4">
        <v>22.7</v>
      </c>
      <c r="V1194" s="4">
        <v>2.6</v>
      </c>
      <c r="W1194" s="4">
        <v>5.7</v>
      </c>
      <c r="X1194" s="4">
        <v>519.92999999999995</v>
      </c>
      <c r="Y1194" s="7">
        <f t="shared" ca="1" si="24"/>
        <v>312.87</v>
      </c>
    </row>
    <row r="1195" spans="1:25" ht="15" x14ac:dyDescent="0.25">
      <c r="A1195" s="4">
        <v>993</v>
      </c>
      <c r="C1195" s="12" t="s">
        <v>2932</v>
      </c>
      <c r="D1195" s="12" t="s">
        <v>2933</v>
      </c>
      <c r="E1195" s="5" t="str">
        <f t="shared" si="20"/>
        <v>https://www.screener.in/company/MSPL/consolidated/</v>
      </c>
      <c r="F1195" s="4">
        <v>443059</v>
      </c>
      <c r="G1195" s="4">
        <v>3832241897</v>
      </c>
      <c r="H1195" s="6">
        <f t="shared" ca="1" si="21"/>
        <v>11830.130736039</v>
      </c>
      <c r="I1195" s="7" t="str">
        <f ca="1">IFERROR(__xludf.DUMMYFUNCTION("IMPORTXML(E1195,""/html/body/main/div[3]/div[3]/div[2]/ul/li[5]/span[2]/span"")"),"Loading...")</f>
        <v>Loading...</v>
      </c>
      <c r="J1195" s="7">
        <f ca="1">IFERROR(__xludf.DUMMYFUNCTION("GOOGLEFINANCE(""NSE:""&amp;D1195,""marketcap"")"),17660795843)</f>
        <v>17660795843</v>
      </c>
      <c r="K1195" s="7">
        <v>992.8</v>
      </c>
      <c r="L1195" s="8">
        <f ca="1">IFERROR(__xludf.DUMMYFUNCTION("GOOGLEFINANCE(""NSE:""&amp;D1195,""price"")"),30.87)</f>
        <v>30.87</v>
      </c>
      <c r="M1195" s="9">
        <f t="shared" ca="1" si="22"/>
        <v>-961.93</v>
      </c>
      <c r="N1195" s="10">
        <f t="shared" ca="1" si="23"/>
        <v>-96.890612409347298</v>
      </c>
      <c r="O1195" s="7" t="str">
        <f ca="1">IFERROR(__xludf.DUMMYFUNCTION("GOOGLEFINANCE(""NSE:""&amp;D1195,""pe"")"),"#N/A")</f>
        <v>#N/A</v>
      </c>
      <c r="P1195" s="7">
        <f ca="1">IFERROR(__xludf.DUMMYFUNCTION("GOOGLEFINANCE(""NSE:""&amp;D1195,""EPS"")"),-0.41)</f>
        <v>-0.41</v>
      </c>
      <c r="Q1195" s="7">
        <v>13.5</v>
      </c>
      <c r="R1195" s="7" t="str">
        <f ca="1">IFERROR(__xludf.DUMMYFUNCTION("IMPORTXML(E1195,""/html/body/main/div[3]/div[3]/div[2]/ul/li[7]/span[2]/span"")"),"Loading...")</f>
        <v>Loading...</v>
      </c>
      <c r="S1195" s="7" t="str">
        <f ca="1">IFERROR(__xludf.DUMMYFUNCTION("IMPORTXML(E1195,""/html/body/main/div[3]/div[3]/div[2]/ul/li[8]/span[2]/span"")"),"Loading...")</f>
        <v>Loading...</v>
      </c>
      <c r="T1195" s="4">
        <v>34.6</v>
      </c>
      <c r="U1195" s="4">
        <v>22.7</v>
      </c>
      <c r="V1195" s="4">
        <v>2.6</v>
      </c>
      <c r="W1195" s="4">
        <v>5.7</v>
      </c>
      <c r="X1195" s="4">
        <v>519.92999999999995</v>
      </c>
      <c r="Y1195" s="7">
        <f t="shared" ca="1" si="24"/>
        <v>-489.05999999999995</v>
      </c>
    </row>
    <row r="1196" spans="1:25" ht="15" x14ac:dyDescent="0.25">
      <c r="A1196" s="4">
        <v>442</v>
      </c>
      <c r="C1196" s="12" t="s">
        <v>2934</v>
      </c>
      <c r="D1196" s="12" t="s">
        <v>2935</v>
      </c>
      <c r="E1196" s="5" t="str">
        <f t="shared" si="20"/>
        <v>https://www.screener.in/company/EASEMYTRIP/consolidated/</v>
      </c>
      <c r="F1196" s="4">
        <v>443059</v>
      </c>
      <c r="G1196" s="4">
        <v>3832241897</v>
      </c>
      <c r="H1196" s="6">
        <f t="shared" ca="1" si="21"/>
        <v>3276.566821935</v>
      </c>
      <c r="I1196" s="7" t="str">
        <f ca="1">IFERROR(__xludf.DUMMYFUNCTION("IMPORTXML(E1196,""/html/body/main/div[3]/div[3]/div[2]/ul/li[5]/span[2]/span"")"),"Loading...")</f>
        <v>Loading...</v>
      </c>
      <c r="J1196" s="7">
        <f ca="1">IFERROR(__xludf.DUMMYFUNCTION("GOOGLEFINANCE(""NSE:""&amp;D1196,""marketcap"")"),15146513437)</f>
        <v>15146513437</v>
      </c>
      <c r="K1196" s="7">
        <v>992.8</v>
      </c>
      <c r="L1196" s="8">
        <f ca="1">IFERROR(__xludf.DUMMYFUNCTION("GOOGLEFINANCE(""NSE:""&amp;D1196,""price"")"),8.55)</f>
        <v>8.5500000000000007</v>
      </c>
      <c r="M1196" s="9">
        <f t="shared" ca="1" si="22"/>
        <v>-984.25</v>
      </c>
      <c r="N1196" s="10">
        <f t="shared" ca="1" si="23"/>
        <v>-99.138799355358586</v>
      </c>
      <c r="O1196" s="7">
        <f ca="1">IFERROR(__xludf.DUMMYFUNCTION("GOOGLEFINANCE(""NSE:""&amp;D1196,""pe"")"),40.98)</f>
        <v>40.98</v>
      </c>
      <c r="P1196" s="7">
        <f ca="1">IFERROR(__xludf.DUMMYFUNCTION("GOOGLEFINANCE(""NSE:""&amp;D1196,""EPS"")"),0.21)</f>
        <v>0.21</v>
      </c>
      <c r="Q1196" s="7">
        <v>13.5</v>
      </c>
      <c r="R1196" s="7" t="str">
        <f ca="1">IFERROR(__xludf.DUMMYFUNCTION("IMPORTXML(E1196,""/html/body/main/div[3]/div[3]/div[2]/ul/li[7]/span[2]/span"")"),"Loading...")</f>
        <v>Loading...</v>
      </c>
      <c r="S1196" s="7" t="str">
        <f ca="1">IFERROR(__xludf.DUMMYFUNCTION("IMPORTXML(E1196,""/html/body/main/div[3]/div[3]/div[2]/ul/li[8]/span[2]/span"")"),"Loading...")</f>
        <v>Loading...</v>
      </c>
      <c r="T1196" s="4">
        <v>34.6</v>
      </c>
      <c r="U1196" s="4">
        <v>22.7</v>
      </c>
      <c r="V1196" s="4">
        <v>2.6</v>
      </c>
      <c r="W1196" s="4">
        <v>5.7</v>
      </c>
      <c r="X1196" s="4">
        <v>519.92999999999995</v>
      </c>
      <c r="Y1196" s="7">
        <f t="shared" ca="1" si="24"/>
        <v>-511.37999999999994</v>
      </c>
    </row>
    <row r="1197" spans="1:25" ht="15" x14ac:dyDescent="0.25">
      <c r="A1197" s="4">
        <v>781</v>
      </c>
      <c r="C1197" s="12" t="s">
        <v>2936</v>
      </c>
      <c r="D1197" s="12" t="s">
        <v>2937</v>
      </c>
      <c r="E1197" s="5" t="str">
        <f t="shared" si="20"/>
        <v>https://www.screener.in/company/XPROINDIA/consolidated/</v>
      </c>
      <c r="F1197" s="4">
        <v>443059</v>
      </c>
      <c r="G1197" s="4">
        <v>3832241897</v>
      </c>
      <c r="H1197" s="6">
        <f t="shared" ca="1" si="21"/>
        <v>465694.03532344004</v>
      </c>
      <c r="I1197" s="7" t="str">
        <f ca="1">IFERROR(__xludf.DUMMYFUNCTION("IMPORTXML(E1197,""/html/body/main/div[3]/div[3]/div[2]/ul/li[5]/span[2]/span"")"),"Loading...")</f>
        <v>Loading...</v>
      </c>
      <c r="J1197" s="7">
        <f ca="1">IFERROR(__xludf.DUMMYFUNCTION("GOOGLEFINANCE(""NSE:""&amp;D1197,""marketcap"")"),28521216781)</f>
        <v>28521216781</v>
      </c>
      <c r="K1197" s="7">
        <v>992.8</v>
      </c>
      <c r="L1197" s="8">
        <f ca="1">IFERROR(__xludf.DUMMYFUNCTION("GOOGLEFINANCE(""NSE:""&amp;D1197,""price"")"),1215.2)</f>
        <v>1215.2</v>
      </c>
      <c r="M1197" s="9">
        <f t="shared" ca="1" si="22"/>
        <v>222.40000000000009</v>
      </c>
      <c r="N1197" s="10">
        <f t="shared" ca="1" si="23"/>
        <v>22.40128928283643</v>
      </c>
      <c r="O1197" s="7">
        <f ca="1">IFERROR(__xludf.DUMMYFUNCTION("GOOGLEFINANCE(""NSE:""&amp;D1197,""pe"")"),147.21)</f>
        <v>147.21</v>
      </c>
      <c r="P1197" s="7">
        <f ca="1">IFERROR(__xludf.DUMMYFUNCTION("GOOGLEFINANCE(""NSE:""&amp;D1197,""EPS"")"),8.25)</f>
        <v>8.25</v>
      </c>
      <c r="Q1197" s="7">
        <v>13.5</v>
      </c>
      <c r="R1197" s="7" t="str">
        <f ca="1">IFERROR(__xludf.DUMMYFUNCTION("IMPORTXML(E1197,""/html/body/main/div[3]/div[3]/div[2]/ul/li[7]/span[2]/span"")"),"Loading...")</f>
        <v>Loading...</v>
      </c>
      <c r="S1197" s="7" t="str">
        <f ca="1">IFERROR(__xludf.DUMMYFUNCTION("IMPORTXML(E1197,""/html/body/main/div[3]/div[3]/div[2]/ul/li[8]/span[2]/span"")"),"Loading...")</f>
        <v>Loading...</v>
      </c>
      <c r="T1197" s="4">
        <v>34.6</v>
      </c>
      <c r="U1197" s="4">
        <v>22.7</v>
      </c>
      <c r="V1197" s="4">
        <v>2.6</v>
      </c>
      <c r="W1197" s="4">
        <v>5.7</v>
      </c>
      <c r="X1197" s="4">
        <v>519.92999999999995</v>
      </c>
      <c r="Y1197" s="7">
        <f t="shared" ca="1" si="24"/>
        <v>695.2700000000001</v>
      </c>
    </row>
    <row r="1198" spans="1:25" ht="15" x14ac:dyDescent="0.25">
      <c r="A1198" s="4">
        <v>958</v>
      </c>
      <c r="C1198" s="12" t="s">
        <v>2938</v>
      </c>
      <c r="D1198" s="12" t="s">
        <v>2939</v>
      </c>
      <c r="E1198" s="5" t="str">
        <f t="shared" si="20"/>
        <v>https://www.screener.in/company/BIGBLOC/consolidated/</v>
      </c>
      <c r="F1198" s="4">
        <v>443059</v>
      </c>
      <c r="G1198" s="4">
        <v>3832241897</v>
      </c>
      <c r="H1198" s="6">
        <f t="shared" ca="1" si="21"/>
        <v>23560.623182756</v>
      </c>
      <c r="I1198" s="7" t="str">
        <f ca="1">IFERROR(__xludf.DUMMYFUNCTION("IMPORTXML(E1198,""/html/body/main/div[3]/div[3]/div[2]/ul/li[5]/span[2]/span"")"),"Loading...")</f>
        <v>Loading...</v>
      </c>
      <c r="J1198" s="7">
        <f ca="1">IFERROR(__xludf.DUMMYFUNCTION("GOOGLEFINANCE(""NSE:""&amp;D1198,""marketcap"")"),8627626000)</f>
        <v>8627626000</v>
      </c>
      <c r="K1198" s="7">
        <v>992.8</v>
      </c>
      <c r="L1198" s="8">
        <f ca="1">IFERROR(__xludf.DUMMYFUNCTION("GOOGLEFINANCE(""NSE:""&amp;D1198,""price"")"),61.48)</f>
        <v>61.48</v>
      </c>
      <c r="M1198" s="9">
        <f t="shared" ca="1" si="22"/>
        <v>-931.31999999999994</v>
      </c>
      <c r="N1198" s="10">
        <f t="shared" ca="1" si="23"/>
        <v>-93.807413376309427</v>
      </c>
      <c r="O1198" s="7">
        <f ca="1">IFERROR(__xludf.DUMMYFUNCTION("GOOGLEFINANCE(""NSE:""&amp;D1198,""pe"")"),439.14)</f>
        <v>439.14</v>
      </c>
      <c r="P1198" s="7">
        <f ca="1">IFERROR(__xludf.DUMMYFUNCTION("GOOGLEFINANCE(""NSE:""&amp;D1198,""EPS"")"),0.14)</f>
        <v>0.14000000000000001</v>
      </c>
      <c r="Q1198" s="7">
        <v>13.5</v>
      </c>
      <c r="R1198" s="7" t="str">
        <f ca="1">IFERROR(__xludf.DUMMYFUNCTION("IMPORTXML(E1198,""/html/body/main/div[3]/div[3]/div[2]/ul/li[7]/span[2]/span"")"),"Loading...")</f>
        <v>Loading...</v>
      </c>
      <c r="S1198" s="7" t="str">
        <f ca="1">IFERROR(__xludf.DUMMYFUNCTION("IMPORTXML(E1198,""/html/body/main/div[3]/div[3]/div[2]/ul/li[8]/span[2]/span"")"),"Loading...")</f>
        <v>Loading...</v>
      </c>
      <c r="T1198" s="4">
        <v>34.6</v>
      </c>
      <c r="U1198" s="4">
        <v>22.7</v>
      </c>
      <c r="V1198" s="4">
        <v>2.6</v>
      </c>
      <c r="W1198" s="4">
        <v>5.7</v>
      </c>
      <c r="X1198" s="4">
        <v>519.92999999999995</v>
      </c>
      <c r="Y1198" s="7">
        <f t="shared" ca="1" si="24"/>
        <v>-458.44999999999993</v>
      </c>
    </row>
    <row r="1199" spans="1:25" ht="15" x14ac:dyDescent="0.25">
      <c r="A1199" s="4">
        <v>92</v>
      </c>
      <c r="C1199" s="12" t="s">
        <v>2940</v>
      </c>
      <c r="D1199" s="12" t="s">
        <v>2941</v>
      </c>
      <c r="E1199" s="5" t="str">
        <f t="shared" si="20"/>
        <v>https://www.screener.in/company/KIMS/consolidated/</v>
      </c>
      <c r="F1199" s="4">
        <v>443059</v>
      </c>
      <c r="G1199" s="4">
        <v>3832241897</v>
      </c>
      <c r="H1199" s="6">
        <f t="shared" ca="1" si="21"/>
        <v>283605.06158748496</v>
      </c>
      <c r="I1199" s="7" t="str">
        <f ca="1">IFERROR(__xludf.DUMMYFUNCTION("IMPORTXML(E1199,""/html/body/main/div[3]/div[3]/div[2]/ul/li[5]/span[2]/span"")"),"Loading...")</f>
        <v>Loading...</v>
      </c>
      <c r="J1199" s="7">
        <f ca="1">IFERROR(__xludf.DUMMYFUNCTION("GOOGLEFINANCE(""NSE:""&amp;D1199,""marketcap"")"),296122862065)</f>
        <v>296122862065</v>
      </c>
      <c r="K1199" s="7">
        <v>992.8</v>
      </c>
      <c r="L1199" s="8">
        <f ca="1">IFERROR(__xludf.DUMMYFUNCTION("GOOGLEFINANCE(""NSE:""&amp;D1199,""price"")"),740.05)</f>
        <v>740.05</v>
      </c>
      <c r="M1199" s="9">
        <f t="shared" ca="1" si="22"/>
        <v>-252.75</v>
      </c>
      <c r="N1199" s="10">
        <f t="shared" ca="1" si="23"/>
        <v>-25.458299758259468</v>
      </c>
      <c r="O1199" s="7">
        <f ca="1">IFERROR(__xludf.DUMMYFUNCTION("GOOGLEFINANCE(""NSE:""&amp;D1199,""pe"")"),78.7)</f>
        <v>78.7</v>
      </c>
      <c r="P1199" s="7">
        <f ca="1">IFERROR(__xludf.DUMMYFUNCTION("GOOGLEFINANCE(""NSE:""&amp;D1199,""EPS"")"),9.4)</f>
        <v>9.4</v>
      </c>
      <c r="Q1199" s="7">
        <v>13.5</v>
      </c>
      <c r="R1199" s="7" t="str">
        <f ca="1">IFERROR(__xludf.DUMMYFUNCTION("IMPORTXML(E1199,""/html/body/main/div[3]/div[3]/div[2]/ul/li[7]/span[2]/span"")"),"Loading...")</f>
        <v>Loading...</v>
      </c>
      <c r="S1199" s="7" t="str">
        <f ca="1">IFERROR(__xludf.DUMMYFUNCTION("IMPORTXML(E1199,""/html/body/main/div[3]/div[3]/div[2]/ul/li[8]/span[2]/span"")"),"Loading...")</f>
        <v>Loading...</v>
      </c>
      <c r="T1199" s="4">
        <v>34.6</v>
      </c>
      <c r="U1199" s="4">
        <v>22.7</v>
      </c>
      <c r="V1199" s="4">
        <v>2.6</v>
      </c>
      <c r="W1199" s="4">
        <v>5.7</v>
      </c>
      <c r="X1199" s="4">
        <v>519.92999999999995</v>
      </c>
      <c r="Y1199" s="7">
        <f t="shared" ca="1" si="24"/>
        <v>220.12</v>
      </c>
    </row>
    <row r="1200" spans="1:25" ht="15" x14ac:dyDescent="0.25">
      <c r="A1200" s="4">
        <v>437</v>
      </c>
      <c r="C1200" s="12" t="s">
        <v>2942</v>
      </c>
      <c r="D1200" s="12" t="s">
        <v>2943</v>
      </c>
      <c r="E1200" s="5" t="str">
        <f t="shared" si="20"/>
        <v>https://www.screener.in/company/ORIENTCEM/consolidated/</v>
      </c>
      <c r="F1200" s="4">
        <v>443059</v>
      </c>
      <c r="G1200" s="4">
        <v>3832241897</v>
      </c>
      <c r="H1200" s="6">
        <f t="shared" ca="1" si="21"/>
        <v>85692.761058817006</v>
      </c>
      <c r="I1200" s="7" t="str">
        <f ca="1">IFERROR(__xludf.DUMMYFUNCTION("IMPORTXML(E1200,""/html/body/main/div[3]/div[3]/div[2]/ul/li[5]/span[2]/span"")"),"Loading...")</f>
        <v>Loading...</v>
      </c>
      <c r="J1200" s="7">
        <f ca="1">IFERROR(__xludf.DUMMYFUNCTION("GOOGLEFINANCE(""NSE:""&amp;D1200,""marketcap"")"),45942866003)</f>
        <v>45942866003</v>
      </c>
      <c r="K1200" s="7">
        <v>992.8</v>
      </c>
      <c r="L1200" s="8">
        <f ca="1">IFERROR(__xludf.DUMMYFUNCTION("GOOGLEFINANCE(""NSE:""&amp;D1200,""price"")"),223.61)</f>
        <v>223.61</v>
      </c>
      <c r="M1200" s="9">
        <f t="shared" ca="1" si="22"/>
        <v>-769.18999999999994</v>
      </c>
      <c r="N1200" s="10">
        <f t="shared" ca="1" si="23"/>
        <v>-77.476833199033038</v>
      </c>
      <c r="O1200" s="7">
        <f ca="1">IFERROR(__xludf.DUMMYFUNCTION("GOOGLEFINANCE(""NSE:""&amp;D1200,""pe"")"),17.68)</f>
        <v>17.68</v>
      </c>
      <c r="P1200" s="7">
        <f ca="1">IFERROR(__xludf.DUMMYFUNCTION("GOOGLEFINANCE(""NSE:""&amp;D1200,""EPS"")"),12.65)</f>
        <v>12.65</v>
      </c>
      <c r="Q1200" s="7">
        <v>13.5</v>
      </c>
      <c r="R1200" s="7" t="str">
        <f ca="1">IFERROR(__xludf.DUMMYFUNCTION("IMPORTXML(E1200,""/html/body/main/div[3]/div[3]/div[2]/ul/li[7]/span[2]/span"")"),"Loading...")</f>
        <v>Loading...</v>
      </c>
      <c r="S1200" s="7" t="str">
        <f ca="1">IFERROR(__xludf.DUMMYFUNCTION("IMPORTXML(E1200,""/html/body/main/div[3]/div[3]/div[2]/ul/li[8]/span[2]/span"")"),"Loading...")</f>
        <v>Loading...</v>
      </c>
      <c r="T1200" s="4">
        <v>34.6</v>
      </c>
      <c r="U1200" s="4">
        <v>22.7</v>
      </c>
      <c r="V1200" s="4">
        <v>2.6</v>
      </c>
      <c r="W1200" s="4">
        <v>5.7</v>
      </c>
      <c r="X1200" s="4">
        <v>519.92999999999995</v>
      </c>
      <c r="Y1200" s="7">
        <f t="shared" ca="1" si="24"/>
        <v>-296.31999999999994</v>
      </c>
    </row>
    <row r="1201" spans="1:25" ht="15" x14ac:dyDescent="0.25">
      <c r="A1201" s="4">
        <v>2809</v>
      </c>
      <c r="C1201" s="12" t="s">
        <v>2944</v>
      </c>
      <c r="D1201" s="12" t="s">
        <v>2945</v>
      </c>
      <c r="E1201" s="5" t="str">
        <f t="shared" si="20"/>
        <v>https://www.screener.in/company/AKG/consolidated/</v>
      </c>
      <c r="F1201" s="4">
        <v>443059</v>
      </c>
      <c r="G1201" s="4">
        <v>3832241897</v>
      </c>
      <c r="H1201" s="6">
        <f t="shared" ca="1" si="21"/>
        <v>4866.9472091899997</v>
      </c>
      <c r="I1201" s="7" t="str">
        <f ca="1">IFERROR(__xludf.DUMMYFUNCTION("IMPORTXML(E1201,""/html/body/main/div[3]/div[3]/div[2]/ul/li[5]/span[2]/span"")"),"Loading...")</f>
        <v>Loading...</v>
      </c>
      <c r="J1201" s="7">
        <f ca="1">IFERROR(__xludf.DUMMYFUNCTION("GOOGLEFINANCE(""NSE:""&amp;D1201,""marketcap"")"),400702600)</f>
        <v>400702600</v>
      </c>
      <c r="K1201" s="7">
        <v>992.8</v>
      </c>
      <c r="L1201" s="8">
        <f ca="1">IFERROR(__xludf.DUMMYFUNCTION("GOOGLEFINANCE(""NSE:""&amp;D1201,""price"")"),12.7)</f>
        <v>12.7</v>
      </c>
      <c r="M1201" s="9">
        <f t="shared" ca="1" si="22"/>
        <v>-980.09999999999991</v>
      </c>
      <c r="N1201" s="10">
        <f t="shared" ca="1" si="23"/>
        <v>-98.720789685737316</v>
      </c>
      <c r="O1201" s="7">
        <f ca="1">IFERROR(__xludf.DUMMYFUNCTION("GOOGLEFINANCE(""NSE:""&amp;D1201,""pe"")"),58.44)</f>
        <v>58.44</v>
      </c>
      <c r="P1201" s="7">
        <f ca="1">IFERROR(__xludf.DUMMYFUNCTION("GOOGLEFINANCE(""NSE:""&amp;D1201,""EPS"")"),0.22)</f>
        <v>0.22</v>
      </c>
      <c r="Q1201" s="7">
        <v>13.5</v>
      </c>
      <c r="R1201" s="7" t="str">
        <f ca="1">IFERROR(__xludf.DUMMYFUNCTION("IMPORTXML(E1201,""/html/body/main/div[3]/div[3]/div[2]/ul/li[7]/span[2]/span"")"),"Loading...")</f>
        <v>Loading...</v>
      </c>
      <c r="S1201" s="7" t="str">
        <f ca="1">IFERROR(__xludf.DUMMYFUNCTION("IMPORTXML(E1201,""/html/body/main/div[3]/div[3]/div[2]/ul/li[8]/span[2]/span"")"),"Loading...")</f>
        <v>Loading...</v>
      </c>
      <c r="T1201" s="4">
        <v>34.6</v>
      </c>
      <c r="U1201" s="4">
        <v>22.7</v>
      </c>
      <c r="V1201" s="4">
        <v>2.6</v>
      </c>
      <c r="W1201" s="4">
        <v>5.7</v>
      </c>
      <c r="X1201" s="4">
        <v>519.92999999999995</v>
      </c>
      <c r="Y1201" s="7">
        <f t="shared" ca="1" si="24"/>
        <v>-507.22999999999996</v>
      </c>
    </row>
    <row r="1202" spans="1:25" ht="15" x14ac:dyDescent="0.25">
      <c r="A1202" s="4">
        <v>908</v>
      </c>
      <c r="C1202" s="12" t="s">
        <v>2946</v>
      </c>
      <c r="D1202" s="12" t="s">
        <v>2947</v>
      </c>
      <c r="E1202" s="5" t="str">
        <f t="shared" si="20"/>
        <v>https://www.screener.in/company/MBAPL/consolidated/</v>
      </c>
      <c r="F1202" s="4">
        <v>443059</v>
      </c>
      <c r="G1202" s="4">
        <v>3832241897</v>
      </c>
      <c r="H1202" s="6">
        <f t="shared" ca="1" si="21"/>
        <v>159095.52235395499</v>
      </c>
      <c r="I1202" s="7" t="str">
        <f ca="1">IFERROR(__xludf.DUMMYFUNCTION("IMPORTXML(E1202,""/html/body/main/div[3]/div[3]/div[2]/ul/li[5]/span[2]/span"")"),"Loading...")</f>
        <v>Loading...</v>
      </c>
      <c r="J1202" s="7">
        <f ca="1">IFERROR(__xludf.DUMMYFUNCTION("GOOGLEFINANCE(""NSE:""&amp;D1202,""marketcap"")"),36378327757)</f>
        <v>36378327757</v>
      </c>
      <c r="K1202" s="7">
        <v>992.8</v>
      </c>
      <c r="L1202" s="8">
        <f ca="1">IFERROR(__xludf.DUMMYFUNCTION("GOOGLEFINANCE(""NSE:""&amp;D1202,""price"")"),415.15)</f>
        <v>415.15</v>
      </c>
      <c r="M1202" s="9">
        <f t="shared" ca="1" si="22"/>
        <v>-577.65</v>
      </c>
      <c r="N1202" s="10">
        <f t="shared" ca="1" si="23"/>
        <v>-58.183924254633354</v>
      </c>
      <c r="O1202" s="7">
        <f ca="1">IFERROR(__xludf.DUMMYFUNCTION("GOOGLEFINANCE(""NSE:""&amp;D1202,""pe"")"),49.01)</f>
        <v>49.01</v>
      </c>
      <c r="P1202" s="7">
        <f ca="1">IFERROR(__xludf.DUMMYFUNCTION("GOOGLEFINANCE(""NSE:""&amp;D1202,""EPS"")"),8.47)</f>
        <v>8.4700000000000006</v>
      </c>
      <c r="Q1202" s="7">
        <v>13.5</v>
      </c>
      <c r="R1202" s="7" t="str">
        <f ca="1">IFERROR(__xludf.DUMMYFUNCTION("IMPORTXML(E1202,""/html/body/main/div[3]/div[3]/div[2]/ul/li[7]/span[2]/span"")"),"Loading...")</f>
        <v>Loading...</v>
      </c>
      <c r="S1202" s="7" t="str">
        <f ca="1">IFERROR(__xludf.DUMMYFUNCTION("IMPORTXML(E1202,""/html/body/main/div[3]/div[3]/div[2]/ul/li[8]/span[2]/span"")"),"Loading...")</f>
        <v>Loading...</v>
      </c>
      <c r="T1202" s="4">
        <v>34.6</v>
      </c>
      <c r="U1202" s="4">
        <v>22.7</v>
      </c>
      <c r="V1202" s="4">
        <v>2.6</v>
      </c>
      <c r="W1202" s="4">
        <v>5.7</v>
      </c>
      <c r="X1202" s="4">
        <v>519.92999999999995</v>
      </c>
      <c r="Y1202" s="7">
        <f t="shared" ca="1" si="24"/>
        <v>-104.77999999999997</v>
      </c>
    </row>
    <row r="1203" spans="1:25" ht="15" x14ac:dyDescent="0.25">
      <c r="A1203" s="4">
        <v>285</v>
      </c>
      <c r="C1203" s="12" t="s">
        <v>2948</v>
      </c>
      <c r="D1203" s="12" t="s">
        <v>2949</v>
      </c>
      <c r="E1203" s="5" t="str">
        <f t="shared" si="20"/>
        <v>https://www.screener.in/company/BECTORFOOD/consolidated/</v>
      </c>
      <c r="F1203" s="4">
        <v>443059</v>
      </c>
      <c r="G1203" s="4">
        <v>3832241897</v>
      </c>
      <c r="H1203" s="6">
        <f t="shared" ca="1" si="21"/>
        <v>544178.34937399998</v>
      </c>
      <c r="I1203" s="7" t="str">
        <f ca="1">IFERROR(__xludf.DUMMYFUNCTION("IMPORTXML(E1203,""/html/body/main/div[3]/div[3]/div[2]/ul/li[5]/span[2]/span"")"),"Loading...")</f>
        <v>Loading...</v>
      </c>
      <c r="J1203" s="7">
        <f ca="1">IFERROR(__xludf.DUMMYFUNCTION("GOOGLEFINANCE(""NSE:""&amp;D1203,""marketcap"")"),87127928903)</f>
        <v>87127928903</v>
      </c>
      <c r="K1203" s="7">
        <v>992.8</v>
      </c>
      <c r="L1203" s="8">
        <f ca="1">IFERROR(__xludf.DUMMYFUNCTION("GOOGLEFINANCE(""NSE:""&amp;D1203,""price"")"),1420)</f>
        <v>1420</v>
      </c>
      <c r="M1203" s="9">
        <f t="shared" ca="1" si="22"/>
        <v>427.20000000000005</v>
      </c>
      <c r="N1203" s="10">
        <f t="shared" ca="1" si="23"/>
        <v>43.029814665592269</v>
      </c>
      <c r="O1203" s="7">
        <f ca="1">IFERROR(__xludf.DUMMYFUNCTION("GOOGLEFINANCE(""NSE:""&amp;D1203,""pe"")"),62.23)</f>
        <v>62.23</v>
      </c>
      <c r="P1203" s="7">
        <f ca="1">IFERROR(__xludf.DUMMYFUNCTION("GOOGLEFINANCE(""NSE:""&amp;D1203,""EPS"")"),22.82)</f>
        <v>22.82</v>
      </c>
      <c r="Q1203" s="7">
        <v>13.5</v>
      </c>
      <c r="R1203" s="7" t="str">
        <f ca="1">IFERROR(__xludf.DUMMYFUNCTION("IMPORTXML(E1203,""/html/body/main/div[3]/div[3]/div[2]/ul/li[7]/span[2]/span"")"),"Loading...")</f>
        <v>Loading...</v>
      </c>
      <c r="S1203" s="7" t="str">
        <f ca="1">IFERROR(__xludf.DUMMYFUNCTION("IMPORTXML(E1203,""/html/body/main/div[3]/div[3]/div[2]/ul/li[8]/span[2]/span"")"),"Loading...")</f>
        <v>Loading...</v>
      </c>
      <c r="T1203" s="4">
        <v>34.6</v>
      </c>
      <c r="U1203" s="4">
        <v>22.7</v>
      </c>
      <c r="V1203" s="4">
        <v>2.6</v>
      </c>
      <c r="W1203" s="4">
        <v>5.7</v>
      </c>
      <c r="X1203" s="4">
        <v>519.92999999999995</v>
      </c>
      <c r="Y1203" s="7">
        <f t="shared" ca="1" si="24"/>
        <v>900.07</v>
      </c>
    </row>
    <row r="1204" spans="1:25" ht="15" x14ac:dyDescent="0.25">
      <c r="A1204" s="4">
        <v>3515</v>
      </c>
      <c r="C1204" s="12" t="s">
        <v>2950</v>
      </c>
      <c r="D1204" s="12" t="s">
        <v>2951</v>
      </c>
      <c r="E1204" s="5" t="str">
        <f t="shared" si="20"/>
        <v>https://www.screener.in/company/SILLYMONKS/consolidated/</v>
      </c>
      <c r="F1204" s="4">
        <v>443059</v>
      </c>
      <c r="G1204" s="4">
        <v>3832241897</v>
      </c>
      <c r="H1204" s="6">
        <f t="shared" ca="1" si="21"/>
        <v>5939.97494035</v>
      </c>
      <c r="I1204" s="7" t="str">
        <f ca="1">IFERROR(__xludf.DUMMYFUNCTION("IMPORTXML(E1204,""/html/body/main/div[3]/div[3]/div[2]/ul/li[5]/span[2]/span"")"),"Loading...")</f>
        <v>Loading...</v>
      </c>
      <c r="J1204" s="7">
        <f ca="1">IFERROR(__xludf.DUMMYFUNCTION("GOOGLEFINANCE(""NSE:""&amp;D1204,""marketcap"")"),158648080)</f>
        <v>158648080</v>
      </c>
      <c r="K1204" s="7">
        <v>992.8</v>
      </c>
      <c r="L1204" s="8">
        <f ca="1">IFERROR(__xludf.DUMMYFUNCTION("GOOGLEFINANCE(""NSE:""&amp;D1204,""price"")"),15.5)</f>
        <v>15.5</v>
      </c>
      <c r="M1204" s="9">
        <f t="shared" ca="1" si="22"/>
        <v>-977.3</v>
      </c>
      <c r="N1204" s="10">
        <f t="shared" ca="1" si="23"/>
        <v>-98.438759065269949</v>
      </c>
      <c r="O1204" s="7" t="str">
        <f ca="1">IFERROR(__xludf.DUMMYFUNCTION("GOOGLEFINANCE(""NSE:""&amp;D1204,""pe"")"),"#N/A")</f>
        <v>#N/A</v>
      </c>
      <c r="P1204" s="7">
        <f ca="1">IFERROR(__xludf.DUMMYFUNCTION("GOOGLEFINANCE(""NSE:""&amp;D1204,""EPS"")"),-0.18)</f>
        <v>-0.18</v>
      </c>
      <c r="Q1204" s="7">
        <v>13.5</v>
      </c>
      <c r="R1204" s="7" t="str">
        <f ca="1">IFERROR(__xludf.DUMMYFUNCTION("IMPORTXML(E1204,""/html/body/main/div[3]/div[3]/div[2]/ul/li[7]/span[2]/span"")"),"Loading...")</f>
        <v>Loading...</v>
      </c>
      <c r="S1204" s="7" t="str">
        <f ca="1">IFERROR(__xludf.DUMMYFUNCTION("IMPORTXML(E1204,""/html/body/main/div[3]/div[3]/div[2]/ul/li[8]/span[2]/span"")"),"Loading...")</f>
        <v>Loading...</v>
      </c>
      <c r="T1204" s="4">
        <v>34.6</v>
      </c>
      <c r="U1204" s="4">
        <v>22.7</v>
      </c>
      <c r="V1204" s="4">
        <v>2.6</v>
      </c>
      <c r="W1204" s="4">
        <v>5.7</v>
      </c>
      <c r="X1204" s="4">
        <v>519.92999999999995</v>
      </c>
      <c r="Y1204" s="7">
        <f t="shared" ca="1" si="24"/>
        <v>-504.42999999999995</v>
      </c>
    </row>
    <row r="1205" spans="1:25" ht="15" x14ac:dyDescent="0.25">
      <c r="A1205" s="4">
        <v>421</v>
      </c>
      <c r="C1205" s="12" t="s">
        <v>2952</v>
      </c>
      <c r="D1205" s="12" t="s">
        <v>2953</v>
      </c>
      <c r="E1205" s="5" t="str">
        <f t="shared" si="20"/>
        <v>https://www.screener.in/company/SUDARSCHEM/consolidated/</v>
      </c>
      <c r="F1205" s="4">
        <v>443059</v>
      </c>
      <c r="G1205" s="4">
        <v>3832241897</v>
      </c>
      <c r="H1205" s="6">
        <f t="shared" ca="1" si="21"/>
        <v>547205.82047263009</v>
      </c>
      <c r="I1205" s="7" t="str">
        <f ca="1">IFERROR(__xludf.DUMMYFUNCTION("IMPORTXML(E1205,""/html/body/main/div[3]/div[3]/div[2]/ul/li[5]/span[2]/span"")"),"Loading...")</f>
        <v>Loading...</v>
      </c>
      <c r="J1205" s="7">
        <f ca="1">IFERROR(__xludf.DUMMYFUNCTION("GOOGLEFINANCE(""NSE:""&amp;D1205,""marketcap"")"),112007800000)</f>
        <v>112007800000</v>
      </c>
      <c r="K1205" s="7">
        <v>992.8</v>
      </c>
      <c r="L1205" s="8">
        <f ca="1">IFERROR(__xludf.DUMMYFUNCTION("GOOGLEFINANCE(""NSE:""&amp;D1205,""price"")"),1427.9)</f>
        <v>1427.9</v>
      </c>
      <c r="M1205" s="9">
        <f t="shared" ca="1" si="22"/>
        <v>435.10000000000014</v>
      </c>
      <c r="N1205" s="10">
        <f t="shared" ca="1" si="23"/>
        <v>43.825543916196629</v>
      </c>
      <c r="O1205" s="7">
        <f ca="1">IFERROR(__xludf.DUMMYFUNCTION("GOOGLEFINANCE(""NSE:""&amp;D1205,""pe"")"),63.46)</f>
        <v>63.46</v>
      </c>
      <c r="P1205" s="7">
        <f ca="1">IFERROR(__xludf.DUMMYFUNCTION("GOOGLEFINANCE(""NSE:""&amp;D1205,""EPS"")"),22.5)</f>
        <v>22.5</v>
      </c>
      <c r="Q1205" s="7">
        <v>13.5</v>
      </c>
      <c r="R1205" s="7" t="str">
        <f ca="1">IFERROR(__xludf.DUMMYFUNCTION("IMPORTXML(E1205,""/html/body/main/div[3]/div[3]/div[2]/ul/li[7]/span[2]/span"")"),"Loading...")</f>
        <v>Loading...</v>
      </c>
      <c r="S1205" s="7" t="str">
        <f ca="1">IFERROR(__xludf.DUMMYFUNCTION("IMPORTXML(E1205,""/html/body/main/div[3]/div[3]/div[2]/ul/li[8]/span[2]/span"")"),"Loading...")</f>
        <v>Loading...</v>
      </c>
      <c r="T1205" s="4">
        <v>34.6</v>
      </c>
      <c r="U1205" s="4">
        <v>22.7</v>
      </c>
      <c r="V1205" s="4">
        <v>2.6</v>
      </c>
      <c r="W1205" s="4">
        <v>5.7</v>
      </c>
      <c r="X1205" s="4">
        <v>519.92999999999995</v>
      </c>
      <c r="Y1205" s="7">
        <f t="shared" ca="1" si="24"/>
        <v>907.97000000000014</v>
      </c>
    </row>
    <row r="1206" spans="1:25" ht="15" x14ac:dyDescent="0.25">
      <c r="A1206" s="4">
        <v>689</v>
      </c>
      <c r="C1206" s="12" t="s">
        <v>2954</v>
      </c>
      <c r="D1206" s="12" t="s">
        <v>2955</v>
      </c>
      <c r="E1206" s="5" t="str">
        <f t="shared" si="20"/>
        <v>https://www.screener.in/company/TVSSRICHAK/consolidated/</v>
      </c>
      <c r="F1206" s="4">
        <v>443059</v>
      </c>
      <c r="G1206" s="4">
        <v>3832241897</v>
      </c>
      <c r="H1206" s="6">
        <f t="shared" ca="1" si="21"/>
        <v>1107901.1324227001</v>
      </c>
      <c r="I1206" s="7" t="str">
        <f ca="1">IFERROR(__xludf.DUMMYFUNCTION("IMPORTXML(E1206,""/html/body/main/div[3]/div[3]/div[2]/ul/li[5]/span[2]/span"")"),"Loading...")</f>
        <v>Loading...</v>
      </c>
      <c r="J1206" s="7">
        <f ca="1">IFERROR(__xludf.DUMMYFUNCTION("GOOGLEFINANCE(""NSE:""&amp;D1206,""marketcap"")"),22209270000)</f>
        <v>22209270000</v>
      </c>
      <c r="K1206" s="7">
        <v>992.8</v>
      </c>
      <c r="L1206" s="8">
        <f ca="1">IFERROR(__xludf.DUMMYFUNCTION("GOOGLEFINANCE(""NSE:""&amp;D1206,""price"")"),2891)</f>
        <v>2891</v>
      </c>
      <c r="M1206" s="9">
        <f t="shared" ca="1" si="22"/>
        <v>1898.2</v>
      </c>
      <c r="N1206" s="10">
        <f t="shared" ca="1" si="23"/>
        <v>191.19661563255443</v>
      </c>
      <c r="O1206" s="7">
        <f ca="1">IFERROR(__xludf.DUMMYFUNCTION("GOOGLEFINANCE(""NSE:""&amp;D1206,""pe"")"),83.37)</f>
        <v>83.37</v>
      </c>
      <c r="P1206" s="7">
        <f ca="1">IFERROR(__xludf.DUMMYFUNCTION("GOOGLEFINANCE(""NSE:""&amp;D1206,""EPS"")"),34.68)</f>
        <v>34.68</v>
      </c>
      <c r="Q1206" s="7">
        <v>13.5</v>
      </c>
      <c r="R1206" s="7" t="str">
        <f ca="1">IFERROR(__xludf.DUMMYFUNCTION("IMPORTXML(E1206,""/html/body/main/div[3]/div[3]/div[2]/ul/li[7]/span[2]/span"")"),"Loading...")</f>
        <v>Loading...</v>
      </c>
      <c r="S1206" s="7" t="str">
        <f ca="1">IFERROR(__xludf.DUMMYFUNCTION("IMPORTXML(E1206,""/html/body/main/div[3]/div[3]/div[2]/ul/li[8]/span[2]/span"")"),"Loading...")</f>
        <v>Loading...</v>
      </c>
      <c r="T1206" s="4">
        <v>34.6</v>
      </c>
      <c r="U1206" s="4">
        <v>22.7</v>
      </c>
      <c r="V1206" s="4">
        <v>2.6</v>
      </c>
      <c r="W1206" s="4">
        <v>5.7</v>
      </c>
      <c r="X1206" s="4">
        <v>519.92999999999995</v>
      </c>
      <c r="Y1206" s="7">
        <f t="shared" ca="1" si="24"/>
        <v>2371.0700000000002</v>
      </c>
    </row>
    <row r="1207" spans="1:25" ht="15" x14ac:dyDescent="0.25">
      <c r="A1207" s="4">
        <v>1679</v>
      </c>
      <c r="C1207" s="12" t="s">
        <v>2956</v>
      </c>
      <c r="D1207" s="12" t="s">
        <v>2957</v>
      </c>
      <c r="E1207" s="5" t="str">
        <f t="shared" si="20"/>
        <v>https://www.screener.in/company/IVC/consolidated/</v>
      </c>
      <c r="F1207" s="4">
        <v>443059</v>
      </c>
      <c r="G1207" s="4">
        <v>3832241897</v>
      </c>
      <c r="H1207" s="6">
        <f t="shared" ca="1" si="21"/>
        <v>3353.2116598749999</v>
      </c>
      <c r="I1207" s="7" t="str">
        <f ca="1">IFERROR(__xludf.DUMMYFUNCTION("IMPORTXML(E1207,""/html/body/main/div[3]/div[3]/div[2]/ul/li[5]/span[2]/span"")"),"Loading...")</f>
        <v>Loading...</v>
      </c>
      <c r="J1207" s="7">
        <f ca="1">IFERROR(__xludf.DUMMYFUNCTION("GOOGLEFINANCE(""NSE:""&amp;D1207,""marketcap"")"),2747786125)</f>
        <v>2747786125</v>
      </c>
      <c r="K1207" s="7">
        <v>992.8</v>
      </c>
      <c r="L1207" s="8">
        <f ca="1">IFERROR(__xludf.DUMMYFUNCTION("GOOGLEFINANCE(""NSE:""&amp;D1207,""price"")"),8.75)</f>
        <v>8.75</v>
      </c>
      <c r="M1207" s="9">
        <f t="shared" ca="1" si="22"/>
        <v>-984.05</v>
      </c>
      <c r="N1207" s="10">
        <f t="shared" ca="1" si="23"/>
        <v>-99.118654311039492</v>
      </c>
      <c r="O1207" s="7">
        <f ca="1">IFERROR(__xludf.DUMMYFUNCTION("GOOGLEFINANCE(""NSE:""&amp;D1207,""pe"")"),62.5)</f>
        <v>62.5</v>
      </c>
      <c r="P1207" s="7">
        <f ca="1">IFERROR(__xludf.DUMMYFUNCTION("GOOGLEFINANCE(""NSE:""&amp;D1207,""EPS"")"),0.14)</f>
        <v>0.14000000000000001</v>
      </c>
      <c r="Q1207" s="7">
        <v>13.5</v>
      </c>
      <c r="R1207" s="7" t="str">
        <f ca="1">IFERROR(__xludf.DUMMYFUNCTION("IMPORTXML(E1207,""/html/body/main/div[3]/div[3]/div[2]/ul/li[7]/span[2]/span"")"),"Loading...")</f>
        <v>Loading...</v>
      </c>
      <c r="S1207" s="7" t="str">
        <f ca="1">IFERROR(__xludf.DUMMYFUNCTION("IMPORTXML(E1207,""/html/body/main/div[3]/div[3]/div[2]/ul/li[8]/span[2]/span"")"),"Loading...")</f>
        <v>Loading...</v>
      </c>
      <c r="T1207" s="4">
        <v>34.6</v>
      </c>
      <c r="U1207" s="4">
        <v>22.7</v>
      </c>
      <c r="V1207" s="4">
        <v>2.6</v>
      </c>
      <c r="W1207" s="4">
        <v>5.7</v>
      </c>
      <c r="X1207" s="4">
        <v>519.92999999999995</v>
      </c>
      <c r="Y1207" s="7">
        <f t="shared" ca="1" si="24"/>
        <v>-511.17999999999995</v>
      </c>
    </row>
    <row r="1208" spans="1:25" ht="15" x14ac:dyDescent="0.25">
      <c r="A1208" s="4">
        <v>771</v>
      </c>
      <c r="C1208" s="12" t="s">
        <v>2958</v>
      </c>
      <c r="D1208" s="12" t="s">
        <v>2959</v>
      </c>
      <c r="E1208" s="5" t="str">
        <f t="shared" si="20"/>
        <v>https://www.screener.in/company/SENORES/consolidated/</v>
      </c>
      <c r="F1208" s="4">
        <v>443059</v>
      </c>
      <c r="G1208" s="4">
        <v>3832241897</v>
      </c>
      <c r="H1208" s="6">
        <f t="shared" ca="1" si="21"/>
        <v>276496.25286855001</v>
      </c>
      <c r="I1208" s="7" t="str">
        <f ca="1">IFERROR(__xludf.DUMMYFUNCTION("IMPORTXML(E1208,""/html/body/main/div[3]/div[3]/div[2]/ul/li[5]/span[2]/span"")"),"Loading...")</f>
        <v>Loading...</v>
      </c>
      <c r="J1208" s="7">
        <f ca="1">IFERROR(__xludf.DUMMYFUNCTION("GOOGLEFINANCE(""NSE:""&amp;D1208,""marketcap"")"),33119440000)</f>
        <v>33119440000</v>
      </c>
      <c r="K1208" s="7">
        <v>992.8</v>
      </c>
      <c r="L1208" s="8">
        <f ca="1">IFERROR(__xludf.DUMMYFUNCTION("GOOGLEFINANCE(""NSE:""&amp;D1208,""price"")"),721.5)</f>
        <v>721.5</v>
      </c>
      <c r="M1208" s="9">
        <f t="shared" ca="1" si="22"/>
        <v>-271.29999999999995</v>
      </c>
      <c r="N1208" s="10">
        <f t="shared" ca="1" si="23"/>
        <v>-27.32675261885576</v>
      </c>
      <c r="O1208" s="7" t="str">
        <f ca="1">IFERROR(__xludf.DUMMYFUNCTION("GOOGLEFINANCE(""NSE:""&amp;D1208,""pe"")"),"#N/A")</f>
        <v>#N/A</v>
      </c>
      <c r="P1208" s="7" t="str">
        <f ca="1">IFERROR(__xludf.DUMMYFUNCTION("GOOGLEFINANCE(""NSE:""&amp;D1208,""EPS"")"),"#N/A")</f>
        <v>#N/A</v>
      </c>
      <c r="Q1208" s="7">
        <v>13.5</v>
      </c>
      <c r="R1208" s="7" t="str">
        <f ca="1">IFERROR(__xludf.DUMMYFUNCTION("IMPORTXML(E1208,""/html/body/main/div[3]/div[3]/div[2]/ul/li[7]/span[2]/span"")"),"Loading...")</f>
        <v>Loading...</v>
      </c>
      <c r="S1208" s="7" t="str">
        <f ca="1">IFERROR(__xludf.DUMMYFUNCTION("IMPORTXML(E1208,""/html/body/main/div[3]/div[3]/div[2]/ul/li[8]/span[2]/span"")"),"Loading...")</f>
        <v>Loading...</v>
      </c>
      <c r="T1208" s="4">
        <v>34.6</v>
      </c>
      <c r="U1208" s="4">
        <v>22.7</v>
      </c>
      <c r="V1208" s="4">
        <v>2.6</v>
      </c>
      <c r="W1208" s="4">
        <v>5.7</v>
      </c>
      <c r="X1208" s="4">
        <v>519.92999999999995</v>
      </c>
      <c r="Y1208" s="7">
        <f t="shared" ca="1" si="24"/>
        <v>201.57000000000005</v>
      </c>
    </row>
    <row r="1209" spans="1:25" ht="15" x14ac:dyDescent="0.25">
      <c r="A1209" s="4">
        <v>460</v>
      </c>
      <c r="C1209" s="12" t="s">
        <v>2960</v>
      </c>
      <c r="D1209" s="12" t="s">
        <v>2961</v>
      </c>
      <c r="E1209" s="5" t="str">
        <f t="shared" si="20"/>
        <v>https://www.screener.in/company/AVL/consolidated/</v>
      </c>
      <c r="F1209" s="4">
        <v>443059</v>
      </c>
      <c r="G1209" s="4">
        <v>3832241897</v>
      </c>
      <c r="H1209" s="6">
        <f t="shared" ca="1" si="21"/>
        <v>192646.80016218999</v>
      </c>
      <c r="I1209" s="7" t="str">
        <f ca="1">IFERROR(__xludf.DUMMYFUNCTION("IMPORTXML(E1209,""/html/body/main/div[3]/div[3]/div[2]/ul/li[5]/span[2]/span"")"),"Loading...")</f>
        <v>Loading...</v>
      </c>
      <c r="J1209" s="7">
        <f ca="1">IFERROR(__xludf.DUMMYFUNCTION("GOOGLEFINANCE(""NSE:""&amp;D1209,""marketcap"")"),64440095886)</f>
        <v>64440095886</v>
      </c>
      <c r="K1209" s="7">
        <v>992.8</v>
      </c>
      <c r="L1209" s="8">
        <f ca="1">IFERROR(__xludf.DUMMYFUNCTION("GOOGLEFINANCE(""NSE:""&amp;D1209,""price"")"),502.7)</f>
        <v>502.7</v>
      </c>
      <c r="M1209" s="9">
        <f t="shared" ca="1" si="22"/>
        <v>-490.09999999999997</v>
      </c>
      <c r="N1209" s="10">
        <f t="shared" ca="1" si="23"/>
        <v>-49.365431103948424</v>
      </c>
      <c r="O1209" s="7">
        <f ca="1">IFERROR(__xludf.DUMMYFUNCTION("GOOGLEFINANCE(""NSE:""&amp;D1209,""pe"")"),60.43)</f>
        <v>60.43</v>
      </c>
      <c r="P1209" s="7">
        <f ca="1">IFERROR(__xludf.DUMMYFUNCTION("GOOGLEFINANCE(""NSE:""&amp;D1209,""EPS"")"),8.32)</f>
        <v>8.32</v>
      </c>
      <c r="Q1209" s="7">
        <v>13.5</v>
      </c>
      <c r="R1209" s="7" t="str">
        <f ca="1">IFERROR(__xludf.DUMMYFUNCTION("IMPORTXML(E1209,""/html/body/main/div[3]/div[3]/div[2]/ul/li[7]/span[2]/span"")"),"Loading...")</f>
        <v>Loading...</v>
      </c>
      <c r="S1209" s="7" t="str">
        <f ca="1">IFERROR(__xludf.DUMMYFUNCTION("IMPORTXML(E1209,""/html/body/main/div[3]/div[3]/div[2]/ul/li[8]/span[2]/span"")"),"Loading...")</f>
        <v>Loading...</v>
      </c>
      <c r="T1209" s="4">
        <v>34.6</v>
      </c>
      <c r="U1209" s="4">
        <v>22.7</v>
      </c>
      <c r="V1209" s="4">
        <v>2.6</v>
      </c>
      <c r="W1209" s="4">
        <v>5.7</v>
      </c>
      <c r="X1209" s="4">
        <v>519.92999999999995</v>
      </c>
      <c r="Y1209" s="7">
        <f t="shared" ca="1" si="24"/>
        <v>-17.229999999999961</v>
      </c>
    </row>
    <row r="1210" spans="1:25" ht="15" x14ac:dyDescent="0.25">
      <c r="A1210" s="4">
        <v>675</v>
      </c>
      <c r="C1210" s="12" t="s">
        <v>2962</v>
      </c>
      <c r="D1210" s="12" t="s">
        <v>2963</v>
      </c>
      <c r="E1210" s="5" t="str">
        <f t="shared" si="20"/>
        <v>https://www.screener.in/company/MARINE/consolidated/</v>
      </c>
      <c r="F1210" s="4">
        <v>443059</v>
      </c>
      <c r="G1210" s="4">
        <v>3832241897</v>
      </c>
      <c r="H1210" s="6">
        <f t="shared" ca="1" si="21"/>
        <v>67830.681576899995</v>
      </c>
      <c r="I1210" s="7" t="str">
        <f ca="1">IFERROR(__xludf.DUMMYFUNCTION("IMPORTXML(E1210,""/html/body/main/div[3]/div[3]/div[2]/ul/li[5]/span[2]/span"")"),"Loading...")</f>
        <v>Loading...</v>
      </c>
      <c r="J1210" s="7">
        <f ca="1">IFERROR(__xludf.DUMMYFUNCTION("GOOGLEFINANCE(""NSE:""&amp;D1210,""marketcap"")"),23481740400)</f>
        <v>23481740400</v>
      </c>
      <c r="K1210" s="7">
        <v>992.8</v>
      </c>
      <c r="L1210" s="8">
        <f ca="1">IFERROR(__xludf.DUMMYFUNCTION("GOOGLEFINANCE(""NSE:""&amp;D1210,""price"")"),177)</f>
        <v>177</v>
      </c>
      <c r="M1210" s="9">
        <f t="shared" ca="1" si="22"/>
        <v>-815.8</v>
      </c>
      <c r="N1210" s="10">
        <f t="shared" ca="1" si="23"/>
        <v>-82.171635777598709</v>
      </c>
      <c r="O1210" s="7">
        <f ca="1">IFERROR(__xludf.DUMMYFUNCTION("GOOGLEFINANCE(""NSE:""&amp;D1210,""pe"")"),56.91)</f>
        <v>56.91</v>
      </c>
      <c r="P1210" s="7">
        <f ca="1">IFERROR(__xludf.DUMMYFUNCTION("GOOGLEFINANCE(""NSE:""&amp;D1210,""EPS"")"),3.11)</f>
        <v>3.11</v>
      </c>
      <c r="Q1210" s="7">
        <v>13.5</v>
      </c>
      <c r="R1210" s="7" t="str">
        <f ca="1">IFERROR(__xludf.DUMMYFUNCTION("IMPORTXML(E1210,""/html/body/main/div[3]/div[3]/div[2]/ul/li[7]/span[2]/span"")"),"Loading...")</f>
        <v>Loading...</v>
      </c>
      <c r="S1210" s="7" t="str">
        <f ca="1">IFERROR(__xludf.DUMMYFUNCTION("IMPORTXML(E1210,""/html/body/main/div[3]/div[3]/div[2]/ul/li[8]/span[2]/span"")"),"Loading...")</f>
        <v>Loading...</v>
      </c>
      <c r="T1210" s="4">
        <v>34.6</v>
      </c>
      <c r="U1210" s="4">
        <v>22.7</v>
      </c>
      <c r="V1210" s="4">
        <v>2.6</v>
      </c>
      <c r="W1210" s="4">
        <v>5.7</v>
      </c>
      <c r="X1210" s="4">
        <v>519.92999999999995</v>
      </c>
      <c r="Y1210" s="7">
        <f t="shared" ca="1" si="24"/>
        <v>-342.92999999999995</v>
      </c>
    </row>
    <row r="1211" spans="1:25" ht="15" x14ac:dyDescent="0.25">
      <c r="A1211" s="4">
        <v>436</v>
      </c>
      <c r="C1211" s="12" t="s">
        <v>2964</v>
      </c>
      <c r="D1211" s="12" t="s">
        <v>2965</v>
      </c>
      <c r="E1211" s="5" t="str">
        <f t="shared" si="20"/>
        <v>https://www.screener.in/company/HNDFDS/consolidated/</v>
      </c>
      <c r="F1211" s="4">
        <v>443059</v>
      </c>
      <c r="G1211" s="4">
        <v>3832241897</v>
      </c>
      <c r="H1211" s="6">
        <f t="shared" ca="1" si="21"/>
        <v>206557.83824829999</v>
      </c>
      <c r="I1211" s="7" t="str">
        <f ca="1">IFERROR(__xludf.DUMMYFUNCTION("IMPORTXML(E1211,""/html/body/main/div[3]/div[3]/div[2]/ul/li[5]/span[2]/span"")"),"Loading...")</f>
        <v>Loading...</v>
      </c>
      <c r="J1211" s="7">
        <f ca="1">IFERROR(__xludf.DUMMYFUNCTION("GOOGLEFINANCE(""NSE:""&amp;D1211,""marketcap"")"),64145745466)</f>
        <v>64145745466</v>
      </c>
      <c r="K1211" s="7">
        <v>992.8</v>
      </c>
      <c r="L1211" s="8">
        <f ca="1">IFERROR(__xludf.DUMMYFUNCTION("GOOGLEFINANCE(""NSE:""&amp;D1211,""price"")"),539)</f>
        <v>539</v>
      </c>
      <c r="M1211" s="9">
        <f t="shared" ca="1" si="22"/>
        <v>-453.79999999999995</v>
      </c>
      <c r="N1211" s="10">
        <f t="shared" ca="1" si="23"/>
        <v>-45.709105560032235</v>
      </c>
      <c r="O1211" s="7">
        <f ca="1">IFERROR(__xludf.DUMMYFUNCTION("GOOGLEFINANCE(""NSE:""&amp;D1211,""pe"")"),54.09)</f>
        <v>54.09</v>
      </c>
      <c r="P1211" s="7">
        <f ca="1">IFERROR(__xludf.DUMMYFUNCTION("GOOGLEFINANCE(""NSE:""&amp;D1211,""EPS"")"),9.96)</f>
        <v>9.9600000000000009</v>
      </c>
      <c r="Q1211" s="7">
        <v>13.5</v>
      </c>
      <c r="R1211" s="7" t="str">
        <f ca="1">IFERROR(__xludf.DUMMYFUNCTION("IMPORTXML(E1211,""/html/body/main/div[3]/div[3]/div[2]/ul/li[7]/span[2]/span"")"),"Loading...")</f>
        <v>Loading...</v>
      </c>
      <c r="S1211" s="7" t="str">
        <f ca="1">IFERROR(__xludf.DUMMYFUNCTION("IMPORTXML(E1211,""/html/body/main/div[3]/div[3]/div[2]/ul/li[8]/span[2]/span"")"),"Loading...")</f>
        <v>Loading...</v>
      </c>
      <c r="T1211" s="4">
        <v>34.6</v>
      </c>
      <c r="U1211" s="4">
        <v>22.7</v>
      </c>
      <c r="V1211" s="4">
        <v>2.6</v>
      </c>
      <c r="W1211" s="4">
        <v>5.7</v>
      </c>
      <c r="X1211" s="4">
        <v>519.92999999999995</v>
      </c>
      <c r="Y1211" s="7">
        <f t="shared" ca="1" si="24"/>
        <v>19.07000000000005</v>
      </c>
    </row>
    <row r="1212" spans="1:25" ht="15" x14ac:dyDescent="0.25">
      <c r="A1212" s="4">
        <v>714</v>
      </c>
      <c r="C1212" s="12" t="s">
        <v>2966</v>
      </c>
      <c r="D1212" s="12" t="s">
        <v>2967</v>
      </c>
      <c r="E1212" s="5" t="str">
        <f t="shared" si="20"/>
        <v>https://www.screener.in/company/PREMEXPLN/consolidated/</v>
      </c>
      <c r="F1212" s="4">
        <v>443059</v>
      </c>
      <c r="G1212" s="4">
        <v>3832241897</v>
      </c>
      <c r="H1212" s="6">
        <f t="shared" ca="1" si="21"/>
        <v>211922.97690410001</v>
      </c>
      <c r="I1212" s="7" t="str">
        <f ca="1">IFERROR(__xludf.DUMMYFUNCTION("IMPORTXML(E1212,""/html/body/main/div[3]/div[3]/div[2]/ul/li[5]/span[2]/span"")"),"Loading...")</f>
        <v>Loading...</v>
      </c>
      <c r="J1212" s="7">
        <f ca="1">IFERROR(__xludf.DUMMYFUNCTION("GOOGLEFINANCE(""NSE:""&amp;D1212,""marketcap"")"),29638359189)</f>
        <v>29638359189</v>
      </c>
      <c r="K1212" s="7">
        <v>992.8</v>
      </c>
      <c r="L1212" s="8">
        <f ca="1">IFERROR(__xludf.DUMMYFUNCTION("GOOGLEFINANCE(""NSE:""&amp;D1212,""price"")"),553)</f>
        <v>553</v>
      </c>
      <c r="M1212" s="9">
        <f t="shared" ca="1" si="22"/>
        <v>-439.79999999999995</v>
      </c>
      <c r="N1212" s="10">
        <f t="shared" ca="1" si="23"/>
        <v>-44.298952457695407</v>
      </c>
      <c r="O1212" s="7">
        <f ca="1">IFERROR(__xludf.DUMMYFUNCTION("GOOGLEFINANCE(""NSE:""&amp;D1212,""pe"")"),80.97)</f>
        <v>80.97</v>
      </c>
      <c r="P1212" s="7">
        <f ca="1">IFERROR(__xludf.DUMMYFUNCTION("GOOGLEFINANCE(""NSE:""&amp;D1212,""EPS"")"),6.83)</f>
        <v>6.83</v>
      </c>
      <c r="Q1212" s="7">
        <v>13.5</v>
      </c>
      <c r="R1212" s="7" t="str">
        <f ca="1">IFERROR(__xludf.DUMMYFUNCTION("IMPORTXML(E1212,""/html/body/main/div[3]/div[3]/div[2]/ul/li[7]/span[2]/span"")"),"Loading...")</f>
        <v>Loading...</v>
      </c>
      <c r="S1212" s="7" t="str">
        <f ca="1">IFERROR(__xludf.DUMMYFUNCTION("IMPORTXML(E1212,""/html/body/main/div[3]/div[3]/div[2]/ul/li[8]/span[2]/span"")"),"Loading...")</f>
        <v>Loading...</v>
      </c>
      <c r="T1212" s="4">
        <v>34.6</v>
      </c>
      <c r="U1212" s="4">
        <v>22.7</v>
      </c>
      <c r="V1212" s="4">
        <v>2.6</v>
      </c>
      <c r="W1212" s="4">
        <v>5.7</v>
      </c>
      <c r="X1212" s="4">
        <v>519.92999999999995</v>
      </c>
      <c r="Y1212" s="7">
        <f t="shared" ca="1" si="24"/>
        <v>33.07000000000005</v>
      </c>
    </row>
    <row r="1213" spans="1:25" ht="15" x14ac:dyDescent="0.25">
      <c r="A1213" s="4">
        <v>504</v>
      </c>
      <c r="C1213" s="12" t="s">
        <v>2968</v>
      </c>
      <c r="D1213" s="12" t="s">
        <v>2969</v>
      </c>
      <c r="E1213" s="5" t="str">
        <f t="shared" si="20"/>
        <v>https://www.screener.in/company/OPTIEMUS/consolidated/</v>
      </c>
      <c r="F1213" s="4">
        <v>443059</v>
      </c>
      <c r="G1213" s="4">
        <v>3832241897</v>
      </c>
      <c r="H1213" s="6">
        <f t="shared" ca="1" si="21"/>
        <v>240664.79113160001</v>
      </c>
      <c r="I1213" s="7" t="str">
        <f ca="1">IFERROR(__xludf.DUMMYFUNCTION("IMPORTXML(E1213,""/html/body/main/div[3]/div[3]/div[2]/ul/li[5]/span[2]/span"")"),"Loading...")</f>
        <v>Loading...</v>
      </c>
      <c r="J1213" s="7">
        <f ca="1">IFERROR(__xludf.DUMMYFUNCTION("GOOGLEFINANCE(""NSE:""&amp;D1213,""marketcap"")"),55517183793)</f>
        <v>55517183793</v>
      </c>
      <c r="K1213" s="7">
        <v>992.8</v>
      </c>
      <c r="L1213" s="8">
        <f ca="1">IFERROR(__xludf.DUMMYFUNCTION("GOOGLEFINANCE(""NSE:""&amp;D1213,""price"")"),628)</f>
        <v>628</v>
      </c>
      <c r="M1213" s="9">
        <f t="shared" ca="1" si="22"/>
        <v>-364.79999999999995</v>
      </c>
      <c r="N1213" s="10">
        <f t="shared" ca="1" si="23"/>
        <v>-36.744560838033841</v>
      </c>
      <c r="O1213" s="7">
        <f ca="1">IFERROR(__xludf.DUMMYFUNCTION("GOOGLEFINANCE(""NSE:""&amp;D1213,""pe"")"),83.07)</f>
        <v>83.07</v>
      </c>
      <c r="P1213" s="7">
        <f ca="1">IFERROR(__xludf.DUMMYFUNCTION("GOOGLEFINANCE(""NSE:""&amp;D1213,""EPS"")"),7.56)</f>
        <v>7.56</v>
      </c>
      <c r="Q1213" s="7">
        <v>13.5</v>
      </c>
      <c r="R1213" s="7" t="str">
        <f ca="1">IFERROR(__xludf.DUMMYFUNCTION("IMPORTXML(E1213,""/html/body/main/div[3]/div[3]/div[2]/ul/li[7]/span[2]/span"")"),"Loading...")</f>
        <v>Loading...</v>
      </c>
      <c r="S1213" s="7" t="str">
        <f ca="1">IFERROR(__xludf.DUMMYFUNCTION("IMPORTXML(E1213,""/html/body/main/div[3]/div[3]/div[2]/ul/li[8]/span[2]/span"")"),"Loading...")</f>
        <v>Loading...</v>
      </c>
      <c r="T1213" s="4">
        <v>34.6</v>
      </c>
      <c r="U1213" s="4">
        <v>22.7</v>
      </c>
      <c r="V1213" s="4">
        <v>2.6</v>
      </c>
      <c r="W1213" s="4">
        <v>5.7</v>
      </c>
      <c r="X1213" s="4">
        <v>519.92999999999995</v>
      </c>
      <c r="Y1213" s="7">
        <f t="shared" ca="1" si="24"/>
        <v>108.07000000000005</v>
      </c>
    </row>
    <row r="1214" spans="1:25" ht="15" x14ac:dyDescent="0.25">
      <c r="A1214" s="4">
        <v>96</v>
      </c>
      <c r="C1214" s="12" t="s">
        <v>2970</v>
      </c>
      <c r="D1214" s="12" t="s">
        <v>2971</v>
      </c>
      <c r="E1214" s="5" t="str">
        <f t="shared" si="20"/>
        <v>https://www.screener.in/company/BIKAJI/consolidated/</v>
      </c>
      <c r="F1214" s="4">
        <v>443059</v>
      </c>
      <c r="G1214" s="4">
        <v>3832241897</v>
      </c>
      <c r="H1214" s="6">
        <f t="shared" ca="1" si="21"/>
        <v>306924.25353072997</v>
      </c>
      <c r="I1214" s="7" t="str">
        <f ca="1">IFERROR(__xludf.DUMMYFUNCTION("IMPORTXML(E1214,""/html/body/main/div[3]/div[3]/div[2]/ul/li[5]/span[2]/span"")"),"Loading...")</f>
        <v>Loading...</v>
      </c>
      <c r="J1214" s="7">
        <f ca="1">IFERROR(__xludf.DUMMYFUNCTION("GOOGLEFINANCE(""NSE:""&amp;D1214,""marketcap"")"),200699699547)</f>
        <v>200699699547</v>
      </c>
      <c r="K1214" s="7">
        <v>992.8</v>
      </c>
      <c r="L1214" s="8">
        <f ca="1">IFERROR(__xludf.DUMMYFUNCTION("GOOGLEFINANCE(""NSE:""&amp;D1214,""price"")"),800.9)</f>
        <v>800.9</v>
      </c>
      <c r="M1214" s="9">
        <f t="shared" ca="1" si="22"/>
        <v>-191.89999999999998</v>
      </c>
      <c r="N1214" s="10">
        <f t="shared" ca="1" si="23"/>
        <v>-19.329170024174054</v>
      </c>
      <c r="O1214" s="7">
        <f ca="1">IFERROR(__xludf.DUMMYFUNCTION("GOOGLEFINANCE(""NSE:""&amp;D1214,""pe"")"),99.27)</f>
        <v>99.27</v>
      </c>
      <c r="P1214" s="7">
        <f ca="1">IFERROR(__xludf.DUMMYFUNCTION("GOOGLEFINANCE(""NSE:""&amp;D1214,""EPS"")"),8.07)</f>
        <v>8.07</v>
      </c>
      <c r="Q1214" s="7">
        <v>13.5</v>
      </c>
      <c r="R1214" s="7" t="str">
        <f ca="1">IFERROR(__xludf.DUMMYFUNCTION("IMPORTXML(E1214,""/html/body/main/div[3]/div[3]/div[2]/ul/li[7]/span[2]/span"")"),"Loading...")</f>
        <v>Loading...</v>
      </c>
      <c r="S1214" s="7" t="str">
        <f ca="1">IFERROR(__xludf.DUMMYFUNCTION("IMPORTXML(E1214,""/html/body/main/div[3]/div[3]/div[2]/ul/li[8]/span[2]/span"")"),"Loading...")</f>
        <v>Loading...</v>
      </c>
      <c r="T1214" s="4">
        <v>34.6</v>
      </c>
      <c r="U1214" s="4">
        <v>22.7</v>
      </c>
      <c r="V1214" s="4">
        <v>2.6</v>
      </c>
      <c r="W1214" s="4">
        <v>5.7</v>
      </c>
      <c r="X1214" s="4">
        <v>519.92999999999995</v>
      </c>
      <c r="Y1214" s="7">
        <f t="shared" ca="1" si="24"/>
        <v>280.97000000000003</v>
      </c>
    </row>
    <row r="1215" spans="1:25" ht="15" x14ac:dyDescent="0.25">
      <c r="A1215" s="4">
        <v>251</v>
      </c>
      <c r="C1215" s="12" t="s">
        <v>2972</v>
      </c>
      <c r="D1215" s="12" t="s">
        <v>2973</v>
      </c>
      <c r="E1215" s="5" t="str">
        <f t="shared" si="20"/>
        <v>https://www.screener.in/company/SANOFICONR/consolidated/</v>
      </c>
      <c r="F1215" s="4">
        <v>443059</v>
      </c>
      <c r="G1215" s="4">
        <v>3832241897</v>
      </c>
      <c r="H1215" s="6">
        <f t="shared" ca="1" si="21"/>
        <v>1977820.0430417</v>
      </c>
      <c r="I1215" s="7" t="str">
        <f ca="1">IFERROR(__xludf.DUMMYFUNCTION("IMPORTXML(E1215,""/html/body/main/div[3]/div[3]/div[2]/ul/li[5]/span[2]/span"")"),"Loading...")</f>
        <v>Loading...</v>
      </c>
      <c r="J1215" s="7">
        <f ca="1">IFERROR(__xludf.DUMMYFUNCTION("GOOGLEFINANCE(""NSE:""&amp;D1215,""marketcap"")"),119736200000)</f>
        <v>119736200000</v>
      </c>
      <c r="K1215" s="7">
        <v>992.8</v>
      </c>
      <c r="L1215" s="8">
        <f ca="1">IFERROR(__xludf.DUMMYFUNCTION("GOOGLEFINANCE(""NSE:""&amp;D1215,""price"")"),5161)</f>
        <v>5161</v>
      </c>
      <c r="M1215" s="9">
        <f t="shared" ca="1" si="22"/>
        <v>4168.2</v>
      </c>
      <c r="N1215" s="10">
        <f t="shared" ca="1" si="23"/>
        <v>419.84286865431102</v>
      </c>
      <c r="O1215" s="7">
        <f ca="1">IFERROR(__xludf.DUMMYFUNCTION("GOOGLEFINANCE(""NSE:""&amp;D1215,""pe"")"),59.43)</f>
        <v>59.43</v>
      </c>
      <c r="P1215" s="7">
        <f ca="1">IFERROR(__xludf.DUMMYFUNCTION("GOOGLEFINANCE(""NSE:""&amp;D1215,""EPS"")"),86.84)</f>
        <v>86.84</v>
      </c>
      <c r="Q1215" s="7">
        <v>13.5</v>
      </c>
      <c r="R1215" s="7" t="str">
        <f ca="1">IFERROR(__xludf.DUMMYFUNCTION("IMPORTXML(E1215,""/html/body/main/div[3]/div[3]/div[2]/ul/li[7]/span[2]/span"")"),"Loading...")</f>
        <v>Loading...</v>
      </c>
      <c r="S1215" s="7" t="str">
        <f ca="1">IFERROR(__xludf.DUMMYFUNCTION("IMPORTXML(E1215,""/html/body/main/div[3]/div[3]/div[2]/ul/li[8]/span[2]/span"")"),"Loading...")</f>
        <v>Loading...</v>
      </c>
      <c r="T1215" s="4">
        <v>34.6</v>
      </c>
      <c r="U1215" s="4">
        <v>22.7</v>
      </c>
      <c r="V1215" s="4">
        <v>2.6</v>
      </c>
      <c r="W1215" s="4">
        <v>5.7</v>
      </c>
      <c r="X1215" s="4">
        <v>519.92999999999995</v>
      </c>
      <c r="Y1215" s="7">
        <f t="shared" ca="1" si="24"/>
        <v>4641.07</v>
      </c>
    </row>
    <row r="1216" spans="1:25" ht="15" x14ac:dyDescent="0.25">
      <c r="A1216" s="4">
        <v>735</v>
      </c>
      <c r="C1216" s="12" t="s">
        <v>2974</v>
      </c>
      <c r="D1216" s="12" t="s">
        <v>2975</v>
      </c>
      <c r="E1216" s="5" t="str">
        <f t="shared" si="20"/>
        <v>https://www.screener.in/company/STANLEY/consolidated/</v>
      </c>
      <c r="F1216" s="4">
        <v>443059</v>
      </c>
      <c r="G1216" s="4">
        <v>3832241897</v>
      </c>
      <c r="H1216" s="6">
        <f t="shared" ca="1" si="21"/>
        <v>114928.93449102998</v>
      </c>
      <c r="I1216" s="7" t="str">
        <f ca="1">IFERROR(__xludf.DUMMYFUNCTION("IMPORTXML(E1216,""/html/body/main/div[3]/div[3]/div[2]/ul/li[5]/span[2]/span"")"),"Loading...")</f>
        <v>Loading...</v>
      </c>
      <c r="J1216" s="7">
        <f ca="1">IFERROR(__xludf.DUMMYFUNCTION("GOOGLEFINANCE(""NSE:""&amp;D1216,""marketcap"")"),17131991083)</f>
        <v>17131991083</v>
      </c>
      <c r="K1216" s="7">
        <v>992.8</v>
      </c>
      <c r="L1216" s="8">
        <f ca="1">IFERROR(__xludf.DUMMYFUNCTION("GOOGLEFINANCE(""NSE:""&amp;D1216,""price"")"),299.9)</f>
        <v>299.89999999999998</v>
      </c>
      <c r="M1216" s="9">
        <f t="shared" ca="1" si="22"/>
        <v>-692.9</v>
      </c>
      <c r="N1216" s="10">
        <f t="shared" ca="1" si="23"/>
        <v>-69.792506043513285</v>
      </c>
      <c r="O1216" s="7">
        <f ca="1">IFERROR(__xludf.DUMMYFUNCTION("GOOGLEFINANCE(""NSE:""&amp;D1216,""pe"")"),51.71)</f>
        <v>51.71</v>
      </c>
      <c r="P1216" s="7">
        <f ca="1">IFERROR(__xludf.DUMMYFUNCTION("GOOGLEFINANCE(""NSE:""&amp;D1216,""EPS"")"),5.8)</f>
        <v>5.8</v>
      </c>
      <c r="Q1216" s="7">
        <v>13.5</v>
      </c>
      <c r="R1216" s="7" t="str">
        <f ca="1">IFERROR(__xludf.DUMMYFUNCTION("IMPORTXML(E1216,""/html/body/main/div[3]/div[3]/div[2]/ul/li[7]/span[2]/span"")"),"Loading...")</f>
        <v>Loading...</v>
      </c>
      <c r="S1216" s="7" t="str">
        <f ca="1">IFERROR(__xludf.DUMMYFUNCTION("IMPORTXML(E1216,""/html/body/main/div[3]/div[3]/div[2]/ul/li[8]/span[2]/span"")"),"Loading...")</f>
        <v>Loading...</v>
      </c>
      <c r="T1216" s="4">
        <v>34.6</v>
      </c>
      <c r="U1216" s="4">
        <v>22.7</v>
      </c>
      <c r="V1216" s="4">
        <v>2.6</v>
      </c>
      <c r="W1216" s="4">
        <v>5.7</v>
      </c>
      <c r="X1216" s="4">
        <v>519.92999999999995</v>
      </c>
      <c r="Y1216" s="7">
        <f t="shared" ca="1" si="24"/>
        <v>-220.02999999999997</v>
      </c>
    </row>
    <row r="1217" spans="1:25" ht="15" x14ac:dyDescent="0.25">
      <c r="A1217" s="4">
        <v>1454</v>
      </c>
      <c r="C1217" s="12" t="s">
        <v>2976</v>
      </c>
      <c r="D1217" s="12" t="s">
        <v>2977</v>
      </c>
      <c r="E1217" s="5" t="str">
        <f t="shared" si="20"/>
        <v>https://www.screener.in/company/MEDICAMEQ/consolidated/</v>
      </c>
      <c r="F1217" s="4">
        <v>443059</v>
      </c>
      <c r="G1217" s="4">
        <v>3832241897</v>
      </c>
      <c r="H1217" s="6">
        <f t="shared" ca="1" si="21"/>
        <v>134837.43114594501</v>
      </c>
      <c r="I1217" s="7" t="str">
        <f ca="1">IFERROR(__xludf.DUMMYFUNCTION("IMPORTXML(E1217,""/html/body/main/div[3]/div[3]/div[2]/ul/li[5]/span[2]/span"")"),"Loading...")</f>
        <v>Loading...</v>
      </c>
      <c r="J1217" s="7">
        <f ca="1">IFERROR(__xludf.DUMMYFUNCTION("GOOGLEFINANCE(""NSE:""&amp;D1217,""marketcap"")"),4772074781)</f>
        <v>4772074781</v>
      </c>
      <c r="K1217" s="7">
        <v>992.8</v>
      </c>
      <c r="L1217" s="8">
        <f ca="1">IFERROR(__xludf.DUMMYFUNCTION("GOOGLEFINANCE(""NSE:""&amp;D1217,""price"")"),351.85)</f>
        <v>351.85</v>
      </c>
      <c r="M1217" s="9">
        <f t="shared" ca="1" si="22"/>
        <v>-640.94999999999993</v>
      </c>
      <c r="N1217" s="10">
        <f t="shared" ca="1" si="23"/>
        <v>-64.55983078162771</v>
      </c>
      <c r="O1217" s="7">
        <f ca="1">IFERROR(__xludf.DUMMYFUNCTION("GOOGLEFINANCE(""NSE:""&amp;D1217,""pe"")"),51.05)</f>
        <v>51.05</v>
      </c>
      <c r="P1217" s="7">
        <f ca="1">IFERROR(__xludf.DUMMYFUNCTION("GOOGLEFINANCE(""NSE:""&amp;D1217,""EPS"")"),6.89)</f>
        <v>6.89</v>
      </c>
      <c r="Q1217" s="7">
        <v>13.5</v>
      </c>
      <c r="R1217" s="7" t="str">
        <f ca="1">IFERROR(__xludf.DUMMYFUNCTION("IMPORTXML(E1217,""/html/body/main/div[3]/div[3]/div[2]/ul/li[7]/span[2]/span"")"),"Loading...")</f>
        <v>Loading...</v>
      </c>
      <c r="S1217" s="7" t="str">
        <f ca="1">IFERROR(__xludf.DUMMYFUNCTION("IMPORTXML(E1217,""/html/body/main/div[3]/div[3]/div[2]/ul/li[8]/span[2]/span"")"),"Loading...")</f>
        <v>Loading...</v>
      </c>
      <c r="T1217" s="4">
        <v>34.6</v>
      </c>
      <c r="U1217" s="4">
        <v>22.7</v>
      </c>
      <c r="V1217" s="4">
        <v>2.6</v>
      </c>
      <c r="W1217" s="4">
        <v>5.7</v>
      </c>
      <c r="X1217" s="4">
        <v>519.92999999999995</v>
      </c>
      <c r="Y1217" s="7">
        <f t="shared" ca="1" si="24"/>
        <v>-168.07999999999993</v>
      </c>
    </row>
    <row r="1218" spans="1:25" ht="15" x14ac:dyDescent="0.25">
      <c r="A1218" s="4">
        <v>348</v>
      </c>
      <c r="C1218" s="12" t="s">
        <v>2978</v>
      </c>
      <c r="D1218" s="12" t="s">
        <v>2979</v>
      </c>
      <c r="E1218" s="5" t="str">
        <f t="shared" si="20"/>
        <v>https://www.screener.in/company/BLUEJET/consolidated/</v>
      </c>
      <c r="F1218" s="4">
        <v>443059</v>
      </c>
      <c r="G1218" s="4">
        <v>3832241897</v>
      </c>
      <c r="H1218" s="6">
        <f t="shared" ca="1" si="21"/>
        <v>285022.99108937499</v>
      </c>
      <c r="I1218" s="7" t="str">
        <f ca="1">IFERROR(__xludf.DUMMYFUNCTION("IMPORTXML(E1218,""/html/body/main/div[3]/div[3]/div[2]/ul/li[5]/span[2]/span"")"),"Loading...")</f>
        <v>Loading...</v>
      </c>
      <c r="J1218" s="7">
        <f ca="1">IFERROR(__xludf.DUMMYFUNCTION("GOOGLEFINANCE(""NSE:""&amp;D1218,""marketcap"")"),129014816875)</f>
        <v>129014816875</v>
      </c>
      <c r="K1218" s="7">
        <v>992.8</v>
      </c>
      <c r="L1218" s="8">
        <f ca="1">IFERROR(__xludf.DUMMYFUNCTION("GOOGLEFINANCE(""NSE:""&amp;D1218,""price"")"),743.75)</f>
        <v>743.75</v>
      </c>
      <c r="M1218" s="9">
        <f t="shared" ca="1" si="22"/>
        <v>-249.04999999999995</v>
      </c>
      <c r="N1218" s="10">
        <f t="shared" ca="1" si="23"/>
        <v>-25.085616438356162</v>
      </c>
      <c r="O1218" s="7">
        <f ca="1">IFERROR(__xludf.DUMMYFUNCTION("GOOGLEFINANCE(""NSE:""&amp;D1218,""pe"")"),35.96)</f>
        <v>35.96</v>
      </c>
      <c r="P1218" s="7">
        <f ca="1">IFERROR(__xludf.DUMMYFUNCTION("GOOGLEFINANCE(""NSE:""&amp;D1218,""EPS"")"),20.68)</f>
        <v>20.68</v>
      </c>
      <c r="Q1218" s="7">
        <v>13.5</v>
      </c>
      <c r="R1218" s="7" t="str">
        <f ca="1">IFERROR(__xludf.DUMMYFUNCTION("IMPORTXML(E1218,""/html/body/main/div[3]/div[3]/div[2]/ul/li[7]/span[2]/span"")"),"Loading...")</f>
        <v>Loading...</v>
      </c>
      <c r="S1218" s="7" t="str">
        <f ca="1">IFERROR(__xludf.DUMMYFUNCTION("IMPORTXML(E1218,""/html/body/main/div[3]/div[3]/div[2]/ul/li[8]/span[2]/span"")"),"Loading...")</f>
        <v>Loading...</v>
      </c>
      <c r="T1218" s="4">
        <v>34.6</v>
      </c>
      <c r="U1218" s="4">
        <v>22.7</v>
      </c>
      <c r="V1218" s="4">
        <v>2.6</v>
      </c>
      <c r="W1218" s="4">
        <v>5.7</v>
      </c>
      <c r="X1218" s="4">
        <v>519.92999999999995</v>
      </c>
      <c r="Y1218" s="7">
        <f t="shared" ca="1" si="24"/>
        <v>223.82000000000005</v>
      </c>
    </row>
    <row r="1219" spans="1:25" ht="15" x14ac:dyDescent="0.25">
      <c r="A1219" s="4">
        <v>558</v>
      </c>
      <c r="C1219" s="12" t="s">
        <v>2980</v>
      </c>
      <c r="D1219" s="12" t="s">
        <v>2981</v>
      </c>
      <c r="E1219" s="5" t="str">
        <f t="shared" si="20"/>
        <v>https://www.screener.in/company/HIKAL/consolidated/</v>
      </c>
      <c r="F1219" s="4">
        <v>443059</v>
      </c>
      <c r="G1219" s="4">
        <v>3832241897</v>
      </c>
      <c r="H1219" s="6">
        <f t="shared" ca="1" si="21"/>
        <v>100596.34979625</v>
      </c>
      <c r="I1219" s="7" t="str">
        <f ca="1">IFERROR(__xludf.DUMMYFUNCTION("IMPORTXML(E1219,""/html/body/main/div[3]/div[3]/div[2]/ul/li[5]/span[2]/span"")"),"Loading...")</f>
        <v>Loading...</v>
      </c>
      <c r="J1219" s="7">
        <f ca="1">IFERROR(__xludf.DUMMYFUNCTION("GOOGLEFINANCE(""NSE:""&amp;D1219,""marketcap"")"),32366433750)</f>
        <v>32366433750</v>
      </c>
      <c r="K1219" s="7">
        <v>992.8</v>
      </c>
      <c r="L1219" s="8">
        <f ca="1">IFERROR(__xludf.DUMMYFUNCTION("GOOGLEFINANCE(""NSE:""&amp;D1219,""price"")"),262.5)</f>
        <v>262.5</v>
      </c>
      <c r="M1219" s="9">
        <f t="shared" ca="1" si="22"/>
        <v>-730.3</v>
      </c>
      <c r="N1219" s="10">
        <f t="shared" ca="1" si="23"/>
        <v>-73.559629331184524</v>
      </c>
      <c r="O1219" s="7">
        <f ca="1">IFERROR(__xludf.DUMMYFUNCTION("GOOGLEFINANCE(""NSE:""&amp;D1219,""pe"")"),51.15)</f>
        <v>51.15</v>
      </c>
      <c r="P1219" s="7">
        <f ca="1">IFERROR(__xludf.DUMMYFUNCTION("GOOGLEFINANCE(""NSE:""&amp;D1219,""EPS"")"),5.13)</f>
        <v>5.13</v>
      </c>
      <c r="Q1219" s="7">
        <v>13.5</v>
      </c>
      <c r="R1219" s="7" t="str">
        <f ca="1">IFERROR(__xludf.DUMMYFUNCTION("IMPORTXML(E1219,""/html/body/main/div[3]/div[3]/div[2]/ul/li[7]/span[2]/span"")"),"Loading...")</f>
        <v>Loading...</v>
      </c>
      <c r="S1219" s="7" t="str">
        <f ca="1">IFERROR(__xludf.DUMMYFUNCTION("IMPORTXML(E1219,""/html/body/main/div[3]/div[3]/div[2]/ul/li[8]/span[2]/span"")"),"Loading...")</f>
        <v>Loading...</v>
      </c>
      <c r="T1219" s="4">
        <v>34.6</v>
      </c>
      <c r="U1219" s="4">
        <v>22.7</v>
      </c>
      <c r="V1219" s="4">
        <v>2.6</v>
      </c>
      <c r="W1219" s="4">
        <v>5.7</v>
      </c>
      <c r="X1219" s="4">
        <v>519.92999999999995</v>
      </c>
      <c r="Y1219" s="7">
        <f t="shared" ca="1" si="24"/>
        <v>-257.42999999999995</v>
      </c>
    </row>
    <row r="1220" spans="1:25" ht="15" x14ac:dyDescent="0.25">
      <c r="A1220" s="4">
        <v>109</v>
      </c>
      <c r="C1220" s="12" t="s">
        <v>2982</v>
      </c>
      <c r="D1220" s="12" t="s">
        <v>2983</v>
      </c>
      <c r="E1220" s="5" t="str">
        <f t="shared" si="20"/>
        <v>https://www.screener.in/company/RELAXO/consolidated/</v>
      </c>
      <c r="F1220" s="4">
        <v>443059</v>
      </c>
      <c r="G1220" s="4">
        <v>3832241897</v>
      </c>
      <c r="H1220" s="6">
        <f t="shared" ca="1" si="21"/>
        <v>190462.42228090001</v>
      </c>
      <c r="I1220" s="7" t="str">
        <f ca="1">IFERROR(__xludf.DUMMYFUNCTION("IMPORTXML(E1220,""/html/body/main/div[3]/div[3]/div[2]/ul/li[5]/span[2]/span"")"),"Loading...")</f>
        <v>Loading...</v>
      </c>
      <c r="J1220" s="7">
        <f ca="1">IFERROR(__xludf.DUMMYFUNCTION("GOOGLEFINANCE(""NSE:""&amp;D1220,""marketcap"")"),123772300000)</f>
        <v>123772300000</v>
      </c>
      <c r="K1220" s="7">
        <v>992.8</v>
      </c>
      <c r="L1220" s="8">
        <f ca="1">IFERROR(__xludf.DUMMYFUNCTION("GOOGLEFINANCE(""NSE:""&amp;D1220,""price"")"),497)</f>
        <v>497</v>
      </c>
      <c r="M1220" s="9">
        <f t="shared" ca="1" si="22"/>
        <v>-495.79999999999995</v>
      </c>
      <c r="N1220" s="10">
        <f t="shared" ca="1" si="23"/>
        <v>-49.939564867042705</v>
      </c>
      <c r="O1220" s="7">
        <f ca="1">IFERROR(__xludf.DUMMYFUNCTION("GOOGLEFINANCE(""NSE:""&amp;D1220,""pe"")"),70.76)</f>
        <v>70.760000000000005</v>
      </c>
      <c r="P1220" s="7">
        <f ca="1">IFERROR(__xludf.DUMMYFUNCTION("GOOGLEFINANCE(""NSE:""&amp;D1220,""EPS"")"),7.02)</f>
        <v>7.02</v>
      </c>
      <c r="Q1220" s="7">
        <v>13.5</v>
      </c>
      <c r="R1220" s="7" t="str">
        <f ca="1">IFERROR(__xludf.DUMMYFUNCTION("IMPORTXML(E1220,""/html/body/main/div[3]/div[3]/div[2]/ul/li[7]/span[2]/span"")"),"Loading...")</f>
        <v>Loading...</v>
      </c>
      <c r="S1220" s="7" t="str">
        <f ca="1">IFERROR(__xludf.DUMMYFUNCTION("IMPORTXML(E1220,""/html/body/main/div[3]/div[3]/div[2]/ul/li[8]/span[2]/span"")"),"Loading...")</f>
        <v>Loading...</v>
      </c>
      <c r="T1220" s="4">
        <v>34.6</v>
      </c>
      <c r="U1220" s="4">
        <v>22.7</v>
      </c>
      <c r="V1220" s="4">
        <v>2.6</v>
      </c>
      <c r="W1220" s="4">
        <v>5.7</v>
      </c>
      <c r="X1220" s="4">
        <v>519.92999999999995</v>
      </c>
      <c r="Y1220" s="7">
        <f t="shared" ca="1" si="24"/>
        <v>-22.92999999999995</v>
      </c>
    </row>
    <row r="1221" spans="1:25" ht="15" x14ac:dyDescent="0.25">
      <c r="A1221" s="4">
        <v>2130</v>
      </c>
      <c r="C1221" s="12" t="s">
        <v>2984</v>
      </c>
      <c r="D1221" s="12" t="s">
        <v>2985</v>
      </c>
      <c r="E1221" s="5" t="str">
        <f t="shared" si="20"/>
        <v>https://www.screener.in/company/JOCIL/consolidated/</v>
      </c>
      <c r="F1221" s="4">
        <v>443059</v>
      </c>
      <c r="G1221" s="4">
        <v>3832241897</v>
      </c>
      <c r="H1221" s="6">
        <f t="shared" ca="1" si="21"/>
        <v>62848.7671108</v>
      </c>
      <c r="I1221" s="7" t="str">
        <f ca="1">IFERROR(__xludf.DUMMYFUNCTION("IMPORTXML(E1221,""/html/body/main/div[3]/div[3]/div[2]/ul/li[5]/span[2]/span"")"),"Loading...")</f>
        <v>Loading...</v>
      </c>
      <c r="J1221" s="7">
        <f ca="1">IFERROR(__xludf.DUMMYFUNCTION("GOOGLEFINANCE(""NSE:""&amp;D1221,""marketcap"")"),1456508928)</f>
        <v>1456508928</v>
      </c>
      <c r="K1221" s="7">
        <v>992.8</v>
      </c>
      <c r="L1221" s="8">
        <f ca="1">IFERROR(__xludf.DUMMYFUNCTION("GOOGLEFINANCE(""NSE:""&amp;D1221,""price"")"),164)</f>
        <v>164</v>
      </c>
      <c r="M1221" s="9">
        <f t="shared" ca="1" si="22"/>
        <v>-828.8</v>
      </c>
      <c r="N1221" s="10">
        <f t="shared" ca="1" si="23"/>
        <v>-83.481063658340048</v>
      </c>
      <c r="O1221" s="7">
        <f ca="1">IFERROR(__xludf.DUMMYFUNCTION("GOOGLEFINANCE(""NSE:""&amp;D1221,""pe"")"),122.86)</f>
        <v>122.86</v>
      </c>
      <c r="P1221" s="7">
        <f ca="1">IFERROR(__xludf.DUMMYFUNCTION("GOOGLEFINANCE(""NSE:""&amp;D1221,""EPS"")"),1.33)</f>
        <v>1.33</v>
      </c>
      <c r="Q1221" s="7">
        <v>13.5</v>
      </c>
      <c r="R1221" s="7" t="str">
        <f ca="1">IFERROR(__xludf.DUMMYFUNCTION("IMPORTXML(E1221,""/html/body/main/div[3]/div[3]/div[2]/ul/li[7]/span[2]/span"")"),"Loading...")</f>
        <v>Loading...</v>
      </c>
      <c r="S1221" s="7" t="str">
        <f ca="1">IFERROR(__xludf.DUMMYFUNCTION("IMPORTXML(E1221,""/html/body/main/div[3]/div[3]/div[2]/ul/li[8]/span[2]/span"")"),"Loading...")</f>
        <v>Loading...</v>
      </c>
      <c r="T1221" s="4">
        <v>34.6</v>
      </c>
      <c r="U1221" s="4">
        <v>22.7</v>
      </c>
      <c r="V1221" s="4">
        <v>2.6</v>
      </c>
      <c r="W1221" s="4">
        <v>5.7</v>
      </c>
      <c r="X1221" s="4">
        <v>519.92999999999995</v>
      </c>
      <c r="Y1221" s="7">
        <f t="shared" ca="1" si="24"/>
        <v>-355.92999999999995</v>
      </c>
    </row>
    <row r="1222" spans="1:25" ht="15" x14ac:dyDescent="0.25">
      <c r="A1222" s="4">
        <v>521</v>
      </c>
      <c r="C1222" s="12" t="s">
        <v>2986</v>
      </c>
      <c r="D1222" s="12" t="s">
        <v>2987</v>
      </c>
      <c r="E1222" s="5" t="str">
        <f t="shared" si="20"/>
        <v>https://www.screener.in/company/BOROLTD/consolidated/</v>
      </c>
      <c r="F1222" s="4">
        <v>443059</v>
      </c>
      <c r="G1222" s="4">
        <v>3832241897</v>
      </c>
      <c r="H1222" s="6">
        <f t="shared" ca="1" si="21"/>
        <v>131369.25222916002</v>
      </c>
      <c r="I1222" s="7" t="str">
        <f ca="1">IFERROR(__xludf.DUMMYFUNCTION("IMPORTXML(E1222,""/html/body/main/div[3]/div[3]/div[2]/ul/li[5]/span[2]/span"")"),"Loading...")</f>
        <v>Loading...</v>
      </c>
      <c r="J1222" s="7">
        <f ca="1">IFERROR(__xludf.DUMMYFUNCTION("GOOGLEFINANCE(""NSE:""&amp;D1222,""marketcap"")"),40982801220)</f>
        <v>40982801220</v>
      </c>
      <c r="K1222" s="7">
        <v>992.8</v>
      </c>
      <c r="L1222" s="8">
        <f ca="1">IFERROR(__xludf.DUMMYFUNCTION("GOOGLEFINANCE(""NSE:""&amp;D1222,""price"")"),342.8)</f>
        <v>342.8</v>
      </c>
      <c r="M1222" s="9">
        <f t="shared" ca="1" si="22"/>
        <v>-650</v>
      </c>
      <c r="N1222" s="10">
        <f t="shared" ca="1" si="23"/>
        <v>-65.471394037066887</v>
      </c>
      <c r="O1222" s="7">
        <f ca="1">IFERROR(__xludf.DUMMYFUNCTION("GOOGLEFINANCE(""NSE:""&amp;D1222,""pe"")"),49.79)</f>
        <v>49.79</v>
      </c>
      <c r="P1222" s="7">
        <f ca="1">IFERROR(__xludf.DUMMYFUNCTION("GOOGLEFINANCE(""NSE:""&amp;D1222,""EPS"")"),6.89)</f>
        <v>6.89</v>
      </c>
      <c r="Q1222" s="7">
        <v>13.5</v>
      </c>
      <c r="R1222" s="7" t="str">
        <f ca="1">IFERROR(__xludf.DUMMYFUNCTION("IMPORTXML(E1222,""/html/body/main/div[3]/div[3]/div[2]/ul/li[7]/span[2]/span"")"),"Loading...")</f>
        <v>Loading...</v>
      </c>
      <c r="S1222" s="7" t="str">
        <f ca="1">IFERROR(__xludf.DUMMYFUNCTION("IMPORTXML(E1222,""/html/body/main/div[3]/div[3]/div[2]/ul/li[8]/span[2]/span"")"),"Loading...")</f>
        <v>Loading...</v>
      </c>
      <c r="T1222" s="4">
        <v>34.6</v>
      </c>
      <c r="U1222" s="4">
        <v>22.7</v>
      </c>
      <c r="V1222" s="4">
        <v>2.6</v>
      </c>
      <c r="W1222" s="4">
        <v>5.7</v>
      </c>
      <c r="X1222" s="4">
        <v>519.92999999999995</v>
      </c>
      <c r="Y1222" s="7">
        <f t="shared" ca="1" si="24"/>
        <v>-177.12999999999994</v>
      </c>
    </row>
    <row r="1223" spans="1:25" ht="15" x14ac:dyDescent="0.25">
      <c r="A1223" s="4">
        <v>1027</v>
      </c>
      <c r="C1223" s="12" t="s">
        <v>2988</v>
      </c>
      <c r="D1223" s="12" t="s">
        <v>2989</v>
      </c>
      <c r="E1223" s="5" t="str">
        <f t="shared" si="20"/>
        <v>https://www.screener.in/company/TNPL/consolidated/</v>
      </c>
      <c r="F1223" s="4">
        <v>443059</v>
      </c>
      <c r="G1223" s="4">
        <v>3832241897</v>
      </c>
      <c r="H1223" s="6">
        <f t="shared" ca="1" si="21"/>
        <v>62848.7671108</v>
      </c>
      <c r="I1223" s="7" t="str">
        <f ca="1">IFERROR(__xludf.DUMMYFUNCTION("IMPORTXML(E1223,""/html/body/main/div[3]/div[3]/div[2]/ul/li[5]/span[2]/span"")"),"Loading...")</f>
        <v>Loading...</v>
      </c>
      <c r="J1223" s="7">
        <f ca="1">IFERROR(__xludf.DUMMYFUNCTION("GOOGLEFINANCE(""NSE:""&amp;D1223,""marketcap"")"),11346390000)</f>
        <v>11346390000</v>
      </c>
      <c r="K1223" s="7">
        <v>992.8</v>
      </c>
      <c r="L1223" s="8">
        <f ca="1">IFERROR(__xludf.DUMMYFUNCTION("GOOGLEFINANCE(""NSE:""&amp;D1223,""price"")"),164)</f>
        <v>164</v>
      </c>
      <c r="M1223" s="9">
        <f t="shared" ca="1" si="22"/>
        <v>-828.8</v>
      </c>
      <c r="N1223" s="10">
        <f t="shared" ca="1" si="23"/>
        <v>-83.481063658340048</v>
      </c>
      <c r="O1223" s="7" t="str">
        <f ca="1">IFERROR(__xludf.DUMMYFUNCTION("GOOGLEFINANCE(""NSE:""&amp;D1223,""pe"")"),"#N/A")</f>
        <v>#N/A</v>
      </c>
      <c r="P1223" s="7">
        <f ca="1">IFERROR(__xludf.DUMMYFUNCTION("GOOGLEFINANCE(""NSE:""&amp;D1223,""EPS"")"),-3.67)</f>
        <v>-3.67</v>
      </c>
      <c r="Q1223" s="7">
        <v>13.5</v>
      </c>
      <c r="R1223" s="7" t="str">
        <f ca="1">IFERROR(__xludf.DUMMYFUNCTION("IMPORTXML(E1223,""/html/body/main/div[3]/div[3]/div[2]/ul/li[7]/span[2]/span"")"),"Loading...")</f>
        <v>Loading...</v>
      </c>
      <c r="S1223" s="7" t="str">
        <f ca="1">IFERROR(__xludf.DUMMYFUNCTION("IMPORTXML(E1223,""/html/body/main/div[3]/div[3]/div[2]/ul/li[8]/span[2]/span"")"),"Loading...")</f>
        <v>Loading...</v>
      </c>
      <c r="T1223" s="4">
        <v>34.6</v>
      </c>
      <c r="U1223" s="4">
        <v>22.7</v>
      </c>
      <c r="V1223" s="4">
        <v>2.6</v>
      </c>
      <c r="W1223" s="4">
        <v>5.7</v>
      </c>
      <c r="X1223" s="4">
        <v>519.92999999999995</v>
      </c>
      <c r="Y1223" s="7">
        <f t="shared" ca="1" si="24"/>
        <v>-355.92999999999995</v>
      </c>
    </row>
    <row r="1224" spans="1:25" ht="15" x14ac:dyDescent="0.25">
      <c r="A1224" s="4">
        <v>410</v>
      </c>
      <c r="C1224" s="12" t="s">
        <v>2990</v>
      </c>
      <c r="D1224" s="12" t="s">
        <v>2991</v>
      </c>
      <c r="E1224" s="5" t="str">
        <f t="shared" si="20"/>
        <v>https://www.screener.in/company/ARVINDFASN/consolidated/</v>
      </c>
      <c r="F1224" s="4">
        <v>443059</v>
      </c>
      <c r="G1224" s="4">
        <v>3832241897</v>
      </c>
      <c r="H1224" s="6">
        <f t="shared" ca="1" si="21"/>
        <v>207899.12291224999</v>
      </c>
      <c r="I1224" s="7" t="str">
        <f ca="1">IFERROR(__xludf.DUMMYFUNCTION("IMPORTXML(E1224,""/html/body/main/div[3]/div[3]/div[2]/ul/li[5]/span[2]/span"")"),"Loading...")</f>
        <v>Loading...</v>
      </c>
      <c r="J1224" s="7">
        <f ca="1">IFERROR(__xludf.DUMMYFUNCTION("GOOGLEFINANCE(""NSE:""&amp;D1224,""marketcap"")"),72422773500)</f>
        <v>72422773500</v>
      </c>
      <c r="K1224" s="7">
        <v>992.8</v>
      </c>
      <c r="L1224" s="8">
        <f ca="1">IFERROR(__xludf.DUMMYFUNCTION("GOOGLEFINANCE(""NSE:""&amp;D1224,""price"")"),542.5)</f>
        <v>542.5</v>
      </c>
      <c r="M1224" s="9">
        <f t="shared" ca="1" si="22"/>
        <v>-450.29999999999995</v>
      </c>
      <c r="N1224" s="10">
        <f t="shared" ca="1" si="23"/>
        <v>-45.356567284448026</v>
      </c>
      <c r="O1224" s="7" t="str">
        <f ca="1">IFERROR(__xludf.DUMMYFUNCTION("GOOGLEFINANCE(""NSE:""&amp;D1224,""pe"")"),"#N/A")</f>
        <v>#N/A</v>
      </c>
      <c r="P1224" s="7">
        <f ca="1">IFERROR(__xludf.DUMMYFUNCTION("GOOGLEFINANCE(""NSE:""&amp;D1224,""EPS"")"),-1.84)</f>
        <v>-1.84</v>
      </c>
      <c r="Q1224" s="7">
        <v>13.5</v>
      </c>
      <c r="R1224" s="7" t="str">
        <f ca="1">IFERROR(__xludf.DUMMYFUNCTION("IMPORTXML(E1224,""/html/body/main/div[3]/div[3]/div[2]/ul/li[7]/span[2]/span"")"),"Loading...")</f>
        <v>Loading...</v>
      </c>
      <c r="S1224" s="7" t="str">
        <f ca="1">IFERROR(__xludf.DUMMYFUNCTION("IMPORTXML(E1224,""/html/body/main/div[3]/div[3]/div[2]/ul/li[8]/span[2]/span"")"),"Loading...")</f>
        <v>Loading...</v>
      </c>
      <c r="T1224" s="4">
        <v>34.6</v>
      </c>
      <c r="U1224" s="4">
        <v>22.7</v>
      </c>
      <c r="V1224" s="4">
        <v>2.6</v>
      </c>
      <c r="W1224" s="4">
        <v>5.7</v>
      </c>
      <c r="X1224" s="4">
        <v>519.92999999999995</v>
      </c>
      <c r="Y1224" s="7">
        <f t="shared" ca="1" si="24"/>
        <v>22.57000000000005</v>
      </c>
    </row>
    <row r="1225" spans="1:25" ht="15" x14ac:dyDescent="0.25">
      <c r="A1225" s="4">
        <v>356</v>
      </c>
      <c r="C1225" s="12" t="s">
        <v>2992</v>
      </c>
      <c r="D1225" s="12" t="s">
        <v>2993</v>
      </c>
      <c r="E1225" s="5" t="str">
        <f t="shared" si="20"/>
        <v>https://www.screener.in/company/MEDPLUS/consolidated/</v>
      </c>
      <c r="F1225" s="4">
        <v>443059</v>
      </c>
      <c r="G1225" s="4">
        <v>3832241897</v>
      </c>
      <c r="H1225" s="6">
        <f t="shared" ca="1" si="21"/>
        <v>321525.09515830001</v>
      </c>
      <c r="I1225" s="7" t="str">
        <f ca="1">IFERROR(__xludf.DUMMYFUNCTION("IMPORTXML(E1225,""/html/body/main/div[3]/div[3]/div[2]/ul/li[5]/span[2]/span"")"),"Loading...")</f>
        <v>Loading...</v>
      </c>
      <c r="J1225" s="7">
        <f ca="1">IFERROR(__xludf.DUMMYFUNCTION("GOOGLEFINANCE(""NSE:""&amp;D1225,""marketcap"")"),99937958917)</f>
        <v>99937958917</v>
      </c>
      <c r="K1225" s="7">
        <v>992.8</v>
      </c>
      <c r="L1225" s="8">
        <f ca="1">IFERROR(__xludf.DUMMYFUNCTION("GOOGLEFINANCE(""NSE:""&amp;D1225,""price"")"),839)</f>
        <v>839</v>
      </c>
      <c r="M1225" s="9">
        <f t="shared" ca="1" si="22"/>
        <v>-153.79999999999995</v>
      </c>
      <c r="N1225" s="10">
        <f t="shared" ca="1" si="23"/>
        <v>-15.491539081385975</v>
      </c>
      <c r="O1225" s="7">
        <f ca="1">IFERROR(__xludf.DUMMYFUNCTION("GOOGLEFINANCE(""NSE:""&amp;D1225,""pe"")"),56.39)</f>
        <v>56.39</v>
      </c>
      <c r="P1225" s="7">
        <f ca="1">IFERROR(__xludf.DUMMYFUNCTION("GOOGLEFINANCE(""NSE:""&amp;D1225,""EPS"")"),14.88)</f>
        <v>14.88</v>
      </c>
      <c r="Q1225" s="7">
        <v>13.5</v>
      </c>
      <c r="R1225" s="7" t="str">
        <f ca="1">IFERROR(__xludf.DUMMYFUNCTION("IMPORTXML(E1225,""/html/body/main/div[3]/div[3]/div[2]/ul/li[7]/span[2]/span"")"),"Loading...")</f>
        <v>Loading...</v>
      </c>
      <c r="S1225" s="7" t="str">
        <f ca="1">IFERROR(__xludf.DUMMYFUNCTION("IMPORTXML(E1225,""/html/body/main/div[3]/div[3]/div[2]/ul/li[8]/span[2]/span"")"),"Loading...")</f>
        <v>Loading...</v>
      </c>
      <c r="T1225" s="4">
        <v>34.6</v>
      </c>
      <c r="U1225" s="4">
        <v>22.7</v>
      </c>
      <c r="V1225" s="4">
        <v>2.6</v>
      </c>
      <c r="W1225" s="4">
        <v>5.7</v>
      </c>
      <c r="X1225" s="4">
        <v>519.92999999999995</v>
      </c>
      <c r="Y1225" s="7">
        <f t="shared" ca="1" si="24"/>
        <v>319.07000000000005</v>
      </c>
    </row>
    <row r="1226" spans="1:25" ht="15" x14ac:dyDescent="0.25">
      <c r="A1226" s="4">
        <v>773</v>
      </c>
      <c r="C1226" s="12" t="s">
        <v>2994</v>
      </c>
      <c r="D1226" s="12" t="s">
        <v>2995</v>
      </c>
      <c r="E1226" s="5" t="str">
        <f t="shared" si="20"/>
        <v>https://www.screener.in/company/STOVEKRAFT/consolidated/</v>
      </c>
      <c r="F1226" s="4">
        <v>443059</v>
      </c>
      <c r="G1226" s="4">
        <v>3832241897</v>
      </c>
      <c r="H1226" s="6">
        <f t="shared" ca="1" si="21"/>
        <v>263658.24251359998</v>
      </c>
      <c r="I1226" s="7" t="str">
        <f ca="1">IFERROR(__xludf.DUMMYFUNCTION("IMPORTXML(E1226,""/html/body/main/div[3]/div[3]/div[2]/ul/li[5]/span[2]/span"")"),"Loading...")</f>
        <v>Loading...</v>
      </c>
      <c r="J1226" s="7">
        <f ca="1">IFERROR(__xludf.DUMMYFUNCTION("GOOGLEFINANCE(""NSE:""&amp;D1226,""marketcap"")"),22798038733)</f>
        <v>22798038733</v>
      </c>
      <c r="K1226" s="7">
        <v>992.8</v>
      </c>
      <c r="L1226" s="8">
        <f ca="1">IFERROR(__xludf.DUMMYFUNCTION("GOOGLEFINANCE(""NSE:""&amp;D1226,""price"")"),688)</f>
        <v>688</v>
      </c>
      <c r="M1226" s="9">
        <f t="shared" ca="1" si="22"/>
        <v>-304.79999999999995</v>
      </c>
      <c r="N1226" s="10">
        <f t="shared" ca="1" si="23"/>
        <v>-30.70104754230459</v>
      </c>
      <c r="O1226" s="7">
        <f ca="1">IFERROR(__xludf.DUMMYFUNCTION("GOOGLEFINANCE(""NSE:""&amp;D1226,""pe"")"),55.89)</f>
        <v>55.89</v>
      </c>
      <c r="P1226" s="7">
        <f ca="1">IFERROR(__xludf.DUMMYFUNCTION("GOOGLEFINANCE(""NSE:""&amp;D1226,""EPS"")"),12.31)</f>
        <v>12.31</v>
      </c>
      <c r="Q1226" s="7">
        <v>13.5</v>
      </c>
      <c r="R1226" s="7" t="str">
        <f ca="1">IFERROR(__xludf.DUMMYFUNCTION("IMPORTXML(E1226,""/html/body/main/div[3]/div[3]/div[2]/ul/li[7]/span[2]/span"")"),"Loading...")</f>
        <v>Loading...</v>
      </c>
      <c r="S1226" s="7" t="str">
        <f ca="1">IFERROR(__xludf.DUMMYFUNCTION("IMPORTXML(E1226,""/html/body/main/div[3]/div[3]/div[2]/ul/li[8]/span[2]/span"")"),"Loading...")</f>
        <v>Loading...</v>
      </c>
      <c r="T1226" s="4">
        <v>34.6</v>
      </c>
      <c r="U1226" s="4">
        <v>22.7</v>
      </c>
      <c r="V1226" s="4">
        <v>2.6</v>
      </c>
      <c r="W1226" s="4">
        <v>5.7</v>
      </c>
      <c r="X1226" s="4">
        <v>519.92999999999995</v>
      </c>
      <c r="Y1226" s="7">
        <f t="shared" ca="1" si="24"/>
        <v>168.07000000000005</v>
      </c>
    </row>
    <row r="1227" spans="1:25" ht="15" x14ac:dyDescent="0.25">
      <c r="A1227" s="4">
        <v>688</v>
      </c>
      <c r="C1227" s="12" t="s">
        <v>2996</v>
      </c>
      <c r="D1227" s="12" t="s">
        <v>2997</v>
      </c>
      <c r="E1227" s="5" t="str">
        <f t="shared" si="20"/>
        <v>https://www.screener.in/company/APOLLO/consolidated/</v>
      </c>
      <c r="F1227" s="4">
        <v>443059</v>
      </c>
      <c r="G1227" s="4">
        <v>3832241897</v>
      </c>
      <c r="H1227" s="6">
        <f t="shared" ca="1" si="21"/>
        <v>116001.96222218999</v>
      </c>
      <c r="I1227" s="7" t="str">
        <f ca="1">IFERROR(__xludf.DUMMYFUNCTION("IMPORTXML(E1227,""/html/body/main/div[3]/div[3]/div[2]/ul/li[5]/span[2]/span"")"),"Loading...")</f>
        <v>Loading...</v>
      </c>
      <c r="J1227" s="7">
        <f ca="1">IFERROR(__xludf.DUMMYFUNCTION("GOOGLEFINANCE(""NSE:""&amp;D1227,""marketcap"")"),101841701049)</f>
        <v>101841701049</v>
      </c>
      <c r="K1227" s="7">
        <v>992.8</v>
      </c>
      <c r="L1227" s="8">
        <f ca="1">IFERROR(__xludf.DUMMYFUNCTION("GOOGLEFINANCE(""NSE:""&amp;D1227,""price"")"),302.7)</f>
        <v>302.7</v>
      </c>
      <c r="M1227" s="9">
        <f t="shared" ca="1" si="22"/>
        <v>-690.09999999999991</v>
      </c>
      <c r="N1227" s="10">
        <f t="shared" ca="1" si="23"/>
        <v>-69.510475423045932</v>
      </c>
      <c r="O1227" s="7">
        <f ca="1">IFERROR(__xludf.DUMMYFUNCTION("GOOGLEFINANCE(""NSE:""&amp;D1227,""pe"")"),142.97)</f>
        <v>142.97</v>
      </c>
      <c r="P1227" s="7">
        <f ca="1">IFERROR(__xludf.DUMMYFUNCTION("GOOGLEFINANCE(""NSE:""&amp;D1227,""EPS"")"),2.12)</f>
        <v>2.12</v>
      </c>
      <c r="Q1227" s="7">
        <v>13.5</v>
      </c>
      <c r="R1227" s="7" t="str">
        <f ca="1">IFERROR(__xludf.DUMMYFUNCTION("IMPORTXML(E1227,""/html/body/main/div[3]/div[3]/div[2]/ul/li[7]/span[2]/span"")"),"Loading...")</f>
        <v>Loading...</v>
      </c>
      <c r="S1227" s="7" t="str">
        <f ca="1">IFERROR(__xludf.DUMMYFUNCTION("IMPORTXML(E1227,""/html/body/main/div[3]/div[3]/div[2]/ul/li[8]/span[2]/span"")"),"Loading...")</f>
        <v>Loading...</v>
      </c>
      <c r="T1227" s="4">
        <v>34.6</v>
      </c>
      <c r="U1227" s="4">
        <v>22.7</v>
      </c>
      <c r="V1227" s="4">
        <v>2.6</v>
      </c>
      <c r="W1227" s="4">
        <v>5.7</v>
      </c>
      <c r="X1227" s="4">
        <v>519.92999999999995</v>
      </c>
      <c r="Y1227" s="7">
        <f t="shared" ca="1" si="24"/>
        <v>-217.22999999999996</v>
      </c>
    </row>
    <row r="1228" spans="1:25" ht="15" x14ac:dyDescent="0.25">
      <c r="A1228" s="4">
        <v>15</v>
      </c>
      <c r="C1228" s="12" t="s">
        <v>2998</v>
      </c>
      <c r="D1228" s="12" t="s">
        <v>2999</v>
      </c>
      <c r="E1228" s="5" t="str">
        <f t="shared" si="20"/>
        <v>https://www.screener.in/company/MEDANTA/consolidated/</v>
      </c>
      <c r="F1228" s="4">
        <v>443059</v>
      </c>
      <c r="G1228" s="4">
        <v>3832241897</v>
      </c>
      <c r="H1228" s="6">
        <f t="shared" ca="1" si="21"/>
        <v>537663.53814910003</v>
      </c>
      <c r="I1228" s="7" t="str">
        <f ca="1">IFERROR(__xludf.DUMMYFUNCTION("IMPORTXML(E1228,""/html/body/main/div[3]/div[3]/div[2]/ul/li[5]/span[2]/span"")"),"Loading...")</f>
        <v>Loading...</v>
      </c>
      <c r="J1228" s="7">
        <f ca="1">IFERROR(__xludf.DUMMYFUNCTION("GOOGLEFINANCE(""NSE:""&amp;D1228,""marketcap"")"),376884101900)</f>
        <v>376884101900</v>
      </c>
      <c r="K1228" s="7">
        <v>992.8</v>
      </c>
      <c r="L1228" s="8">
        <f ca="1">IFERROR(__xludf.DUMMYFUNCTION("GOOGLEFINANCE(""NSE:""&amp;D1228,""price"")"),1403)</f>
        <v>1403</v>
      </c>
      <c r="M1228" s="9">
        <f t="shared" ca="1" si="22"/>
        <v>410.20000000000005</v>
      </c>
      <c r="N1228" s="10">
        <f t="shared" ca="1" si="23"/>
        <v>41.317485898468981</v>
      </c>
      <c r="O1228" s="7">
        <f ca="1">IFERROR(__xludf.DUMMYFUNCTION("GOOGLEFINANCE(""NSE:""&amp;D1228,""pe"")"),70.57)</f>
        <v>70.569999999999993</v>
      </c>
      <c r="P1228" s="7">
        <f ca="1">IFERROR(__xludf.DUMMYFUNCTION("GOOGLEFINANCE(""NSE:""&amp;D1228,""EPS"")"),19.88)</f>
        <v>19.88</v>
      </c>
      <c r="Q1228" s="7">
        <v>13.5</v>
      </c>
      <c r="R1228" s="7" t="str">
        <f ca="1">IFERROR(__xludf.DUMMYFUNCTION("IMPORTXML(E1228,""/html/body/main/div[3]/div[3]/div[2]/ul/li[7]/span[2]/span"")"),"Loading...")</f>
        <v>Loading...</v>
      </c>
      <c r="S1228" s="7" t="str">
        <f ca="1">IFERROR(__xludf.DUMMYFUNCTION("IMPORTXML(E1228,""/html/body/main/div[3]/div[3]/div[2]/ul/li[8]/span[2]/span"")"),"Loading...")</f>
        <v>Loading...</v>
      </c>
      <c r="T1228" s="4">
        <v>34.6</v>
      </c>
      <c r="U1228" s="4">
        <v>22.7</v>
      </c>
      <c r="V1228" s="4">
        <v>2.6</v>
      </c>
      <c r="W1228" s="4">
        <v>5.7</v>
      </c>
      <c r="X1228" s="4">
        <v>519.92999999999995</v>
      </c>
      <c r="Y1228" s="7">
        <f t="shared" ca="1" si="24"/>
        <v>883.07</v>
      </c>
    </row>
    <row r="1229" spans="1:25" ht="15" x14ac:dyDescent="0.25">
      <c r="A1229" s="4">
        <v>1222</v>
      </c>
      <c r="C1229" s="12" t="s">
        <v>3000</v>
      </c>
      <c r="D1229" s="12" t="s">
        <v>3001</v>
      </c>
      <c r="E1229" s="5" t="str">
        <f t="shared" si="20"/>
        <v>https://www.screener.in/company/SHIVALIK/consolidated/</v>
      </c>
      <c r="F1229" s="4">
        <v>443059</v>
      </c>
      <c r="G1229" s="4">
        <v>3832241897</v>
      </c>
      <c r="H1229" s="6">
        <f t="shared" ca="1" si="21"/>
        <v>171876.04908045</v>
      </c>
      <c r="I1229" s="7" t="str">
        <f ca="1">IFERROR(__xludf.DUMMYFUNCTION("IMPORTXML(E1229,""/html/body/main/div[3]/div[3]/div[2]/ul/li[5]/span[2]/span"")"),"Loading...")</f>
        <v>Loading...</v>
      </c>
      <c r="J1229" s="7">
        <f ca="1">IFERROR(__xludf.DUMMYFUNCTION("GOOGLEFINANCE(""NSE:""&amp;D1229,""marketcap"")"),7064036460)</f>
        <v>7064036460</v>
      </c>
      <c r="K1229" s="7">
        <v>992.8</v>
      </c>
      <c r="L1229" s="8">
        <f ca="1">IFERROR(__xludf.DUMMYFUNCTION("GOOGLEFINANCE(""NSE:""&amp;D1229,""price"")"),448.5)</f>
        <v>448.5</v>
      </c>
      <c r="M1229" s="9">
        <f t="shared" ca="1" si="22"/>
        <v>-544.29999999999995</v>
      </c>
      <c r="N1229" s="10">
        <f t="shared" ca="1" si="23"/>
        <v>-54.824738114423852</v>
      </c>
      <c r="O1229" s="7">
        <f ca="1">IFERROR(__xludf.DUMMYFUNCTION("GOOGLEFINANCE(""NSE:""&amp;D1229,""pe"")"),46.67)</f>
        <v>46.67</v>
      </c>
      <c r="P1229" s="7">
        <f ca="1">IFERROR(__xludf.DUMMYFUNCTION("GOOGLEFINANCE(""NSE:""&amp;D1229,""EPS"")"),9.61)</f>
        <v>9.61</v>
      </c>
      <c r="Q1229" s="7">
        <v>13.5</v>
      </c>
      <c r="R1229" s="7" t="str">
        <f ca="1">IFERROR(__xludf.DUMMYFUNCTION("IMPORTXML(E1229,""/html/body/main/div[3]/div[3]/div[2]/ul/li[7]/span[2]/span"")"),"Loading...")</f>
        <v>Loading...</v>
      </c>
      <c r="S1229" s="7" t="str">
        <f ca="1">IFERROR(__xludf.DUMMYFUNCTION("IMPORTXML(E1229,""/html/body/main/div[3]/div[3]/div[2]/ul/li[8]/span[2]/span"")"),"Loading...")</f>
        <v>Loading...</v>
      </c>
      <c r="T1229" s="4">
        <v>34.6</v>
      </c>
      <c r="U1229" s="4">
        <v>22.7</v>
      </c>
      <c r="V1229" s="4">
        <v>2.6</v>
      </c>
      <c r="W1229" s="4">
        <v>5.7</v>
      </c>
      <c r="X1229" s="4">
        <v>519.92999999999995</v>
      </c>
      <c r="Y1229" s="7">
        <f t="shared" ca="1" si="24"/>
        <v>-71.42999999999995</v>
      </c>
    </row>
    <row r="1230" spans="1:25" ht="15" x14ac:dyDescent="0.25">
      <c r="A1230" s="4">
        <v>1201</v>
      </c>
      <c r="C1230" s="12" t="s">
        <v>3002</v>
      </c>
      <c r="D1230" s="12" t="s">
        <v>3003</v>
      </c>
      <c r="E1230" s="5" t="str">
        <f t="shared" si="20"/>
        <v>https://www.screener.in/company/AYMSYNTEX/consolidated/</v>
      </c>
      <c r="F1230" s="4">
        <v>443059</v>
      </c>
      <c r="G1230" s="4">
        <v>3832241897</v>
      </c>
      <c r="H1230" s="6">
        <f t="shared" ca="1" si="21"/>
        <v>72065.308873085014</v>
      </c>
      <c r="I1230" s="7" t="str">
        <f ca="1">IFERROR(__xludf.DUMMYFUNCTION("IMPORTXML(E1230,""/html/body/main/div[3]/div[3]/div[2]/ul/li[5]/span[2]/span"")"),"Loading...")</f>
        <v>Loading...</v>
      </c>
      <c r="J1230" s="7">
        <f ca="1">IFERROR(__xludf.DUMMYFUNCTION("GOOGLEFINANCE(""NSE:""&amp;D1230,""marketcap"")"),11016168511)</f>
        <v>11016168511</v>
      </c>
      <c r="K1230" s="7">
        <v>992.8</v>
      </c>
      <c r="L1230" s="8">
        <f ca="1">IFERROR(__xludf.DUMMYFUNCTION("GOOGLEFINANCE(""NSE:""&amp;D1230,""price"")"),188.05)</f>
        <v>188.05</v>
      </c>
      <c r="M1230" s="9">
        <f t="shared" ca="1" si="22"/>
        <v>-804.75</v>
      </c>
      <c r="N1230" s="10">
        <f t="shared" ca="1" si="23"/>
        <v>-81.058622078968583</v>
      </c>
      <c r="O1230" s="7">
        <f ca="1">IFERROR(__xludf.DUMMYFUNCTION("GOOGLEFINANCE(""NSE:""&amp;D1230,""pe"")"),152.89)</f>
        <v>152.88999999999999</v>
      </c>
      <c r="P1230" s="7">
        <f ca="1">IFERROR(__xludf.DUMMYFUNCTION("GOOGLEFINANCE(""NSE:""&amp;D1230,""EPS"")"),1.23)</f>
        <v>1.23</v>
      </c>
      <c r="Q1230" s="7">
        <v>13.5</v>
      </c>
      <c r="R1230" s="7" t="str">
        <f ca="1">IFERROR(__xludf.DUMMYFUNCTION("IMPORTXML(E1230,""/html/body/main/div[3]/div[3]/div[2]/ul/li[7]/span[2]/span"")"),"Loading...")</f>
        <v>Loading...</v>
      </c>
      <c r="S1230" s="7" t="str">
        <f ca="1">IFERROR(__xludf.DUMMYFUNCTION("IMPORTXML(E1230,""/html/body/main/div[3]/div[3]/div[2]/ul/li[8]/span[2]/span"")"),"Loading...")</f>
        <v>Loading...</v>
      </c>
      <c r="T1230" s="4">
        <v>34.6</v>
      </c>
      <c r="U1230" s="4">
        <v>22.7</v>
      </c>
      <c r="V1230" s="4">
        <v>2.6</v>
      </c>
      <c r="W1230" s="4">
        <v>5.7</v>
      </c>
      <c r="X1230" s="4">
        <v>519.92999999999995</v>
      </c>
      <c r="Y1230" s="7">
        <f t="shared" ca="1" si="24"/>
        <v>-331.87999999999994</v>
      </c>
    </row>
    <row r="1231" spans="1:25" ht="15" x14ac:dyDescent="0.25">
      <c r="A1231" s="4">
        <v>353</v>
      </c>
      <c r="C1231" s="12" t="s">
        <v>3004</v>
      </c>
      <c r="D1231" s="12" t="s">
        <v>3005</v>
      </c>
      <c r="E1231" s="5" t="str">
        <f t="shared" si="20"/>
        <v>https://www.screener.in/company/STARCEMENT/consolidated/</v>
      </c>
      <c r="F1231" s="4">
        <v>443059</v>
      </c>
      <c r="G1231" s="4">
        <v>3832241897</v>
      </c>
      <c r="H1231" s="6">
        <f t="shared" ca="1" si="21"/>
        <v>112284.6875821</v>
      </c>
      <c r="I1231" s="7" t="str">
        <f ca="1">IFERROR(__xludf.DUMMYFUNCTION("IMPORTXML(E1231,""/html/body/main/div[3]/div[3]/div[2]/ul/li[5]/span[2]/span"")"),"Loading...")</f>
        <v>Loading...</v>
      </c>
      <c r="J1231" s="7">
        <f ca="1">IFERROR(__xludf.DUMMYFUNCTION("GOOGLEFINANCE(""NSE:""&amp;D1231,""marketcap"")"),118141900000)</f>
        <v>118141900000</v>
      </c>
      <c r="K1231" s="7">
        <v>992.8</v>
      </c>
      <c r="L1231" s="8">
        <f ca="1">IFERROR(__xludf.DUMMYFUNCTION("GOOGLEFINANCE(""NSE:""&amp;D1231,""price"")"),293)</f>
        <v>293</v>
      </c>
      <c r="M1231" s="9">
        <f t="shared" ca="1" si="22"/>
        <v>-699.8</v>
      </c>
      <c r="N1231" s="10">
        <f t="shared" ca="1" si="23"/>
        <v>-70.48751007252217</v>
      </c>
      <c r="O1231" s="7">
        <f ca="1">IFERROR(__xludf.DUMMYFUNCTION("GOOGLEFINANCE(""NSE:""&amp;D1231,""pe"")"),49.83)</f>
        <v>49.83</v>
      </c>
      <c r="P1231" s="7">
        <f ca="1">IFERROR(__xludf.DUMMYFUNCTION("GOOGLEFINANCE(""NSE:""&amp;D1231,""EPS"")"),5.88)</f>
        <v>5.88</v>
      </c>
      <c r="Q1231" s="7">
        <v>13.5</v>
      </c>
      <c r="R1231" s="7" t="str">
        <f ca="1">IFERROR(__xludf.DUMMYFUNCTION("IMPORTXML(E1231,""/html/body/main/div[3]/div[3]/div[2]/ul/li[7]/span[2]/span"")"),"Loading...")</f>
        <v>Loading...</v>
      </c>
      <c r="S1231" s="7" t="str">
        <f ca="1">IFERROR(__xludf.DUMMYFUNCTION("IMPORTXML(E1231,""/html/body/main/div[3]/div[3]/div[2]/ul/li[8]/span[2]/span"")"),"Loading...")</f>
        <v>Loading...</v>
      </c>
      <c r="T1231" s="4">
        <v>34.6</v>
      </c>
      <c r="U1231" s="4">
        <v>22.7</v>
      </c>
      <c r="V1231" s="4">
        <v>2.6</v>
      </c>
      <c r="W1231" s="4">
        <v>5.7</v>
      </c>
      <c r="X1231" s="4">
        <v>519.92999999999995</v>
      </c>
      <c r="Y1231" s="7">
        <f t="shared" ca="1" si="24"/>
        <v>-226.92999999999995</v>
      </c>
    </row>
    <row r="1232" spans="1:25" ht="15" x14ac:dyDescent="0.25">
      <c r="A1232" s="4">
        <v>917</v>
      </c>
      <c r="C1232" s="12" t="s">
        <v>3006</v>
      </c>
      <c r="D1232" s="12" t="s">
        <v>3007</v>
      </c>
      <c r="E1232" s="5" t="str">
        <f t="shared" si="20"/>
        <v>https://www.screener.in/company/RAMASTEEL/consolidated/</v>
      </c>
      <c r="F1232" s="4">
        <v>443059</v>
      </c>
      <c r="G1232" s="4">
        <v>3832241897</v>
      </c>
      <c r="H1232" s="6">
        <f t="shared" ca="1" si="21"/>
        <v>3981.699330983</v>
      </c>
      <c r="I1232" s="7" t="str">
        <f ca="1">IFERROR(__xludf.DUMMYFUNCTION("IMPORTXML(E1232,""/html/body/main/div[3]/div[3]/div[2]/ul/li[5]/span[2]/span"")"),"Loading...")</f>
        <v>Loading...</v>
      </c>
      <c r="J1232" s="7">
        <f ca="1">IFERROR(__xludf.DUMMYFUNCTION("GOOGLEFINANCE(""NSE:""&amp;D1232,""marketcap"")"),16128020000)</f>
        <v>16128020000</v>
      </c>
      <c r="K1232" s="7">
        <v>992.8</v>
      </c>
      <c r="L1232" s="8">
        <f ca="1">IFERROR(__xludf.DUMMYFUNCTION("GOOGLEFINANCE(""NSE:""&amp;D1232,""price"")"),10.39)</f>
        <v>10.39</v>
      </c>
      <c r="M1232" s="9">
        <f t="shared" ca="1" si="22"/>
        <v>-982.41</v>
      </c>
      <c r="N1232" s="10">
        <f t="shared" ca="1" si="23"/>
        <v>-98.953464947622876</v>
      </c>
      <c r="O1232" s="7">
        <f ca="1">IFERROR(__xludf.DUMMYFUNCTION("GOOGLEFINANCE(""NSE:""&amp;D1232,""pe"")"),74.21)</f>
        <v>74.209999999999994</v>
      </c>
      <c r="P1232" s="7">
        <f ca="1">IFERROR(__xludf.DUMMYFUNCTION("GOOGLEFINANCE(""NSE:""&amp;D1232,""EPS"")"),0.14)</f>
        <v>0.14000000000000001</v>
      </c>
      <c r="Q1232" s="7">
        <v>13.5</v>
      </c>
      <c r="R1232" s="7" t="str">
        <f ca="1">IFERROR(__xludf.DUMMYFUNCTION("IMPORTXML(E1232,""/html/body/main/div[3]/div[3]/div[2]/ul/li[7]/span[2]/span"")"),"Loading...")</f>
        <v>Loading...</v>
      </c>
      <c r="S1232" s="7" t="str">
        <f ca="1">IFERROR(__xludf.DUMMYFUNCTION("IMPORTXML(E1232,""/html/body/main/div[3]/div[3]/div[2]/ul/li[8]/span[2]/span"")"),"Loading...")</f>
        <v>Loading...</v>
      </c>
      <c r="T1232" s="4">
        <v>34.6</v>
      </c>
      <c r="U1232" s="4">
        <v>22.7</v>
      </c>
      <c r="V1232" s="4">
        <v>2.6</v>
      </c>
      <c r="W1232" s="4">
        <v>5.7</v>
      </c>
      <c r="X1232" s="4">
        <v>519.92999999999995</v>
      </c>
      <c r="Y1232" s="7">
        <f t="shared" ca="1" si="24"/>
        <v>-509.53999999999996</v>
      </c>
    </row>
    <row r="1233" spans="1:25" ht="15" x14ac:dyDescent="0.25">
      <c r="A1233" s="4">
        <v>256</v>
      </c>
      <c r="C1233" s="12" t="s">
        <v>3008</v>
      </c>
      <c r="D1233" s="12" t="s">
        <v>3009</v>
      </c>
      <c r="E1233" s="5" t="str">
        <f t="shared" si="20"/>
        <v>https://www.screener.in/company/MAPMYINDIA/consolidated/</v>
      </c>
      <c r="F1233" s="4">
        <v>443059</v>
      </c>
      <c r="G1233" s="4">
        <v>3832241897</v>
      </c>
      <c r="H1233" s="6">
        <f t="shared" ca="1" si="21"/>
        <v>631553.46462560003</v>
      </c>
      <c r="I1233" s="7" t="str">
        <f ca="1">IFERROR(__xludf.DUMMYFUNCTION("IMPORTXML(E1233,""/html/body/main/div[3]/div[3]/div[2]/ul/li[5]/span[2]/span"")"),"Loading...")</f>
        <v>Loading...</v>
      </c>
      <c r="J1233" s="7">
        <f ca="1">IFERROR(__xludf.DUMMYFUNCTION("GOOGLEFINANCE(""NSE:""&amp;D1233,""marketcap"")"),90049997930)</f>
        <v>90049997930</v>
      </c>
      <c r="K1233" s="7">
        <v>992.8</v>
      </c>
      <c r="L1233" s="8">
        <f ca="1">IFERROR(__xludf.DUMMYFUNCTION("GOOGLEFINANCE(""NSE:""&amp;D1233,""price"")"),1648)</f>
        <v>1648</v>
      </c>
      <c r="M1233" s="9">
        <f t="shared" ca="1" si="22"/>
        <v>655.20000000000005</v>
      </c>
      <c r="N1233" s="10">
        <f t="shared" ca="1" si="23"/>
        <v>65.995165189363419</v>
      </c>
      <c r="O1233" s="7">
        <f ca="1">IFERROR(__xludf.DUMMYFUNCTION("GOOGLEFINANCE(""NSE:""&amp;D1233,""pe"")"),57.56)</f>
        <v>57.56</v>
      </c>
      <c r="P1233" s="7">
        <f ca="1">IFERROR(__xludf.DUMMYFUNCTION("GOOGLEFINANCE(""NSE:""&amp;D1233,""EPS"")"),28.63)</f>
        <v>28.63</v>
      </c>
      <c r="Q1233" s="7">
        <v>13.5</v>
      </c>
      <c r="R1233" s="7" t="str">
        <f ca="1">IFERROR(__xludf.DUMMYFUNCTION("IMPORTXML(E1233,""/html/body/main/div[3]/div[3]/div[2]/ul/li[7]/span[2]/span"")"),"Loading...")</f>
        <v>Loading...</v>
      </c>
      <c r="S1233" s="7" t="str">
        <f ca="1">IFERROR(__xludf.DUMMYFUNCTION("IMPORTXML(E1233,""/html/body/main/div[3]/div[3]/div[2]/ul/li[8]/span[2]/span"")"),"Loading...")</f>
        <v>Loading...</v>
      </c>
      <c r="T1233" s="4">
        <v>34.6</v>
      </c>
      <c r="U1233" s="4">
        <v>22.7</v>
      </c>
      <c r="V1233" s="4">
        <v>2.6</v>
      </c>
      <c r="W1233" s="4">
        <v>5.7</v>
      </c>
      <c r="X1233" s="4">
        <v>519.92999999999995</v>
      </c>
      <c r="Y1233" s="7">
        <f t="shared" ca="1" si="24"/>
        <v>1128.0700000000002</v>
      </c>
    </row>
    <row r="1234" spans="1:25" ht="15" x14ac:dyDescent="0.25">
      <c r="A1234" s="4">
        <v>871</v>
      </c>
      <c r="C1234" s="12" t="s">
        <v>3010</v>
      </c>
      <c r="D1234" s="12" t="s">
        <v>3011</v>
      </c>
      <c r="E1234" s="5" t="str">
        <f t="shared" si="20"/>
        <v>https://www.screener.in/company/IGARASHI/consolidated/</v>
      </c>
      <c r="F1234" s="4">
        <v>443059</v>
      </c>
      <c r="G1234" s="4">
        <v>3832241897</v>
      </c>
      <c r="H1234" s="6">
        <f t="shared" ca="1" si="21"/>
        <v>188948.68673158501</v>
      </c>
      <c r="I1234" s="7" t="str">
        <f ca="1">IFERROR(__xludf.DUMMYFUNCTION("IMPORTXML(E1234,""/html/body/main/div[3]/div[3]/div[2]/ul/li[5]/span[2]/span"")"),"Loading...")</f>
        <v>Loading...</v>
      </c>
      <c r="J1234" s="7">
        <f ca="1">IFERROR(__xludf.DUMMYFUNCTION("GOOGLEFINANCE(""NSE:""&amp;D1234,""marketcap"")"),15673762375)</f>
        <v>15673762375</v>
      </c>
      <c r="K1234" s="7">
        <v>992.8</v>
      </c>
      <c r="L1234" s="8">
        <f ca="1">IFERROR(__xludf.DUMMYFUNCTION("GOOGLEFINANCE(""NSE:""&amp;D1234,""price"")"),493.05)</f>
        <v>493.05</v>
      </c>
      <c r="M1234" s="9">
        <f t="shared" ca="1" si="22"/>
        <v>-499.74999999999994</v>
      </c>
      <c r="N1234" s="10">
        <f t="shared" ca="1" si="23"/>
        <v>-50.337429492344874</v>
      </c>
      <c r="O1234" s="7">
        <f ca="1">IFERROR(__xludf.DUMMYFUNCTION("GOOGLEFINANCE(""NSE:""&amp;D1234,""pe"")"),83.7)</f>
        <v>83.7</v>
      </c>
      <c r="P1234" s="7">
        <f ca="1">IFERROR(__xludf.DUMMYFUNCTION("GOOGLEFINANCE(""NSE:""&amp;D1234,""EPS"")"),5.89)</f>
        <v>5.89</v>
      </c>
      <c r="Q1234" s="7">
        <v>13.5</v>
      </c>
      <c r="R1234" s="7" t="str">
        <f ca="1">IFERROR(__xludf.DUMMYFUNCTION("IMPORTXML(E1234,""/html/body/main/div[3]/div[3]/div[2]/ul/li[7]/span[2]/span"")"),"Loading...")</f>
        <v>Loading...</v>
      </c>
      <c r="S1234" s="7" t="str">
        <f ca="1">IFERROR(__xludf.DUMMYFUNCTION("IMPORTXML(E1234,""/html/body/main/div[3]/div[3]/div[2]/ul/li[8]/span[2]/span"")"),"#N/A")</f>
        <v>#N/A</v>
      </c>
      <c r="T1234" s="4">
        <v>34.6</v>
      </c>
      <c r="U1234" s="4">
        <v>22.7</v>
      </c>
      <c r="V1234" s="4">
        <v>2.6</v>
      </c>
      <c r="W1234" s="4">
        <v>5.7</v>
      </c>
      <c r="X1234" s="4">
        <v>519.92999999999995</v>
      </c>
      <c r="Y1234" s="7">
        <f t="shared" ca="1" si="24"/>
        <v>-26.879999999999939</v>
      </c>
    </row>
    <row r="1235" spans="1:25" ht="15" x14ac:dyDescent="0.25">
      <c r="A1235" s="4">
        <v>247</v>
      </c>
      <c r="C1235" s="12" t="s">
        <v>3012</v>
      </c>
      <c r="D1235" s="12" t="s">
        <v>3013</v>
      </c>
      <c r="E1235" s="5" t="str">
        <f t="shared" si="20"/>
        <v>https://www.screener.in/company/MAHSCOOTER/consolidated/</v>
      </c>
      <c r="F1235" s="4">
        <v>443059</v>
      </c>
      <c r="G1235" s="4">
        <v>3832241897</v>
      </c>
      <c r="H1235" s="6">
        <f t="shared" ca="1" si="21"/>
        <v>6379149.8617462004</v>
      </c>
      <c r="I1235" s="7" t="str">
        <f ca="1">IFERROR(__xludf.DUMMYFUNCTION("IMPORTXML(E1235,""/html/body/main/div[3]/div[3]/div[2]/ul/li[5]/span[2]/span"")"),"Loading...")</f>
        <v>Loading...</v>
      </c>
      <c r="J1235" s="7">
        <f ca="1">IFERROR(__xludf.DUMMYFUNCTION("GOOGLEFINANCE(""NSE:""&amp;D1235,""marketcap"")"),188845700000)</f>
        <v>188845700000</v>
      </c>
      <c r="K1235" s="7">
        <v>992.8</v>
      </c>
      <c r="L1235" s="8">
        <f ca="1">IFERROR(__xludf.DUMMYFUNCTION("GOOGLEFINANCE(""NSE:""&amp;D1235,""price"")"),16646)</f>
        <v>16646</v>
      </c>
      <c r="M1235" s="9">
        <f t="shared" ca="1" si="22"/>
        <v>15653.2</v>
      </c>
      <c r="N1235" s="10">
        <f t="shared" ca="1" si="23"/>
        <v>1576.6720386784853</v>
      </c>
      <c r="O1235" s="7">
        <f ca="1">IFERROR(__xludf.DUMMYFUNCTION("GOOGLEFINANCE(""NSE:""&amp;D1235,""pe"")"),78.79)</f>
        <v>78.790000000000006</v>
      </c>
      <c r="P1235" s="7">
        <f ca="1">IFERROR(__xludf.DUMMYFUNCTION("GOOGLEFINANCE(""NSE:""&amp;D1235,""EPS"")"),211.26)</f>
        <v>211.26</v>
      </c>
      <c r="Q1235" s="7">
        <v>13.5</v>
      </c>
      <c r="R1235" s="7" t="str">
        <f ca="1">IFERROR(__xludf.DUMMYFUNCTION("IMPORTXML(E1235,""/html/body/main/div[3]/div[3]/div[2]/ul/li[7]/span[2]/span"")"),"Loading...")</f>
        <v>Loading...</v>
      </c>
      <c r="S1235" s="7" t="str">
        <f ca="1">IFERROR(__xludf.DUMMYFUNCTION("IMPORTXML(E1235,""/html/body/main/div[3]/div[3]/div[2]/ul/li[8]/span[2]/span"")"),"Loading...")</f>
        <v>Loading...</v>
      </c>
      <c r="T1235" s="4">
        <v>34.6</v>
      </c>
      <c r="U1235" s="4">
        <v>22.7</v>
      </c>
      <c r="V1235" s="4">
        <v>2.6</v>
      </c>
      <c r="W1235" s="4">
        <v>5.7</v>
      </c>
      <c r="X1235" s="4">
        <v>519.92999999999995</v>
      </c>
      <c r="Y1235" s="7">
        <f t="shared" ca="1" si="24"/>
        <v>16126.07</v>
      </c>
    </row>
    <row r="1236" spans="1:25" ht="15" x14ac:dyDescent="0.25">
      <c r="A1236" s="4">
        <v>316</v>
      </c>
      <c r="C1236" s="12" t="s">
        <v>3014</v>
      </c>
      <c r="D1236" s="12" t="s">
        <v>3015</v>
      </c>
      <c r="E1236" s="5" t="str">
        <f t="shared" si="20"/>
        <v>https://www.screener.in/company/CHOICEIN/consolidated/</v>
      </c>
      <c r="F1236" s="4">
        <v>443059</v>
      </c>
      <c r="G1236" s="4">
        <v>3832241897</v>
      </c>
      <c r="H1236" s="6">
        <f t="shared" ca="1" si="21"/>
        <v>301980.66148359998</v>
      </c>
      <c r="I1236" s="7" t="str">
        <f ca="1">IFERROR(__xludf.DUMMYFUNCTION("IMPORTXML(E1236,""/html/body/main/div[3]/div[3]/div[2]/ul/li[5]/span[2]/span"")"),"Loading...")</f>
        <v>Loading...</v>
      </c>
      <c r="J1236" s="7">
        <f ca="1">IFERROR(__xludf.DUMMYFUNCTION("GOOGLEFINANCE(""NSE:""&amp;D1236,""marketcap"")"),162056455200)</f>
        <v>162056455200</v>
      </c>
      <c r="K1236" s="7">
        <v>992.8</v>
      </c>
      <c r="L1236" s="8">
        <f ca="1">IFERROR(__xludf.DUMMYFUNCTION("GOOGLEFINANCE(""NSE:""&amp;D1236,""price"")"),788)</f>
        <v>788</v>
      </c>
      <c r="M1236" s="9">
        <f t="shared" ca="1" si="22"/>
        <v>-204.79999999999995</v>
      </c>
      <c r="N1236" s="10">
        <f t="shared" ca="1" si="23"/>
        <v>-20.628525382755839</v>
      </c>
      <c r="O1236" s="7">
        <f ca="1">IFERROR(__xludf.DUMMYFUNCTION("GOOGLEFINANCE(""NSE:""&amp;D1236,""pe"")"),89.83)</f>
        <v>89.83</v>
      </c>
      <c r="P1236" s="7">
        <f ca="1">IFERROR(__xludf.DUMMYFUNCTION("GOOGLEFINANCE(""NSE:""&amp;D1236,""EPS"")"),8.77)</f>
        <v>8.77</v>
      </c>
      <c r="Q1236" s="7">
        <v>13.5</v>
      </c>
      <c r="R1236" s="7" t="str">
        <f ca="1">IFERROR(__xludf.DUMMYFUNCTION("IMPORTXML(E1236,""/html/body/main/div[3]/div[3]/div[2]/ul/li[7]/span[2]/span"")"),"Loading...")</f>
        <v>Loading...</v>
      </c>
      <c r="S1236" s="7" t="str">
        <f ca="1">IFERROR(__xludf.DUMMYFUNCTION("IMPORTXML(E1236,""/html/body/main/div[3]/div[3]/div[2]/ul/li[8]/span[2]/span"")"),"Loading...")</f>
        <v>Loading...</v>
      </c>
      <c r="T1236" s="4">
        <v>34.6</v>
      </c>
      <c r="U1236" s="4">
        <v>22.7</v>
      </c>
      <c r="V1236" s="4">
        <v>2.6</v>
      </c>
      <c r="W1236" s="4">
        <v>5.7</v>
      </c>
      <c r="X1236" s="4">
        <v>519.92999999999995</v>
      </c>
      <c r="Y1236" s="7">
        <f t="shared" ca="1" si="24"/>
        <v>268.07000000000005</v>
      </c>
    </row>
    <row r="1237" spans="1:25" ht="15" x14ac:dyDescent="0.25">
      <c r="A1237" s="4">
        <v>575</v>
      </c>
      <c r="C1237" s="12" t="s">
        <v>3016</v>
      </c>
      <c r="D1237" s="12" t="s">
        <v>3017</v>
      </c>
      <c r="E1237" s="5" t="str">
        <f t="shared" si="20"/>
        <v>https://www.screener.in/company/SAMHI/consolidated/</v>
      </c>
      <c r="F1237" s="4">
        <v>443059</v>
      </c>
      <c r="G1237" s="4">
        <v>3832241897</v>
      </c>
      <c r="H1237" s="6">
        <f t="shared" ca="1" si="21"/>
        <v>83159.649164899995</v>
      </c>
      <c r="I1237" s="7" t="str">
        <f ca="1">IFERROR(__xludf.DUMMYFUNCTION("IMPORTXML(E1237,""/html/body/main/div[3]/div[3]/div[2]/ul/li[5]/span[2]/span"")"),"Loading...")</f>
        <v>Loading...</v>
      </c>
      <c r="J1237" s="7">
        <f ca="1">IFERROR(__xludf.DUMMYFUNCTION("GOOGLEFINANCE(""NSE:""&amp;D1237,""marketcap"")"),47977441400)</f>
        <v>47977441400</v>
      </c>
      <c r="K1237" s="7">
        <v>992.8</v>
      </c>
      <c r="L1237" s="8">
        <f ca="1">IFERROR(__xludf.DUMMYFUNCTION("GOOGLEFINANCE(""NSE:""&amp;D1237,""price"")"),217)</f>
        <v>217</v>
      </c>
      <c r="M1237" s="9">
        <f t="shared" ca="1" si="22"/>
        <v>-775.8</v>
      </c>
      <c r="N1237" s="10">
        <f t="shared" ca="1" si="23"/>
        <v>-78.14262691377921</v>
      </c>
      <c r="O1237" s="7">
        <f ca="1">IFERROR(__xludf.DUMMYFUNCTION("GOOGLEFINANCE(""NSE:""&amp;D1237,""pe"")"),48.2)</f>
        <v>48.2</v>
      </c>
      <c r="P1237" s="7">
        <f ca="1">IFERROR(__xludf.DUMMYFUNCTION("GOOGLEFINANCE(""NSE:""&amp;D1237,""EPS"")"),4.5)</f>
        <v>4.5</v>
      </c>
      <c r="Q1237" s="7">
        <v>13.5</v>
      </c>
      <c r="R1237" s="7" t="str">
        <f ca="1">IFERROR(__xludf.DUMMYFUNCTION("IMPORTXML(E1237,""/html/body/main/div[3]/div[3]/div[2]/ul/li[7]/span[2]/span"")"),"Loading...")</f>
        <v>Loading...</v>
      </c>
      <c r="S1237" s="7" t="str">
        <f ca="1">IFERROR(__xludf.DUMMYFUNCTION("IMPORTXML(E1237,""/html/body/main/div[3]/div[3]/div[2]/ul/li[8]/span[2]/span"")"),"Loading...")</f>
        <v>Loading...</v>
      </c>
      <c r="T1237" s="4">
        <v>34.6</v>
      </c>
      <c r="U1237" s="4">
        <v>22.7</v>
      </c>
      <c r="V1237" s="4">
        <v>2.6</v>
      </c>
      <c r="W1237" s="4">
        <v>5.7</v>
      </c>
      <c r="X1237" s="4">
        <v>519.92999999999995</v>
      </c>
      <c r="Y1237" s="7">
        <f t="shared" ca="1" si="24"/>
        <v>-302.92999999999995</v>
      </c>
    </row>
    <row r="1238" spans="1:25" ht="15" x14ac:dyDescent="0.25">
      <c r="A1238" s="4">
        <v>271</v>
      </c>
      <c r="C1238" s="12" t="s">
        <v>3018</v>
      </c>
      <c r="D1238" s="12" t="s">
        <v>3019</v>
      </c>
      <c r="E1238" s="5" t="str">
        <f t="shared" si="20"/>
        <v>https://www.screener.in/company/BAJAJELEC/consolidated/</v>
      </c>
      <c r="F1238" s="4">
        <v>443059</v>
      </c>
      <c r="G1238" s="4">
        <v>3832241897</v>
      </c>
      <c r="H1238" s="6">
        <f t="shared" ca="1" si="21"/>
        <v>218437.78812899999</v>
      </c>
      <c r="I1238" s="7" t="str">
        <f ca="1">IFERROR(__xludf.DUMMYFUNCTION("IMPORTXML(E1238,""/html/body/main/div[3]/div[3]/div[2]/ul/li[5]/span[2]/span"")"),"Loading...")</f>
        <v>Loading...</v>
      </c>
      <c r="J1238" s="7">
        <f ca="1">IFERROR(__xludf.DUMMYFUNCTION("GOOGLEFINANCE(""NSE:""&amp;D1238,""marketcap"")"),65747847000)</f>
        <v>65747847000</v>
      </c>
      <c r="K1238" s="7">
        <v>992.8</v>
      </c>
      <c r="L1238" s="8">
        <f ca="1">IFERROR(__xludf.DUMMYFUNCTION("GOOGLEFINANCE(""NSE:""&amp;D1238,""price"")"),570)</f>
        <v>570</v>
      </c>
      <c r="M1238" s="9">
        <f t="shared" ca="1" si="22"/>
        <v>-422.79999999999995</v>
      </c>
      <c r="N1238" s="10">
        <f t="shared" ca="1" si="23"/>
        <v>-42.586623690572118</v>
      </c>
      <c r="O1238" s="7">
        <f ca="1">IFERROR(__xludf.DUMMYFUNCTION("GOOGLEFINANCE(""NSE:""&amp;D1238,""pe"")"),59.13)</f>
        <v>59.13</v>
      </c>
      <c r="P1238" s="7">
        <f ca="1">IFERROR(__xludf.DUMMYFUNCTION("GOOGLEFINANCE(""NSE:""&amp;D1238,""EPS"")"),9.64)</f>
        <v>9.64</v>
      </c>
      <c r="Q1238" s="7">
        <v>13.5</v>
      </c>
      <c r="R1238" s="7" t="str">
        <f ca="1">IFERROR(__xludf.DUMMYFUNCTION("IMPORTXML(E1238,""/html/body/main/div[3]/div[3]/div[2]/ul/li[7]/span[2]/span"")"),"Loading...")</f>
        <v>Loading...</v>
      </c>
      <c r="S1238" s="7" t="str">
        <f ca="1">IFERROR(__xludf.DUMMYFUNCTION("IMPORTXML(E1238,""/html/body/main/div[3]/div[3]/div[2]/ul/li[8]/span[2]/span"")"),"Loading...")</f>
        <v>Loading...</v>
      </c>
      <c r="T1238" s="4">
        <v>34.6</v>
      </c>
      <c r="U1238" s="4">
        <v>22.7</v>
      </c>
      <c r="V1238" s="4">
        <v>2.6</v>
      </c>
      <c r="W1238" s="4">
        <v>5.7</v>
      </c>
      <c r="X1238" s="4">
        <v>519.92999999999995</v>
      </c>
      <c r="Y1238" s="7">
        <f t="shared" ca="1" si="24"/>
        <v>50.07000000000005</v>
      </c>
    </row>
    <row r="1239" spans="1:25" ht="15" x14ac:dyDescent="0.25">
      <c r="A1239" s="4">
        <v>827</v>
      </c>
      <c r="C1239" s="12" t="s">
        <v>3020</v>
      </c>
      <c r="D1239" s="12" t="s">
        <v>3021</v>
      </c>
      <c r="E1239" s="5" t="str">
        <f t="shared" si="20"/>
        <v>https://www.screener.in/company/AXISCADES/consolidated/</v>
      </c>
      <c r="F1239" s="4">
        <v>443059</v>
      </c>
      <c r="G1239" s="4">
        <v>3832241897</v>
      </c>
      <c r="H1239" s="6">
        <f t="shared" ca="1" si="21"/>
        <v>553145.79541298002</v>
      </c>
      <c r="I1239" s="7" t="str">
        <f ca="1">IFERROR(__xludf.DUMMYFUNCTION("IMPORTXML(E1239,""/html/body/main/div[3]/div[3]/div[2]/ul/li[5]/span[2]/span"")"),"Loading...")</f>
        <v>Loading...</v>
      </c>
      <c r="J1239" s="7">
        <f ca="1">IFERROR(__xludf.DUMMYFUNCTION("GOOGLEFINANCE(""NSE:""&amp;D1239,""marketcap"")"),60926267446)</f>
        <v>60926267446</v>
      </c>
      <c r="K1239" s="7">
        <v>992.8</v>
      </c>
      <c r="L1239" s="8">
        <f ca="1">IFERROR(__xludf.DUMMYFUNCTION("GOOGLEFINANCE(""NSE:""&amp;D1239,""price"")"),1443.4)</f>
        <v>1443.4</v>
      </c>
      <c r="M1239" s="9">
        <f t="shared" ca="1" si="22"/>
        <v>450.60000000000014</v>
      </c>
      <c r="N1239" s="10">
        <f t="shared" ca="1" si="23"/>
        <v>45.386784850926688</v>
      </c>
      <c r="O1239" s="7">
        <f ca="1">IFERROR(__xludf.DUMMYFUNCTION("GOOGLEFINANCE(""NSE:""&amp;D1239,""pe"")"),78.83)</f>
        <v>78.83</v>
      </c>
      <c r="P1239" s="7">
        <f ca="1">IFERROR(__xludf.DUMMYFUNCTION("GOOGLEFINANCE(""NSE:""&amp;D1239,""EPS"")"),18.31)</f>
        <v>18.309999999999999</v>
      </c>
      <c r="Q1239" s="7">
        <v>13.5</v>
      </c>
      <c r="R1239" s="7" t="str">
        <f ca="1">IFERROR(__xludf.DUMMYFUNCTION("IMPORTXML(E1239,""/html/body/main/div[3]/div[3]/div[2]/ul/li[7]/span[2]/span"")"),"Loading...")</f>
        <v>Loading...</v>
      </c>
      <c r="S1239" s="7" t="str">
        <f ca="1">IFERROR(__xludf.DUMMYFUNCTION("IMPORTXML(E1239,""/html/body/main/div[3]/div[3]/div[2]/ul/li[8]/span[2]/span"")"),"Loading...")</f>
        <v>Loading...</v>
      </c>
      <c r="T1239" s="4">
        <v>34.6</v>
      </c>
      <c r="U1239" s="4">
        <v>22.7</v>
      </c>
      <c r="V1239" s="4">
        <v>2.6</v>
      </c>
      <c r="W1239" s="4">
        <v>5.7</v>
      </c>
      <c r="X1239" s="4">
        <v>519.92999999999995</v>
      </c>
      <c r="Y1239" s="7">
        <f t="shared" ca="1" si="24"/>
        <v>923.47000000000014</v>
      </c>
    </row>
    <row r="1240" spans="1:25" ht="15" x14ac:dyDescent="0.25">
      <c r="A1240" s="4">
        <v>83</v>
      </c>
      <c r="C1240" s="12" t="s">
        <v>3022</v>
      </c>
      <c r="D1240" s="12" t="s">
        <v>3023</v>
      </c>
      <c r="E1240" s="5" t="str">
        <f t="shared" si="20"/>
        <v>https://www.screener.in/company/JBMA/consolidated/</v>
      </c>
      <c r="F1240" s="4">
        <v>443059</v>
      </c>
      <c r="G1240" s="4">
        <v>3832241897</v>
      </c>
      <c r="H1240" s="6">
        <f t="shared" ca="1" si="21"/>
        <v>235261.33005682999</v>
      </c>
      <c r="I1240" s="7" t="str">
        <f ca="1">IFERROR(__xludf.DUMMYFUNCTION("IMPORTXML(E1240,""/html/body/main/div[3]/div[3]/div[2]/ul/li[5]/span[2]/span"")"),"Loading...")</f>
        <v>Loading...</v>
      </c>
      <c r="J1240" s="7">
        <f ca="1">IFERROR(__xludf.DUMMYFUNCTION("GOOGLEFINANCE(""NSE:""&amp;D1240,""marketcap"")"),145183856543)</f>
        <v>145183856543</v>
      </c>
      <c r="K1240" s="7">
        <v>992.8</v>
      </c>
      <c r="L1240" s="8">
        <f ca="1">IFERROR(__xludf.DUMMYFUNCTION("GOOGLEFINANCE(""NSE:""&amp;D1240,""price"")"),613.9)</f>
        <v>613.9</v>
      </c>
      <c r="M1240" s="9">
        <f t="shared" ca="1" si="22"/>
        <v>-378.9</v>
      </c>
      <c r="N1240" s="10">
        <f t="shared" ca="1" si="23"/>
        <v>-38.164786462530216</v>
      </c>
      <c r="O1240" s="7">
        <f ca="1">IFERROR(__xludf.DUMMYFUNCTION("GOOGLEFINANCE(""NSE:""&amp;D1240,""pe"")"),70.65)</f>
        <v>70.650000000000006</v>
      </c>
      <c r="P1240" s="7">
        <f ca="1">IFERROR(__xludf.DUMMYFUNCTION("GOOGLEFINANCE(""NSE:""&amp;D1240,""EPS"")"),8.69)</f>
        <v>8.69</v>
      </c>
      <c r="Q1240" s="7">
        <v>13.5</v>
      </c>
      <c r="R1240" s="7" t="str">
        <f ca="1">IFERROR(__xludf.DUMMYFUNCTION("IMPORTXML(E1240,""/html/body/main/div[3]/div[3]/div[2]/ul/li[7]/span[2]/span"")"),"Loading...")</f>
        <v>Loading...</v>
      </c>
      <c r="S1240" s="7" t="str">
        <f ca="1">IFERROR(__xludf.DUMMYFUNCTION("IMPORTXML(E1240,""/html/body/main/div[3]/div[3]/div[2]/ul/li[8]/span[2]/span"")"),"Loading...")</f>
        <v>Loading...</v>
      </c>
      <c r="T1240" s="4">
        <v>34.6</v>
      </c>
      <c r="U1240" s="4">
        <v>22.7</v>
      </c>
      <c r="V1240" s="4">
        <v>2.6</v>
      </c>
      <c r="W1240" s="4">
        <v>5.7</v>
      </c>
      <c r="X1240" s="4">
        <v>519.92999999999995</v>
      </c>
      <c r="Y1240" s="7">
        <f t="shared" ca="1" si="24"/>
        <v>93.970000000000027</v>
      </c>
    </row>
    <row r="1241" spans="1:25" ht="15" x14ac:dyDescent="0.25">
      <c r="A1241" s="4">
        <v>422</v>
      </c>
      <c r="C1241" s="12" t="s">
        <v>3024</v>
      </c>
      <c r="D1241" s="12" t="s">
        <v>3025</v>
      </c>
      <c r="E1241" s="5" t="str">
        <f t="shared" si="20"/>
        <v>https://www.screener.in/company/UNIMECH/consolidated/</v>
      </c>
      <c r="F1241" s="4">
        <v>443059</v>
      </c>
      <c r="G1241" s="4">
        <v>3832241897</v>
      </c>
      <c r="H1241" s="6">
        <f t="shared" ca="1" si="21"/>
        <v>393188.01863220002</v>
      </c>
      <c r="I1241" s="7" t="str">
        <f ca="1">IFERROR(__xludf.DUMMYFUNCTION("IMPORTXML(E1241,""/html/body/main/div[3]/div[3]/div[2]/ul/li[5]/span[2]/span"")"),"Loading...")</f>
        <v>Loading...</v>
      </c>
      <c r="J1241" s="7">
        <f ca="1">IFERROR(__xludf.DUMMYFUNCTION("GOOGLEFINANCE(""NSE:""&amp;D1241,""marketcap"")"),52179158880)</f>
        <v>52179158880</v>
      </c>
      <c r="K1241" s="7">
        <v>992.8</v>
      </c>
      <c r="L1241" s="8">
        <f ca="1">IFERROR(__xludf.DUMMYFUNCTION("GOOGLEFINANCE(""NSE:""&amp;D1241,""price"")"),1026)</f>
        <v>1026</v>
      </c>
      <c r="M1241" s="9">
        <f t="shared" ca="1" si="22"/>
        <v>33.200000000000045</v>
      </c>
      <c r="N1241" s="10">
        <f t="shared" ca="1" si="23"/>
        <v>3.3440773569701903</v>
      </c>
      <c r="O1241" s="7">
        <f ca="1">IFERROR(__xludf.DUMMYFUNCTION("GOOGLEFINANCE(""NSE:""&amp;D1241,""pe"")"),64.19)</f>
        <v>64.19</v>
      </c>
      <c r="P1241" s="7">
        <f ca="1">IFERROR(__xludf.DUMMYFUNCTION("GOOGLEFINANCE(""NSE:""&amp;D1241,""EPS"")"),15.98)</f>
        <v>15.98</v>
      </c>
      <c r="Q1241" s="7">
        <v>13.5</v>
      </c>
      <c r="R1241" s="7" t="str">
        <f ca="1">IFERROR(__xludf.DUMMYFUNCTION("IMPORTXML(E1241,""/html/body/main/div[3]/div[3]/div[2]/ul/li[7]/span[2]/span"")"),"Loading...")</f>
        <v>Loading...</v>
      </c>
      <c r="S1241" s="7" t="str">
        <f ca="1">IFERROR(__xludf.DUMMYFUNCTION("IMPORTXML(E1241,""/html/body/main/div[3]/div[3]/div[2]/ul/li[8]/span[2]/span"")"),"Loading...")</f>
        <v>Loading...</v>
      </c>
      <c r="T1241" s="4">
        <v>34.6</v>
      </c>
      <c r="U1241" s="4">
        <v>22.7</v>
      </c>
      <c r="V1241" s="4">
        <v>2.6</v>
      </c>
      <c r="W1241" s="4">
        <v>5.7</v>
      </c>
      <c r="X1241" s="4">
        <v>519.92999999999995</v>
      </c>
      <c r="Y1241" s="7">
        <f t="shared" ca="1" si="24"/>
        <v>506.07000000000005</v>
      </c>
    </row>
    <row r="1242" spans="1:25" ht="15" x14ac:dyDescent="0.25">
      <c r="A1242" s="4">
        <v>325</v>
      </c>
      <c r="C1242" s="12" t="s">
        <v>3026</v>
      </c>
      <c r="D1242" s="12" t="s">
        <v>3027</v>
      </c>
      <c r="E1242" s="5" t="str">
        <f t="shared" si="20"/>
        <v>https://www.screener.in/company/CAMPUS/consolidated/</v>
      </c>
      <c r="F1242" s="4">
        <v>443059</v>
      </c>
      <c r="G1242" s="4">
        <v>3832241897</v>
      </c>
      <c r="H1242" s="6">
        <f t="shared" ca="1" si="21"/>
        <v>104236.97959839999</v>
      </c>
      <c r="I1242" s="7" t="str">
        <f ca="1">IFERROR(__xludf.DUMMYFUNCTION("IMPORTXML(E1242,""/html/body/main/div[3]/div[3]/div[2]/ul/li[5]/span[2]/span"")"),"#N/A")</f>
        <v>#N/A</v>
      </c>
      <c r="J1242" s="7">
        <f ca="1">IFERROR(__xludf.DUMMYFUNCTION("GOOGLEFINANCE(""NSE:""&amp;D1242,""marketcap"")"),82889351392)</f>
        <v>82889351392</v>
      </c>
      <c r="K1242" s="7">
        <v>992.8</v>
      </c>
      <c r="L1242" s="8">
        <f ca="1">IFERROR(__xludf.DUMMYFUNCTION("GOOGLEFINANCE(""NSE:""&amp;D1242,""price"")"),272)</f>
        <v>272</v>
      </c>
      <c r="M1242" s="9">
        <f t="shared" ca="1" si="22"/>
        <v>-720.8</v>
      </c>
      <c r="N1242" s="10">
        <f t="shared" ca="1" si="23"/>
        <v>-72.602739726027394</v>
      </c>
      <c r="O1242" s="7">
        <f ca="1">IFERROR(__xludf.DUMMYFUNCTION("GOOGLEFINANCE(""NSE:""&amp;D1242,""pe"")"),70.51)</f>
        <v>70.510000000000005</v>
      </c>
      <c r="P1242" s="7">
        <f ca="1">IFERROR(__xludf.DUMMYFUNCTION("GOOGLEFINANCE(""NSE:""&amp;D1242,""EPS"")"),3.86)</f>
        <v>3.86</v>
      </c>
      <c r="Q1242" s="7">
        <v>13.5</v>
      </c>
      <c r="R1242" s="7" t="str">
        <f ca="1">IFERROR(__xludf.DUMMYFUNCTION("IMPORTXML(E1242,""/html/body/main/div[3]/div[3]/div[2]/ul/li[7]/span[2]/span"")"),"Loading...")</f>
        <v>Loading...</v>
      </c>
      <c r="S1242" s="7" t="str">
        <f ca="1">IFERROR(__xludf.DUMMYFUNCTION("IMPORTXML(E1242,""/html/body/main/div[3]/div[3]/div[2]/ul/li[8]/span[2]/span"")"),"Loading...")</f>
        <v>Loading...</v>
      </c>
      <c r="T1242" s="4">
        <v>34.6</v>
      </c>
      <c r="U1242" s="4">
        <v>22.7</v>
      </c>
      <c r="V1242" s="4">
        <v>2.6</v>
      </c>
      <c r="W1242" s="4">
        <v>5.7</v>
      </c>
      <c r="X1242" s="4">
        <v>519.92999999999995</v>
      </c>
      <c r="Y1242" s="7">
        <f t="shared" ca="1" si="24"/>
        <v>-247.92999999999995</v>
      </c>
    </row>
    <row r="1243" spans="1:25" ht="15" x14ac:dyDescent="0.25">
      <c r="A1243" s="4">
        <v>389</v>
      </c>
      <c r="C1243" s="12" t="s">
        <v>3028</v>
      </c>
      <c r="D1243" s="12" t="s">
        <v>3029</v>
      </c>
      <c r="E1243" s="5" t="str">
        <f t="shared" si="20"/>
        <v>https://www.screener.in/company/ETHOSLTD/consolidated/</v>
      </c>
      <c r="F1243" s="4">
        <v>443059</v>
      </c>
      <c r="G1243" s="4">
        <v>3832241897</v>
      </c>
      <c r="H1243" s="6">
        <f t="shared" ca="1" si="21"/>
        <v>942348.28247229999</v>
      </c>
      <c r="I1243" s="7" t="str">
        <f ca="1">IFERROR(__xludf.DUMMYFUNCTION("IMPORTXML(E1243,""/html/body/main/div[3]/div[3]/div[2]/ul/li[5]/span[2]/span"")"),"Loading...")</f>
        <v>Loading...</v>
      </c>
      <c r="J1243" s="7">
        <f ca="1">IFERROR(__xludf.DUMMYFUNCTION("GOOGLEFINANCE(""NSE:""&amp;D1243,""marketcap"")"),65767730000)</f>
        <v>65767730000</v>
      </c>
      <c r="K1243" s="7">
        <v>992.8</v>
      </c>
      <c r="L1243" s="8">
        <f ca="1">IFERROR(__xludf.DUMMYFUNCTION("GOOGLEFINANCE(""NSE:""&amp;D1243,""price"")"),2459)</f>
        <v>2459</v>
      </c>
      <c r="M1243" s="9">
        <f t="shared" ca="1" si="22"/>
        <v>1466.2</v>
      </c>
      <c r="N1243" s="10">
        <f t="shared" ca="1" si="23"/>
        <v>147.68331990330378</v>
      </c>
      <c r="O1243" s="7">
        <f ca="1">IFERROR(__xludf.DUMMYFUNCTION("GOOGLEFINANCE(""NSE:""&amp;D1243,""pe"")"),64.72)</f>
        <v>64.72</v>
      </c>
      <c r="P1243" s="7">
        <f ca="1">IFERROR(__xludf.DUMMYFUNCTION("GOOGLEFINANCE(""NSE:""&amp;D1243,""EPS"")"),37.99)</f>
        <v>37.99</v>
      </c>
      <c r="Q1243" s="7">
        <v>13.5</v>
      </c>
      <c r="R1243" s="7" t="str">
        <f ca="1">IFERROR(__xludf.DUMMYFUNCTION("IMPORTXML(E1243,""/html/body/main/div[3]/div[3]/div[2]/ul/li[7]/span[2]/span"")"),"Loading...")</f>
        <v>Loading...</v>
      </c>
      <c r="S1243" s="7" t="str">
        <f ca="1">IFERROR(__xludf.DUMMYFUNCTION("IMPORTXML(E1243,""/html/body/main/div[3]/div[3]/div[2]/ul/li[8]/span[2]/span"")"),"Loading...")</f>
        <v>Loading...</v>
      </c>
      <c r="T1243" s="4">
        <v>34.6</v>
      </c>
      <c r="U1243" s="4">
        <v>22.7</v>
      </c>
      <c r="V1243" s="4">
        <v>2.6</v>
      </c>
      <c r="W1243" s="4">
        <v>5.7</v>
      </c>
      <c r="X1243" s="4">
        <v>519.92999999999995</v>
      </c>
      <c r="Y1243" s="7">
        <f t="shared" ca="1" si="24"/>
        <v>1939.0700000000002</v>
      </c>
    </row>
    <row r="1244" spans="1:25" ht="15" x14ac:dyDescent="0.25">
      <c r="A1244" s="4">
        <v>53</v>
      </c>
      <c r="C1244" s="12" t="s">
        <v>3030</v>
      </c>
      <c r="D1244" s="12" t="s">
        <v>3031</v>
      </c>
      <c r="E1244" s="5" t="str">
        <f t="shared" si="20"/>
        <v>https://www.screener.in/company/HATSUN/consolidated/</v>
      </c>
      <c r="F1244" s="4">
        <v>443059</v>
      </c>
      <c r="G1244" s="4">
        <v>3832241897</v>
      </c>
      <c r="H1244" s="6">
        <f t="shared" ca="1" si="21"/>
        <v>347622.66247687</v>
      </c>
      <c r="I1244" s="7" t="str">
        <f ca="1">IFERROR(__xludf.DUMMYFUNCTION("IMPORTXML(E1244,""/html/body/main/div[3]/div[3]/div[2]/ul/li[5]/span[2]/span"")"),"Loading...")</f>
        <v>Loading...</v>
      </c>
      <c r="J1244" s="7">
        <f ca="1">IFERROR(__xludf.DUMMYFUNCTION("GOOGLEFINANCE(""NSE:""&amp;D1244,""marketcap"")"),203611999480)</f>
        <v>203611999480</v>
      </c>
      <c r="K1244" s="7">
        <v>992.8</v>
      </c>
      <c r="L1244" s="8">
        <f ca="1">IFERROR(__xludf.DUMMYFUNCTION("GOOGLEFINANCE(""NSE:""&amp;D1244,""price"")"),907.1)</f>
        <v>907.1</v>
      </c>
      <c r="M1244" s="9">
        <f t="shared" ca="1" si="22"/>
        <v>-85.699999999999932</v>
      </c>
      <c r="N1244" s="10">
        <f t="shared" ca="1" si="23"/>
        <v>-8.632151490733273</v>
      </c>
      <c r="O1244" s="7">
        <f ca="1">IFERROR(__xludf.DUMMYFUNCTION("GOOGLEFINANCE(""NSE:""&amp;D1244,""pe"")"),71.23)</f>
        <v>71.23</v>
      </c>
      <c r="P1244" s="7">
        <f ca="1">IFERROR(__xludf.DUMMYFUNCTION("GOOGLEFINANCE(""NSE:""&amp;D1244,""EPS"")"),12.73)</f>
        <v>12.73</v>
      </c>
      <c r="Q1244" s="7">
        <v>13.5</v>
      </c>
      <c r="R1244" s="7" t="str">
        <f ca="1">IFERROR(__xludf.DUMMYFUNCTION("IMPORTXML(E1244,""/html/body/main/div[3]/div[3]/div[2]/ul/li[7]/span[2]/span"")"),"Loading...")</f>
        <v>Loading...</v>
      </c>
      <c r="S1244" s="7">
        <f ca="1">IFERROR(__xludf.DUMMYFUNCTION("IMPORTXML(E1244,""/html/body/main/div[3]/div[3]/div[2]/ul/li[8]/span[2]/span"")"),16.7)</f>
        <v>16.7</v>
      </c>
      <c r="T1244" s="4">
        <v>34.6</v>
      </c>
      <c r="U1244" s="4">
        <v>22.7</v>
      </c>
      <c r="V1244" s="4">
        <v>2.6</v>
      </c>
      <c r="W1244" s="4">
        <v>5.7</v>
      </c>
      <c r="X1244" s="4">
        <v>519.92999999999995</v>
      </c>
      <c r="Y1244" s="7">
        <f t="shared" ca="1" si="24"/>
        <v>387.17000000000007</v>
      </c>
    </row>
    <row r="1245" spans="1:25" ht="15" x14ac:dyDescent="0.25">
      <c r="A1245" s="4">
        <v>474</v>
      </c>
      <c r="C1245" s="12" t="s">
        <v>3032</v>
      </c>
      <c r="D1245" s="12" t="s">
        <v>3033</v>
      </c>
      <c r="E1245" s="5" t="str">
        <f t="shared" si="20"/>
        <v>https://www.screener.in/company/ITDC/consolidated/</v>
      </c>
      <c r="F1245" s="4">
        <v>443059</v>
      </c>
      <c r="G1245" s="4">
        <v>3832241897</v>
      </c>
      <c r="H1245" s="6">
        <f t="shared" ca="1" si="21"/>
        <v>210083.50079354001</v>
      </c>
      <c r="I1245" s="7" t="str">
        <f ca="1">IFERROR(__xludf.DUMMYFUNCTION("IMPORTXML(E1245,""/html/body/main/div[3]/div[3]/div[2]/ul/li[5]/span[2]/span"")"),"Loading...")</f>
        <v>Loading...</v>
      </c>
      <c r="J1245" s="7">
        <f ca="1">IFERROR(__xludf.DUMMYFUNCTION("GOOGLEFINANCE(""NSE:""&amp;D1245,""marketcap"")"),47100270000)</f>
        <v>47100270000</v>
      </c>
      <c r="K1245" s="7">
        <v>992.8</v>
      </c>
      <c r="L1245" s="8">
        <f ca="1">IFERROR(__xludf.DUMMYFUNCTION("GOOGLEFINANCE(""NSE:""&amp;D1245,""price"")"),548.2)</f>
        <v>548.20000000000005</v>
      </c>
      <c r="M1245" s="9">
        <f t="shared" ca="1" si="22"/>
        <v>-444.59999999999991</v>
      </c>
      <c r="N1245" s="10">
        <f t="shared" ca="1" si="23"/>
        <v>-44.782433521353738</v>
      </c>
      <c r="O1245" s="7">
        <f ca="1">IFERROR(__xludf.DUMMYFUNCTION("GOOGLEFINANCE(""NSE:""&amp;D1245,""pe"")"),59.28)</f>
        <v>59.28</v>
      </c>
      <c r="P1245" s="7">
        <f ca="1">IFERROR(__xludf.DUMMYFUNCTION("GOOGLEFINANCE(""NSE:""&amp;D1245,""EPS"")"),9.25)</f>
        <v>9.25</v>
      </c>
      <c r="Q1245" s="7">
        <v>13.5</v>
      </c>
      <c r="R1245" s="7" t="str">
        <f ca="1">IFERROR(__xludf.DUMMYFUNCTION("IMPORTXML(E1245,""/html/body/main/div[3]/div[3]/div[2]/ul/li[7]/span[2]/span"")"),"Loading...")</f>
        <v>Loading...</v>
      </c>
      <c r="S1245" s="7" t="str">
        <f ca="1">IFERROR(__xludf.DUMMYFUNCTION("IMPORTXML(E1245,""/html/body/main/div[3]/div[3]/div[2]/ul/li[8]/span[2]/span"")"),"Loading...")</f>
        <v>Loading...</v>
      </c>
      <c r="T1245" s="4">
        <v>34.6</v>
      </c>
      <c r="U1245" s="4">
        <v>22.7</v>
      </c>
      <c r="V1245" s="4">
        <v>2.6</v>
      </c>
      <c r="W1245" s="4">
        <v>5.7</v>
      </c>
      <c r="X1245" s="4">
        <v>519.92999999999995</v>
      </c>
      <c r="Y1245" s="7">
        <f t="shared" ca="1" si="24"/>
        <v>28.270000000000095</v>
      </c>
    </row>
    <row r="1246" spans="1:25" ht="15" x14ac:dyDescent="0.25">
      <c r="A1246" s="4">
        <v>241</v>
      </c>
      <c r="C1246" s="12" t="s">
        <v>3034</v>
      </c>
      <c r="D1246" s="12" t="s">
        <v>3035</v>
      </c>
      <c r="E1246" s="5" t="str">
        <f t="shared" si="20"/>
        <v>https://www.screener.in/company/SAFARI/consolidated/</v>
      </c>
      <c r="F1246" s="4">
        <v>443059</v>
      </c>
      <c r="G1246" s="4">
        <v>3832241897</v>
      </c>
      <c r="H1246" s="6">
        <f t="shared" ca="1" si="21"/>
        <v>835428.73354599997</v>
      </c>
      <c r="I1246" s="7" t="str">
        <f ca="1">IFERROR(__xludf.DUMMYFUNCTION("IMPORTXML(E1246,""/html/body/main/div[3]/div[3]/div[2]/ul/li[5]/span[2]/span"")"),"Loading...")</f>
        <v>Loading...</v>
      </c>
      <c r="J1246" s="7">
        <f ca="1">IFERROR(__xludf.DUMMYFUNCTION("GOOGLEFINANCE(""NSE:""&amp;D1246,""marketcap"")"),106771800200)</f>
        <v>106771800200</v>
      </c>
      <c r="K1246" s="7">
        <v>992.8</v>
      </c>
      <c r="L1246" s="8">
        <f ca="1">IFERROR(__xludf.DUMMYFUNCTION("GOOGLEFINANCE(""NSE:""&amp;D1246,""price"")"),2180)</f>
        <v>2180</v>
      </c>
      <c r="M1246" s="9">
        <f t="shared" ca="1" si="22"/>
        <v>1187.2</v>
      </c>
      <c r="N1246" s="10">
        <f t="shared" ca="1" si="23"/>
        <v>119.58098307816279</v>
      </c>
      <c r="O1246" s="7">
        <f ca="1">IFERROR(__xludf.DUMMYFUNCTION("GOOGLEFINANCE(""NSE:""&amp;D1246,""pe"")"),71.7)</f>
        <v>71.7</v>
      </c>
      <c r="P1246" s="7">
        <f ca="1">IFERROR(__xludf.DUMMYFUNCTION("GOOGLEFINANCE(""NSE:""&amp;D1246,""EPS"")"),30.41)</f>
        <v>30.41</v>
      </c>
      <c r="Q1246" s="7">
        <v>13.5</v>
      </c>
      <c r="R1246" s="7" t="str">
        <f ca="1">IFERROR(__xludf.DUMMYFUNCTION("IMPORTXML(E1246,""/html/body/main/div[3]/div[3]/div[2]/ul/li[7]/span[2]/span"")"),"Loading...")</f>
        <v>Loading...</v>
      </c>
      <c r="S1246" s="7" t="str">
        <f ca="1">IFERROR(__xludf.DUMMYFUNCTION("IMPORTXML(E1246,""/html/body/main/div[3]/div[3]/div[2]/ul/li[8]/span[2]/span"")"),"Loading...")</f>
        <v>Loading...</v>
      </c>
      <c r="T1246" s="4">
        <v>34.6</v>
      </c>
      <c r="U1246" s="4">
        <v>22.7</v>
      </c>
      <c r="V1246" s="4">
        <v>2.6</v>
      </c>
      <c r="W1246" s="4">
        <v>5.7</v>
      </c>
      <c r="X1246" s="4">
        <v>519.92999999999995</v>
      </c>
      <c r="Y1246" s="7">
        <f t="shared" ca="1" si="24"/>
        <v>1660.0700000000002</v>
      </c>
    </row>
    <row r="1247" spans="1:25" ht="15" x14ac:dyDescent="0.25">
      <c r="A1247" s="4">
        <v>725</v>
      </c>
      <c r="C1247" s="12" t="s">
        <v>3036</v>
      </c>
      <c r="D1247" s="12" t="s">
        <v>3037</v>
      </c>
      <c r="E1247" s="5" t="str">
        <f t="shared" si="20"/>
        <v>https://www.screener.in/company/RPEL/consolidated/</v>
      </c>
      <c r="F1247" s="4">
        <v>443059</v>
      </c>
      <c r="G1247" s="4">
        <v>3832241897</v>
      </c>
      <c r="H1247" s="6">
        <f t="shared" ca="1" si="21"/>
        <v>253771.05841934003</v>
      </c>
      <c r="I1247" s="7" t="str">
        <f ca="1">IFERROR(__xludf.DUMMYFUNCTION("IMPORTXML(E1247,""/html/body/main/div[3]/div[3]/div[2]/ul/li[5]/span[2]/span"")"),"Loading...")</f>
        <v>Loading...</v>
      </c>
      <c r="J1247" s="7">
        <f ca="1">IFERROR(__xludf.DUMMYFUNCTION("GOOGLEFINANCE(""NSE:""&amp;D1247,""marketcap"")"),30402893850)</f>
        <v>30402893850</v>
      </c>
      <c r="K1247" s="7">
        <v>992.8</v>
      </c>
      <c r="L1247" s="8">
        <f ca="1">IFERROR(__xludf.DUMMYFUNCTION("GOOGLEFINANCE(""NSE:""&amp;D1247,""price"")"),662.2)</f>
        <v>662.2</v>
      </c>
      <c r="M1247" s="9">
        <f t="shared" ca="1" si="22"/>
        <v>-330.59999999999991</v>
      </c>
      <c r="N1247" s="10">
        <f t="shared" ca="1" si="23"/>
        <v>-33.299758259468163</v>
      </c>
      <c r="O1247" s="7">
        <f ca="1">IFERROR(__xludf.DUMMYFUNCTION("GOOGLEFINANCE(""NSE:""&amp;D1247,""pe"")"),75.34)</f>
        <v>75.34</v>
      </c>
      <c r="P1247" s="7">
        <f ca="1">IFERROR(__xludf.DUMMYFUNCTION("GOOGLEFINANCE(""NSE:""&amp;D1247,""EPS"")"),8.79)</f>
        <v>8.7899999999999991</v>
      </c>
      <c r="Q1247" s="7">
        <v>13.5</v>
      </c>
      <c r="R1247" s="7" t="str">
        <f ca="1">IFERROR(__xludf.DUMMYFUNCTION("IMPORTXML(E1247,""/html/body/main/div[3]/div[3]/div[2]/ul/li[7]/span[2]/span"")"),"Loading...")</f>
        <v>Loading...</v>
      </c>
      <c r="S1247" s="7" t="str">
        <f ca="1">IFERROR(__xludf.DUMMYFUNCTION("IMPORTXML(E1247,""/html/body/main/div[3]/div[3]/div[2]/ul/li[8]/span[2]/span"")"),"Loading...")</f>
        <v>Loading...</v>
      </c>
      <c r="T1247" s="4">
        <v>34.6</v>
      </c>
      <c r="U1247" s="4">
        <v>22.7</v>
      </c>
      <c r="V1247" s="4">
        <v>2.6</v>
      </c>
      <c r="W1247" s="4">
        <v>5.7</v>
      </c>
      <c r="X1247" s="4">
        <v>519.92999999999995</v>
      </c>
      <c r="Y1247" s="7">
        <f t="shared" ca="1" si="24"/>
        <v>142.2700000000001</v>
      </c>
    </row>
    <row r="1248" spans="1:25" ht="15" x14ac:dyDescent="0.25">
      <c r="A1248" s="4">
        <v>720</v>
      </c>
      <c r="C1248" s="12" t="s">
        <v>3038</v>
      </c>
      <c r="D1248" s="12" t="s">
        <v>3039</v>
      </c>
      <c r="E1248" s="5" t="str">
        <f t="shared" si="20"/>
        <v>https://www.screener.in/company/ORIENTHOT/consolidated/</v>
      </c>
      <c r="F1248" s="4">
        <v>443059</v>
      </c>
      <c r="G1248" s="4">
        <v>3832241897</v>
      </c>
      <c r="H1248" s="6">
        <f t="shared" ca="1" si="21"/>
        <v>53651.386557999998</v>
      </c>
      <c r="I1248" s="7" t="str">
        <f ca="1">IFERROR(__xludf.DUMMYFUNCTION("IMPORTXML(E1248,""/html/body/main/div[3]/div[3]/div[2]/ul/li[5]/span[2]/span"")"),"Loading...")</f>
        <v>Loading...</v>
      </c>
      <c r="J1248" s="7">
        <f ca="1">IFERROR(__xludf.DUMMYFUNCTION("GOOGLEFINANCE(""NSE:""&amp;D1248,""marketcap"")"),25003874000)</f>
        <v>25003874000</v>
      </c>
      <c r="K1248" s="7">
        <v>992.8</v>
      </c>
      <c r="L1248" s="8">
        <f ca="1">IFERROR(__xludf.DUMMYFUNCTION("GOOGLEFINANCE(""NSE:""&amp;D1248,""price"")"),140)</f>
        <v>140</v>
      </c>
      <c r="M1248" s="9">
        <f t="shared" ca="1" si="22"/>
        <v>-852.8</v>
      </c>
      <c r="N1248" s="10">
        <f t="shared" ca="1" si="23"/>
        <v>-85.898468976631747</v>
      </c>
      <c r="O1248" s="7">
        <f ca="1">IFERROR(__xludf.DUMMYFUNCTION("GOOGLEFINANCE(""NSE:""&amp;D1248,""pe"")"),53.18)</f>
        <v>53.18</v>
      </c>
      <c r="P1248" s="7">
        <f ca="1">IFERROR(__xludf.DUMMYFUNCTION("GOOGLEFINANCE(""NSE:""&amp;D1248,""EPS"")"),2.63)</f>
        <v>2.63</v>
      </c>
      <c r="Q1248" s="7">
        <v>13.5</v>
      </c>
      <c r="R1248" s="7" t="str">
        <f ca="1">IFERROR(__xludf.DUMMYFUNCTION("IMPORTXML(E1248,""/html/body/main/div[3]/div[3]/div[2]/ul/li[7]/span[2]/span"")"),"Loading...")</f>
        <v>Loading...</v>
      </c>
      <c r="S1248" s="7" t="str">
        <f ca="1">IFERROR(__xludf.DUMMYFUNCTION("IMPORTXML(E1248,""/html/body/main/div[3]/div[3]/div[2]/ul/li[8]/span[2]/span"")"),"Loading...")</f>
        <v>Loading...</v>
      </c>
      <c r="T1248" s="4">
        <v>34.6</v>
      </c>
      <c r="U1248" s="4">
        <v>22.7</v>
      </c>
      <c r="V1248" s="4">
        <v>2.6</v>
      </c>
      <c r="W1248" s="4">
        <v>5.7</v>
      </c>
      <c r="X1248" s="4">
        <v>519.92999999999995</v>
      </c>
      <c r="Y1248" s="7">
        <f t="shared" ca="1" si="24"/>
        <v>-379.92999999999995</v>
      </c>
    </row>
    <row r="1249" spans="1:25" ht="15" x14ac:dyDescent="0.25">
      <c r="A1249" s="4">
        <v>1758</v>
      </c>
      <c r="C1249" s="12" t="s">
        <v>3040</v>
      </c>
      <c r="D1249" s="12" t="s">
        <v>3041</v>
      </c>
      <c r="E1249" s="5" t="str">
        <f t="shared" si="20"/>
        <v>https://www.screener.in/company/WELINV/consolidated/</v>
      </c>
      <c r="F1249" s="4">
        <v>443059</v>
      </c>
      <c r="G1249" s="4">
        <v>3832241897</v>
      </c>
      <c r="H1249" s="6">
        <f t="shared" ca="1" si="21"/>
        <v>402385.39918499999</v>
      </c>
      <c r="I1249" s="7" t="str">
        <f ca="1">IFERROR(__xludf.DUMMYFUNCTION("IMPORTXML(E1249,""/html/body/main/div[3]/div[3]/div[2]/ul/li[5]/span[2]/span"")"),"Loading...")</f>
        <v>Loading...</v>
      </c>
      <c r="J1249" s="7">
        <f ca="1">IFERROR(__xludf.DUMMYFUNCTION("GOOGLEFINANCE(""NSE:""&amp;D1249,""marketcap"")"),3837200000)</f>
        <v>3837200000</v>
      </c>
      <c r="K1249" s="7">
        <v>992.8</v>
      </c>
      <c r="L1249" s="8">
        <f ca="1">IFERROR(__xludf.DUMMYFUNCTION("GOOGLEFINANCE(""NSE:""&amp;D1249,""price"")"),1050)</f>
        <v>1050</v>
      </c>
      <c r="M1249" s="9">
        <f t="shared" ca="1" si="22"/>
        <v>57.200000000000045</v>
      </c>
      <c r="N1249" s="10">
        <f t="shared" ca="1" si="23"/>
        <v>5.7614826752618908</v>
      </c>
      <c r="O1249" s="7">
        <f ca="1">IFERROR(__xludf.DUMMYFUNCTION("GOOGLEFINANCE(""NSE:""&amp;D1249,""pe"")"),110.27)</f>
        <v>110.27</v>
      </c>
      <c r="P1249" s="7">
        <f ca="1">IFERROR(__xludf.DUMMYFUNCTION("GOOGLEFINANCE(""NSE:""&amp;D1249,""EPS"")"),9.52)</f>
        <v>9.52</v>
      </c>
      <c r="Q1249" s="7">
        <v>13.5</v>
      </c>
      <c r="R1249" s="7" t="str">
        <f ca="1">IFERROR(__xludf.DUMMYFUNCTION("IMPORTXML(E1249,""/html/body/main/div[3]/div[3]/div[2]/ul/li[7]/span[2]/span"")"),"Loading...")</f>
        <v>Loading...</v>
      </c>
      <c r="S1249" s="7" t="str">
        <f ca="1">IFERROR(__xludf.DUMMYFUNCTION("IMPORTXML(E1249,""/html/body/main/div[3]/div[3]/div[2]/ul/li[8]/span[2]/span"")"),"Loading...")</f>
        <v>Loading...</v>
      </c>
      <c r="T1249" s="4">
        <v>34.6</v>
      </c>
      <c r="U1249" s="4">
        <v>22.7</v>
      </c>
      <c r="V1249" s="4">
        <v>2.6</v>
      </c>
      <c r="W1249" s="4">
        <v>5.7</v>
      </c>
      <c r="X1249" s="4">
        <v>519.92999999999995</v>
      </c>
      <c r="Y1249" s="7">
        <f t="shared" ca="1" si="24"/>
        <v>530.07000000000005</v>
      </c>
    </row>
    <row r="1250" spans="1:25" ht="15" x14ac:dyDescent="0.25">
      <c r="A1250" s="4">
        <v>936</v>
      </c>
      <c r="C1250" s="12" t="s">
        <v>3042</v>
      </c>
      <c r="D1250" s="12" t="s">
        <v>3043</v>
      </c>
      <c r="E1250" s="5" t="str">
        <f t="shared" si="20"/>
        <v>https://www.screener.in/company/MUFIN/consolidated/</v>
      </c>
      <c r="F1250" s="4">
        <v>443059</v>
      </c>
      <c r="G1250" s="4">
        <v>3832241897</v>
      </c>
      <c r="H1250" s="6">
        <f t="shared" ca="1" si="21"/>
        <v>32282.805740327996</v>
      </c>
      <c r="I1250" s="7" t="str">
        <f ca="1">IFERROR(__xludf.DUMMYFUNCTION("IMPORTXML(E1250,""/html/body/main/div[3]/div[3]/div[2]/ul/li[5]/span[2]/span"")"),"Loading...")</f>
        <v>Loading...</v>
      </c>
      <c r="J1250" s="7">
        <f ca="1">IFERROR(__xludf.DUMMYFUNCTION("GOOGLEFINANCE(""NSE:""&amp;D1250,""marketcap"")"),14594299200)</f>
        <v>14594299200</v>
      </c>
      <c r="K1250" s="7">
        <v>992.8</v>
      </c>
      <c r="L1250" s="8">
        <f ca="1">IFERROR(__xludf.DUMMYFUNCTION("GOOGLEFINANCE(""NSE:""&amp;D1250,""price"")"),84.24)</f>
        <v>84.24</v>
      </c>
      <c r="M1250" s="9">
        <f t="shared" ca="1" si="22"/>
        <v>-908.56</v>
      </c>
      <c r="N1250" s="10">
        <f t="shared" ca="1" si="23"/>
        <v>-91.514907332796142</v>
      </c>
      <c r="O1250" s="7">
        <f ca="1">IFERROR(__xludf.DUMMYFUNCTION("GOOGLEFINANCE(""NSE:""&amp;D1250,""pe"")"),78)</f>
        <v>78</v>
      </c>
      <c r="P1250" s="7">
        <f ca="1">IFERROR(__xludf.DUMMYFUNCTION("GOOGLEFINANCE(""NSE:""&amp;D1250,""EPS"")"),1.08)</f>
        <v>1.08</v>
      </c>
      <c r="Q1250" s="7">
        <v>13.5</v>
      </c>
      <c r="R1250" s="7" t="str">
        <f ca="1">IFERROR(__xludf.DUMMYFUNCTION("IMPORTXML(E1250,""/html/body/main/div[3]/div[3]/div[2]/ul/li[7]/span[2]/span"")"),"Loading...")</f>
        <v>Loading...</v>
      </c>
      <c r="S1250" s="7" t="str">
        <f ca="1">IFERROR(__xludf.DUMMYFUNCTION("IMPORTXML(E1250,""/html/body/main/div[3]/div[3]/div[2]/ul/li[8]/span[2]/span"")"),"Loading...")</f>
        <v>Loading...</v>
      </c>
      <c r="T1250" s="4">
        <v>34.6</v>
      </c>
      <c r="U1250" s="4">
        <v>22.7</v>
      </c>
      <c r="V1250" s="4">
        <v>2.6</v>
      </c>
      <c r="W1250" s="4">
        <v>5.7</v>
      </c>
      <c r="X1250" s="4">
        <v>519.92999999999995</v>
      </c>
      <c r="Y1250" s="7">
        <f t="shared" ca="1" si="24"/>
        <v>-435.68999999999994</v>
      </c>
    </row>
    <row r="1251" spans="1:25" ht="15" x14ac:dyDescent="0.25">
      <c r="A1251" s="4">
        <v>107</v>
      </c>
      <c r="C1251" s="12" t="s">
        <v>3044</v>
      </c>
      <c r="D1251" s="12" t="s">
        <v>3045</v>
      </c>
      <c r="E1251" s="5" t="str">
        <f t="shared" si="20"/>
        <v>https://www.screener.in/company/SCHNEIDER/consolidated/</v>
      </c>
      <c r="F1251" s="4">
        <v>443059</v>
      </c>
      <c r="G1251" s="4">
        <v>3832241897</v>
      </c>
      <c r="H1251" s="6">
        <f t="shared" ca="1" si="21"/>
        <v>339939.01747338497</v>
      </c>
      <c r="I1251" s="7" t="str">
        <f ca="1">IFERROR(__xludf.DUMMYFUNCTION("IMPORTXML(E1251,""/html/body/main/div[3]/div[3]/div[2]/ul/li[5]/span[2]/span"")"),"Loading...")</f>
        <v>Loading...</v>
      </c>
      <c r="J1251" s="7">
        <f ca="1">IFERROR(__xludf.DUMMYFUNCTION("GOOGLEFINANCE(""NSE:""&amp;D1251,""marketcap"")"),212097200281)</f>
        <v>212097200281</v>
      </c>
      <c r="K1251" s="7">
        <v>992.8</v>
      </c>
      <c r="L1251" s="8">
        <f ca="1">IFERROR(__xludf.DUMMYFUNCTION("GOOGLEFINANCE(""NSE:""&amp;D1251,""price"")"),887.05)</f>
        <v>887.05</v>
      </c>
      <c r="M1251" s="9">
        <f t="shared" ca="1" si="22"/>
        <v>-105.75</v>
      </c>
      <c r="N1251" s="10">
        <f t="shared" ca="1" si="23"/>
        <v>-10.651692183722805</v>
      </c>
      <c r="O1251" s="7">
        <f ca="1">IFERROR(__xludf.DUMMYFUNCTION("GOOGLEFINANCE(""NSE:""&amp;D1251,""pe"")"),81.43)</f>
        <v>81.430000000000007</v>
      </c>
      <c r="P1251" s="7">
        <f ca="1">IFERROR(__xludf.DUMMYFUNCTION("GOOGLEFINANCE(""NSE:""&amp;D1251,""EPS"")"),10.89)</f>
        <v>10.89</v>
      </c>
      <c r="Q1251" s="7">
        <v>13.5</v>
      </c>
      <c r="R1251" s="7" t="str">
        <f ca="1">IFERROR(__xludf.DUMMYFUNCTION("IMPORTXML(E1251,""/html/body/main/div[3]/div[3]/div[2]/ul/li[7]/span[2]/span"")"),"Loading...")</f>
        <v>Loading...</v>
      </c>
      <c r="S1251" s="7" t="str">
        <f ca="1">IFERROR(__xludf.DUMMYFUNCTION("IMPORTXML(E1251,""/html/body/main/div[3]/div[3]/div[2]/ul/li[8]/span[2]/span"")"),"Loading...")</f>
        <v>Loading...</v>
      </c>
      <c r="T1251" s="4">
        <v>34.6</v>
      </c>
      <c r="U1251" s="4">
        <v>22.7</v>
      </c>
      <c r="V1251" s="4">
        <v>2.6</v>
      </c>
      <c r="W1251" s="4">
        <v>5.7</v>
      </c>
      <c r="X1251" s="4">
        <v>519.92999999999995</v>
      </c>
      <c r="Y1251" s="7">
        <f t="shared" ca="1" si="24"/>
        <v>367.12</v>
      </c>
    </row>
    <row r="1252" spans="1:25" ht="15" x14ac:dyDescent="0.25">
      <c r="A1252" s="4">
        <v>264</v>
      </c>
      <c r="C1252" s="12" t="s">
        <v>3046</v>
      </c>
      <c r="D1252" s="12" t="s">
        <v>3047</v>
      </c>
      <c r="E1252" s="5" t="str">
        <f t="shared" si="20"/>
        <v>https://www.screener.in/company/EUREKAFORB/consolidated/</v>
      </c>
      <c r="F1252" s="4">
        <v>443059</v>
      </c>
      <c r="G1252" s="4">
        <v>3832241897</v>
      </c>
      <c r="H1252" s="6">
        <f t="shared" ca="1" si="21"/>
        <v>232233.8589582</v>
      </c>
      <c r="I1252" s="7" t="str">
        <f ca="1">IFERROR(__xludf.DUMMYFUNCTION("IMPORTXML(E1252,""/html/body/main/div[3]/div[3]/div[2]/ul/li[5]/span[2]/span"")"),"Loading...")</f>
        <v>Loading...</v>
      </c>
      <c r="J1252" s="7">
        <f ca="1">IFERROR(__xludf.DUMMYFUNCTION("GOOGLEFINANCE(""NSE:""&amp;D1252,""marketcap"")"),117793980800)</f>
        <v>117793980800</v>
      </c>
      <c r="K1252" s="7">
        <v>992.8</v>
      </c>
      <c r="L1252" s="8">
        <f ca="1">IFERROR(__xludf.DUMMYFUNCTION("GOOGLEFINANCE(""NSE:""&amp;D1252,""price"")"),606)</f>
        <v>606</v>
      </c>
      <c r="M1252" s="9">
        <f t="shared" ca="1" si="22"/>
        <v>-386.79999999999995</v>
      </c>
      <c r="N1252" s="10">
        <f t="shared" ca="1" si="23"/>
        <v>-38.960515713134562</v>
      </c>
      <c r="O1252" s="7">
        <f ca="1">IFERROR(__xludf.DUMMYFUNCTION("GOOGLEFINANCE(""NSE:""&amp;D1252,""pe"")"),69.06)</f>
        <v>69.06</v>
      </c>
      <c r="P1252" s="7">
        <f ca="1">IFERROR(__xludf.DUMMYFUNCTION("GOOGLEFINANCE(""NSE:""&amp;D1252,""EPS"")"),8.77)</f>
        <v>8.77</v>
      </c>
      <c r="Q1252" s="7">
        <v>13.5</v>
      </c>
      <c r="R1252" s="7" t="str">
        <f ca="1">IFERROR(__xludf.DUMMYFUNCTION("IMPORTXML(E1252,""/html/body/main/div[3]/div[3]/div[2]/ul/li[7]/span[2]/span"")"),"Loading...")</f>
        <v>Loading...</v>
      </c>
      <c r="S1252" s="7" t="str">
        <f ca="1">IFERROR(__xludf.DUMMYFUNCTION("IMPORTXML(E1252,""/html/body/main/div[3]/div[3]/div[2]/ul/li[8]/span[2]/span"")"),"Loading...")</f>
        <v>Loading...</v>
      </c>
      <c r="T1252" s="4">
        <v>34.6</v>
      </c>
      <c r="U1252" s="4">
        <v>22.7</v>
      </c>
      <c r="V1252" s="4">
        <v>2.6</v>
      </c>
      <c r="W1252" s="4">
        <v>5.7</v>
      </c>
      <c r="X1252" s="4">
        <v>519.92999999999995</v>
      </c>
      <c r="Y1252" s="7">
        <f t="shared" ca="1" si="24"/>
        <v>86.07000000000005</v>
      </c>
    </row>
    <row r="1253" spans="1:25" ht="15" x14ac:dyDescent="0.25">
      <c r="A1253" s="4">
        <v>2877</v>
      </c>
      <c r="C1253" s="12" t="s">
        <v>3048</v>
      </c>
      <c r="D1253" s="12" t="s">
        <v>3049</v>
      </c>
      <c r="E1253" s="5" t="str">
        <f t="shared" si="20"/>
        <v>https://www.screener.in/company/ICDSLTD/consolidated/</v>
      </c>
      <c r="F1253" s="4">
        <v>443059</v>
      </c>
      <c r="G1253" s="4">
        <v>3832241897</v>
      </c>
      <c r="H1253" s="6">
        <f t="shared" ca="1" si="21"/>
        <v>18486.734911127998</v>
      </c>
      <c r="I1253" s="7" t="str">
        <f ca="1">IFERROR(__xludf.DUMMYFUNCTION("IMPORTXML(E1253,""/html/body/main/div[3]/div[3]/div[2]/ul/li[5]/span[2]/span"")"),"Loading...")</f>
        <v>Loading...</v>
      </c>
      <c r="J1253" s="7">
        <f ca="1">IFERROR(__xludf.DUMMYFUNCTION("GOOGLEFINANCE(""NSE:""&amp;D1253,""marketcap"")"),628408000)</f>
        <v>628408000</v>
      </c>
      <c r="K1253" s="7">
        <v>992.8</v>
      </c>
      <c r="L1253" s="8">
        <f ca="1">IFERROR(__xludf.DUMMYFUNCTION("GOOGLEFINANCE(""NSE:""&amp;D1253,""price"")"),48.24)</f>
        <v>48.24</v>
      </c>
      <c r="M1253" s="9">
        <f t="shared" ca="1" si="22"/>
        <v>-944.56</v>
      </c>
      <c r="N1253" s="10">
        <f t="shared" ca="1" si="23"/>
        <v>-95.141015310233684</v>
      </c>
      <c r="O1253" s="7">
        <f ca="1">IFERROR(__xludf.DUMMYFUNCTION("GOOGLEFINANCE(""NSE:""&amp;D1253,""pe"")"),30.04)</f>
        <v>30.04</v>
      </c>
      <c r="P1253" s="7">
        <f ca="1">IFERROR(__xludf.DUMMYFUNCTION("GOOGLEFINANCE(""NSE:""&amp;D1253,""EPS"")"),1.61)</f>
        <v>1.61</v>
      </c>
      <c r="Q1253" s="7">
        <v>13.5</v>
      </c>
      <c r="R1253" s="7" t="str">
        <f ca="1">IFERROR(__xludf.DUMMYFUNCTION("IMPORTXML(E1253,""/html/body/main/div[3]/div[3]/div[2]/ul/li[7]/span[2]/span"")"),"Loading...")</f>
        <v>Loading...</v>
      </c>
      <c r="S1253" s="7" t="str">
        <f ca="1">IFERROR(__xludf.DUMMYFUNCTION("IMPORTXML(E1253,""/html/body/main/div[3]/div[3]/div[2]/ul/li[8]/span[2]/span"")"),"Loading...")</f>
        <v>Loading...</v>
      </c>
      <c r="T1253" s="4">
        <v>34.6</v>
      </c>
      <c r="U1253" s="4">
        <v>22.7</v>
      </c>
      <c r="V1253" s="4">
        <v>2.6</v>
      </c>
      <c r="W1253" s="4">
        <v>5.7</v>
      </c>
      <c r="X1253" s="4">
        <v>519.92999999999995</v>
      </c>
      <c r="Y1253" s="7">
        <f t="shared" ca="1" si="24"/>
        <v>-471.68999999999994</v>
      </c>
    </row>
    <row r="1254" spans="1:25" ht="15" x14ac:dyDescent="0.25">
      <c r="A1254" s="4">
        <v>339</v>
      </c>
      <c r="C1254" s="12" t="s">
        <v>3050</v>
      </c>
      <c r="D1254" s="12" t="s">
        <v>3051</v>
      </c>
      <c r="E1254" s="5" t="str">
        <f t="shared" si="20"/>
        <v>https://www.screener.in/company/VARROC/consolidated/</v>
      </c>
      <c r="F1254" s="4">
        <v>443059</v>
      </c>
      <c r="G1254" s="4">
        <v>3832241897</v>
      </c>
      <c r="H1254" s="6">
        <f t="shared" ca="1" si="21"/>
        <v>231850.63476849999</v>
      </c>
      <c r="I1254" s="7" t="str">
        <f ca="1">IFERROR(__xludf.DUMMYFUNCTION("IMPORTXML(E1254,""/html/body/main/div[3]/div[3]/div[2]/ul/li[5]/span[2]/span"")"),"Loading...")</f>
        <v>Loading...</v>
      </c>
      <c r="J1254" s="7">
        <f ca="1">IFERROR(__xludf.DUMMYFUNCTION("GOOGLEFINANCE(""NSE:""&amp;D1254,""marketcap"")"),91679324279)</f>
        <v>91679324279</v>
      </c>
      <c r="K1254" s="7">
        <v>992.8</v>
      </c>
      <c r="L1254" s="8">
        <f ca="1">IFERROR(__xludf.DUMMYFUNCTION("GOOGLEFINANCE(""NSE:""&amp;D1254,""price"")"),605)</f>
        <v>605</v>
      </c>
      <c r="M1254" s="9">
        <f t="shared" ca="1" si="22"/>
        <v>-387.79999999999995</v>
      </c>
      <c r="N1254" s="10">
        <f t="shared" ca="1" si="23"/>
        <v>-39.061240934730051</v>
      </c>
      <c r="O1254" s="7">
        <f ca="1">IFERROR(__xludf.DUMMYFUNCTION("GOOGLEFINANCE(""NSE:""&amp;D1254,""pe"")"),69)</f>
        <v>69</v>
      </c>
      <c r="P1254" s="7">
        <f ca="1">IFERROR(__xludf.DUMMYFUNCTION("GOOGLEFINANCE(""NSE:""&amp;D1254,""EPS"")"),8.77)</f>
        <v>8.77</v>
      </c>
      <c r="Q1254" s="7">
        <v>13.5</v>
      </c>
      <c r="R1254" s="7" t="str">
        <f ca="1">IFERROR(__xludf.DUMMYFUNCTION("IMPORTXML(E1254,""/html/body/main/div[3]/div[3]/div[2]/ul/li[7]/span[2]/span"")"),"Loading...")</f>
        <v>Loading...</v>
      </c>
      <c r="S1254" s="7" t="str">
        <f ca="1">IFERROR(__xludf.DUMMYFUNCTION("IMPORTXML(E1254,""/html/body/main/div[3]/div[3]/div[2]/ul/li[8]/span[2]/span"")"),"Loading...")</f>
        <v>Loading...</v>
      </c>
      <c r="T1254" s="4">
        <v>34.6</v>
      </c>
      <c r="U1254" s="4">
        <v>22.7</v>
      </c>
      <c r="V1254" s="4">
        <v>2.6</v>
      </c>
      <c r="W1254" s="4">
        <v>5.7</v>
      </c>
      <c r="X1254" s="4">
        <v>519.92999999999995</v>
      </c>
      <c r="Y1254" s="7">
        <f t="shared" ca="1" si="24"/>
        <v>85.07000000000005</v>
      </c>
    </row>
    <row r="1255" spans="1:25" ht="15" x14ac:dyDescent="0.25">
      <c r="A1255" s="4">
        <v>1778</v>
      </c>
      <c r="C1255" s="12" t="s">
        <v>3052</v>
      </c>
      <c r="D1255" s="12" t="s">
        <v>3053</v>
      </c>
      <c r="E1255" s="5" t="str">
        <f t="shared" si="20"/>
        <v>https://www.screener.in/company/PILITA/consolidated/</v>
      </c>
      <c r="F1255" s="4">
        <v>443059</v>
      </c>
      <c r="G1255" s="4">
        <v>3832241897</v>
      </c>
      <c r="H1255" s="6">
        <f t="shared" ca="1" si="21"/>
        <v>5319.1517530359997</v>
      </c>
      <c r="I1255" s="7" t="str">
        <f ca="1">IFERROR(__xludf.DUMMYFUNCTION("IMPORTXML(E1255,""/html/body/main/div[3]/div[3]/div[2]/ul/li[5]/span[2]/span"")"),"Loading...")</f>
        <v>Loading...</v>
      </c>
      <c r="J1255" s="7">
        <f ca="1">IFERROR(__xludf.DUMMYFUNCTION("GOOGLEFINANCE(""NSE:""&amp;D1255,""marketcap"")"),3207750000)</f>
        <v>3207750000</v>
      </c>
      <c r="K1255" s="7">
        <v>992.8</v>
      </c>
      <c r="L1255" s="8">
        <f ca="1">IFERROR(__xludf.DUMMYFUNCTION("GOOGLEFINANCE(""NSE:""&amp;D1255,""price"")"),13.88)</f>
        <v>13.88</v>
      </c>
      <c r="M1255" s="9">
        <f t="shared" ca="1" si="22"/>
        <v>-978.92</v>
      </c>
      <c r="N1255" s="10">
        <f t="shared" ca="1" si="23"/>
        <v>-98.601933924254638</v>
      </c>
      <c r="O1255" s="7">
        <f ca="1">IFERROR(__xludf.DUMMYFUNCTION("GOOGLEFINANCE(""NSE:""&amp;D1255,""pe"")"),62.03)</f>
        <v>62.03</v>
      </c>
      <c r="P1255" s="7">
        <f ca="1">IFERROR(__xludf.DUMMYFUNCTION("GOOGLEFINANCE(""NSE:""&amp;D1255,""EPS"")"),0.22)</f>
        <v>0.22</v>
      </c>
      <c r="Q1255" s="7">
        <v>13.5</v>
      </c>
      <c r="R1255" s="7" t="str">
        <f ca="1">IFERROR(__xludf.DUMMYFUNCTION("IMPORTXML(E1255,""/html/body/main/div[3]/div[3]/div[2]/ul/li[7]/span[2]/span"")"),"Loading...")</f>
        <v>Loading...</v>
      </c>
      <c r="S1255" s="7" t="str">
        <f ca="1">IFERROR(__xludf.DUMMYFUNCTION("IMPORTXML(E1255,""/html/body/main/div[3]/div[3]/div[2]/ul/li[8]/span[2]/span"")"),"Loading...")</f>
        <v>Loading...</v>
      </c>
      <c r="T1255" s="4">
        <v>34.6</v>
      </c>
      <c r="U1255" s="4">
        <v>22.7</v>
      </c>
      <c r="V1255" s="4">
        <v>2.6</v>
      </c>
      <c r="W1255" s="4">
        <v>5.7</v>
      </c>
      <c r="X1255" s="4">
        <v>519.92999999999995</v>
      </c>
      <c r="Y1255" s="7">
        <f t="shared" ca="1" si="24"/>
        <v>-506.04999999999995</v>
      </c>
    </row>
    <row r="1256" spans="1:25" ht="15" x14ac:dyDescent="0.25">
      <c r="A1256" s="4">
        <v>61</v>
      </c>
      <c r="C1256" s="12" t="s">
        <v>3054</v>
      </c>
      <c r="D1256" s="12" t="s">
        <v>3055</v>
      </c>
      <c r="E1256" s="5" t="str">
        <f t="shared" si="20"/>
        <v>https://www.screener.in/company/POLYMED/consolidated/</v>
      </c>
      <c r="F1256" s="4">
        <v>443059</v>
      </c>
      <c r="G1256" s="4">
        <v>3832241897</v>
      </c>
      <c r="H1256" s="6">
        <f t="shared" ca="1" si="21"/>
        <v>781892.31424490991</v>
      </c>
      <c r="I1256" s="7" t="str">
        <f ca="1">IFERROR(__xludf.DUMMYFUNCTION("IMPORTXML(E1256,""/html/body/main/div[3]/div[3]/div[2]/ul/li[5]/span[2]/span"")"),"Loading...")</f>
        <v>Loading...</v>
      </c>
      <c r="J1256" s="7">
        <f ca="1">IFERROR(__xludf.DUMMYFUNCTION("GOOGLEFINANCE(""NSE:""&amp;D1256,""marketcap"")"),206734830657)</f>
        <v>206734830657</v>
      </c>
      <c r="K1256" s="7">
        <v>992.8</v>
      </c>
      <c r="L1256" s="8">
        <f ca="1">IFERROR(__xludf.DUMMYFUNCTION("GOOGLEFINANCE(""NSE:""&amp;D1256,""price"")"),2040.3)</f>
        <v>2040.3</v>
      </c>
      <c r="M1256" s="9">
        <f t="shared" ca="1" si="22"/>
        <v>1047.5</v>
      </c>
      <c r="N1256" s="10">
        <f t="shared" ca="1" si="23"/>
        <v>105.50966962127318</v>
      </c>
      <c r="O1256" s="7">
        <f ca="1">IFERROR(__xludf.DUMMYFUNCTION("GOOGLEFINANCE(""NSE:""&amp;D1256,""pe"")"),56.81)</f>
        <v>56.81</v>
      </c>
      <c r="P1256" s="7">
        <f ca="1">IFERROR(__xludf.DUMMYFUNCTION("GOOGLEFINANCE(""NSE:""&amp;D1256,""EPS"")"),35.91)</f>
        <v>35.909999999999997</v>
      </c>
      <c r="Q1256" s="7">
        <v>13.5</v>
      </c>
      <c r="R1256" s="7" t="str">
        <f ca="1">IFERROR(__xludf.DUMMYFUNCTION("IMPORTXML(E1256,""/html/body/main/div[3]/div[3]/div[2]/ul/li[7]/span[2]/span"")"),"Loading...")</f>
        <v>Loading...</v>
      </c>
      <c r="S1256" s="7" t="str">
        <f ca="1">IFERROR(__xludf.DUMMYFUNCTION("IMPORTXML(E1256,""/html/body/main/div[3]/div[3]/div[2]/ul/li[8]/span[2]/span"")"),"Loading...")</f>
        <v>Loading...</v>
      </c>
      <c r="T1256" s="4">
        <v>34.6</v>
      </c>
      <c r="U1256" s="4">
        <v>22.7</v>
      </c>
      <c r="V1256" s="4">
        <v>2.6</v>
      </c>
      <c r="W1256" s="4">
        <v>5.7</v>
      </c>
      <c r="X1256" s="4">
        <v>519.92999999999995</v>
      </c>
      <c r="Y1256" s="7">
        <f t="shared" ca="1" si="24"/>
        <v>1520.37</v>
      </c>
    </row>
    <row r="1257" spans="1:25" ht="15" x14ac:dyDescent="0.25">
      <c r="A1257" s="4">
        <v>554</v>
      </c>
      <c r="C1257" s="12" t="s">
        <v>3056</v>
      </c>
      <c r="D1257" s="12" t="s">
        <v>3057</v>
      </c>
      <c r="E1257" s="5" t="str">
        <f t="shared" si="20"/>
        <v>https://www.screener.in/company/PARAS/consolidated/</v>
      </c>
      <c r="F1257" s="4">
        <v>443059</v>
      </c>
      <c r="G1257" s="4">
        <v>3832241897</v>
      </c>
      <c r="H1257" s="6">
        <f t="shared" ca="1" si="21"/>
        <v>253464.47906757999</v>
      </c>
      <c r="I1257" s="7" t="str">
        <f ca="1">IFERROR(__xludf.DUMMYFUNCTION("IMPORTXML(E1257,""/html/body/main/div[3]/div[3]/div[2]/ul/li[5]/span[2]/span"")"),"Loading...")</f>
        <v>Loading...</v>
      </c>
      <c r="J1257" s="7">
        <f ca="1">IFERROR(__xludf.DUMMYFUNCTION("GOOGLEFINANCE(""NSE:""&amp;D1257,""marketcap"")"),53409304760)</f>
        <v>53409304760</v>
      </c>
      <c r="K1257" s="7">
        <v>992.8</v>
      </c>
      <c r="L1257" s="8">
        <f ca="1">IFERROR(__xludf.DUMMYFUNCTION("GOOGLEFINANCE(""NSE:""&amp;D1257,""price"")"),661.4)</f>
        <v>661.4</v>
      </c>
      <c r="M1257" s="9">
        <f t="shared" ca="1" si="22"/>
        <v>-331.4</v>
      </c>
      <c r="N1257" s="10">
        <f t="shared" ca="1" si="23"/>
        <v>-33.380338436744559</v>
      </c>
      <c r="O1257" s="7">
        <f ca="1">IFERROR(__xludf.DUMMYFUNCTION("GOOGLEFINANCE(""NSE:""&amp;D1257,""pe"")"),83.3)</f>
        <v>83.3</v>
      </c>
      <c r="P1257" s="7">
        <f ca="1">IFERROR(__xludf.DUMMYFUNCTION("GOOGLEFINANCE(""NSE:""&amp;D1257,""EPS"")"),7.94)</f>
        <v>7.94</v>
      </c>
      <c r="Q1257" s="7">
        <v>13.5</v>
      </c>
      <c r="R1257" s="7" t="str">
        <f ca="1">IFERROR(__xludf.DUMMYFUNCTION("IMPORTXML(E1257,""/html/body/main/div[3]/div[3]/div[2]/ul/li[7]/span[2]/span"")"),"Loading...")</f>
        <v>Loading...</v>
      </c>
      <c r="S1257" s="7" t="str">
        <f ca="1">IFERROR(__xludf.DUMMYFUNCTION("IMPORTXML(E1257,""/html/body/main/div[3]/div[3]/div[2]/ul/li[8]/span[2]/span"")"),"Loading...")</f>
        <v>Loading...</v>
      </c>
      <c r="T1257" s="4">
        <v>34.6</v>
      </c>
      <c r="U1257" s="4">
        <v>22.7</v>
      </c>
      <c r="V1257" s="4">
        <v>2.6</v>
      </c>
      <c r="W1257" s="4">
        <v>5.7</v>
      </c>
      <c r="X1257" s="4">
        <v>519.92999999999995</v>
      </c>
      <c r="Y1257" s="7">
        <f t="shared" ca="1" si="24"/>
        <v>141.47000000000003</v>
      </c>
    </row>
    <row r="1258" spans="1:25" ht="15" x14ac:dyDescent="0.25">
      <c r="A1258" s="4">
        <v>2197</v>
      </c>
      <c r="C1258" s="12" t="s">
        <v>3058</v>
      </c>
      <c r="D1258" s="12" t="s">
        <v>3059</v>
      </c>
      <c r="E1258" s="5" t="str">
        <f t="shared" si="20"/>
        <v>https://www.screener.in/company/SURYALAXMI/consolidated/</v>
      </c>
      <c r="F1258" s="4">
        <v>443059</v>
      </c>
      <c r="G1258" s="4">
        <v>3832241897</v>
      </c>
      <c r="H1258" s="6">
        <f t="shared" ca="1" si="21"/>
        <v>24526.348140800001</v>
      </c>
      <c r="I1258" s="7" t="str">
        <f ca="1">IFERROR(__xludf.DUMMYFUNCTION("IMPORTXML(E1258,""/html/body/main/div[3]/div[3]/div[2]/ul/li[5]/span[2]/span"")"),"Loading...")</f>
        <v>Loading...</v>
      </c>
      <c r="J1258" s="7">
        <f ca="1">IFERROR(__xludf.DUMMYFUNCTION("GOOGLEFINANCE(""NSE:""&amp;D1258,""marketcap"")"),1204103000)</f>
        <v>1204103000</v>
      </c>
      <c r="K1258" s="7">
        <v>992.8</v>
      </c>
      <c r="L1258" s="8">
        <f ca="1">IFERROR(__xludf.DUMMYFUNCTION("GOOGLEFINANCE(""NSE:""&amp;D1258,""price"")"),64)</f>
        <v>64</v>
      </c>
      <c r="M1258" s="9">
        <f t="shared" ca="1" si="22"/>
        <v>-928.8</v>
      </c>
      <c r="N1258" s="10">
        <f t="shared" ca="1" si="23"/>
        <v>-93.553585817888802</v>
      </c>
      <c r="O1258" s="7">
        <f ca="1">IFERROR(__xludf.DUMMYFUNCTION("GOOGLEFINANCE(""NSE:""&amp;D1258,""pe"")"),25.77)</f>
        <v>25.77</v>
      </c>
      <c r="P1258" s="7">
        <f ca="1">IFERROR(__xludf.DUMMYFUNCTION("GOOGLEFINANCE(""NSE:""&amp;D1258,""EPS"")"),2.48)</f>
        <v>2.48</v>
      </c>
      <c r="Q1258" s="7">
        <v>13.5</v>
      </c>
      <c r="R1258" s="7" t="str">
        <f ca="1">IFERROR(__xludf.DUMMYFUNCTION("IMPORTXML(E1258,""/html/body/main/div[3]/div[3]/div[2]/ul/li[7]/span[2]/span"")"),"Loading...")</f>
        <v>Loading...</v>
      </c>
      <c r="S1258" s="7" t="str">
        <f ca="1">IFERROR(__xludf.DUMMYFUNCTION("IMPORTXML(E1258,""/html/body/main/div[3]/div[3]/div[2]/ul/li[8]/span[2]/span"")"),"Loading...")</f>
        <v>Loading...</v>
      </c>
      <c r="T1258" s="4">
        <v>34.6</v>
      </c>
      <c r="U1258" s="4">
        <v>22.7</v>
      </c>
      <c r="V1258" s="4">
        <v>2.6</v>
      </c>
      <c r="W1258" s="4">
        <v>5.7</v>
      </c>
      <c r="X1258" s="4">
        <v>519.92999999999995</v>
      </c>
      <c r="Y1258" s="7">
        <f t="shared" ca="1" si="24"/>
        <v>-455.92999999999995</v>
      </c>
    </row>
    <row r="1259" spans="1:25" ht="15" x14ac:dyDescent="0.25">
      <c r="A1259" s="4">
        <v>499</v>
      </c>
      <c r="C1259" s="12" t="s">
        <v>3060</v>
      </c>
      <c r="D1259" s="12" t="s">
        <v>3061</v>
      </c>
      <c r="E1259" s="5" t="str">
        <f t="shared" si="20"/>
        <v>https://www.screener.in/company/MANORAMA/consolidated/</v>
      </c>
      <c r="F1259" s="4">
        <v>443059</v>
      </c>
      <c r="G1259" s="4">
        <v>3832241897</v>
      </c>
      <c r="H1259" s="6">
        <f t="shared" ca="1" si="21"/>
        <v>514401.82983430999</v>
      </c>
      <c r="I1259" s="7" t="str">
        <f ca="1">IFERROR(__xludf.DUMMYFUNCTION("IMPORTXML(E1259,""/html/body/main/div[3]/div[3]/div[2]/ul/li[5]/span[2]/span"")"),"Loading...")</f>
        <v>Loading...</v>
      </c>
      <c r="J1259" s="7">
        <f ca="1">IFERROR(__xludf.DUMMYFUNCTION("GOOGLEFINANCE(""NSE:""&amp;D1259,""marketcap"")"),79981794903)</f>
        <v>79981794903</v>
      </c>
      <c r="K1259" s="7">
        <v>992.8</v>
      </c>
      <c r="L1259" s="8">
        <f ca="1">IFERROR(__xludf.DUMMYFUNCTION("GOOGLEFINANCE(""NSE:""&amp;D1259,""price"")"),1342.3)</f>
        <v>1342.3</v>
      </c>
      <c r="M1259" s="9">
        <f t="shared" ca="1" si="22"/>
        <v>349.5</v>
      </c>
      <c r="N1259" s="10">
        <f t="shared" ca="1" si="23"/>
        <v>35.203464947622884</v>
      </c>
      <c r="O1259" s="7">
        <f ca="1">IFERROR(__xludf.DUMMYFUNCTION("GOOGLEFINANCE(""NSE:""&amp;D1259,""pe"")"),56.08)</f>
        <v>56.08</v>
      </c>
      <c r="P1259" s="7">
        <f ca="1">IFERROR(__xludf.DUMMYFUNCTION("GOOGLEFINANCE(""NSE:""&amp;D1259,""EPS"")"),23.94)</f>
        <v>23.94</v>
      </c>
      <c r="Q1259" s="7">
        <v>13.5</v>
      </c>
      <c r="R1259" s="7" t="str">
        <f ca="1">IFERROR(__xludf.DUMMYFUNCTION("IMPORTXML(E1259,""/html/body/main/div[3]/div[3]/div[2]/ul/li[7]/span[2]/span"")"),"Loading...")</f>
        <v>Loading...</v>
      </c>
      <c r="S1259" s="7" t="str">
        <f ca="1">IFERROR(__xludf.DUMMYFUNCTION("IMPORTXML(E1259,""/html/body/main/div[3]/div[3]/div[2]/ul/li[8]/span[2]/span"")"),"Loading...")</f>
        <v>Loading...</v>
      </c>
      <c r="T1259" s="4">
        <v>34.6</v>
      </c>
      <c r="U1259" s="4">
        <v>22.7</v>
      </c>
      <c r="V1259" s="4">
        <v>2.6</v>
      </c>
      <c r="W1259" s="4">
        <v>5.7</v>
      </c>
      <c r="X1259" s="4">
        <v>519.92999999999995</v>
      </c>
      <c r="Y1259" s="7">
        <f t="shared" ca="1" si="24"/>
        <v>822.37</v>
      </c>
    </row>
    <row r="1260" spans="1:25" ht="15" x14ac:dyDescent="0.25">
      <c r="A1260" s="4">
        <v>2050</v>
      </c>
      <c r="C1260" s="12" t="s">
        <v>3062</v>
      </c>
      <c r="D1260" s="12" t="s">
        <v>3063</v>
      </c>
      <c r="E1260" s="5" t="str">
        <f t="shared" si="20"/>
        <v>https://www.screener.in/company/SALSTEEL/consolidated/</v>
      </c>
      <c r="F1260" s="4">
        <v>443059</v>
      </c>
      <c r="G1260" s="4">
        <v>3832241897</v>
      </c>
      <c r="H1260" s="6">
        <f t="shared" ca="1" si="21"/>
        <v>8496.0802856490009</v>
      </c>
      <c r="I1260" s="7" t="str">
        <f ca="1">IFERROR(__xludf.DUMMYFUNCTION("IMPORTXML(E1260,""/html/body/main/div[3]/div[3]/div[2]/ul/li[5]/span[2]/span"")"),"#N/A")</f>
        <v>#N/A</v>
      </c>
      <c r="J1260" s="7">
        <f ca="1">IFERROR(__xludf.DUMMYFUNCTION("GOOGLEFINANCE(""NSE:""&amp;D1260,""marketcap"")"),1883712000)</f>
        <v>1883712000</v>
      </c>
      <c r="K1260" s="7">
        <v>992.8</v>
      </c>
      <c r="L1260" s="8">
        <f ca="1">IFERROR(__xludf.DUMMYFUNCTION("GOOGLEFINANCE(""NSE:""&amp;D1260,""price"")"),22.17)</f>
        <v>22.17</v>
      </c>
      <c r="M1260" s="9">
        <f t="shared" ca="1" si="22"/>
        <v>-970.63</v>
      </c>
      <c r="N1260" s="10">
        <f t="shared" ca="1" si="23"/>
        <v>-97.766921837228054</v>
      </c>
      <c r="O1260" s="7" t="str">
        <f ca="1">IFERROR(__xludf.DUMMYFUNCTION("GOOGLEFINANCE(""NSE:""&amp;D1260,""pe"")"),"#N/A")</f>
        <v>#N/A</v>
      </c>
      <c r="P1260" s="7">
        <f ca="1">IFERROR(__xludf.DUMMYFUNCTION("GOOGLEFINANCE(""NSE:""&amp;D1260,""EPS"")"),-1.91)</f>
        <v>-1.91</v>
      </c>
      <c r="Q1260" s="7">
        <v>13.5</v>
      </c>
      <c r="R1260" s="7" t="str">
        <f ca="1">IFERROR(__xludf.DUMMYFUNCTION("IMPORTXML(E1260,""/html/body/main/div[3]/div[3]/div[2]/ul/li[7]/span[2]/span"")"),"Loading...")</f>
        <v>Loading...</v>
      </c>
      <c r="S1260" s="7" t="str">
        <f ca="1">IFERROR(__xludf.DUMMYFUNCTION("IMPORTXML(E1260,""/html/body/main/div[3]/div[3]/div[2]/ul/li[8]/span[2]/span"")"),"Loading...")</f>
        <v>Loading...</v>
      </c>
      <c r="T1260" s="4">
        <v>34.6</v>
      </c>
      <c r="U1260" s="4">
        <v>22.7</v>
      </c>
      <c r="V1260" s="4">
        <v>2.6</v>
      </c>
      <c r="W1260" s="4">
        <v>5.7</v>
      </c>
      <c r="X1260" s="4">
        <v>519.92999999999995</v>
      </c>
      <c r="Y1260" s="7">
        <f t="shared" ca="1" si="24"/>
        <v>-497.75999999999993</v>
      </c>
    </row>
    <row r="1261" spans="1:25" ht="15" x14ac:dyDescent="0.25">
      <c r="A1261" s="4">
        <v>386</v>
      </c>
      <c r="C1261" s="12" t="s">
        <v>3064</v>
      </c>
      <c r="D1261" s="12" t="s">
        <v>3065</v>
      </c>
      <c r="E1261" s="5" t="str">
        <f t="shared" si="20"/>
        <v>https://www.screener.in/company/SHILPAMED/consolidated/</v>
      </c>
      <c r="F1261" s="4">
        <v>443059</v>
      </c>
      <c r="G1261" s="4">
        <v>3832241897</v>
      </c>
      <c r="H1261" s="6">
        <f t="shared" ca="1" si="21"/>
        <v>321908.31934799999</v>
      </c>
      <c r="I1261" s="7" t="str">
        <f ca="1">IFERROR(__xludf.DUMMYFUNCTION("IMPORTXML(E1261,""/html/body/main/div[3]/div[3]/div[2]/ul/li[5]/span[2]/span"")"),"Loading...")</f>
        <v>Loading...</v>
      </c>
      <c r="J1261" s="7">
        <f ca="1">IFERROR(__xludf.DUMMYFUNCTION("GOOGLEFINANCE(""NSE:""&amp;D1261,""marketcap"")"),83043382816)</f>
        <v>83043382816</v>
      </c>
      <c r="K1261" s="7">
        <v>992.8</v>
      </c>
      <c r="L1261" s="8">
        <f ca="1">IFERROR(__xludf.DUMMYFUNCTION("GOOGLEFINANCE(""NSE:""&amp;D1261,""price"")"),840)</f>
        <v>840</v>
      </c>
      <c r="M1261" s="9">
        <f t="shared" ca="1" si="22"/>
        <v>-152.79999999999995</v>
      </c>
      <c r="N1261" s="10">
        <f t="shared" ca="1" si="23"/>
        <v>-15.390813859790487</v>
      </c>
      <c r="O1261" s="7">
        <f ca="1">IFERROR(__xludf.DUMMYFUNCTION("GOOGLEFINANCE(""NSE:""&amp;D1261,""pe"")"),73.81)</f>
        <v>73.81</v>
      </c>
      <c r="P1261" s="7">
        <f ca="1">IFERROR(__xludf.DUMMYFUNCTION("GOOGLEFINANCE(""NSE:""&amp;D1261,""EPS"")"),11.38)</f>
        <v>11.38</v>
      </c>
      <c r="Q1261" s="7">
        <v>13.5</v>
      </c>
      <c r="R1261" s="7" t="str">
        <f ca="1">IFERROR(__xludf.DUMMYFUNCTION("IMPORTXML(E1261,""/html/body/main/div[3]/div[3]/div[2]/ul/li[7]/span[2]/span"")"),"Loading...")</f>
        <v>Loading...</v>
      </c>
      <c r="S1261" s="7" t="str">
        <f ca="1">IFERROR(__xludf.DUMMYFUNCTION("IMPORTXML(E1261,""/html/body/main/div[3]/div[3]/div[2]/ul/li[8]/span[2]/span"")"),"Loading...")</f>
        <v>Loading...</v>
      </c>
      <c r="T1261" s="4">
        <v>34.6</v>
      </c>
      <c r="U1261" s="4">
        <v>22.7</v>
      </c>
      <c r="V1261" s="4">
        <v>2.6</v>
      </c>
      <c r="W1261" s="4">
        <v>5.7</v>
      </c>
      <c r="X1261" s="4">
        <v>519.92999999999995</v>
      </c>
      <c r="Y1261" s="7">
        <f t="shared" ca="1" si="24"/>
        <v>320.07000000000005</v>
      </c>
    </row>
    <row r="1262" spans="1:25" ht="15" x14ac:dyDescent="0.25">
      <c r="A1262" s="4">
        <v>210</v>
      </c>
      <c r="C1262" s="12" t="s">
        <v>3066</v>
      </c>
      <c r="D1262" s="12" t="s">
        <v>3067</v>
      </c>
      <c r="E1262" s="5" t="str">
        <f t="shared" si="20"/>
        <v>https://www.screener.in/company/OLECTRA/consolidated/</v>
      </c>
      <c r="F1262" s="4">
        <v>443059</v>
      </c>
      <c r="G1262" s="4">
        <v>3832241897</v>
      </c>
      <c r="H1262" s="6">
        <f t="shared" ca="1" si="21"/>
        <v>585336.62734778004</v>
      </c>
      <c r="I1262" s="7" t="str">
        <f ca="1">IFERROR(__xludf.DUMMYFUNCTION("IMPORTXML(E1262,""/html/body/main/div[3]/div[3]/div[2]/ul/li[5]/span[2]/span"")"),"Loading...")</f>
        <v>Loading...</v>
      </c>
      <c r="J1262" s="7">
        <f ca="1">IFERROR(__xludf.DUMMYFUNCTION("GOOGLEFINANCE(""NSE:""&amp;D1262,""marketcap"")"),125156700000)</f>
        <v>125156700000</v>
      </c>
      <c r="K1262" s="7">
        <v>992.8</v>
      </c>
      <c r="L1262" s="8">
        <f ca="1">IFERROR(__xludf.DUMMYFUNCTION("GOOGLEFINANCE(""NSE:""&amp;D1262,""price"")"),1527.4)</f>
        <v>1527.4</v>
      </c>
      <c r="M1262" s="9">
        <f t="shared" ca="1" si="22"/>
        <v>534.60000000000014</v>
      </c>
      <c r="N1262" s="10">
        <f t="shared" ca="1" si="23"/>
        <v>53.847703464947635</v>
      </c>
      <c r="O1262" s="7">
        <f ca="1">IFERROR(__xludf.DUMMYFUNCTION("GOOGLEFINANCE(""NSE:""&amp;D1262,""pe"")"),89.01)</f>
        <v>89.01</v>
      </c>
      <c r="P1262" s="7">
        <f ca="1">IFERROR(__xludf.DUMMYFUNCTION("GOOGLEFINANCE(""NSE:""&amp;D1262,""EPS"")"),17.16)</f>
        <v>17.16</v>
      </c>
      <c r="Q1262" s="7">
        <v>13.5</v>
      </c>
      <c r="R1262" s="7" t="str">
        <f ca="1">IFERROR(__xludf.DUMMYFUNCTION("IMPORTXML(E1262,""/html/body/main/div[3]/div[3]/div[2]/ul/li[7]/span[2]/span"")"),"Loading...")</f>
        <v>Loading...</v>
      </c>
      <c r="S1262" s="7" t="str">
        <f ca="1">IFERROR(__xludf.DUMMYFUNCTION("IMPORTXML(E1262,""/html/body/main/div[3]/div[3]/div[2]/ul/li[8]/span[2]/span"")"),"Loading...")</f>
        <v>Loading...</v>
      </c>
      <c r="T1262" s="4">
        <v>34.6</v>
      </c>
      <c r="U1262" s="4">
        <v>22.7</v>
      </c>
      <c r="V1262" s="4">
        <v>2.6</v>
      </c>
      <c r="W1262" s="4">
        <v>5.7</v>
      </c>
      <c r="X1262" s="4">
        <v>519.92999999999995</v>
      </c>
      <c r="Y1262" s="7">
        <f t="shared" ca="1" si="24"/>
        <v>1007.4700000000001</v>
      </c>
    </row>
    <row r="1263" spans="1:25" ht="15" x14ac:dyDescent="0.25">
      <c r="A1263" s="4">
        <v>739</v>
      </c>
      <c r="C1263" s="12" t="s">
        <v>3068</v>
      </c>
      <c r="D1263" s="12" t="s">
        <v>3069</v>
      </c>
      <c r="E1263" s="5" t="str">
        <f t="shared" si="20"/>
        <v>https://www.screener.in/company/SHALBY/consolidated/</v>
      </c>
      <c r="F1263" s="4">
        <v>443059</v>
      </c>
      <c r="G1263" s="4">
        <v>3832241897</v>
      </c>
      <c r="H1263" s="6">
        <f t="shared" ca="1" si="21"/>
        <v>85267.382208249997</v>
      </c>
      <c r="I1263" s="7" t="str">
        <f ca="1">IFERROR(__xludf.DUMMYFUNCTION("IMPORTXML(E1263,""/html/body/main/div[3]/div[3]/div[2]/ul/li[5]/span[2]/span"")"),"Loading...")</f>
        <v>Loading...</v>
      </c>
      <c r="J1263" s="7">
        <f ca="1">IFERROR(__xludf.DUMMYFUNCTION("GOOGLEFINANCE(""NSE:""&amp;D1263,""marketcap"")"),23539690000)</f>
        <v>23539690000</v>
      </c>
      <c r="K1263" s="7">
        <v>992.8</v>
      </c>
      <c r="L1263" s="8">
        <f ca="1">IFERROR(__xludf.DUMMYFUNCTION("GOOGLEFINANCE(""NSE:""&amp;D1263,""price"")"),222.5)</f>
        <v>222.5</v>
      </c>
      <c r="M1263" s="9">
        <f t="shared" ca="1" si="22"/>
        <v>-770.3</v>
      </c>
      <c r="N1263" s="10">
        <f t="shared" ca="1" si="23"/>
        <v>-77.588638195004023</v>
      </c>
      <c r="O1263" s="7" t="str">
        <f ca="1">IFERROR(__xludf.DUMMYFUNCTION("GOOGLEFINANCE(""NSE:""&amp;D1263,""pe"")"),"#N/A")</f>
        <v>#N/A</v>
      </c>
      <c r="P1263" s="7">
        <f ca="1">IFERROR(__xludf.DUMMYFUNCTION("GOOGLEFINANCE(""NSE:""&amp;D1263,""EPS"")"),-0.28)</f>
        <v>-0.28000000000000003</v>
      </c>
      <c r="Q1263" s="7">
        <v>13.5</v>
      </c>
      <c r="R1263" s="7" t="str">
        <f ca="1">IFERROR(__xludf.DUMMYFUNCTION("IMPORTXML(E1263,""/html/body/main/div[3]/div[3]/div[2]/ul/li[7]/span[2]/span"")"),"Loading...")</f>
        <v>Loading...</v>
      </c>
      <c r="S1263" s="7" t="str">
        <f ca="1">IFERROR(__xludf.DUMMYFUNCTION("IMPORTXML(E1263,""/html/body/main/div[3]/div[3]/div[2]/ul/li[8]/span[2]/span"")"),"Loading...")</f>
        <v>Loading...</v>
      </c>
      <c r="T1263" s="4">
        <v>34.6</v>
      </c>
      <c r="U1263" s="4">
        <v>22.7</v>
      </c>
      <c r="V1263" s="4">
        <v>2.6</v>
      </c>
      <c r="W1263" s="4">
        <v>5.7</v>
      </c>
      <c r="X1263" s="4">
        <v>519.92999999999995</v>
      </c>
      <c r="Y1263" s="7">
        <f t="shared" ca="1" si="24"/>
        <v>-297.42999999999995</v>
      </c>
    </row>
    <row r="1264" spans="1:25" ht="15" x14ac:dyDescent="0.25">
      <c r="A1264" s="4">
        <v>498</v>
      </c>
      <c r="C1264" s="12" t="s">
        <v>3070</v>
      </c>
      <c r="D1264" s="12" t="s">
        <v>3071</v>
      </c>
      <c r="E1264" s="5" t="str">
        <f t="shared" si="20"/>
        <v>https://www.screener.in/company/ORIENTELEC/consolidated/</v>
      </c>
      <c r="F1264" s="4">
        <v>443059</v>
      </c>
      <c r="G1264" s="4">
        <v>3832241897</v>
      </c>
      <c r="H1264" s="6">
        <f t="shared" ca="1" si="21"/>
        <v>79250.762429960014</v>
      </c>
      <c r="I1264" s="7" t="str">
        <f ca="1">IFERROR(__xludf.DUMMYFUNCTION("IMPORTXML(E1264,""/html/body/main/div[3]/div[3]/div[2]/ul/li[5]/span[2]/span"")"),"Loading...")</f>
        <v>Loading...</v>
      </c>
      <c r="J1264" s="7">
        <f ca="1">IFERROR(__xludf.DUMMYFUNCTION("GOOGLEFINANCE(""NSE:""&amp;D1264,""marketcap"")"),43931555951)</f>
        <v>43931555951</v>
      </c>
      <c r="K1264" s="7">
        <v>992.8</v>
      </c>
      <c r="L1264" s="8">
        <f ca="1">IFERROR(__xludf.DUMMYFUNCTION("GOOGLEFINANCE(""NSE:""&amp;D1264,""price"")"),206.8)</f>
        <v>206.8</v>
      </c>
      <c r="M1264" s="9">
        <f t="shared" ca="1" si="22"/>
        <v>-786</v>
      </c>
      <c r="N1264" s="10">
        <f t="shared" ca="1" si="23"/>
        <v>-79.170024174053182</v>
      </c>
      <c r="O1264" s="7">
        <f ca="1">IFERROR(__xludf.DUMMYFUNCTION("GOOGLEFINANCE(""NSE:""&amp;D1264,""pe"")"),51.03)</f>
        <v>51.03</v>
      </c>
      <c r="P1264" s="7">
        <f ca="1">IFERROR(__xludf.DUMMYFUNCTION("GOOGLEFINANCE(""NSE:""&amp;D1264,""EPS"")"),4.05)</f>
        <v>4.05</v>
      </c>
      <c r="Q1264" s="7">
        <v>13.5</v>
      </c>
      <c r="R1264" s="7" t="str">
        <f ca="1">IFERROR(__xludf.DUMMYFUNCTION("IMPORTXML(E1264,""/html/body/main/div[3]/div[3]/div[2]/ul/li[7]/span[2]/span"")"),"Loading...")</f>
        <v>Loading...</v>
      </c>
      <c r="S1264" s="7" t="str">
        <f ca="1">IFERROR(__xludf.DUMMYFUNCTION("IMPORTXML(E1264,""/html/body/main/div[3]/div[3]/div[2]/ul/li[8]/span[2]/span"")"),"Loading...")</f>
        <v>Loading...</v>
      </c>
      <c r="T1264" s="4">
        <v>34.6</v>
      </c>
      <c r="U1264" s="4">
        <v>22.7</v>
      </c>
      <c r="V1264" s="4">
        <v>2.6</v>
      </c>
      <c r="W1264" s="4">
        <v>5.7</v>
      </c>
      <c r="X1264" s="4">
        <v>519.92999999999995</v>
      </c>
      <c r="Y1264" s="7">
        <f t="shared" ca="1" si="24"/>
        <v>-313.12999999999994</v>
      </c>
    </row>
    <row r="1265" spans="1:25" ht="15" x14ac:dyDescent="0.25">
      <c r="A1265" s="4">
        <v>518</v>
      </c>
      <c r="C1265" s="12" t="s">
        <v>3072</v>
      </c>
      <c r="D1265" s="12" t="s">
        <v>3073</v>
      </c>
      <c r="E1265" s="5" t="str">
        <f t="shared" si="20"/>
        <v>https://www.screener.in/company/CARTRADE/consolidated/</v>
      </c>
      <c r="F1265" s="4">
        <v>443059</v>
      </c>
      <c r="G1265" s="4">
        <v>3832241897</v>
      </c>
      <c r="H1265" s="6">
        <f t="shared" ca="1" si="21"/>
        <v>1000981.5834964</v>
      </c>
      <c r="I1265" s="7" t="str">
        <f ca="1">IFERROR(__xludf.DUMMYFUNCTION("IMPORTXML(E1265,""/html/body/main/div[3]/div[3]/div[2]/ul/li[5]/span[2]/span"")"),"Loading...")</f>
        <v>Loading...</v>
      </c>
      <c r="J1265" s="7">
        <f ca="1">IFERROR(__xludf.DUMMYFUNCTION("GOOGLEFINANCE(""NSE:""&amp;D1265,""marketcap"")"),124346767520)</f>
        <v>124346767520</v>
      </c>
      <c r="K1265" s="7">
        <v>992.8</v>
      </c>
      <c r="L1265" s="8">
        <f ca="1">IFERROR(__xludf.DUMMYFUNCTION("GOOGLEFINANCE(""NSE:""&amp;D1265,""price"")"),2612)</f>
        <v>2612</v>
      </c>
      <c r="M1265" s="9">
        <f t="shared" ca="1" si="22"/>
        <v>1619.2</v>
      </c>
      <c r="N1265" s="10">
        <f t="shared" ca="1" si="23"/>
        <v>163.09427880741339</v>
      </c>
      <c r="O1265" s="7">
        <f ca="1">IFERROR(__xludf.DUMMYFUNCTION("GOOGLEFINANCE(""NSE:""&amp;D1265,""pe"")"),86.13)</f>
        <v>86.13</v>
      </c>
      <c r="P1265" s="7">
        <f ca="1">IFERROR(__xludf.DUMMYFUNCTION("GOOGLEFINANCE(""NSE:""&amp;D1265,""EPS"")"),30.33)</f>
        <v>30.33</v>
      </c>
      <c r="Q1265" s="7">
        <v>13.5</v>
      </c>
      <c r="R1265" s="7" t="str">
        <f ca="1">IFERROR(__xludf.DUMMYFUNCTION("IMPORTXML(E1265,""/html/body/main/div[3]/div[3]/div[2]/ul/li[7]/span[2]/span"")"),"Loading...")</f>
        <v>Loading...</v>
      </c>
      <c r="S1265" s="7" t="str">
        <f ca="1">IFERROR(__xludf.DUMMYFUNCTION("IMPORTXML(E1265,""/html/body/main/div[3]/div[3]/div[2]/ul/li[8]/span[2]/span"")"),"Loading...")</f>
        <v>Loading...</v>
      </c>
      <c r="T1265" s="4">
        <v>34.6</v>
      </c>
      <c r="U1265" s="4">
        <v>22.7</v>
      </c>
      <c r="V1265" s="4">
        <v>2.6</v>
      </c>
      <c r="W1265" s="4">
        <v>5.7</v>
      </c>
      <c r="X1265" s="4">
        <v>519.92999999999995</v>
      </c>
      <c r="Y1265" s="7">
        <f t="shared" ca="1" si="24"/>
        <v>2092.0700000000002</v>
      </c>
    </row>
    <row r="1266" spans="1:25" ht="15" x14ac:dyDescent="0.25">
      <c r="A1266" s="4">
        <v>1091</v>
      </c>
      <c r="C1266" s="12" t="s">
        <v>3074</v>
      </c>
      <c r="D1266" s="12" t="s">
        <v>3075</v>
      </c>
      <c r="E1266" s="5" t="str">
        <f t="shared" si="20"/>
        <v>https://www.screener.in/company/KECL/consolidated/</v>
      </c>
      <c r="F1266" s="4">
        <v>443059</v>
      </c>
      <c r="G1266" s="4">
        <v>3832241897</v>
      </c>
      <c r="H1266" s="6">
        <f t="shared" ca="1" si="21"/>
        <v>44645.61810005</v>
      </c>
      <c r="I1266" s="7" t="str">
        <f ca="1">IFERROR(__xludf.DUMMYFUNCTION("IMPORTXML(E1266,""/html/body/main/div[3]/div[3]/div[2]/ul/li[5]/span[2]/span"")"),"Loading...")</f>
        <v>Loading...</v>
      </c>
      <c r="J1266" s="7">
        <f ca="1">IFERROR(__xludf.DUMMYFUNCTION("GOOGLEFINANCE(""NSE:""&amp;D1266,""marketcap"")"),7737239155)</f>
        <v>7737239155</v>
      </c>
      <c r="K1266" s="7">
        <v>992.8</v>
      </c>
      <c r="L1266" s="8">
        <f ca="1">IFERROR(__xludf.DUMMYFUNCTION("GOOGLEFINANCE(""NSE:""&amp;D1266,""price"")"),116.5)</f>
        <v>116.5</v>
      </c>
      <c r="M1266" s="9">
        <f t="shared" ca="1" si="22"/>
        <v>-876.3</v>
      </c>
      <c r="N1266" s="10">
        <f t="shared" ca="1" si="23"/>
        <v>-88.265511684125713</v>
      </c>
      <c r="O1266" s="7">
        <f ca="1">IFERROR(__xludf.DUMMYFUNCTION("GOOGLEFINANCE(""NSE:""&amp;D1266,""pe"")"),347.94)</f>
        <v>347.94</v>
      </c>
      <c r="P1266" s="7">
        <f ca="1">IFERROR(__xludf.DUMMYFUNCTION("GOOGLEFINANCE(""NSE:""&amp;D1266,""EPS"")"),0.33)</f>
        <v>0.33</v>
      </c>
      <c r="Q1266" s="7">
        <v>13.5</v>
      </c>
      <c r="R1266" s="7" t="str">
        <f ca="1">IFERROR(__xludf.DUMMYFUNCTION("IMPORTXML(E1266,""/html/body/main/div[3]/div[3]/div[2]/ul/li[7]/span[2]/span"")"),"Loading...")</f>
        <v>Loading...</v>
      </c>
      <c r="S1266" s="7" t="str">
        <f ca="1">IFERROR(__xludf.DUMMYFUNCTION("IMPORTXML(E1266,""/html/body/main/div[3]/div[3]/div[2]/ul/li[8]/span[2]/span"")"),"Loading...")</f>
        <v>Loading...</v>
      </c>
      <c r="T1266" s="4">
        <v>34.6</v>
      </c>
      <c r="U1266" s="4">
        <v>22.7</v>
      </c>
      <c r="V1266" s="4">
        <v>2.6</v>
      </c>
      <c r="W1266" s="4">
        <v>5.7</v>
      </c>
      <c r="X1266" s="4">
        <v>519.92999999999995</v>
      </c>
      <c r="Y1266" s="7">
        <f t="shared" ca="1" si="24"/>
        <v>-403.42999999999995</v>
      </c>
    </row>
    <row r="1267" spans="1:25" ht="15" x14ac:dyDescent="0.25">
      <c r="A1267" s="4">
        <v>1707</v>
      </c>
      <c r="C1267" s="12" t="s">
        <v>3076</v>
      </c>
      <c r="D1267" s="12" t="s">
        <v>3077</v>
      </c>
      <c r="E1267" s="5" t="str">
        <f t="shared" si="20"/>
        <v>https://www.screener.in/company/SUNDRMBRAK/consolidated/</v>
      </c>
      <c r="F1267" s="4">
        <v>443059</v>
      </c>
      <c r="G1267" s="4">
        <v>3832241897</v>
      </c>
      <c r="H1267" s="6">
        <f t="shared" ca="1" si="21"/>
        <v>293549.72931020003</v>
      </c>
      <c r="I1267" s="7" t="str">
        <f ca="1">IFERROR(__xludf.DUMMYFUNCTION("IMPORTXML(E1267,""/html/body/main/div[3]/div[3]/div[2]/ul/li[5]/span[2]/span"")"),"Loading...")</f>
        <v>Loading...</v>
      </c>
      <c r="J1267" s="7">
        <f ca="1">IFERROR(__xludf.DUMMYFUNCTION("GOOGLEFINANCE(""NSE:""&amp;D1267,""marketcap"")"),3033557000)</f>
        <v>3033557000</v>
      </c>
      <c r="K1267" s="7">
        <v>992.8</v>
      </c>
      <c r="L1267" s="8">
        <f ca="1">IFERROR(__xludf.DUMMYFUNCTION("GOOGLEFINANCE(""NSE:""&amp;D1267,""price"")"),766)</f>
        <v>766</v>
      </c>
      <c r="M1267" s="9">
        <f t="shared" ca="1" si="22"/>
        <v>-226.79999999999995</v>
      </c>
      <c r="N1267" s="10">
        <f t="shared" ca="1" si="23"/>
        <v>-22.844480257856564</v>
      </c>
      <c r="O1267" s="7">
        <f ca="1">IFERROR(__xludf.DUMMYFUNCTION("GOOGLEFINANCE(""NSE:""&amp;D1267,""pe"")"),95.67)</f>
        <v>95.67</v>
      </c>
      <c r="P1267" s="7">
        <f ca="1">IFERROR(__xludf.DUMMYFUNCTION("GOOGLEFINANCE(""NSE:""&amp;D1267,""EPS"")"),8.01)</f>
        <v>8.01</v>
      </c>
      <c r="Q1267" s="7">
        <v>13.5</v>
      </c>
      <c r="R1267" s="7" t="str">
        <f ca="1">IFERROR(__xludf.DUMMYFUNCTION("IMPORTXML(E1267,""/html/body/main/div[3]/div[3]/div[2]/ul/li[7]/span[2]/span"")"),"Loading...")</f>
        <v>Loading...</v>
      </c>
      <c r="S1267" s="7" t="str">
        <f ca="1">IFERROR(__xludf.DUMMYFUNCTION("IMPORTXML(E1267,""/html/body/main/div[3]/div[3]/div[2]/ul/li[8]/span[2]/span"")"),"Loading...")</f>
        <v>Loading...</v>
      </c>
      <c r="T1267" s="4">
        <v>34.6</v>
      </c>
      <c r="U1267" s="4">
        <v>22.7</v>
      </c>
      <c r="V1267" s="4">
        <v>2.6</v>
      </c>
      <c r="W1267" s="4">
        <v>5.7</v>
      </c>
      <c r="X1267" s="4">
        <v>519.92999999999995</v>
      </c>
      <c r="Y1267" s="7">
        <f t="shared" ca="1" si="24"/>
        <v>246.07000000000005</v>
      </c>
    </row>
    <row r="1268" spans="1:25" ht="15" x14ac:dyDescent="0.25">
      <c r="A1268" s="4">
        <v>948</v>
      </c>
      <c r="C1268" s="12" t="s">
        <v>3078</v>
      </c>
      <c r="D1268" s="12" t="s">
        <v>3079</v>
      </c>
      <c r="E1268" s="5" t="str">
        <f t="shared" si="20"/>
        <v>https://www.screener.in/company/ATULAUTO/consolidated/</v>
      </c>
      <c r="F1268" s="4">
        <v>443059</v>
      </c>
      <c r="G1268" s="4">
        <v>3832241897</v>
      </c>
      <c r="H1268" s="6">
        <f t="shared" ca="1" si="21"/>
        <v>207439.25388460999</v>
      </c>
      <c r="I1268" s="7" t="str">
        <f ca="1">IFERROR(__xludf.DUMMYFUNCTION("IMPORTXML(E1268,""/html/body/main/div[3]/div[3]/div[2]/ul/li[5]/span[2]/span"")"),"Loading...")</f>
        <v>Loading...</v>
      </c>
      <c r="J1268" s="7">
        <f ca="1">IFERROR(__xludf.DUMMYFUNCTION("GOOGLEFINANCE(""NSE:""&amp;D1268,""marketcap"")"),14832864004)</f>
        <v>14832864004</v>
      </c>
      <c r="K1268" s="7">
        <v>992.8</v>
      </c>
      <c r="L1268" s="8">
        <f ca="1">IFERROR(__xludf.DUMMYFUNCTION("GOOGLEFINANCE(""NSE:""&amp;D1268,""price"")"),541.3)</f>
        <v>541.29999999999995</v>
      </c>
      <c r="M1268" s="9">
        <f t="shared" ca="1" si="22"/>
        <v>-451.5</v>
      </c>
      <c r="N1268" s="10">
        <f t="shared" ca="1" si="23"/>
        <v>-45.477437550362616</v>
      </c>
      <c r="O1268" s="7">
        <f ca="1">IFERROR(__xludf.DUMMYFUNCTION("GOOGLEFINANCE(""NSE:""&amp;D1268,""pe"")"),52.58)</f>
        <v>52.58</v>
      </c>
      <c r="P1268" s="7">
        <f ca="1">IFERROR(__xludf.DUMMYFUNCTION("GOOGLEFINANCE(""NSE:""&amp;D1268,""EPS"")"),10.3)</f>
        <v>10.3</v>
      </c>
      <c r="Q1268" s="7">
        <v>13.5</v>
      </c>
      <c r="R1268" s="7" t="str">
        <f ca="1">IFERROR(__xludf.DUMMYFUNCTION("IMPORTXML(E1268,""/html/body/main/div[3]/div[3]/div[2]/ul/li[7]/span[2]/span"")"),"Loading...")</f>
        <v>Loading...</v>
      </c>
      <c r="S1268" s="7" t="str">
        <f ca="1">IFERROR(__xludf.DUMMYFUNCTION("IMPORTXML(E1268,""/html/body/main/div[3]/div[3]/div[2]/ul/li[8]/span[2]/span"")"),"Loading...")</f>
        <v>Loading...</v>
      </c>
      <c r="T1268" s="4">
        <v>34.6</v>
      </c>
      <c r="U1268" s="4">
        <v>22.7</v>
      </c>
      <c r="V1268" s="4">
        <v>2.6</v>
      </c>
      <c r="W1268" s="4">
        <v>5.7</v>
      </c>
      <c r="X1268" s="4">
        <v>519.92999999999995</v>
      </c>
      <c r="Y1268" s="7">
        <f t="shared" ca="1" si="24"/>
        <v>21.370000000000005</v>
      </c>
    </row>
    <row r="1269" spans="1:25" ht="15" x14ac:dyDescent="0.25">
      <c r="A1269" s="4">
        <v>896</v>
      </c>
      <c r="C1269" s="12" t="s">
        <v>3080</v>
      </c>
      <c r="D1269" s="12" t="s">
        <v>3081</v>
      </c>
      <c r="E1269" s="5" t="str">
        <f t="shared" si="20"/>
        <v>https://www.screener.in/company/UNIECOM/consolidated/</v>
      </c>
      <c r="F1269" s="4">
        <v>443059</v>
      </c>
      <c r="G1269" s="4">
        <v>3832241897</v>
      </c>
      <c r="H1269" s="6">
        <f t="shared" ca="1" si="21"/>
        <v>57100.4042653</v>
      </c>
      <c r="I1269" s="7" t="str">
        <f ca="1">IFERROR(__xludf.DUMMYFUNCTION("IMPORTXML(E1269,""/html/body/main/div[3]/div[3]/div[2]/ul/li[5]/span[2]/span"")"),"Loading...")</f>
        <v>Loading...</v>
      </c>
      <c r="J1269" s="7">
        <f ca="1">IFERROR(__xludf.DUMMYFUNCTION("GOOGLEFINANCE(""NSE:""&amp;D1269,""marketcap"")"),16333353400)</f>
        <v>16333353400</v>
      </c>
      <c r="K1269" s="7">
        <v>992.8</v>
      </c>
      <c r="L1269" s="8">
        <f ca="1">IFERROR(__xludf.DUMMYFUNCTION("GOOGLEFINANCE(""NSE:""&amp;D1269,""price"")"),149)</f>
        <v>149</v>
      </c>
      <c r="M1269" s="9">
        <f t="shared" ca="1" si="22"/>
        <v>-843.8</v>
      </c>
      <c r="N1269" s="10">
        <f t="shared" ca="1" si="23"/>
        <v>-84.991941982272351</v>
      </c>
      <c r="O1269" s="7">
        <f ca="1">IFERROR(__xludf.DUMMYFUNCTION("GOOGLEFINANCE(""NSE:""&amp;D1269,""pe"")"),93.13)</f>
        <v>93.13</v>
      </c>
      <c r="P1269" s="7">
        <f ca="1">IFERROR(__xludf.DUMMYFUNCTION("GOOGLEFINANCE(""NSE:""&amp;D1269,""EPS"")"),1.6)</f>
        <v>1.6</v>
      </c>
      <c r="Q1269" s="7">
        <v>13.5</v>
      </c>
      <c r="R1269" s="7" t="str">
        <f ca="1">IFERROR(__xludf.DUMMYFUNCTION("IMPORTXML(E1269,""/html/body/main/div[3]/div[3]/div[2]/ul/li[7]/span[2]/span"")"),"Loading...")</f>
        <v>Loading...</v>
      </c>
      <c r="S1269" s="7" t="str">
        <f ca="1">IFERROR(__xludf.DUMMYFUNCTION("IMPORTXML(E1269,""/html/body/main/div[3]/div[3]/div[2]/ul/li[8]/span[2]/span"")"),"Loading...")</f>
        <v>Loading...</v>
      </c>
      <c r="T1269" s="4">
        <v>34.6</v>
      </c>
      <c r="U1269" s="4">
        <v>22.7</v>
      </c>
      <c r="V1269" s="4">
        <v>2.6</v>
      </c>
      <c r="W1269" s="4">
        <v>5.7</v>
      </c>
      <c r="X1269" s="4">
        <v>519.92999999999995</v>
      </c>
      <c r="Y1269" s="7">
        <f t="shared" ca="1" si="24"/>
        <v>-370.92999999999995</v>
      </c>
    </row>
    <row r="1270" spans="1:25" ht="15" x14ac:dyDescent="0.25">
      <c r="A1270" s="4">
        <v>1817</v>
      </c>
      <c r="C1270" s="12" t="s">
        <v>3082</v>
      </c>
      <c r="D1270" s="12" t="s">
        <v>3083</v>
      </c>
      <c r="E1270" s="5" t="str">
        <f t="shared" si="20"/>
        <v>https://www.screener.in/company/MEGASTAR/consolidated/</v>
      </c>
      <c r="F1270" s="4">
        <v>443059</v>
      </c>
      <c r="G1270" s="4">
        <v>3832241897</v>
      </c>
      <c r="H1270" s="6">
        <f t="shared" ca="1" si="21"/>
        <v>89099.624105249997</v>
      </c>
      <c r="I1270" s="7" t="str">
        <f ca="1">IFERROR(__xludf.DUMMYFUNCTION("IMPORTXML(E1270,""/html/body/main/div[3]/div[3]/div[2]/ul/li[5]/span[2]/span"")"),"Loading...")</f>
        <v>Loading...</v>
      </c>
      <c r="J1270" s="7">
        <f ca="1">IFERROR(__xludf.DUMMYFUNCTION("GOOGLEFINANCE(""NSE:""&amp;D1270,""marketcap"")"),2625782925)</f>
        <v>2625782925</v>
      </c>
      <c r="K1270" s="7">
        <v>992.8</v>
      </c>
      <c r="L1270" s="8">
        <f ca="1">IFERROR(__xludf.DUMMYFUNCTION("GOOGLEFINANCE(""NSE:""&amp;D1270,""price"")"),232.5)</f>
        <v>232.5</v>
      </c>
      <c r="M1270" s="9">
        <f t="shared" ca="1" si="22"/>
        <v>-760.3</v>
      </c>
      <c r="N1270" s="10">
        <f t="shared" ca="1" si="23"/>
        <v>-76.581385979049159</v>
      </c>
      <c r="O1270" s="7">
        <f ca="1">IFERROR(__xludf.DUMMYFUNCTION("GOOGLEFINANCE(""NSE:""&amp;D1270,""pe"")"),50.76)</f>
        <v>50.76</v>
      </c>
      <c r="P1270" s="7">
        <f ca="1">IFERROR(__xludf.DUMMYFUNCTION("GOOGLEFINANCE(""NSE:""&amp;D1270,""EPS"")"),4.58)</f>
        <v>4.58</v>
      </c>
      <c r="Q1270" s="7">
        <v>13.5</v>
      </c>
      <c r="R1270" s="7" t="str">
        <f ca="1">IFERROR(__xludf.DUMMYFUNCTION("IMPORTXML(E1270,""/html/body/main/div[3]/div[3]/div[2]/ul/li[7]/span[2]/span"")"),"Loading...")</f>
        <v>Loading...</v>
      </c>
      <c r="S1270" s="7" t="str">
        <f ca="1">IFERROR(__xludf.DUMMYFUNCTION("IMPORTXML(E1270,""/html/body/main/div[3]/div[3]/div[2]/ul/li[8]/span[2]/span"")"),"Loading...")</f>
        <v>Loading...</v>
      </c>
      <c r="T1270" s="4">
        <v>34.6</v>
      </c>
      <c r="U1270" s="4">
        <v>22.7</v>
      </c>
      <c r="V1270" s="4">
        <v>2.6</v>
      </c>
      <c r="W1270" s="4">
        <v>5.7</v>
      </c>
      <c r="X1270" s="4">
        <v>519.92999999999995</v>
      </c>
      <c r="Y1270" s="7">
        <f t="shared" ca="1" si="24"/>
        <v>-287.42999999999995</v>
      </c>
    </row>
    <row r="1271" spans="1:25" ht="15" x14ac:dyDescent="0.25">
      <c r="A1271" s="4">
        <v>1420</v>
      </c>
      <c r="C1271" s="12" t="s">
        <v>3084</v>
      </c>
      <c r="D1271" s="12" t="s">
        <v>3085</v>
      </c>
      <c r="E1271" s="5" t="str">
        <f t="shared" si="20"/>
        <v>https://www.screener.in/company/BCONCEPTS/consolidated/</v>
      </c>
      <c r="F1271" s="4">
        <v>443059</v>
      </c>
      <c r="G1271" s="4">
        <v>3832241897</v>
      </c>
      <c r="H1271" s="6">
        <f t="shared" ca="1" si="21"/>
        <v>105003.42797780001</v>
      </c>
      <c r="I1271" s="7" t="str">
        <f ca="1">IFERROR(__xludf.DUMMYFUNCTION("IMPORTXML(E1271,""/html/body/main/div[3]/div[3]/div[2]/ul/li[5]/span[2]/span"")"),"Loading...")</f>
        <v>Loading...</v>
      </c>
      <c r="J1271" s="7">
        <f ca="1">IFERROR(__xludf.DUMMYFUNCTION("GOOGLEFINANCE(""NSE:""&amp;D1271,""marketcap"")"),3425906408)</f>
        <v>3425906408</v>
      </c>
      <c r="K1271" s="7">
        <v>992.8</v>
      </c>
      <c r="L1271" s="8">
        <f ca="1">IFERROR(__xludf.DUMMYFUNCTION("GOOGLEFINANCE(""NSE:""&amp;D1271,""price"")"),274)</f>
        <v>274</v>
      </c>
      <c r="M1271" s="9">
        <f t="shared" ca="1" si="22"/>
        <v>-718.8</v>
      </c>
      <c r="N1271" s="10">
        <f t="shared" ca="1" si="23"/>
        <v>-72.401289282836416</v>
      </c>
      <c r="O1271" s="7">
        <f ca="1">IFERROR(__xludf.DUMMYFUNCTION("GOOGLEFINANCE(""NSE:""&amp;D1271,""pe"")"),134.98)</f>
        <v>134.97999999999999</v>
      </c>
      <c r="P1271" s="7">
        <f ca="1">IFERROR(__xludf.DUMMYFUNCTION("GOOGLEFINANCE(""NSE:""&amp;D1271,""EPS"")"),2.03)</f>
        <v>2.0299999999999998</v>
      </c>
      <c r="Q1271" s="7">
        <v>13.5</v>
      </c>
      <c r="R1271" s="7" t="str">
        <f ca="1">IFERROR(__xludf.DUMMYFUNCTION("IMPORTXML(E1271,""/html/body/main/div[3]/div[3]/div[2]/ul/li[7]/span[2]/span"")"),"Loading...")</f>
        <v>Loading...</v>
      </c>
      <c r="S1271" s="7" t="str">
        <f ca="1">IFERROR(__xludf.DUMMYFUNCTION("IMPORTXML(E1271,""/html/body/main/div[3]/div[3]/div[2]/ul/li[8]/span[2]/span"")"),"Loading...")</f>
        <v>Loading...</v>
      </c>
      <c r="T1271" s="4">
        <v>34.6</v>
      </c>
      <c r="U1271" s="4">
        <v>22.7</v>
      </c>
      <c r="V1271" s="4">
        <v>2.6</v>
      </c>
      <c r="W1271" s="4">
        <v>5.7</v>
      </c>
      <c r="X1271" s="4">
        <v>519.92999999999995</v>
      </c>
      <c r="Y1271" s="7">
        <f t="shared" ca="1" si="24"/>
        <v>-245.92999999999995</v>
      </c>
    </row>
    <row r="1272" spans="1:25" ht="15" x14ac:dyDescent="0.25">
      <c r="A1272" s="4">
        <v>2173</v>
      </c>
      <c r="C1272" s="12" t="s">
        <v>3086</v>
      </c>
      <c r="D1272" s="12" t="s">
        <v>3087</v>
      </c>
      <c r="E1272" s="5" t="str">
        <f t="shared" si="20"/>
        <v>https://www.screener.in/company/LATTEYS/consolidated/</v>
      </c>
      <c r="F1272" s="4">
        <v>443059</v>
      </c>
      <c r="G1272" s="4">
        <v>3832241897</v>
      </c>
      <c r="H1272" s="6">
        <f t="shared" ca="1" si="21"/>
        <v>7568.6777465750001</v>
      </c>
      <c r="I1272" s="7" t="str">
        <f ca="1">IFERROR(__xludf.DUMMYFUNCTION("IMPORTXML(E1272,""/html/body/main/div[3]/div[3]/div[2]/ul/li[5]/span[2]/span"")"),"Loading...")</f>
        <v>Loading...</v>
      </c>
      <c r="J1272" s="7">
        <f ca="1">IFERROR(__xludf.DUMMYFUNCTION("GOOGLEFINANCE(""NSE:""&amp;D1272,""marketcap"")"),1135542050)</f>
        <v>1135542050</v>
      </c>
      <c r="K1272" s="7">
        <v>992.8</v>
      </c>
      <c r="L1272" s="8">
        <f ca="1">IFERROR(__xludf.DUMMYFUNCTION("GOOGLEFINANCE(""NSE:""&amp;D1272,""price"")"),19.75)</f>
        <v>19.75</v>
      </c>
      <c r="M1272" s="9">
        <f t="shared" ca="1" si="22"/>
        <v>-973.05</v>
      </c>
      <c r="N1272" s="10">
        <f t="shared" ca="1" si="23"/>
        <v>-98.010676873489118</v>
      </c>
      <c r="O1272" s="7">
        <f ca="1">IFERROR(__xludf.DUMMYFUNCTION("GOOGLEFINANCE(""NSE:""&amp;D1272,""pe"")"),55.46)</f>
        <v>55.46</v>
      </c>
      <c r="P1272" s="7">
        <f ca="1">IFERROR(__xludf.DUMMYFUNCTION("GOOGLEFINANCE(""NSE:""&amp;D1272,""EPS"")"),0.36)</f>
        <v>0.36</v>
      </c>
      <c r="Q1272" s="7">
        <v>13.5</v>
      </c>
      <c r="R1272" s="7" t="str">
        <f ca="1">IFERROR(__xludf.DUMMYFUNCTION("IMPORTXML(E1272,""/html/body/main/div[3]/div[3]/div[2]/ul/li[7]/span[2]/span"")"),"Loading...")</f>
        <v>Loading...</v>
      </c>
      <c r="S1272" s="7" t="str">
        <f ca="1">IFERROR(__xludf.DUMMYFUNCTION("IMPORTXML(E1272,""/html/body/main/div[3]/div[3]/div[2]/ul/li[8]/span[2]/span"")"),"Loading...")</f>
        <v>Loading...</v>
      </c>
      <c r="T1272" s="4">
        <v>34.6</v>
      </c>
      <c r="U1272" s="4">
        <v>22.7</v>
      </c>
      <c r="V1272" s="4">
        <v>2.6</v>
      </c>
      <c r="W1272" s="4">
        <v>5.7</v>
      </c>
      <c r="X1272" s="4">
        <v>519.92999999999995</v>
      </c>
      <c r="Y1272" s="7">
        <f t="shared" ca="1" si="24"/>
        <v>-500.17999999999995</v>
      </c>
    </row>
    <row r="1273" spans="1:25" ht="15" x14ac:dyDescent="0.25">
      <c r="A1273" s="4">
        <v>2573</v>
      </c>
      <c r="C1273" s="12" t="s">
        <v>3088</v>
      </c>
      <c r="D1273" s="12" t="s">
        <v>3089</v>
      </c>
      <c r="E1273" s="5" t="str">
        <f t="shared" si="20"/>
        <v>https://www.screener.in/company/PNC/consolidated/</v>
      </c>
      <c r="F1273" s="4">
        <v>443059</v>
      </c>
      <c r="G1273" s="4">
        <v>3832241897</v>
      </c>
      <c r="H1273" s="6">
        <f t="shared" ca="1" si="21"/>
        <v>13412.8466395</v>
      </c>
      <c r="I1273" s="7" t="str">
        <f ca="1">IFERROR(__xludf.DUMMYFUNCTION("IMPORTXML(E1273,""/html/body/main/div[3]/div[3]/div[2]/ul/li[5]/span[2]/span"")"),"Loading...")</f>
        <v>Loading...</v>
      </c>
      <c r="J1273" s="7">
        <f ca="1">IFERROR(__xludf.DUMMYFUNCTION("GOOGLEFINANCE(""NSE:""&amp;D1273,""marketcap"")"),510090000)</f>
        <v>510090000</v>
      </c>
      <c r="K1273" s="7">
        <v>992.8</v>
      </c>
      <c r="L1273" s="8">
        <f ca="1">IFERROR(__xludf.DUMMYFUNCTION("GOOGLEFINANCE(""NSE:""&amp;D1273,""price"")"),35)</f>
        <v>35</v>
      </c>
      <c r="M1273" s="9">
        <f t="shared" ca="1" si="22"/>
        <v>-957.8</v>
      </c>
      <c r="N1273" s="10">
        <f t="shared" ca="1" si="23"/>
        <v>-96.47461724415794</v>
      </c>
      <c r="O1273" s="7" t="str">
        <f ca="1">IFERROR(__xludf.DUMMYFUNCTION("GOOGLEFINANCE(""NSE:""&amp;D1273,""pe"")"),"#N/A")</f>
        <v>#N/A</v>
      </c>
      <c r="P1273" s="7">
        <f ca="1">IFERROR(__xludf.DUMMYFUNCTION("GOOGLEFINANCE(""NSE:""&amp;D1273,""EPS"")"),-0.48)</f>
        <v>-0.48</v>
      </c>
      <c r="Q1273" s="7">
        <v>13.5</v>
      </c>
      <c r="R1273" s="7" t="str">
        <f ca="1">IFERROR(__xludf.DUMMYFUNCTION("IMPORTXML(E1273,""/html/body/main/div[3]/div[3]/div[2]/ul/li[7]/span[2]/span"")"),"Loading...")</f>
        <v>Loading...</v>
      </c>
      <c r="S1273" s="7" t="str">
        <f ca="1">IFERROR(__xludf.DUMMYFUNCTION("IMPORTXML(E1273,""/html/body/main/div[3]/div[3]/div[2]/ul/li[8]/span[2]/span"")"),"Loading...")</f>
        <v>Loading...</v>
      </c>
      <c r="T1273" s="4">
        <v>34.6</v>
      </c>
      <c r="U1273" s="4">
        <v>22.7</v>
      </c>
      <c r="V1273" s="4">
        <v>2.6</v>
      </c>
      <c r="W1273" s="4">
        <v>5.7</v>
      </c>
      <c r="X1273" s="4">
        <v>519.92999999999995</v>
      </c>
      <c r="Y1273" s="7">
        <f t="shared" ca="1" si="24"/>
        <v>-484.92999999999995</v>
      </c>
    </row>
    <row r="1274" spans="1:25" ht="15" x14ac:dyDescent="0.25">
      <c r="A1274" s="4">
        <v>43</v>
      </c>
      <c r="C1274" s="12" t="s">
        <v>3090</v>
      </c>
      <c r="D1274" s="12" t="s">
        <v>3091</v>
      </c>
      <c r="E1274" s="5" t="str">
        <f t="shared" si="20"/>
        <v>https://www.screener.in/company/INOXWIND/consolidated/</v>
      </c>
      <c r="F1274" s="4">
        <v>443059</v>
      </c>
      <c r="G1274" s="4">
        <v>3832241897</v>
      </c>
      <c r="H1274" s="6">
        <f t="shared" ca="1" si="21"/>
        <v>55950.731696199997</v>
      </c>
      <c r="I1274" s="7" t="str">
        <f ca="1">IFERROR(__xludf.DUMMYFUNCTION("IMPORTXML(E1274,""/html/body/main/div[3]/div[3]/div[2]/ul/li[5]/span[2]/span"")"),"Loading...")</f>
        <v>Loading...</v>
      </c>
      <c r="J1274" s="7">
        <f ca="1">IFERROR(__xludf.DUMMYFUNCTION("GOOGLEFINANCE(""NSE:""&amp;D1274,""marketcap"")"),189757683371)</f>
        <v>189757683371</v>
      </c>
      <c r="K1274" s="7">
        <v>992.8</v>
      </c>
      <c r="L1274" s="8">
        <f ca="1">IFERROR(__xludf.DUMMYFUNCTION("GOOGLEFINANCE(""NSE:""&amp;D1274,""price"")"),146)</f>
        <v>146</v>
      </c>
      <c r="M1274" s="9">
        <f t="shared" ca="1" si="22"/>
        <v>-846.8</v>
      </c>
      <c r="N1274" s="10">
        <f t="shared" ca="1" si="23"/>
        <v>-85.294117647058826</v>
      </c>
      <c r="O1274" s="7">
        <f ca="1">IFERROR(__xludf.DUMMYFUNCTION("GOOGLEFINANCE(""NSE:""&amp;D1274,""pe"")"),44.21)</f>
        <v>44.21</v>
      </c>
      <c r="P1274" s="7">
        <f ca="1">IFERROR(__xludf.DUMMYFUNCTION("GOOGLEFINANCE(""NSE:""&amp;D1274,""EPS"")"),3.3)</f>
        <v>3.3</v>
      </c>
      <c r="Q1274" s="7">
        <v>13.5</v>
      </c>
      <c r="R1274" s="7" t="str">
        <f ca="1">IFERROR(__xludf.DUMMYFUNCTION("IMPORTXML(E1274,""/html/body/main/div[3]/div[3]/div[2]/ul/li[7]/span[2]/span"")"),"Loading...")</f>
        <v>Loading...</v>
      </c>
      <c r="S1274" s="7" t="str">
        <f ca="1">IFERROR(__xludf.DUMMYFUNCTION("IMPORTXML(E1274,""/html/body/main/div[3]/div[3]/div[2]/ul/li[8]/span[2]/span"")"),"Loading...")</f>
        <v>Loading...</v>
      </c>
      <c r="T1274" s="4">
        <v>34.6</v>
      </c>
      <c r="U1274" s="4">
        <v>22.7</v>
      </c>
      <c r="V1274" s="4">
        <v>2.6</v>
      </c>
      <c r="W1274" s="4">
        <v>5.7</v>
      </c>
      <c r="X1274" s="4">
        <v>519.92999999999995</v>
      </c>
      <c r="Y1274" s="7">
        <f t="shared" ca="1" si="24"/>
        <v>-373.92999999999995</v>
      </c>
    </row>
    <row r="1275" spans="1:25" ht="15" x14ac:dyDescent="0.25">
      <c r="A1275" s="4">
        <v>2072</v>
      </c>
      <c r="C1275" s="12" t="s">
        <v>3092</v>
      </c>
      <c r="D1275" s="12" t="s">
        <v>3093</v>
      </c>
      <c r="E1275" s="5" t="str">
        <f t="shared" si="20"/>
        <v>https://www.screener.in/company/ARVEE/consolidated/</v>
      </c>
      <c r="F1275" s="4">
        <v>443059</v>
      </c>
      <c r="G1275" s="4">
        <v>3832241897</v>
      </c>
      <c r="H1275" s="6">
        <f t="shared" ca="1" si="21"/>
        <v>58824.913118949997</v>
      </c>
      <c r="I1275" s="7" t="str">
        <f ca="1">IFERROR(__xludf.DUMMYFUNCTION("IMPORTXML(E1275,""/html/body/main/div[3]/div[3]/div[2]/ul/li[5]/span[2]/span"")"),"Loading...")</f>
        <v>Loading...</v>
      </c>
      <c r="J1275" s="7">
        <f ca="1">IFERROR(__xludf.DUMMYFUNCTION("GOOGLEFINANCE(""NSE:""&amp;D1275,""marketcap"")"),1691570000)</f>
        <v>1691570000</v>
      </c>
      <c r="K1275" s="7">
        <v>992.8</v>
      </c>
      <c r="L1275" s="8">
        <f ca="1">IFERROR(__xludf.DUMMYFUNCTION("GOOGLEFINANCE(""NSE:""&amp;D1275,""price"")"),153.5)</f>
        <v>153.5</v>
      </c>
      <c r="M1275" s="9">
        <f t="shared" ca="1" si="22"/>
        <v>-839.3</v>
      </c>
      <c r="N1275" s="10">
        <f t="shared" ca="1" si="23"/>
        <v>-84.53867848509266</v>
      </c>
      <c r="O1275" s="7">
        <f ca="1">IFERROR(__xludf.DUMMYFUNCTION("GOOGLEFINANCE(""NSE:""&amp;D1275,""pe"")"),123.79)</f>
        <v>123.79</v>
      </c>
      <c r="P1275" s="7">
        <f ca="1">IFERROR(__xludf.DUMMYFUNCTION("GOOGLEFINANCE(""NSE:""&amp;D1275,""EPS"")"),1.24)</f>
        <v>1.24</v>
      </c>
      <c r="Q1275" s="7">
        <v>13.5</v>
      </c>
      <c r="R1275" s="7" t="str">
        <f ca="1">IFERROR(__xludf.DUMMYFUNCTION("IMPORTXML(E1275,""/html/body/main/div[3]/div[3]/div[2]/ul/li[7]/span[2]/span"")"),"Loading...")</f>
        <v>Loading...</v>
      </c>
      <c r="S1275" s="7" t="str">
        <f ca="1">IFERROR(__xludf.DUMMYFUNCTION("IMPORTXML(E1275,""/html/body/main/div[3]/div[3]/div[2]/ul/li[8]/span[2]/span"")"),"Loading...")</f>
        <v>Loading...</v>
      </c>
      <c r="T1275" s="4">
        <v>34.6</v>
      </c>
      <c r="U1275" s="4">
        <v>22.7</v>
      </c>
      <c r="V1275" s="4">
        <v>2.6</v>
      </c>
      <c r="W1275" s="4">
        <v>5.7</v>
      </c>
      <c r="X1275" s="4">
        <v>519.92999999999995</v>
      </c>
      <c r="Y1275" s="7">
        <f t="shared" ca="1" si="24"/>
        <v>-366.42999999999995</v>
      </c>
    </row>
    <row r="1276" spans="1:25" ht="15" x14ac:dyDescent="0.25">
      <c r="A1276" s="4">
        <v>941</v>
      </c>
      <c r="C1276" s="12" t="s">
        <v>3094</v>
      </c>
      <c r="D1276" s="12" t="s">
        <v>3095</v>
      </c>
      <c r="E1276" s="5" t="str">
        <f t="shared" si="20"/>
        <v>https://www.screener.in/company/DPSCLTD/consolidated/</v>
      </c>
      <c r="F1276" s="4">
        <v>443059</v>
      </c>
      <c r="G1276" s="4">
        <v>3832241897</v>
      </c>
      <c r="H1276" s="6">
        <f t="shared" ca="1" si="21"/>
        <v>4694.4963238250002</v>
      </c>
      <c r="I1276" s="7" t="str">
        <f ca="1">IFERROR(__xludf.DUMMYFUNCTION("IMPORTXML(E1276,""/html/body/main/div[3]/div[3]/div[2]/ul/li[5]/span[2]/span"")"),"Loading...")</f>
        <v>Loading...</v>
      </c>
      <c r="J1276" s="7">
        <f ca="1">IFERROR(__xludf.DUMMYFUNCTION("GOOGLEFINANCE(""NSE:""&amp;D1276,""marketcap"")"),11928927500)</f>
        <v>11928927500</v>
      </c>
      <c r="K1276" s="7">
        <v>992.8</v>
      </c>
      <c r="L1276" s="8">
        <f ca="1">IFERROR(__xludf.DUMMYFUNCTION("GOOGLEFINANCE(""NSE:""&amp;D1276,""price"")"),12.25)</f>
        <v>12.25</v>
      </c>
      <c r="M1276" s="9">
        <f t="shared" ca="1" si="22"/>
        <v>-980.55</v>
      </c>
      <c r="N1276" s="10">
        <f t="shared" ca="1" si="23"/>
        <v>-98.766116035455269</v>
      </c>
      <c r="O1276" s="7">
        <f ca="1">IFERROR(__xludf.DUMMYFUNCTION("GOOGLEFINANCE(""NSE:""&amp;D1276,""pe"")"),202.88)</f>
        <v>202.88</v>
      </c>
      <c r="P1276" s="7">
        <f ca="1">IFERROR(__xludf.DUMMYFUNCTION("GOOGLEFINANCE(""NSE:""&amp;D1276,""EPS"")"),0.06)</f>
        <v>0.06</v>
      </c>
      <c r="Q1276" s="7">
        <v>13.5</v>
      </c>
      <c r="R1276" s="7" t="str">
        <f ca="1">IFERROR(__xludf.DUMMYFUNCTION("IMPORTXML(E1276,""/html/body/main/div[3]/div[3]/div[2]/ul/li[7]/span[2]/span"")"),"Loading...")</f>
        <v>Loading...</v>
      </c>
      <c r="S1276" s="7" t="str">
        <f ca="1">IFERROR(__xludf.DUMMYFUNCTION("IMPORTXML(E1276,""/html/body/main/div[3]/div[3]/div[2]/ul/li[8]/span[2]/span"")"),"Loading...")</f>
        <v>Loading...</v>
      </c>
      <c r="T1276" s="4">
        <v>34.6</v>
      </c>
      <c r="U1276" s="4">
        <v>22.7</v>
      </c>
      <c r="V1276" s="4">
        <v>2.6</v>
      </c>
      <c r="W1276" s="4">
        <v>5.7</v>
      </c>
      <c r="X1276" s="4">
        <v>519.92999999999995</v>
      </c>
      <c r="Y1276" s="7">
        <f t="shared" ca="1" si="24"/>
        <v>-507.67999999999995</v>
      </c>
    </row>
    <row r="1277" spans="1:25" ht="15" x14ac:dyDescent="0.25">
      <c r="A1277" s="4">
        <v>768</v>
      </c>
      <c r="C1277" s="12" t="s">
        <v>3096</v>
      </c>
      <c r="D1277" s="12" t="s">
        <v>3097</v>
      </c>
      <c r="E1277" s="5" t="str">
        <f t="shared" ref="E1277:E1436" si="25">"https://www.screener.in/company/"&amp; D1277&amp;"/consolidated/"</f>
        <v>https://www.screener.in/company/LANDMARK/consolidated/</v>
      </c>
      <c r="F1277" s="4">
        <v>443059</v>
      </c>
      <c r="G1277" s="4">
        <v>3832241897</v>
      </c>
      <c r="H1277" s="6">
        <f t="shared" ref="H1277:H1436" ca="1" si="26">(G1277*L1277)/10^7</f>
        <v>239706.73065735001</v>
      </c>
      <c r="I1277" s="7" t="str">
        <f ca="1">IFERROR(__xludf.DUMMYFUNCTION("IMPORTXML(E1277,""/html/body/main/div[3]/div[3]/div[2]/ul/li[5]/span[2]/span"")"),"Loading...")</f>
        <v>Loading...</v>
      </c>
      <c r="J1277" s="7">
        <f ca="1">IFERROR(__xludf.DUMMYFUNCTION("GOOGLEFINANCE(""NSE:""&amp;D1277,""marketcap"")"),26084810000)</f>
        <v>26084810000</v>
      </c>
      <c r="K1277" s="7">
        <v>992.8</v>
      </c>
      <c r="L1277" s="8">
        <f ca="1">IFERROR(__xludf.DUMMYFUNCTION("GOOGLEFINANCE(""NSE:""&amp;D1277,""price"")"),625.5)</f>
        <v>625.5</v>
      </c>
      <c r="M1277" s="9">
        <f t="shared" ref="M1277:M1436" ca="1" si="27">L1277-K1277</f>
        <v>-367.29999999999995</v>
      </c>
      <c r="N1277" s="10">
        <f t="shared" ref="N1277:N1436" ca="1" si="28">(M1277/K1277)*100</f>
        <v>-36.996373892022561</v>
      </c>
      <c r="O1277" s="7">
        <f ca="1">IFERROR(__xludf.DUMMYFUNCTION("GOOGLEFINANCE(""NSE:""&amp;D1277,""pe"")"),131.62)</f>
        <v>131.62</v>
      </c>
      <c r="P1277" s="7">
        <f ca="1">IFERROR(__xludf.DUMMYFUNCTION("GOOGLEFINANCE(""NSE:""&amp;D1277,""EPS"")"),4.75)</f>
        <v>4.75</v>
      </c>
      <c r="Q1277" s="7">
        <v>13.5</v>
      </c>
      <c r="R1277" s="7" t="str">
        <f ca="1">IFERROR(__xludf.DUMMYFUNCTION("IMPORTXML(E1277,""/html/body/main/div[3]/div[3]/div[2]/ul/li[7]/span[2]/span"")"),"Loading...")</f>
        <v>Loading...</v>
      </c>
      <c r="S1277" s="7" t="str">
        <f ca="1">IFERROR(__xludf.DUMMYFUNCTION("IMPORTXML(E1277,""/html/body/main/div[3]/div[3]/div[2]/ul/li[8]/span[2]/span"")"),"Loading...")</f>
        <v>Loading...</v>
      </c>
      <c r="T1277" s="4">
        <v>34.6</v>
      </c>
      <c r="U1277" s="4">
        <v>22.7</v>
      </c>
      <c r="V1277" s="4">
        <v>2.6</v>
      </c>
      <c r="W1277" s="4">
        <v>5.7</v>
      </c>
      <c r="X1277" s="4">
        <v>519.92999999999995</v>
      </c>
      <c r="Y1277" s="7">
        <f t="shared" ref="Y1277:Y1436" ca="1" si="29">L1277-X1277</f>
        <v>105.57000000000005</v>
      </c>
    </row>
    <row r="1278" spans="1:25" ht="15" x14ac:dyDescent="0.25">
      <c r="A1278" s="4">
        <v>2118</v>
      </c>
      <c r="C1278" s="12" t="s">
        <v>3098</v>
      </c>
      <c r="D1278" s="12" t="s">
        <v>3099</v>
      </c>
      <c r="E1278" s="5" t="str">
        <f t="shared" si="25"/>
        <v>https://www.screener.in/company/HILTON/consolidated/</v>
      </c>
      <c r="F1278" s="4">
        <v>443059</v>
      </c>
      <c r="G1278" s="4">
        <v>3832241897</v>
      </c>
      <c r="H1278" s="6">
        <f t="shared" ca="1" si="26"/>
        <v>20667.280550520998</v>
      </c>
      <c r="I1278" s="7" t="str">
        <f ca="1">IFERROR(__xludf.DUMMYFUNCTION("IMPORTXML(E1278,""/html/body/main/div[3]/div[3]/div[2]/ul/li[5]/span[2]/span"")"),"Loading...")</f>
        <v>Loading...</v>
      </c>
      <c r="J1278" s="7">
        <f ca="1">IFERROR(__xludf.DUMMYFUNCTION("GOOGLEFINANCE(""NSE:""&amp;D1278,""marketcap"")"),1260558000)</f>
        <v>1260558000</v>
      </c>
      <c r="K1278" s="7">
        <v>992.8</v>
      </c>
      <c r="L1278" s="8">
        <f ca="1">IFERROR(__xludf.DUMMYFUNCTION("GOOGLEFINANCE(""NSE:""&amp;D1278,""price"")"),53.93)</f>
        <v>53.93</v>
      </c>
      <c r="M1278" s="9">
        <f t="shared" ca="1" si="27"/>
        <v>-938.87</v>
      </c>
      <c r="N1278" s="10">
        <f t="shared" ca="1" si="28"/>
        <v>-94.567888799355359</v>
      </c>
      <c r="O1278" s="7">
        <f ca="1">IFERROR(__xludf.DUMMYFUNCTION("GOOGLEFINANCE(""NSE:""&amp;D1278,""pe"")"),17.8)</f>
        <v>17.8</v>
      </c>
      <c r="P1278" s="7">
        <f ca="1">IFERROR(__xludf.DUMMYFUNCTION("GOOGLEFINANCE(""NSE:""&amp;D1278,""EPS"")"),3.03)</f>
        <v>3.03</v>
      </c>
      <c r="Q1278" s="7">
        <v>13.5</v>
      </c>
      <c r="R1278" s="7" t="str">
        <f ca="1">IFERROR(__xludf.DUMMYFUNCTION("IMPORTXML(E1278,""/html/body/main/div[3]/div[3]/div[2]/ul/li[7]/span[2]/span"")"),"Loading...")</f>
        <v>Loading...</v>
      </c>
      <c r="S1278" s="7" t="str">
        <f ca="1">IFERROR(__xludf.DUMMYFUNCTION("IMPORTXML(E1278,""/html/body/main/div[3]/div[3]/div[2]/ul/li[8]/span[2]/span"")"),"Loading...")</f>
        <v>Loading...</v>
      </c>
      <c r="T1278" s="4">
        <v>34.6</v>
      </c>
      <c r="U1278" s="4">
        <v>22.7</v>
      </c>
      <c r="V1278" s="4">
        <v>2.6</v>
      </c>
      <c r="W1278" s="4">
        <v>5.7</v>
      </c>
      <c r="X1278" s="4">
        <v>519.92999999999995</v>
      </c>
      <c r="Y1278" s="7">
        <f t="shared" ca="1" si="29"/>
        <v>-465.99999999999994</v>
      </c>
    </row>
    <row r="1279" spans="1:25" ht="15" x14ac:dyDescent="0.25">
      <c r="A1279" s="4">
        <v>420</v>
      </c>
      <c r="C1279" s="12" t="s">
        <v>3100</v>
      </c>
      <c r="D1279" s="12" t="s">
        <v>3101</v>
      </c>
      <c r="E1279" s="5" t="str">
        <f t="shared" si="25"/>
        <v>https://www.screener.in/company/JINDWORLD/consolidated/</v>
      </c>
      <c r="F1279" s="4">
        <v>443059</v>
      </c>
      <c r="G1279" s="4">
        <v>3832241897</v>
      </c>
      <c r="H1279" s="6">
        <f t="shared" ca="1" si="26"/>
        <v>13987.682924049999</v>
      </c>
      <c r="I1279" s="7" t="str">
        <f ca="1">IFERROR(__xludf.DUMMYFUNCTION("IMPORTXML(E1279,""/html/body/main/div[3]/div[3]/div[2]/ul/li[5]/span[2]/span"")"),"Loading...")</f>
        <v>Loading...</v>
      </c>
      <c r="J1279" s="7">
        <f ca="1">IFERROR(__xludf.DUMMYFUNCTION("GOOGLEFINANCE(""NSE:""&amp;D1279,""marketcap"")"),36594973000)</f>
        <v>36594973000</v>
      </c>
      <c r="K1279" s="7">
        <v>992.8</v>
      </c>
      <c r="L1279" s="8">
        <f ca="1">IFERROR(__xludf.DUMMYFUNCTION("GOOGLEFINANCE(""NSE:""&amp;D1279,""price"")"),36.5)</f>
        <v>36.5</v>
      </c>
      <c r="M1279" s="9">
        <f t="shared" ca="1" si="27"/>
        <v>-956.3</v>
      </c>
      <c r="N1279" s="10">
        <f t="shared" ca="1" si="28"/>
        <v>-96.32352941176471</v>
      </c>
      <c r="O1279" s="7">
        <f ca="1">IFERROR(__xludf.DUMMYFUNCTION("GOOGLEFINANCE(""NSE:""&amp;D1279,""pe"")"),49.02)</f>
        <v>49.02</v>
      </c>
      <c r="P1279" s="7">
        <f ca="1">IFERROR(__xludf.DUMMYFUNCTION("GOOGLEFINANCE(""NSE:""&amp;D1279,""EPS"")"),0.74)</f>
        <v>0.74</v>
      </c>
      <c r="Q1279" s="7">
        <v>13.5</v>
      </c>
      <c r="R1279" s="7" t="str">
        <f ca="1">IFERROR(__xludf.DUMMYFUNCTION("IMPORTXML(E1279,""/html/body/main/div[3]/div[3]/div[2]/ul/li[7]/span[2]/span"")"),"Loading...")</f>
        <v>Loading...</v>
      </c>
      <c r="S1279" s="7" t="str">
        <f ca="1">IFERROR(__xludf.DUMMYFUNCTION("IMPORTXML(E1279,""/html/body/main/div[3]/div[3]/div[2]/ul/li[8]/span[2]/span"")"),"Loading...")</f>
        <v>Loading...</v>
      </c>
      <c r="T1279" s="4">
        <v>34.6</v>
      </c>
      <c r="U1279" s="4">
        <v>22.7</v>
      </c>
      <c r="V1279" s="4">
        <v>2.6</v>
      </c>
      <c r="W1279" s="4">
        <v>5.7</v>
      </c>
      <c r="X1279" s="4">
        <v>519.92999999999995</v>
      </c>
      <c r="Y1279" s="7">
        <f t="shared" ca="1" si="29"/>
        <v>-483.42999999999995</v>
      </c>
    </row>
    <row r="1280" spans="1:25" ht="15" x14ac:dyDescent="0.25">
      <c r="A1280" s="4">
        <v>146</v>
      </c>
      <c r="C1280" s="12" t="s">
        <v>3102</v>
      </c>
      <c r="D1280" s="12" t="s">
        <v>3103</v>
      </c>
      <c r="E1280" s="5" t="str">
        <f t="shared" si="25"/>
        <v>https://www.screener.in/company/NAVINFLUOR/consolidated/</v>
      </c>
      <c r="F1280" s="4">
        <v>443059</v>
      </c>
      <c r="G1280" s="4">
        <v>3832241897</v>
      </c>
      <c r="H1280" s="6">
        <f t="shared" ca="1" si="26"/>
        <v>1789656.9658989999</v>
      </c>
      <c r="I1280" s="7" t="str">
        <f ca="1">IFERROR(__xludf.DUMMYFUNCTION("IMPORTXML(E1280,""/html/body/main/div[3]/div[3]/div[2]/ul/li[5]/span[2]/span"")"),"Loading...")</f>
        <v>Loading...</v>
      </c>
      <c r="J1280" s="7">
        <f ca="1">IFERROR(__xludf.DUMMYFUNCTION("GOOGLEFINANCE(""NSE:""&amp;D1280,""marketcap"")"),238832800000)</f>
        <v>238832800000</v>
      </c>
      <c r="K1280" s="7">
        <v>992.8</v>
      </c>
      <c r="L1280" s="8">
        <f ca="1">IFERROR(__xludf.DUMMYFUNCTION("GOOGLEFINANCE(""NSE:""&amp;D1280,""price"")"),4670)</f>
        <v>4670</v>
      </c>
      <c r="M1280" s="9">
        <f t="shared" ca="1" si="27"/>
        <v>3677.2</v>
      </c>
      <c r="N1280" s="10">
        <f t="shared" ca="1" si="28"/>
        <v>370.38678485092669</v>
      </c>
      <c r="O1280" s="7">
        <f ca="1">IFERROR(__xludf.DUMMYFUNCTION("GOOGLEFINANCE(""NSE:""&amp;D1280,""pe"")"),65.42)</f>
        <v>65.42</v>
      </c>
      <c r="P1280" s="7">
        <f ca="1">IFERROR(__xludf.DUMMYFUNCTION("GOOGLEFINANCE(""NSE:""&amp;D1280,""EPS"")"),71.39)</f>
        <v>71.39</v>
      </c>
      <c r="Q1280" s="7">
        <v>13.5</v>
      </c>
      <c r="R1280" s="7" t="str">
        <f ca="1">IFERROR(__xludf.DUMMYFUNCTION("IMPORTXML(E1280,""/html/body/main/div[3]/div[3]/div[2]/ul/li[7]/span[2]/span"")"),"Loading...")</f>
        <v>Loading...</v>
      </c>
      <c r="S1280" s="7" t="str">
        <f ca="1">IFERROR(__xludf.DUMMYFUNCTION("IMPORTXML(E1280,""/html/body/main/div[3]/div[3]/div[2]/ul/li[8]/span[2]/span"")"),"Loading...")</f>
        <v>Loading...</v>
      </c>
      <c r="T1280" s="4">
        <v>34.6</v>
      </c>
      <c r="U1280" s="4">
        <v>22.7</v>
      </c>
      <c r="V1280" s="4">
        <v>2.6</v>
      </c>
      <c r="W1280" s="4">
        <v>5.7</v>
      </c>
      <c r="X1280" s="4">
        <v>519.92999999999995</v>
      </c>
      <c r="Y1280" s="7">
        <f t="shared" ca="1" si="29"/>
        <v>4150.07</v>
      </c>
    </row>
    <row r="1281" spans="1:25" ht="15" x14ac:dyDescent="0.25">
      <c r="A1281" s="4">
        <v>304</v>
      </c>
      <c r="C1281" s="12" t="s">
        <v>3104</v>
      </c>
      <c r="D1281" s="12" t="s">
        <v>3105</v>
      </c>
      <c r="E1281" s="5" t="str">
        <f t="shared" si="25"/>
        <v>https://www.screener.in/company/VIJAYA/consolidated/</v>
      </c>
      <c r="F1281" s="4">
        <v>443059</v>
      </c>
      <c r="G1281" s="4">
        <v>3832241897</v>
      </c>
      <c r="H1281" s="6">
        <f t="shared" ca="1" si="26"/>
        <v>425378.85056699999</v>
      </c>
      <c r="I1281" s="7" t="str">
        <f ca="1">IFERROR(__xludf.DUMMYFUNCTION("IMPORTXML(E1281,""/html/body/main/div[3]/div[3]/div[2]/ul/li[5]/span[2]/span"")"),"Loading...")</f>
        <v>Loading...</v>
      </c>
      <c r="J1281" s="7">
        <f ca="1">IFERROR(__xludf.DUMMYFUNCTION("GOOGLEFINANCE(""NSE:""&amp;D1281,""marketcap"")"),114024528000)</f>
        <v>114024528000</v>
      </c>
      <c r="K1281" s="7">
        <v>992.8</v>
      </c>
      <c r="L1281" s="8">
        <f ca="1">IFERROR(__xludf.DUMMYFUNCTION("GOOGLEFINANCE(""NSE:""&amp;D1281,""price"")"),1110)</f>
        <v>1110</v>
      </c>
      <c r="M1281" s="9">
        <f t="shared" ca="1" si="27"/>
        <v>117.20000000000005</v>
      </c>
      <c r="N1281" s="10">
        <f t="shared" ca="1" si="28"/>
        <v>11.804995970991142</v>
      </c>
      <c r="O1281" s="7">
        <f ca="1">IFERROR(__xludf.DUMMYFUNCTION("GOOGLEFINANCE(""NSE:""&amp;D1281,""pe"")"),75.92)</f>
        <v>75.92</v>
      </c>
      <c r="P1281" s="7">
        <f ca="1">IFERROR(__xludf.DUMMYFUNCTION("GOOGLEFINANCE(""NSE:""&amp;D1281,""EPS"")"),14.62)</f>
        <v>14.62</v>
      </c>
      <c r="Q1281" s="7">
        <v>13.5</v>
      </c>
      <c r="R1281" s="7" t="str">
        <f ca="1">IFERROR(__xludf.DUMMYFUNCTION("IMPORTXML(E1281,""/html/body/main/div[3]/div[3]/div[2]/ul/li[7]/span[2]/span"")"),"Loading...")</f>
        <v>Loading...</v>
      </c>
      <c r="S1281" s="7" t="str">
        <f ca="1">IFERROR(__xludf.DUMMYFUNCTION("IMPORTXML(E1281,""/html/body/main/div[3]/div[3]/div[2]/ul/li[8]/span[2]/span"")"),"Loading...")</f>
        <v>Loading...</v>
      </c>
      <c r="T1281" s="4">
        <v>34.6</v>
      </c>
      <c r="U1281" s="4">
        <v>22.7</v>
      </c>
      <c r="V1281" s="4">
        <v>2.6</v>
      </c>
      <c r="W1281" s="4">
        <v>5.7</v>
      </c>
      <c r="X1281" s="4">
        <v>519.92999999999995</v>
      </c>
      <c r="Y1281" s="7">
        <f t="shared" ca="1" si="29"/>
        <v>590.07000000000005</v>
      </c>
    </row>
    <row r="1282" spans="1:25" ht="15" x14ac:dyDescent="0.25">
      <c r="A1282" s="4">
        <v>522</v>
      </c>
      <c r="C1282" s="12" t="s">
        <v>3106</v>
      </c>
      <c r="D1282" s="12" t="s">
        <v>3107</v>
      </c>
      <c r="E1282" s="5" t="str">
        <f t="shared" si="25"/>
        <v>https://www.screener.in/company/AWFIS/consolidated/</v>
      </c>
      <c r="F1282" s="4">
        <v>443059</v>
      </c>
      <c r="G1282" s="4">
        <v>3832241897</v>
      </c>
      <c r="H1282" s="6">
        <f t="shared" ca="1" si="26"/>
        <v>222155.06276909003</v>
      </c>
      <c r="I1282" s="7" t="str">
        <f ca="1">IFERROR(__xludf.DUMMYFUNCTION("IMPORTXML(E1282,""/html/body/main/div[3]/div[3]/div[2]/ul/li[5]/span[2]/span"")"),"Loading...")</f>
        <v>Loading...</v>
      </c>
      <c r="J1282" s="7">
        <f ca="1">IFERROR(__xludf.DUMMYFUNCTION("GOOGLEFINANCE(""NSE:""&amp;D1282,""marketcap"")"),41329439911)</f>
        <v>41329439911</v>
      </c>
      <c r="K1282" s="7">
        <v>992.8</v>
      </c>
      <c r="L1282" s="8">
        <f ca="1">IFERROR(__xludf.DUMMYFUNCTION("GOOGLEFINANCE(""NSE:""&amp;D1282,""price"")"),579.7)</f>
        <v>579.70000000000005</v>
      </c>
      <c r="M1282" s="9">
        <f t="shared" ca="1" si="27"/>
        <v>-413.09999999999991</v>
      </c>
      <c r="N1282" s="10">
        <f t="shared" ca="1" si="28"/>
        <v>-41.609589041095887</v>
      </c>
      <c r="O1282" s="7">
        <f ca="1">IFERROR(__xludf.DUMMYFUNCTION("GOOGLEFINANCE(""NSE:""&amp;D1282,""pe"")"),54.95)</f>
        <v>54.95</v>
      </c>
      <c r="P1282" s="7">
        <f ca="1">IFERROR(__xludf.DUMMYFUNCTION("GOOGLEFINANCE(""NSE:""&amp;D1282,""EPS"")"),10.55)</f>
        <v>10.55</v>
      </c>
      <c r="Q1282" s="7">
        <v>13.5</v>
      </c>
      <c r="R1282" s="7" t="str">
        <f ca="1">IFERROR(__xludf.DUMMYFUNCTION("IMPORTXML(E1282,""/html/body/main/div[3]/div[3]/div[2]/ul/li[7]/span[2]/span"")"),"Loading...")</f>
        <v>Loading...</v>
      </c>
      <c r="S1282" s="7" t="str">
        <f ca="1">IFERROR(__xludf.DUMMYFUNCTION("IMPORTXML(E1282,""/html/body/main/div[3]/div[3]/div[2]/ul/li[8]/span[2]/span"")"),"Loading...")</f>
        <v>Loading...</v>
      </c>
      <c r="T1282" s="4">
        <v>34.6</v>
      </c>
      <c r="U1282" s="4">
        <v>22.7</v>
      </c>
      <c r="V1282" s="4">
        <v>2.6</v>
      </c>
      <c r="W1282" s="4">
        <v>5.7</v>
      </c>
      <c r="X1282" s="4">
        <v>519.92999999999995</v>
      </c>
      <c r="Y1282" s="7">
        <f t="shared" ca="1" si="29"/>
        <v>59.770000000000095</v>
      </c>
    </row>
    <row r="1283" spans="1:25" ht="15" x14ac:dyDescent="0.25">
      <c r="A1283" s="4">
        <v>136</v>
      </c>
      <c r="C1283" s="12" t="s">
        <v>3108</v>
      </c>
      <c r="D1283" s="12" t="s">
        <v>3109</v>
      </c>
      <c r="E1283" s="5" t="str">
        <f t="shared" si="25"/>
        <v>https://www.screener.in/company/CENTURYPLY/consolidated/</v>
      </c>
      <c r="F1283" s="4">
        <v>443059</v>
      </c>
      <c r="G1283" s="4">
        <v>3832241897</v>
      </c>
      <c r="H1283" s="6">
        <f t="shared" ca="1" si="26"/>
        <v>309530.17802069004</v>
      </c>
      <c r="I1283" s="7" t="str">
        <f ca="1">IFERROR(__xludf.DUMMYFUNCTION("IMPORTXML(E1283,""/html/body/main/div[3]/div[3]/div[2]/ul/li[5]/span[2]/span"")"),"Loading...")</f>
        <v>Loading...</v>
      </c>
      <c r="J1283" s="7">
        <f ca="1">IFERROR(__xludf.DUMMYFUNCTION("GOOGLEFINANCE(""NSE:""&amp;D1283,""marketcap"")"),179449134812)</f>
        <v>179449134812</v>
      </c>
      <c r="K1283" s="7">
        <v>992.8</v>
      </c>
      <c r="L1283" s="8">
        <f ca="1">IFERROR(__xludf.DUMMYFUNCTION("GOOGLEFINANCE(""NSE:""&amp;D1283,""price"")"),807.7)</f>
        <v>807.7</v>
      </c>
      <c r="M1283" s="9">
        <f t="shared" ca="1" si="27"/>
        <v>-185.09999999999991</v>
      </c>
      <c r="N1283" s="10">
        <f t="shared" ca="1" si="28"/>
        <v>-18.64423851732473</v>
      </c>
      <c r="O1283" s="7">
        <f ca="1">IFERROR(__xludf.DUMMYFUNCTION("GOOGLEFINANCE(""NSE:""&amp;D1283,""pe"")"),88.55)</f>
        <v>88.55</v>
      </c>
      <c r="P1283" s="7">
        <f ca="1">IFERROR(__xludf.DUMMYFUNCTION("GOOGLEFINANCE(""NSE:""&amp;D1283,""EPS"")"),9.12)</f>
        <v>9.1199999999999992</v>
      </c>
      <c r="Q1283" s="7">
        <v>13.5</v>
      </c>
      <c r="R1283" s="7" t="str">
        <f ca="1">IFERROR(__xludf.DUMMYFUNCTION("IMPORTXML(E1283,""/html/body/main/div[3]/div[3]/div[2]/ul/li[7]/span[2]/span"")"),"Loading...")</f>
        <v>Loading...</v>
      </c>
      <c r="S1283" s="7" t="str">
        <f ca="1">IFERROR(__xludf.DUMMYFUNCTION("IMPORTXML(E1283,""/html/body/main/div[3]/div[3]/div[2]/ul/li[8]/span[2]/span"")"),"Loading...")</f>
        <v>Loading...</v>
      </c>
      <c r="T1283" s="4">
        <v>34.6</v>
      </c>
      <c r="U1283" s="4">
        <v>22.7</v>
      </c>
      <c r="V1283" s="4">
        <v>2.6</v>
      </c>
      <c r="W1283" s="4">
        <v>5.7</v>
      </c>
      <c r="X1283" s="4">
        <v>519.92999999999995</v>
      </c>
      <c r="Y1283" s="7">
        <f t="shared" ca="1" si="29"/>
        <v>287.7700000000001</v>
      </c>
    </row>
    <row r="1284" spans="1:25" ht="15" x14ac:dyDescent="0.25">
      <c r="A1284" s="4">
        <v>472</v>
      </c>
      <c r="C1284" s="12" t="s">
        <v>3110</v>
      </c>
      <c r="D1284" s="12" t="s">
        <v>3111</v>
      </c>
      <c r="E1284" s="5" t="str">
        <f t="shared" si="25"/>
        <v>https://www.screener.in/company/ALLCARGO/consolidated/</v>
      </c>
      <c r="F1284" s="4">
        <v>443059</v>
      </c>
      <c r="G1284" s="4">
        <v>3832241897</v>
      </c>
      <c r="H1284" s="6">
        <f t="shared" ca="1" si="26"/>
        <v>12102.219910726</v>
      </c>
      <c r="I1284" s="7" t="str">
        <f ca="1">IFERROR(__xludf.DUMMYFUNCTION("IMPORTXML(E1284,""/html/body/main/div[3]/div[3]/div[2]/ul/li[5]/span[2]/span"")"),"Loading...")</f>
        <v>Loading...</v>
      </c>
      <c r="J1284" s="7">
        <f ca="1">IFERROR(__xludf.DUMMYFUNCTION("GOOGLEFINANCE(""NSE:""&amp;D1284,""marketcap"")"),30947810000)</f>
        <v>30947810000</v>
      </c>
      <c r="K1284" s="7">
        <v>992.8</v>
      </c>
      <c r="L1284" s="8">
        <f ca="1">IFERROR(__xludf.DUMMYFUNCTION("GOOGLEFINANCE(""NSE:""&amp;D1284,""price"")"),31.58)</f>
        <v>31.58</v>
      </c>
      <c r="M1284" s="9">
        <f t="shared" ca="1" si="27"/>
        <v>-961.21999999999991</v>
      </c>
      <c r="N1284" s="10">
        <f t="shared" ca="1" si="28"/>
        <v>-96.8190975020145</v>
      </c>
      <c r="O1284" s="7" t="str">
        <f ca="1">IFERROR(__xludf.DUMMYFUNCTION("GOOGLEFINANCE(""NSE:""&amp;D1284,""pe"")"),"#N/A")</f>
        <v>#N/A</v>
      </c>
      <c r="P1284" s="7">
        <f ca="1">IFERROR(__xludf.DUMMYFUNCTION("GOOGLEFINANCE(""NSE:""&amp;D1284,""EPS"")"),-0.7)</f>
        <v>-0.7</v>
      </c>
      <c r="Q1284" s="7">
        <v>13.5</v>
      </c>
      <c r="R1284" s="7" t="str">
        <f ca="1">IFERROR(__xludf.DUMMYFUNCTION("IMPORTXML(E1284,""/html/body/main/div[3]/div[3]/div[2]/ul/li[7]/span[2]/span"")"),"Loading...")</f>
        <v>Loading...</v>
      </c>
      <c r="S1284" s="7" t="str">
        <f ca="1">IFERROR(__xludf.DUMMYFUNCTION("IMPORTXML(E1284,""/html/body/main/div[3]/div[3]/div[2]/ul/li[8]/span[2]/span"")"),"Loading...")</f>
        <v>Loading...</v>
      </c>
      <c r="T1284" s="4">
        <v>34.6</v>
      </c>
      <c r="U1284" s="4">
        <v>22.7</v>
      </c>
      <c r="V1284" s="4">
        <v>2.6</v>
      </c>
      <c r="W1284" s="4">
        <v>5.7</v>
      </c>
      <c r="X1284" s="4">
        <v>519.92999999999995</v>
      </c>
      <c r="Y1284" s="7">
        <f t="shared" ca="1" si="29"/>
        <v>-488.34999999999997</v>
      </c>
    </row>
    <row r="1285" spans="1:25" ht="15" x14ac:dyDescent="0.25">
      <c r="A1285" s="4">
        <v>663</v>
      </c>
      <c r="C1285" s="12" t="s">
        <v>3112</v>
      </c>
      <c r="D1285" s="12" t="s">
        <v>3113</v>
      </c>
      <c r="E1285" s="5" t="str">
        <f t="shared" si="25"/>
        <v>https://www.screener.in/company/QUICKHEAL/consolidated/</v>
      </c>
      <c r="F1285" s="4">
        <v>443059</v>
      </c>
      <c r="G1285" s="4">
        <v>3832241897</v>
      </c>
      <c r="H1285" s="6">
        <f t="shared" ca="1" si="26"/>
        <v>114200.8085306</v>
      </c>
      <c r="I1285" s="7" t="str">
        <f ca="1">IFERROR(__xludf.DUMMYFUNCTION("IMPORTXML(E1285,""/html/body/main/div[3]/div[3]/div[2]/ul/li[5]/span[2]/span"")"),"Loading...")</f>
        <v>Loading...</v>
      </c>
      <c r="J1285" s="7">
        <f ca="1">IFERROR(__xludf.DUMMYFUNCTION("GOOGLEFINANCE(""NSE:""&amp;D1285,""marketcap"")"),16024060000)</f>
        <v>16024060000</v>
      </c>
      <c r="K1285" s="7">
        <v>992.8</v>
      </c>
      <c r="L1285" s="8">
        <f ca="1">IFERROR(__xludf.DUMMYFUNCTION("GOOGLEFINANCE(""NSE:""&amp;D1285,""price"")"),298)</f>
        <v>298</v>
      </c>
      <c r="M1285" s="9">
        <f t="shared" ca="1" si="27"/>
        <v>-694.8</v>
      </c>
      <c r="N1285" s="10">
        <f t="shared" ca="1" si="28"/>
        <v>-69.983883964544731</v>
      </c>
      <c r="O1285" s="7" t="str">
        <f ca="1">IFERROR(__xludf.DUMMYFUNCTION("GOOGLEFINANCE(""NSE:""&amp;D1285,""pe"")"),"#N/A")</f>
        <v>#N/A</v>
      </c>
      <c r="P1285" s="7">
        <f ca="1">IFERROR(__xludf.DUMMYFUNCTION("GOOGLEFINANCE(""NSE:""&amp;D1285,""EPS"")"),-0.83)</f>
        <v>-0.83</v>
      </c>
      <c r="Q1285" s="7">
        <v>13.5</v>
      </c>
      <c r="R1285" s="7" t="str">
        <f ca="1">IFERROR(__xludf.DUMMYFUNCTION("IMPORTXML(E1285,""/html/body/main/div[3]/div[3]/div[2]/ul/li[7]/span[2]/span"")"),"Loading...")</f>
        <v>Loading...</v>
      </c>
      <c r="S1285" s="7" t="str">
        <f ca="1">IFERROR(__xludf.DUMMYFUNCTION("IMPORTXML(E1285,""/html/body/main/div[3]/div[3]/div[2]/ul/li[8]/span[2]/span"")"),"Loading...")</f>
        <v>Loading...</v>
      </c>
      <c r="T1285" s="4">
        <v>34.6</v>
      </c>
      <c r="U1285" s="4">
        <v>22.7</v>
      </c>
      <c r="V1285" s="4">
        <v>2.6</v>
      </c>
      <c r="W1285" s="4">
        <v>5.7</v>
      </c>
      <c r="X1285" s="4">
        <v>519.92999999999995</v>
      </c>
      <c r="Y1285" s="7">
        <f t="shared" ca="1" si="29"/>
        <v>-221.92999999999995</v>
      </c>
    </row>
    <row r="1286" spans="1:25" ht="15" x14ac:dyDescent="0.25">
      <c r="A1286" s="4">
        <v>1485</v>
      </c>
      <c r="C1286" s="12" t="s">
        <v>3114</v>
      </c>
      <c r="D1286" s="12" t="s">
        <v>3115</v>
      </c>
      <c r="E1286" s="5" t="str">
        <f t="shared" si="25"/>
        <v>https://www.screener.in/company/CLEDUCATE/consolidated/</v>
      </c>
      <c r="F1286" s="4">
        <v>443059</v>
      </c>
      <c r="G1286" s="4">
        <v>3832241897</v>
      </c>
      <c r="H1286" s="6">
        <f t="shared" ca="1" si="26"/>
        <v>42921.109246400003</v>
      </c>
      <c r="I1286" s="7" t="str">
        <f ca="1">IFERROR(__xludf.DUMMYFUNCTION("IMPORTXML(E1286,""/html/body/main/div[3]/div[3]/div[2]/ul/li[5]/span[2]/span"")"),"Loading...")</f>
        <v>Loading...</v>
      </c>
      <c r="J1286" s="7">
        <f ca="1">IFERROR(__xludf.DUMMYFUNCTION("GOOGLEFINANCE(""NSE:""&amp;D1286,""marketcap"")"),6073082400)</f>
        <v>6073082400</v>
      </c>
      <c r="K1286" s="7">
        <v>992.8</v>
      </c>
      <c r="L1286" s="8">
        <f ca="1">IFERROR(__xludf.DUMMYFUNCTION("GOOGLEFINANCE(""NSE:""&amp;D1286,""price"")"),112)</f>
        <v>112</v>
      </c>
      <c r="M1286" s="9">
        <f t="shared" ca="1" si="27"/>
        <v>-880.8</v>
      </c>
      <c r="N1286" s="10">
        <f t="shared" ca="1" si="28"/>
        <v>-88.718775181305404</v>
      </c>
      <c r="O1286" s="7" t="str">
        <f ca="1">IFERROR(__xludf.DUMMYFUNCTION("GOOGLEFINANCE(""NSE:""&amp;D1286,""pe"")"),"#N/A")</f>
        <v>#N/A</v>
      </c>
      <c r="P1286" s="7">
        <f ca="1">IFERROR(__xludf.DUMMYFUNCTION("GOOGLEFINANCE(""NSE:""&amp;D1286,""EPS"")"),-2.38)</f>
        <v>-2.38</v>
      </c>
      <c r="Q1286" s="7">
        <v>13.5</v>
      </c>
      <c r="R1286" s="7" t="str">
        <f ca="1">IFERROR(__xludf.DUMMYFUNCTION("IMPORTXML(E1286,""/html/body/main/div[3]/div[3]/div[2]/ul/li[7]/span[2]/span"")"),"Loading...")</f>
        <v>Loading...</v>
      </c>
      <c r="S1286" s="7" t="str">
        <f ca="1">IFERROR(__xludf.DUMMYFUNCTION("IMPORTXML(E1286,""/html/body/main/div[3]/div[3]/div[2]/ul/li[8]/span[2]/span"")"),"Loading...")</f>
        <v>Loading...</v>
      </c>
      <c r="T1286" s="4">
        <v>34.6</v>
      </c>
      <c r="U1286" s="4">
        <v>22.7</v>
      </c>
      <c r="V1286" s="4">
        <v>2.6</v>
      </c>
      <c r="W1286" s="4">
        <v>5.7</v>
      </c>
      <c r="X1286" s="4">
        <v>519.92999999999995</v>
      </c>
      <c r="Y1286" s="7">
        <f t="shared" ca="1" si="29"/>
        <v>-407.92999999999995</v>
      </c>
    </row>
    <row r="1287" spans="1:25" ht="15" x14ac:dyDescent="0.25">
      <c r="A1287" s="4">
        <v>2191</v>
      </c>
      <c r="C1287" s="12" t="s">
        <v>3116</v>
      </c>
      <c r="D1287" s="12" t="s">
        <v>3117</v>
      </c>
      <c r="E1287" s="5" t="str">
        <f t="shared" si="25"/>
        <v>https://www.screener.in/company/WIPL/consolidated/</v>
      </c>
      <c r="F1287" s="4">
        <v>443059</v>
      </c>
      <c r="G1287" s="4">
        <v>3832241897</v>
      </c>
      <c r="H1287" s="6">
        <f t="shared" ca="1" si="26"/>
        <v>65569.658857670001</v>
      </c>
      <c r="I1287" s="7" t="str">
        <f ca="1">IFERROR(__xludf.DUMMYFUNCTION("IMPORTXML(E1287,""/html/body/main/div[3]/div[3]/div[2]/ul/li[5]/span[2]/span"")"),"Loading...")</f>
        <v>Loading...</v>
      </c>
      <c r="J1287" s="7">
        <f ca="1">IFERROR(__xludf.DUMMYFUNCTION("GOOGLEFINANCE(""NSE:""&amp;D1287,""marketcap"")"),1456003000)</f>
        <v>1456003000</v>
      </c>
      <c r="K1287" s="7">
        <v>992.8</v>
      </c>
      <c r="L1287" s="8">
        <f ca="1">IFERROR(__xludf.DUMMYFUNCTION("GOOGLEFINANCE(""NSE:""&amp;D1287,""price"")"),171.1)</f>
        <v>171.1</v>
      </c>
      <c r="M1287" s="9">
        <f t="shared" ca="1" si="27"/>
        <v>-821.69999999999993</v>
      </c>
      <c r="N1287" s="10">
        <f t="shared" ca="1" si="28"/>
        <v>-82.765914585012084</v>
      </c>
      <c r="O1287" s="7">
        <f ca="1">IFERROR(__xludf.DUMMYFUNCTION("GOOGLEFINANCE(""NSE:""&amp;D1287,""pe"")"),49.1)</f>
        <v>49.1</v>
      </c>
      <c r="P1287" s="7">
        <f ca="1">IFERROR(__xludf.DUMMYFUNCTION("GOOGLEFINANCE(""NSE:""&amp;D1287,""EPS"")"),3.48)</f>
        <v>3.48</v>
      </c>
      <c r="Q1287" s="7">
        <v>13.5</v>
      </c>
      <c r="R1287" s="7" t="str">
        <f ca="1">IFERROR(__xludf.DUMMYFUNCTION("IMPORTXML(E1287,""/html/body/main/div[3]/div[3]/div[2]/ul/li[7]/span[2]/span"")"),"Loading...")</f>
        <v>Loading...</v>
      </c>
      <c r="S1287" s="7" t="str">
        <f ca="1">IFERROR(__xludf.DUMMYFUNCTION("IMPORTXML(E1287,""/html/body/main/div[3]/div[3]/div[2]/ul/li[8]/span[2]/span"")"),"Loading...")</f>
        <v>Loading...</v>
      </c>
      <c r="T1287" s="4">
        <v>34.6</v>
      </c>
      <c r="U1287" s="4">
        <v>22.7</v>
      </c>
      <c r="V1287" s="4">
        <v>2.6</v>
      </c>
      <c r="W1287" s="4">
        <v>5.7</v>
      </c>
      <c r="X1287" s="4">
        <v>519.92999999999995</v>
      </c>
      <c r="Y1287" s="7">
        <f t="shared" ca="1" si="29"/>
        <v>-348.82999999999993</v>
      </c>
    </row>
    <row r="1288" spans="1:25" ht="15" x14ac:dyDescent="0.25">
      <c r="A1288" s="4">
        <v>2939</v>
      </c>
      <c r="C1288" s="12" t="s">
        <v>3118</v>
      </c>
      <c r="D1288" s="12" t="s">
        <v>3119</v>
      </c>
      <c r="E1288" s="5" t="str">
        <f t="shared" si="25"/>
        <v>https://www.screener.in/company/COUNCODOS/consolidated/</v>
      </c>
      <c r="F1288" s="4">
        <v>443059</v>
      </c>
      <c r="G1288" s="4">
        <v>3832241897</v>
      </c>
      <c r="H1288" s="6">
        <f t="shared" ca="1" si="26"/>
        <v>3165.4318069219999</v>
      </c>
      <c r="I1288" s="7" t="str">
        <f ca="1">IFERROR(__xludf.DUMMYFUNCTION("IMPORTXML(E1288,""/html/body/main/div[3]/div[3]/div[2]/ul/li[5]/span[2]/span"")"),"Loading...")</f>
        <v>Loading...</v>
      </c>
      <c r="J1288" s="7">
        <f ca="1">IFERROR(__xludf.DUMMYFUNCTION("GOOGLEFINANCE(""NSE:""&amp;D1288,""marketcap"")"),641744941)</f>
        <v>641744941</v>
      </c>
      <c r="K1288" s="7">
        <v>992.8</v>
      </c>
      <c r="L1288" s="8">
        <f ca="1">IFERROR(__xludf.DUMMYFUNCTION("GOOGLEFINANCE(""NSE:""&amp;D1288,""price"")"),8.26)</f>
        <v>8.26</v>
      </c>
      <c r="M1288" s="9">
        <f t="shared" ca="1" si="27"/>
        <v>-984.54</v>
      </c>
      <c r="N1288" s="10">
        <f t="shared" ca="1" si="28"/>
        <v>-99.16800966962127</v>
      </c>
      <c r="O1288" s="7">
        <f ca="1">IFERROR(__xludf.DUMMYFUNCTION("GOOGLEFINANCE(""NSE:""&amp;D1288,""pe"")"),103.25)</f>
        <v>103.25</v>
      </c>
      <c r="P1288" s="7">
        <f ca="1">IFERROR(__xludf.DUMMYFUNCTION("GOOGLEFINANCE(""NSE:""&amp;D1288,""EPS"")"),0.08)</f>
        <v>0.08</v>
      </c>
      <c r="Q1288" s="7">
        <v>13.5</v>
      </c>
      <c r="R1288" s="7" t="str">
        <f ca="1">IFERROR(__xludf.DUMMYFUNCTION("IMPORTXML(E1288,""/html/body/main/div[3]/div[3]/div[2]/ul/li[7]/span[2]/span"")"),"Loading...")</f>
        <v>Loading...</v>
      </c>
      <c r="S1288" s="7" t="str">
        <f ca="1">IFERROR(__xludf.DUMMYFUNCTION("IMPORTXML(E1288,""/html/body/main/div[3]/div[3]/div[2]/ul/li[8]/span[2]/span"")"),"Loading...")</f>
        <v>Loading...</v>
      </c>
      <c r="T1288" s="4">
        <v>34.6</v>
      </c>
      <c r="U1288" s="4">
        <v>22.7</v>
      </c>
      <c r="V1288" s="4">
        <v>2.6</v>
      </c>
      <c r="W1288" s="4">
        <v>5.7</v>
      </c>
      <c r="X1288" s="4">
        <v>519.92999999999995</v>
      </c>
      <c r="Y1288" s="7">
        <f t="shared" ca="1" si="29"/>
        <v>-511.66999999999996</v>
      </c>
    </row>
    <row r="1289" spans="1:25" ht="15" x14ac:dyDescent="0.25">
      <c r="A1289" s="4">
        <v>2403</v>
      </c>
      <c r="C1289" s="12" t="s">
        <v>3120</v>
      </c>
      <c r="D1289" s="12" t="s">
        <v>3121</v>
      </c>
      <c r="E1289" s="5" t="str">
        <f t="shared" si="25"/>
        <v>https://www.screener.in/company/TIMESGTY/consolidated/</v>
      </c>
      <c r="F1289" s="4">
        <v>443059</v>
      </c>
      <c r="G1289" s="4">
        <v>3832241897</v>
      </c>
      <c r="H1289" s="6" t="e">
        <f t="shared" ca="1" si="26"/>
        <v>#VALUE!</v>
      </c>
      <c r="I1289" s="7" t="str">
        <f ca="1">IFERROR(__xludf.DUMMYFUNCTION("IMPORTXML(E1289,""/html/body/main/div[3]/div[3]/div[2]/ul/li[5]/span[2]/span"")"),"Loading...")</f>
        <v>Loading...</v>
      </c>
      <c r="J1289" s="7" t="str">
        <f ca="1">IFERROR(__xludf.DUMMYFUNCTION("GOOGLEFINANCE(""NSE:""&amp;D1289,""marketcap"")"),"#N/A")</f>
        <v>#N/A</v>
      </c>
      <c r="K1289" s="7">
        <v>992.8</v>
      </c>
      <c r="L1289" s="8" t="str">
        <f ca="1">IFERROR(__xludf.DUMMYFUNCTION("GOOGLEFINANCE(""NSE:""&amp;D1289,""price"")"),"#N/A")</f>
        <v>#N/A</v>
      </c>
      <c r="M1289" s="9" t="e">
        <f t="shared" ca="1" si="27"/>
        <v>#VALUE!</v>
      </c>
      <c r="N1289" s="10" t="e">
        <f t="shared" ca="1" si="28"/>
        <v>#VALUE!</v>
      </c>
      <c r="O1289" s="7" t="str">
        <f ca="1">IFERROR(__xludf.DUMMYFUNCTION("GOOGLEFINANCE(""NSE:""&amp;D1289,""pe"")"),"#N/A")</f>
        <v>#N/A</v>
      </c>
      <c r="P1289" s="7" t="str">
        <f ca="1">IFERROR(__xludf.DUMMYFUNCTION("GOOGLEFINANCE(""NSE:""&amp;D1289,""EPS"")"),"#N/A")</f>
        <v>#N/A</v>
      </c>
      <c r="Q1289" s="7">
        <v>13.5</v>
      </c>
      <c r="R1289" s="7" t="str">
        <f ca="1">IFERROR(__xludf.DUMMYFUNCTION("IMPORTXML(E1289,""/html/body/main/div[3]/div[3]/div[2]/ul/li[7]/span[2]/span"")"),"Loading...")</f>
        <v>Loading...</v>
      </c>
      <c r="S1289" s="7" t="str">
        <f ca="1">IFERROR(__xludf.DUMMYFUNCTION("IMPORTXML(E1289,""/html/body/main/div[3]/div[3]/div[2]/ul/li[8]/span[2]/span"")"),"Loading...")</f>
        <v>Loading...</v>
      </c>
      <c r="T1289" s="4">
        <v>34.6</v>
      </c>
      <c r="U1289" s="4">
        <v>22.7</v>
      </c>
      <c r="V1289" s="4">
        <v>2.6</v>
      </c>
      <c r="W1289" s="4">
        <v>5.7</v>
      </c>
      <c r="X1289" s="4">
        <v>519.92999999999995</v>
      </c>
      <c r="Y1289" s="7" t="e">
        <f t="shared" ca="1" si="29"/>
        <v>#VALUE!</v>
      </c>
    </row>
    <row r="1290" spans="1:25" ht="15" x14ac:dyDescent="0.25">
      <c r="A1290" s="4">
        <v>4</v>
      </c>
      <c r="C1290" s="12" t="s">
        <v>3122</v>
      </c>
      <c r="D1290" s="12" t="s">
        <v>3123</v>
      </c>
      <c r="E1290" s="5" t="str">
        <f t="shared" si="25"/>
        <v>https://www.screener.in/company/GODIGIT/consolidated/</v>
      </c>
      <c r="F1290" s="4">
        <v>443059</v>
      </c>
      <c r="G1290" s="4">
        <v>3832241897</v>
      </c>
      <c r="H1290" s="6">
        <f t="shared" ca="1" si="26"/>
        <v>134894.91477440001</v>
      </c>
      <c r="I1290" s="7" t="str">
        <f ca="1">IFERROR(__xludf.DUMMYFUNCTION("IMPORTXML(E1290,""/html/body/main/div[3]/div[3]/div[2]/ul/li[5]/span[2]/span"")"),"Loading...")</f>
        <v>Loading...</v>
      </c>
      <c r="J1290" s="7">
        <f ca="1">IFERROR(__xludf.DUMMYFUNCTION("GOOGLEFINANCE(""NSE:""&amp;D1290,""marketcap"")"),326893300000)</f>
        <v>326893300000</v>
      </c>
      <c r="K1290" s="7">
        <v>992.8</v>
      </c>
      <c r="L1290" s="8">
        <f ca="1">IFERROR(__xludf.DUMMYFUNCTION("GOOGLEFINANCE(""NSE:""&amp;D1290,""price"")"),352)</f>
        <v>352</v>
      </c>
      <c r="M1290" s="9">
        <f t="shared" ca="1" si="27"/>
        <v>-640.79999999999995</v>
      </c>
      <c r="N1290" s="10">
        <f t="shared" ca="1" si="28"/>
        <v>-64.544721998388397</v>
      </c>
      <c r="O1290" s="7">
        <f ca="1">IFERROR(__xludf.DUMMYFUNCTION("GOOGLEFINANCE(""NSE:""&amp;D1290,""pe"")"),70.58)</f>
        <v>70.58</v>
      </c>
      <c r="P1290" s="7">
        <f ca="1">IFERROR(__xludf.DUMMYFUNCTION("GOOGLEFINANCE(""NSE:""&amp;D1290,""EPS"")"),4.99)</f>
        <v>4.99</v>
      </c>
      <c r="Q1290" s="7">
        <v>13.5</v>
      </c>
      <c r="R1290" s="7" t="str">
        <f ca="1">IFERROR(__xludf.DUMMYFUNCTION("IMPORTXML(E1290,""/html/body/main/div[3]/div[3]/div[2]/ul/li[7]/span[2]/span"")"),"Loading...")</f>
        <v>Loading...</v>
      </c>
      <c r="S1290" s="7" t="str">
        <f ca="1">IFERROR(__xludf.DUMMYFUNCTION("IMPORTXML(E1290,""/html/body/main/div[3]/div[3]/div[2]/ul/li[8]/span[2]/span"")"),"Loading...")</f>
        <v>Loading...</v>
      </c>
      <c r="T1290" s="4">
        <v>34.6</v>
      </c>
      <c r="U1290" s="4">
        <v>22.7</v>
      </c>
      <c r="V1290" s="4">
        <v>2.6</v>
      </c>
      <c r="W1290" s="4">
        <v>5.7</v>
      </c>
      <c r="X1290" s="4">
        <v>519.92999999999995</v>
      </c>
      <c r="Y1290" s="7">
        <f t="shared" ca="1" si="29"/>
        <v>-167.92999999999995</v>
      </c>
    </row>
    <row r="1291" spans="1:25" ht="15" x14ac:dyDescent="0.25">
      <c r="A1291" s="4">
        <v>530</v>
      </c>
      <c r="C1291" s="12" t="s">
        <v>3124</v>
      </c>
      <c r="D1291" s="12" t="s">
        <v>3125</v>
      </c>
      <c r="E1291" s="5" t="str">
        <f t="shared" si="25"/>
        <v>https://www.screener.in/company/E2E/consolidated/</v>
      </c>
      <c r="F1291" s="4">
        <v>443059</v>
      </c>
      <c r="G1291" s="4">
        <v>3832241897</v>
      </c>
      <c r="H1291" s="6">
        <f t="shared" ca="1" si="26"/>
        <v>1110966.9259403001</v>
      </c>
      <c r="I1291" s="7" t="str">
        <f ca="1">IFERROR(__xludf.DUMMYFUNCTION("IMPORTXML(E1291,""/html/body/main/div[3]/div[3]/div[2]/ul/li[5]/span[2]/span"")"),"Loading...")</f>
        <v>Loading...</v>
      </c>
      <c r="J1291" s="7">
        <f ca="1">IFERROR(__xludf.DUMMYFUNCTION("GOOGLEFINANCE(""NSE:""&amp;D1291,""marketcap"")"),58272451120)</f>
        <v>58272451120</v>
      </c>
      <c r="K1291" s="7">
        <v>992.8</v>
      </c>
      <c r="L1291" s="8">
        <f ca="1">IFERROR(__xludf.DUMMYFUNCTION("GOOGLEFINANCE(""NSE:""&amp;D1291,""price"")"),2899)</f>
        <v>2899</v>
      </c>
      <c r="M1291" s="9">
        <f t="shared" ca="1" si="27"/>
        <v>1906.2</v>
      </c>
      <c r="N1291" s="10">
        <f t="shared" ca="1" si="28"/>
        <v>192.00241740531831</v>
      </c>
      <c r="O1291" s="7">
        <f ca="1">IFERROR(__xludf.DUMMYFUNCTION("GOOGLEFINANCE(""NSE:""&amp;D1291,""pe"")"),136.62)</f>
        <v>136.62</v>
      </c>
      <c r="P1291" s="7">
        <f ca="1">IFERROR(__xludf.DUMMYFUNCTION("GOOGLEFINANCE(""NSE:""&amp;D1291,""EPS"")"),21.22)</f>
        <v>21.22</v>
      </c>
      <c r="Q1291" s="7">
        <v>13.5</v>
      </c>
      <c r="R1291" s="7" t="str">
        <f ca="1">IFERROR(__xludf.DUMMYFUNCTION("IMPORTXML(E1291,""/html/body/main/div[3]/div[3]/div[2]/ul/li[7]/span[2]/span"")"),"Loading...")</f>
        <v>Loading...</v>
      </c>
      <c r="S1291" s="7" t="str">
        <f ca="1">IFERROR(__xludf.DUMMYFUNCTION("IMPORTXML(E1291,""/html/body/main/div[3]/div[3]/div[2]/ul/li[8]/span[2]/span"")"),"Loading...")</f>
        <v>Loading...</v>
      </c>
      <c r="T1291" s="4">
        <v>34.6</v>
      </c>
      <c r="U1291" s="4">
        <v>22.7</v>
      </c>
      <c r="V1291" s="4">
        <v>2.6</v>
      </c>
      <c r="W1291" s="4">
        <v>5.7</v>
      </c>
      <c r="X1291" s="4">
        <v>519.92999999999995</v>
      </c>
      <c r="Y1291" s="7">
        <f t="shared" ca="1" si="29"/>
        <v>2379.0700000000002</v>
      </c>
    </row>
    <row r="1292" spans="1:25" ht="15" x14ac:dyDescent="0.25">
      <c r="A1292" s="4">
        <v>190</v>
      </c>
      <c r="C1292" s="12" t="s">
        <v>3126</v>
      </c>
      <c r="D1292" s="12" t="s">
        <v>3127</v>
      </c>
      <c r="E1292" s="5" t="str">
        <f t="shared" si="25"/>
        <v>https://www.screener.in/company/NIVABUPA/consolidated/</v>
      </c>
      <c r="F1292" s="4">
        <v>443059</v>
      </c>
      <c r="G1292" s="4">
        <v>3832241897</v>
      </c>
      <c r="H1292" s="6">
        <f t="shared" ca="1" si="26"/>
        <v>32478.250077075001</v>
      </c>
      <c r="I1292" s="7" t="str">
        <f ca="1">IFERROR(__xludf.DUMMYFUNCTION("IMPORTXML(E1292,""/html/body/main/div[3]/div[3]/div[2]/ul/li[5]/span[2]/span"")"),"#N/A")</f>
        <v>#N/A</v>
      </c>
      <c r="J1292" s="7">
        <f ca="1">IFERROR(__xludf.DUMMYFUNCTION("GOOGLEFINANCE(""NSE:""&amp;D1292,""marketcap"")"),156424007250)</f>
        <v>156424007250</v>
      </c>
      <c r="K1292" s="7">
        <v>992.8</v>
      </c>
      <c r="L1292" s="8">
        <f ca="1">IFERROR(__xludf.DUMMYFUNCTION("GOOGLEFINANCE(""NSE:""&amp;D1292,""price"")"),84.75)</f>
        <v>84.75</v>
      </c>
      <c r="M1292" s="9">
        <f t="shared" ca="1" si="27"/>
        <v>-908.05</v>
      </c>
      <c r="N1292" s="10">
        <f t="shared" ca="1" si="28"/>
        <v>-91.463537469782423</v>
      </c>
      <c r="O1292" s="7">
        <f ca="1">IFERROR(__xludf.DUMMYFUNCTION("GOOGLEFINANCE(""NSE:""&amp;D1292,""pe"")"),85.59)</f>
        <v>85.59</v>
      </c>
      <c r="P1292" s="7">
        <f ca="1">IFERROR(__xludf.DUMMYFUNCTION("GOOGLEFINANCE(""NSE:""&amp;D1292,""EPS"")"),0.99)</f>
        <v>0.99</v>
      </c>
      <c r="Q1292" s="7">
        <v>13.5</v>
      </c>
      <c r="R1292" s="7" t="str">
        <f ca="1">IFERROR(__xludf.DUMMYFUNCTION("IMPORTXML(E1292,""/html/body/main/div[3]/div[3]/div[2]/ul/li[7]/span[2]/span"")"),"Loading...")</f>
        <v>Loading...</v>
      </c>
      <c r="S1292" s="7" t="str">
        <f ca="1">IFERROR(__xludf.DUMMYFUNCTION("IMPORTXML(E1292,""/html/body/main/div[3]/div[3]/div[2]/ul/li[8]/span[2]/span"")"),"Loading...")</f>
        <v>Loading...</v>
      </c>
      <c r="T1292" s="4">
        <v>34.6</v>
      </c>
      <c r="U1292" s="4">
        <v>22.7</v>
      </c>
      <c r="V1292" s="4">
        <v>2.6</v>
      </c>
      <c r="W1292" s="4">
        <v>5.7</v>
      </c>
      <c r="X1292" s="4">
        <v>519.92999999999995</v>
      </c>
      <c r="Y1292" s="7">
        <f t="shared" ca="1" si="29"/>
        <v>-435.17999999999995</v>
      </c>
    </row>
    <row r="1293" spans="1:25" ht="15" x14ac:dyDescent="0.25">
      <c r="A1293" s="4">
        <v>2364</v>
      </c>
      <c r="C1293" s="12" t="s">
        <v>3128</v>
      </c>
      <c r="D1293" s="12" t="s">
        <v>3129</v>
      </c>
      <c r="E1293" s="5" t="str">
        <f t="shared" si="25"/>
        <v>https://www.screener.in/company/AMDIND/consolidated/</v>
      </c>
      <c r="F1293" s="4">
        <v>443059</v>
      </c>
      <c r="G1293" s="4">
        <v>3832241897</v>
      </c>
      <c r="H1293" s="6">
        <f t="shared" ca="1" si="26"/>
        <v>19479.285562450998</v>
      </c>
      <c r="I1293" s="7" t="str">
        <f ca="1">IFERROR(__xludf.DUMMYFUNCTION("IMPORTXML(E1293,""/html/body/main/div[3]/div[3]/div[2]/ul/li[5]/span[2]/span"")"),"Loading...")</f>
        <v>Loading...</v>
      </c>
      <c r="J1293" s="7">
        <f ca="1">IFERROR(__xludf.DUMMYFUNCTION("GOOGLEFINANCE(""NSE:""&amp;D1293,""marketcap"")"),957762500)</f>
        <v>957762500</v>
      </c>
      <c r="K1293" s="7">
        <v>992.8</v>
      </c>
      <c r="L1293" s="8">
        <f ca="1">IFERROR(__xludf.DUMMYFUNCTION("GOOGLEFINANCE(""NSE:""&amp;D1293,""price"")"),50.83)</f>
        <v>50.83</v>
      </c>
      <c r="M1293" s="9">
        <f t="shared" ca="1" si="27"/>
        <v>-941.96999999999991</v>
      </c>
      <c r="N1293" s="10">
        <f t="shared" ca="1" si="28"/>
        <v>-94.880136986301366</v>
      </c>
      <c r="O1293" s="7" t="str">
        <f ca="1">IFERROR(__xludf.DUMMYFUNCTION("GOOGLEFINANCE(""NSE:""&amp;D1293,""pe"")"),"#N/A")</f>
        <v>#N/A</v>
      </c>
      <c r="P1293" s="7">
        <f ca="1">IFERROR(__xludf.DUMMYFUNCTION("GOOGLEFINANCE(""NSE:""&amp;D1293,""EPS"")"),-0.65)</f>
        <v>-0.65</v>
      </c>
      <c r="Q1293" s="7">
        <v>13.5</v>
      </c>
      <c r="R1293" s="7" t="str">
        <f ca="1">IFERROR(__xludf.DUMMYFUNCTION("IMPORTXML(E1293,""/html/body/main/div[3]/div[3]/div[2]/ul/li[7]/span[2]/span"")"),"Loading...")</f>
        <v>Loading...</v>
      </c>
      <c r="S1293" s="7" t="str">
        <f ca="1">IFERROR(__xludf.DUMMYFUNCTION("IMPORTXML(E1293,""/html/body/main/div[3]/div[3]/div[2]/ul/li[8]/span[2]/span"")"),"Loading...")</f>
        <v>Loading...</v>
      </c>
      <c r="T1293" s="4">
        <v>34.6</v>
      </c>
      <c r="U1293" s="4">
        <v>22.7</v>
      </c>
      <c r="V1293" s="4">
        <v>2.6</v>
      </c>
      <c r="W1293" s="4">
        <v>5.7</v>
      </c>
      <c r="X1293" s="4">
        <v>519.92999999999995</v>
      </c>
      <c r="Y1293" s="7">
        <f t="shared" ca="1" si="29"/>
        <v>-469.09999999999997</v>
      </c>
    </row>
    <row r="1294" spans="1:25" ht="15" x14ac:dyDescent="0.25">
      <c r="A1294" s="4">
        <v>2224</v>
      </c>
      <c r="C1294" s="12" t="s">
        <v>3130</v>
      </c>
      <c r="D1294" s="12" t="s">
        <v>3131</v>
      </c>
      <c r="E1294" s="5" t="str">
        <f t="shared" si="25"/>
        <v>https://www.screener.in/company/ARTNIRMAN/consolidated/</v>
      </c>
      <c r="F1294" s="4">
        <v>443059</v>
      </c>
      <c r="G1294" s="4">
        <v>3832241897</v>
      </c>
      <c r="H1294" s="6">
        <f t="shared" ca="1" si="26"/>
        <v>19544.433674700002</v>
      </c>
      <c r="I1294" s="7" t="str">
        <f ca="1">IFERROR(__xludf.DUMMYFUNCTION("IMPORTXML(E1294,""/html/body/main/div[3]/div[3]/div[2]/ul/li[5]/span[2]/span"")"),"Loading...")</f>
        <v>Loading...</v>
      </c>
      <c r="J1294" s="7">
        <f ca="1">IFERROR(__xludf.DUMMYFUNCTION("GOOGLEFINANCE(""NSE:""&amp;D1294,""marketcap"")"),1272756000)</f>
        <v>1272756000</v>
      </c>
      <c r="K1294" s="7">
        <v>992.8</v>
      </c>
      <c r="L1294" s="8">
        <f ca="1">IFERROR(__xludf.DUMMYFUNCTION("GOOGLEFINANCE(""NSE:""&amp;D1294,""price"")"),51)</f>
        <v>51</v>
      </c>
      <c r="M1294" s="9">
        <f t="shared" ca="1" si="27"/>
        <v>-941.8</v>
      </c>
      <c r="N1294" s="10">
        <f t="shared" ca="1" si="28"/>
        <v>-94.863013698630141</v>
      </c>
      <c r="O1294" s="7">
        <f ca="1">IFERROR(__xludf.DUMMYFUNCTION("GOOGLEFINANCE(""NSE:""&amp;D1294,""pe"")"),85.1)</f>
        <v>85.1</v>
      </c>
      <c r="P1294" s="7">
        <f ca="1">IFERROR(__xludf.DUMMYFUNCTION("GOOGLEFINANCE(""NSE:""&amp;D1294,""EPS"")"),0.6)</f>
        <v>0.6</v>
      </c>
      <c r="Q1294" s="7">
        <v>13.5</v>
      </c>
      <c r="R1294" s="7" t="str">
        <f ca="1">IFERROR(__xludf.DUMMYFUNCTION("IMPORTXML(E1294,""/html/body/main/div[3]/div[3]/div[2]/ul/li[7]/span[2]/span"")"),"Loading...")</f>
        <v>Loading...</v>
      </c>
      <c r="S1294" s="7" t="str">
        <f ca="1">IFERROR(__xludf.DUMMYFUNCTION("IMPORTXML(E1294,""/html/body/main/div[3]/div[3]/div[2]/ul/li[8]/span[2]/span"")"),"Loading...")</f>
        <v>Loading...</v>
      </c>
      <c r="T1294" s="4">
        <v>34.6</v>
      </c>
      <c r="U1294" s="4">
        <v>22.7</v>
      </c>
      <c r="V1294" s="4">
        <v>2.6</v>
      </c>
      <c r="W1294" s="4">
        <v>5.7</v>
      </c>
      <c r="X1294" s="4">
        <v>519.92999999999995</v>
      </c>
      <c r="Y1294" s="7">
        <f t="shared" ca="1" si="29"/>
        <v>-468.92999999999995</v>
      </c>
    </row>
    <row r="1295" spans="1:25" ht="15" x14ac:dyDescent="0.25">
      <c r="A1295" s="4">
        <v>1425</v>
      </c>
      <c r="C1295" s="12" t="s">
        <v>3132</v>
      </c>
      <c r="D1295" s="12" t="s">
        <v>3133</v>
      </c>
      <c r="E1295" s="5" t="str">
        <f t="shared" si="25"/>
        <v>https://www.screener.in/company/NBIFIN/consolidated/</v>
      </c>
      <c r="F1295" s="4">
        <v>443059</v>
      </c>
      <c r="G1295" s="4">
        <v>3832241897</v>
      </c>
      <c r="H1295" s="6">
        <f t="shared" ca="1" si="26"/>
        <v>973772.66602769995</v>
      </c>
      <c r="I1295" s="7" t="str">
        <f ca="1">IFERROR(__xludf.DUMMYFUNCTION("IMPORTXML(E1295,""/html/body/main/div[3]/div[3]/div[2]/ul/li[5]/span[2]/span"")"),"Loading...")</f>
        <v>Loading...</v>
      </c>
      <c r="J1295" s="7">
        <f ca="1">IFERROR(__xludf.DUMMYFUNCTION("GOOGLEFINANCE(""NSE:""&amp;D1295,""marketcap"")"),7463360000)</f>
        <v>7463360000</v>
      </c>
      <c r="K1295" s="7">
        <v>992.8</v>
      </c>
      <c r="L1295" s="8">
        <f ca="1">IFERROR(__xludf.DUMMYFUNCTION("GOOGLEFINANCE(""NSE:""&amp;D1295,""price"")"),2541)</f>
        <v>2541</v>
      </c>
      <c r="M1295" s="9">
        <f t="shared" ca="1" si="27"/>
        <v>1548.2</v>
      </c>
      <c r="N1295" s="10">
        <f t="shared" ca="1" si="28"/>
        <v>155.94278807413377</v>
      </c>
      <c r="O1295" s="7">
        <f ca="1">IFERROR(__xludf.DUMMYFUNCTION("GOOGLEFINANCE(""NSE:""&amp;D1295,""pe"")"),91.4)</f>
        <v>91.4</v>
      </c>
      <c r="P1295" s="7">
        <f ca="1">IFERROR(__xludf.DUMMYFUNCTION("GOOGLEFINANCE(""NSE:""&amp;D1295,""EPS"")"),27.8)</f>
        <v>27.8</v>
      </c>
      <c r="Q1295" s="7">
        <v>13.5</v>
      </c>
      <c r="R1295" s="7" t="str">
        <f ca="1">IFERROR(__xludf.DUMMYFUNCTION("IMPORTXML(E1295,""/html/body/main/div[3]/div[3]/div[2]/ul/li[7]/span[2]/span"")"),"Loading...")</f>
        <v>Loading...</v>
      </c>
      <c r="S1295" s="7" t="str">
        <f ca="1">IFERROR(__xludf.DUMMYFUNCTION("IMPORTXML(E1295,""/html/body/main/div[3]/div[3]/div[2]/ul/li[8]/span[2]/span"")"),"Loading...")</f>
        <v>Loading...</v>
      </c>
      <c r="T1295" s="4">
        <v>34.6</v>
      </c>
      <c r="U1295" s="4">
        <v>22.7</v>
      </c>
      <c r="V1295" s="4">
        <v>2.6</v>
      </c>
      <c r="W1295" s="4">
        <v>5.7</v>
      </c>
      <c r="X1295" s="4">
        <v>519.92999999999995</v>
      </c>
      <c r="Y1295" s="7">
        <f t="shared" ca="1" si="29"/>
        <v>2021.0700000000002</v>
      </c>
    </row>
    <row r="1296" spans="1:25" ht="15" x14ac:dyDescent="0.25">
      <c r="A1296" s="4">
        <v>1207</v>
      </c>
      <c r="C1296" s="12" t="s">
        <v>3134</v>
      </c>
      <c r="D1296" s="12" t="s">
        <v>3135</v>
      </c>
      <c r="E1296" s="5" t="str">
        <f t="shared" si="25"/>
        <v>https://www.screener.in/company/ENIL/consolidated/</v>
      </c>
      <c r="F1296" s="4">
        <v>443059</v>
      </c>
      <c r="G1296" s="4">
        <v>3832241897</v>
      </c>
      <c r="H1296" s="6">
        <f t="shared" ca="1" si="26"/>
        <v>60587.744391569999</v>
      </c>
      <c r="I1296" s="7" t="str">
        <f ca="1">IFERROR(__xludf.DUMMYFUNCTION("IMPORTXML(E1296,""/html/body/main/div[3]/div[3]/div[2]/ul/li[5]/span[2]/span"")"),"Loading...")</f>
        <v>Loading...</v>
      </c>
      <c r="J1296" s="7">
        <f ca="1">IFERROR(__xludf.DUMMYFUNCTION("GOOGLEFINANCE(""NSE:""&amp;D1296,""marketcap"")"),7545750000)</f>
        <v>7545750000</v>
      </c>
      <c r="K1296" s="7">
        <v>992.8</v>
      </c>
      <c r="L1296" s="8">
        <f ca="1">IFERROR(__xludf.DUMMYFUNCTION("GOOGLEFINANCE(""NSE:""&amp;D1296,""price"")"),158.1)</f>
        <v>158.1</v>
      </c>
      <c r="M1296" s="9">
        <f t="shared" ca="1" si="27"/>
        <v>-834.69999999999993</v>
      </c>
      <c r="N1296" s="10">
        <f t="shared" ca="1" si="28"/>
        <v>-84.075342465753423</v>
      </c>
      <c r="O1296" s="7">
        <f ca="1">IFERROR(__xludf.DUMMYFUNCTION("GOOGLEFINANCE(""NSE:""&amp;D1296,""pe"")"),62.73)</f>
        <v>62.73</v>
      </c>
      <c r="P1296" s="7">
        <f ca="1">IFERROR(__xludf.DUMMYFUNCTION("GOOGLEFINANCE(""NSE:""&amp;D1296,""EPS"")"),2.52)</f>
        <v>2.52</v>
      </c>
      <c r="Q1296" s="7">
        <v>13.5</v>
      </c>
      <c r="R1296" s="7" t="str">
        <f ca="1">IFERROR(__xludf.DUMMYFUNCTION("IMPORTXML(E1296,""/html/body/main/div[3]/div[3]/div[2]/ul/li[7]/span[2]/span"")"),"Loading...")</f>
        <v>Loading...</v>
      </c>
      <c r="S1296" s="7" t="str">
        <f ca="1">IFERROR(__xludf.DUMMYFUNCTION("IMPORTXML(E1296,""/html/body/main/div[3]/div[3]/div[2]/ul/li[8]/span[2]/span"")"),"Loading...")</f>
        <v>Loading...</v>
      </c>
      <c r="T1296" s="4">
        <v>34.6</v>
      </c>
      <c r="U1296" s="4">
        <v>22.7</v>
      </c>
      <c r="V1296" s="4">
        <v>2.6</v>
      </c>
      <c r="W1296" s="4">
        <v>5.7</v>
      </c>
      <c r="X1296" s="4">
        <v>519.92999999999995</v>
      </c>
      <c r="Y1296" s="7">
        <f t="shared" ca="1" si="29"/>
        <v>-361.82999999999993</v>
      </c>
    </row>
    <row r="1297" spans="1:25" ht="15" x14ac:dyDescent="0.25">
      <c r="A1297" s="4">
        <v>171</v>
      </c>
      <c r="C1297" s="12" t="s">
        <v>3136</v>
      </c>
      <c r="D1297" s="12" t="s">
        <v>3137</v>
      </c>
      <c r="E1297" s="5" t="str">
        <f t="shared" si="25"/>
        <v>https://www.screener.in/company/DOMS/consolidated/</v>
      </c>
      <c r="F1297" s="4">
        <v>443059</v>
      </c>
      <c r="G1297" s="4">
        <v>3832241897</v>
      </c>
      <c r="H1297" s="6">
        <f t="shared" ca="1" si="26"/>
        <v>1015505.78028603</v>
      </c>
      <c r="I1297" s="7" t="str">
        <f ca="1">IFERROR(__xludf.DUMMYFUNCTION("IMPORTXML(E1297,""/html/body/main/div[3]/div[3]/div[2]/ul/li[5]/span[2]/span"")"),"Loading...")</f>
        <v>Loading...</v>
      </c>
      <c r="J1297" s="7">
        <f ca="1">IFERROR(__xludf.DUMMYFUNCTION("GOOGLEFINANCE(""NSE:""&amp;D1297,""marketcap"")"),160815985816)</f>
        <v>160815985816</v>
      </c>
      <c r="K1297" s="7">
        <v>992.8</v>
      </c>
      <c r="L1297" s="8">
        <f ca="1">IFERROR(__xludf.DUMMYFUNCTION("GOOGLEFINANCE(""NSE:""&amp;D1297,""price"")"),2649.9)</f>
        <v>2649.9</v>
      </c>
      <c r="M1297" s="9">
        <f t="shared" ca="1" si="27"/>
        <v>1657.1000000000001</v>
      </c>
      <c r="N1297" s="10">
        <f t="shared" ca="1" si="28"/>
        <v>166.91176470588238</v>
      </c>
      <c r="O1297" s="7">
        <f ca="1">IFERROR(__xludf.DUMMYFUNCTION("GOOGLEFINANCE(""NSE:""&amp;D1297,""pe"")"),77.73)</f>
        <v>77.73</v>
      </c>
      <c r="P1297" s="7">
        <f ca="1">IFERROR(__xludf.DUMMYFUNCTION("GOOGLEFINANCE(""NSE:""&amp;D1297,""EPS"")"),34.09)</f>
        <v>34.090000000000003</v>
      </c>
      <c r="Q1297" s="7">
        <v>13.5</v>
      </c>
      <c r="R1297" s="7" t="str">
        <f ca="1">IFERROR(__xludf.DUMMYFUNCTION("IMPORTXML(E1297,""/html/body/main/div[3]/div[3]/div[2]/ul/li[7]/span[2]/span"")"),"Loading...")</f>
        <v>Loading...</v>
      </c>
      <c r="S1297" s="7" t="str">
        <f ca="1">IFERROR(__xludf.DUMMYFUNCTION("IMPORTXML(E1297,""/html/body/main/div[3]/div[3]/div[2]/ul/li[8]/span[2]/span"")"),"Loading...")</f>
        <v>Loading...</v>
      </c>
      <c r="T1297" s="4">
        <v>34.6</v>
      </c>
      <c r="U1297" s="4">
        <v>22.7</v>
      </c>
      <c r="V1297" s="4">
        <v>2.6</v>
      </c>
      <c r="W1297" s="4">
        <v>5.7</v>
      </c>
      <c r="X1297" s="4">
        <v>519.92999999999995</v>
      </c>
      <c r="Y1297" s="7">
        <f t="shared" ca="1" si="29"/>
        <v>2129.9700000000003</v>
      </c>
    </row>
    <row r="1298" spans="1:25" ht="15" x14ac:dyDescent="0.25">
      <c r="A1298" s="4">
        <v>1528</v>
      </c>
      <c r="C1298" s="12" t="s">
        <v>3138</v>
      </c>
      <c r="D1298" s="12" t="s">
        <v>3139</v>
      </c>
      <c r="E1298" s="5" t="str">
        <f t="shared" si="25"/>
        <v>https://www.screener.in/company/ORIENTBELL/consolidated/</v>
      </c>
      <c r="F1298" s="4">
        <v>443059</v>
      </c>
      <c r="G1298" s="4">
        <v>3832241897</v>
      </c>
      <c r="H1298" s="6">
        <f t="shared" ca="1" si="26"/>
        <v>111939.78581137002</v>
      </c>
      <c r="I1298" s="7" t="str">
        <f ca="1">IFERROR(__xludf.DUMMYFUNCTION("IMPORTXML(E1298,""/html/body/main/div[3]/div[3]/div[2]/ul/li[5]/span[2]/span"")"),"Loading...")</f>
        <v>Loading...</v>
      </c>
      <c r="J1298" s="7">
        <f ca="1">IFERROR(__xludf.DUMMYFUNCTION("GOOGLEFINANCE(""NSE:""&amp;D1298,""marketcap"")"),4312971000)</f>
        <v>4312971000</v>
      </c>
      <c r="K1298" s="7">
        <v>992.8</v>
      </c>
      <c r="L1298" s="8">
        <f ca="1">IFERROR(__xludf.DUMMYFUNCTION("GOOGLEFINANCE(""NSE:""&amp;D1298,""price"")"),292.1)</f>
        <v>292.10000000000002</v>
      </c>
      <c r="M1298" s="9">
        <f t="shared" ca="1" si="27"/>
        <v>-700.69999999999993</v>
      </c>
      <c r="N1298" s="10">
        <f t="shared" ca="1" si="28"/>
        <v>-70.578162771958091</v>
      </c>
      <c r="O1298" s="7">
        <f ca="1">IFERROR(__xludf.DUMMYFUNCTION("GOOGLEFINANCE(""NSE:""&amp;D1298,""pe"")"),95.53)</f>
        <v>95.53</v>
      </c>
      <c r="P1298" s="7">
        <f ca="1">IFERROR(__xludf.DUMMYFUNCTION("GOOGLEFINANCE(""NSE:""&amp;D1298,""EPS"")"),3.06)</f>
        <v>3.06</v>
      </c>
      <c r="Q1298" s="7">
        <v>13.5</v>
      </c>
      <c r="R1298" s="7" t="str">
        <f ca="1">IFERROR(__xludf.DUMMYFUNCTION("IMPORTXML(E1298,""/html/body/main/div[3]/div[3]/div[2]/ul/li[7]/span[2]/span"")"),"Loading...")</f>
        <v>Loading...</v>
      </c>
      <c r="S1298" s="7" t="str">
        <f ca="1">IFERROR(__xludf.DUMMYFUNCTION("IMPORTXML(E1298,""/html/body/main/div[3]/div[3]/div[2]/ul/li[8]/span[2]/span"")"),"Loading...")</f>
        <v>Loading...</v>
      </c>
      <c r="T1298" s="4">
        <v>34.6</v>
      </c>
      <c r="U1298" s="4">
        <v>22.7</v>
      </c>
      <c r="V1298" s="4">
        <v>2.6</v>
      </c>
      <c r="W1298" s="4">
        <v>5.7</v>
      </c>
      <c r="X1298" s="4">
        <v>519.92999999999995</v>
      </c>
      <c r="Y1298" s="7">
        <f t="shared" ca="1" si="29"/>
        <v>-227.82999999999993</v>
      </c>
    </row>
    <row r="1299" spans="1:25" ht="15" x14ac:dyDescent="0.25">
      <c r="A1299" s="4">
        <v>1772</v>
      </c>
      <c r="C1299" s="12" t="s">
        <v>3140</v>
      </c>
      <c r="D1299" s="12" t="s">
        <v>3141</v>
      </c>
      <c r="E1299" s="5" t="str">
        <f t="shared" si="25"/>
        <v>https://www.screener.in/company/A2ZINFRA/consolidated/</v>
      </c>
      <c r="F1299" s="4">
        <v>443059</v>
      </c>
      <c r="G1299" s="4">
        <v>3832241897</v>
      </c>
      <c r="H1299" s="6">
        <f t="shared" ca="1" si="26"/>
        <v>7940.4052105840001</v>
      </c>
      <c r="I1299" s="7" t="str">
        <f ca="1">IFERROR(__xludf.DUMMYFUNCTION("IMPORTXML(E1299,""/html/body/main/div[3]/div[3]/div[2]/ul/li[5]/span[2]/span"")"),"Loading...")</f>
        <v>Loading...</v>
      </c>
      <c r="J1299" s="7">
        <f ca="1">IFERROR(__xludf.DUMMYFUNCTION("GOOGLEFINANCE(""NSE:""&amp;D1299,""marketcap"")"),3724935000)</f>
        <v>3724935000</v>
      </c>
      <c r="K1299" s="7">
        <v>992.8</v>
      </c>
      <c r="L1299" s="8">
        <f ca="1">IFERROR(__xludf.DUMMYFUNCTION("GOOGLEFINANCE(""NSE:""&amp;D1299,""price"")"),20.72)</f>
        <v>20.72</v>
      </c>
      <c r="M1299" s="9">
        <f t="shared" ca="1" si="27"/>
        <v>-972.07999999999993</v>
      </c>
      <c r="N1299" s="10">
        <f t="shared" ca="1" si="28"/>
        <v>-97.91297340854149</v>
      </c>
      <c r="O1299" s="7">
        <f ca="1">IFERROR(__xludf.DUMMYFUNCTION("GOOGLEFINANCE(""NSE:""&amp;D1299,""pe"")"),37.67)</f>
        <v>37.67</v>
      </c>
      <c r="P1299" s="7">
        <f ca="1">IFERROR(__xludf.DUMMYFUNCTION("GOOGLEFINANCE(""NSE:""&amp;D1299,""EPS"")"),0.55)</f>
        <v>0.55000000000000004</v>
      </c>
      <c r="Q1299" s="7">
        <v>13.5</v>
      </c>
      <c r="R1299" s="7" t="str">
        <f ca="1">IFERROR(__xludf.DUMMYFUNCTION("IMPORTXML(E1299,""/html/body/main/div[3]/div[3]/div[2]/ul/li[7]/span[2]/span"")"),"Loading...")</f>
        <v>Loading...</v>
      </c>
      <c r="S1299" s="7" t="str">
        <f ca="1">IFERROR(__xludf.DUMMYFUNCTION("IMPORTXML(E1299,""/html/body/main/div[3]/div[3]/div[2]/ul/li[8]/span[2]/span"")"),"Loading...")</f>
        <v>Loading...</v>
      </c>
      <c r="T1299" s="4">
        <v>34.6</v>
      </c>
      <c r="U1299" s="4">
        <v>22.7</v>
      </c>
      <c r="V1299" s="4">
        <v>2.6</v>
      </c>
      <c r="W1299" s="4">
        <v>5.7</v>
      </c>
      <c r="X1299" s="4">
        <v>519.92999999999995</v>
      </c>
      <c r="Y1299" s="7">
        <f t="shared" ca="1" si="29"/>
        <v>-499.20999999999992</v>
      </c>
    </row>
    <row r="1300" spans="1:25" ht="15" x14ac:dyDescent="0.25">
      <c r="A1300" s="4">
        <v>1415</v>
      </c>
      <c r="C1300" s="12" t="s">
        <v>3142</v>
      </c>
      <c r="D1300" s="12" t="s">
        <v>3143</v>
      </c>
      <c r="E1300" s="5" t="str">
        <f t="shared" si="25"/>
        <v>https://www.screener.in/company/RACE/consolidated/</v>
      </c>
      <c r="F1300" s="4">
        <v>443059</v>
      </c>
      <c r="G1300" s="4">
        <v>3832241897</v>
      </c>
      <c r="H1300" s="6">
        <f t="shared" ca="1" si="26"/>
        <v>91207.3571486</v>
      </c>
      <c r="I1300" s="7" t="str">
        <f ca="1">IFERROR(__xludf.DUMMYFUNCTION("IMPORTXML(E1300,""/html/body/main/div[3]/div[3]/div[2]/ul/li[5]/span[2]/span"")"),"Loading...")</f>
        <v>Loading...</v>
      </c>
      <c r="J1300" s="7">
        <f ca="1">IFERROR(__xludf.DUMMYFUNCTION("GOOGLEFINANCE(""NSE:""&amp;D1300,""marketcap"")"),4107211220)</f>
        <v>4107211220</v>
      </c>
      <c r="K1300" s="7">
        <v>992.8</v>
      </c>
      <c r="L1300" s="8">
        <f ca="1">IFERROR(__xludf.DUMMYFUNCTION("GOOGLEFINANCE(""NSE:""&amp;D1300,""price"")"),238)</f>
        <v>238</v>
      </c>
      <c r="M1300" s="9">
        <f t="shared" ca="1" si="27"/>
        <v>-754.8</v>
      </c>
      <c r="N1300" s="10">
        <f t="shared" ca="1" si="28"/>
        <v>-76.027397260273972</v>
      </c>
      <c r="O1300" s="7">
        <f ca="1">IFERROR(__xludf.DUMMYFUNCTION("GOOGLEFINANCE(""NSE:""&amp;D1300,""pe"")"),45.13)</f>
        <v>45.13</v>
      </c>
      <c r="P1300" s="7">
        <f ca="1">IFERROR(__xludf.DUMMYFUNCTION("GOOGLEFINANCE(""NSE:""&amp;D1300,""EPS"")"),5.27)</f>
        <v>5.27</v>
      </c>
      <c r="Q1300" s="7">
        <v>13.5</v>
      </c>
      <c r="R1300" s="7" t="str">
        <f ca="1">IFERROR(__xludf.DUMMYFUNCTION("IMPORTXML(E1300,""/html/body/main/div[3]/div[3]/div[2]/ul/li[7]/span[2]/span"")"),"Loading...")</f>
        <v>Loading...</v>
      </c>
      <c r="S1300" s="7" t="str">
        <f ca="1">IFERROR(__xludf.DUMMYFUNCTION("IMPORTXML(E1300,""/html/body/main/div[3]/div[3]/div[2]/ul/li[8]/span[2]/span"")"),"Loading...")</f>
        <v>Loading...</v>
      </c>
      <c r="T1300" s="4">
        <v>34.6</v>
      </c>
      <c r="U1300" s="4">
        <v>22.7</v>
      </c>
      <c r="V1300" s="4">
        <v>2.6</v>
      </c>
      <c r="W1300" s="4">
        <v>5.7</v>
      </c>
      <c r="X1300" s="4">
        <v>519.92999999999995</v>
      </c>
      <c r="Y1300" s="7">
        <f t="shared" ca="1" si="29"/>
        <v>-281.92999999999995</v>
      </c>
    </row>
    <row r="1301" spans="1:25" ht="15" x14ac:dyDescent="0.25">
      <c r="A1301" s="4">
        <v>418</v>
      </c>
      <c r="C1301" s="12" t="s">
        <v>3144</v>
      </c>
      <c r="D1301" s="12" t="s">
        <v>3145</v>
      </c>
      <c r="E1301" s="5" t="str">
        <f t="shared" si="25"/>
        <v>https://www.screener.in/company/EMUDHRA/consolidated/</v>
      </c>
      <c r="F1301" s="4">
        <v>443059</v>
      </c>
      <c r="G1301" s="4">
        <v>3832241897</v>
      </c>
      <c r="H1301" s="6">
        <f t="shared" ca="1" si="26"/>
        <v>269023.3811694</v>
      </c>
      <c r="I1301" s="7" t="str">
        <f ca="1">IFERROR(__xludf.DUMMYFUNCTION("IMPORTXML(E1301,""/html/body/main/div[3]/div[3]/div[2]/ul/li[5]/span[2]/span"")"),"Loading...")</f>
        <v>Loading...</v>
      </c>
      <c r="J1301" s="7">
        <f ca="1">IFERROR(__xludf.DUMMYFUNCTION("GOOGLEFINANCE(""NSE:""&amp;D1301,""marketcap"")"),56843515450)</f>
        <v>56843515450</v>
      </c>
      <c r="K1301" s="7">
        <v>992.8</v>
      </c>
      <c r="L1301" s="8">
        <f ca="1">IFERROR(__xludf.DUMMYFUNCTION("GOOGLEFINANCE(""NSE:""&amp;D1301,""price"")"),702)</f>
        <v>702</v>
      </c>
      <c r="M1301" s="9">
        <f t="shared" ca="1" si="27"/>
        <v>-290.79999999999995</v>
      </c>
      <c r="N1301" s="10">
        <f t="shared" ca="1" si="28"/>
        <v>-29.290894439967762</v>
      </c>
      <c r="O1301" s="7">
        <f ca="1">IFERROR(__xludf.DUMMYFUNCTION("GOOGLEFINANCE(""NSE:""&amp;D1301,""pe"")"),64.13)</f>
        <v>64.13</v>
      </c>
      <c r="P1301" s="7">
        <f ca="1">IFERROR(__xludf.DUMMYFUNCTION("GOOGLEFINANCE(""NSE:""&amp;D1301,""EPS"")"),10.95)</f>
        <v>10.95</v>
      </c>
      <c r="Q1301" s="7">
        <v>13.5</v>
      </c>
      <c r="R1301" s="7" t="str">
        <f ca="1">IFERROR(__xludf.DUMMYFUNCTION("IMPORTXML(E1301,""/html/body/main/div[3]/div[3]/div[2]/ul/li[7]/span[2]/span"")"),"Loading...")</f>
        <v>Loading...</v>
      </c>
      <c r="S1301" s="7" t="str">
        <f ca="1">IFERROR(__xludf.DUMMYFUNCTION("IMPORTXML(E1301,""/html/body/main/div[3]/div[3]/div[2]/ul/li[8]/span[2]/span"")"),"Loading...")</f>
        <v>Loading...</v>
      </c>
      <c r="T1301" s="4">
        <v>34.6</v>
      </c>
      <c r="U1301" s="4">
        <v>22.7</v>
      </c>
      <c r="V1301" s="4">
        <v>2.6</v>
      </c>
      <c r="W1301" s="4">
        <v>5.7</v>
      </c>
      <c r="X1301" s="4">
        <v>519.92999999999995</v>
      </c>
      <c r="Y1301" s="7">
        <f t="shared" ca="1" si="29"/>
        <v>182.07000000000005</v>
      </c>
    </row>
    <row r="1302" spans="1:25" ht="15" x14ac:dyDescent="0.25">
      <c r="A1302" s="4">
        <v>1508</v>
      </c>
      <c r="C1302" s="12" t="s">
        <v>3146</v>
      </c>
      <c r="D1302" s="12" t="s">
        <v>3147</v>
      </c>
      <c r="E1302" s="5" t="str">
        <f t="shared" si="25"/>
        <v>https://www.screener.in/company/MAZDA/consolidated/</v>
      </c>
      <c r="F1302" s="4">
        <v>443059</v>
      </c>
      <c r="G1302" s="4">
        <v>3832241897</v>
      </c>
      <c r="H1302" s="6">
        <f t="shared" ca="1" si="26"/>
        <v>107705.15851518502</v>
      </c>
      <c r="I1302" s="7" t="str">
        <f ca="1">IFERROR(__xludf.DUMMYFUNCTION("IMPORTXML(E1302,""/html/body/main/div[3]/div[3]/div[2]/ul/li[5]/span[2]/span"")"),"Loading...")</f>
        <v>Loading...</v>
      </c>
      <c r="J1302" s="7">
        <f ca="1">IFERROR(__xludf.DUMMYFUNCTION("GOOGLEFINANCE(""NSE:""&amp;D1302,""marketcap"")"),5656040969)</f>
        <v>5656040969</v>
      </c>
      <c r="K1302" s="7">
        <v>992.8</v>
      </c>
      <c r="L1302" s="8">
        <f ca="1">IFERROR(__xludf.DUMMYFUNCTION("GOOGLEFINANCE(""NSE:""&amp;D1302,""price"")"),281.05)</f>
        <v>281.05</v>
      </c>
      <c r="M1302" s="9">
        <f t="shared" ca="1" si="27"/>
        <v>-711.75</v>
      </c>
      <c r="N1302" s="10">
        <f t="shared" ca="1" si="28"/>
        <v>-71.691176470588232</v>
      </c>
      <c r="O1302" s="7">
        <f ca="1">IFERROR(__xludf.DUMMYFUNCTION("GOOGLEFINANCE(""NSE:""&amp;D1302,""pe"")"),40.95)</f>
        <v>40.950000000000003</v>
      </c>
      <c r="P1302" s="7">
        <f ca="1">IFERROR(__xludf.DUMMYFUNCTION("GOOGLEFINANCE(""NSE:""&amp;D1302,""EPS"")"),6.86)</f>
        <v>6.86</v>
      </c>
      <c r="Q1302" s="7">
        <v>13.5</v>
      </c>
      <c r="R1302" s="7" t="str">
        <f ca="1">IFERROR(__xludf.DUMMYFUNCTION("IMPORTXML(E1302,""/html/body/main/div[3]/div[3]/div[2]/ul/li[7]/span[2]/span"")"),"Loading...")</f>
        <v>Loading...</v>
      </c>
      <c r="S1302" s="7" t="str">
        <f ca="1">IFERROR(__xludf.DUMMYFUNCTION("IMPORTXML(E1302,""/html/body/main/div[3]/div[3]/div[2]/ul/li[8]/span[2]/span"")"),"Loading...")</f>
        <v>Loading...</v>
      </c>
      <c r="T1302" s="4">
        <v>34.6</v>
      </c>
      <c r="U1302" s="4">
        <v>22.7</v>
      </c>
      <c r="V1302" s="4">
        <v>2.6</v>
      </c>
      <c r="W1302" s="4">
        <v>5.7</v>
      </c>
      <c r="X1302" s="4">
        <v>519.92999999999995</v>
      </c>
      <c r="Y1302" s="7">
        <f t="shared" ca="1" si="29"/>
        <v>-238.87999999999994</v>
      </c>
    </row>
    <row r="1303" spans="1:25" ht="15" x14ac:dyDescent="0.25">
      <c r="A1303" s="4">
        <v>591</v>
      </c>
      <c r="C1303" s="12" t="s">
        <v>3148</v>
      </c>
      <c r="D1303" s="12" t="s">
        <v>3149</v>
      </c>
      <c r="E1303" s="5" t="str">
        <f t="shared" si="25"/>
        <v>https://www.screener.in/company/V2RETAIL/consolidated/</v>
      </c>
      <c r="F1303" s="4">
        <v>443059</v>
      </c>
      <c r="G1303" s="4">
        <v>3832241897</v>
      </c>
      <c r="H1303" s="6">
        <f t="shared" ca="1" si="26"/>
        <v>625153.62065761001</v>
      </c>
      <c r="I1303" s="7" t="str">
        <f ca="1">IFERROR(__xludf.DUMMYFUNCTION("IMPORTXML(E1303,""/html/body/main/div[3]/div[3]/div[2]/ul/li[5]/span[2]/span"")"),"Loading...")</f>
        <v>Loading...</v>
      </c>
      <c r="J1303" s="7">
        <f ca="1">IFERROR(__xludf.DUMMYFUNCTION("GOOGLEFINANCE(""NSE:""&amp;D1303,""marketcap"")"),56425575717)</f>
        <v>56425575717</v>
      </c>
      <c r="K1303" s="7">
        <v>992.8</v>
      </c>
      <c r="L1303" s="8">
        <f ca="1">IFERROR(__xludf.DUMMYFUNCTION("GOOGLEFINANCE(""NSE:""&amp;D1303,""price"")"),1631.3)</f>
        <v>1631.3</v>
      </c>
      <c r="M1303" s="9">
        <f t="shared" ca="1" si="27"/>
        <v>638.5</v>
      </c>
      <c r="N1303" s="10">
        <f t="shared" ca="1" si="28"/>
        <v>64.313053988718778</v>
      </c>
      <c r="O1303" s="7">
        <f ca="1">IFERROR(__xludf.DUMMYFUNCTION("GOOGLEFINANCE(""NSE:""&amp;D1303,""pe"")"),70.22)</f>
        <v>70.22</v>
      </c>
      <c r="P1303" s="7">
        <f ca="1">IFERROR(__xludf.DUMMYFUNCTION("GOOGLEFINANCE(""NSE:""&amp;D1303,""EPS"")"),23.23)</f>
        <v>23.23</v>
      </c>
      <c r="Q1303" s="7">
        <v>13.5</v>
      </c>
      <c r="R1303" s="7" t="str">
        <f ca="1">IFERROR(__xludf.DUMMYFUNCTION("IMPORTXML(E1303,""/html/body/main/div[3]/div[3]/div[2]/ul/li[7]/span[2]/span"")"),"Loading...")</f>
        <v>Loading...</v>
      </c>
      <c r="S1303" s="7" t="str">
        <f ca="1">IFERROR(__xludf.DUMMYFUNCTION("IMPORTXML(E1303,""/html/body/main/div[3]/div[3]/div[2]/ul/li[8]/span[2]/span"")"),"Loading...")</f>
        <v>Loading...</v>
      </c>
      <c r="T1303" s="4">
        <v>34.6</v>
      </c>
      <c r="U1303" s="4">
        <v>22.7</v>
      </c>
      <c r="V1303" s="4">
        <v>2.6</v>
      </c>
      <c r="W1303" s="4">
        <v>5.7</v>
      </c>
      <c r="X1303" s="4">
        <v>519.92999999999995</v>
      </c>
      <c r="Y1303" s="7">
        <f t="shared" ca="1" si="29"/>
        <v>1111.3699999999999</v>
      </c>
    </row>
    <row r="1304" spans="1:25" ht="15" x14ac:dyDescent="0.25">
      <c r="A1304" s="4">
        <v>972</v>
      </c>
      <c r="C1304" s="12" t="s">
        <v>3150</v>
      </c>
      <c r="D1304" s="12" t="s">
        <v>3151</v>
      </c>
      <c r="E1304" s="5" t="str">
        <f t="shared" si="25"/>
        <v>https://www.screener.in/company/KOKUYOCMLN/consolidated/</v>
      </c>
      <c r="F1304" s="4">
        <v>443059</v>
      </c>
      <c r="G1304" s="4">
        <v>3832241897</v>
      </c>
      <c r="H1304" s="6">
        <f t="shared" ca="1" si="26"/>
        <v>45603.6785743</v>
      </c>
      <c r="I1304" s="7" t="str">
        <f ca="1">IFERROR(__xludf.DUMMYFUNCTION("IMPORTXML(E1304,""/html/body/main/div[3]/div[3]/div[2]/ul/li[5]/span[2]/span"")"),"Loading...")</f>
        <v>Loading...</v>
      </c>
      <c r="J1304" s="7">
        <f ca="1">IFERROR(__xludf.DUMMYFUNCTION("GOOGLEFINANCE(""NSE:""&amp;D1304,""marketcap"")"),11910070000)</f>
        <v>11910070000</v>
      </c>
      <c r="K1304" s="7">
        <v>992.8</v>
      </c>
      <c r="L1304" s="8">
        <f ca="1">IFERROR(__xludf.DUMMYFUNCTION("GOOGLEFINANCE(""NSE:""&amp;D1304,""price"")"),119)</f>
        <v>119</v>
      </c>
      <c r="M1304" s="9">
        <f t="shared" ca="1" si="27"/>
        <v>-873.8</v>
      </c>
      <c r="N1304" s="10">
        <f t="shared" ca="1" si="28"/>
        <v>-88.013698630136986</v>
      </c>
      <c r="O1304" s="7">
        <f ca="1">IFERROR(__xludf.DUMMYFUNCTION("GOOGLEFINANCE(""NSE:""&amp;D1304,""pe"")"),13869.46)</f>
        <v>13869.46</v>
      </c>
      <c r="P1304" s="7">
        <f ca="1">IFERROR(__xludf.DUMMYFUNCTION("GOOGLEFINANCE(""NSE:""&amp;D1304,""EPS"")"),0.01)</f>
        <v>0.01</v>
      </c>
      <c r="Q1304" s="7">
        <v>13.5</v>
      </c>
      <c r="R1304" s="7" t="str">
        <f ca="1">IFERROR(__xludf.DUMMYFUNCTION("IMPORTXML(E1304,""/html/body/main/div[3]/div[3]/div[2]/ul/li[7]/span[2]/span"")"),"Loading...")</f>
        <v>Loading...</v>
      </c>
      <c r="S1304" s="7" t="str">
        <f ca="1">IFERROR(__xludf.DUMMYFUNCTION("IMPORTXML(E1304,""/html/body/main/div[3]/div[3]/div[2]/ul/li[8]/span[2]/span"")"),"Loading...")</f>
        <v>Loading...</v>
      </c>
      <c r="T1304" s="4">
        <v>34.6</v>
      </c>
      <c r="U1304" s="4">
        <v>22.7</v>
      </c>
      <c r="V1304" s="4">
        <v>2.6</v>
      </c>
      <c r="W1304" s="4">
        <v>5.7</v>
      </c>
      <c r="X1304" s="4">
        <v>519.92999999999995</v>
      </c>
      <c r="Y1304" s="7">
        <f t="shared" ca="1" si="29"/>
        <v>-400.92999999999995</v>
      </c>
    </row>
    <row r="1305" spans="1:25" ht="15" x14ac:dyDescent="0.25">
      <c r="A1305" s="4">
        <v>431</v>
      </c>
      <c r="C1305" s="12" t="s">
        <v>3152</v>
      </c>
      <c r="D1305" s="12" t="s">
        <v>3153</v>
      </c>
      <c r="E1305" s="5" t="str">
        <f t="shared" si="25"/>
        <v>https://www.screener.in/company/AMIORG/consolidated/</v>
      </c>
      <c r="F1305" s="4">
        <v>443059</v>
      </c>
      <c r="G1305" s="4">
        <v>3832241897</v>
      </c>
      <c r="H1305" s="6" t="e">
        <f t="shared" ca="1" si="26"/>
        <v>#VALUE!</v>
      </c>
      <c r="I1305" s="7" t="str">
        <f ca="1">IFERROR(__xludf.DUMMYFUNCTION("IMPORTXML(E1305,""/html/body/main/div[3]/div[3]/div[2]/ul/li[5]/span[2]/span"")"),"Loading...")</f>
        <v>Loading...</v>
      </c>
      <c r="J1305" s="7" t="str">
        <f ca="1">IFERROR(__xludf.DUMMYFUNCTION("GOOGLEFINANCE(""NSE:""&amp;D1305,""marketcap"")"),"#N/A")</f>
        <v>#N/A</v>
      </c>
      <c r="K1305" s="7">
        <v>992.8</v>
      </c>
      <c r="L1305" s="8" t="str">
        <f ca="1">IFERROR(__xludf.DUMMYFUNCTION("GOOGLEFINANCE(""NSE:""&amp;D1305,""price"")"),"#N/A")</f>
        <v>#N/A</v>
      </c>
      <c r="M1305" s="9" t="e">
        <f t="shared" ca="1" si="27"/>
        <v>#VALUE!</v>
      </c>
      <c r="N1305" s="10" t="e">
        <f t="shared" ca="1" si="28"/>
        <v>#VALUE!</v>
      </c>
      <c r="O1305" s="7" t="str">
        <f ca="1">IFERROR(__xludf.DUMMYFUNCTION("GOOGLEFINANCE(""NSE:""&amp;D1305,""pe"")"),"#N/A")</f>
        <v>#N/A</v>
      </c>
      <c r="P1305" s="7" t="str">
        <f ca="1">IFERROR(__xludf.DUMMYFUNCTION("GOOGLEFINANCE(""NSE:""&amp;D1305,""EPS"")"),"#N/A")</f>
        <v>#N/A</v>
      </c>
      <c r="Q1305" s="7">
        <v>13.5</v>
      </c>
      <c r="R1305" s="7" t="str">
        <f ca="1">IFERROR(__xludf.DUMMYFUNCTION("IMPORTXML(E1305,""/html/body/main/div[3]/div[3]/div[2]/ul/li[7]/span[2]/span"")"),"Loading...")</f>
        <v>Loading...</v>
      </c>
      <c r="S1305" s="7" t="str">
        <f ca="1">IFERROR(__xludf.DUMMYFUNCTION("IMPORTXML(E1305,""/html/body/main/div[3]/div[3]/div[2]/ul/li[8]/span[2]/span"")"),"Loading...")</f>
        <v>Loading...</v>
      </c>
      <c r="T1305" s="4">
        <v>34.6</v>
      </c>
      <c r="U1305" s="4">
        <v>22.7</v>
      </c>
      <c r="V1305" s="4">
        <v>2.6</v>
      </c>
      <c r="W1305" s="4">
        <v>5.7</v>
      </c>
      <c r="X1305" s="4">
        <v>519.92999999999995</v>
      </c>
      <c r="Y1305" s="7" t="e">
        <f t="shared" ca="1" si="29"/>
        <v>#VALUE!</v>
      </c>
    </row>
    <row r="1306" spans="1:25" ht="15" x14ac:dyDescent="0.25">
      <c r="A1306" s="4">
        <v>1930</v>
      </c>
      <c r="C1306" s="12" t="s">
        <v>3154</v>
      </c>
      <c r="D1306" s="12" t="s">
        <v>3155</v>
      </c>
      <c r="E1306" s="5" t="str">
        <f t="shared" si="25"/>
        <v>https://www.screener.in/company/PANSARI/consolidated/</v>
      </c>
      <c r="F1306" s="4">
        <v>443059</v>
      </c>
      <c r="G1306" s="4">
        <v>3832241897</v>
      </c>
      <c r="H1306" s="6">
        <f t="shared" ca="1" si="26"/>
        <v>103451.37000951498</v>
      </c>
      <c r="I1306" s="7" t="str">
        <f ca="1">IFERROR(__xludf.DUMMYFUNCTION("IMPORTXML(E1306,""/html/body/main/div[3]/div[3]/div[2]/ul/li[5]/span[2]/span"")"),"Loading...")</f>
        <v>Loading...</v>
      </c>
      <c r="J1306" s="7">
        <f ca="1">IFERROR(__xludf.DUMMYFUNCTION("GOOGLEFINANCE(""NSE:""&amp;D1306,""marketcap"")"),4709763872)</f>
        <v>4709763872</v>
      </c>
      <c r="K1306" s="7">
        <v>992.8</v>
      </c>
      <c r="L1306" s="8">
        <f ca="1">IFERROR(__xludf.DUMMYFUNCTION("GOOGLEFINANCE(""NSE:""&amp;D1306,""price"")"),269.95)</f>
        <v>269.95</v>
      </c>
      <c r="M1306" s="9">
        <f t="shared" ca="1" si="27"/>
        <v>-722.84999999999991</v>
      </c>
      <c r="N1306" s="10">
        <f t="shared" ca="1" si="28"/>
        <v>-72.809226430298139</v>
      </c>
      <c r="O1306" s="7">
        <f ca="1">IFERROR(__xludf.DUMMYFUNCTION("GOOGLEFINANCE(""NSE:""&amp;D1306,""pe"")"),44.04)</f>
        <v>44.04</v>
      </c>
      <c r="P1306" s="7">
        <f ca="1">IFERROR(__xludf.DUMMYFUNCTION("GOOGLEFINANCE(""NSE:""&amp;D1306,""EPS"")"),6.13)</f>
        <v>6.13</v>
      </c>
      <c r="Q1306" s="7">
        <v>13.5</v>
      </c>
      <c r="R1306" s="7" t="str">
        <f ca="1">IFERROR(__xludf.DUMMYFUNCTION("IMPORTXML(E1306,""/html/body/main/div[3]/div[3]/div[2]/ul/li[7]/span[2]/span"")"),"Loading...")</f>
        <v>Loading...</v>
      </c>
      <c r="S1306" s="7" t="str">
        <f ca="1">IFERROR(__xludf.DUMMYFUNCTION("IMPORTXML(E1306,""/html/body/main/div[3]/div[3]/div[2]/ul/li[8]/span[2]/span"")"),"Loading...")</f>
        <v>Loading...</v>
      </c>
      <c r="T1306" s="4">
        <v>34.6</v>
      </c>
      <c r="U1306" s="4">
        <v>22.7</v>
      </c>
      <c r="V1306" s="4">
        <v>2.6</v>
      </c>
      <c r="W1306" s="4">
        <v>5.7</v>
      </c>
      <c r="X1306" s="4">
        <v>519.92999999999995</v>
      </c>
      <c r="Y1306" s="7">
        <f t="shared" ca="1" si="29"/>
        <v>-249.97999999999996</v>
      </c>
    </row>
    <row r="1307" spans="1:25" ht="15" x14ac:dyDescent="0.25">
      <c r="A1307" s="4">
        <v>191</v>
      </c>
      <c r="C1307" s="12" t="s">
        <v>3156</v>
      </c>
      <c r="D1307" s="12" t="s">
        <v>3157</v>
      </c>
      <c r="E1307" s="5" t="str">
        <f t="shared" si="25"/>
        <v>https://www.screener.in/company/NETWEB/consolidated/</v>
      </c>
      <c r="F1307" s="4">
        <v>443059</v>
      </c>
      <c r="G1307" s="4">
        <v>3832241897</v>
      </c>
      <c r="H1307" s="6">
        <f t="shared" ca="1" si="26"/>
        <v>1219610.98372025</v>
      </c>
      <c r="I1307" s="7" t="str">
        <f ca="1">IFERROR(__xludf.DUMMYFUNCTION("IMPORTXML(E1307,""/html/body/main/div[3]/div[3]/div[2]/ul/li[5]/span[2]/span"")"),"Loading...")</f>
        <v>Loading...</v>
      </c>
      <c r="J1307" s="7">
        <f ca="1">IFERROR(__xludf.DUMMYFUNCTION("GOOGLEFINANCE(""NSE:""&amp;D1307,""marketcap"")"),173710434375)</f>
        <v>173710434375</v>
      </c>
      <c r="K1307" s="7">
        <v>992.8</v>
      </c>
      <c r="L1307" s="8">
        <f ca="1">IFERROR(__xludf.DUMMYFUNCTION("GOOGLEFINANCE(""NSE:""&amp;D1307,""price"")"),3182.5)</f>
        <v>3182.5</v>
      </c>
      <c r="M1307" s="9">
        <f t="shared" ca="1" si="27"/>
        <v>2189.6999999999998</v>
      </c>
      <c r="N1307" s="10">
        <f t="shared" ca="1" si="28"/>
        <v>220.558017727639</v>
      </c>
      <c r="O1307" s="7">
        <f ca="1">IFERROR(__xludf.DUMMYFUNCTION("GOOGLEFINANCE(""NSE:""&amp;D1307,""pe"")"),139.25)</f>
        <v>139.25</v>
      </c>
      <c r="P1307" s="7">
        <f ca="1">IFERROR(__xludf.DUMMYFUNCTION("GOOGLEFINANCE(""NSE:""&amp;D1307,""EPS"")"),22.85)</f>
        <v>22.85</v>
      </c>
      <c r="Q1307" s="7">
        <v>13.5</v>
      </c>
      <c r="R1307" s="7" t="str">
        <f ca="1">IFERROR(__xludf.DUMMYFUNCTION("IMPORTXML(E1307,""/html/body/main/div[3]/div[3]/div[2]/ul/li[7]/span[2]/span"")"),"Loading...")</f>
        <v>Loading...</v>
      </c>
      <c r="S1307" s="7" t="str">
        <f ca="1">IFERROR(__xludf.DUMMYFUNCTION("IMPORTXML(E1307,""/html/body/main/div[3]/div[3]/div[2]/ul/li[8]/span[2]/span"")"),"Loading...")</f>
        <v>Loading...</v>
      </c>
      <c r="T1307" s="4">
        <v>34.6</v>
      </c>
      <c r="U1307" s="4">
        <v>22.7</v>
      </c>
      <c r="V1307" s="4">
        <v>2.6</v>
      </c>
      <c r="W1307" s="4">
        <v>5.7</v>
      </c>
      <c r="X1307" s="4">
        <v>519.92999999999995</v>
      </c>
      <c r="Y1307" s="7">
        <f t="shared" ca="1" si="29"/>
        <v>2662.57</v>
      </c>
    </row>
    <row r="1308" spans="1:25" ht="15" x14ac:dyDescent="0.25">
      <c r="A1308" s="4">
        <v>1352</v>
      </c>
      <c r="C1308" s="12" t="s">
        <v>3158</v>
      </c>
      <c r="D1308" s="12" t="s">
        <v>3159</v>
      </c>
      <c r="E1308" s="5" t="str">
        <f t="shared" si="25"/>
        <v>https://www.screener.in/company/BIRLACABLE/consolidated/</v>
      </c>
      <c r="F1308" s="4">
        <v>443059</v>
      </c>
      <c r="G1308" s="4">
        <v>3832241897</v>
      </c>
      <c r="H1308" s="6">
        <f t="shared" ca="1" si="26"/>
        <v>60549.421972600001</v>
      </c>
      <c r="I1308" s="7" t="str">
        <f ca="1">IFERROR(__xludf.DUMMYFUNCTION("IMPORTXML(E1308,""/html/body/main/div[3]/div[3]/div[2]/ul/li[5]/span[2]/span"")"),"Loading...")</f>
        <v>Loading...</v>
      </c>
      <c r="J1308" s="7">
        <f ca="1">IFERROR(__xludf.DUMMYFUNCTION("GOOGLEFINANCE(""NSE:""&amp;D1308,""marketcap"")"),4742700000)</f>
        <v>4742700000</v>
      </c>
      <c r="K1308" s="7">
        <v>992.8</v>
      </c>
      <c r="L1308" s="8">
        <f ca="1">IFERROR(__xludf.DUMMYFUNCTION("GOOGLEFINANCE(""NSE:""&amp;D1308,""price"")"),158)</f>
        <v>158</v>
      </c>
      <c r="M1308" s="9">
        <f t="shared" ca="1" si="27"/>
        <v>-834.8</v>
      </c>
      <c r="N1308" s="10">
        <f t="shared" ca="1" si="28"/>
        <v>-84.085414987912969</v>
      </c>
      <c r="O1308" s="7">
        <f ca="1">IFERROR(__xludf.DUMMYFUNCTION("GOOGLEFINANCE(""NSE:""&amp;D1308,""pe"")"),77.86)</f>
        <v>77.86</v>
      </c>
      <c r="P1308" s="7">
        <f ca="1">IFERROR(__xludf.DUMMYFUNCTION("GOOGLEFINANCE(""NSE:""&amp;D1308,""EPS"")"),2.03)</f>
        <v>2.0299999999999998</v>
      </c>
      <c r="Q1308" s="7">
        <v>13.5</v>
      </c>
      <c r="R1308" s="7" t="str">
        <f ca="1">IFERROR(__xludf.DUMMYFUNCTION("IMPORTXML(E1308,""/html/body/main/div[3]/div[3]/div[2]/ul/li[7]/span[2]/span"")"),"Loading...")</f>
        <v>Loading...</v>
      </c>
      <c r="S1308" s="7" t="str">
        <f ca="1">IFERROR(__xludf.DUMMYFUNCTION("IMPORTXML(E1308,""/html/body/main/div[3]/div[3]/div[2]/ul/li[8]/span[2]/span"")"),"Loading...")</f>
        <v>Loading...</v>
      </c>
      <c r="T1308" s="4">
        <v>34.6</v>
      </c>
      <c r="U1308" s="4">
        <v>22.7</v>
      </c>
      <c r="V1308" s="4">
        <v>2.6</v>
      </c>
      <c r="W1308" s="4">
        <v>5.7</v>
      </c>
      <c r="X1308" s="4">
        <v>519.92999999999995</v>
      </c>
      <c r="Y1308" s="7">
        <f t="shared" ca="1" si="29"/>
        <v>-361.92999999999995</v>
      </c>
    </row>
    <row r="1309" spans="1:25" ht="15" x14ac:dyDescent="0.25">
      <c r="A1309" s="4">
        <v>3112</v>
      </c>
      <c r="C1309" s="12" t="s">
        <v>3160</v>
      </c>
      <c r="D1309" s="12" t="s">
        <v>3161</v>
      </c>
      <c r="E1309" s="5" t="str">
        <f t="shared" si="25"/>
        <v>https://www.screener.in/company/SANGINITA/consolidated/</v>
      </c>
      <c r="F1309" s="4">
        <v>443059</v>
      </c>
      <c r="G1309" s="4">
        <v>3832241897</v>
      </c>
      <c r="H1309" s="6">
        <f t="shared" ca="1" si="26"/>
        <v>3632.9653183560004</v>
      </c>
      <c r="I1309" s="7" t="str">
        <f ca="1">IFERROR(__xludf.DUMMYFUNCTION("IMPORTXML(E1309,""/html/body/main/div[3]/div[3]/div[2]/ul/li[5]/span[2]/span"")"),"Loading...")</f>
        <v>Loading...</v>
      </c>
      <c r="J1309" s="7">
        <f ca="1">IFERROR(__xludf.DUMMYFUNCTION("GOOGLEFINANCE(""NSE:""&amp;D1309,""marketcap"")"),245546682)</f>
        <v>245546682</v>
      </c>
      <c r="K1309" s="7">
        <v>992.8</v>
      </c>
      <c r="L1309" s="8">
        <f ca="1">IFERROR(__xludf.DUMMYFUNCTION("GOOGLEFINANCE(""NSE:""&amp;D1309,""price"")"),9.48)</f>
        <v>9.48</v>
      </c>
      <c r="M1309" s="9">
        <f t="shared" ca="1" si="27"/>
        <v>-983.31999999999994</v>
      </c>
      <c r="N1309" s="10">
        <f t="shared" ca="1" si="28"/>
        <v>-99.045124899274768</v>
      </c>
      <c r="O1309" s="7">
        <f ca="1">IFERROR(__xludf.DUMMYFUNCTION("GOOGLEFINANCE(""NSE:""&amp;D1309,""pe"")"),59.48)</f>
        <v>59.48</v>
      </c>
      <c r="P1309" s="7">
        <f ca="1">IFERROR(__xludf.DUMMYFUNCTION("GOOGLEFINANCE(""NSE:""&amp;D1309,""EPS"")"),0.16)</f>
        <v>0.16</v>
      </c>
      <c r="Q1309" s="7">
        <v>13.5</v>
      </c>
      <c r="R1309" s="7" t="str">
        <f ca="1">IFERROR(__xludf.DUMMYFUNCTION("IMPORTXML(E1309,""/html/body/main/div[3]/div[3]/div[2]/ul/li[7]/span[2]/span"")"),"Loading...")</f>
        <v>Loading...</v>
      </c>
      <c r="S1309" s="7" t="str">
        <f ca="1">IFERROR(__xludf.DUMMYFUNCTION("IMPORTXML(E1309,""/html/body/main/div[3]/div[3]/div[2]/ul/li[8]/span[2]/span"")"),"Loading...")</f>
        <v>Loading...</v>
      </c>
      <c r="T1309" s="4">
        <v>34.6</v>
      </c>
      <c r="U1309" s="4">
        <v>22.7</v>
      </c>
      <c r="V1309" s="4">
        <v>2.6</v>
      </c>
      <c r="W1309" s="4">
        <v>5.7</v>
      </c>
      <c r="X1309" s="4">
        <v>519.92999999999995</v>
      </c>
      <c r="Y1309" s="7">
        <f t="shared" ca="1" si="29"/>
        <v>-510.44999999999993</v>
      </c>
    </row>
    <row r="1310" spans="1:25" ht="15" x14ac:dyDescent="0.25">
      <c r="A1310" s="4">
        <v>355</v>
      </c>
      <c r="C1310" s="12" t="s">
        <v>3162</v>
      </c>
      <c r="D1310" s="12" t="s">
        <v>3163</v>
      </c>
      <c r="E1310" s="5" t="str">
        <f t="shared" si="25"/>
        <v>https://www.screener.in/company/JUNIPER/consolidated/</v>
      </c>
      <c r="F1310" s="4">
        <v>443059</v>
      </c>
      <c r="G1310" s="4">
        <v>3832241897</v>
      </c>
      <c r="H1310" s="6">
        <f t="shared" ca="1" si="26"/>
        <v>112073.91427776498</v>
      </c>
      <c r="I1310" s="7" t="str">
        <f ca="1">IFERROR(__xludf.DUMMYFUNCTION("IMPORTXML(E1310,""/html/body/main/div[3]/div[3]/div[2]/ul/li[5]/span[2]/span"")"),"Loading...")</f>
        <v>Loading...</v>
      </c>
      <c r="J1310" s="7">
        <f ca="1">IFERROR(__xludf.DUMMYFUNCTION("GOOGLEFINANCE(""NSE:""&amp;D1310,""marketcap"")"),65070800351)</f>
        <v>65070800351</v>
      </c>
      <c r="K1310" s="7">
        <v>992.8</v>
      </c>
      <c r="L1310" s="8">
        <f ca="1">IFERROR(__xludf.DUMMYFUNCTION("GOOGLEFINANCE(""NSE:""&amp;D1310,""price"")"),292.45)</f>
        <v>292.45</v>
      </c>
      <c r="M1310" s="9">
        <f t="shared" ca="1" si="27"/>
        <v>-700.34999999999991</v>
      </c>
      <c r="N1310" s="10">
        <f t="shared" ca="1" si="28"/>
        <v>-70.54290894439967</v>
      </c>
      <c r="O1310" s="7">
        <f ca="1">IFERROR(__xludf.DUMMYFUNCTION("GOOGLEFINANCE(""NSE:""&amp;D1310,""pe"")"),93.69)</f>
        <v>93.69</v>
      </c>
      <c r="P1310" s="7">
        <f ca="1">IFERROR(__xludf.DUMMYFUNCTION("GOOGLEFINANCE(""NSE:""&amp;D1310,""EPS"")"),3.12)</f>
        <v>3.12</v>
      </c>
      <c r="Q1310" s="7">
        <v>13.5</v>
      </c>
      <c r="R1310" s="7" t="str">
        <f ca="1">IFERROR(__xludf.DUMMYFUNCTION("IMPORTXML(E1310,""/html/body/main/div[3]/div[3]/div[2]/ul/li[7]/span[2]/span"")"),"Loading...")</f>
        <v>Loading...</v>
      </c>
      <c r="S1310" s="7" t="str">
        <f ca="1">IFERROR(__xludf.DUMMYFUNCTION("IMPORTXML(E1310,""/html/body/main/div[3]/div[3]/div[2]/ul/li[8]/span[2]/span"")"),"Loading...")</f>
        <v>Loading...</v>
      </c>
      <c r="T1310" s="4">
        <v>34.6</v>
      </c>
      <c r="U1310" s="4">
        <v>22.7</v>
      </c>
      <c r="V1310" s="4">
        <v>2.6</v>
      </c>
      <c r="W1310" s="4">
        <v>5.7</v>
      </c>
      <c r="X1310" s="4">
        <v>519.92999999999995</v>
      </c>
      <c r="Y1310" s="7">
        <f t="shared" ca="1" si="29"/>
        <v>-227.47999999999996</v>
      </c>
    </row>
    <row r="1311" spans="1:25" ht="15" x14ac:dyDescent="0.25">
      <c r="A1311" s="4">
        <v>212</v>
      </c>
      <c r="C1311" s="12" t="s">
        <v>3164</v>
      </c>
      <c r="D1311" s="12" t="s">
        <v>3165</v>
      </c>
      <c r="E1311" s="5" t="str">
        <f t="shared" si="25"/>
        <v>https://www.screener.in/company/HONASA/consolidated/</v>
      </c>
      <c r="F1311" s="4">
        <v>443059</v>
      </c>
      <c r="G1311" s="4">
        <v>3832241897</v>
      </c>
      <c r="H1311" s="6">
        <f t="shared" ca="1" si="26"/>
        <v>115657.06045146001</v>
      </c>
      <c r="I1311" s="7" t="str">
        <f ca="1">IFERROR(__xludf.DUMMYFUNCTION("IMPORTXML(E1311,""/html/body/main/div[3]/div[3]/div[2]/ul/li[5]/span[2]/span"")"),"Loading...")</f>
        <v>Loading...</v>
      </c>
      <c r="J1311" s="7">
        <f ca="1">IFERROR(__xludf.DUMMYFUNCTION("GOOGLEFINANCE(""NSE:""&amp;D1311,""marketcap"")"),97522560000)</f>
        <v>97522560000</v>
      </c>
      <c r="K1311" s="7">
        <v>992.8</v>
      </c>
      <c r="L1311" s="8">
        <f ca="1">IFERROR(__xludf.DUMMYFUNCTION("GOOGLEFINANCE(""NSE:""&amp;D1311,""price"")"),301.8)</f>
        <v>301.8</v>
      </c>
      <c r="M1311" s="9">
        <f t="shared" ca="1" si="27"/>
        <v>-691</v>
      </c>
      <c r="N1311" s="10">
        <f t="shared" ca="1" si="28"/>
        <v>-69.601128122481867</v>
      </c>
      <c r="O1311" s="7">
        <f ca="1">IFERROR(__xludf.DUMMYFUNCTION("GOOGLEFINANCE(""NSE:""&amp;D1311,""pe"")"),134.46)</f>
        <v>134.46</v>
      </c>
      <c r="P1311" s="7">
        <f ca="1">IFERROR(__xludf.DUMMYFUNCTION("GOOGLEFINANCE(""NSE:""&amp;D1311,""EPS"")"),2.24)</f>
        <v>2.2400000000000002</v>
      </c>
      <c r="Q1311" s="7">
        <v>13.5</v>
      </c>
      <c r="R1311" s="7" t="str">
        <f ca="1">IFERROR(__xludf.DUMMYFUNCTION("IMPORTXML(E1311,""/html/body/main/div[3]/div[3]/div[2]/ul/li[7]/span[2]/span"")"),"Loading...")</f>
        <v>Loading...</v>
      </c>
      <c r="S1311" s="7" t="str">
        <f ca="1">IFERROR(__xludf.DUMMYFUNCTION("IMPORTXML(E1311,""/html/body/main/div[3]/div[3]/div[2]/ul/li[8]/span[2]/span"")"),"Loading...")</f>
        <v>Loading...</v>
      </c>
      <c r="T1311" s="4">
        <v>34.6</v>
      </c>
      <c r="U1311" s="4">
        <v>22.7</v>
      </c>
      <c r="V1311" s="4">
        <v>2.6</v>
      </c>
      <c r="W1311" s="4">
        <v>5.7</v>
      </c>
      <c r="X1311" s="4">
        <v>519.92999999999995</v>
      </c>
      <c r="Y1311" s="7">
        <f t="shared" ca="1" si="29"/>
        <v>-218.12999999999994</v>
      </c>
    </row>
    <row r="1312" spans="1:25" ht="15" x14ac:dyDescent="0.25">
      <c r="A1312" s="4">
        <v>495</v>
      </c>
      <c r="C1312" s="12" t="s">
        <v>3166</v>
      </c>
      <c r="D1312" s="12" t="s">
        <v>3167</v>
      </c>
      <c r="E1312" s="5" t="str">
        <f t="shared" si="25"/>
        <v>https://www.screener.in/company/JCHAC/consolidated/</v>
      </c>
      <c r="F1312" s="4">
        <v>443059</v>
      </c>
      <c r="G1312" s="4">
        <v>3832241897</v>
      </c>
      <c r="H1312" s="6">
        <f t="shared" ca="1" si="26"/>
        <v>661636.56351705</v>
      </c>
      <c r="I1312" s="7" t="str">
        <f ca="1">IFERROR(__xludf.DUMMYFUNCTION("IMPORTXML(E1312,""/html/body/main/div[3]/div[3]/div[2]/ul/li[5]/span[2]/span"")"),"Loading...")</f>
        <v>Loading...</v>
      </c>
      <c r="J1312" s="7">
        <f ca="1">IFERROR(__xludf.DUMMYFUNCTION("GOOGLEFINANCE(""NSE:""&amp;D1312,""marketcap"")"),47023910000)</f>
        <v>47023910000</v>
      </c>
      <c r="K1312" s="7">
        <v>992.8</v>
      </c>
      <c r="L1312" s="8">
        <f ca="1">IFERROR(__xludf.DUMMYFUNCTION("GOOGLEFINANCE(""NSE:""&amp;D1312,""price"")"),1726.5)</f>
        <v>1726.5</v>
      </c>
      <c r="M1312" s="9">
        <f t="shared" ca="1" si="27"/>
        <v>733.7</v>
      </c>
      <c r="N1312" s="10">
        <f t="shared" ca="1" si="28"/>
        <v>73.902095084609201</v>
      </c>
      <c r="O1312" s="7">
        <f ca="1">IFERROR(__xludf.DUMMYFUNCTION("GOOGLEFINANCE(""NSE:""&amp;D1312,""pe"")"),115.91)</f>
        <v>115.91</v>
      </c>
      <c r="P1312" s="7">
        <f ca="1">IFERROR(__xludf.DUMMYFUNCTION("GOOGLEFINANCE(""NSE:""&amp;D1312,""EPS"")"),14.9)</f>
        <v>14.9</v>
      </c>
      <c r="Q1312" s="7">
        <v>13.5</v>
      </c>
      <c r="R1312" s="7" t="str">
        <f ca="1">IFERROR(__xludf.DUMMYFUNCTION("IMPORTXML(E1312,""/html/body/main/div[3]/div[3]/div[2]/ul/li[7]/span[2]/span"")"),"Loading...")</f>
        <v>Loading...</v>
      </c>
      <c r="S1312" s="7" t="str">
        <f ca="1">IFERROR(__xludf.DUMMYFUNCTION("IMPORTXML(E1312,""/html/body/main/div[3]/div[3]/div[2]/ul/li[8]/span[2]/span"")"),"Loading...")</f>
        <v>Loading...</v>
      </c>
      <c r="T1312" s="4">
        <v>34.6</v>
      </c>
      <c r="U1312" s="4">
        <v>22.7</v>
      </c>
      <c r="V1312" s="4">
        <v>2.6</v>
      </c>
      <c r="W1312" s="4">
        <v>5.7</v>
      </c>
      <c r="X1312" s="4">
        <v>519.92999999999995</v>
      </c>
      <c r="Y1312" s="7">
        <f t="shared" ca="1" si="29"/>
        <v>1206.5700000000002</v>
      </c>
    </row>
    <row r="1313" spans="1:25" ht="15" x14ac:dyDescent="0.25">
      <c r="A1313" s="4">
        <v>617</v>
      </c>
      <c r="C1313" s="12" t="s">
        <v>3168</v>
      </c>
      <c r="D1313" s="12" t="s">
        <v>3169</v>
      </c>
      <c r="E1313" s="5" t="str">
        <f t="shared" si="25"/>
        <v>https://www.screener.in/company/SEPC/consolidated/</v>
      </c>
      <c r="F1313" s="4">
        <v>443059</v>
      </c>
      <c r="G1313" s="4">
        <v>3832241897</v>
      </c>
      <c r="H1313" s="6">
        <f t="shared" ca="1" si="26"/>
        <v>4495.2197451810007</v>
      </c>
      <c r="I1313" s="7" t="str">
        <f ca="1">IFERROR(__xludf.DUMMYFUNCTION("IMPORTXML(E1313,""/html/body/main/div[3]/div[3]/div[2]/ul/li[5]/span[2]/span"")"),"Loading...")</f>
        <v>Loading...</v>
      </c>
      <c r="J1313" s="7">
        <f ca="1">IFERROR(__xludf.DUMMYFUNCTION("GOOGLEFINANCE(""NSE:""&amp;D1313,""marketcap"")"),20502666789)</f>
        <v>20502666789</v>
      </c>
      <c r="K1313" s="7">
        <v>992.8</v>
      </c>
      <c r="L1313" s="8">
        <f ca="1">IFERROR(__xludf.DUMMYFUNCTION("GOOGLEFINANCE(""NSE:""&amp;D1313,""price"")"),11.73)</f>
        <v>11.73</v>
      </c>
      <c r="M1313" s="9">
        <f t="shared" ca="1" si="27"/>
        <v>-981.06999999999994</v>
      </c>
      <c r="N1313" s="10">
        <f t="shared" ca="1" si="28"/>
        <v>-98.81849315068493</v>
      </c>
      <c r="O1313" s="7">
        <f ca="1">IFERROR(__xludf.DUMMYFUNCTION("GOOGLEFINANCE(""NSE:""&amp;D1313,""pe"")"),54.11)</f>
        <v>54.11</v>
      </c>
      <c r="P1313" s="7">
        <f ca="1">IFERROR(__xludf.DUMMYFUNCTION("GOOGLEFINANCE(""NSE:""&amp;D1313,""EPS"")"),0.22)</f>
        <v>0.22</v>
      </c>
      <c r="Q1313" s="7">
        <v>13.5</v>
      </c>
      <c r="R1313" s="7" t="str">
        <f ca="1">IFERROR(__xludf.DUMMYFUNCTION("IMPORTXML(E1313,""/html/body/main/div[3]/div[3]/div[2]/ul/li[7]/span[2]/span"")"),"Loading...")</f>
        <v>Loading...</v>
      </c>
      <c r="S1313" s="7" t="str">
        <f ca="1">IFERROR(__xludf.DUMMYFUNCTION("IMPORTXML(E1313,""/html/body/main/div[3]/div[3]/div[2]/ul/li[8]/span[2]/span"")"),"Loading...")</f>
        <v>Loading...</v>
      </c>
      <c r="T1313" s="4">
        <v>34.6</v>
      </c>
      <c r="U1313" s="4">
        <v>22.7</v>
      </c>
      <c r="V1313" s="4">
        <v>2.6</v>
      </c>
      <c r="W1313" s="4">
        <v>5.7</v>
      </c>
      <c r="X1313" s="4">
        <v>519.92999999999995</v>
      </c>
      <c r="Y1313" s="7">
        <f t="shared" ca="1" si="29"/>
        <v>-508.19999999999993</v>
      </c>
    </row>
    <row r="1314" spans="1:25" ht="15" x14ac:dyDescent="0.25">
      <c r="A1314" s="4">
        <v>1942</v>
      </c>
      <c r="C1314" s="12" t="s">
        <v>3170</v>
      </c>
      <c r="D1314" s="12" t="s">
        <v>3171</v>
      </c>
      <c r="E1314" s="5" t="str">
        <f t="shared" si="25"/>
        <v>https://www.screener.in/company/PANACHE/consolidated/</v>
      </c>
      <c r="F1314" s="4">
        <v>443059</v>
      </c>
      <c r="G1314" s="4">
        <v>3832241897</v>
      </c>
      <c r="H1314" s="6">
        <f t="shared" ca="1" si="26"/>
        <v>99235.903922814992</v>
      </c>
      <c r="I1314" s="7" t="str">
        <f ca="1">IFERROR(__xludf.DUMMYFUNCTION("IMPORTXML(E1314,""/html/body/main/div[3]/div[3]/div[2]/ul/li[5]/span[2]/span"")"),"Loading...")</f>
        <v>Loading...</v>
      </c>
      <c r="J1314" s="7">
        <f ca="1">IFERROR(__xludf.DUMMYFUNCTION("GOOGLEFINANCE(""NSE:""&amp;D1314,""marketcap"")"),3107400146)</f>
        <v>3107400146</v>
      </c>
      <c r="K1314" s="7">
        <v>992.8</v>
      </c>
      <c r="L1314" s="8">
        <f ca="1">IFERROR(__xludf.DUMMYFUNCTION("GOOGLEFINANCE(""NSE:""&amp;D1314,""price"")"),258.95)</f>
        <v>258.95</v>
      </c>
      <c r="M1314" s="9">
        <f t="shared" ca="1" si="27"/>
        <v>-733.84999999999991</v>
      </c>
      <c r="N1314" s="10">
        <f t="shared" ca="1" si="28"/>
        <v>-73.917203867848499</v>
      </c>
      <c r="O1314" s="7">
        <f ca="1">IFERROR(__xludf.DUMMYFUNCTION("GOOGLEFINANCE(""NSE:""&amp;D1314,""pe"")"),52.54)</f>
        <v>52.54</v>
      </c>
      <c r="P1314" s="7">
        <f ca="1">IFERROR(__xludf.DUMMYFUNCTION("GOOGLEFINANCE(""NSE:""&amp;D1314,""EPS"")"),4.93)</f>
        <v>4.93</v>
      </c>
      <c r="Q1314" s="7">
        <v>13.5</v>
      </c>
      <c r="R1314" s="7" t="str">
        <f ca="1">IFERROR(__xludf.DUMMYFUNCTION("IMPORTXML(E1314,""/html/body/main/div[3]/div[3]/div[2]/ul/li[7]/span[2]/span"")"),"Loading...")</f>
        <v>Loading...</v>
      </c>
      <c r="S1314" s="7" t="str">
        <f ca="1">IFERROR(__xludf.DUMMYFUNCTION("IMPORTXML(E1314,""/html/body/main/div[3]/div[3]/div[2]/ul/li[8]/span[2]/span"")"),"Loading...")</f>
        <v>Loading...</v>
      </c>
      <c r="T1314" s="4">
        <v>34.6</v>
      </c>
      <c r="U1314" s="4">
        <v>22.7</v>
      </c>
      <c r="V1314" s="4">
        <v>2.6</v>
      </c>
      <c r="W1314" s="4">
        <v>5.7</v>
      </c>
      <c r="X1314" s="4">
        <v>519.92999999999995</v>
      </c>
      <c r="Y1314" s="7">
        <f t="shared" ca="1" si="29"/>
        <v>-260.97999999999996</v>
      </c>
    </row>
    <row r="1315" spans="1:25" ht="15" x14ac:dyDescent="0.25">
      <c r="A1315" s="4">
        <v>2091</v>
      </c>
      <c r="C1315" s="12" t="s">
        <v>3172</v>
      </c>
      <c r="D1315" s="12" t="s">
        <v>3173</v>
      </c>
      <c r="E1315" s="5" t="str">
        <f t="shared" si="25"/>
        <v>https://www.screener.in/company/AIROLAM/consolidated/</v>
      </c>
      <c r="F1315" s="4">
        <v>443059</v>
      </c>
      <c r="G1315" s="4">
        <v>3832241897</v>
      </c>
      <c r="H1315" s="6">
        <f t="shared" ca="1" si="26"/>
        <v>42534.052814802999</v>
      </c>
      <c r="I1315" s="7" t="str">
        <f ca="1">IFERROR(__xludf.DUMMYFUNCTION("IMPORTXML(E1315,""/html/body/main/div[3]/div[3]/div[2]/ul/li[5]/span[2]/span"")"),"Loading...")</f>
        <v>Loading...</v>
      </c>
      <c r="J1315" s="7">
        <f ca="1">IFERROR(__xludf.DUMMYFUNCTION("GOOGLEFINANCE(""NSE:""&amp;D1315,""marketcap"")"),1665070838)</f>
        <v>1665070838</v>
      </c>
      <c r="K1315" s="7">
        <v>992.8</v>
      </c>
      <c r="L1315" s="8">
        <f ca="1">IFERROR(__xludf.DUMMYFUNCTION("GOOGLEFINANCE(""NSE:""&amp;D1315,""price"")"),110.99)</f>
        <v>110.99</v>
      </c>
      <c r="M1315" s="9">
        <f t="shared" ca="1" si="27"/>
        <v>-881.81</v>
      </c>
      <c r="N1315" s="10">
        <f t="shared" ca="1" si="28"/>
        <v>-88.820507655116842</v>
      </c>
      <c r="O1315" s="7">
        <f ca="1">IFERROR(__xludf.DUMMYFUNCTION("GOOGLEFINANCE(""NSE:""&amp;D1315,""pe"")"),89.51)</f>
        <v>89.51</v>
      </c>
      <c r="P1315" s="7">
        <f ca="1">IFERROR(__xludf.DUMMYFUNCTION("GOOGLEFINANCE(""NSE:""&amp;D1315,""EPS"")"),1.24)</f>
        <v>1.24</v>
      </c>
      <c r="Q1315" s="7">
        <v>13.5</v>
      </c>
      <c r="R1315" s="7" t="str">
        <f ca="1">IFERROR(__xludf.DUMMYFUNCTION("IMPORTXML(E1315,""/html/body/main/div[3]/div[3]/div[2]/ul/li[7]/span[2]/span"")"),"Loading...")</f>
        <v>Loading...</v>
      </c>
      <c r="S1315" s="7" t="str">
        <f ca="1">IFERROR(__xludf.DUMMYFUNCTION("IMPORTXML(E1315,""/html/body/main/div[3]/div[3]/div[2]/ul/li[8]/span[2]/span"")"),"Loading...")</f>
        <v>Loading...</v>
      </c>
      <c r="T1315" s="4">
        <v>34.6</v>
      </c>
      <c r="U1315" s="4">
        <v>22.7</v>
      </c>
      <c r="V1315" s="4">
        <v>2.6</v>
      </c>
      <c r="W1315" s="4">
        <v>5.7</v>
      </c>
      <c r="X1315" s="4">
        <v>519.92999999999995</v>
      </c>
      <c r="Y1315" s="7">
        <f t="shared" ca="1" si="29"/>
        <v>-408.93999999999994</v>
      </c>
    </row>
    <row r="1316" spans="1:25" ht="15" x14ac:dyDescent="0.25">
      <c r="A1316" s="4">
        <v>2714</v>
      </c>
      <c r="C1316" s="12" t="s">
        <v>3174</v>
      </c>
      <c r="D1316" s="12" t="s">
        <v>3175</v>
      </c>
      <c r="E1316" s="5" t="str">
        <f t="shared" si="25"/>
        <v>https://www.screener.in/company/KEEPLEARN/consolidated/</v>
      </c>
      <c r="F1316" s="4">
        <v>443059</v>
      </c>
      <c r="G1316" s="4">
        <v>3832241897</v>
      </c>
      <c r="H1316" s="6">
        <f t="shared" ca="1" si="26"/>
        <v>1092.188940645</v>
      </c>
      <c r="I1316" s="7" t="str">
        <f ca="1">IFERROR(__xludf.DUMMYFUNCTION("IMPORTXML(E1316,""/html/body/main/div[3]/div[3]/div[2]/ul/li[5]/span[2]/span"")"),"Loading...")</f>
        <v>Loading...</v>
      </c>
      <c r="J1316" s="7">
        <f ca="1">IFERROR(__xludf.DUMMYFUNCTION("GOOGLEFINANCE(""NSE:""&amp;D1316,""marketcap"")"),443779185)</f>
        <v>443779185</v>
      </c>
      <c r="K1316" s="7">
        <v>992.8</v>
      </c>
      <c r="L1316" s="8">
        <f ca="1">IFERROR(__xludf.DUMMYFUNCTION("GOOGLEFINANCE(""NSE:""&amp;D1316,""price"")"),2.85)</f>
        <v>2.85</v>
      </c>
      <c r="M1316" s="9">
        <f t="shared" ca="1" si="27"/>
        <v>-989.94999999999993</v>
      </c>
      <c r="N1316" s="10">
        <f t="shared" ca="1" si="28"/>
        <v>-99.712933118452867</v>
      </c>
      <c r="O1316" s="7">
        <f ca="1">IFERROR(__xludf.DUMMYFUNCTION("GOOGLEFINANCE(""NSE:""&amp;D1316,""pe"")"),78.93)</f>
        <v>78.930000000000007</v>
      </c>
      <c r="P1316" s="7">
        <f ca="1">IFERROR(__xludf.DUMMYFUNCTION("GOOGLEFINANCE(""NSE:""&amp;D1316,""EPS"")"),0.04)</f>
        <v>0.04</v>
      </c>
      <c r="Q1316" s="7">
        <v>13.5</v>
      </c>
      <c r="R1316" s="7" t="str">
        <f ca="1">IFERROR(__xludf.DUMMYFUNCTION("IMPORTXML(E1316,""/html/body/main/div[3]/div[3]/div[2]/ul/li[7]/span[2]/span"")"),"Loading...")</f>
        <v>Loading...</v>
      </c>
      <c r="S1316" s="7" t="str">
        <f ca="1">IFERROR(__xludf.DUMMYFUNCTION("IMPORTXML(E1316,""/html/body/main/div[3]/div[3]/div[2]/ul/li[8]/span[2]/span"")"),"Loading...")</f>
        <v>Loading...</v>
      </c>
      <c r="T1316" s="4">
        <v>34.6</v>
      </c>
      <c r="U1316" s="4">
        <v>22.7</v>
      </c>
      <c r="V1316" s="4">
        <v>2.6</v>
      </c>
      <c r="W1316" s="4">
        <v>5.7</v>
      </c>
      <c r="X1316" s="4">
        <v>519.92999999999995</v>
      </c>
      <c r="Y1316" s="7">
        <f t="shared" ca="1" si="29"/>
        <v>-517.07999999999993</v>
      </c>
    </row>
    <row r="1317" spans="1:25" ht="15" x14ac:dyDescent="0.25">
      <c r="A1317" s="4">
        <v>34</v>
      </c>
      <c r="C1317" s="12" t="s">
        <v>3176</v>
      </c>
      <c r="D1317" s="12" t="s">
        <v>3177</v>
      </c>
      <c r="E1317" s="5" t="str">
        <f t="shared" si="25"/>
        <v>https://www.screener.in/company/RADICO/consolidated/</v>
      </c>
      <c r="F1317" s="4">
        <v>443059</v>
      </c>
      <c r="G1317" s="4">
        <v>3832241897</v>
      </c>
      <c r="H1317" s="6">
        <f t="shared" ca="1" si="26"/>
        <v>1072644.5069703001</v>
      </c>
      <c r="I1317" s="7" t="str">
        <f ca="1">IFERROR(__xludf.DUMMYFUNCTION("IMPORTXML(E1317,""/html/body/main/div[3]/div[3]/div[2]/ul/li[5]/span[2]/span"")"),"Loading...")</f>
        <v>Loading...</v>
      </c>
      <c r="J1317" s="7">
        <f ca="1">IFERROR(__xludf.DUMMYFUNCTION("GOOGLEFINANCE(""NSE:""&amp;D1317,""marketcap"")"),373115500000)</f>
        <v>373115500000</v>
      </c>
      <c r="K1317" s="7">
        <v>992.8</v>
      </c>
      <c r="L1317" s="8">
        <f ca="1">IFERROR(__xludf.DUMMYFUNCTION("GOOGLEFINANCE(""NSE:""&amp;D1317,""price"")"),2799)</f>
        <v>2799</v>
      </c>
      <c r="M1317" s="9">
        <f t="shared" ca="1" si="27"/>
        <v>1806.2</v>
      </c>
      <c r="N1317" s="10">
        <f t="shared" ca="1" si="28"/>
        <v>181.92989524576956</v>
      </c>
      <c r="O1317" s="7">
        <f ca="1">IFERROR(__xludf.DUMMYFUNCTION("GOOGLEFINANCE(""NSE:""&amp;D1317,""pe"")"),94.03)</f>
        <v>94.03</v>
      </c>
      <c r="P1317" s="7">
        <f ca="1">IFERROR(__xludf.DUMMYFUNCTION("GOOGLEFINANCE(""NSE:""&amp;D1317,""EPS"")"),29.77)</f>
        <v>29.77</v>
      </c>
      <c r="Q1317" s="7">
        <v>13.5</v>
      </c>
      <c r="R1317" s="7">
        <f ca="1">IFERROR(__xludf.DUMMYFUNCTION("IMPORTXML(E1317,""/html/body/main/div[3]/div[3]/div[2]/ul/li[7]/span[2]/span"")"),16)</f>
        <v>16</v>
      </c>
      <c r="S1317" s="7" t="str">
        <f ca="1">IFERROR(__xludf.DUMMYFUNCTION("IMPORTXML(E1317,""/html/body/main/div[3]/div[3]/div[2]/ul/li[8]/span[2]/span"")"),"Loading...")</f>
        <v>Loading...</v>
      </c>
      <c r="T1317" s="4">
        <v>34.6</v>
      </c>
      <c r="U1317" s="4">
        <v>22.7</v>
      </c>
      <c r="V1317" s="4">
        <v>2.6</v>
      </c>
      <c r="W1317" s="4">
        <v>5.7</v>
      </c>
      <c r="X1317" s="4">
        <v>519.92999999999995</v>
      </c>
      <c r="Y1317" s="7">
        <f t="shared" ca="1" si="29"/>
        <v>2279.0700000000002</v>
      </c>
    </row>
    <row r="1318" spans="1:25" ht="15" x14ac:dyDescent="0.25">
      <c r="A1318" s="4">
        <v>255</v>
      </c>
      <c r="C1318" s="12" t="s">
        <v>3178</v>
      </c>
      <c r="D1318" s="12" t="s">
        <v>3179</v>
      </c>
      <c r="E1318" s="5" t="str">
        <f t="shared" si="25"/>
        <v>https://www.screener.in/company/JSWHL/consolidated/</v>
      </c>
      <c r="F1318" s="4">
        <v>443059</v>
      </c>
      <c r="G1318" s="4">
        <v>3832241897</v>
      </c>
      <c r="H1318" s="6">
        <f t="shared" ca="1" si="26"/>
        <v>7262098.3948149998</v>
      </c>
      <c r="I1318" s="7" t="str">
        <f ca="1">IFERROR(__xludf.DUMMYFUNCTION("IMPORTXML(E1318,""/html/body/main/div[3]/div[3]/div[2]/ul/li[5]/span[2]/span"")"),"Loading...")</f>
        <v>Loading...</v>
      </c>
      <c r="J1318" s="7">
        <f ca="1">IFERROR(__xludf.DUMMYFUNCTION("GOOGLEFINANCE(""NSE:""&amp;D1318,""marketcap"")"),209486000000)</f>
        <v>209486000000</v>
      </c>
      <c r="K1318" s="7">
        <v>992.8</v>
      </c>
      <c r="L1318" s="8">
        <f ca="1">IFERROR(__xludf.DUMMYFUNCTION("GOOGLEFINANCE(""NSE:""&amp;D1318,""price"")"),18950)</f>
        <v>18950</v>
      </c>
      <c r="M1318" s="9">
        <f t="shared" ca="1" si="27"/>
        <v>17957.2</v>
      </c>
      <c r="N1318" s="10">
        <f t="shared" ca="1" si="28"/>
        <v>1808.7429492344886</v>
      </c>
      <c r="O1318" s="7">
        <f ca="1">IFERROR(__xludf.DUMMYFUNCTION("GOOGLEFINANCE(""NSE:""&amp;D1318,""pe"")"),118.8)</f>
        <v>118.8</v>
      </c>
      <c r="P1318" s="7">
        <f ca="1">IFERROR(__xludf.DUMMYFUNCTION("GOOGLEFINANCE(""NSE:""&amp;D1318,""EPS"")"),159.51)</f>
        <v>159.51</v>
      </c>
      <c r="Q1318" s="7">
        <v>13.5</v>
      </c>
      <c r="R1318" s="7" t="str">
        <f ca="1">IFERROR(__xludf.DUMMYFUNCTION("IMPORTXML(E1318,""/html/body/main/div[3]/div[3]/div[2]/ul/li[7]/span[2]/span"")"),"Loading...")</f>
        <v>Loading...</v>
      </c>
      <c r="S1318" s="7" t="str">
        <f ca="1">IFERROR(__xludf.DUMMYFUNCTION("IMPORTXML(E1318,""/html/body/main/div[3]/div[3]/div[2]/ul/li[8]/span[2]/span"")"),"Loading...")</f>
        <v>Loading...</v>
      </c>
      <c r="T1318" s="4">
        <v>34.6</v>
      </c>
      <c r="U1318" s="4">
        <v>22.7</v>
      </c>
      <c r="V1318" s="4">
        <v>2.6</v>
      </c>
      <c r="W1318" s="4">
        <v>5.7</v>
      </c>
      <c r="X1318" s="4">
        <v>519.92999999999995</v>
      </c>
      <c r="Y1318" s="7">
        <f t="shared" ca="1" si="29"/>
        <v>18430.07</v>
      </c>
    </row>
    <row r="1319" spans="1:25" ht="15" x14ac:dyDescent="0.25">
      <c r="A1319" s="4">
        <v>3625</v>
      </c>
      <c r="C1319" s="12" t="s">
        <v>3180</v>
      </c>
      <c r="D1319" s="12" t="s">
        <v>3181</v>
      </c>
      <c r="E1319" s="5" t="str">
        <f t="shared" si="25"/>
        <v>https://www.screener.in/company/UMESLTD/consolidated/</v>
      </c>
      <c r="F1319" s="4">
        <v>443059</v>
      </c>
      <c r="G1319" s="4">
        <v>3832241897</v>
      </c>
      <c r="H1319" s="6">
        <f t="shared" ca="1" si="26"/>
        <v>2245.6937516420003</v>
      </c>
      <c r="I1319" s="7" t="str">
        <f ca="1">IFERROR(__xludf.DUMMYFUNCTION("IMPORTXML(E1319,""/html/body/main/div[3]/div[3]/div[2]/ul/li[5]/span[2]/span"")"),"Loading...")</f>
        <v>Loading...</v>
      </c>
      <c r="J1319" s="7">
        <f ca="1">IFERROR(__xludf.DUMMYFUNCTION("GOOGLEFINANCE(""NSE:""&amp;D1319,""marketcap"")"),153223122)</f>
        <v>153223122</v>
      </c>
      <c r="K1319" s="7">
        <v>992.8</v>
      </c>
      <c r="L1319" s="8">
        <f ca="1">IFERROR(__xludf.DUMMYFUNCTION("GOOGLEFINANCE(""NSE:""&amp;D1319,""price"")"),5.86)</f>
        <v>5.86</v>
      </c>
      <c r="M1319" s="9">
        <f t="shared" ca="1" si="27"/>
        <v>-986.93999999999994</v>
      </c>
      <c r="N1319" s="10">
        <f t="shared" ca="1" si="28"/>
        <v>-99.409750201450436</v>
      </c>
      <c r="O1319" s="7">
        <f ca="1">IFERROR(__xludf.DUMMYFUNCTION("GOOGLEFINANCE(""NSE:""&amp;D1319,""pe"")"),47.38)</f>
        <v>47.38</v>
      </c>
      <c r="P1319" s="7">
        <f ca="1">IFERROR(__xludf.DUMMYFUNCTION("GOOGLEFINANCE(""NSE:""&amp;D1319,""EPS"")"),0.12)</f>
        <v>0.12</v>
      </c>
      <c r="Q1319" s="7">
        <v>13.5</v>
      </c>
      <c r="R1319" s="7" t="str">
        <f ca="1">IFERROR(__xludf.DUMMYFUNCTION("IMPORTXML(E1319,""/html/body/main/div[3]/div[3]/div[2]/ul/li[7]/span[2]/span"")"),"Loading...")</f>
        <v>Loading...</v>
      </c>
      <c r="S1319" s="7" t="str">
        <f ca="1">IFERROR(__xludf.DUMMYFUNCTION("IMPORTXML(E1319,""/html/body/main/div[3]/div[3]/div[2]/ul/li[8]/span[2]/span"")"),"Loading...")</f>
        <v>Loading...</v>
      </c>
      <c r="T1319" s="4">
        <v>34.6</v>
      </c>
      <c r="U1319" s="4">
        <v>22.7</v>
      </c>
      <c r="V1319" s="4">
        <v>2.6</v>
      </c>
      <c r="W1319" s="4">
        <v>5.7</v>
      </c>
      <c r="X1319" s="4">
        <v>519.92999999999995</v>
      </c>
      <c r="Y1319" s="7">
        <f t="shared" ca="1" si="29"/>
        <v>-514.06999999999994</v>
      </c>
    </row>
    <row r="1320" spans="1:25" ht="15" x14ac:dyDescent="0.25">
      <c r="A1320" s="4">
        <v>133</v>
      </c>
      <c r="C1320" s="12" t="s">
        <v>3182</v>
      </c>
      <c r="D1320" s="12" t="s">
        <v>3183</v>
      </c>
      <c r="E1320" s="5" t="str">
        <f t="shared" si="25"/>
        <v>https://www.screener.in/company/AMBER/consolidated/</v>
      </c>
      <c r="F1320" s="4">
        <v>443059</v>
      </c>
      <c r="G1320" s="4">
        <v>3832241897</v>
      </c>
      <c r="H1320" s="6">
        <f t="shared" ca="1" si="26"/>
        <v>2988382.2312806002</v>
      </c>
      <c r="I1320" s="7" t="str">
        <f ca="1">IFERROR(__xludf.DUMMYFUNCTION("IMPORTXML(E1320,""/html/body/main/div[3]/div[3]/div[2]/ul/li[5]/span[2]/span"")"),"Loading...")</f>
        <v>Loading...</v>
      </c>
      <c r="J1320" s="7">
        <f ca="1">IFERROR(__xludf.DUMMYFUNCTION("GOOGLEFINANCE(""NSE:""&amp;D1320,""marketcap"")"),264130100000)</f>
        <v>264130100000</v>
      </c>
      <c r="K1320" s="7">
        <v>992.8</v>
      </c>
      <c r="L1320" s="8">
        <f ca="1">IFERROR(__xludf.DUMMYFUNCTION("GOOGLEFINANCE(""NSE:""&amp;D1320,""price"")"),7798)</f>
        <v>7798</v>
      </c>
      <c r="M1320" s="9">
        <f t="shared" ca="1" si="27"/>
        <v>6805.2</v>
      </c>
      <c r="N1320" s="10">
        <f t="shared" ca="1" si="28"/>
        <v>685.45527800161165</v>
      </c>
      <c r="O1320" s="7">
        <f ca="1">IFERROR(__xludf.DUMMYFUNCTION("GOOGLEFINANCE(""NSE:""&amp;D1320,""pe"")"),96.31)</f>
        <v>96.31</v>
      </c>
      <c r="P1320" s="7">
        <f ca="1">IFERROR(__xludf.DUMMYFUNCTION("GOOGLEFINANCE(""NSE:""&amp;D1320,""EPS"")"),80.96)</f>
        <v>80.959999999999994</v>
      </c>
      <c r="Q1320" s="7">
        <v>13.5</v>
      </c>
      <c r="R1320" s="7" t="str">
        <f ca="1">IFERROR(__xludf.DUMMYFUNCTION("IMPORTXML(E1320,""/html/body/main/div[3]/div[3]/div[2]/ul/li[7]/span[2]/span"")"),"Loading...")</f>
        <v>Loading...</v>
      </c>
      <c r="S1320" s="7" t="str">
        <f ca="1">IFERROR(__xludf.DUMMYFUNCTION("IMPORTXML(E1320,""/html/body/main/div[3]/div[3]/div[2]/ul/li[8]/span[2]/span"")"),"Loading...")</f>
        <v>Loading...</v>
      </c>
      <c r="T1320" s="4">
        <v>34.6</v>
      </c>
      <c r="U1320" s="4">
        <v>22.7</v>
      </c>
      <c r="V1320" s="4">
        <v>2.6</v>
      </c>
      <c r="W1320" s="4">
        <v>5.7</v>
      </c>
      <c r="X1320" s="4">
        <v>519.92999999999995</v>
      </c>
      <c r="Y1320" s="7">
        <f t="shared" ca="1" si="29"/>
        <v>7278.07</v>
      </c>
    </row>
    <row r="1321" spans="1:25" ht="15" x14ac:dyDescent="0.25">
      <c r="A1321" s="4">
        <v>497</v>
      </c>
      <c r="C1321" s="12" t="s">
        <v>3184</v>
      </c>
      <c r="D1321" s="12" t="s">
        <v>3185</v>
      </c>
      <c r="E1321" s="5" t="str">
        <f t="shared" si="25"/>
        <v>https://www.screener.in/company/MTARTECH/consolidated/</v>
      </c>
      <c r="F1321" s="4">
        <v>443059</v>
      </c>
      <c r="G1321" s="4">
        <v>3832241897</v>
      </c>
      <c r="H1321" s="6">
        <f t="shared" ca="1" si="26"/>
        <v>539579.65909760003</v>
      </c>
      <c r="I1321" s="7" t="str">
        <f ca="1">IFERROR(__xludf.DUMMYFUNCTION("IMPORTXML(E1321,""/html/body/main/div[3]/div[3]/div[2]/ul/li[5]/span[2]/span"")"),"Loading...")</f>
        <v>Loading...</v>
      </c>
      <c r="J1321" s="7">
        <f ca="1">IFERROR(__xludf.DUMMYFUNCTION("GOOGLEFINANCE(""NSE:""&amp;D1321,""marketcap"")"),43234517706)</f>
        <v>43234517706</v>
      </c>
      <c r="K1321" s="7">
        <v>992.8</v>
      </c>
      <c r="L1321" s="8">
        <f ca="1">IFERROR(__xludf.DUMMYFUNCTION("GOOGLEFINANCE(""NSE:""&amp;D1321,""price"")"),1408)</f>
        <v>1408</v>
      </c>
      <c r="M1321" s="9">
        <f t="shared" ca="1" si="27"/>
        <v>415.20000000000005</v>
      </c>
      <c r="N1321" s="10">
        <f t="shared" ca="1" si="28"/>
        <v>41.82111200644642</v>
      </c>
      <c r="O1321" s="7">
        <f ca="1">IFERROR(__xludf.DUMMYFUNCTION("GOOGLEFINANCE(""NSE:""&amp;D1321,""pe"")"),73.05)</f>
        <v>73.05</v>
      </c>
      <c r="P1321" s="7">
        <f ca="1">IFERROR(__xludf.DUMMYFUNCTION("GOOGLEFINANCE(""NSE:""&amp;D1321,""EPS"")"),19.27)</f>
        <v>19.27</v>
      </c>
      <c r="Q1321" s="7">
        <v>13.5</v>
      </c>
      <c r="R1321" s="7" t="str">
        <f ca="1">IFERROR(__xludf.DUMMYFUNCTION("IMPORTXML(E1321,""/html/body/main/div[3]/div[3]/div[2]/ul/li[7]/span[2]/span"")"),"Loading...")</f>
        <v>Loading...</v>
      </c>
      <c r="S1321" s="7" t="str">
        <f ca="1">IFERROR(__xludf.DUMMYFUNCTION("IMPORTXML(E1321,""/html/body/main/div[3]/div[3]/div[2]/ul/li[8]/span[2]/span"")"),"Loading...")</f>
        <v>Loading...</v>
      </c>
      <c r="T1321" s="4">
        <v>34.6</v>
      </c>
      <c r="U1321" s="4">
        <v>22.7</v>
      </c>
      <c r="V1321" s="4">
        <v>2.6</v>
      </c>
      <c r="W1321" s="4">
        <v>5.7</v>
      </c>
      <c r="X1321" s="4">
        <v>519.92999999999995</v>
      </c>
      <c r="Y1321" s="7">
        <f t="shared" ca="1" si="29"/>
        <v>888.07</v>
      </c>
    </row>
    <row r="1322" spans="1:25" ht="15" x14ac:dyDescent="0.25">
      <c r="A1322" s="4">
        <v>788</v>
      </c>
      <c r="C1322" s="12" t="s">
        <v>3186</v>
      </c>
      <c r="D1322" s="12" t="s">
        <v>3187</v>
      </c>
      <c r="E1322" s="5" t="str">
        <f t="shared" si="25"/>
        <v>https://www.screener.in/company/PRECAM/consolidated/</v>
      </c>
      <c r="F1322" s="4">
        <v>443059</v>
      </c>
      <c r="G1322" s="4">
        <v>3832241897</v>
      </c>
      <c r="H1322" s="6">
        <f t="shared" ca="1" si="26"/>
        <v>69938.414620249998</v>
      </c>
      <c r="I1322" s="7" t="str">
        <f ca="1">IFERROR(__xludf.DUMMYFUNCTION("IMPORTXML(E1322,""/html/body/main/div[3]/div[3]/div[2]/ul/li[5]/span[2]/span"")"),"Loading...")</f>
        <v>Loading...</v>
      </c>
      <c r="J1322" s="7">
        <f ca="1">IFERROR(__xludf.DUMMYFUNCTION("GOOGLEFINANCE(""NSE:""&amp;D1322,""marketcap"")"),17416624265)</f>
        <v>17416624265</v>
      </c>
      <c r="K1322" s="7">
        <v>992.8</v>
      </c>
      <c r="L1322" s="8">
        <f ca="1">IFERROR(__xludf.DUMMYFUNCTION("GOOGLEFINANCE(""NSE:""&amp;D1322,""price"")"),182.5)</f>
        <v>182.5</v>
      </c>
      <c r="M1322" s="9">
        <f t="shared" ca="1" si="27"/>
        <v>-810.3</v>
      </c>
      <c r="N1322" s="10">
        <f t="shared" ca="1" si="28"/>
        <v>-81.617647058823522</v>
      </c>
      <c r="O1322" s="7">
        <f ca="1">IFERROR(__xludf.DUMMYFUNCTION("GOOGLEFINANCE(""NSE:""&amp;D1322,""pe"")"),28.33)</f>
        <v>28.33</v>
      </c>
      <c r="P1322" s="7">
        <f ca="1">IFERROR(__xludf.DUMMYFUNCTION("GOOGLEFINANCE(""NSE:""&amp;D1322,""EPS"")"),6.44)</f>
        <v>6.44</v>
      </c>
      <c r="Q1322" s="7">
        <v>13.5</v>
      </c>
      <c r="R1322" s="7" t="str">
        <f ca="1">IFERROR(__xludf.DUMMYFUNCTION("IMPORTXML(E1322,""/html/body/main/div[3]/div[3]/div[2]/ul/li[7]/span[2]/span"")"),"Loading...")</f>
        <v>Loading...</v>
      </c>
      <c r="S1322" s="7" t="str">
        <f ca="1">IFERROR(__xludf.DUMMYFUNCTION("IMPORTXML(E1322,""/html/body/main/div[3]/div[3]/div[2]/ul/li[8]/span[2]/span"")"),"Loading...")</f>
        <v>Loading...</v>
      </c>
      <c r="T1322" s="4">
        <v>34.6</v>
      </c>
      <c r="U1322" s="4">
        <v>22.7</v>
      </c>
      <c r="V1322" s="4">
        <v>2.6</v>
      </c>
      <c r="W1322" s="4">
        <v>5.7</v>
      </c>
      <c r="X1322" s="4">
        <v>519.92999999999995</v>
      </c>
      <c r="Y1322" s="7">
        <f t="shared" ca="1" si="29"/>
        <v>-337.42999999999995</v>
      </c>
    </row>
    <row r="1323" spans="1:25" ht="15" x14ac:dyDescent="0.25">
      <c r="A1323" s="4">
        <v>520</v>
      </c>
      <c r="C1323" s="12" t="s">
        <v>3188</v>
      </c>
      <c r="D1323" s="12" t="s">
        <v>3189</v>
      </c>
      <c r="E1323" s="5" t="str">
        <f t="shared" si="25"/>
        <v>https://www.screener.in/company/NEOGEN/consolidated/</v>
      </c>
      <c r="F1323" s="4">
        <v>443059</v>
      </c>
      <c r="G1323" s="4">
        <v>3832241897</v>
      </c>
      <c r="H1323" s="6">
        <f t="shared" ca="1" si="26"/>
        <v>571004.04265299998</v>
      </c>
      <c r="I1323" s="7" t="str">
        <f ca="1">IFERROR(__xludf.DUMMYFUNCTION("IMPORTXML(E1323,""/html/body/main/div[3]/div[3]/div[2]/ul/li[5]/span[2]/span"")"),"Loading...")</f>
        <v>Loading...</v>
      </c>
      <c r="J1323" s="7">
        <f ca="1">IFERROR(__xludf.DUMMYFUNCTION("GOOGLEFINANCE(""NSE:""&amp;D1323,""marketcap"")"),39307362200)</f>
        <v>39307362200</v>
      </c>
      <c r="K1323" s="7">
        <v>992.8</v>
      </c>
      <c r="L1323" s="8">
        <f ca="1">IFERROR(__xludf.DUMMYFUNCTION("GOOGLEFINANCE(""NSE:""&amp;D1323,""price"")"),1490)</f>
        <v>1490</v>
      </c>
      <c r="M1323" s="9">
        <f t="shared" ca="1" si="27"/>
        <v>497.20000000000005</v>
      </c>
      <c r="N1323" s="10">
        <f t="shared" ca="1" si="28"/>
        <v>50.080580177276403</v>
      </c>
      <c r="O1323" s="7">
        <f ca="1">IFERROR(__xludf.DUMMYFUNCTION("GOOGLEFINANCE(""NSE:""&amp;D1323,""pe"")"),116.86)</f>
        <v>116.86</v>
      </c>
      <c r="P1323" s="7">
        <f ca="1">IFERROR(__xludf.DUMMYFUNCTION("GOOGLEFINANCE(""NSE:""&amp;D1323,""EPS"")"),12.75)</f>
        <v>12.75</v>
      </c>
      <c r="Q1323" s="7">
        <v>13.5</v>
      </c>
      <c r="R1323" s="7" t="str">
        <f ca="1">IFERROR(__xludf.DUMMYFUNCTION("IMPORTXML(E1323,""/html/body/main/div[3]/div[3]/div[2]/ul/li[7]/span[2]/span"")"),"Loading...")</f>
        <v>Loading...</v>
      </c>
      <c r="S1323" s="7" t="str">
        <f ca="1">IFERROR(__xludf.DUMMYFUNCTION("IMPORTXML(E1323,""/html/body/main/div[3]/div[3]/div[2]/ul/li[8]/span[2]/span"")"),"Loading...")</f>
        <v>Loading...</v>
      </c>
      <c r="T1323" s="4">
        <v>34.6</v>
      </c>
      <c r="U1323" s="4">
        <v>22.7</v>
      </c>
      <c r="V1323" s="4">
        <v>2.6</v>
      </c>
      <c r="W1323" s="4">
        <v>5.7</v>
      </c>
      <c r="X1323" s="4">
        <v>519.92999999999995</v>
      </c>
      <c r="Y1323" s="7">
        <f t="shared" ca="1" si="29"/>
        <v>970.07</v>
      </c>
    </row>
    <row r="1324" spans="1:25" ht="15" x14ac:dyDescent="0.25">
      <c r="A1324" s="4">
        <v>1553</v>
      </c>
      <c r="C1324" s="12" t="s">
        <v>3190</v>
      </c>
      <c r="D1324" s="12" t="s">
        <v>3191</v>
      </c>
      <c r="E1324" s="5" t="str">
        <f t="shared" si="25"/>
        <v>https://www.screener.in/company/LYKALABS/consolidated/</v>
      </c>
      <c r="F1324" s="4">
        <v>443059</v>
      </c>
      <c r="G1324" s="4">
        <v>3832241897</v>
      </c>
      <c r="H1324" s="6">
        <f t="shared" ca="1" si="26"/>
        <v>38035.000827725002</v>
      </c>
      <c r="I1324" s="7" t="str">
        <f ca="1">IFERROR(__xludf.DUMMYFUNCTION("IMPORTXML(E1324,""/html/body/main/div[3]/div[3]/div[2]/ul/li[5]/span[2]/span"")"),"Loading...")</f>
        <v>Loading...</v>
      </c>
      <c r="J1324" s="7">
        <f ca="1">IFERROR(__xludf.DUMMYFUNCTION("GOOGLEFINANCE(""NSE:""&amp;D1324,""marketcap"")"),3549014000)</f>
        <v>3549014000</v>
      </c>
      <c r="K1324" s="7">
        <v>992.8</v>
      </c>
      <c r="L1324" s="8">
        <f ca="1">IFERROR(__xludf.DUMMYFUNCTION("GOOGLEFINANCE(""NSE:""&amp;D1324,""price"")"),99.25)</f>
        <v>99.25</v>
      </c>
      <c r="M1324" s="9">
        <f t="shared" ca="1" si="27"/>
        <v>-893.55</v>
      </c>
      <c r="N1324" s="10">
        <f t="shared" ca="1" si="28"/>
        <v>-90.003021756647854</v>
      </c>
      <c r="O1324" s="7">
        <f ca="1">IFERROR(__xludf.DUMMYFUNCTION("GOOGLEFINANCE(""NSE:""&amp;D1324,""pe"")"),47.49)</f>
        <v>47.49</v>
      </c>
      <c r="P1324" s="7">
        <f ca="1">IFERROR(__xludf.DUMMYFUNCTION("GOOGLEFINANCE(""NSE:""&amp;D1324,""EPS"")"),2.09)</f>
        <v>2.09</v>
      </c>
      <c r="Q1324" s="7">
        <v>13.5</v>
      </c>
      <c r="R1324" s="7" t="str">
        <f ca="1">IFERROR(__xludf.DUMMYFUNCTION("IMPORTXML(E1324,""/html/body/main/div[3]/div[3]/div[2]/ul/li[7]/span[2]/span"")"),"Loading...")</f>
        <v>Loading...</v>
      </c>
      <c r="S1324" s="7" t="str">
        <f ca="1">IFERROR(__xludf.DUMMYFUNCTION("IMPORTXML(E1324,""/html/body/main/div[3]/div[3]/div[2]/ul/li[8]/span[2]/span"")"),"Loading...")</f>
        <v>Loading...</v>
      </c>
      <c r="T1324" s="4">
        <v>34.6</v>
      </c>
      <c r="U1324" s="4">
        <v>22.7</v>
      </c>
      <c r="V1324" s="4">
        <v>2.6</v>
      </c>
      <c r="W1324" s="4">
        <v>5.7</v>
      </c>
      <c r="X1324" s="4">
        <v>519.92999999999995</v>
      </c>
      <c r="Y1324" s="7">
        <f t="shared" ca="1" si="29"/>
        <v>-420.67999999999995</v>
      </c>
    </row>
    <row r="1325" spans="1:25" ht="15" x14ac:dyDescent="0.25">
      <c r="A1325" s="4">
        <v>814</v>
      </c>
      <c r="C1325" s="12" t="s">
        <v>3192</v>
      </c>
      <c r="D1325" s="12" t="s">
        <v>3193</v>
      </c>
      <c r="E1325" s="5" t="str">
        <f t="shared" si="25"/>
        <v>https://www.screener.in/company/NELCO/consolidated/</v>
      </c>
      <c r="F1325" s="4">
        <v>443059</v>
      </c>
      <c r="G1325" s="4">
        <v>3832241897</v>
      </c>
      <c r="H1325" s="6">
        <f t="shared" ca="1" si="26"/>
        <v>308725.40722232003</v>
      </c>
      <c r="I1325" s="7" t="str">
        <f ca="1">IFERROR(__xludf.DUMMYFUNCTION("IMPORTXML(E1325,""/html/body/main/div[3]/div[3]/div[2]/ul/li[5]/span[2]/span"")"),"Loading...")</f>
        <v>Loading...</v>
      </c>
      <c r="J1325" s="7">
        <f ca="1">IFERROR(__xludf.DUMMYFUNCTION("GOOGLEFINANCE(""NSE:""&amp;D1325,""marketcap"")"),18387070000)</f>
        <v>18387070000</v>
      </c>
      <c r="K1325" s="7">
        <v>992.8</v>
      </c>
      <c r="L1325" s="8">
        <f ca="1">IFERROR(__xludf.DUMMYFUNCTION("GOOGLEFINANCE(""NSE:""&amp;D1325,""price"")"),805.6)</f>
        <v>805.6</v>
      </c>
      <c r="M1325" s="9">
        <f t="shared" ca="1" si="27"/>
        <v>-187.19999999999993</v>
      </c>
      <c r="N1325" s="10">
        <f t="shared" ca="1" si="28"/>
        <v>-18.855761482675256</v>
      </c>
      <c r="O1325" s="7">
        <f ca="1">IFERROR(__xludf.DUMMYFUNCTION("GOOGLEFINANCE(""NSE:""&amp;D1325,""pe"")"),271.46)</f>
        <v>271.45999999999998</v>
      </c>
      <c r="P1325" s="7">
        <f ca="1">IFERROR(__xludf.DUMMYFUNCTION("GOOGLEFINANCE(""NSE:""&amp;D1325,""EPS"")"),2.97)</f>
        <v>2.97</v>
      </c>
      <c r="Q1325" s="7">
        <v>13.5</v>
      </c>
      <c r="R1325" s="7" t="str">
        <f ca="1">IFERROR(__xludf.DUMMYFUNCTION("IMPORTXML(E1325,""/html/body/main/div[3]/div[3]/div[2]/ul/li[7]/span[2]/span"")"),"Loading...")</f>
        <v>Loading...</v>
      </c>
      <c r="S1325" s="7" t="str">
        <f ca="1">IFERROR(__xludf.DUMMYFUNCTION("IMPORTXML(E1325,""/html/body/main/div[3]/div[3]/div[2]/ul/li[8]/span[2]/span"")"),"Loading...")</f>
        <v>Loading...</v>
      </c>
      <c r="T1325" s="4">
        <v>34.6</v>
      </c>
      <c r="U1325" s="4">
        <v>22.7</v>
      </c>
      <c r="V1325" s="4">
        <v>2.6</v>
      </c>
      <c r="W1325" s="4">
        <v>5.7</v>
      </c>
      <c r="X1325" s="4">
        <v>519.92999999999995</v>
      </c>
      <c r="Y1325" s="7">
        <f t="shared" ca="1" si="29"/>
        <v>285.67000000000007</v>
      </c>
    </row>
    <row r="1326" spans="1:25" ht="15" x14ac:dyDescent="0.25">
      <c r="A1326" s="4">
        <v>3132</v>
      </c>
      <c r="C1326" s="12" t="s">
        <v>3194</v>
      </c>
      <c r="D1326" s="12" t="s">
        <v>3195</v>
      </c>
      <c r="E1326" s="5" t="str">
        <f t="shared" si="25"/>
        <v>https://www.screener.in/company/UNIINFO/consolidated/</v>
      </c>
      <c r="F1326" s="4">
        <v>443059</v>
      </c>
      <c r="G1326" s="4">
        <v>3832241897</v>
      </c>
      <c r="H1326" s="6">
        <f t="shared" ca="1" si="26"/>
        <v>7396.2268612100006</v>
      </c>
      <c r="I1326" s="7" t="str">
        <f ca="1">IFERROR(__xludf.DUMMYFUNCTION("IMPORTXML(E1326,""/html/body/main/div[3]/div[3]/div[2]/ul/li[5]/span[2]/span"")"),"Loading...")</f>
        <v>Loading...</v>
      </c>
      <c r="J1326" s="7">
        <f ca="1">IFERROR(__xludf.DUMMYFUNCTION("GOOGLEFINANCE(""NSE:""&amp;D1326,""marketcap"")"),206377014)</f>
        <v>206377014</v>
      </c>
      <c r="K1326" s="7">
        <v>992.8</v>
      </c>
      <c r="L1326" s="8">
        <f ca="1">IFERROR(__xludf.DUMMYFUNCTION("GOOGLEFINANCE(""NSE:""&amp;D1326,""price"")"),19.3)</f>
        <v>19.3</v>
      </c>
      <c r="M1326" s="9">
        <f t="shared" ca="1" si="27"/>
        <v>-973.5</v>
      </c>
      <c r="N1326" s="10">
        <f t="shared" ca="1" si="28"/>
        <v>-98.056003223207099</v>
      </c>
      <c r="O1326" s="7" t="str">
        <f ca="1">IFERROR(__xludf.DUMMYFUNCTION("GOOGLEFINANCE(""NSE:""&amp;D1326,""pe"")"),"#N/A")</f>
        <v>#N/A</v>
      </c>
      <c r="P1326" s="7">
        <f ca="1">IFERROR(__xludf.DUMMYFUNCTION("GOOGLEFINANCE(""NSE:""&amp;D1326,""EPS"")"),-0.19)</f>
        <v>-0.19</v>
      </c>
      <c r="Q1326" s="7">
        <v>13.5</v>
      </c>
      <c r="R1326" s="7" t="str">
        <f ca="1">IFERROR(__xludf.DUMMYFUNCTION("IMPORTXML(E1326,""/html/body/main/div[3]/div[3]/div[2]/ul/li[7]/span[2]/span"")"),"Loading...")</f>
        <v>Loading...</v>
      </c>
      <c r="S1326" s="7" t="str">
        <f ca="1">IFERROR(__xludf.DUMMYFUNCTION("IMPORTXML(E1326,""/html/body/main/div[3]/div[3]/div[2]/ul/li[8]/span[2]/span"")"),"Loading...")</f>
        <v>Loading...</v>
      </c>
      <c r="T1326" s="4">
        <v>34.6</v>
      </c>
      <c r="U1326" s="4">
        <v>22.7</v>
      </c>
      <c r="V1326" s="4">
        <v>2.6</v>
      </c>
      <c r="W1326" s="4">
        <v>5.7</v>
      </c>
      <c r="X1326" s="4">
        <v>519.92999999999995</v>
      </c>
      <c r="Y1326" s="7">
        <f t="shared" ca="1" si="29"/>
        <v>-500.62999999999994</v>
      </c>
    </row>
    <row r="1327" spans="1:25" ht="15" x14ac:dyDescent="0.25">
      <c r="A1327" s="4">
        <v>1209</v>
      </c>
      <c r="C1327" s="12" t="s">
        <v>3196</v>
      </c>
      <c r="D1327" s="12" t="s">
        <v>3197</v>
      </c>
      <c r="E1327" s="5" t="str">
        <f t="shared" si="25"/>
        <v>https://www.screener.in/company/ASIANTILES/consolidated/</v>
      </c>
      <c r="F1327" s="4">
        <v>443059</v>
      </c>
      <c r="G1327" s="4">
        <v>3832241897</v>
      </c>
      <c r="H1327" s="6">
        <f t="shared" ca="1" si="26"/>
        <v>22736.691174901</v>
      </c>
      <c r="I1327" s="7" t="str">
        <f ca="1">IFERROR(__xludf.DUMMYFUNCTION("IMPORTXML(E1327,""/html/body/main/div[3]/div[3]/div[2]/ul/li[5]/span[2]/span"")"),"Loading...")</f>
        <v>Loading...</v>
      </c>
      <c r="J1327" s="7">
        <f ca="1">IFERROR(__xludf.DUMMYFUNCTION("GOOGLEFINANCE(""NSE:""&amp;D1327,""marketcap"")"),13759321585)</f>
        <v>13759321585</v>
      </c>
      <c r="K1327" s="7">
        <v>992.8</v>
      </c>
      <c r="L1327" s="8">
        <f ca="1">IFERROR(__xludf.DUMMYFUNCTION("GOOGLEFINANCE(""NSE:""&amp;D1327,""price"")"),59.33)</f>
        <v>59.33</v>
      </c>
      <c r="M1327" s="9">
        <f t="shared" ca="1" si="27"/>
        <v>-933.46999999999991</v>
      </c>
      <c r="N1327" s="10">
        <f t="shared" ca="1" si="28"/>
        <v>-94.023972602739718</v>
      </c>
      <c r="O1327" s="7">
        <f ca="1">IFERROR(__xludf.DUMMYFUNCTION("GOOGLEFINANCE(""NSE:""&amp;D1327,""pe"")"),27.44)</f>
        <v>27.44</v>
      </c>
      <c r="P1327" s="7">
        <f ca="1">IFERROR(__xludf.DUMMYFUNCTION("GOOGLEFINANCE(""NSE:""&amp;D1327,""EPS"")"),2.16)</f>
        <v>2.16</v>
      </c>
      <c r="Q1327" s="7">
        <v>13.5</v>
      </c>
      <c r="R1327" s="7" t="str">
        <f ca="1">IFERROR(__xludf.DUMMYFUNCTION("IMPORTXML(E1327,""/html/body/main/div[3]/div[3]/div[2]/ul/li[7]/span[2]/span"")"),"Loading...")</f>
        <v>Loading...</v>
      </c>
      <c r="S1327" s="7" t="str">
        <f ca="1">IFERROR(__xludf.DUMMYFUNCTION("IMPORTXML(E1327,""/html/body/main/div[3]/div[3]/div[2]/ul/li[8]/span[2]/span"")"),"Loading...")</f>
        <v>Loading...</v>
      </c>
      <c r="T1327" s="4">
        <v>34.6</v>
      </c>
      <c r="U1327" s="4">
        <v>22.7</v>
      </c>
      <c r="V1327" s="4">
        <v>2.6</v>
      </c>
      <c r="W1327" s="4">
        <v>5.7</v>
      </c>
      <c r="X1327" s="4">
        <v>519.92999999999995</v>
      </c>
      <c r="Y1327" s="7">
        <f t="shared" ca="1" si="29"/>
        <v>-460.59999999999997</v>
      </c>
    </row>
    <row r="1328" spans="1:25" ht="15" x14ac:dyDescent="0.25">
      <c r="A1328" s="4">
        <v>1723</v>
      </c>
      <c r="C1328" s="12" t="s">
        <v>3198</v>
      </c>
      <c r="D1328" s="12" t="s">
        <v>3199</v>
      </c>
      <c r="E1328" s="5" t="str">
        <f t="shared" si="25"/>
        <v>https://www.screener.in/company/LORDSCHLO/consolidated/</v>
      </c>
      <c r="F1328" s="4">
        <v>443059</v>
      </c>
      <c r="G1328" s="4">
        <v>3832241897</v>
      </c>
      <c r="H1328" s="6">
        <f t="shared" ca="1" si="26"/>
        <v>67600.747063080009</v>
      </c>
      <c r="I1328" s="7" t="str">
        <f ca="1">IFERROR(__xludf.DUMMYFUNCTION("IMPORTXML(E1328,""/html/body/main/div[3]/div[3]/div[2]/ul/li[5]/span[2]/span"")"),"Loading...")</f>
        <v>Loading...</v>
      </c>
      <c r="J1328" s="7">
        <f ca="1">IFERROR(__xludf.DUMMYFUNCTION("GOOGLEFINANCE(""NSE:""&amp;D1328,""marketcap"")"),4437138986)</f>
        <v>4437138986</v>
      </c>
      <c r="K1328" s="7">
        <v>992.8</v>
      </c>
      <c r="L1328" s="8">
        <f ca="1">IFERROR(__xludf.DUMMYFUNCTION("GOOGLEFINANCE(""NSE:""&amp;D1328,""price"")"),176.4)</f>
        <v>176.4</v>
      </c>
      <c r="M1328" s="9">
        <f t="shared" ca="1" si="27"/>
        <v>-816.4</v>
      </c>
      <c r="N1328" s="10">
        <f t="shared" ca="1" si="28"/>
        <v>-82.232070910556004</v>
      </c>
      <c r="O1328" s="7">
        <f ca="1">IFERROR(__xludf.DUMMYFUNCTION("GOOGLEFINANCE(""NSE:""&amp;D1328,""pe"")"),31.35)</f>
        <v>31.35</v>
      </c>
      <c r="P1328" s="7">
        <f ca="1">IFERROR(__xludf.DUMMYFUNCTION("GOOGLEFINANCE(""NSE:""&amp;D1328,""EPS"")"),5.63)</f>
        <v>5.63</v>
      </c>
      <c r="Q1328" s="7">
        <v>13.5</v>
      </c>
      <c r="R1328" s="7" t="str">
        <f ca="1">IFERROR(__xludf.DUMMYFUNCTION("IMPORTXML(E1328,""/html/body/main/div[3]/div[3]/div[2]/ul/li[7]/span[2]/span"")"),"Loading...")</f>
        <v>Loading...</v>
      </c>
      <c r="S1328" s="7" t="str">
        <f ca="1">IFERROR(__xludf.DUMMYFUNCTION("IMPORTXML(E1328,""/html/body/main/div[3]/div[3]/div[2]/ul/li[8]/span[2]/span"")"),"Loading...")</f>
        <v>Loading...</v>
      </c>
      <c r="T1328" s="4">
        <v>34.6</v>
      </c>
      <c r="U1328" s="4">
        <v>22.7</v>
      </c>
      <c r="V1328" s="4">
        <v>2.6</v>
      </c>
      <c r="W1328" s="4">
        <v>5.7</v>
      </c>
      <c r="X1328" s="4">
        <v>519.92999999999995</v>
      </c>
      <c r="Y1328" s="7">
        <f t="shared" ca="1" si="29"/>
        <v>-343.53</v>
      </c>
    </row>
    <row r="1329" spans="1:25" ht="15" x14ac:dyDescent="0.25">
      <c r="A1329" s="4">
        <v>532</v>
      </c>
      <c r="C1329" s="12" t="s">
        <v>3200</v>
      </c>
      <c r="D1329" s="12" t="s">
        <v>3201</v>
      </c>
      <c r="E1329" s="5" t="str">
        <f t="shared" si="25"/>
        <v>https://www.screener.in/company/SHAILY/consolidated/</v>
      </c>
      <c r="F1329" s="4">
        <v>443059</v>
      </c>
      <c r="G1329" s="4">
        <v>3832241897</v>
      </c>
      <c r="H1329" s="6">
        <f t="shared" ca="1" si="26"/>
        <v>844856.04861261987</v>
      </c>
      <c r="I1329" s="7" t="str">
        <f ca="1">IFERROR(__xludf.DUMMYFUNCTION("IMPORTXML(E1329,""/html/body/main/div[3]/div[3]/div[2]/ul/li[5]/span[2]/span"")"),"Loading...")</f>
        <v>Loading...</v>
      </c>
      <c r="J1329" s="7">
        <f ca="1">IFERROR(__xludf.DUMMYFUNCTION("GOOGLEFINANCE(""NSE:""&amp;D1329,""marketcap"")"),101312617947)</f>
        <v>101312617947</v>
      </c>
      <c r="K1329" s="7">
        <v>992.8</v>
      </c>
      <c r="L1329" s="8">
        <f ca="1">IFERROR(__xludf.DUMMYFUNCTION("GOOGLEFINANCE(""NSE:""&amp;D1329,""price"")"),2204.6)</f>
        <v>2204.6</v>
      </c>
      <c r="M1329" s="9">
        <f t="shared" ca="1" si="27"/>
        <v>1211.8</v>
      </c>
      <c r="N1329" s="10">
        <f t="shared" ca="1" si="28"/>
        <v>122.05882352941177</v>
      </c>
      <c r="O1329" s="7">
        <f ca="1">IFERROR(__xludf.DUMMYFUNCTION("GOOGLEFINANCE(""NSE:""&amp;D1329,""pe"")"),86.93)</f>
        <v>86.93</v>
      </c>
      <c r="P1329" s="7">
        <f ca="1">IFERROR(__xludf.DUMMYFUNCTION("GOOGLEFINANCE(""NSE:""&amp;D1329,""EPS"")"),25.36)</f>
        <v>25.36</v>
      </c>
      <c r="Q1329" s="7">
        <v>13.5</v>
      </c>
      <c r="R1329" s="7" t="str">
        <f ca="1">IFERROR(__xludf.DUMMYFUNCTION("IMPORTXML(E1329,""/html/body/main/div[3]/div[3]/div[2]/ul/li[7]/span[2]/span"")"),"Loading...")</f>
        <v>Loading...</v>
      </c>
      <c r="S1329" s="7" t="str">
        <f ca="1">IFERROR(__xludf.DUMMYFUNCTION("IMPORTXML(E1329,""/html/body/main/div[3]/div[3]/div[2]/ul/li[8]/span[2]/span"")"),"Loading...")</f>
        <v>Loading...</v>
      </c>
      <c r="T1329" s="4">
        <v>34.6</v>
      </c>
      <c r="U1329" s="4">
        <v>22.7</v>
      </c>
      <c r="V1329" s="4">
        <v>2.6</v>
      </c>
      <c r="W1329" s="4">
        <v>5.7</v>
      </c>
      <c r="X1329" s="4">
        <v>519.92999999999995</v>
      </c>
      <c r="Y1329" s="7">
        <f t="shared" ca="1" si="29"/>
        <v>1684.67</v>
      </c>
    </row>
    <row r="1330" spans="1:25" ht="15" x14ac:dyDescent="0.25">
      <c r="A1330" s="4">
        <v>710</v>
      </c>
      <c r="C1330" s="12" t="s">
        <v>3202</v>
      </c>
      <c r="D1330" s="12" t="s">
        <v>3203</v>
      </c>
      <c r="E1330" s="5" t="str">
        <f t="shared" si="25"/>
        <v>https://www.screener.in/company/TASTYBITE/consolidated/</v>
      </c>
      <c r="F1330" s="4">
        <v>443059</v>
      </c>
      <c r="G1330" s="4">
        <v>3832241897</v>
      </c>
      <c r="H1330" s="6">
        <f t="shared" ca="1" si="26"/>
        <v>3660940.6842041002</v>
      </c>
      <c r="I1330" s="7" t="str">
        <f ca="1">IFERROR(__xludf.DUMMYFUNCTION("IMPORTXML(E1330,""/html/body/main/div[3]/div[3]/div[2]/ul/li[5]/span[2]/span"")"),"Loading...")</f>
        <v>Loading...</v>
      </c>
      <c r="J1330" s="7">
        <f ca="1">IFERROR(__xludf.DUMMYFUNCTION("GOOGLEFINANCE(""NSE:""&amp;D1330,""marketcap"")"),24512998000)</f>
        <v>24512998000</v>
      </c>
      <c r="K1330" s="7">
        <v>992.8</v>
      </c>
      <c r="L1330" s="8">
        <f ca="1">IFERROR(__xludf.DUMMYFUNCTION("GOOGLEFINANCE(""NSE:""&amp;D1330,""price"")"),9553)</f>
        <v>9553</v>
      </c>
      <c r="M1330" s="9">
        <f t="shared" ca="1" si="27"/>
        <v>8560.2000000000007</v>
      </c>
      <c r="N1330" s="10">
        <f t="shared" ca="1" si="28"/>
        <v>862.22804190169222</v>
      </c>
      <c r="O1330" s="7">
        <f ca="1">IFERROR(__xludf.DUMMYFUNCTION("GOOGLEFINANCE(""NSE:""&amp;D1330,""pe"")"),65.45)</f>
        <v>65.45</v>
      </c>
      <c r="P1330" s="7">
        <f ca="1">IFERROR(__xludf.DUMMYFUNCTION("GOOGLEFINANCE(""NSE:""&amp;D1330,""EPS"")"),145.95)</f>
        <v>145.94999999999999</v>
      </c>
      <c r="Q1330" s="7">
        <v>13.5</v>
      </c>
      <c r="R1330" s="7" t="str">
        <f ca="1">IFERROR(__xludf.DUMMYFUNCTION("IMPORTXML(E1330,""/html/body/main/div[3]/div[3]/div[2]/ul/li[7]/span[2]/span"")"),"Loading...")</f>
        <v>Loading...</v>
      </c>
      <c r="S1330" s="7" t="str">
        <f ca="1">IFERROR(__xludf.DUMMYFUNCTION("IMPORTXML(E1330,""/html/body/main/div[3]/div[3]/div[2]/ul/li[8]/span[2]/span"")"),"Loading...")</f>
        <v>Loading...</v>
      </c>
      <c r="T1330" s="4">
        <v>34.6</v>
      </c>
      <c r="U1330" s="4">
        <v>22.7</v>
      </c>
      <c r="V1330" s="4">
        <v>2.6</v>
      </c>
      <c r="W1330" s="4">
        <v>5.7</v>
      </c>
      <c r="X1330" s="4">
        <v>519.92999999999995</v>
      </c>
      <c r="Y1330" s="7">
        <f t="shared" ca="1" si="29"/>
        <v>9033.07</v>
      </c>
    </row>
    <row r="1331" spans="1:25" ht="15" x14ac:dyDescent="0.25">
      <c r="A1331" s="4">
        <v>1512</v>
      </c>
      <c r="C1331" s="12" t="s">
        <v>3204</v>
      </c>
      <c r="D1331" s="12" t="s">
        <v>3205</v>
      </c>
      <c r="E1331" s="5" t="str">
        <f t="shared" si="25"/>
        <v>https://www.screener.in/company/DIAMINESQ/consolidated/</v>
      </c>
      <c r="F1331" s="4">
        <v>443059</v>
      </c>
      <c r="G1331" s="4">
        <v>3832241897</v>
      </c>
      <c r="H1331" s="6">
        <f t="shared" ca="1" si="26"/>
        <v>141888.75623642499</v>
      </c>
      <c r="I1331" s="7" t="str">
        <f ca="1">IFERROR(__xludf.DUMMYFUNCTION("IMPORTXML(E1331,""/html/body/main/div[3]/div[3]/div[2]/ul/li[5]/span[2]/span"")"),"Loading...")</f>
        <v>Loading...</v>
      </c>
      <c r="J1331" s="7">
        <f ca="1">IFERROR(__xludf.DUMMYFUNCTION("GOOGLEFINANCE(""NSE:""&amp;D1331,""marketcap"")"),3622521557)</f>
        <v>3622521557</v>
      </c>
      <c r="K1331" s="7">
        <v>992.8</v>
      </c>
      <c r="L1331" s="8">
        <f ca="1">IFERROR(__xludf.DUMMYFUNCTION("GOOGLEFINANCE(""NSE:""&amp;D1331,""price"")"),370.25)</f>
        <v>370.25</v>
      </c>
      <c r="M1331" s="9">
        <f t="shared" ca="1" si="27"/>
        <v>-622.54999999999995</v>
      </c>
      <c r="N1331" s="10">
        <f t="shared" ca="1" si="28"/>
        <v>-62.706486704270745</v>
      </c>
      <c r="O1331" s="7">
        <f ca="1">IFERROR(__xludf.DUMMYFUNCTION("GOOGLEFINANCE(""NSE:""&amp;D1331,""pe"")"),211.05)</f>
        <v>211.05</v>
      </c>
      <c r="P1331" s="7">
        <f ca="1">IFERROR(__xludf.DUMMYFUNCTION("GOOGLEFINANCE(""NSE:""&amp;D1331,""EPS"")"),1.75)</f>
        <v>1.75</v>
      </c>
      <c r="Q1331" s="7">
        <v>13.5</v>
      </c>
      <c r="R1331" s="7" t="str">
        <f ca="1">IFERROR(__xludf.DUMMYFUNCTION("IMPORTXML(E1331,""/html/body/main/div[3]/div[3]/div[2]/ul/li[7]/span[2]/span"")"),"Loading...")</f>
        <v>Loading...</v>
      </c>
      <c r="S1331" s="7" t="str">
        <f ca="1">IFERROR(__xludf.DUMMYFUNCTION("IMPORTXML(E1331,""/html/body/main/div[3]/div[3]/div[2]/ul/li[8]/span[2]/span"")"),"Loading...")</f>
        <v>Loading...</v>
      </c>
      <c r="T1331" s="4">
        <v>34.6</v>
      </c>
      <c r="U1331" s="4">
        <v>22.7</v>
      </c>
      <c r="V1331" s="4">
        <v>2.6</v>
      </c>
      <c r="W1331" s="4">
        <v>5.7</v>
      </c>
      <c r="X1331" s="4">
        <v>519.92999999999995</v>
      </c>
      <c r="Y1331" s="7">
        <f t="shared" ca="1" si="29"/>
        <v>-149.67999999999995</v>
      </c>
    </row>
    <row r="1332" spans="1:25" ht="15" x14ac:dyDescent="0.25">
      <c r="A1332" s="4">
        <v>659</v>
      </c>
      <c r="C1332" s="12" t="s">
        <v>3206</v>
      </c>
      <c r="D1332" s="12" t="s">
        <v>3207</v>
      </c>
      <c r="E1332" s="5" t="str">
        <f t="shared" si="25"/>
        <v>https://www.screener.in/company/EPACK/consolidated/</v>
      </c>
      <c r="F1332" s="4">
        <v>443059</v>
      </c>
      <c r="G1332" s="4">
        <v>3832241897</v>
      </c>
      <c r="H1332" s="6">
        <f t="shared" ca="1" si="26"/>
        <v>153960.31821197501</v>
      </c>
      <c r="I1332" s="7" t="str">
        <f ca="1">IFERROR(__xludf.DUMMYFUNCTION("IMPORTXML(E1332,""/html/body/main/div[3]/div[3]/div[2]/ul/li[5]/span[2]/span"")"),"Loading...")</f>
        <v>Loading...</v>
      </c>
      <c r="J1332" s="7">
        <f ca="1">IFERROR(__xludf.DUMMYFUNCTION("GOOGLEFINANCE(""NSE:""&amp;D1332,""marketcap"")"),38382697878)</f>
        <v>38382697878</v>
      </c>
      <c r="K1332" s="7">
        <v>992.8</v>
      </c>
      <c r="L1332" s="8">
        <f ca="1">IFERROR(__xludf.DUMMYFUNCTION("GOOGLEFINANCE(""NSE:""&amp;D1332,""price"")"),401.75)</f>
        <v>401.75</v>
      </c>
      <c r="M1332" s="9">
        <f t="shared" ca="1" si="27"/>
        <v>-591.04999999999995</v>
      </c>
      <c r="N1332" s="10">
        <f t="shared" ca="1" si="28"/>
        <v>-59.533642224012894</v>
      </c>
      <c r="O1332" s="7">
        <f ca="1">IFERROR(__xludf.DUMMYFUNCTION("GOOGLEFINANCE(""NSE:""&amp;D1332,""pe"")"),70.77)</f>
        <v>70.77</v>
      </c>
      <c r="P1332" s="7">
        <f ca="1">IFERROR(__xludf.DUMMYFUNCTION("GOOGLEFINANCE(""NSE:""&amp;D1332,""EPS"")"),5.68)</f>
        <v>5.68</v>
      </c>
      <c r="Q1332" s="7">
        <v>13.5</v>
      </c>
      <c r="R1332" s="7" t="str">
        <f ca="1">IFERROR(__xludf.DUMMYFUNCTION("IMPORTXML(E1332,""/html/body/main/div[3]/div[3]/div[2]/ul/li[7]/span[2]/span"")"),"Loading...")</f>
        <v>Loading...</v>
      </c>
      <c r="S1332" s="7" t="str">
        <f ca="1">IFERROR(__xludf.DUMMYFUNCTION("IMPORTXML(E1332,""/html/body/main/div[3]/div[3]/div[2]/ul/li[8]/span[2]/span"")"),"Loading...")</f>
        <v>Loading...</v>
      </c>
      <c r="T1332" s="4">
        <v>34.6</v>
      </c>
      <c r="U1332" s="4">
        <v>22.7</v>
      </c>
      <c r="V1332" s="4">
        <v>2.6</v>
      </c>
      <c r="W1332" s="4">
        <v>5.7</v>
      </c>
      <c r="X1332" s="4">
        <v>519.92999999999995</v>
      </c>
      <c r="Y1332" s="7">
        <f t="shared" ca="1" si="29"/>
        <v>-118.17999999999995</v>
      </c>
    </row>
    <row r="1333" spans="1:25" ht="15" x14ac:dyDescent="0.25">
      <c r="A1333" s="4">
        <v>467</v>
      </c>
      <c r="C1333" s="12" t="s">
        <v>3208</v>
      </c>
      <c r="D1333" s="12" t="s">
        <v>3209</v>
      </c>
      <c r="E1333" s="5" t="str">
        <f t="shared" si="25"/>
        <v>https://www.screener.in/company/IXIGO/consolidated/</v>
      </c>
      <c r="F1333" s="4">
        <v>443059</v>
      </c>
      <c r="G1333" s="4">
        <v>3832241897</v>
      </c>
      <c r="H1333" s="6">
        <f t="shared" ca="1" si="26"/>
        <v>111901.46339239999</v>
      </c>
      <c r="I1333" s="7" t="str">
        <f ca="1">IFERROR(__xludf.DUMMYFUNCTION("IMPORTXML(E1333,""/html/body/main/div[3]/div[3]/div[2]/ul/li[5]/span[2]/span"")"),"Loading...")</f>
        <v>Loading...</v>
      </c>
      <c r="J1333" s="7">
        <f ca="1">IFERROR(__xludf.DUMMYFUNCTION("GOOGLEFINANCE(""NSE:""&amp;D1333,""marketcap"")"),114271167755)</f>
        <v>114271167755</v>
      </c>
      <c r="K1333" s="7">
        <v>992.8</v>
      </c>
      <c r="L1333" s="8">
        <f ca="1">IFERROR(__xludf.DUMMYFUNCTION("GOOGLEFINANCE(""NSE:""&amp;D1333,""price"")"),292)</f>
        <v>292</v>
      </c>
      <c r="M1333" s="9">
        <f t="shared" ca="1" si="27"/>
        <v>-700.8</v>
      </c>
      <c r="N1333" s="10">
        <f t="shared" ca="1" si="28"/>
        <v>-70.588235294117638</v>
      </c>
      <c r="O1333" s="7">
        <f ca="1">IFERROR(__xludf.DUMMYFUNCTION("GOOGLEFINANCE(""NSE:""&amp;D1333,""pe"")"),180.25)</f>
        <v>180.25</v>
      </c>
      <c r="P1333" s="7">
        <f ca="1">IFERROR(__xludf.DUMMYFUNCTION("GOOGLEFINANCE(""NSE:""&amp;D1333,""EPS"")"),1.62)</f>
        <v>1.62</v>
      </c>
      <c r="Q1333" s="7">
        <v>13.5</v>
      </c>
      <c r="R1333" s="7" t="str">
        <f ca="1">IFERROR(__xludf.DUMMYFUNCTION("IMPORTXML(E1333,""/html/body/main/div[3]/div[3]/div[2]/ul/li[7]/span[2]/span"")"),"Loading...")</f>
        <v>Loading...</v>
      </c>
      <c r="S1333" s="7" t="str">
        <f ca="1">IFERROR(__xludf.DUMMYFUNCTION("IMPORTXML(E1333,""/html/body/main/div[3]/div[3]/div[2]/ul/li[8]/span[2]/span"")"),"Loading...")</f>
        <v>Loading...</v>
      </c>
      <c r="T1333" s="4">
        <v>34.6</v>
      </c>
      <c r="U1333" s="4">
        <v>22.7</v>
      </c>
      <c r="V1333" s="4">
        <v>2.6</v>
      </c>
      <c r="W1333" s="4">
        <v>5.7</v>
      </c>
      <c r="X1333" s="4">
        <v>519.92999999999995</v>
      </c>
      <c r="Y1333" s="7">
        <f t="shared" ca="1" si="29"/>
        <v>-227.92999999999995</v>
      </c>
    </row>
    <row r="1334" spans="1:25" ht="15" x14ac:dyDescent="0.25">
      <c r="A1334" s="4">
        <v>2014</v>
      </c>
      <c r="C1334" s="12" t="s">
        <v>3210</v>
      </c>
      <c r="D1334" s="12" t="s">
        <v>3211</v>
      </c>
      <c r="E1334" s="5" t="str">
        <f t="shared" si="25"/>
        <v>https://www.screener.in/company/CAPTRUST/consolidated/</v>
      </c>
      <c r="F1334" s="4">
        <v>443059</v>
      </c>
      <c r="G1334" s="4">
        <v>3832241897</v>
      </c>
      <c r="H1334" s="6">
        <f t="shared" ca="1" si="26"/>
        <v>16566.781720731</v>
      </c>
      <c r="I1334" s="7" t="str">
        <f ca="1">IFERROR(__xludf.DUMMYFUNCTION("IMPORTXML(E1334,""/html/body/main/div[3]/div[3]/div[2]/ul/li[5]/span[2]/span"")"),"Loading...")</f>
        <v>Loading...</v>
      </c>
      <c r="J1334" s="7">
        <f ca="1">IFERROR(__xludf.DUMMYFUNCTION("GOOGLEFINANCE(""NSE:""&amp;D1334,""marketcap"")"),980714100)</f>
        <v>980714100</v>
      </c>
      <c r="K1334" s="7">
        <v>992.8</v>
      </c>
      <c r="L1334" s="8">
        <f ca="1">IFERROR(__xludf.DUMMYFUNCTION("GOOGLEFINANCE(""NSE:""&amp;D1334,""price"")"),43.23)</f>
        <v>43.23</v>
      </c>
      <c r="M1334" s="9">
        <f t="shared" ca="1" si="27"/>
        <v>-949.56999999999994</v>
      </c>
      <c r="N1334" s="10">
        <f t="shared" ca="1" si="28"/>
        <v>-95.645648670427079</v>
      </c>
      <c r="O1334" s="7" t="str">
        <f ca="1">IFERROR(__xludf.DUMMYFUNCTION("GOOGLEFINANCE(""NSE:""&amp;D1334,""pe"")"),"#N/A")</f>
        <v>#N/A</v>
      </c>
      <c r="P1334" s="7">
        <f ca="1">IFERROR(__xludf.DUMMYFUNCTION("GOOGLEFINANCE(""NSE:""&amp;D1334,""EPS"")"),-4.55)</f>
        <v>-4.55</v>
      </c>
      <c r="Q1334" s="7">
        <v>13.5</v>
      </c>
      <c r="R1334" s="7" t="str">
        <f ca="1">IFERROR(__xludf.DUMMYFUNCTION("IMPORTXML(E1334,""/html/body/main/div[3]/div[3]/div[2]/ul/li[7]/span[2]/span"")"),"Loading...")</f>
        <v>Loading...</v>
      </c>
      <c r="S1334" s="7" t="str">
        <f ca="1">IFERROR(__xludf.DUMMYFUNCTION("IMPORTXML(E1334,""/html/body/main/div[3]/div[3]/div[2]/ul/li[8]/span[2]/span"")"),"Loading...")</f>
        <v>Loading...</v>
      </c>
      <c r="T1334" s="4">
        <v>34.6</v>
      </c>
      <c r="U1334" s="4">
        <v>22.7</v>
      </c>
      <c r="V1334" s="4">
        <v>2.6</v>
      </c>
      <c r="W1334" s="4">
        <v>5.7</v>
      </c>
      <c r="X1334" s="4">
        <v>519.92999999999995</v>
      </c>
      <c r="Y1334" s="7">
        <f t="shared" ca="1" si="29"/>
        <v>-476.69999999999993</v>
      </c>
    </row>
    <row r="1335" spans="1:25" ht="15" x14ac:dyDescent="0.25">
      <c r="A1335" s="4">
        <v>947</v>
      </c>
      <c r="C1335" s="12" t="s">
        <v>3212</v>
      </c>
      <c r="D1335" s="12" t="s">
        <v>3213</v>
      </c>
      <c r="E1335" s="5" t="str">
        <f t="shared" si="25"/>
        <v>https://www.screener.in/company/RIIL/consolidated/</v>
      </c>
      <c r="F1335" s="4">
        <v>443059</v>
      </c>
      <c r="G1335" s="4">
        <v>3832241897</v>
      </c>
      <c r="H1335" s="6">
        <f t="shared" ca="1" si="26"/>
        <v>352527.93210502999</v>
      </c>
      <c r="I1335" s="7" t="str">
        <f ca="1">IFERROR(__xludf.DUMMYFUNCTION("IMPORTXML(E1335,""/html/body/main/div[3]/div[3]/div[2]/ul/li[5]/span[2]/span"")"),"Loading...")</f>
        <v>Loading...</v>
      </c>
      <c r="J1335" s="7">
        <f ca="1">IFERROR(__xludf.DUMMYFUNCTION("GOOGLEFINANCE(""NSE:""&amp;D1335,""marketcap"")"),13890490368)</f>
        <v>13890490368</v>
      </c>
      <c r="K1335" s="7">
        <v>992.8</v>
      </c>
      <c r="L1335" s="8">
        <f ca="1">IFERROR(__xludf.DUMMYFUNCTION("GOOGLEFINANCE(""NSE:""&amp;D1335,""price"")"),919.9)</f>
        <v>919.9</v>
      </c>
      <c r="M1335" s="9">
        <f t="shared" ca="1" si="27"/>
        <v>-72.899999999999977</v>
      </c>
      <c r="N1335" s="10">
        <f t="shared" ca="1" si="28"/>
        <v>-7.3428686543110366</v>
      </c>
      <c r="O1335" s="7">
        <f ca="1">IFERROR(__xludf.DUMMYFUNCTION("GOOGLEFINANCE(""NSE:""&amp;D1335,""pe"")"),114.16)</f>
        <v>114.16</v>
      </c>
      <c r="P1335" s="7">
        <f ca="1">IFERROR(__xludf.DUMMYFUNCTION("GOOGLEFINANCE(""NSE:""&amp;D1335,""EPS"")"),8.06)</f>
        <v>8.06</v>
      </c>
      <c r="Q1335" s="7">
        <v>13.5</v>
      </c>
      <c r="R1335" s="7" t="str">
        <f ca="1">IFERROR(__xludf.DUMMYFUNCTION("IMPORTXML(E1335,""/html/body/main/div[3]/div[3]/div[2]/ul/li[7]/span[2]/span"")"),"Loading...")</f>
        <v>Loading...</v>
      </c>
      <c r="S1335" s="7" t="str">
        <f ca="1">IFERROR(__xludf.DUMMYFUNCTION("IMPORTXML(E1335,""/html/body/main/div[3]/div[3]/div[2]/ul/li[8]/span[2]/span"")"),"Loading...")</f>
        <v>Loading...</v>
      </c>
      <c r="T1335" s="4">
        <v>34.6</v>
      </c>
      <c r="U1335" s="4">
        <v>22.7</v>
      </c>
      <c r="V1335" s="4">
        <v>2.6</v>
      </c>
      <c r="W1335" s="4">
        <v>5.7</v>
      </c>
      <c r="X1335" s="4">
        <v>519.92999999999995</v>
      </c>
      <c r="Y1335" s="7">
        <f t="shared" ca="1" si="29"/>
        <v>399.97</v>
      </c>
    </row>
    <row r="1336" spans="1:25" ht="15" x14ac:dyDescent="0.25">
      <c r="A1336" s="4">
        <v>306</v>
      </c>
      <c r="C1336" s="12" t="s">
        <v>3214</v>
      </c>
      <c r="D1336" s="12" t="s">
        <v>3215</v>
      </c>
      <c r="E1336" s="5" t="str">
        <f t="shared" si="25"/>
        <v>https://www.screener.in/company/AZAD/consolidated/</v>
      </c>
      <c r="F1336" s="4">
        <v>443059</v>
      </c>
      <c r="G1336" s="4">
        <v>3832241897</v>
      </c>
      <c r="H1336" s="6">
        <f t="shared" ca="1" si="26"/>
        <v>606298.99052436987</v>
      </c>
      <c r="I1336" s="7" t="str">
        <f ca="1">IFERROR(__xludf.DUMMYFUNCTION("IMPORTXML(E1336,""/html/body/main/div[3]/div[3]/div[2]/ul/li[5]/span[2]/span"")"),"Loading...")</f>
        <v>Loading...</v>
      </c>
      <c r="J1336" s="7">
        <f ca="1">IFERROR(__xludf.DUMMYFUNCTION("GOOGLEFINANCE(""NSE:""&amp;D1336,""marketcap"")"),101864800000)</f>
        <v>101864800000</v>
      </c>
      <c r="K1336" s="7">
        <v>992.8</v>
      </c>
      <c r="L1336" s="8">
        <f ca="1">IFERROR(__xludf.DUMMYFUNCTION("GOOGLEFINANCE(""NSE:""&amp;D1336,""price"")"),1582.1)</f>
        <v>1582.1</v>
      </c>
      <c r="M1336" s="9">
        <f t="shared" ca="1" si="27"/>
        <v>589.29999999999995</v>
      </c>
      <c r="N1336" s="10">
        <f t="shared" ca="1" si="28"/>
        <v>59.35737308622079</v>
      </c>
      <c r="O1336" s="7">
        <f ca="1">IFERROR(__xludf.DUMMYFUNCTION("GOOGLEFINANCE(""NSE:""&amp;D1336,""pe"")"),97)</f>
        <v>97</v>
      </c>
      <c r="P1336" s="7">
        <f ca="1">IFERROR(__xludf.DUMMYFUNCTION("GOOGLEFINANCE(""NSE:""&amp;D1336,""EPS"")"),16.31)</f>
        <v>16.309999999999999</v>
      </c>
      <c r="Q1336" s="7">
        <v>13.5</v>
      </c>
      <c r="R1336" s="7" t="str">
        <f ca="1">IFERROR(__xludf.DUMMYFUNCTION("IMPORTXML(E1336,""/html/body/main/div[3]/div[3]/div[2]/ul/li[7]/span[2]/span"")"),"Loading...")</f>
        <v>Loading...</v>
      </c>
      <c r="S1336" s="7" t="str">
        <f ca="1">IFERROR(__xludf.DUMMYFUNCTION("IMPORTXML(E1336,""/html/body/main/div[3]/div[3]/div[2]/ul/li[8]/span[2]/span"")"),"Loading...")</f>
        <v>Loading...</v>
      </c>
      <c r="T1336" s="4">
        <v>34.6</v>
      </c>
      <c r="U1336" s="4">
        <v>22.7</v>
      </c>
      <c r="V1336" s="4">
        <v>2.6</v>
      </c>
      <c r="W1336" s="4">
        <v>5.7</v>
      </c>
      <c r="X1336" s="4">
        <v>519.92999999999995</v>
      </c>
      <c r="Y1336" s="7">
        <f t="shared" ca="1" si="29"/>
        <v>1062.17</v>
      </c>
    </row>
    <row r="1337" spans="1:25" ht="15" x14ac:dyDescent="0.25">
      <c r="A1337" s="4">
        <v>1711</v>
      </c>
      <c r="C1337" s="12" t="s">
        <v>3216</v>
      </c>
      <c r="D1337" s="12" t="s">
        <v>3217</v>
      </c>
      <c r="E1337" s="5" t="str">
        <f t="shared" si="25"/>
        <v>https://www.screener.in/company/PLAZACABLE/consolidated/</v>
      </c>
      <c r="F1337" s="4">
        <v>443059</v>
      </c>
      <c r="G1337" s="4">
        <v>3832241897</v>
      </c>
      <c r="H1337" s="6">
        <f t="shared" ca="1" si="26"/>
        <v>21717.314830299001</v>
      </c>
      <c r="I1337" s="7" t="str">
        <f ca="1">IFERROR(__xludf.DUMMYFUNCTION("IMPORTXML(E1337,""/html/body/main/div[3]/div[3]/div[2]/ul/li[5]/span[2]/span"")"),"Loading...")</f>
        <v>Loading...</v>
      </c>
      <c r="J1337" s="7">
        <f ca="1">IFERROR(__xludf.DUMMYFUNCTION("GOOGLEFINANCE(""NSE:""&amp;D1337,""marketcap"")"),2458867000)</f>
        <v>2458867000</v>
      </c>
      <c r="K1337" s="7">
        <v>992.8</v>
      </c>
      <c r="L1337" s="8">
        <f ca="1">IFERROR(__xludf.DUMMYFUNCTION("GOOGLEFINANCE(""NSE:""&amp;D1337,""price"")"),56.67)</f>
        <v>56.67</v>
      </c>
      <c r="M1337" s="9">
        <f t="shared" ca="1" si="27"/>
        <v>-936.13</v>
      </c>
      <c r="N1337" s="10">
        <f t="shared" ca="1" si="28"/>
        <v>-94.291901692183728</v>
      </c>
      <c r="O1337" s="7">
        <f ca="1">IFERROR(__xludf.DUMMYFUNCTION("GOOGLEFINANCE(""NSE:""&amp;D1337,""pe"")"),74.57)</f>
        <v>74.569999999999993</v>
      </c>
      <c r="P1337" s="7">
        <f ca="1">IFERROR(__xludf.DUMMYFUNCTION("GOOGLEFINANCE(""NSE:""&amp;D1337,""EPS"")"),0.76)</f>
        <v>0.76</v>
      </c>
      <c r="Q1337" s="7">
        <v>13.5</v>
      </c>
      <c r="R1337" s="7" t="str">
        <f ca="1">IFERROR(__xludf.DUMMYFUNCTION("IMPORTXML(E1337,""/html/body/main/div[3]/div[3]/div[2]/ul/li[7]/span[2]/span"")"),"Loading...")</f>
        <v>Loading...</v>
      </c>
      <c r="S1337" s="7" t="str">
        <f ca="1">IFERROR(__xludf.DUMMYFUNCTION("IMPORTXML(E1337,""/html/body/main/div[3]/div[3]/div[2]/ul/li[8]/span[2]/span"")"),"Loading...")</f>
        <v>Loading...</v>
      </c>
      <c r="T1337" s="4">
        <v>34.6</v>
      </c>
      <c r="U1337" s="4">
        <v>22.7</v>
      </c>
      <c r="V1337" s="4">
        <v>2.6</v>
      </c>
      <c r="W1337" s="4">
        <v>5.7</v>
      </c>
      <c r="X1337" s="4">
        <v>519.92999999999995</v>
      </c>
      <c r="Y1337" s="7">
        <f t="shared" ca="1" si="29"/>
        <v>-463.25999999999993</v>
      </c>
    </row>
    <row r="1338" spans="1:25" ht="15" x14ac:dyDescent="0.25">
      <c r="A1338" s="4">
        <v>2188</v>
      </c>
      <c r="C1338" s="12" t="s">
        <v>3218</v>
      </c>
      <c r="D1338" s="12" t="s">
        <v>3219</v>
      </c>
      <c r="E1338" s="5" t="str">
        <f t="shared" si="25"/>
        <v>https://www.screener.in/company/HPIL/consolidated/</v>
      </c>
      <c r="F1338" s="4">
        <v>443059</v>
      </c>
      <c r="G1338" s="4">
        <v>3832241897</v>
      </c>
      <c r="H1338" s="6">
        <f t="shared" ca="1" si="26"/>
        <v>53363.968415725001</v>
      </c>
      <c r="I1338" s="7" t="str">
        <f ca="1">IFERROR(__xludf.DUMMYFUNCTION("IMPORTXML(E1338,""/html/body/main/div[3]/div[3]/div[2]/ul/li[5]/span[2]/span"")"),"Loading...")</f>
        <v>Loading...</v>
      </c>
      <c r="J1338" s="7">
        <f ca="1">IFERROR(__xludf.DUMMYFUNCTION("GOOGLEFINANCE(""NSE:""&amp;D1338,""marketcap"")"),1590805925)</f>
        <v>1590805925</v>
      </c>
      <c r="K1338" s="7">
        <v>992.8</v>
      </c>
      <c r="L1338" s="8">
        <f ca="1">IFERROR(__xludf.DUMMYFUNCTION("GOOGLEFINANCE(""NSE:""&amp;D1338,""price"")"),139.25)</f>
        <v>139.25</v>
      </c>
      <c r="M1338" s="9">
        <f t="shared" ca="1" si="27"/>
        <v>-853.55</v>
      </c>
      <c r="N1338" s="10">
        <f t="shared" ca="1" si="28"/>
        <v>-85.97401289282837</v>
      </c>
      <c r="O1338" s="7">
        <f ca="1">IFERROR(__xludf.DUMMYFUNCTION("GOOGLEFINANCE(""NSE:""&amp;D1338,""pe"")"),107.12)</f>
        <v>107.12</v>
      </c>
      <c r="P1338" s="7">
        <f ca="1">IFERROR(__xludf.DUMMYFUNCTION("GOOGLEFINANCE(""NSE:""&amp;D1338,""EPS"")"),1.3)</f>
        <v>1.3</v>
      </c>
      <c r="Q1338" s="7">
        <v>13.5</v>
      </c>
      <c r="R1338" s="7" t="str">
        <f ca="1">IFERROR(__xludf.DUMMYFUNCTION("IMPORTXML(E1338,""/html/body/main/div[3]/div[3]/div[2]/ul/li[7]/span[2]/span"")"),"Loading...")</f>
        <v>Loading...</v>
      </c>
      <c r="S1338" s="7" t="str">
        <f ca="1">IFERROR(__xludf.DUMMYFUNCTION("IMPORTXML(E1338,""/html/body/main/div[3]/div[3]/div[2]/ul/li[8]/span[2]/span"")"),"Loading...")</f>
        <v>Loading...</v>
      </c>
      <c r="T1338" s="4">
        <v>34.6</v>
      </c>
      <c r="U1338" s="4">
        <v>22.7</v>
      </c>
      <c r="V1338" s="4">
        <v>2.6</v>
      </c>
      <c r="W1338" s="4">
        <v>5.7</v>
      </c>
      <c r="X1338" s="4">
        <v>519.92999999999995</v>
      </c>
      <c r="Y1338" s="7">
        <f t="shared" ca="1" si="29"/>
        <v>-380.67999999999995</v>
      </c>
    </row>
    <row r="1339" spans="1:25" ht="15" x14ac:dyDescent="0.25">
      <c r="A1339" s="4">
        <v>580</v>
      </c>
      <c r="C1339" s="12" t="s">
        <v>3220</v>
      </c>
      <c r="D1339" s="12" t="s">
        <v>3221</v>
      </c>
      <c r="E1339" s="5" t="str">
        <f t="shared" si="25"/>
        <v>https://www.screener.in/company/AVALON/consolidated/</v>
      </c>
      <c r="F1339" s="4">
        <v>443059</v>
      </c>
      <c r="G1339" s="4">
        <v>3832241897</v>
      </c>
      <c r="H1339" s="6">
        <f t="shared" ca="1" si="26"/>
        <v>355057.21175705001</v>
      </c>
      <c r="I1339" s="7" t="str">
        <f ca="1">IFERROR(__xludf.DUMMYFUNCTION("IMPORTXML(E1339,""/html/body/main/div[3]/div[3]/div[2]/ul/li[5]/span[2]/span"")"),"Loading...")</f>
        <v>Loading...</v>
      </c>
      <c r="J1339" s="7">
        <f ca="1">IFERROR(__xludf.DUMMYFUNCTION("GOOGLEFINANCE(""NSE:""&amp;D1339,""marketcap"")"),61553981168)</f>
        <v>61553981168</v>
      </c>
      <c r="K1339" s="7">
        <v>992.8</v>
      </c>
      <c r="L1339" s="8">
        <f ca="1">IFERROR(__xludf.DUMMYFUNCTION("GOOGLEFINANCE(""NSE:""&amp;D1339,""price"")"),926.5)</f>
        <v>926.5</v>
      </c>
      <c r="M1339" s="9">
        <f t="shared" ca="1" si="27"/>
        <v>-66.299999999999955</v>
      </c>
      <c r="N1339" s="10">
        <f t="shared" ca="1" si="28"/>
        <v>-6.6780821917808177</v>
      </c>
      <c r="O1339" s="7">
        <f ca="1">IFERROR(__xludf.DUMMYFUNCTION("GOOGLEFINANCE(""NSE:""&amp;D1339,""pe"")"),77.6)</f>
        <v>77.599999999999994</v>
      </c>
      <c r="P1339" s="7">
        <f ca="1">IFERROR(__xludf.DUMMYFUNCTION("GOOGLEFINANCE(""NSE:""&amp;D1339,""EPS"")"),11.94)</f>
        <v>11.94</v>
      </c>
      <c r="Q1339" s="7">
        <v>13.5</v>
      </c>
      <c r="R1339" s="7">
        <f ca="1">IFERROR(__xludf.DUMMYFUNCTION("IMPORTXML(E1339,""/html/body/main/div[3]/div[3]/div[2]/ul/li[7]/span[2]/span"")"),13.4)</f>
        <v>13.4</v>
      </c>
      <c r="S1339" s="7" t="str">
        <f ca="1">IFERROR(__xludf.DUMMYFUNCTION("IMPORTXML(E1339,""/html/body/main/div[3]/div[3]/div[2]/ul/li[8]/span[2]/span"")"),"Loading...")</f>
        <v>Loading...</v>
      </c>
      <c r="T1339" s="4">
        <v>34.6</v>
      </c>
      <c r="U1339" s="4">
        <v>22.7</v>
      </c>
      <c r="V1339" s="4">
        <v>2.6</v>
      </c>
      <c r="W1339" s="4">
        <v>5.7</v>
      </c>
      <c r="X1339" s="4">
        <v>519.92999999999995</v>
      </c>
      <c r="Y1339" s="7">
        <f t="shared" ca="1" si="29"/>
        <v>406.57000000000005</v>
      </c>
    </row>
    <row r="1340" spans="1:25" ht="15" x14ac:dyDescent="0.25">
      <c r="A1340" s="4">
        <v>1389</v>
      </c>
      <c r="C1340" s="12" t="s">
        <v>3222</v>
      </c>
      <c r="D1340" s="12" t="s">
        <v>3223</v>
      </c>
      <c r="E1340" s="5" t="str">
        <f t="shared" si="25"/>
        <v>https://www.screener.in/company/KHADIM/consolidated/</v>
      </c>
      <c r="F1340" s="4">
        <v>443059</v>
      </c>
      <c r="G1340" s="4">
        <v>3832241897</v>
      </c>
      <c r="H1340" s="6">
        <f t="shared" ca="1" si="26"/>
        <v>91935.483109029999</v>
      </c>
      <c r="I1340" s="7" t="str">
        <f ca="1">IFERROR(__xludf.DUMMYFUNCTION("IMPORTXML(E1340,""/html/body/main/div[3]/div[3]/div[2]/ul/li[5]/span[2]/span"")"),"Loading...")</f>
        <v>Loading...</v>
      </c>
      <c r="J1340" s="7">
        <f ca="1">IFERROR(__xludf.DUMMYFUNCTION("GOOGLEFINANCE(""NSE:""&amp;D1340,""marketcap"")"),4380487000)</f>
        <v>4380487000</v>
      </c>
      <c r="K1340" s="7">
        <v>992.8</v>
      </c>
      <c r="L1340" s="8">
        <f ca="1">IFERROR(__xludf.DUMMYFUNCTION("GOOGLEFINANCE(""NSE:""&amp;D1340,""price"")"),239.9)</f>
        <v>239.9</v>
      </c>
      <c r="M1340" s="9">
        <f t="shared" ca="1" si="27"/>
        <v>-752.9</v>
      </c>
      <c r="N1340" s="10">
        <f t="shared" ca="1" si="28"/>
        <v>-75.83601933924254</v>
      </c>
      <c r="O1340" s="7">
        <f ca="1">IFERROR(__xludf.DUMMYFUNCTION("GOOGLEFINANCE(""NSE:""&amp;D1340,""pe"")"),83.88)</f>
        <v>83.88</v>
      </c>
      <c r="P1340" s="7">
        <f ca="1">IFERROR(__xludf.DUMMYFUNCTION("GOOGLEFINANCE(""NSE:""&amp;D1340,""EPS"")"),2.86)</f>
        <v>2.86</v>
      </c>
      <c r="Q1340" s="7">
        <v>13.5</v>
      </c>
      <c r="R1340" s="7" t="str">
        <f ca="1">IFERROR(__xludf.DUMMYFUNCTION("IMPORTXML(E1340,""/html/body/main/div[3]/div[3]/div[2]/ul/li[7]/span[2]/span"")"),"Loading...")</f>
        <v>Loading...</v>
      </c>
      <c r="S1340" s="7" t="str">
        <f ca="1">IFERROR(__xludf.DUMMYFUNCTION("IMPORTXML(E1340,""/html/body/main/div[3]/div[3]/div[2]/ul/li[8]/span[2]/span"")"),"Loading...")</f>
        <v>Loading...</v>
      </c>
      <c r="T1340" s="4">
        <v>34.6</v>
      </c>
      <c r="U1340" s="4">
        <v>22.7</v>
      </c>
      <c r="V1340" s="4">
        <v>2.6</v>
      </c>
      <c r="W1340" s="4">
        <v>5.7</v>
      </c>
      <c r="X1340" s="4">
        <v>519.92999999999995</v>
      </c>
      <c r="Y1340" s="7">
        <f t="shared" ca="1" si="29"/>
        <v>-280.02999999999997</v>
      </c>
    </row>
    <row r="1341" spans="1:25" ht="15" x14ac:dyDescent="0.25">
      <c r="A1341" s="4">
        <v>1316</v>
      </c>
      <c r="C1341" s="12" t="s">
        <v>3224</v>
      </c>
      <c r="D1341" s="12" t="s">
        <v>3225</v>
      </c>
      <c r="E1341" s="5" t="str">
        <f t="shared" si="25"/>
        <v>https://www.screener.in/company/DENORA/consolidated/</v>
      </c>
      <c r="F1341" s="4">
        <v>443059</v>
      </c>
      <c r="G1341" s="4">
        <v>3832241897</v>
      </c>
      <c r="H1341" s="6">
        <f t="shared" ca="1" si="26"/>
        <v>317692.85326130001</v>
      </c>
      <c r="I1341" s="7" t="str">
        <f ca="1">IFERROR(__xludf.DUMMYFUNCTION("IMPORTXML(E1341,""/html/body/main/div[3]/div[3]/div[2]/ul/li[5]/span[2]/span"")"),"Loading...")</f>
        <v>Loading...</v>
      </c>
      <c r="J1341" s="7">
        <f ca="1">IFERROR(__xludf.DUMMYFUNCTION("GOOGLEFINANCE(""NSE:""&amp;D1341,""marketcap"")"),4359231640)</f>
        <v>4359231640</v>
      </c>
      <c r="K1341" s="7">
        <v>992.8</v>
      </c>
      <c r="L1341" s="8">
        <f ca="1">IFERROR(__xludf.DUMMYFUNCTION("GOOGLEFINANCE(""NSE:""&amp;D1341,""price"")"),829)</f>
        <v>829</v>
      </c>
      <c r="M1341" s="9">
        <f t="shared" ca="1" si="27"/>
        <v>-163.79999999999995</v>
      </c>
      <c r="N1341" s="10">
        <f t="shared" ca="1" si="28"/>
        <v>-16.498791297340851</v>
      </c>
      <c r="O1341" s="7">
        <f ca="1">IFERROR(__xludf.DUMMYFUNCTION("GOOGLEFINANCE(""NSE:""&amp;D1341,""pe"")"),212.26)</f>
        <v>212.26</v>
      </c>
      <c r="P1341" s="7">
        <f ca="1">IFERROR(__xludf.DUMMYFUNCTION("GOOGLEFINANCE(""NSE:""&amp;D1341,""EPS"")"),3.91)</f>
        <v>3.91</v>
      </c>
      <c r="Q1341" s="7">
        <v>13.5</v>
      </c>
      <c r="R1341" s="7" t="str">
        <f ca="1">IFERROR(__xludf.DUMMYFUNCTION("IMPORTXML(E1341,""/html/body/main/div[3]/div[3]/div[2]/ul/li[7]/span[2]/span"")"),"Loading...")</f>
        <v>Loading...</v>
      </c>
      <c r="S1341" s="7" t="str">
        <f ca="1">IFERROR(__xludf.DUMMYFUNCTION("IMPORTXML(E1341,""/html/body/main/div[3]/div[3]/div[2]/ul/li[8]/span[2]/span"")"),"Loading...")</f>
        <v>Loading...</v>
      </c>
      <c r="T1341" s="4">
        <v>34.6</v>
      </c>
      <c r="U1341" s="4">
        <v>22.7</v>
      </c>
      <c r="V1341" s="4">
        <v>2.6</v>
      </c>
      <c r="W1341" s="4">
        <v>5.7</v>
      </c>
      <c r="X1341" s="4">
        <v>519.92999999999995</v>
      </c>
      <c r="Y1341" s="7">
        <f t="shared" ca="1" si="29"/>
        <v>309.07000000000005</v>
      </c>
    </row>
    <row r="1342" spans="1:25" ht="15" x14ac:dyDescent="0.25">
      <c r="A1342" s="4">
        <v>179</v>
      </c>
      <c r="C1342" s="12" t="s">
        <v>3226</v>
      </c>
      <c r="D1342" s="12" t="s">
        <v>3227</v>
      </c>
      <c r="E1342" s="5" t="str">
        <f t="shared" si="25"/>
        <v>https://www.screener.in/company/SAILIFE/consolidated/</v>
      </c>
      <c r="F1342" s="4">
        <v>443059</v>
      </c>
      <c r="G1342" s="4">
        <v>3832241897</v>
      </c>
      <c r="H1342" s="6">
        <f t="shared" ca="1" si="26"/>
        <v>329572.80314199999</v>
      </c>
      <c r="I1342" s="7" t="str">
        <f ca="1">IFERROR(__xludf.DUMMYFUNCTION("IMPORTXML(E1342,""/html/body/main/div[3]/div[3]/div[2]/ul/li[5]/span[2]/span"")"),"Loading...")</f>
        <v>Loading...</v>
      </c>
      <c r="J1342" s="7">
        <f ca="1">IFERROR(__xludf.DUMMYFUNCTION("GOOGLEFINANCE(""NSE:""&amp;D1342,""marketcap"")"),179958698000)</f>
        <v>179958698000</v>
      </c>
      <c r="K1342" s="7">
        <v>992.8</v>
      </c>
      <c r="L1342" s="8">
        <f ca="1">IFERROR(__xludf.DUMMYFUNCTION("GOOGLEFINANCE(""NSE:""&amp;D1342,""price"")"),860)</f>
        <v>860</v>
      </c>
      <c r="M1342" s="9">
        <f t="shared" ca="1" si="27"/>
        <v>-132.79999999999995</v>
      </c>
      <c r="N1342" s="10">
        <f t="shared" ca="1" si="28"/>
        <v>-13.376309427880736</v>
      </c>
      <c r="O1342" s="7">
        <f ca="1">IFERROR(__xludf.DUMMYFUNCTION("GOOGLEFINANCE(""NSE:""&amp;D1342,""pe"")"),73.14)</f>
        <v>73.14</v>
      </c>
      <c r="P1342" s="7">
        <f ca="1">IFERROR(__xludf.DUMMYFUNCTION("GOOGLEFINANCE(""NSE:""&amp;D1342,""EPS"")"),11.76)</f>
        <v>11.76</v>
      </c>
      <c r="Q1342" s="7">
        <v>13.5</v>
      </c>
      <c r="R1342" s="7" t="str">
        <f ca="1">IFERROR(__xludf.DUMMYFUNCTION("IMPORTXML(E1342,""/html/body/main/div[3]/div[3]/div[2]/ul/li[7]/span[2]/span"")"),"Loading...")</f>
        <v>Loading...</v>
      </c>
      <c r="S1342" s="7" t="str">
        <f ca="1">IFERROR(__xludf.DUMMYFUNCTION("IMPORTXML(E1342,""/html/body/main/div[3]/div[3]/div[2]/ul/li[8]/span[2]/span"")"),"Loading...")</f>
        <v>Loading...</v>
      </c>
      <c r="T1342" s="4">
        <v>34.6</v>
      </c>
      <c r="U1342" s="4">
        <v>22.7</v>
      </c>
      <c r="V1342" s="4">
        <v>2.6</v>
      </c>
      <c r="W1342" s="4">
        <v>5.7</v>
      </c>
      <c r="X1342" s="4">
        <v>519.92999999999995</v>
      </c>
      <c r="Y1342" s="7">
        <f t="shared" ca="1" si="29"/>
        <v>340.07000000000005</v>
      </c>
    </row>
    <row r="1343" spans="1:25" ht="15" x14ac:dyDescent="0.25">
      <c r="A1343" s="4">
        <v>1876</v>
      </c>
      <c r="C1343" s="12" t="s">
        <v>3228</v>
      </c>
      <c r="D1343" s="12" t="s">
        <v>3229</v>
      </c>
      <c r="E1343" s="5" t="str">
        <f t="shared" si="25"/>
        <v>https://www.screener.in/company/ALPHAGEO/consolidated/</v>
      </c>
      <c r="F1343" s="4">
        <v>443059</v>
      </c>
      <c r="G1343" s="4">
        <v>3832241897</v>
      </c>
      <c r="H1343" s="6">
        <f t="shared" ca="1" si="26"/>
        <v>95806.047424999997</v>
      </c>
      <c r="I1343" s="7" t="str">
        <f ca="1">IFERROR(__xludf.DUMMYFUNCTION("IMPORTXML(E1343,""/html/body/main/div[3]/div[3]/div[2]/ul/li[5]/span[2]/span"")"),"Loading...")</f>
        <v>Loading...</v>
      </c>
      <c r="J1343" s="7">
        <f ca="1">IFERROR(__xludf.DUMMYFUNCTION("GOOGLEFINANCE(""NSE:""&amp;D1343,""marketcap"")"),1601759547)</f>
        <v>1601759547</v>
      </c>
      <c r="K1343" s="7">
        <v>992.8</v>
      </c>
      <c r="L1343" s="8">
        <f ca="1">IFERROR(__xludf.DUMMYFUNCTION("GOOGLEFINANCE(""NSE:""&amp;D1343,""price"")"),250)</f>
        <v>250</v>
      </c>
      <c r="M1343" s="9">
        <f t="shared" ca="1" si="27"/>
        <v>-742.8</v>
      </c>
      <c r="N1343" s="10">
        <f t="shared" ca="1" si="28"/>
        <v>-74.818694601128115</v>
      </c>
      <c r="O1343" s="7" t="str">
        <f ca="1">IFERROR(__xludf.DUMMYFUNCTION("GOOGLEFINANCE(""NSE:""&amp;D1343,""pe"")"),"#N/A")</f>
        <v>#N/A</v>
      </c>
      <c r="P1343" s="7">
        <f ca="1">IFERROR(__xludf.DUMMYFUNCTION("GOOGLEFINANCE(""NSE:""&amp;D1343,""EPS"")"),-14.22)</f>
        <v>-14.22</v>
      </c>
      <c r="Q1343" s="7">
        <v>13.5</v>
      </c>
      <c r="R1343" s="7" t="str">
        <f ca="1">IFERROR(__xludf.DUMMYFUNCTION("IMPORTXML(E1343,""/html/body/main/div[3]/div[3]/div[2]/ul/li[7]/span[2]/span"")"),"Loading...")</f>
        <v>Loading...</v>
      </c>
      <c r="S1343" s="7" t="str">
        <f ca="1">IFERROR(__xludf.DUMMYFUNCTION("IMPORTXML(E1343,""/html/body/main/div[3]/div[3]/div[2]/ul/li[8]/span[2]/span"")"),"Loading...")</f>
        <v>Loading...</v>
      </c>
      <c r="T1343" s="4">
        <v>34.6</v>
      </c>
      <c r="U1343" s="4">
        <v>22.7</v>
      </c>
      <c r="V1343" s="4">
        <v>2.6</v>
      </c>
      <c r="W1343" s="4">
        <v>5.7</v>
      </c>
      <c r="X1343" s="4">
        <v>519.92999999999995</v>
      </c>
      <c r="Y1343" s="7">
        <f t="shared" ca="1" si="29"/>
        <v>-269.92999999999995</v>
      </c>
    </row>
    <row r="1344" spans="1:25" ht="15" x14ac:dyDescent="0.25">
      <c r="A1344" s="4">
        <v>652</v>
      </c>
      <c r="C1344" s="12" t="s">
        <v>3230</v>
      </c>
      <c r="D1344" s="12" t="s">
        <v>3231</v>
      </c>
      <c r="E1344" s="5" t="str">
        <f t="shared" si="25"/>
        <v>https://www.screener.in/company/SERVOTECH/consolidated/</v>
      </c>
      <c r="F1344" s="4">
        <v>443059</v>
      </c>
      <c r="G1344" s="4">
        <v>3832241897</v>
      </c>
      <c r="H1344" s="6">
        <f t="shared" ca="1" si="26"/>
        <v>47634.76677971</v>
      </c>
      <c r="I1344" s="7" t="str">
        <f ca="1">IFERROR(__xludf.DUMMYFUNCTION("IMPORTXML(E1344,""/html/body/main/div[3]/div[3]/div[2]/ul/li[5]/span[2]/span"")"),"Loading...")</f>
        <v>Loading...</v>
      </c>
      <c r="J1344" s="7">
        <f ca="1">IFERROR(__xludf.DUMMYFUNCTION("GOOGLEFINANCE(""NSE:""&amp;D1344,""marketcap"")"),28072571479)</f>
        <v>28072571479</v>
      </c>
      <c r="K1344" s="7">
        <v>992.8</v>
      </c>
      <c r="L1344" s="8">
        <f ca="1">IFERROR(__xludf.DUMMYFUNCTION("GOOGLEFINANCE(""NSE:""&amp;D1344,""price"")"),124.3)</f>
        <v>124.3</v>
      </c>
      <c r="M1344" s="9">
        <f t="shared" ca="1" si="27"/>
        <v>-868.5</v>
      </c>
      <c r="N1344" s="10">
        <f t="shared" ca="1" si="28"/>
        <v>-87.479854955680906</v>
      </c>
      <c r="O1344" s="7">
        <f ca="1">IFERROR(__xludf.DUMMYFUNCTION("GOOGLEFINANCE(""NSE:""&amp;D1344,""pe"")"),86.32)</f>
        <v>86.32</v>
      </c>
      <c r="P1344" s="7">
        <f ca="1">IFERROR(__xludf.DUMMYFUNCTION("GOOGLEFINANCE(""NSE:""&amp;D1344,""EPS"")"),1.44)</f>
        <v>1.44</v>
      </c>
      <c r="Q1344" s="7">
        <v>13.5</v>
      </c>
      <c r="R1344" s="7" t="str">
        <f ca="1">IFERROR(__xludf.DUMMYFUNCTION("IMPORTXML(E1344,""/html/body/main/div[3]/div[3]/div[2]/ul/li[7]/span[2]/span"")"),"Loading...")</f>
        <v>Loading...</v>
      </c>
      <c r="S1344" s="7" t="str">
        <f ca="1">IFERROR(__xludf.DUMMYFUNCTION("IMPORTXML(E1344,""/html/body/main/div[3]/div[3]/div[2]/ul/li[8]/span[2]/span"")"),"Loading...")</f>
        <v>Loading...</v>
      </c>
      <c r="T1344" s="4">
        <v>34.6</v>
      </c>
      <c r="U1344" s="4">
        <v>22.7</v>
      </c>
      <c r="V1344" s="4">
        <v>2.6</v>
      </c>
      <c r="W1344" s="4">
        <v>5.7</v>
      </c>
      <c r="X1344" s="4">
        <v>519.92999999999995</v>
      </c>
      <c r="Y1344" s="7">
        <f t="shared" ca="1" si="29"/>
        <v>-395.62999999999994</v>
      </c>
    </row>
    <row r="1345" spans="1:25" ht="15" x14ac:dyDescent="0.25">
      <c r="A1345" s="4">
        <v>22</v>
      </c>
      <c r="C1345" s="12" t="s">
        <v>3232</v>
      </c>
      <c r="D1345" s="12" t="s">
        <v>3233</v>
      </c>
      <c r="E1345" s="5" t="str">
        <f t="shared" si="25"/>
        <v>https://www.screener.in/company/SUVENPHAR/consolidated/</v>
      </c>
      <c r="F1345" s="4">
        <v>443059</v>
      </c>
      <c r="G1345" s="4">
        <v>3832241897</v>
      </c>
      <c r="H1345" s="6" t="e">
        <f t="shared" ca="1" si="26"/>
        <v>#VALUE!</v>
      </c>
      <c r="I1345" s="7" t="str">
        <f ca="1">IFERROR(__xludf.DUMMYFUNCTION("IMPORTXML(E1345,""/html/body/main/div[3]/div[3]/div[2]/ul/li[5]/span[2]/span"")"),"Loading...")</f>
        <v>Loading...</v>
      </c>
      <c r="J1345" s="7" t="str">
        <f ca="1">IFERROR(__xludf.DUMMYFUNCTION("GOOGLEFINANCE(""NSE:""&amp;D1345,""marketcap"")"),"#N/A")</f>
        <v>#N/A</v>
      </c>
      <c r="K1345" s="7">
        <v>992.8</v>
      </c>
      <c r="L1345" s="8" t="str">
        <f ca="1">IFERROR(__xludf.DUMMYFUNCTION("GOOGLEFINANCE(""NSE:""&amp;D1345,""price"")"),"#N/A")</f>
        <v>#N/A</v>
      </c>
      <c r="M1345" s="9" t="e">
        <f t="shared" ca="1" si="27"/>
        <v>#VALUE!</v>
      </c>
      <c r="N1345" s="10" t="e">
        <f t="shared" ca="1" si="28"/>
        <v>#VALUE!</v>
      </c>
      <c r="O1345" s="7" t="str">
        <f ca="1">IFERROR(__xludf.DUMMYFUNCTION("GOOGLEFINANCE(""NSE:""&amp;D1345,""pe"")"),"#N/A")</f>
        <v>#N/A</v>
      </c>
      <c r="P1345" s="7" t="str">
        <f ca="1">IFERROR(__xludf.DUMMYFUNCTION("GOOGLEFINANCE(""NSE:""&amp;D1345,""EPS"")"),"#N/A")</f>
        <v>#N/A</v>
      </c>
      <c r="Q1345" s="7">
        <v>13.5</v>
      </c>
      <c r="R1345" s="7" t="str">
        <f ca="1">IFERROR(__xludf.DUMMYFUNCTION("IMPORTXML(E1345,""/html/body/main/div[3]/div[3]/div[2]/ul/li[7]/span[2]/span"")"),"Loading...")</f>
        <v>Loading...</v>
      </c>
      <c r="S1345" s="7" t="str">
        <f ca="1">IFERROR(__xludf.DUMMYFUNCTION("IMPORTXML(E1345,""/html/body/main/div[3]/div[3]/div[2]/ul/li[8]/span[2]/span"")"),"Loading...")</f>
        <v>Loading...</v>
      </c>
      <c r="T1345" s="4">
        <v>34.6</v>
      </c>
      <c r="U1345" s="4">
        <v>22.7</v>
      </c>
      <c r="V1345" s="4">
        <v>2.6</v>
      </c>
      <c r="W1345" s="4">
        <v>5.7</v>
      </c>
      <c r="X1345" s="4">
        <v>519.92999999999995</v>
      </c>
      <c r="Y1345" s="7" t="e">
        <f t="shared" ca="1" si="29"/>
        <v>#VALUE!</v>
      </c>
    </row>
    <row r="1346" spans="1:25" ht="15" x14ac:dyDescent="0.25">
      <c r="A1346" s="4">
        <v>406</v>
      </c>
      <c r="C1346" s="12" t="s">
        <v>3234</v>
      </c>
      <c r="D1346" s="12" t="s">
        <v>3235</v>
      </c>
      <c r="E1346" s="5" t="str">
        <f t="shared" si="25"/>
        <v>https://www.screener.in/company/NAZARA/consolidated/</v>
      </c>
      <c r="F1346" s="4">
        <v>443059</v>
      </c>
      <c r="G1346" s="4">
        <v>3832241897</v>
      </c>
      <c r="H1346" s="6">
        <f t="shared" ca="1" si="26"/>
        <v>423271.11752365</v>
      </c>
      <c r="I1346" s="7" t="str">
        <f ca="1">IFERROR(__xludf.DUMMYFUNCTION("IMPORTXML(E1346,""/html/body/main/div[3]/div[3]/div[2]/ul/li[5]/span[2]/span"")"),"Loading...")</f>
        <v>Loading...</v>
      </c>
      <c r="J1346" s="7">
        <f ca="1">IFERROR(__xludf.DUMMYFUNCTION("GOOGLEFINANCE(""NSE:""&amp;D1346,""marketcap"")"),102600292410)</f>
        <v>102600292410</v>
      </c>
      <c r="K1346" s="7">
        <v>992.8</v>
      </c>
      <c r="L1346" s="8">
        <f ca="1">IFERROR(__xludf.DUMMYFUNCTION("GOOGLEFINANCE(""NSE:""&amp;D1346,""price"")"),1104.5)</f>
        <v>1104.5</v>
      </c>
      <c r="M1346" s="9">
        <f t="shared" ca="1" si="27"/>
        <v>111.70000000000005</v>
      </c>
      <c r="N1346" s="10">
        <f t="shared" ca="1" si="28"/>
        <v>11.25100725221596</v>
      </c>
      <c r="O1346" s="7">
        <f ca="1">IFERROR(__xludf.DUMMYFUNCTION("GOOGLEFINANCE(""NSE:""&amp;D1346,""pe"")"),80.35)</f>
        <v>80.349999999999994</v>
      </c>
      <c r="P1346" s="7">
        <f ca="1">IFERROR(__xludf.DUMMYFUNCTION("GOOGLEFINANCE(""NSE:""&amp;D1346,""EPS"")"),13.75)</f>
        <v>13.75</v>
      </c>
      <c r="Q1346" s="7">
        <v>13.5</v>
      </c>
      <c r="R1346" s="7" t="str">
        <f ca="1">IFERROR(__xludf.DUMMYFUNCTION("IMPORTXML(E1346,""/html/body/main/div[3]/div[3]/div[2]/ul/li[7]/span[2]/span"")"),"Loading...")</f>
        <v>Loading...</v>
      </c>
      <c r="S1346" s="7" t="str">
        <f ca="1">IFERROR(__xludf.DUMMYFUNCTION("IMPORTXML(E1346,""/html/body/main/div[3]/div[3]/div[2]/ul/li[8]/span[2]/span"")"),"Loading...")</f>
        <v>Loading...</v>
      </c>
      <c r="T1346" s="4">
        <v>34.6</v>
      </c>
      <c r="U1346" s="4">
        <v>22.7</v>
      </c>
      <c r="V1346" s="4">
        <v>2.6</v>
      </c>
      <c r="W1346" s="4">
        <v>5.7</v>
      </c>
      <c r="X1346" s="4">
        <v>519.92999999999995</v>
      </c>
      <c r="Y1346" s="7">
        <f t="shared" ca="1" si="29"/>
        <v>584.57000000000005</v>
      </c>
    </row>
    <row r="1347" spans="1:25" ht="15" x14ac:dyDescent="0.25">
      <c r="A1347" s="4">
        <v>363</v>
      </c>
      <c r="C1347" s="12" t="s">
        <v>3236</v>
      </c>
      <c r="D1347" s="12" t="s">
        <v>3237</v>
      </c>
      <c r="E1347" s="5" t="str">
        <f t="shared" si="25"/>
        <v>https://www.screener.in/company/ANURAS/consolidated/</v>
      </c>
      <c r="F1347" s="4">
        <v>443059</v>
      </c>
      <c r="G1347" s="4">
        <v>3832241897</v>
      </c>
      <c r="H1347" s="6">
        <f t="shared" ca="1" si="26"/>
        <v>426873.42490683001</v>
      </c>
      <c r="I1347" s="7" t="str">
        <f ca="1">IFERROR(__xludf.DUMMYFUNCTION("IMPORTXML(E1347,""/html/body/main/div[3]/div[3]/div[2]/ul/li[5]/span[2]/span"")"),"Loading...")</f>
        <v>Loading...</v>
      </c>
      <c r="J1347" s="7">
        <f ca="1">IFERROR(__xludf.DUMMYFUNCTION("GOOGLEFINANCE(""NSE:""&amp;D1347,""marketcap"")"),126815512759)</f>
        <v>126815512759</v>
      </c>
      <c r="K1347" s="7">
        <v>992.8</v>
      </c>
      <c r="L1347" s="8">
        <f ca="1">IFERROR(__xludf.DUMMYFUNCTION("GOOGLEFINANCE(""NSE:""&amp;D1347,""price"")"),1113.9)</f>
        <v>1113.9000000000001</v>
      </c>
      <c r="M1347" s="9">
        <f t="shared" ca="1" si="27"/>
        <v>121.10000000000014</v>
      </c>
      <c r="N1347" s="10">
        <f t="shared" ca="1" si="28"/>
        <v>12.197824335213552</v>
      </c>
      <c r="O1347" s="7">
        <f ca="1">IFERROR(__xludf.DUMMYFUNCTION("GOOGLEFINANCE(""NSE:""&amp;D1347,""pe"")"),99.1)</f>
        <v>99.1</v>
      </c>
      <c r="P1347" s="7">
        <f ca="1">IFERROR(__xludf.DUMMYFUNCTION("GOOGLEFINANCE(""NSE:""&amp;D1347,""EPS"")"),11.24)</f>
        <v>11.24</v>
      </c>
      <c r="Q1347" s="7">
        <v>13.5</v>
      </c>
      <c r="R1347" s="7" t="str">
        <f ca="1">IFERROR(__xludf.DUMMYFUNCTION("IMPORTXML(E1347,""/html/body/main/div[3]/div[3]/div[2]/ul/li[7]/span[2]/span"")"),"Loading...")</f>
        <v>Loading...</v>
      </c>
      <c r="S1347" s="7" t="str">
        <f ca="1">IFERROR(__xludf.DUMMYFUNCTION("IMPORTXML(E1347,""/html/body/main/div[3]/div[3]/div[2]/ul/li[8]/span[2]/span"")"),"Loading...")</f>
        <v>Loading...</v>
      </c>
      <c r="T1347" s="4">
        <v>34.6</v>
      </c>
      <c r="U1347" s="4">
        <v>22.7</v>
      </c>
      <c r="V1347" s="4">
        <v>2.6</v>
      </c>
      <c r="W1347" s="4">
        <v>5.7</v>
      </c>
      <c r="X1347" s="4">
        <v>519.92999999999995</v>
      </c>
      <c r="Y1347" s="7">
        <f t="shared" ca="1" si="29"/>
        <v>593.97000000000014</v>
      </c>
    </row>
    <row r="1348" spans="1:25" ht="15" x14ac:dyDescent="0.25">
      <c r="A1348" s="4">
        <v>169</v>
      </c>
      <c r="C1348" s="12" t="s">
        <v>3238</v>
      </c>
      <c r="D1348" s="12" t="s">
        <v>3239</v>
      </c>
      <c r="E1348" s="5" t="str">
        <f t="shared" si="25"/>
        <v>https://www.screener.in/company/PGEL/consolidated/</v>
      </c>
      <c r="F1348" s="4">
        <v>443059</v>
      </c>
      <c r="G1348" s="4">
        <v>3832241897</v>
      </c>
      <c r="H1348" s="6">
        <f t="shared" ca="1" si="26"/>
        <v>212842.71495937998</v>
      </c>
      <c r="I1348" s="7" t="str">
        <f ca="1">IFERROR(__xludf.DUMMYFUNCTION("IMPORTXML(E1348,""/html/body/main/div[3]/div[3]/div[2]/ul/li[5]/span[2]/span"")"),"Loading...")</f>
        <v>Loading...</v>
      </c>
      <c r="J1348" s="7">
        <f ca="1">IFERROR(__xludf.DUMMYFUNCTION("GOOGLEFINANCE(""NSE:""&amp;D1348,""marketcap"")"),156222442479)</f>
        <v>156222442479</v>
      </c>
      <c r="K1348" s="7">
        <v>992.8</v>
      </c>
      <c r="L1348" s="8">
        <f ca="1">IFERROR(__xludf.DUMMYFUNCTION("GOOGLEFINANCE(""NSE:""&amp;D1348,""price"")"),555.4)</f>
        <v>555.4</v>
      </c>
      <c r="M1348" s="9">
        <f t="shared" ca="1" si="27"/>
        <v>-437.4</v>
      </c>
      <c r="N1348" s="10">
        <f t="shared" ca="1" si="28"/>
        <v>-44.057211925866234</v>
      </c>
      <c r="O1348" s="7">
        <f ca="1">IFERROR(__xludf.DUMMYFUNCTION("GOOGLEFINANCE(""NSE:""&amp;D1348,""pe"")"),57.92)</f>
        <v>57.92</v>
      </c>
      <c r="P1348" s="7">
        <f ca="1">IFERROR(__xludf.DUMMYFUNCTION("GOOGLEFINANCE(""NSE:""&amp;D1348,""EPS"")"),9.59)</f>
        <v>9.59</v>
      </c>
      <c r="Q1348" s="7">
        <v>13.5</v>
      </c>
      <c r="R1348" s="7" t="str">
        <f ca="1">IFERROR(__xludf.DUMMYFUNCTION("IMPORTXML(E1348,""/html/body/main/div[3]/div[3]/div[2]/ul/li[7]/span[2]/span"")"),"Loading...")</f>
        <v>Loading...</v>
      </c>
      <c r="S1348" s="7" t="str">
        <f ca="1">IFERROR(__xludf.DUMMYFUNCTION("IMPORTXML(E1348,""/html/body/main/div[3]/div[3]/div[2]/ul/li[8]/span[2]/span"")"),"Loading...")</f>
        <v>Loading...</v>
      </c>
      <c r="T1348" s="4">
        <v>34.6</v>
      </c>
      <c r="U1348" s="4">
        <v>22.7</v>
      </c>
      <c r="V1348" s="4">
        <v>2.6</v>
      </c>
      <c r="W1348" s="4">
        <v>5.7</v>
      </c>
      <c r="X1348" s="4">
        <v>519.92999999999995</v>
      </c>
      <c r="Y1348" s="7">
        <f t="shared" ca="1" si="29"/>
        <v>35.470000000000027</v>
      </c>
    </row>
    <row r="1349" spans="1:25" ht="15" x14ac:dyDescent="0.25">
      <c r="A1349" s="4">
        <v>860</v>
      </c>
      <c r="C1349" s="12" t="s">
        <v>3240</v>
      </c>
      <c r="D1349" s="12" t="s">
        <v>3241</v>
      </c>
      <c r="E1349" s="5" t="str">
        <f t="shared" si="25"/>
        <v>https://www.screener.in/company/YASHO/consolidated/</v>
      </c>
      <c r="F1349" s="4">
        <v>443059</v>
      </c>
      <c r="G1349" s="4">
        <v>3832241897</v>
      </c>
      <c r="H1349" s="6">
        <f t="shared" ca="1" si="26"/>
        <v>701300.26715099998</v>
      </c>
      <c r="I1349" s="7" t="str">
        <f ca="1">IFERROR(__xludf.DUMMYFUNCTION("IMPORTXML(E1349,""/html/body/main/div[3]/div[3]/div[2]/ul/li[5]/span[2]/span"")"),"Loading...")</f>
        <v>Loading...</v>
      </c>
      <c r="J1349" s="7">
        <f ca="1">IFERROR(__xludf.DUMMYFUNCTION("GOOGLEFINANCE(""NSE:""&amp;D1349,""marketcap"")"),22064474700)</f>
        <v>22064474700</v>
      </c>
      <c r="K1349" s="7">
        <v>992.8</v>
      </c>
      <c r="L1349" s="8">
        <f ca="1">IFERROR(__xludf.DUMMYFUNCTION("GOOGLEFINANCE(""NSE:""&amp;D1349,""price"")"),1830)</f>
        <v>1830</v>
      </c>
      <c r="M1349" s="9">
        <f t="shared" ca="1" si="27"/>
        <v>837.2</v>
      </c>
      <c r="N1349" s="10">
        <f t="shared" ca="1" si="28"/>
        <v>84.327155519742149</v>
      </c>
      <c r="O1349" s="7">
        <f ca="1">IFERROR(__xludf.DUMMYFUNCTION("GOOGLEFINANCE(""NSE:""&amp;D1349,""pe"")"),176.15)</f>
        <v>176.15</v>
      </c>
      <c r="P1349" s="7">
        <f ca="1">IFERROR(__xludf.DUMMYFUNCTION("GOOGLEFINANCE(""NSE:""&amp;D1349,""EPS"")"),10.39)</f>
        <v>10.39</v>
      </c>
      <c r="Q1349" s="7">
        <v>13.5</v>
      </c>
      <c r="R1349" s="7" t="str">
        <f ca="1">IFERROR(__xludf.DUMMYFUNCTION("IMPORTXML(E1349,""/html/body/main/div[3]/div[3]/div[2]/ul/li[7]/span[2]/span"")"),"Loading...")</f>
        <v>Loading...</v>
      </c>
      <c r="S1349" s="7" t="str">
        <f ca="1">IFERROR(__xludf.DUMMYFUNCTION("IMPORTXML(E1349,""/html/body/main/div[3]/div[3]/div[2]/ul/li[8]/span[2]/span"")"),"Loading...")</f>
        <v>Loading...</v>
      </c>
      <c r="T1349" s="4">
        <v>34.6</v>
      </c>
      <c r="U1349" s="4">
        <v>22.7</v>
      </c>
      <c r="V1349" s="4">
        <v>2.6</v>
      </c>
      <c r="W1349" s="4">
        <v>5.7</v>
      </c>
      <c r="X1349" s="4">
        <v>519.92999999999995</v>
      </c>
      <c r="Y1349" s="7">
        <f t="shared" ca="1" si="29"/>
        <v>1310.0700000000002</v>
      </c>
    </row>
    <row r="1350" spans="1:25" ht="15" x14ac:dyDescent="0.25">
      <c r="A1350" s="4">
        <v>1838</v>
      </c>
      <c r="C1350" s="12" t="s">
        <v>3242</v>
      </c>
      <c r="D1350" s="12" t="s">
        <v>3243</v>
      </c>
      <c r="E1350" s="5" t="str">
        <f t="shared" si="25"/>
        <v>https://www.screener.in/company/MAHASTEEL/consolidated/</v>
      </c>
      <c r="F1350" s="4">
        <v>443059</v>
      </c>
      <c r="G1350" s="4">
        <v>3832241897</v>
      </c>
      <c r="H1350" s="6">
        <f t="shared" ca="1" si="26"/>
        <v>147158.08884479999</v>
      </c>
      <c r="I1350" s="7" t="str">
        <f ca="1">IFERROR(__xludf.DUMMYFUNCTION("IMPORTXML(E1350,""/html/body/main/div[3]/div[3]/div[2]/ul/li[5]/span[2]/span"")"),"Loading...")</f>
        <v>Loading...</v>
      </c>
      <c r="J1350" s="7">
        <f ca="1">IFERROR(__xludf.DUMMYFUNCTION("GOOGLEFINANCE(""NSE:""&amp;D1350,""marketcap"")"),6449419424)</f>
        <v>6449419424</v>
      </c>
      <c r="K1350" s="7">
        <v>992.8</v>
      </c>
      <c r="L1350" s="8">
        <f ca="1">IFERROR(__xludf.DUMMYFUNCTION("GOOGLEFINANCE(""NSE:""&amp;D1350,""price"")"),384)</f>
        <v>384</v>
      </c>
      <c r="M1350" s="9">
        <f t="shared" ca="1" si="27"/>
        <v>-608.79999999999995</v>
      </c>
      <c r="N1350" s="10">
        <f t="shared" ca="1" si="28"/>
        <v>-61.321514907332798</v>
      </c>
      <c r="O1350" s="7">
        <f ca="1">IFERROR(__xludf.DUMMYFUNCTION("GOOGLEFINANCE(""NSE:""&amp;D1350,""pe"")"),74.56)</f>
        <v>74.56</v>
      </c>
      <c r="P1350" s="7">
        <f ca="1">IFERROR(__xludf.DUMMYFUNCTION("GOOGLEFINANCE(""NSE:""&amp;D1350,""EPS"")"),5.15)</f>
        <v>5.15</v>
      </c>
      <c r="Q1350" s="7">
        <v>13.5</v>
      </c>
      <c r="R1350" s="7" t="str">
        <f ca="1">IFERROR(__xludf.DUMMYFUNCTION("IMPORTXML(E1350,""/html/body/main/div[3]/div[3]/div[2]/ul/li[7]/span[2]/span"")"),"Loading...")</f>
        <v>Loading...</v>
      </c>
      <c r="S1350" s="7" t="str">
        <f ca="1">IFERROR(__xludf.DUMMYFUNCTION("IMPORTXML(E1350,""/html/body/main/div[3]/div[3]/div[2]/ul/li[8]/span[2]/span"")"),"Loading...")</f>
        <v>Loading...</v>
      </c>
      <c r="T1350" s="4">
        <v>34.6</v>
      </c>
      <c r="U1350" s="4">
        <v>22.7</v>
      </c>
      <c r="V1350" s="4">
        <v>2.6</v>
      </c>
      <c r="W1350" s="4">
        <v>5.7</v>
      </c>
      <c r="X1350" s="4">
        <v>519.92999999999995</v>
      </c>
      <c r="Y1350" s="7">
        <f t="shared" ca="1" si="29"/>
        <v>-135.92999999999995</v>
      </c>
    </row>
    <row r="1351" spans="1:25" ht="15" x14ac:dyDescent="0.25">
      <c r="A1351" s="4">
        <v>239</v>
      </c>
      <c r="C1351" s="12" t="s">
        <v>3244</v>
      </c>
      <c r="D1351" s="12" t="s">
        <v>3245</v>
      </c>
      <c r="E1351" s="5" t="str">
        <f t="shared" si="25"/>
        <v>https://www.screener.in/company/AETHER/consolidated/</v>
      </c>
      <c r="F1351" s="4">
        <v>443059</v>
      </c>
      <c r="G1351" s="4">
        <v>3832241897</v>
      </c>
      <c r="H1351" s="6">
        <f t="shared" ca="1" si="26"/>
        <v>283930.80214872997</v>
      </c>
      <c r="I1351" s="7" t="str">
        <f ca="1">IFERROR(__xludf.DUMMYFUNCTION("IMPORTXML(E1351,""/html/body/main/div[3]/div[3]/div[2]/ul/li[5]/span[2]/span"")"),"Loading...")</f>
        <v>Loading...</v>
      </c>
      <c r="J1351" s="7">
        <f ca="1">IFERROR(__xludf.DUMMYFUNCTION("GOOGLEFINANCE(""NSE:""&amp;D1351,""marketcap"")"),98236082417)</f>
        <v>98236082417</v>
      </c>
      <c r="K1351" s="7">
        <v>992.8</v>
      </c>
      <c r="L1351" s="8">
        <f ca="1">IFERROR(__xludf.DUMMYFUNCTION("GOOGLEFINANCE(""NSE:""&amp;D1351,""price"")"),740.9)</f>
        <v>740.9</v>
      </c>
      <c r="M1351" s="9">
        <f t="shared" ca="1" si="27"/>
        <v>-251.89999999999998</v>
      </c>
      <c r="N1351" s="10">
        <f t="shared" ca="1" si="28"/>
        <v>-25.372683319903306</v>
      </c>
      <c r="O1351" s="7">
        <f ca="1">IFERROR(__xludf.DUMMYFUNCTION("GOOGLEFINANCE(""NSE:""&amp;D1351,""pe"")"),55.94)</f>
        <v>55.94</v>
      </c>
      <c r="P1351" s="7">
        <f ca="1">IFERROR(__xludf.DUMMYFUNCTION("GOOGLEFINANCE(""NSE:""&amp;D1351,""EPS"")"),13.25)</f>
        <v>13.25</v>
      </c>
      <c r="Q1351" s="7">
        <v>13.5</v>
      </c>
      <c r="R1351" s="7" t="str">
        <f ca="1">IFERROR(__xludf.DUMMYFUNCTION("IMPORTXML(E1351,""/html/body/main/div[3]/div[3]/div[2]/ul/li[7]/span[2]/span"")"),"Loading...")</f>
        <v>Loading...</v>
      </c>
      <c r="S1351" s="7" t="str">
        <f ca="1">IFERROR(__xludf.DUMMYFUNCTION("IMPORTXML(E1351,""/html/body/main/div[3]/div[3]/div[2]/ul/li[8]/span[2]/span"")"),"Loading...")</f>
        <v>Loading...</v>
      </c>
      <c r="T1351" s="4">
        <v>34.6</v>
      </c>
      <c r="U1351" s="4">
        <v>22.7</v>
      </c>
      <c r="V1351" s="4">
        <v>2.6</v>
      </c>
      <c r="W1351" s="4">
        <v>5.7</v>
      </c>
      <c r="X1351" s="4">
        <v>519.92999999999995</v>
      </c>
      <c r="Y1351" s="7">
        <f t="shared" ca="1" si="29"/>
        <v>220.97000000000003</v>
      </c>
    </row>
    <row r="1352" spans="1:25" ht="15" x14ac:dyDescent="0.25">
      <c r="A1352" s="4">
        <v>215</v>
      </c>
      <c r="C1352" s="12" t="s">
        <v>3246</v>
      </c>
      <c r="D1352" s="12" t="s">
        <v>3247</v>
      </c>
      <c r="E1352" s="5" t="str">
        <f t="shared" si="25"/>
        <v>https://www.screener.in/company/IWEL/consolidated/</v>
      </c>
      <c r="F1352" s="4">
        <v>443059</v>
      </c>
      <c r="G1352" s="4">
        <v>3832241897</v>
      </c>
      <c r="H1352" s="6" t="e">
        <f t="shared" ca="1" si="26"/>
        <v>#VALUE!</v>
      </c>
      <c r="I1352" s="7" t="str">
        <f ca="1">IFERROR(__xludf.DUMMYFUNCTION("IMPORTXML(E1352,""/html/body/main/div[3]/div[3]/div[2]/ul/li[5]/span[2]/span"")"),"Loading...")</f>
        <v>Loading...</v>
      </c>
      <c r="J1352" s="7" t="str">
        <f ca="1">IFERROR(__xludf.DUMMYFUNCTION("GOOGLEFINANCE(""NSE:""&amp;D1352,""marketcap"")"),"#N/A")</f>
        <v>#N/A</v>
      </c>
      <c r="K1352" s="7">
        <v>992.8</v>
      </c>
      <c r="L1352" s="8" t="str">
        <f ca="1">IFERROR(__xludf.DUMMYFUNCTION("GOOGLEFINANCE(""NSE:""&amp;D1352,""price"")"),"#N/A")</f>
        <v>#N/A</v>
      </c>
      <c r="M1352" s="9" t="e">
        <f t="shared" ca="1" si="27"/>
        <v>#VALUE!</v>
      </c>
      <c r="N1352" s="10" t="e">
        <f t="shared" ca="1" si="28"/>
        <v>#VALUE!</v>
      </c>
      <c r="O1352" s="7" t="str">
        <f ca="1">IFERROR(__xludf.DUMMYFUNCTION("GOOGLEFINANCE(""NSE:""&amp;D1352,""pe"")"),"#N/A")</f>
        <v>#N/A</v>
      </c>
      <c r="P1352" s="7" t="str">
        <f ca="1">IFERROR(__xludf.DUMMYFUNCTION("GOOGLEFINANCE(""NSE:""&amp;D1352,""EPS"")"),"#N/A")</f>
        <v>#N/A</v>
      </c>
      <c r="Q1352" s="7">
        <v>13.5</v>
      </c>
      <c r="R1352" s="7" t="str">
        <f ca="1">IFERROR(__xludf.DUMMYFUNCTION("IMPORTXML(E1352,""/html/body/main/div[3]/div[3]/div[2]/ul/li[7]/span[2]/span"")"),"Loading...")</f>
        <v>Loading...</v>
      </c>
      <c r="S1352" s="7" t="str">
        <f ca="1">IFERROR(__xludf.DUMMYFUNCTION("IMPORTXML(E1352,""/html/body/main/div[3]/div[3]/div[2]/ul/li[8]/span[2]/span"")"),"Loading...")</f>
        <v>Loading...</v>
      </c>
      <c r="T1352" s="4">
        <v>34.6</v>
      </c>
      <c r="U1352" s="4">
        <v>22.7</v>
      </c>
      <c r="V1352" s="4">
        <v>2.6</v>
      </c>
      <c r="W1352" s="4">
        <v>5.7</v>
      </c>
      <c r="X1352" s="4">
        <v>519.92999999999995</v>
      </c>
      <c r="Y1352" s="7" t="e">
        <f t="shared" ca="1" si="29"/>
        <v>#VALUE!</v>
      </c>
    </row>
    <row r="1353" spans="1:25" ht="15" x14ac:dyDescent="0.25">
      <c r="A1353" s="4">
        <v>359</v>
      </c>
      <c r="C1353" s="12" t="s">
        <v>3248</v>
      </c>
      <c r="D1353" s="12" t="s">
        <v>3249</v>
      </c>
      <c r="E1353" s="5" t="str">
        <f t="shared" si="25"/>
        <v>https://www.screener.in/company/MAHLIFE/consolidated/</v>
      </c>
      <c r="F1353" s="4">
        <v>443059</v>
      </c>
      <c r="G1353" s="4">
        <v>3832241897</v>
      </c>
      <c r="H1353" s="6">
        <f t="shared" ca="1" si="26"/>
        <v>139340.31537492003</v>
      </c>
      <c r="I1353" s="7" t="str">
        <f ca="1">IFERROR(__xludf.DUMMYFUNCTION("IMPORTXML(E1353,""/html/body/main/div[3]/div[3]/div[2]/ul/li[5]/span[2]/span"")"),"Loading...")</f>
        <v>Loading...</v>
      </c>
      <c r="J1353" s="7">
        <f ca="1">IFERROR(__xludf.DUMMYFUNCTION("GOOGLEFINANCE(""NSE:""&amp;D1353,""marketcap"")"),77356738750)</f>
        <v>77356738750</v>
      </c>
      <c r="K1353" s="7">
        <v>992.8</v>
      </c>
      <c r="L1353" s="8">
        <f ca="1">IFERROR(__xludf.DUMMYFUNCTION("GOOGLEFINANCE(""NSE:""&amp;D1353,""price"")"),363.6)</f>
        <v>363.6</v>
      </c>
      <c r="M1353" s="9">
        <f t="shared" ca="1" si="27"/>
        <v>-629.19999999999993</v>
      </c>
      <c r="N1353" s="10">
        <f t="shared" ca="1" si="28"/>
        <v>-63.376309427880742</v>
      </c>
      <c r="O1353" s="7">
        <f ca="1">IFERROR(__xludf.DUMMYFUNCTION("GOOGLEFINANCE(""NSE:""&amp;D1353,""pe"")"),62.1)</f>
        <v>62.1</v>
      </c>
      <c r="P1353" s="7">
        <f ca="1">IFERROR(__xludf.DUMMYFUNCTION("GOOGLEFINANCE(""NSE:""&amp;D1353,""EPS"")"),5.85)</f>
        <v>5.85</v>
      </c>
      <c r="Q1353" s="7">
        <v>13.5</v>
      </c>
      <c r="R1353" s="7" t="str">
        <f ca="1">IFERROR(__xludf.DUMMYFUNCTION("IMPORTXML(E1353,""/html/body/main/div[3]/div[3]/div[2]/ul/li[7]/span[2]/span"")"),"Loading...")</f>
        <v>Loading...</v>
      </c>
      <c r="S1353" s="7" t="str">
        <f ca="1">IFERROR(__xludf.DUMMYFUNCTION("IMPORTXML(E1353,""/html/body/main/div[3]/div[3]/div[2]/ul/li[8]/span[2]/span"")"),"Loading...")</f>
        <v>Loading...</v>
      </c>
      <c r="T1353" s="4">
        <v>34.6</v>
      </c>
      <c r="U1353" s="4">
        <v>22.7</v>
      </c>
      <c r="V1353" s="4">
        <v>2.6</v>
      </c>
      <c r="W1353" s="4">
        <v>5.7</v>
      </c>
      <c r="X1353" s="4">
        <v>519.92999999999995</v>
      </c>
      <c r="Y1353" s="7">
        <f t="shared" ca="1" si="29"/>
        <v>-156.32999999999993</v>
      </c>
    </row>
    <row r="1354" spans="1:25" ht="15" x14ac:dyDescent="0.25">
      <c r="A1354" s="4">
        <v>1710</v>
      </c>
      <c r="C1354" s="12" t="s">
        <v>3250</v>
      </c>
      <c r="D1354" s="12" t="s">
        <v>3251</v>
      </c>
      <c r="E1354" s="5" t="str">
        <f t="shared" si="25"/>
        <v>https://www.screener.in/company/MAHEPC/consolidated/</v>
      </c>
      <c r="F1354" s="4">
        <v>443059</v>
      </c>
      <c r="G1354" s="4">
        <v>3832241897</v>
      </c>
      <c r="H1354" s="6">
        <f t="shared" ca="1" si="26"/>
        <v>61718.25575118501</v>
      </c>
      <c r="I1354" s="7" t="str">
        <f ca="1">IFERROR(__xludf.DUMMYFUNCTION("IMPORTXML(E1354,""/html/body/main/div[3]/div[3]/div[2]/ul/li[5]/span[2]/span"")"),"Loading...")</f>
        <v>Loading...</v>
      </c>
      <c r="J1354" s="7">
        <f ca="1">IFERROR(__xludf.DUMMYFUNCTION("GOOGLEFINANCE(""NSE:""&amp;D1354,""marketcap"")"),4500133268)</f>
        <v>4500133268</v>
      </c>
      <c r="K1354" s="7">
        <v>992.8</v>
      </c>
      <c r="L1354" s="8">
        <f ca="1">IFERROR(__xludf.DUMMYFUNCTION("GOOGLEFINANCE(""NSE:""&amp;D1354,""price"")"),161.05)</f>
        <v>161.05000000000001</v>
      </c>
      <c r="M1354" s="9">
        <f t="shared" ca="1" si="27"/>
        <v>-831.75</v>
      </c>
      <c r="N1354" s="10">
        <f t="shared" ca="1" si="28"/>
        <v>-83.778203062046742</v>
      </c>
      <c r="O1354" s="7">
        <f ca="1">IFERROR(__xludf.DUMMYFUNCTION("GOOGLEFINANCE(""NSE:""&amp;D1354,""pe"")"),40.9)</f>
        <v>40.9</v>
      </c>
      <c r="P1354" s="7">
        <f ca="1">IFERROR(__xludf.DUMMYFUNCTION("GOOGLEFINANCE(""NSE:""&amp;D1354,""EPS"")"),3.94)</f>
        <v>3.94</v>
      </c>
      <c r="Q1354" s="7">
        <v>13.5</v>
      </c>
      <c r="R1354" s="7" t="str">
        <f ca="1">IFERROR(__xludf.DUMMYFUNCTION("IMPORTXML(E1354,""/html/body/main/div[3]/div[3]/div[2]/ul/li[7]/span[2]/span"")"),"Loading...")</f>
        <v>Loading...</v>
      </c>
      <c r="S1354" s="7" t="str">
        <f ca="1">IFERROR(__xludf.DUMMYFUNCTION("IMPORTXML(E1354,""/html/body/main/div[3]/div[3]/div[2]/ul/li[8]/span[2]/span"")"),"Loading...")</f>
        <v>Loading...</v>
      </c>
      <c r="T1354" s="4">
        <v>34.6</v>
      </c>
      <c r="U1354" s="4">
        <v>22.7</v>
      </c>
      <c r="V1354" s="4">
        <v>2.6</v>
      </c>
      <c r="W1354" s="4">
        <v>5.7</v>
      </c>
      <c r="X1354" s="4">
        <v>519.92999999999995</v>
      </c>
      <c r="Y1354" s="7">
        <f t="shared" ca="1" si="29"/>
        <v>-358.87999999999994</v>
      </c>
    </row>
    <row r="1355" spans="1:25" ht="15" x14ac:dyDescent="0.25">
      <c r="A1355" s="4">
        <v>696</v>
      </c>
      <c r="C1355" s="12" t="s">
        <v>3252</v>
      </c>
      <c r="D1355" s="12" t="s">
        <v>3253</v>
      </c>
      <c r="E1355" s="5" t="str">
        <f t="shared" si="25"/>
        <v>https://www.screener.in/company/BAJEL/consolidated/</v>
      </c>
      <c r="F1355" s="4">
        <v>443059</v>
      </c>
      <c r="G1355" s="4">
        <v>3832241897</v>
      </c>
      <c r="H1355" s="6">
        <f t="shared" ca="1" si="26"/>
        <v>77794.5105091</v>
      </c>
      <c r="I1355" s="7" t="str">
        <f ca="1">IFERROR(__xludf.DUMMYFUNCTION("IMPORTXML(E1355,""/html/body/main/div[3]/div[3]/div[2]/ul/li[5]/span[2]/span"")"),"Loading...")</f>
        <v>Loading...</v>
      </c>
      <c r="J1355" s="7">
        <f ca="1">IFERROR(__xludf.DUMMYFUNCTION("GOOGLEFINANCE(""NSE:""&amp;D1355,""marketcap"")"),23470961500)</f>
        <v>23470961500</v>
      </c>
      <c r="K1355" s="7">
        <v>992.8</v>
      </c>
      <c r="L1355" s="8">
        <f ca="1">IFERROR(__xludf.DUMMYFUNCTION("GOOGLEFINANCE(""NSE:""&amp;D1355,""price"")"),203)</f>
        <v>203</v>
      </c>
      <c r="M1355" s="9">
        <f t="shared" ca="1" si="27"/>
        <v>-789.8</v>
      </c>
      <c r="N1355" s="10">
        <f t="shared" ca="1" si="28"/>
        <v>-79.552780016116031</v>
      </c>
      <c r="O1355" s="7">
        <f ca="1">IFERROR(__xludf.DUMMYFUNCTION("GOOGLEFINANCE(""NSE:""&amp;D1355,""pe"")"),183.34)</f>
        <v>183.34</v>
      </c>
      <c r="P1355" s="7">
        <f ca="1">IFERROR(__xludf.DUMMYFUNCTION("GOOGLEFINANCE(""NSE:""&amp;D1355,""EPS"")"),1.11)</f>
        <v>1.1100000000000001</v>
      </c>
      <c r="Q1355" s="7">
        <v>13.5</v>
      </c>
      <c r="R1355" s="7" t="str">
        <f ca="1">IFERROR(__xludf.DUMMYFUNCTION("IMPORTXML(E1355,""/html/body/main/div[3]/div[3]/div[2]/ul/li[7]/span[2]/span"")"),"Loading...")</f>
        <v>Loading...</v>
      </c>
      <c r="S1355" s="7" t="str">
        <f ca="1">IFERROR(__xludf.DUMMYFUNCTION("IMPORTXML(E1355,""/html/body/main/div[3]/div[3]/div[2]/ul/li[8]/span[2]/span"")"),"Loading...")</f>
        <v>Loading...</v>
      </c>
      <c r="T1355" s="4">
        <v>34.6</v>
      </c>
      <c r="U1355" s="4">
        <v>22.7</v>
      </c>
      <c r="V1355" s="4">
        <v>2.6</v>
      </c>
      <c r="W1355" s="4">
        <v>5.7</v>
      </c>
      <c r="X1355" s="4">
        <v>519.92999999999995</v>
      </c>
      <c r="Y1355" s="7">
        <f t="shared" ca="1" si="29"/>
        <v>-316.92999999999995</v>
      </c>
    </row>
    <row r="1356" spans="1:25" ht="15" x14ac:dyDescent="0.25">
      <c r="A1356" s="4">
        <v>1211</v>
      </c>
      <c r="C1356" s="12" t="s">
        <v>3254</v>
      </c>
      <c r="D1356" s="12" t="s">
        <v>3255</v>
      </c>
      <c r="E1356" s="5" t="str">
        <f t="shared" si="25"/>
        <v>https://www.screener.in/company/BODALCHEM/consolidated/</v>
      </c>
      <c r="F1356" s="4">
        <v>443059</v>
      </c>
      <c r="G1356" s="4">
        <v>3832241897</v>
      </c>
      <c r="H1356" s="6">
        <f t="shared" ca="1" si="26"/>
        <v>25273.635310715003</v>
      </c>
      <c r="I1356" s="7" t="str">
        <f ca="1">IFERROR(__xludf.DUMMYFUNCTION("IMPORTXML(E1356,""/html/body/main/div[3]/div[3]/div[2]/ul/li[5]/span[2]/span"")"),"Loading...")</f>
        <v>Loading...</v>
      </c>
      <c r="J1356" s="7">
        <f ca="1">IFERROR(__xludf.DUMMYFUNCTION("GOOGLEFINANCE(""NSE:""&amp;D1356,""marketcap"")"),8203996000)</f>
        <v>8203996000</v>
      </c>
      <c r="K1356" s="7">
        <v>992.8</v>
      </c>
      <c r="L1356" s="8">
        <f ca="1">IFERROR(__xludf.DUMMYFUNCTION("GOOGLEFINANCE(""NSE:""&amp;D1356,""price"")"),65.95)</f>
        <v>65.95</v>
      </c>
      <c r="M1356" s="9">
        <f t="shared" ca="1" si="27"/>
        <v>-926.84999999999991</v>
      </c>
      <c r="N1356" s="10">
        <f t="shared" ca="1" si="28"/>
        <v>-93.35717163577759</v>
      </c>
      <c r="O1356" s="7">
        <f ca="1">IFERROR(__xludf.DUMMYFUNCTION("GOOGLEFINANCE(""NSE:""&amp;D1356,""pe"")"),28.43)</f>
        <v>28.43</v>
      </c>
      <c r="P1356" s="7">
        <f ca="1">IFERROR(__xludf.DUMMYFUNCTION("GOOGLEFINANCE(""NSE:""&amp;D1356,""EPS"")"),2.32)</f>
        <v>2.3199999999999998</v>
      </c>
      <c r="Q1356" s="7">
        <v>13.5</v>
      </c>
      <c r="R1356" s="7" t="str">
        <f ca="1">IFERROR(__xludf.DUMMYFUNCTION("IMPORTXML(E1356,""/html/body/main/div[3]/div[3]/div[2]/ul/li[7]/span[2]/span"")"),"Loading...")</f>
        <v>Loading...</v>
      </c>
      <c r="S1356" s="7" t="str">
        <f ca="1">IFERROR(__xludf.DUMMYFUNCTION("IMPORTXML(E1356,""/html/body/main/div[3]/div[3]/div[2]/ul/li[8]/span[2]/span"")"),"Loading...")</f>
        <v>Loading...</v>
      </c>
      <c r="T1356" s="4">
        <v>34.6</v>
      </c>
      <c r="U1356" s="4">
        <v>22.7</v>
      </c>
      <c r="V1356" s="4">
        <v>2.6</v>
      </c>
      <c r="W1356" s="4">
        <v>5.7</v>
      </c>
      <c r="X1356" s="4">
        <v>519.92999999999995</v>
      </c>
      <c r="Y1356" s="7">
        <f t="shared" ca="1" si="29"/>
        <v>-453.97999999999996</v>
      </c>
    </row>
    <row r="1357" spans="1:25" ht="15" x14ac:dyDescent="0.25">
      <c r="A1357" s="4">
        <v>836</v>
      </c>
      <c r="C1357" s="12" t="s">
        <v>3256</v>
      </c>
      <c r="D1357" s="12" t="s">
        <v>3257</v>
      </c>
      <c r="E1357" s="5" t="str">
        <f t="shared" si="25"/>
        <v>https://www.screener.in/company/TATVA/consolidated/</v>
      </c>
      <c r="F1357" s="4">
        <v>443059</v>
      </c>
      <c r="G1357" s="4">
        <v>3832241897</v>
      </c>
      <c r="H1357" s="6">
        <f t="shared" ca="1" si="26"/>
        <v>383224.18969999999</v>
      </c>
      <c r="I1357" s="7" t="str">
        <f ca="1">IFERROR(__xludf.DUMMYFUNCTION("IMPORTXML(E1357,""/html/body/main/div[3]/div[3]/div[2]/ul/li[5]/span[2]/span"")"),"Loading...")</f>
        <v>Loading...</v>
      </c>
      <c r="J1357" s="7">
        <f ca="1">IFERROR(__xludf.DUMMYFUNCTION("GOOGLEFINANCE(""NSE:""&amp;D1357,""marketcap"")"),23301561108)</f>
        <v>23301561108</v>
      </c>
      <c r="K1357" s="7">
        <v>992.8</v>
      </c>
      <c r="L1357" s="8">
        <f ca="1">IFERROR(__xludf.DUMMYFUNCTION("GOOGLEFINANCE(""NSE:""&amp;D1357,""price"")"),1000)</f>
        <v>1000</v>
      </c>
      <c r="M1357" s="9">
        <f t="shared" ca="1" si="27"/>
        <v>7.2000000000000455</v>
      </c>
      <c r="N1357" s="10">
        <f t="shared" ca="1" si="28"/>
        <v>0.72522159548751475</v>
      </c>
      <c r="O1357" s="7">
        <f ca="1">IFERROR(__xludf.DUMMYFUNCTION("GOOGLEFINANCE(""NSE:""&amp;D1357,""pe"")"),327.69)</f>
        <v>327.69</v>
      </c>
      <c r="P1357" s="7">
        <f ca="1">IFERROR(__xludf.DUMMYFUNCTION("GOOGLEFINANCE(""NSE:""&amp;D1357,""EPS"")"),3.05)</f>
        <v>3.05</v>
      </c>
      <c r="Q1357" s="7">
        <v>13.5</v>
      </c>
      <c r="R1357" s="7" t="str">
        <f ca="1">IFERROR(__xludf.DUMMYFUNCTION("IMPORTXML(E1357,""/html/body/main/div[3]/div[3]/div[2]/ul/li[7]/span[2]/span"")"),"Loading...")</f>
        <v>Loading...</v>
      </c>
      <c r="S1357" s="7" t="str">
        <f ca="1">IFERROR(__xludf.DUMMYFUNCTION("IMPORTXML(E1357,""/html/body/main/div[3]/div[3]/div[2]/ul/li[8]/span[2]/span"")"),"Loading...")</f>
        <v>Loading...</v>
      </c>
      <c r="T1357" s="4">
        <v>34.6</v>
      </c>
      <c r="U1357" s="4">
        <v>22.7</v>
      </c>
      <c r="V1357" s="4">
        <v>2.6</v>
      </c>
      <c r="W1357" s="4">
        <v>5.7</v>
      </c>
      <c r="X1357" s="4">
        <v>519.92999999999995</v>
      </c>
      <c r="Y1357" s="7">
        <f t="shared" ca="1" si="29"/>
        <v>480.07000000000005</v>
      </c>
    </row>
    <row r="1358" spans="1:25" ht="15" x14ac:dyDescent="0.25">
      <c r="A1358" s="4">
        <v>1879</v>
      </c>
      <c r="C1358" s="12" t="s">
        <v>3258</v>
      </c>
      <c r="D1358" s="12" t="s">
        <v>3259</v>
      </c>
      <c r="E1358" s="5" t="str">
        <f t="shared" si="25"/>
        <v>https://www.screener.in/company/DELPHIFX/consolidated/</v>
      </c>
      <c r="F1358" s="4">
        <v>443059</v>
      </c>
      <c r="G1358" s="4">
        <v>3832241897</v>
      </c>
      <c r="H1358" s="6">
        <f t="shared" ca="1" si="26"/>
        <v>82584.81288035</v>
      </c>
      <c r="I1358" s="7" t="str">
        <f ca="1">IFERROR(__xludf.DUMMYFUNCTION("IMPORTXML(E1358,""/html/body/main/div[3]/div[3]/div[2]/ul/li[5]/span[2]/span"")"),"Loading...")</f>
        <v>Loading...</v>
      </c>
      <c r="J1358" s="7">
        <f ca="1">IFERROR(__xludf.DUMMYFUNCTION("GOOGLEFINANCE(""NSE:""&amp;D1358,""marketcap"")"),2353402230)</f>
        <v>2353402230</v>
      </c>
      <c r="K1358" s="7">
        <v>992.8</v>
      </c>
      <c r="L1358" s="8">
        <f ca="1">IFERROR(__xludf.DUMMYFUNCTION("GOOGLEFINANCE(""NSE:""&amp;D1358,""price"")"),215.5)</f>
        <v>215.5</v>
      </c>
      <c r="M1358" s="9">
        <f t="shared" ca="1" si="27"/>
        <v>-777.3</v>
      </c>
      <c r="N1358" s="10">
        <f t="shared" ca="1" si="28"/>
        <v>-78.293714746172441</v>
      </c>
      <c r="O1358" s="7">
        <f ca="1">IFERROR(__xludf.DUMMYFUNCTION("GOOGLEFINANCE(""NSE:""&amp;D1358,""pe"")"),142.29)</f>
        <v>142.29</v>
      </c>
      <c r="P1358" s="7">
        <f ca="1">IFERROR(__xludf.DUMMYFUNCTION("GOOGLEFINANCE(""NSE:""&amp;D1358,""EPS"")"),1.51)</f>
        <v>1.51</v>
      </c>
      <c r="Q1358" s="7">
        <v>13.5</v>
      </c>
      <c r="R1358" s="7" t="str">
        <f ca="1">IFERROR(__xludf.DUMMYFUNCTION("IMPORTXML(E1358,""/html/body/main/div[3]/div[3]/div[2]/ul/li[7]/span[2]/span"")"),"Loading...")</f>
        <v>Loading...</v>
      </c>
      <c r="S1358" s="7" t="str">
        <f ca="1">IFERROR(__xludf.DUMMYFUNCTION("IMPORTXML(E1358,""/html/body/main/div[3]/div[3]/div[2]/ul/li[8]/span[2]/span"")"),"Loading...")</f>
        <v>Loading...</v>
      </c>
      <c r="T1358" s="4">
        <v>34.6</v>
      </c>
      <c r="U1358" s="4">
        <v>22.7</v>
      </c>
      <c r="V1358" s="4">
        <v>2.6</v>
      </c>
      <c r="W1358" s="4">
        <v>5.7</v>
      </c>
      <c r="X1358" s="4">
        <v>519.92999999999995</v>
      </c>
      <c r="Y1358" s="7">
        <f t="shared" ca="1" si="29"/>
        <v>-304.42999999999995</v>
      </c>
    </row>
    <row r="1359" spans="1:25" ht="15" x14ac:dyDescent="0.25">
      <c r="A1359" s="4">
        <v>2537</v>
      </c>
      <c r="C1359" s="12" t="s">
        <v>3260</v>
      </c>
      <c r="D1359" s="12" t="s">
        <v>3261</v>
      </c>
      <c r="E1359" s="5" t="str">
        <f t="shared" si="25"/>
        <v>https://www.screener.in/company/GANGAFORGE/consolidated/</v>
      </c>
      <c r="F1359" s="4">
        <v>443059</v>
      </c>
      <c r="G1359" s="4">
        <v>3832241897</v>
      </c>
      <c r="H1359" s="6">
        <f t="shared" ca="1" si="26"/>
        <v>1532.8967588</v>
      </c>
      <c r="I1359" s="7" t="str">
        <f ca="1">IFERROR(__xludf.DUMMYFUNCTION("IMPORTXML(E1359,""/html/body/main/div[3]/div[3]/div[2]/ul/li[5]/span[2]/span"")"),"Loading...")</f>
        <v>Loading...</v>
      </c>
      <c r="J1359" s="7">
        <f ca="1">IFERROR(__xludf.DUMMYFUNCTION("GOOGLEFINANCE(""NSE:""&amp;D1359,""marketcap"")"),539208800)</f>
        <v>539208800</v>
      </c>
      <c r="K1359" s="7">
        <v>992.8</v>
      </c>
      <c r="L1359" s="8">
        <f ca="1">IFERROR(__xludf.DUMMYFUNCTION("GOOGLEFINANCE(""NSE:""&amp;D1359,""price"")"),4)</f>
        <v>4</v>
      </c>
      <c r="M1359" s="9">
        <f t="shared" ca="1" si="27"/>
        <v>-988.8</v>
      </c>
      <c r="N1359" s="10">
        <f t="shared" ca="1" si="28"/>
        <v>-99.597099113618043</v>
      </c>
      <c r="O1359" s="7">
        <f ca="1">IFERROR(__xludf.DUMMYFUNCTION("GOOGLEFINANCE(""NSE:""&amp;D1359,""pe"")"),400)</f>
        <v>400</v>
      </c>
      <c r="P1359" s="7">
        <f ca="1">IFERROR(__xludf.DUMMYFUNCTION("GOOGLEFINANCE(""NSE:""&amp;D1359,""EPS"")"),0.01)</f>
        <v>0.01</v>
      </c>
      <c r="Q1359" s="7">
        <v>13.5</v>
      </c>
      <c r="R1359" s="7" t="str">
        <f ca="1">IFERROR(__xludf.DUMMYFUNCTION("IMPORTXML(E1359,""/html/body/main/div[3]/div[3]/div[2]/ul/li[7]/span[2]/span"")"),"Loading...")</f>
        <v>Loading...</v>
      </c>
      <c r="S1359" s="7" t="str">
        <f ca="1">IFERROR(__xludf.DUMMYFUNCTION("IMPORTXML(E1359,""/html/body/main/div[3]/div[3]/div[2]/ul/li[8]/span[2]/span"")"),"Loading...")</f>
        <v>Loading...</v>
      </c>
      <c r="T1359" s="4">
        <v>34.6</v>
      </c>
      <c r="U1359" s="4">
        <v>22.7</v>
      </c>
      <c r="V1359" s="4">
        <v>2.6</v>
      </c>
      <c r="W1359" s="4">
        <v>5.7</v>
      </c>
      <c r="X1359" s="4">
        <v>519.92999999999995</v>
      </c>
      <c r="Y1359" s="7">
        <f t="shared" ca="1" si="29"/>
        <v>-515.92999999999995</v>
      </c>
    </row>
    <row r="1360" spans="1:25" ht="15" x14ac:dyDescent="0.25">
      <c r="A1360" s="4">
        <v>772</v>
      </c>
      <c r="C1360" s="12" t="s">
        <v>3262</v>
      </c>
      <c r="D1360" s="12" t="s">
        <v>3263</v>
      </c>
      <c r="E1360" s="5" t="str">
        <f t="shared" si="25"/>
        <v>https://www.screener.in/company/STYLEBAAZA/consolidated/</v>
      </c>
      <c r="F1360" s="4">
        <v>443059</v>
      </c>
      <c r="G1360" s="4">
        <v>3832241897</v>
      </c>
      <c r="H1360" s="6">
        <f t="shared" ca="1" si="26"/>
        <v>133093.76108281</v>
      </c>
      <c r="I1360" s="7" t="str">
        <f ca="1">IFERROR(__xludf.DUMMYFUNCTION("IMPORTXML(E1360,""/html/body/main/div[3]/div[3]/div[2]/ul/li[5]/span[2]/span"")"),"Loading...")</f>
        <v>Loading...</v>
      </c>
      <c r="J1360" s="7">
        <f ca="1">IFERROR(__xludf.DUMMYFUNCTION("GOOGLEFINANCE(""NSE:""&amp;D1360,""marketcap"")"),25921819512)</f>
        <v>25921819512</v>
      </c>
      <c r="K1360" s="7">
        <v>992.8</v>
      </c>
      <c r="L1360" s="8">
        <f ca="1">IFERROR(__xludf.DUMMYFUNCTION("GOOGLEFINANCE(""NSE:""&amp;D1360,""price"")"),347.3)</f>
        <v>347.3</v>
      </c>
      <c r="M1360" s="9">
        <f t="shared" ca="1" si="27"/>
        <v>-645.5</v>
      </c>
      <c r="N1360" s="10">
        <f t="shared" ca="1" si="28"/>
        <v>-65.018130539887181</v>
      </c>
      <c r="O1360" s="7">
        <f ca="1">IFERROR(__xludf.DUMMYFUNCTION("GOOGLEFINANCE(""NSE:""&amp;D1360,""pe"")"),155.06)</f>
        <v>155.06</v>
      </c>
      <c r="P1360" s="7">
        <f ca="1">IFERROR(__xludf.DUMMYFUNCTION("GOOGLEFINANCE(""NSE:""&amp;D1360,""EPS"")"),2.24)</f>
        <v>2.2400000000000002</v>
      </c>
      <c r="Q1360" s="7">
        <v>13.5</v>
      </c>
      <c r="R1360" s="7" t="str">
        <f ca="1">IFERROR(__xludf.DUMMYFUNCTION("IMPORTXML(E1360,""/html/body/main/div[3]/div[3]/div[2]/ul/li[7]/span[2]/span"")"),"Loading...")</f>
        <v>Loading...</v>
      </c>
      <c r="S1360" s="7" t="str">
        <f ca="1">IFERROR(__xludf.DUMMYFUNCTION("IMPORTXML(E1360,""/html/body/main/div[3]/div[3]/div[2]/ul/li[8]/span[2]/span"")"),"Loading...")</f>
        <v>Loading...</v>
      </c>
      <c r="T1360" s="4">
        <v>34.6</v>
      </c>
      <c r="U1360" s="4">
        <v>22.7</v>
      </c>
      <c r="V1360" s="4">
        <v>2.6</v>
      </c>
      <c r="W1360" s="4">
        <v>5.7</v>
      </c>
      <c r="X1360" s="4">
        <v>519.92999999999995</v>
      </c>
      <c r="Y1360" s="7">
        <f t="shared" ca="1" si="29"/>
        <v>-172.62999999999994</v>
      </c>
    </row>
    <row r="1361" spans="1:25" ht="15" x14ac:dyDescent="0.25">
      <c r="A1361" s="4">
        <v>382</v>
      </c>
      <c r="C1361" s="12" t="s">
        <v>3264</v>
      </c>
      <c r="D1361" s="12" t="s">
        <v>3265</v>
      </c>
      <c r="E1361" s="5" t="str">
        <f t="shared" si="25"/>
        <v>https://www.screener.in/company/DIACABS/consolidated/</v>
      </c>
      <c r="F1361" s="4">
        <v>443059</v>
      </c>
      <c r="G1361" s="4">
        <v>3832241897</v>
      </c>
      <c r="H1361" s="6">
        <f t="shared" ca="1" si="26"/>
        <v>55011.83243143501</v>
      </c>
      <c r="I1361" s="7" t="str">
        <f ca="1">IFERROR(__xludf.DUMMYFUNCTION("IMPORTXML(E1361,""/html/body/main/div[3]/div[3]/div[2]/ul/li[5]/span[2]/span"")"),"Loading...")</f>
        <v>Loading...</v>
      </c>
      <c r="J1361" s="7">
        <f ca="1">IFERROR(__xludf.DUMMYFUNCTION("GOOGLEFINANCE(""NSE:""&amp;D1361,""marketcap"")"),75807855441)</f>
        <v>75807855441</v>
      </c>
      <c r="K1361" s="7">
        <v>992.8</v>
      </c>
      <c r="L1361" s="8">
        <f ca="1">IFERROR(__xludf.DUMMYFUNCTION("GOOGLEFINANCE(""NSE:""&amp;D1361,""price"")"),143.55)</f>
        <v>143.55000000000001</v>
      </c>
      <c r="M1361" s="9">
        <f t="shared" ca="1" si="27"/>
        <v>-849.25</v>
      </c>
      <c r="N1361" s="10">
        <f t="shared" ca="1" si="28"/>
        <v>-85.540894439967772</v>
      </c>
      <c r="O1361" s="7">
        <f ca="1">IFERROR(__xludf.DUMMYFUNCTION("GOOGLEFINANCE(""NSE:""&amp;D1361,""pe"")"),197.73)</f>
        <v>197.73</v>
      </c>
      <c r="P1361" s="7">
        <f ca="1">IFERROR(__xludf.DUMMYFUNCTION("GOOGLEFINANCE(""NSE:""&amp;D1361,""EPS"")"),0.73)</f>
        <v>0.73</v>
      </c>
      <c r="Q1361" s="7">
        <v>13.5</v>
      </c>
      <c r="R1361" s="7" t="str">
        <f ca="1">IFERROR(__xludf.DUMMYFUNCTION("IMPORTXML(E1361,""/html/body/main/div[3]/div[3]/div[2]/ul/li[7]/span[2]/span"")"),"Loading...")</f>
        <v>Loading...</v>
      </c>
      <c r="S1361" s="7" t="str">
        <f ca="1">IFERROR(__xludf.DUMMYFUNCTION("IMPORTXML(E1361,""/html/body/main/div[3]/div[3]/div[2]/ul/li[8]/span[2]/span"")"),"Loading...")</f>
        <v>Loading...</v>
      </c>
      <c r="T1361" s="4">
        <v>34.6</v>
      </c>
      <c r="U1361" s="4">
        <v>22.7</v>
      </c>
      <c r="V1361" s="4">
        <v>2.6</v>
      </c>
      <c r="W1361" s="4">
        <v>5.7</v>
      </c>
      <c r="X1361" s="4">
        <v>519.92999999999995</v>
      </c>
      <c r="Y1361" s="7">
        <f t="shared" ca="1" si="29"/>
        <v>-376.37999999999994</v>
      </c>
    </row>
    <row r="1362" spans="1:25" ht="15" x14ac:dyDescent="0.25">
      <c r="A1362" s="4">
        <v>476</v>
      </c>
      <c r="C1362" s="12" t="s">
        <v>3266</v>
      </c>
      <c r="D1362" s="12" t="s">
        <v>3267</v>
      </c>
      <c r="E1362" s="5" t="str">
        <f t="shared" si="25"/>
        <v>https://www.screener.in/company/HCG/consolidated/</v>
      </c>
      <c r="F1362" s="4">
        <v>443059</v>
      </c>
      <c r="G1362" s="4">
        <v>3832241897</v>
      </c>
      <c r="H1362" s="6">
        <f t="shared" ca="1" si="26"/>
        <v>266321.65063201502</v>
      </c>
      <c r="I1362" s="7" t="str">
        <f ca="1">IFERROR(__xludf.DUMMYFUNCTION("IMPORTXML(E1362,""/html/body/main/div[3]/div[3]/div[2]/ul/li[5]/span[2]/span"")"),"Loading...")</f>
        <v>Loading...</v>
      </c>
      <c r="J1362" s="7">
        <f ca="1">IFERROR(__xludf.DUMMYFUNCTION("GOOGLEFINANCE(""NSE:""&amp;D1362,""marketcap"")"),96363428111)</f>
        <v>96363428111</v>
      </c>
      <c r="K1362" s="7">
        <v>992.8</v>
      </c>
      <c r="L1362" s="8">
        <f ca="1">IFERROR(__xludf.DUMMYFUNCTION("GOOGLEFINANCE(""NSE:""&amp;D1362,""price"")"),694.95)</f>
        <v>694.95</v>
      </c>
      <c r="M1362" s="9">
        <f t="shared" ca="1" si="27"/>
        <v>-297.84999999999991</v>
      </c>
      <c r="N1362" s="10">
        <f t="shared" ca="1" si="28"/>
        <v>-30.001007252215945</v>
      </c>
      <c r="O1362" s="7">
        <f ca="1">IFERROR(__xludf.DUMMYFUNCTION("GOOGLEFINANCE(""NSE:""&amp;D1362,""pe"")"),264.24)</f>
        <v>264.24</v>
      </c>
      <c r="P1362" s="7">
        <f ca="1">IFERROR(__xludf.DUMMYFUNCTION("GOOGLEFINANCE(""NSE:""&amp;D1362,""EPS"")"),2.63)</f>
        <v>2.63</v>
      </c>
      <c r="Q1362" s="7">
        <v>13.5</v>
      </c>
      <c r="R1362" s="7" t="str">
        <f ca="1">IFERROR(__xludf.DUMMYFUNCTION("IMPORTXML(E1362,""/html/body/main/div[3]/div[3]/div[2]/ul/li[7]/span[2]/span"")"),"Loading...")</f>
        <v>Loading...</v>
      </c>
      <c r="S1362" s="7" t="str">
        <f ca="1">IFERROR(__xludf.DUMMYFUNCTION("IMPORTXML(E1362,""/html/body/main/div[3]/div[3]/div[2]/ul/li[8]/span[2]/span"")"),"Loading...")</f>
        <v>Loading...</v>
      </c>
      <c r="T1362" s="4">
        <v>34.6</v>
      </c>
      <c r="U1362" s="4">
        <v>22.7</v>
      </c>
      <c r="V1362" s="4">
        <v>2.6</v>
      </c>
      <c r="W1362" s="4">
        <v>5.7</v>
      </c>
      <c r="X1362" s="4">
        <v>519.92999999999995</v>
      </c>
      <c r="Y1362" s="7">
        <f t="shared" ca="1" si="29"/>
        <v>175.0200000000001</v>
      </c>
    </row>
    <row r="1363" spans="1:25" ht="15" x14ac:dyDescent="0.25">
      <c r="A1363" s="4">
        <v>370</v>
      </c>
      <c r="C1363" s="12" t="s">
        <v>3268</v>
      </c>
      <c r="D1363" s="12" t="s">
        <v>3269</v>
      </c>
      <c r="E1363" s="5" t="str">
        <f t="shared" si="25"/>
        <v>https://www.screener.in/company/RAJESHEXPO/consolidated/</v>
      </c>
      <c r="F1363" s="4">
        <v>443059</v>
      </c>
      <c r="G1363" s="4">
        <v>3832241897</v>
      </c>
      <c r="H1363" s="6">
        <f t="shared" ca="1" si="26"/>
        <v>69363.578335700004</v>
      </c>
      <c r="I1363" s="7" t="str">
        <f ca="1">IFERROR(__xludf.DUMMYFUNCTION("IMPORTXML(E1363,""/html/body/main/div[3]/div[3]/div[2]/ul/li[5]/span[2]/span"")"),"Loading...")</f>
        <v>Loading...</v>
      </c>
      <c r="J1363" s="7">
        <f ca="1">IFERROR(__xludf.DUMMYFUNCTION("GOOGLEFINANCE(""NSE:""&amp;D1363,""marketcap"")"),53383000000)</f>
        <v>53383000000</v>
      </c>
      <c r="K1363" s="7">
        <v>992.8</v>
      </c>
      <c r="L1363" s="8">
        <f ca="1">IFERROR(__xludf.DUMMYFUNCTION("GOOGLEFINANCE(""NSE:""&amp;D1363,""price"")"),181)</f>
        <v>181</v>
      </c>
      <c r="M1363" s="9">
        <f t="shared" ca="1" si="27"/>
        <v>-811.8</v>
      </c>
      <c r="N1363" s="10">
        <f t="shared" ca="1" si="28"/>
        <v>-81.768734891216752</v>
      </c>
      <c r="O1363" s="7">
        <f ca="1">IFERROR(__xludf.DUMMYFUNCTION("GOOGLEFINANCE(""NSE:""&amp;D1363,""pe"")"),56.39)</f>
        <v>56.39</v>
      </c>
      <c r="P1363" s="7">
        <f ca="1">IFERROR(__xludf.DUMMYFUNCTION("GOOGLEFINANCE(""NSE:""&amp;D1363,""EPS"")"),3.21)</f>
        <v>3.21</v>
      </c>
      <c r="Q1363" s="7">
        <v>13.5</v>
      </c>
      <c r="R1363" s="7" t="str">
        <f ca="1">IFERROR(__xludf.DUMMYFUNCTION("IMPORTXML(E1363,""/html/body/main/div[3]/div[3]/div[2]/ul/li[7]/span[2]/span"")"),"Loading...")</f>
        <v>Loading...</v>
      </c>
      <c r="S1363" s="7" t="str">
        <f ca="1">IFERROR(__xludf.DUMMYFUNCTION("IMPORTXML(E1363,""/html/body/main/div[3]/div[3]/div[2]/ul/li[8]/span[2]/span"")"),"Loading...")</f>
        <v>Loading...</v>
      </c>
      <c r="T1363" s="4">
        <v>34.6</v>
      </c>
      <c r="U1363" s="4">
        <v>22.7</v>
      </c>
      <c r="V1363" s="4">
        <v>2.6</v>
      </c>
      <c r="W1363" s="4">
        <v>5.7</v>
      </c>
      <c r="X1363" s="4">
        <v>519.92999999999995</v>
      </c>
      <c r="Y1363" s="7">
        <f t="shared" ca="1" si="29"/>
        <v>-338.92999999999995</v>
      </c>
    </row>
    <row r="1364" spans="1:25" ht="15" x14ac:dyDescent="0.25">
      <c r="A1364" s="4">
        <v>2495</v>
      </c>
      <c r="C1364" s="12" t="s">
        <v>3270</v>
      </c>
      <c r="D1364" s="12" t="s">
        <v>3271</v>
      </c>
      <c r="E1364" s="5" t="str">
        <f t="shared" si="25"/>
        <v>https://www.screener.in/company/BIOFILCHEM/consolidated/</v>
      </c>
      <c r="F1364" s="4">
        <v>443059</v>
      </c>
      <c r="G1364" s="4">
        <v>3832241897</v>
      </c>
      <c r="H1364" s="6">
        <f t="shared" ca="1" si="26"/>
        <v>16401.995319159996</v>
      </c>
      <c r="I1364" s="7" t="str">
        <f ca="1">IFERROR(__xludf.DUMMYFUNCTION("IMPORTXML(E1364,""/html/body/main/div[3]/div[3]/div[2]/ul/li[5]/span[2]/span"")"),"Loading...")</f>
        <v>Loading...</v>
      </c>
      <c r="J1364" s="7">
        <f ca="1">IFERROR(__xludf.DUMMYFUNCTION("GOOGLEFINANCE(""NSE:""&amp;D1364,""marketcap"")"),698959700)</f>
        <v>698959700</v>
      </c>
      <c r="K1364" s="7">
        <v>992.8</v>
      </c>
      <c r="L1364" s="8">
        <f ca="1">IFERROR(__xludf.DUMMYFUNCTION("GOOGLEFINANCE(""NSE:""&amp;D1364,""price"")"),42.8)</f>
        <v>42.8</v>
      </c>
      <c r="M1364" s="9">
        <f t="shared" ca="1" si="27"/>
        <v>-950</v>
      </c>
      <c r="N1364" s="10">
        <f t="shared" ca="1" si="28"/>
        <v>-95.688960515713134</v>
      </c>
      <c r="O1364" s="7">
        <f ca="1">IFERROR(__xludf.DUMMYFUNCTION("GOOGLEFINANCE(""NSE:""&amp;D1364,""pe"")"),24.96)</f>
        <v>24.96</v>
      </c>
      <c r="P1364" s="7">
        <f ca="1">IFERROR(__xludf.DUMMYFUNCTION("GOOGLEFINANCE(""NSE:""&amp;D1364,""EPS"")"),1.71)</f>
        <v>1.71</v>
      </c>
      <c r="Q1364" s="7">
        <v>13.5</v>
      </c>
      <c r="R1364" s="7" t="str">
        <f ca="1">IFERROR(__xludf.DUMMYFUNCTION("IMPORTXML(E1364,""/html/body/main/div[3]/div[3]/div[2]/ul/li[7]/span[2]/span"")"),"Loading...")</f>
        <v>Loading...</v>
      </c>
      <c r="S1364" s="7" t="str">
        <f ca="1">IFERROR(__xludf.DUMMYFUNCTION("IMPORTXML(E1364,""/html/body/main/div[3]/div[3]/div[2]/ul/li[8]/span[2]/span"")"),"Loading...")</f>
        <v>Loading...</v>
      </c>
      <c r="T1364" s="4">
        <v>34.6</v>
      </c>
      <c r="U1364" s="4">
        <v>22.7</v>
      </c>
      <c r="V1364" s="4">
        <v>2.6</v>
      </c>
      <c r="W1364" s="4">
        <v>5.7</v>
      </c>
      <c r="X1364" s="4">
        <v>519.92999999999995</v>
      </c>
      <c r="Y1364" s="7">
        <f t="shared" ca="1" si="29"/>
        <v>-477.12999999999994</v>
      </c>
    </row>
    <row r="1365" spans="1:25" ht="15" x14ac:dyDescent="0.25">
      <c r="A1365" s="4">
        <v>2133</v>
      </c>
      <c r="C1365" s="12" t="s">
        <v>3272</v>
      </c>
      <c r="D1365" s="12" t="s">
        <v>3273</v>
      </c>
      <c r="E1365" s="5" t="str">
        <f t="shared" si="25"/>
        <v>https://www.screener.in/company/SIL/consolidated/</v>
      </c>
      <c r="F1365" s="4">
        <v>443059</v>
      </c>
      <c r="G1365" s="4">
        <v>3832241897</v>
      </c>
      <c r="H1365" s="6">
        <f t="shared" ca="1" si="26"/>
        <v>7043.6606066860004</v>
      </c>
      <c r="I1365" s="7" t="str">
        <f ca="1">IFERROR(__xludf.DUMMYFUNCTION("IMPORTXML(E1365,""/html/body/main/div[3]/div[3]/div[2]/ul/li[5]/span[2]/span"")"),"Loading...")</f>
        <v>Loading...</v>
      </c>
      <c r="J1365" s="7">
        <f ca="1">IFERROR(__xludf.DUMMYFUNCTION("GOOGLEFINANCE(""NSE:""&amp;D1365,""marketcap"")"),1186842895)</f>
        <v>1186842895</v>
      </c>
      <c r="K1365" s="7">
        <v>992.8</v>
      </c>
      <c r="L1365" s="8">
        <f ca="1">IFERROR(__xludf.DUMMYFUNCTION("GOOGLEFINANCE(""NSE:""&amp;D1365,""price"")"),18.38)</f>
        <v>18.38</v>
      </c>
      <c r="M1365" s="9">
        <f t="shared" ca="1" si="27"/>
        <v>-974.42</v>
      </c>
      <c r="N1365" s="10">
        <f t="shared" ca="1" si="28"/>
        <v>-98.148670427074933</v>
      </c>
      <c r="O1365" s="7" t="str">
        <f ca="1">IFERROR(__xludf.DUMMYFUNCTION("GOOGLEFINANCE(""NSE:""&amp;D1365,""pe"")"),"#N/A")</f>
        <v>#N/A</v>
      </c>
      <c r="P1365" s="7">
        <f ca="1">IFERROR(__xludf.DUMMYFUNCTION("GOOGLEFINANCE(""NSE:""&amp;D1365,""EPS"")"),-2.04)</f>
        <v>-2.04</v>
      </c>
      <c r="Q1365" s="7">
        <v>13.5</v>
      </c>
      <c r="R1365" s="7" t="str">
        <f ca="1">IFERROR(__xludf.DUMMYFUNCTION("IMPORTXML(E1365,""/html/body/main/div[3]/div[3]/div[2]/ul/li[7]/span[2]/span"")"),"Loading...")</f>
        <v>Loading...</v>
      </c>
      <c r="S1365" s="7" t="str">
        <f ca="1">IFERROR(__xludf.DUMMYFUNCTION("IMPORTXML(E1365,""/html/body/main/div[3]/div[3]/div[2]/ul/li[8]/span[2]/span"")"),"Loading...")</f>
        <v>Loading...</v>
      </c>
      <c r="T1365" s="4">
        <v>34.6</v>
      </c>
      <c r="U1365" s="4">
        <v>22.7</v>
      </c>
      <c r="V1365" s="4">
        <v>2.6</v>
      </c>
      <c r="W1365" s="4">
        <v>5.7</v>
      </c>
      <c r="X1365" s="4">
        <v>519.92999999999995</v>
      </c>
      <c r="Y1365" s="7">
        <f t="shared" ca="1" si="29"/>
        <v>-501.54999999999995</v>
      </c>
    </row>
    <row r="1366" spans="1:25" ht="15" x14ac:dyDescent="0.25">
      <c r="A1366" s="4">
        <v>20</v>
      </c>
      <c r="C1366" s="12" t="s">
        <v>3274</v>
      </c>
      <c r="D1366" s="12" t="s">
        <v>3275</v>
      </c>
      <c r="E1366" s="5" t="str">
        <f t="shared" si="25"/>
        <v>https://www.screener.in/company/POONAWALLA/consolidated/</v>
      </c>
      <c r="F1366" s="4">
        <v>443059</v>
      </c>
      <c r="G1366" s="4">
        <v>3832241897</v>
      </c>
      <c r="H1366" s="6">
        <f t="shared" ca="1" si="26"/>
        <v>165840.26809267499</v>
      </c>
      <c r="I1366" s="7" t="str">
        <f ca="1">IFERROR(__xludf.DUMMYFUNCTION("IMPORTXML(E1366,""/html/body/main/div[3]/div[3]/div[2]/ul/li[5]/span[2]/span"")"),"Loading...")</f>
        <v>Loading...</v>
      </c>
      <c r="J1366" s="7">
        <f ca="1">IFERROR(__xludf.DUMMYFUNCTION("GOOGLEFINANCE(""NSE:""&amp;D1366,""marketcap"")"),334626746325)</f>
        <v>334626746325</v>
      </c>
      <c r="K1366" s="7">
        <v>992.8</v>
      </c>
      <c r="L1366" s="8">
        <f ca="1">IFERROR(__xludf.DUMMYFUNCTION("GOOGLEFINANCE(""NSE:""&amp;D1366,""price"")"),432.75)</f>
        <v>432.75</v>
      </c>
      <c r="M1366" s="9">
        <f t="shared" ca="1" si="27"/>
        <v>-560.04999999999995</v>
      </c>
      <c r="N1366" s="10">
        <f t="shared" ca="1" si="28"/>
        <v>-56.411160354552777</v>
      </c>
      <c r="O1366" s="7" t="str">
        <f ca="1">IFERROR(__xludf.DUMMYFUNCTION("GOOGLEFINANCE(""NSE:""&amp;D1366,""pe"")"),"#N/A")</f>
        <v>#N/A</v>
      </c>
      <c r="P1366" s="7">
        <f ca="1">IFERROR(__xludf.DUMMYFUNCTION("GOOGLEFINANCE(""NSE:""&amp;D1366,""EPS"")"),-4.24)</f>
        <v>-4.24</v>
      </c>
      <c r="Q1366" s="7">
        <v>13.5</v>
      </c>
      <c r="R1366" s="7" t="str">
        <f ca="1">IFERROR(__xludf.DUMMYFUNCTION("IMPORTXML(E1366,""/html/body/main/div[3]/div[3]/div[2]/ul/li[7]/span[2]/span"")"),"Loading...")</f>
        <v>Loading...</v>
      </c>
      <c r="S1366" s="7">
        <f ca="1">IFERROR(__xludf.DUMMYFUNCTION("IMPORTXML(E1366,""/html/body/main/div[3]/div[3]/div[2]/ul/li[8]/span[2]/span"")"),-1.28)</f>
        <v>-1.28</v>
      </c>
      <c r="T1366" s="4">
        <v>34.6</v>
      </c>
      <c r="U1366" s="4">
        <v>22.7</v>
      </c>
      <c r="V1366" s="4">
        <v>2.6</v>
      </c>
      <c r="W1366" s="4">
        <v>5.7</v>
      </c>
      <c r="X1366" s="4">
        <v>519.92999999999995</v>
      </c>
      <c r="Y1366" s="7">
        <f t="shared" ca="1" si="29"/>
        <v>-87.17999999999995</v>
      </c>
    </row>
    <row r="1367" spans="1:25" ht="15" x14ac:dyDescent="0.25">
      <c r="A1367" s="4">
        <v>228</v>
      </c>
      <c r="C1367" s="12" t="s">
        <v>3276</v>
      </c>
      <c r="D1367" s="12" t="s">
        <v>3277</v>
      </c>
      <c r="E1367" s="5" t="str">
        <f t="shared" si="25"/>
        <v>https://www.screener.in/company/TARIL/consolidated/</v>
      </c>
      <c r="F1367" s="4">
        <v>443059</v>
      </c>
      <c r="G1367" s="4">
        <v>3832241897</v>
      </c>
      <c r="H1367" s="6">
        <f t="shared" ca="1" si="26"/>
        <v>192608.47774322002</v>
      </c>
      <c r="I1367" s="7" t="str">
        <f ca="1">IFERROR(__xludf.DUMMYFUNCTION("IMPORTXML(E1367,""/html/body/main/div[3]/div[3]/div[2]/ul/li[5]/span[2]/span"")"),"Loading...")</f>
        <v>Loading...</v>
      </c>
      <c r="J1367" s="7">
        <f ca="1">IFERROR(__xludf.DUMMYFUNCTION("GOOGLEFINANCE(""NSE:""&amp;D1367,""marketcap"")"),76393577700)</f>
        <v>76393577700</v>
      </c>
      <c r="K1367" s="7">
        <v>992.8</v>
      </c>
      <c r="L1367" s="8">
        <f ca="1">IFERROR(__xludf.DUMMYFUNCTION("GOOGLEFINANCE(""NSE:""&amp;D1367,""price"")"),502.6)</f>
        <v>502.6</v>
      </c>
      <c r="M1367" s="9">
        <f t="shared" ca="1" si="27"/>
        <v>-490.19999999999993</v>
      </c>
      <c r="N1367" s="10">
        <f t="shared" ca="1" si="28"/>
        <v>-49.375503626107978</v>
      </c>
      <c r="O1367" s="7">
        <f ca="1">IFERROR(__xludf.DUMMYFUNCTION("GOOGLEFINANCE(""NSE:""&amp;D1367,""pe"")"),138.99)</f>
        <v>138.99</v>
      </c>
      <c r="P1367" s="7">
        <f ca="1">IFERROR(__xludf.DUMMYFUNCTION("GOOGLEFINANCE(""NSE:""&amp;D1367,""EPS"")"),5.36)</f>
        <v>5.36</v>
      </c>
      <c r="Q1367" s="7">
        <v>13.5</v>
      </c>
      <c r="R1367" s="7" t="str">
        <f ca="1">IFERROR(__xludf.DUMMYFUNCTION("IMPORTXML(E1367,""/html/body/main/div[3]/div[3]/div[2]/ul/li[7]/span[2]/span"")"),"Loading...")</f>
        <v>Loading...</v>
      </c>
      <c r="S1367" s="7" t="str">
        <f ca="1">IFERROR(__xludf.DUMMYFUNCTION("IMPORTXML(E1367,""/html/body/main/div[3]/div[3]/div[2]/ul/li[8]/span[2]/span"")"),"Loading...")</f>
        <v>Loading...</v>
      </c>
      <c r="T1367" s="4">
        <v>34.6</v>
      </c>
      <c r="U1367" s="4">
        <v>22.7</v>
      </c>
      <c r="V1367" s="4">
        <v>2.6</v>
      </c>
      <c r="W1367" s="4">
        <v>5.7</v>
      </c>
      <c r="X1367" s="4">
        <v>519.92999999999995</v>
      </c>
      <c r="Y1367" s="7">
        <f t="shared" ca="1" si="29"/>
        <v>-17.329999999999927</v>
      </c>
    </row>
    <row r="1368" spans="1:25" ht="15" x14ac:dyDescent="0.25">
      <c r="A1368" s="4">
        <v>2451</v>
      </c>
      <c r="C1368" s="12" t="s">
        <v>3278</v>
      </c>
      <c r="D1368" s="12" t="s">
        <v>3279</v>
      </c>
      <c r="E1368" s="5" t="str">
        <f t="shared" si="25"/>
        <v>https://www.screener.in/company/TOKYOPLAST/consolidated/</v>
      </c>
      <c r="F1368" s="4">
        <v>443059</v>
      </c>
      <c r="G1368" s="4">
        <v>3832241897</v>
      </c>
      <c r="H1368" s="6">
        <f t="shared" ca="1" si="26"/>
        <v>49129.341119539997</v>
      </c>
      <c r="I1368" s="7" t="str">
        <f ca="1">IFERROR(__xludf.DUMMYFUNCTION("IMPORTXML(E1368,""/html/body/main/div[3]/div[3]/div[2]/ul/li[5]/span[2]/span"")"),"Loading...")</f>
        <v>Loading...</v>
      </c>
      <c r="J1368" s="7">
        <f ca="1">IFERROR(__xludf.DUMMYFUNCTION("GOOGLEFINANCE(""NSE:""&amp;D1368,""marketcap"")"),1208958000)</f>
        <v>1208958000</v>
      </c>
      <c r="K1368" s="7">
        <v>992.8</v>
      </c>
      <c r="L1368" s="8">
        <f ca="1">IFERROR(__xludf.DUMMYFUNCTION("GOOGLEFINANCE(""NSE:""&amp;D1368,""price"")"),128.2)</f>
        <v>128.19999999999999</v>
      </c>
      <c r="M1368" s="9">
        <f t="shared" ca="1" si="27"/>
        <v>-864.59999999999991</v>
      </c>
      <c r="N1368" s="10">
        <f t="shared" ca="1" si="28"/>
        <v>-87.087026591458496</v>
      </c>
      <c r="O1368" s="7">
        <f ca="1">IFERROR(__xludf.DUMMYFUNCTION("GOOGLEFINANCE(""NSE:""&amp;D1368,""pe"")"),118.7)</f>
        <v>118.7</v>
      </c>
      <c r="P1368" s="7">
        <f ca="1">IFERROR(__xludf.DUMMYFUNCTION("GOOGLEFINANCE(""NSE:""&amp;D1368,""EPS"")"),1.08)</f>
        <v>1.08</v>
      </c>
      <c r="Q1368" s="7">
        <v>13.5</v>
      </c>
      <c r="R1368" s="7" t="str">
        <f ca="1">IFERROR(__xludf.DUMMYFUNCTION("IMPORTXML(E1368,""/html/body/main/div[3]/div[3]/div[2]/ul/li[7]/span[2]/span"")"),"Loading...")</f>
        <v>Loading...</v>
      </c>
      <c r="S1368" s="7" t="str">
        <f ca="1">IFERROR(__xludf.DUMMYFUNCTION("IMPORTXML(E1368,""/html/body/main/div[3]/div[3]/div[2]/ul/li[8]/span[2]/span"")"),"Loading...")</f>
        <v>Loading...</v>
      </c>
      <c r="T1368" s="4">
        <v>34.6</v>
      </c>
      <c r="U1368" s="4">
        <v>22.7</v>
      </c>
      <c r="V1368" s="4">
        <v>2.6</v>
      </c>
      <c r="W1368" s="4">
        <v>5.7</v>
      </c>
      <c r="X1368" s="4">
        <v>519.92999999999995</v>
      </c>
      <c r="Y1368" s="7">
        <f t="shared" ca="1" si="29"/>
        <v>-391.72999999999996</v>
      </c>
    </row>
    <row r="1369" spans="1:25" ht="15" x14ac:dyDescent="0.25">
      <c r="A1369" s="4">
        <v>1581</v>
      </c>
      <c r="C1369" s="12" t="s">
        <v>3280</v>
      </c>
      <c r="D1369" s="12" t="s">
        <v>3281</v>
      </c>
      <c r="E1369" s="5" t="str">
        <f t="shared" si="25"/>
        <v>https://www.screener.in/company/EIFFL/consolidated/</v>
      </c>
      <c r="F1369" s="4">
        <v>443059</v>
      </c>
      <c r="G1369" s="4">
        <v>3832241897</v>
      </c>
      <c r="H1369" s="6">
        <f t="shared" ca="1" si="26"/>
        <v>91552.258919330008</v>
      </c>
      <c r="I1369" s="7" t="str">
        <f ca="1">IFERROR(__xludf.DUMMYFUNCTION("IMPORTXML(E1369,""/html/body/main/div[3]/div[3]/div[2]/ul/li[5]/span[2]/span"")"),"Loading...")</f>
        <v>Loading...</v>
      </c>
      <c r="J1369" s="7">
        <f ca="1">IFERROR(__xludf.DUMMYFUNCTION("GOOGLEFINANCE(""NSE:""&amp;D1369,""marketcap"")"),5924719848)</f>
        <v>5924719848</v>
      </c>
      <c r="K1369" s="7">
        <v>992.8</v>
      </c>
      <c r="L1369" s="8">
        <f ca="1">IFERROR(__xludf.DUMMYFUNCTION("GOOGLEFINANCE(""NSE:""&amp;D1369,""price"")"),238.9)</f>
        <v>238.9</v>
      </c>
      <c r="M1369" s="9">
        <f t="shared" ca="1" si="27"/>
        <v>-753.9</v>
      </c>
      <c r="N1369" s="10">
        <f t="shared" ca="1" si="28"/>
        <v>-75.936744560838036</v>
      </c>
      <c r="O1369" s="7">
        <f ca="1">IFERROR(__xludf.DUMMYFUNCTION("GOOGLEFINANCE(""NSE:""&amp;D1369,""pe"")"),108.59)</f>
        <v>108.59</v>
      </c>
      <c r="P1369" s="7">
        <f ca="1">IFERROR(__xludf.DUMMYFUNCTION("GOOGLEFINANCE(""NSE:""&amp;D1369,""EPS"")"),2.2)</f>
        <v>2.2000000000000002</v>
      </c>
      <c r="Q1369" s="7">
        <v>13.5</v>
      </c>
      <c r="R1369" s="7" t="str">
        <f ca="1">IFERROR(__xludf.DUMMYFUNCTION("IMPORTXML(E1369,""/html/body/main/div[3]/div[3]/div[2]/ul/li[7]/span[2]/span"")"),"Loading...")</f>
        <v>Loading...</v>
      </c>
      <c r="S1369" s="7" t="str">
        <f ca="1">IFERROR(__xludf.DUMMYFUNCTION("IMPORTXML(E1369,""/html/body/main/div[3]/div[3]/div[2]/ul/li[8]/span[2]/span"")"),"Loading...")</f>
        <v>Loading...</v>
      </c>
      <c r="T1369" s="4">
        <v>34.6</v>
      </c>
      <c r="U1369" s="4">
        <v>22.7</v>
      </c>
      <c r="V1369" s="4">
        <v>2.6</v>
      </c>
      <c r="W1369" s="4">
        <v>5.7</v>
      </c>
      <c r="X1369" s="4">
        <v>519.92999999999995</v>
      </c>
      <c r="Y1369" s="7">
        <f t="shared" ca="1" si="29"/>
        <v>-281.02999999999997</v>
      </c>
    </row>
    <row r="1370" spans="1:25" ht="15" x14ac:dyDescent="0.25">
      <c r="A1370" s="4">
        <v>3559</v>
      </c>
      <c r="C1370" s="12" t="s">
        <v>3282</v>
      </c>
      <c r="D1370" s="12" t="s">
        <v>3283</v>
      </c>
      <c r="E1370" s="5" t="str">
        <f t="shared" si="25"/>
        <v>https://www.screener.in/company/GLFL/consolidated/</v>
      </c>
      <c r="F1370" s="4">
        <v>443059</v>
      </c>
      <c r="G1370" s="4">
        <v>3832241897</v>
      </c>
      <c r="H1370" s="6">
        <f t="shared" ca="1" si="26"/>
        <v>2261.0227192300003</v>
      </c>
      <c r="I1370" s="7" t="str">
        <f ca="1">IFERROR(__xludf.DUMMYFUNCTION("IMPORTXML(E1370,""/html/body/main/div[3]/div[3]/div[2]/ul/li[5]/span[2]/span"")"),"Loading...")</f>
        <v>Loading...</v>
      </c>
      <c r="J1370" s="7">
        <f ca="1">IFERROR(__xludf.DUMMYFUNCTION("GOOGLEFINANCE(""NSE:""&amp;D1370,""marketcap"")"),161669600)</f>
        <v>161669600</v>
      </c>
      <c r="K1370" s="7">
        <v>992.8</v>
      </c>
      <c r="L1370" s="8">
        <f ca="1">IFERROR(__xludf.DUMMYFUNCTION("GOOGLEFINANCE(""NSE:""&amp;D1370,""price"")"),5.9)</f>
        <v>5.9</v>
      </c>
      <c r="M1370" s="9">
        <f t="shared" ca="1" si="27"/>
        <v>-986.9</v>
      </c>
      <c r="N1370" s="10">
        <f t="shared" ca="1" si="28"/>
        <v>-99.405721192586626</v>
      </c>
      <c r="O1370" s="7">
        <f ca="1">IFERROR(__xludf.DUMMYFUNCTION("GOOGLEFINANCE(""NSE:""&amp;D1370,""pe"")"),242.7)</f>
        <v>242.7</v>
      </c>
      <c r="P1370" s="7">
        <f ca="1">IFERROR(__xludf.DUMMYFUNCTION("GOOGLEFINANCE(""NSE:""&amp;D1370,""EPS"")"),0.02)</f>
        <v>0.02</v>
      </c>
      <c r="Q1370" s="7">
        <v>13.5</v>
      </c>
      <c r="R1370" s="7" t="str">
        <f ca="1">IFERROR(__xludf.DUMMYFUNCTION("IMPORTXML(E1370,""/html/body/main/div[3]/div[3]/div[2]/ul/li[7]/span[2]/span"")"),"Loading...")</f>
        <v>Loading...</v>
      </c>
      <c r="S1370" s="7" t="str">
        <f ca="1">IFERROR(__xludf.DUMMYFUNCTION("IMPORTXML(E1370,""/html/body/main/div[3]/div[3]/div[2]/ul/li[8]/span[2]/span"")"),"Loading...")</f>
        <v>Loading...</v>
      </c>
      <c r="T1370" s="4">
        <v>34.6</v>
      </c>
      <c r="U1370" s="4">
        <v>22.7</v>
      </c>
      <c r="V1370" s="4">
        <v>2.6</v>
      </c>
      <c r="W1370" s="4">
        <v>5.7</v>
      </c>
      <c r="X1370" s="4">
        <v>519.92999999999995</v>
      </c>
      <c r="Y1370" s="7">
        <f t="shared" ca="1" si="29"/>
        <v>-514.03</v>
      </c>
    </row>
    <row r="1371" spans="1:25" ht="15" x14ac:dyDescent="0.25">
      <c r="A1371" s="4">
        <v>138</v>
      </c>
      <c r="C1371" s="12" t="s">
        <v>3284</v>
      </c>
      <c r="D1371" s="12" t="s">
        <v>3285</v>
      </c>
      <c r="E1371" s="5" t="str">
        <f t="shared" si="25"/>
        <v>https://www.screener.in/company/IFCI/consolidated/</v>
      </c>
      <c r="F1371" s="4">
        <v>443059</v>
      </c>
      <c r="G1371" s="4">
        <v>3832241897</v>
      </c>
      <c r="H1371" s="6">
        <f t="shared" ca="1" si="26"/>
        <v>20138.431168734998</v>
      </c>
      <c r="I1371" s="7" t="str">
        <f ca="1">IFERROR(__xludf.DUMMYFUNCTION("IMPORTXML(E1371,""/html/body/main/div[3]/div[3]/div[2]/ul/li[5]/span[2]/span"")"),"Loading...")</f>
        <v>Loading...</v>
      </c>
      <c r="J1371" s="7">
        <f ca="1">IFERROR(__xludf.DUMMYFUNCTION("GOOGLEFINANCE(""NSE:""&amp;D1371,""marketcap"")"),137079402800)</f>
        <v>137079402800</v>
      </c>
      <c r="K1371" s="7">
        <v>992.8</v>
      </c>
      <c r="L1371" s="8">
        <f ca="1">IFERROR(__xludf.DUMMYFUNCTION("GOOGLEFINANCE(""NSE:""&amp;D1371,""price"")"),52.55)</f>
        <v>52.55</v>
      </c>
      <c r="M1371" s="9">
        <f t="shared" ca="1" si="27"/>
        <v>-940.25</v>
      </c>
      <c r="N1371" s="10">
        <f t="shared" ca="1" si="28"/>
        <v>-94.706889605157144</v>
      </c>
      <c r="O1371" s="7">
        <f ca="1">IFERROR(__xludf.DUMMYFUNCTION("GOOGLEFINANCE(""NSE:""&amp;D1371,""pe"")"),43.07)</f>
        <v>43.07</v>
      </c>
      <c r="P1371" s="7">
        <f ca="1">IFERROR(__xludf.DUMMYFUNCTION("GOOGLEFINANCE(""NSE:""&amp;D1371,""EPS"")"),1.22)</f>
        <v>1.22</v>
      </c>
      <c r="Q1371" s="7">
        <v>13.5</v>
      </c>
      <c r="R1371" s="7" t="str">
        <f ca="1">IFERROR(__xludf.DUMMYFUNCTION("IMPORTXML(E1371,""/html/body/main/div[3]/div[3]/div[2]/ul/li[7]/span[2]/span"")"),"Loading...")</f>
        <v>Loading...</v>
      </c>
      <c r="S1371" s="7" t="str">
        <f ca="1">IFERROR(__xludf.DUMMYFUNCTION("IMPORTXML(E1371,""/html/body/main/div[3]/div[3]/div[2]/ul/li[8]/span[2]/span"")"),"Loading...")</f>
        <v>Loading...</v>
      </c>
      <c r="T1371" s="4">
        <v>34.6</v>
      </c>
      <c r="U1371" s="4">
        <v>22.7</v>
      </c>
      <c r="V1371" s="4">
        <v>2.6</v>
      </c>
      <c r="W1371" s="4">
        <v>5.7</v>
      </c>
      <c r="X1371" s="4">
        <v>519.92999999999995</v>
      </c>
      <c r="Y1371" s="7">
        <f t="shared" ca="1" si="29"/>
        <v>-467.37999999999994</v>
      </c>
    </row>
    <row r="1372" spans="1:25" ht="15" x14ac:dyDescent="0.25">
      <c r="A1372" s="4">
        <v>1362</v>
      </c>
      <c r="C1372" s="12" t="s">
        <v>3286</v>
      </c>
      <c r="D1372" s="12" t="s">
        <v>3287</v>
      </c>
      <c r="E1372" s="5" t="str">
        <f t="shared" si="25"/>
        <v>https://www.screener.in/company/INDOTHAI/consolidated/</v>
      </c>
      <c r="F1372" s="4">
        <v>443059</v>
      </c>
      <c r="G1372" s="4">
        <v>3832241897</v>
      </c>
      <c r="H1372" s="6">
        <f t="shared" ca="1" si="26"/>
        <v>61315.870351999998</v>
      </c>
      <c r="I1372" s="7" t="str">
        <f ca="1">IFERROR(__xludf.DUMMYFUNCTION("IMPORTXML(E1372,""/html/body/main/div[3]/div[3]/div[2]/ul/li[5]/span[2]/span"")"),"Loading...")</f>
        <v>Loading...</v>
      </c>
      <c r="J1372" s="7">
        <f ca="1">IFERROR(__xludf.DUMMYFUNCTION("GOOGLEFINANCE(""NSE:""&amp;D1372,""marketcap"")"),19070256000)</f>
        <v>19070256000</v>
      </c>
      <c r="K1372" s="7">
        <v>992.8</v>
      </c>
      <c r="L1372" s="8">
        <f ca="1">IFERROR(__xludf.DUMMYFUNCTION("GOOGLEFINANCE(""NSE:""&amp;D1372,""price"")"),160)</f>
        <v>160</v>
      </c>
      <c r="M1372" s="9">
        <f t="shared" ca="1" si="27"/>
        <v>-832.8</v>
      </c>
      <c r="N1372" s="10">
        <f t="shared" ca="1" si="28"/>
        <v>-83.883964544722005</v>
      </c>
      <c r="O1372" s="7">
        <f ca="1">IFERROR(__xludf.DUMMYFUNCTION("GOOGLEFINANCE(""NSE:""&amp;D1372,""pe"")"),158.1)</f>
        <v>158.1</v>
      </c>
      <c r="P1372" s="7">
        <f ca="1">IFERROR(__xludf.DUMMYFUNCTION("GOOGLEFINANCE(""NSE:""&amp;D1372,""EPS"")"),1.01)</f>
        <v>1.01</v>
      </c>
      <c r="Q1372" s="7">
        <v>13.5</v>
      </c>
      <c r="R1372" s="7" t="str">
        <f ca="1">IFERROR(__xludf.DUMMYFUNCTION("IMPORTXML(E1372,""/html/body/main/div[3]/div[3]/div[2]/ul/li[7]/span[2]/span"")"),"Loading...")</f>
        <v>Loading...</v>
      </c>
      <c r="S1372" s="7" t="str">
        <f ca="1">IFERROR(__xludf.DUMMYFUNCTION("IMPORTXML(E1372,""/html/body/main/div[3]/div[3]/div[2]/ul/li[8]/span[2]/span"")"),"Loading...")</f>
        <v>Loading...</v>
      </c>
      <c r="T1372" s="4">
        <v>34.6</v>
      </c>
      <c r="U1372" s="4">
        <v>22.7</v>
      </c>
      <c r="V1372" s="4">
        <v>2.6</v>
      </c>
      <c r="W1372" s="4">
        <v>5.7</v>
      </c>
      <c r="X1372" s="4">
        <v>519.92999999999995</v>
      </c>
      <c r="Y1372" s="7">
        <f t="shared" ca="1" si="29"/>
        <v>-359.92999999999995</v>
      </c>
    </row>
    <row r="1373" spans="1:25" ht="15" x14ac:dyDescent="0.25">
      <c r="A1373" s="4">
        <v>1077</v>
      </c>
      <c r="C1373" s="12" t="s">
        <v>3288</v>
      </c>
      <c r="D1373" s="12" t="s">
        <v>3289</v>
      </c>
      <c r="E1373" s="5" t="str">
        <f t="shared" si="25"/>
        <v>https://www.screener.in/company/CHEMFAB/consolidated/</v>
      </c>
      <c r="F1373" s="4">
        <v>443059</v>
      </c>
      <c r="G1373" s="4">
        <v>3832241897</v>
      </c>
      <c r="H1373" s="6">
        <f t="shared" ca="1" si="26"/>
        <v>251011.84425349999</v>
      </c>
      <c r="I1373" s="7" t="str">
        <f ca="1">IFERROR(__xludf.DUMMYFUNCTION("IMPORTXML(E1373,""/html/body/main/div[3]/div[3]/div[2]/ul/li[5]/span[2]/span"")"),"Loading...")</f>
        <v>Loading...</v>
      </c>
      <c r="J1373" s="7">
        <f ca="1">IFERROR(__xludf.DUMMYFUNCTION("GOOGLEFINANCE(""NSE:""&amp;D1373,""marketcap"")"),9271672928)</f>
        <v>9271672928</v>
      </c>
      <c r="K1373" s="7">
        <v>992.8</v>
      </c>
      <c r="L1373" s="8">
        <f ca="1">IFERROR(__xludf.DUMMYFUNCTION("GOOGLEFINANCE(""NSE:""&amp;D1373,""price"")"),655)</f>
        <v>655</v>
      </c>
      <c r="M1373" s="9">
        <f t="shared" ca="1" si="27"/>
        <v>-337.79999999999995</v>
      </c>
      <c r="N1373" s="10">
        <f t="shared" ca="1" si="28"/>
        <v>-34.024979854955681</v>
      </c>
      <c r="O1373" s="7" t="str">
        <f ca="1">IFERROR(__xludf.DUMMYFUNCTION("GOOGLEFINANCE(""NSE:""&amp;D1373,""pe"")"),"#N/A")</f>
        <v>#N/A</v>
      </c>
      <c r="P1373" s="7">
        <f ca="1">IFERROR(__xludf.DUMMYFUNCTION("GOOGLEFINANCE(""NSE:""&amp;D1373,""EPS"")"),-3.73)</f>
        <v>-3.73</v>
      </c>
      <c r="Q1373" s="7">
        <v>13.5</v>
      </c>
      <c r="R1373" s="7" t="str">
        <f ca="1">IFERROR(__xludf.DUMMYFUNCTION("IMPORTXML(E1373,""/html/body/main/div[3]/div[3]/div[2]/ul/li[7]/span[2]/span"")"),"Loading...")</f>
        <v>Loading...</v>
      </c>
      <c r="S1373" s="7" t="str">
        <f ca="1">IFERROR(__xludf.DUMMYFUNCTION("IMPORTXML(E1373,""/html/body/main/div[3]/div[3]/div[2]/ul/li[8]/span[2]/span"")"),"Loading...")</f>
        <v>Loading...</v>
      </c>
      <c r="T1373" s="4">
        <v>34.6</v>
      </c>
      <c r="U1373" s="4">
        <v>22.7</v>
      </c>
      <c r="V1373" s="4">
        <v>2.6</v>
      </c>
      <c r="W1373" s="4">
        <v>5.7</v>
      </c>
      <c r="X1373" s="4">
        <v>519.92999999999995</v>
      </c>
      <c r="Y1373" s="7">
        <f t="shared" ca="1" si="29"/>
        <v>135.07000000000005</v>
      </c>
    </row>
    <row r="1374" spans="1:25" ht="15" x14ac:dyDescent="0.25">
      <c r="A1374" s="4">
        <v>713</v>
      </c>
      <c r="C1374" s="12" t="s">
        <v>3290</v>
      </c>
      <c r="D1374" s="12" t="s">
        <v>3291</v>
      </c>
      <c r="E1374" s="5" t="str">
        <f t="shared" si="25"/>
        <v>https://www.screener.in/company/KOLTEPATIL/consolidated/</v>
      </c>
      <c r="F1374" s="4">
        <v>443059</v>
      </c>
      <c r="G1374" s="4">
        <v>3832241897</v>
      </c>
      <c r="H1374" s="6">
        <f t="shared" ca="1" si="26"/>
        <v>177490.28345955498</v>
      </c>
      <c r="I1374" s="7" t="str">
        <f ca="1">IFERROR(__xludf.DUMMYFUNCTION("IMPORTXML(E1374,""/html/body/main/div[3]/div[3]/div[2]/ul/li[5]/span[2]/span"")"),"Loading...")</f>
        <v>Loading...</v>
      </c>
      <c r="J1374" s="7">
        <f ca="1">IFERROR(__xludf.DUMMYFUNCTION("GOOGLEFINANCE(""NSE:""&amp;D1374,""marketcap"")"),41072183142)</f>
        <v>41072183142</v>
      </c>
      <c r="K1374" s="7">
        <v>992.8</v>
      </c>
      <c r="L1374" s="8">
        <f ca="1">IFERROR(__xludf.DUMMYFUNCTION("GOOGLEFINANCE(""NSE:""&amp;D1374,""price"")"),463.15)</f>
        <v>463.15</v>
      </c>
      <c r="M1374" s="9">
        <f t="shared" ca="1" si="27"/>
        <v>-529.65</v>
      </c>
      <c r="N1374" s="10">
        <f t="shared" ca="1" si="28"/>
        <v>-53.349113618049962</v>
      </c>
      <c r="O1374" s="7">
        <f ca="1">IFERROR(__xludf.DUMMYFUNCTION("GOOGLEFINANCE(""NSE:""&amp;D1374,""pe"")"),42.12)</f>
        <v>42.12</v>
      </c>
      <c r="P1374" s="7">
        <f ca="1">IFERROR(__xludf.DUMMYFUNCTION("GOOGLEFINANCE(""NSE:""&amp;D1374,""EPS"")"),11)</f>
        <v>11</v>
      </c>
      <c r="Q1374" s="7">
        <v>13.5</v>
      </c>
      <c r="R1374" s="7" t="str">
        <f ca="1">IFERROR(__xludf.DUMMYFUNCTION("IMPORTXML(E1374,""/html/body/main/div[3]/div[3]/div[2]/ul/li[7]/span[2]/span"")"),"Loading...")</f>
        <v>Loading...</v>
      </c>
      <c r="S1374" s="7" t="str">
        <f ca="1">IFERROR(__xludf.DUMMYFUNCTION("IMPORTXML(E1374,""/html/body/main/div[3]/div[3]/div[2]/ul/li[8]/span[2]/span"")"),"Loading...")</f>
        <v>Loading...</v>
      </c>
      <c r="T1374" s="4">
        <v>34.6</v>
      </c>
      <c r="U1374" s="4">
        <v>22.7</v>
      </c>
      <c r="V1374" s="4">
        <v>2.6</v>
      </c>
      <c r="W1374" s="4">
        <v>5.7</v>
      </c>
      <c r="X1374" s="4">
        <v>519.92999999999995</v>
      </c>
      <c r="Y1374" s="7">
        <f t="shared" ca="1" si="29"/>
        <v>-56.779999999999973</v>
      </c>
    </row>
    <row r="1375" spans="1:25" ht="15" x14ac:dyDescent="0.25">
      <c r="A1375" s="4">
        <v>579</v>
      </c>
      <c r="C1375" s="12" t="s">
        <v>3292</v>
      </c>
      <c r="D1375" s="12" t="s">
        <v>3293</v>
      </c>
      <c r="E1375" s="5" t="str">
        <f t="shared" si="25"/>
        <v>https://www.screener.in/company/GREAVESCOT/consolidated/</v>
      </c>
      <c r="F1375" s="4">
        <v>443059</v>
      </c>
      <c r="G1375" s="4">
        <v>3832241897</v>
      </c>
      <c r="H1375" s="6">
        <f t="shared" ca="1" si="26"/>
        <v>85991.675926782991</v>
      </c>
      <c r="I1375" s="7" t="str">
        <f ca="1">IFERROR(__xludf.DUMMYFUNCTION("IMPORTXML(E1375,""/html/body/main/div[3]/div[3]/div[2]/ul/li[5]/span[2]/span"")"),"Loading...")</f>
        <v>Loading...</v>
      </c>
      <c r="J1375" s="7">
        <f ca="1">IFERROR(__xludf.DUMMYFUNCTION("GOOGLEFINANCE(""NSE:""&amp;D1375,""marketcap"")"),52136210688)</f>
        <v>52136210688</v>
      </c>
      <c r="K1375" s="7">
        <v>992.8</v>
      </c>
      <c r="L1375" s="8">
        <f ca="1">IFERROR(__xludf.DUMMYFUNCTION("GOOGLEFINANCE(""NSE:""&amp;D1375,""price"")"),224.39)</f>
        <v>224.39</v>
      </c>
      <c r="M1375" s="9">
        <f t="shared" ca="1" si="27"/>
        <v>-768.41</v>
      </c>
      <c r="N1375" s="10">
        <f t="shared" ca="1" si="28"/>
        <v>-77.398267526188562</v>
      </c>
      <c r="O1375" s="7">
        <f ca="1">IFERROR(__xludf.DUMMYFUNCTION("GOOGLEFINANCE(""NSE:""&amp;D1375,""pe"")"),64.46)</f>
        <v>64.459999999999994</v>
      </c>
      <c r="P1375" s="7">
        <f ca="1">IFERROR(__xludf.DUMMYFUNCTION("GOOGLEFINANCE(""NSE:""&amp;D1375,""EPS"")"),3.48)</f>
        <v>3.48</v>
      </c>
      <c r="Q1375" s="7">
        <v>13.5</v>
      </c>
      <c r="R1375" s="7" t="str">
        <f ca="1">IFERROR(__xludf.DUMMYFUNCTION("IMPORTXML(E1375,""/html/body/main/div[3]/div[3]/div[2]/ul/li[7]/span[2]/span"")"),"Loading...")</f>
        <v>Loading...</v>
      </c>
      <c r="S1375" s="7" t="str">
        <f ca="1">IFERROR(__xludf.DUMMYFUNCTION("IMPORTXML(E1375,""/html/body/main/div[3]/div[3]/div[2]/ul/li[8]/span[2]/span"")"),"Loading...")</f>
        <v>Loading...</v>
      </c>
      <c r="T1375" s="4">
        <v>34.6</v>
      </c>
      <c r="U1375" s="4">
        <v>22.7</v>
      </c>
      <c r="V1375" s="4">
        <v>2.6</v>
      </c>
      <c r="W1375" s="4">
        <v>5.7</v>
      </c>
      <c r="X1375" s="4">
        <v>519.92999999999995</v>
      </c>
      <c r="Y1375" s="7">
        <f t="shared" ca="1" si="29"/>
        <v>-295.53999999999996</v>
      </c>
    </row>
    <row r="1376" spans="1:25" ht="15" x14ac:dyDescent="0.25">
      <c r="A1376" s="4">
        <v>482</v>
      </c>
      <c r="C1376" s="12" t="s">
        <v>3294</v>
      </c>
      <c r="D1376" s="12" t="s">
        <v>3295</v>
      </c>
      <c r="E1376" s="5" t="str">
        <f t="shared" si="25"/>
        <v>https://www.screener.in/company/INOXGREEN/consolidated/</v>
      </c>
      <c r="F1376" s="4">
        <v>443059</v>
      </c>
      <c r="G1376" s="4">
        <v>3832241897</v>
      </c>
      <c r="H1376" s="6">
        <f t="shared" ca="1" si="26"/>
        <v>58824.913118949997</v>
      </c>
      <c r="I1376" s="7" t="str">
        <f ca="1">IFERROR(__xludf.DUMMYFUNCTION("IMPORTXML(E1376,""/html/body/main/div[3]/div[3]/div[2]/ul/li[5]/span[2]/span"")"),"Loading...")</f>
        <v>Loading...</v>
      </c>
      <c r="J1376" s="7">
        <f ca="1">IFERROR(__xludf.DUMMYFUNCTION("GOOGLEFINANCE(""NSE:""&amp;D1376,""marketcap"")"),56086610305)</f>
        <v>56086610305</v>
      </c>
      <c r="K1376" s="7">
        <v>992.8</v>
      </c>
      <c r="L1376" s="8">
        <f ca="1">IFERROR(__xludf.DUMMYFUNCTION("GOOGLEFINANCE(""NSE:""&amp;D1376,""price"")"),153.5)</f>
        <v>153.5</v>
      </c>
      <c r="M1376" s="9">
        <f t="shared" ca="1" si="27"/>
        <v>-839.3</v>
      </c>
      <c r="N1376" s="10">
        <f t="shared" ca="1" si="28"/>
        <v>-84.53867848509266</v>
      </c>
      <c r="O1376" s="7">
        <f ca="1">IFERROR(__xludf.DUMMYFUNCTION("GOOGLEFINANCE(""NSE:""&amp;D1376,""pe"")"),143.46)</f>
        <v>143.46</v>
      </c>
      <c r="P1376" s="7">
        <f ca="1">IFERROR(__xludf.DUMMYFUNCTION("GOOGLEFINANCE(""NSE:""&amp;D1376,""EPS"")"),1.07)</f>
        <v>1.07</v>
      </c>
      <c r="Q1376" s="7">
        <v>13.5</v>
      </c>
      <c r="R1376" s="7" t="str">
        <f ca="1">IFERROR(__xludf.DUMMYFUNCTION("IMPORTXML(E1376,""/html/body/main/div[3]/div[3]/div[2]/ul/li[7]/span[2]/span"")"),"Loading...")</f>
        <v>Loading...</v>
      </c>
      <c r="S1376" s="7" t="str">
        <f ca="1">IFERROR(__xludf.DUMMYFUNCTION("IMPORTXML(E1376,""/html/body/main/div[3]/div[3]/div[2]/ul/li[8]/span[2]/span"")"),"Loading...")</f>
        <v>Loading...</v>
      </c>
      <c r="T1376" s="4">
        <v>34.6</v>
      </c>
      <c r="U1376" s="4">
        <v>22.7</v>
      </c>
      <c r="V1376" s="4">
        <v>2.6</v>
      </c>
      <c r="W1376" s="4">
        <v>5.7</v>
      </c>
      <c r="X1376" s="4">
        <v>519.92999999999995</v>
      </c>
      <c r="Y1376" s="7">
        <f t="shared" ca="1" si="29"/>
        <v>-366.42999999999995</v>
      </c>
    </row>
    <row r="1377" spans="1:25" ht="15" x14ac:dyDescent="0.25">
      <c r="A1377" s="4">
        <v>45</v>
      </c>
      <c r="C1377" s="12" t="s">
        <v>3296</v>
      </c>
      <c r="D1377" s="12" t="s">
        <v>3297</v>
      </c>
      <c r="E1377" s="5" t="str">
        <f t="shared" si="25"/>
        <v>https://www.screener.in/company/LAURUSLABS/consolidated/</v>
      </c>
      <c r="F1377" s="4">
        <v>443059</v>
      </c>
      <c r="G1377" s="4">
        <v>3832241897</v>
      </c>
      <c r="H1377" s="6">
        <f t="shared" ca="1" si="26"/>
        <v>338252.83103870496</v>
      </c>
      <c r="I1377" s="7" t="str">
        <f ca="1">IFERROR(__xludf.DUMMYFUNCTION("IMPORTXML(E1377,""/html/body/main/div[3]/div[3]/div[2]/ul/li[5]/span[2]/span"")"),"Loading...")</f>
        <v>Loading...</v>
      </c>
      <c r="J1377" s="7">
        <f ca="1">IFERROR(__xludf.DUMMYFUNCTION("GOOGLEFINANCE(""NSE:""&amp;D1377,""marketcap"")"),475396800000)</f>
        <v>475396800000</v>
      </c>
      <c r="K1377" s="7">
        <v>992.8</v>
      </c>
      <c r="L1377" s="8">
        <f ca="1">IFERROR(__xludf.DUMMYFUNCTION("GOOGLEFINANCE(""NSE:""&amp;D1377,""price"")"),882.65)</f>
        <v>882.65</v>
      </c>
      <c r="M1377" s="9">
        <f t="shared" ca="1" si="27"/>
        <v>-110.14999999999998</v>
      </c>
      <c r="N1377" s="10">
        <f t="shared" ca="1" si="28"/>
        <v>-11.094883158742947</v>
      </c>
      <c r="O1377" s="7">
        <f ca="1">IFERROR(__xludf.DUMMYFUNCTION("GOOGLEFINANCE(""NSE:""&amp;D1377,""pe"")"),93.59)</f>
        <v>93.59</v>
      </c>
      <c r="P1377" s="7">
        <f ca="1">IFERROR(__xludf.DUMMYFUNCTION("GOOGLEFINANCE(""NSE:""&amp;D1377,""EPS"")"),9.43)</f>
        <v>9.43</v>
      </c>
      <c r="Q1377" s="7">
        <v>13.5</v>
      </c>
      <c r="R1377" s="7" t="str">
        <f ca="1">IFERROR(__xludf.DUMMYFUNCTION("IMPORTXML(E1377,""/html/body/main/div[3]/div[3]/div[2]/ul/li[7]/span[2]/span"")"),"Loading...")</f>
        <v>Loading...</v>
      </c>
      <c r="S1377" s="7" t="str">
        <f ca="1">IFERROR(__xludf.DUMMYFUNCTION("IMPORTXML(E1377,""/html/body/main/div[3]/div[3]/div[2]/ul/li[8]/span[2]/span"")"),"Loading...")</f>
        <v>Loading...</v>
      </c>
      <c r="T1377" s="4">
        <v>34.6</v>
      </c>
      <c r="U1377" s="4">
        <v>22.7</v>
      </c>
      <c r="V1377" s="4">
        <v>2.6</v>
      </c>
      <c r="W1377" s="4">
        <v>5.7</v>
      </c>
      <c r="X1377" s="4">
        <v>519.92999999999995</v>
      </c>
      <c r="Y1377" s="7">
        <f t="shared" ca="1" si="29"/>
        <v>362.72</v>
      </c>
    </row>
    <row r="1378" spans="1:25" ht="15" x14ac:dyDescent="0.25">
      <c r="A1378" s="4">
        <v>1451</v>
      </c>
      <c r="C1378" s="12" t="s">
        <v>3298</v>
      </c>
      <c r="D1378" s="12" t="s">
        <v>3299</v>
      </c>
      <c r="E1378" s="5" t="str">
        <f t="shared" si="25"/>
        <v>https://www.screener.in/company/GENUSPAPER/consolidated/</v>
      </c>
      <c r="F1378" s="4">
        <v>443059</v>
      </c>
      <c r="G1378" s="4">
        <v>3832241897</v>
      </c>
      <c r="H1378" s="6">
        <f t="shared" ca="1" si="26"/>
        <v>6993.8414620249996</v>
      </c>
      <c r="I1378" s="7" t="str">
        <f ca="1">IFERROR(__xludf.DUMMYFUNCTION("IMPORTXML(E1378,""/html/body/main/div[3]/div[3]/div[2]/ul/li[5]/span[2]/span"")"),"Loading...")</f>
        <v>Loading...</v>
      </c>
      <c r="J1378" s="7">
        <f ca="1">IFERROR(__xludf.DUMMYFUNCTION("GOOGLEFINANCE(""NSE:""&amp;D1378,""marketcap"")"),4682263000)</f>
        <v>4682263000</v>
      </c>
      <c r="K1378" s="7">
        <v>992.8</v>
      </c>
      <c r="L1378" s="8">
        <f ca="1">IFERROR(__xludf.DUMMYFUNCTION("GOOGLEFINANCE(""NSE:""&amp;D1378,""price"")"),18.25)</f>
        <v>18.25</v>
      </c>
      <c r="M1378" s="9">
        <f t="shared" ca="1" si="27"/>
        <v>-974.55</v>
      </c>
      <c r="N1378" s="10">
        <f t="shared" ca="1" si="28"/>
        <v>-98.161764705882348</v>
      </c>
      <c r="O1378" s="7">
        <f ca="1">IFERROR(__xludf.DUMMYFUNCTION("GOOGLEFINANCE(""NSE:""&amp;D1378,""pe"")"),166.79)</f>
        <v>166.79</v>
      </c>
      <c r="P1378" s="7">
        <f ca="1">IFERROR(__xludf.DUMMYFUNCTION("GOOGLEFINANCE(""NSE:""&amp;D1378,""EPS"")"),0.11)</f>
        <v>0.11</v>
      </c>
      <c r="Q1378" s="7">
        <v>13.5</v>
      </c>
      <c r="R1378" s="7" t="str">
        <f ca="1">IFERROR(__xludf.DUMMYFUNCTION("IMPORTXML(E1378,""/html/body/main/div[3]/div[3]/div[2]/ul/li[7]/span[2]/span"")"),"Loading...")</f>
        <v>Loading...</v>
      </c>
      <c r="S1378" s="7" t="str">
        <f ca="1">IFERROR(__xludf.DUMMYFUNCTION("IMPORTXML(E1378,""/html/body/main/div[3]/div[3]/div[2]/ul/li[8]/span[2]/span"")"),"Loading...")</f>
        <v>Loading...</v>
      </c>
      <c r="T1378" s="4">
        <v>34.6</v>
      </c>
      <c r="U1378" s="4">
        <v>22.7</v>
      </c>
      <c r="V1378" s="4">
        <v>2.6</v>
      </c>
      <c r="W1378" s="4">
        <v>5.7</v>
      </c>
      <c r="X1378" s="4">
        <v>519.92999999999995</v>
      </c>
      <c r="Y1378" s="7">
        <f t="shared" ca="1" si="29"/>
        <v>-501.67999999999995</v>
      </c>
    </row>
    <row r="1379" spans="1:25" ht="15" x14ac:dyDescent="0.25">
      <c r="A1379" s="4">
        <v>113</v>
      </c>
      <c r="C1379" s="12" t="s">
        <v>3300</v>
      </c>
      <c r="D1379" s="12" t="s">
        <v>3301</v>
      </c>
      <c r="E1379" s="5" t="str">
        <f t="shared" si="25"/>
        <v>https://www.screener.in/company/CHALET/consolidated/</v>
      </c>
      <c r="F1379" s="4">
        <v>443059</v>
      </c>
      <c r="G1379" s="4">
        <v>3832241897</v>
      </c>
      <c r="H1379" s="6">
        <f t="shared" ca="1" si="26"/>
        <v>392536.53750970995</v>
      </c>
      <c r="I1379" s="7" t="str">
        <f ca="1">IFERROR(__xludf.DUMMYFUNCTION("IMPORTXML(E1379,""/html/body/main/div[3]/div[3]/div[2]/ul/li[5]/span[2]/span"")"),"Loading...")</f>
        <v>Loading...</v>
      </c>
      <c r="J1379" s="7">
        <f ca="1">IFERROR(__xludf.DUMMYFUNCTION("GOOGLEFINANCE(""NSE:""&amp;D1379,""marketcap"")"),223999465897)</f>
        <v>223999465897</v>
      </c>
      <c r="K1379" s="7">
        <v>992.8</v>
      </c>
      <c r="L1379" s="8">
        <f ca="1">IFERROR(__xludf.DUMMYFUNCTION("GOOGLEFINANCE(""NSE:""&amp;D1379,""price"")"),1024.3)</f>
        <v>1024.3</v>
      </c>
      <c r="M1379" s="9">
        <f t="shared" ca="1" si="27"/>
        <v>31.5</v>
      </c>
      <c r="N1379" s="10">
        <f t="shared" ca="1" si="28"/>
        <v>3.1728444802578566</v>
      </c>
      <c r="O1379" s="7">
        <f ca="1">IFERROR(__xludf.DUMMYFUNCTION("GOOGLEFINANCE(""NSE:""&amp;D1379,""pe"")"),78.96)</f>
        <v>78.959999999999994</v>
      </c>
      <c r="P1379" s="7">
        <f ca="1">IFERROR(__xludf.DUMMYFUNCTION("GOOGLEFINANCE(""NSE:""&amp;D1379,""EPS"")"),12.97)</f>
        <v>12.97</v>
      </c>
      <c r="Q1379" s="7">
        <v>13.5</v>
      </c>
      <c r="R1379" s="7" t="str">
        <f ca="1">IFERROR(__xludf.DUMMYFUNCTION("IMPORTXML(E1379,""/html/body/main/div[3]/div[3]/div[2]/ul/li[7]/span[2]/span"")"),"Loading...")</f>
        <v>Loading...</v>
      </c>
      <c r="S1379" s="7" t="str">
        <f ca="1">IFERROR(__xludf.DUMMYFUNCTION("IMPORTXML(E1379,""/html/body/main/div[3]/div[3]/div[2]/ul/li[8]/span[2]/span"")"),"Loading...")</f>
        <v>Loading...</v>
      </c>
      <c r="T1379" s="4">
        <v>34.6</v>
      </c>
      <c r="U1379" s="4">
        <v>22.7</v>
      </c>
      <c r="V1379" s="4">
        <v>2.6</v>
      </c>
      <c r="W1379" s="4">
        <v>5.7</v>
      </c>
      <c r="X1379" s="4">
        <v>519.92999999999995</v>
      </c>
      <c r="Y1379" s="7">
        <f t="shared" ca="1" si="29"/>
        <v>504.37</v>
      </c>
    </row>
    <row r="1380" spans="1:25" ht="15" x14ac:dyDescent="0.25">
      <c r="A1380" s="4">
        <v>727</v>
      </c>
      <c r="C1380" s="12" t="s">
        <v>3302</v>
      </c>
      <c r="D1380" s="12" t="s">
        <v>3303</v>
      </c>
      <c r="E1380" s="5" t="str">
        <f t="shared" si="25"/>
        <v>https://www.screener.in/company/GLOBUSSPR/consolidated/</v>
      </c>
      <c r="F1380" s="4">
        <v>443059</v>
      </c>
      <c r="G1380" s="4">
        <v>3832241897</v>
      </c>
      <c r="H1380" s="6">
        <f t="shared" ca="1" si="26"/>
        <v>417177.85290741996</v>
      </c>
      <c r="I1380" s="7" t="str">
        <f ca="1">IFERROR(__xludf.DUMMYFUNCTION("IMPORTXML(E1380,""/html/body/main/div[3]/div[3]/div[2]/ul/li[5]/span[2]/span"")"),"Loading...")</f>
        <v>Loading...</v>
      </c>
      <c r="J1380" s="7">
        <f ca="1">IFERROR(__xludf.DUMMYFUNCTION("GOOGLEFINANCE(""NSE:""&amp;D1380,""marketcap"")"),31511820000)</f>
        <v>31511820000</v>
      </c>
      <c r="K1380" s="7">
        <v>992.8</v>
      </c>
      <c r="L1380" s="8">
        <f ca="1">IFERROR(__xludf.DUMMYFUNCTION("GOOGLEFINANCE(""NSE:""&amp;D1380,""price"")"),1088.6)</f>
        <v>1088.5999999999999</v>
      </c>
      <c r="M1380" s="9">
        <f t="shared" ca="1" si="27"/>
        <v>95.799999999999955</v>
      </c>
      <c r="N1380" s="10">
        <f t="shared" ca="1" si="28"/>
        <v>9.6494762288476998</v>
      </c>
      <c r="O1380" s="7">
        <f ca="1">IFERROR(__xludf.DUMMYFUNCTION("GOOGLEFINANCE(""NSE:""&amp;D1380,""pe"")"),122.45)</f>
        <v>122.45</v>
      </c>
      <c r="P1380" s="7">
        <f ca="1">IFERROR(__xludf.DUMMYFUNCTION("GOOGLEFINANCE(""NSE:""&amp;D1380,""EPS"")"),8.89)</f>
        <v>8.89</v>
      </c>
      <c r="Q1380" s="7">
        <v>13.5</v>
      </c>
      <c r="R1380" s="7" t="str">
        <f ca="1">IFERROR(__xludf.DUMMYFUNCTION("IMPORTXML(E1380,""/html/body/main/div[3]/div[3]/div[2]/ul/li[7]/span[2]/span"")"),"Loading...")</f>
        <v>Loading...</v>
      </c>
      <c r="S1380" s="7" t="str">
        <f ca="1">IFERROR(__xludf.DUMMYFUNCTION("IMPORTXML(E1380,""/html/body/main/div[3]/div[3]/div[2]/ul/li[8]/span[2]/span"")"),"Loading...")</f>
        <v>Loading...</v>
      </c>
      <c r="T1380" s="4">
        <v>34.6</v>
      </c>
      <c r="U1380" s="4">
        <v>22.7</v>
      </c>
      <c r="V1380" s="4">
        <v>2.6</v>
      </c>
      <c r="W1380" s="4">
        <v>5.7</v>
      </c>
      <c r="X1380" s="4">
        <v>519.92999999999995</v>
      </c>
      <c r="Y1380" s="7">
        <f t="shared" ca="1" si="29"/>
        <v>568.66999999999996</v>
      </c>
    </row>
    <row r="1381" spans="1:25" ht="15" x14ac:dyDescent="0.25">
      <c r="A1381" s="4">
        <v>1554</v>
      </c>
      <c r="C1381" s="12" t="s">
        <v>3304</v>
      </c>
      <c r="D1381" s="12" t="s">
        <v>3305</v>
      </c>
      <c r="E1381" s="5" t="str">
        <f t="shared" si="25"/>
        <v>https://www.screener.in/company/SOFTTECH/consolidated/</v>
      </c>
      <c r="F1381" s="4">
        <v>443059</v>
      </c>
      <c r="G1381" s="4">
        <v>3832241897</v>
      </c>
      <c r="H1381" s="6">
        <f t="shared" ca="1" si="26"/>
        <v>149955.62542961002</v>
      </c>
      <c r="I1381" s="7" t="str">
        <f ca="1">IFERROR(__xludf.DUMMYFUNCTION("IMPORTXML(E1381,""/html/body/main/div[3]/div[3]/div[2]/ul/li[5]/span[2]/span"")"),"Loading...")</f>
        <v>Loading...</v>
      </c>
      <c r="J1381" s="7">
        <f ca="1">IFERROR(__xludf.DUMMYFUNCTION("GOOGLEFINANCE(""NSE:""&amp;D1381,""marketcap"")"),5459222131)</f>
        <v>5459222131</v>
      </c>
      <c r="K1381" s="7">
        <v>992.8</v>
      </c>
      <c r="L1381" s="8">
        <f ca="1">IFERROR(__xludf.DUMMYFUNCTION("GOOGLEFINANCE(""NSE:""&amp;D1381,""price"")"),391.3)</f>
        <v>391.3</v>
      </c>
      <c r="M1381" s="9">
        <f t="shared" ca="1" si="27"/>
        <v>-601.5</v>
      </c>
      <c r="N1381" s="10">
        <f t="shared" ca="1" si="28"/>
        <v>-60.58622078968574</v>
      </c>
      <c r="O1381" s="7">
        <f ca="1">IFERROR(__xludf.DUMMYFUNCTION("GOOGLEFINANCE(""NSE:""&amp;D1381,""pe"")"),324.24)</f>
        <v>324.24</v>
      </c>
      <c r="P1381" s="7">
        <f ca="1">IFERROR(__xludf.DUMMYFUNCTION("GOOGLEFINANCE(""NSE:""&amp;D1381,""EPS"")"),1.21)</f>
        <v>1.21</v>
      </c>
      <c r="Q1381" s="7">
        <v>13.5</v>
      </c>
      <c r="R1381" s="7" t="str">
        <f ca="1">IFERROR(__xludf.DUMMYFUNCTION("IMPORTXML(E1381,""/html/body/main/div[3]/div[3]/div[2]/ul/li[7]/span[2]/span"")"),"Loading...")</f>
        <v>Loading...</v>
      </c>
      <c r="S1381" s="7" t="str">
        <f ca="1">IFERROR(__xludf.DUMMYFUNCTION("IMPORTXML(E1381,""/html/body/main/div[3]/div[3]/div[2]/ul/li[8]/span[2]/span"")"),"Loading...")</f>
        <v>Loading...</v>
      </c>
      <c r="T1381" s="4">
        <v>34.6</v>
      </c>
      <c r="U1381" s="4">
        <v>22.7</v>
      </c>
      <c r="V1381" s="4">
        <v>2.6</v>
      </c>
      <c r="W1381" s="4">
        <v>5.7</v>
      </c>
      <c r="X1381" s="4">
        <v>519.92999999999995</v>
      </c>
      <c r="Y1381" s="7">
        <f t="shared" ca="1" si="29"/>
        <v>-128.62999999999994</v>
      </c>
    </row>
    <row r="1382" spans="1:25" ht="15" x14ac:dyDescent="0.25">
      <c r="A1382" s="4">
        <v>1197</v>
      </c>
      <c r="C1382" s="12" t="s">
        <v>3306</v>
      </c>
      <c r="D1382" s="12" t="s">
        <v>3307</v>
      </c>
      <c r="E1382" s="5" t="str">
        <f t="shared" si="25"/>
        <v>https://www.screener.in/company/KRITI/consolidated/</v>
      </c>
      <c r="F1382" s="4">
        <v>443059</v>
      </c>
      <c r="G1382" s="4">
        <v>3832241897</v>
      </c>
      <c r="H1382" s="6">
        <f t="shared" ca="1" si="26"/>
        <v>51735.265609499998</v>
      </c>
      <c r="I1382" s="7" t="str">
        <f ca="1">IFERROR(__xludf.DUMMYFUNCTION("IMPORTXML(E1382,""/html/body/main/div[3]/div[3]/div[2]/ul/li[5]/span[2]/span"")"),"Loading...")</f>
        <v>Loading...</v>
      </c>
      <c r="J1382" s="7">
        <f ca="1">IFERROR(__xludf.DUMMYFUNCTION("GOOGLEFINANCE(""NSE:""&amp;D1382,""marketcap"")"),7280461894)</f>
        <v>7280461894</v>
      </c>
      <c r="K1382" s="7">
        <v>992.8</v>
      </c>
      <c r="L1382" s="8">
        <f ca="1">IFERROR(__xludf.DUMMYFUNCTION("GOOGLEFINANCE(""NSE:""&amp;D1382,""price"")"),135)</f>
        <v>135</v>
      </c>
      <c r="M1382" s="9">
        <f t="shared" ca="1" si="27"/>
        <v>-857.8</v>
      </c>
      <c r="N1382" s="10">
        <f t="shared" ca="1" si="28"/>
        <v>-86.402095084609186</v>
      </c>
      <c r="O1382" s="7" t="str">
        <f ca="1">IFERROR(__xludf.DUMMYFUNCTION("GOOGLEFINANCE(""NSE:""&amp;D1382,""pe"")"),"#N/A")</f>
        <v>#N/A</v>
      </c>
      <c r="P1382" s="7">
        <f ca="1">IFERROR(__xludf.DUMMYFUNCTION("GOOGLEFINANCE(""NSE:""&amp;D1382,""EPS"")"),-2.41)</f>
        <v>-2.41</v>
      </c>
      <c r="Q1382" s="7">
        <v>13.5</v>
      </c>
      <c r="R1382" s="7" t="str">
        <f ca="1">IFERROR(__xludf.DUMMYFUNCTION("IMPORTXML(E1382,""/html/body/main/div[3]/div[3]/div[2]/ul/li[7]/span[2]/span"")"),"Loading...")</f>
        <v>Loading...</v>
      </c>
      <c r="S1382" s="7" t="str">
        <f ca="1">IFERROR(__xludf.DUMMYFUNCTION("IMPORTXML(E1382,""/html/body/main/div[3]/div[3]/div[2]/ul/li[8]/span[2]/span"")"),"Loading...")</f>
        <v>Loading...</v>
      </c>
      <c r="T1382" s="4">
        <v>34.6</v>
      </c>
      <c r="U1382" s="4">
        <v>22.7</v>
      </c>
      <c r="V1382" s="4">
        <v>2.6</v>
      </c>
      <c r="W1382" s="4">
        <v>5.7</v>
      </c>
      <c r="X1382" s="4">
        <v>519.92999999999995</v>
      </c>
      <c r="Y1382" s="7">
        <f t="shared" ca="1" si="29"/>
        <v>-384.92999999999995</v>
      </c>
    </row>
    <row r="1383" spans="1:25" ht="15" x14ac:dyDescent="0.25">
      <c r="A1383" s="4">
        <v>1079</v>
      </c>
      <c r="C1383" s="12" t="s">
        <v>3308</v>
      </c>
      <c r="D1383" s="12" t="s">
        <v>3309</v>
      </c>
      <c r="E1383" s="5" t="str">
        <f t="shared" si="25"/>
        <v>https://www.screener.in/company/SAURASHCEM/consolidated/</v>
      </c>
      <c r="F1383" s="4">
        <v>443059</v>
      </c>
      <c r="G1383" s="4">
        <v>3832241897</v>
      </c>
      <c r="H1383" s="6">
        <f t="shared" ca="1" si="26"/>
        <v>45178.299723732998</v>
      </c>
      <c r="I1383" s="7" t="str">
        <f ca="1">IFERROR(__xludf.DUMMYFUNCTION("IMPORTXML(E1383,""/html/body/main/div[3]/div[3]/div[2]/ul/li[5]/span[2]/span"")"),"Loading...")</f>
        <v>Loading...</v>
      </c>
      <c r="J1383" s="7">
        <f ca="1">IFERROR(__xludf.DUMMYFUNCTION("GOOGLEFINANCE(""NSE:""&amp;D1383,""marketcap"")"),13115627891)</f>
        <v>13115627891</v>
      </c>
      <c r="K1383" s="7">
        <v>992.8</v>
      </c>
      <c r="L1383" s="8">
        <f ca="1">IFERROR(__xludf.DUMMYFUNCTION("GOOGLEFINANCE(""NSE:""&amp;D1383,""price"")"),117.89)</f>
        <v>117.89</v>
      </c>
      <c r="M1383" s="9">
        <f t="shared" ca="1" si="27"/>
        <v>-874.91</v>
      </c>
      <c r="N1383" s="10">
        <f t="shared" ca="1" si="28"/>
        <v>-88.125503626107985</v>
      </c>
      <c r="O1383" s="7">
        <f ca="1">IFERROR(__xludf.DUMMYFUNCTION("GOOGLEFINANCE(""NSE:""&amp;D1383,""pe"")"),96.04)</f>
        <v>96.04</v>
      </c>
      <c r="P1383" s="7">
        <f ca="1">IFERROR(__xludf.DUMMYFUNCTION("GOOGLEFINANCE(""NSE:""&amp;D1383,""EPS"")"),1.23)</f>
        <v>1.23</v>
      </c>
      <c r="Q1383" s="7">
        <v>13.5</v>
      </c>
      <c r="R1383" s="7" t="str">
        <f ca="1">IFERROR(__xludf.DUMMYFUNCTION("IMPORTXML(E1383,""/html/body/main/div[3]/div[3]/div[2]/ul/li[7]/span[2]/span"")"),"Loading...")</f>
        <v>Loading...</v>
      </c>
      <c r="S1383" s="7" t="str">
        <f ca="1">IFERROR(__xludf.DUMMYFUNCTION("IMPORTXML(E1383,""/html/body/main/div[3]/div[3]/div[2]/ul/li[8]/span[2]/span"")"),"Loading...")</f>
        <v>Loading...</v>
      </c>
      <c r="T1383" s="4">
        <v>34.6</v>
      </c>
      <c r="U1383" s="4">
        <v>22.7</v>
      </c>
      <c r="V1383" s="4">
        <v>2.6</v>
      </c>
      <c r="W1383" s="4">
        <v>5.7</v>
      </c>
      <c r="X1383" s="4">
        <v>519.92999999999995</v>
      </c>
      <c r="Y1383" s="7">
        <f t="shared" ca="1" si="29"/>
        <v>-402.03999999999996</v>
      </c>
    </row>
    <row r="1384" spans="1:25" ht="15" x14ac:dyDescent="0.25">
      <c r="A1384" s="4">
        <v>1457</v>
      </c>
      <c r="C1384" s="12" t="s">
        <v>3310</v>
      </c>
      <c r="D1384" s="12" t="s">
        <v>3311</v>
      </c>
      <c r="E1384" s="5" t="str">
        <f t="shared" si="25"/>
        <v>https://www.screener.in/company/ASMS/consolidated/</v>
      </c>
      <c r="F1384" s="4">
        <v>443059</v>
      </c>
      <c r="G1384" s="4">
        <v>3832241897</v>
      </c>
      <c r="H1384" s="6">
        <f t="shared" ca="1" si="26"/>
        <v>4905.269628160001</v>
      </c>
      <c r="I1384" s="7" t="str">
        <f ca="1">IFERROR(__xludf.DUMMYFUNCTION("IMPORTXML(E1384,""/html/body/main/div[3]/div[3]/div[2]/ul/li[5]/span[2]/span"")"),"Loading...")</f>
        <v>Loading...</v>
      </c>
      <c r="J1384" s="7">
        <f ca="1">IFERROR(__xludf.DUMMYFUNCTION("GOOGLEFINANCE(""NSE:""&amp;D1384,""marketcap"")"),3898581818)</f>
        <v>3898581818</v>
      </c>
      <c r="K1384" s="7">
        <v>992.8</v>
      </c>
      <c r="L1384" s="8">
        <f ca="1">IFERROR(__xludf.DUMMYFUNCTION("GOOGLEFINANCE(""NSE:""&amp;D1384,""price"")"),12.8)</f>
        <v>12.8</v>
      </c>
      <c r="M1384" s="9">
        <f t="shared" ca="1" si="27"/>
        <v>-980</v>
      </c>
      <c r="N1384" s="10">
        <f t="shared" ca="1" si="28"/>
        <v>-98.710717163577769</v>
      </c>
      <c r="O1384" s="7">
        <f ca="1">IFERROR(__xludf.DUMMYFUNCTION("GOOGLEFINANCE(""NSE:""&amp;D1384,""pe"")"),320)</f>
        <v>320</v>
      </c>
      <c r="P1384" s="7">
        <f ca="1">IFERROR(__xludf.DUMMYFUNCTION("GOOGLEFINANCE(""NSE:""&amp;D1384,""EPS"")"),0.04)</f>
        <v>0.04</v>
      </c>
      <c r="Q1384" s="7">
        <v>13.5</v>
      </c>
      <c r="R1384" s="7" t="str">
        <f ca="1">IFERROR(__xludf.DUMMYFUNCTION("IMPORTXML(E1384,""/html/body/main/div[3]/div[3]/div[2]/ul/li[7]/span[2]/span"")"),"Loading...")</f>
        <v>Loading...</v>
      </c>
      <c r="S1384" s="7" t="str">
        <f ca="1">IFERROR(__xludf.DUMMYFUNCTION("IMPORTXML(E1384,""/html/body/main/div[3]/div[3]/div[2]/ul/li[8]/span[2]/span"")"),"Loading...")</f>
        <v>Loading...</v>
      </c>
      <c r="T1384" s="4">
        <v>34.6</v>
      </c>
      <c r="U1384" s="4">
        <v>22.7</v>
      </c>
      <c r="V1384" s="4">
        <v>2.6</v>
      </c>
      <c r="W1384" s="4">
        <v>5.7</v>
      </c>
      <c r="X1384" s="4">
        <v>519.92999999999995</v>
      </c>
      <c r="Y1384" s="7">
        <f t="shared" ca="1" si="29"/>
        <v>-507.12999999999994</v>
      </c>
    </row>
    <row r="1385" spans="1:25" ht="15" x14ac:dyDescent="0.25">
      <c r="A1385" s="4">
        <v>2402</v>
      </c>
      <c r="C1385" s="12" t="s">
        <v>3312</v>
      </c>
      <c r="D1385" s="12" t="s">
        <v>3313</v>
      </c>
      <c r="E1385" s="5" t="str">
        <f t="shared" si="25"/>
        <v>https://www.screener.in/company/AGRITECH/consolidated/</v>
      </c>
      <c r="F1385" s="4">
        <v>443059</v>
      </c>
      <c r="G1385" s="4">
        <v>3832241897</v>
      </c>
      <c r="H1385" s="6">
        <f t="shared" ca="1" si="26"/>
        <v>53647.554316103</v>
      </c>
      <c r="I1385" s="7" t="str">
        <f ca="1">IFERROR(__xludf.DUMMYFUNCTION("IMPORTXML(E1385,""/html/body/main/div[3]/div[3]/div[2]/ul/li[5]/span[2]/span"")"),"Loading...")</f>
        <v>Loading...</v>
      </c>
      <c r="J1385" s="7">
        <f ca="1">IFERROR(__xludf.DUMMYFUNCTION("GOOGLEFINANCE(""NSE:""&amp;D1385,""marketcap"")"),831540632)</f>
        <v>831540632</v>
      </c>
      <c r="K1385" s="7">
        <v>992.8</v>
      </c>
      <c r="L1385" s="8">
        <f ca="1">IFERROR(__xludf.DUMMYFUNCTION("GOOGLEFINANCE(""NSE:""&amp;D1385,""price"")"),139.99)</f>
        <v>139.99</v>
      </c>
      <c r="M1385" s="9">
        <f t="shared" ca="1" si="27"/>
        <v>-852.81</v>
      </c>
      <c r="N1385" s="10">
        <f t="shared" ca="1" si="28"/>
        <v>-85.899476228847703</v>
      </c>
      <c r="O1385" s="7" t="str">
        <f ca="1">IFERROR(__xludf.DUMMYFUNCTION("GOOGLEFINANCE(""NSE:""&amp;D1385,""pe"")"),"#N/A")</f>
        <v>#N/A</v>
      </c>
      <c r="P1385" s="7">
        <f ca="1">IFERROR(__xludf.DUMMYFUNCTION("GOOGLEFINANCE(""NSE:""&amp;D1385,""EPS"")"),-0.93)</f>
        <v>-0.93</v>
      </c>
      <c r="Q1385" s="7">
        <v>13.5</v>
      </c>
      <c r="R1385" s="7" t="str">
        <f ca="1">IFERROR(__xludf.DUMMYFUNCTION("IMPORTXML(E1385,""/html/body/main/div[3]/div[3]/div[2]/ul/li[7]/span[2]/span"")"),"Loading...")</f>
        <v>Loading...</v>
      </c>
      <c r="S1385" s="7" t="str">
        <f ca="1">IFERROR(__xludf.DUMMYFUNCTION("IMPORTXML(E1385,""/html/body/main/div[3]/div[3]/div[2]/ul/li[8]/span[2]/span"")"),"Loading...")</f>
        <v>Loading...</v>
      </c>
      <c r="T1385" s="4">
        <v>34.6</v>
      </c>
      <c r="U1385" s="4">
        <v>22.7</v>
      </c>
      <c r="V1385" s="4">
        <v>2.6</v>
      </c>
      <c r="W1385" s="4">
        <v>5.7</v>
      </c>
      <c r="X1385" s="4">
        <v>519.92999999999995</v>
      </c>
      <c r="Y1385" s="7">
        <f t="shared" ca="1" si="29"/>
        <v>-379.93999999999994</v>
      </c>
    </row>
    <row r="1386" spans="1:25" ht="15" x14ac:dyDescent="0.25">
      <c r="A1386" s="4">
        <v>807</v>
      </c>
      <c r="C1386" s="12" t="s">
        <v>3314</v>
      </c>
      <c r="D1386" s="12" t="s">
        <v>3315</v>
      </c>
      <c r="E1386" s="5" t="str">
        <f t="shared" si="25"/>
        <v>https://www.screener.in/company/DOLPHIN/consolidated/</v>
      </c>
      <c r="F1386" s="4">
        <v>443059</v>
      </c>
      <c r="G1386" s="4">
        <v>3832241897</v>
      </c>
      <c r="H1386" s="6">
        <f t="shared" ca="1" si="26"/>
        <v>160762.54757915001</v>
      </c>
      <c r="I1386" s="7" t="str">
        <f ca="1">IFERROR(__xludf.DUMMYFUNCTION("IMPORTXML(E1386,""/html/body/main/div[3]/div[3]/div[2]/ul/li[5]/span[2]/span"")"),"Loading...")</f>
        <v>Loading...</v>
      </c>
      <c r="J1386" s="7">
        <f ca="1">IFERROR(__xludf.DUMMYFUNCTION("GOOGLEFINANCE(""NSE:""&amp;D1386,""marketcap"")"),16696820227)</f>
        <v>16696820227</v>
      </c>
      <c r="K1386" s="7">
        <v>992.8</v>
      </c>
      <c r="L1386" s="8">
        <f ca="1">IFERROR(__xludf.DUMMYFUNCTION("GOOGLEFINANCE(""NSE:""&amp;D1386,""price"")"),419.5)</f>
        <v>419.5</v>
      </c>
      <c r="M1386" s="9">
        <f t="shared" ca="1" si="27"/>
        <v>-573.29999999999995</v>
      </c>
      <c r="N1386" s="10">
        <f t="shared" ca="1" si="28"/>
        <v>-57.74576954069299</v>
      </c>
      <c r="O1386" s="7">
        <f ca="1">IFERROR(__xludf.DUMMYFUNCTION("GOOGLEFINANCE(""NSE:""&amp;D1386,""pe"")"),33.4)</f>
        <v>33.4</v>
      </c>
      <c r="P1386" s="7">
        <f ca="1">IFERROR(__xludf.DUMMYFUNCTION("GOOGLEFINANCE(""NSE:""&amp;D1386,""EPS"")"),12.56)</f>
        <v>12.56</v>
      </c>
      <c r="Q1386" s="7">
        <v>13.5</v>
      </c>
      <c r="R1386" s="7" t="str">
        <f ca="1">IFERROR(__xludf.DUMMYFUNCTION("IMPORTXML(E1386,""/html/body/main/div[3]/div[3]/div[2]/ul/li[7]/span[2]/span"")"),"Loading...")</f>
        <v>Loading...</v>
      </c>
      <c r="S1386" s="7" t="str">
        <f ca="1">IFERROR(__xludf.DUMMYFUNCTION("IMPORTXML(E1386,""/html/body/main/div[3]/div[3]/div[2]/ul/li[8]/span[2]/span"")"),"Loading...")</f>
        <v>Loading...</v>
      </c>
      <c r="T1386" s="4">
        <v>34.6</v>
      </c>
      <c r="U1386" s="4">
        <v>22.7</v>
      </c>
      <c r="V1386" s="4">
        <v>2.6</v>
      </c>
      <c r="W1386" s="4">
        <v>5.7</v>
      </c>
      <c r="X1386" s="4">
        <v>519.92999999999995</v>
      </c>
      <c r="Y1386" s="7">
        <f t="shared" ca="1" si="29"/>
        <v>-100.42999999999995</v>
      </c>
    </row>
    <row r="1387" spans="1:25" ht="15" x14ac:dyDescent="0.25">
      <c r="A1387" s="4">
        <v>577</v>
      </c>
      <c r="C1387" s="12" t="s">
        <v>3316</v>
      </c>
      <c r="D1387" s="12" t="s">
        <v>3317</v>
      </c>
      <c r="E1387" s="5" t="str">
        <f t="shared" si="25"/>
        <v>https://www.screener.in/company/BHAGCHEM/consolidated/</v>
      </c>
      <c r="F1387" s="4">
        <v>443059</v>
      </c>
      <c r="G1387" s="4">
        <v>3832241897</v>
      </c>
      <c r="H1387" s="6">
        <f t="shared" ca="1" si="26"/>
        <v>103087.30702930001</v>
      </c>
      <c r="I1387" s="7" t="str">
        <f ca="1">IFERROR(__xludf.DUMMYFUNCTION("IMPORTXML(E1387,""/html/body/main/div[3]/div[3]/div[2]/ul/li[5]/span[2]/span"")"),"Loading...")</f>
        <v>Loading...</v>
      </c>
      <c r="J1387" s="7">
        <f ca="1">IFERROR(__xludf.DUMMYFUNCTION("GOOGLEFINANCE(""NSE:""&amp;D1387,""marketcap"")"),34880961000)</f>
        <v>34880961000</v>
      </c>
      <c r="K1387" s="7">
        <v>992.8</v>
      </c>
      <c r="L1387" s="8">
        <f ca="1">IFERROR(__xludf.DUMMYFUNCTION("GOOGLEFINANCE(""NSE:""&amp;D1387,""price"")"),269)</f>
        <v>269</v>
      </c>
      <c r="M1387" s="9">
        <f t="shared" ca="1" si="27"/>
        <v>-723.8</v>
      </c>
      <c r="N1387" s="10">
        <f t="shared" ca="1" si="28"/>
        <v>-72.904915390813869</v>
      </c>
      <c r="O1387" s="7">
        <f ca="1">IFERROR(__xludf.DUMMYFUNCTION("GOOGLEFINANCE(""NSE:""&amp;D1387,""pe"")"),295.6)</f>
        <v>295.60000000000002</v>
      </c>
      <c r="P1387" s="7">
        <f ca="1">IFERROR(__xludf.DUMMYFUNCTION("GOOGLEFINANCE(""NSE:""&amp;D1387,""EPS"")"),0.91)</f>
        <v>0.91</v>
      </c>
      <c r="Q1387" s="7">
        <v>13.5</v>
      </c>
      <c r="R1387" s="7" t="str">
        <f ca="1">IFERROR(__xludf.DUMMYFUNCTION("IMPORTXML(E1387,""/html/body/main/div[3]/div[3]/div[2]/ul/li[7]/span[2]/span"")"),"Loading...")</f>
        <v>Loading...</v>
      </c>
      <c r="S1387" s="7" t="str">
        <f ca="1">IFERROR(__xludf.DUMMYFUNCTION("IMPORTXML(E1387,""/html/body/main/div[3]/div[3]/div[2]/ul/li[8]/span[2]/span"")"),"Loading...")</f>
        <v>Loading...</v>
      </c>
      <c r="T1387" s="4">
        <v>34.6</v>
      </c>
      <c r="U1387" s="4">
        <v>22.7</v>
      </c>
      <c r="V1387" s="4">
        <v>2.6</v>
      </c>
      <c r="W1387" s="4">
        <v>5.7</v>
      </c>
      <c r="X1387" s="4">
        <v>519.92999999999995</v>
      </c>
      <c r="Y1387" s="7">
        <f t="shared" ca="1" si="29"/>
        <v>-250.92999999999995</v>
      </c>
    </row>
    <row r="1388" spans="1:25" ht="15" x14ac:dyDescent="0.25">
      <c r="A1388" s="4">
        <v>373</v>
      </c>
      <c r="C1388" s="12" t="s">
        <v>3318</v>
      </c>
      <c r="D1388" s="12" t="s">
        <v>3319</v>
      </c>
      <c r="E1388" s="5" t="str">
        <f t="shared" si="25"/>
        <v>https://www.screener.in/company/SHOPERSTOP/consolidated/</v>
      </c>
      <c r="F1388" s="4">
        <v>443059</v>
      </c>
      <c r="G1388" s="4">
        <v>3832241897</v>
      </c>
      <c r="H1388" s="6">
        <f t="shared" ca="1" si="26"/>
        <v>208608.08766319501</v>
      </c>
      <c r="I1388" s="7" t="str">
        <f ca="1">IFERROR(__xludf.DUMMYFUNCTION("IMPORTXML(E1388,""/html/body/main/div[3]/div[3]/div[2]/ul/li[5]/span[2]/span"")"),"Loading...")</f>
        <v>Loading...</v>
      </c>
      <c r="J1388" s="7">
        <f ca="1">IFERROR(__xludf.DUMMYFUNCTION("GOOGLEFINANCE(""NSE:""&amp;D1388,""marketcap"")"),59939464511)</f>
        <v>59939464511</v>
      </c>
      <c r="K1388" s="7">
        <v>992.8</v>
      </c>
      <c r="L1388" s="8">
        <f ca="1">IFERROR(__xludf.DUMMYFUNCTION("GOOGLEFINANCE(""NSE:""&amp;D1388,""price"")"),544.35)</f>
        <v>544.35</v>
      </c>
      <c r="M1388" s="9">
        <f t="shared" ca="1" si="27"/>
        <v>-448.44999999999993</v>
      </c>
      <c r="N1388" s="10">
        <f t="shared" ca="1" si="28"/>
        <v>-45.170225624496368</v>
      </c>
      <c r="O1388" s="7">
        <f ca="1">IFERROR(__xludf.DUMMYFUNCTION("GOOGLEFINANCE(""NSE:""&amp;D1388,""pe"")"),340.89)</f>
        <v>340.89</v>
      </c>
      <c r="P1388" s="7">
        <f ca="1">IFERROR(__xludf.DUMMYFUNCTION("GOOGLEFINANCE(""NSE:""&amp;D1388,""EPS"")"),1.6)</f>
        <v>1.6</v>
      </c>
      <c r="Q1388" s="7">
        <v>13.5</v>
      </c>
      <c r="R1388" s="7">
        <f ca="1">IFERROR(__xludf.DUMMYFUNCTION("IMPORTXML(E1388,""/html/body/main/div[3]/div[3]/div[2]/ul/li[7]/span[2]/span"")"),7.96)</f>
        <v>7.96</v>
      </c>
      <c r="S1388" s="7" t="str">
        <f ca="1">IFERROR(__xludf.DUMMYFUNCTION("IMPORTXML(E1388,""/html/body/main/div[3]/div[3]/div[2]/ul/li[8]/span[2]/span"")"),"Loading...")</f>
        <v>Loading...</v>
      </c>
      <c r="T1388" s="4">
        <v>34.6</v>
      </c>
      <c r="U1388" s="4">
        <v>22.7</v>
      </c>
      <c r="V1388" s="4">
        <v>2.6</v>
      </c>
      <c r="W1388" s="4">
        <v>5.7</v>
      </c>
      <c r="X1388" s="4">
        <v>519.92999999999995</v>
      </c>
      <c r="Y1388" s="7">
        <f t="shared" ca="1" si="29"/>
        <v>24.420000000000073</v>
      </c>
    </row>
    <row r="1389" spans="1:25" ht="15" x14ac:dyDescent="0.25">
      <c r="A1389" s="4">
        <v>919</v>
      </c>
      <c r="C1389" s="12" t="s">
        <v>3320</v>
      </c>
      <c r="D1389" s="12" t="s">
        <v>3321</v>
      </c>
      <c r="E1389" s="5" t="str">
        <f t="shared" si="25"/>
        <v>https://www.screener.in/company/WEL/consolidated/</v>
      </c>
      <c r="F1389" s="4">
        <v>443059</v>
      </c>
      <c r="G1389" s="4">
        <v>3832241897</v>
      </c>
      <c r="H1389" s="6">
        <f t="shared" ca="1" si="26"/>
        <v>51275.396581860005</v>
      </c>
      <c r="I1389" s="7" t="str">
        <f ca="1">IFERROR(__xludf.DUMMYFUNCTION("IMPORTXML(E1389,""/html/body/main/div[3]/div[3]/div[2]/ul/li[5]/span[2]/span"")"),"Loading...")</f>
        <v>Loading...</v>
      </c>
      <c r="J1389" s="7">
        <f ca="1">IFERROR(__xludf.DUMMYFUNCTION("GOOGLEFINANCE(""NSE:""&amp;D1389,""marketcap"")"),17930270808)</f>
        <v>17930270808</v>
      </c>
      <c r="K1389" s="7">
        <v>992.8</v>
      </c>
      <c r="L1389" s="8">
        <f ca="1">IFERROR(__xludf.DUMMYFUNCTION("GOOGLEFINANCE(""NSE:""&amp;D1389,""price"")"),133.8)</f>
        <v>133.80000000000001</v>
      </c>
      <c r="M1389" s="9">
        <f t="shared" ca="1" si="27"/>
        <v>-859</v>
      </c>
      <c r="N1389" s="10">
        <f t="shared" ca="1" si="28"/>
        <v>-86.522965350523776</v>
      </c>
      <c r="O1389" s="7">
        <f ca="1">IFERROR(__xludf.DUMMYFUNCTION("GOOGLEFINANCE(""NSE:""&amp;D1389,""pe"")"),112.63)</f>
        <v>112.63</v>
      </c>
      <c r="P1389" s="7">
        <f ca="1">IFERROR(__xludf.DUMMYFUNCTION("GOOGLEFINANCE(""NSE:""&amp;D1389,""EPS"")"),1.19)</f>
        <v>1.19</v>
      </c>
      <c r="Q1389" s="7">
        <v>13.5</v>
      </c>
      <c r="R1389" s="7" t="str">
        <f ca="1">IFERROR(__xludf.DUMMYFUNCTION("IMPORTXML(E1389,""/html/body/main/div[3]/div[3]/div[2]/ul/li[7]/span[2]/span"")"),"Loading...")</f>
        <v>Loading...</v>
      </c>
      <c r="S1389" s="7" t="str">
        <f ca="1">IFERROR(__xludf.DUMMYFUNCTION("IMPORTXML(E1389,""/html/body/main/div[3]/div[3]/div[2]/ul/li[8]/span[2]/span"")"),"Loading...")</f>
        <v>Loading...</v>
      </c>
      <c r="T1389" s="4">
        <v>34.6</v>
      </c>
      <c r="U1389" s="4">
        <v>22.7</v>
      </c>
      <c r="V1389" s="4">
        <v>2.6</v>
      </c>
      <c r="W1389" s="4">
        <v>5.7</v>
      </c>
      <c r="X1389" s="4">
        <v>519.92999999999995</v>
      </c>
      <c r="Y1389" s="7">
        <f t="shared" ca="1" si="29"/>
        <v>-386.12999999999994</v>
      </c>
    </row>
    <row r="1390" spans="1:25" ht="15" x14ac:dyDescent="0.25">
      <c r="A1390" s="4">
        <v>101</v>
      </c>
      <c r="C1390" s="12" t="s">
        <v>3322</v>
      </c>
      <c r="D1390" s="12" t="s">
        <v>3323</v>
      </c>
      <c r="E1390" s="5" t="str">
        <f t="shared" si="25"/>
        <v>https://www.screener.in/company/SIGNATURE/consolidated/</v>
      </c>
      <c r="F1390" s="4">
        <v>443059</v>
      </c>
      <c r="G1390" s="4">
        <v>3832241897</v>
      </c>
      <c r="H1390" s="6">
        <f t="shared" ca="1" si="26"/>
        <v>425340.52814803005</v>
      </c>
      <c r="I1390" s="7" t="str">
        <f ca="1">IFERROR(__xludf.DUMMYFUNCTION("IMPORTXML(E1390,""/html/body/main/div[3]/div[3]/div[2]/ul/li[5]/span[2]/span"")"),"Loading...")</f>
        <v>Loading...</v>
      </c>
      <c r="J1390" s="7">
        <f ca="1">IFERROR(__xludf.DUMMYFUNCTION("GOOGLEFINANCE(""NSE:""&amp;D1390,""marketcap"")"),156009658682)</f>
        <v>156009658682</v>
      </c>
      <c r="K1390" s="7">
        <v>992.8</v>
      </c>
      <c r="L1390" s="8">
        <f ca="1">IFERROR(__xludf.DUMMYFUNCTION("GOOGLEFINANCE(""NSE:""&amp;D1390,""price"")"),1109.9)</f>
        <v>1109.9000000000001</v>
      </c>
      <c r="M1390" s="9">
        <f t="shared" ca="1" si="27"/>
        <v>117.10000000000014</v>
      </c>
      <c r="N1390" s="10">
        <f t="shared" ca="1" si="28"/>
        <v>11.794923448831602</v>
      </c>
      <c r="O1390" s="7">
        <f ca="1">IFERROR(__xludf.DUMMYFUNCTION("GOOGLEFINANCE(""NSE:""&amp;D1390,""pe"")"),121.44)</f>
        <v>121.44</v>
      </c>
      <c r="P1390" s="7">
        <f ca="1">IFERROR(__xludf.DUMMYFUNCTION("GOOGLEFINANCE(""NSE:""&amp;D1390,""EPS"")"),9.14)</f>
        <v>9.14</v>
      </c>
      <c r="Q1390" s="7">
        <v>13.5</v>
      </c>
      <c r="R1390" s="7" t="str">
        <f ca="1">IFERROR(__xludf.DUMMYFUNCTION("IMPORTXML(E1390,""/html/body/main/div[3]/div[3]/div[2]/ul/li[7]/span[2]/span"")"),"Loading...")</f>
        <v>Loading...</v>
      </c>
      <c r="S1390" s="7" t="str">
        <f ca="1">IFERROR(__xludf.DUMMYFUNCTION("IMPORTXML(E1390,""/html/body/main/div[3]/div[3]/div[2]/ul/li[8]/span[2]/span"")"),"Loading...")</f>
        <v>Loading...</v>
      </c>
      <c r="T1390" s="4">
        <v>34.6</v>
      </c>
      <c r="U1390" s="4">
        <v>22.7</v>
      </c>
      <c r="V1390" s="4">
        <v>2.6</v>
      </c>
      <c r="W1390" s="4">
        <v>5.7</v>
      </c>
      <c r="X1390" s="4">
        <v>519.92999999999995</v>
      </c>
      <c r="Y1390" s="7">
        <f t="shared" ca="1" si="29"/>
        <v>589.97000000000014</v>
      </c>
    </row>
    <row r="1391" spans="1:25" ht="15" x14ac:dyDescent="0.25">
      <c r="A1391" s="4">
        <v>1297</v>
      </c>
      <c r="C1391" s="12" t="s">
        <v>3324</v>
      </c>
      <c r="D1391" s="12" t="s">
        <v>3325</v>
      </c>
      <c r="E1391" s="5" t="str">
        <f t="shared" si="25"/>
        <v>https://www.screener.in/company/WSI/consolidated/</v>
      </c>
      <c r="F1391" s="4">
        <v>443059</v>
      </c>
      <c r="G1391" s="4">
        <v>3832241897</v>
      </c>
      <c r="H1391" s="6">
        <f t="shared" ca="1" si="26"/>
        <v>28749.478711293999</v>
      </c>
      <c r="I1391" s="7" t="str">
        <f ca="1">IFERROR(__xludf.DUMMYFUNCTION("IMPORTXML(E1391,""/html/body/main/div[3]/div[3]/div[2]/ul/li[5]/span[2]/span"")"),"Loading...")</f>
        <v>Loading...</v>
      </c>
      <c r="J1391" s="7">
        <f ca="1">IFERROR(__xludf.DUMMYFUNCTION("GOOGLEFINANCE(""NSE:""&amp;D1391,""marketcap"")"),4800936750)</f>
        <v>4800936750</v>
      </c>
      <c r="K1391" s="7">
        <v>992.8</v>
      </c>
      <c r="L1391" s="8">
        <f ca="1">IFERROR(__xludf.DUMMYFUNCTION("GOOGLEFINANCE(""NSE:""&amp;D1391,""price"")"),75.02)</f>
        <v>75.02</v>
      </c>
      <c r="M1391" s="9">
        <f t="shared" ca="1" si="27"/>
        <v>-917.78</v>
      </c>
      <c r="N1391" s="10">
        <f t="shared" ca="1" si="28"/>
        <v>-92.443593875906529</v>
      </c>
      <c r="O1391" s="7" t="str">
        <f ca="1">IFERROR(__xludf.DUMMYFUNCTION("GOOGLEFINANCE(""NSE:""&amp;D1391,""pe"")"),"#N/A")</f>
        <v>#N/A</v>
      </c>
      <c r="P1391" s="7">
        <f ca="1">IFERROR(__xludf.DUMMYFUNCTION("GOOGLEFINANCE(""NSE:""&amp;D1391,""EPS"")"),-3.55)</f>
        <v>-3.55</v>
      </c>
      <c r="Q1391" s="7">
        <v>13.5</v>
      </c>
      <c r="R1391" s="7">
        <f ca="1">IFERROR(__xludf.DUMMYFUNCTION("IMPORTXML(E1391,""/html/body/main/div[3]/div[3]/div[2]/ul/li[7]/span[2]/span"")"),5.3)</f>
        <v>5.3</v>
      </c>
      <c r="S1391" s="7" t="str">
        <f ca="1">IFERROR(__xludf.DUMMYFUNCTION("IMPORTXML(E1391,""/html/body/main/div[3]/div[3]/div[2]/ul/li[8]/span[2]/span"")"),"Loading...")</f>
        <v>Loading...</v>
      </c>
      <c r="T1391" s="4">
        <v>34.6</v>
      </c>
      <c r="U1391" s="4">
        <v>22.7</v>
      </c>
      <c r="V1391" s="4">
        <v>2.6</v>
      </c>
      <c r="W1391" s="4">
        <v>5.7</v>
      </c>
      <c r="X1391" s="4">
        <v>519.92999999999995</v>
      </c>
      <c r="Y1391" s="7">
        <f t="shared" ca="1" si="29"/>
        <v>-444.90999999999997</v>
      </c>
    </row>
    <row r="1392" spans="1:25" ht="15" x14ac:dyDescent="0.25">
      <c r="A1392" s="4">
        <v>139</v>
      </c>
      <c r="C1392" s="12" t="s">
        <v>3326</v>
      </c>
      <c r="D1392" s="12" t="s">
        <v>3327</v>
      </c>
      <c r="E1392" s="5" t="str">
        <f t="shared" si="25"/>
        <v>https://www.screener.in/company/ASTRAZEN/consolidated/</v>
      </c>
      <c r="F1392" s="4">
        <v>443059</v>
      </c>
      <c r="G1392" s="4">
        <v>3832241897</v>
      </c>
      <c r="H1392" s="6">
        <f t="shared" ca="1" si="26"/>
        <v>3495004.6100639999</v>
      </c>
      <c r="I1392" s="7" t="str">
        <f ca="1">IFERROR(__xludf.DUMMYFUNCTION("IMPORTXML(E1392,""/html/body/main/div[3]/div[3]/div[2]/ul/li[5]/span[2]/span"")"),"Loading...")</f>
        <v>Loading...</v>
      </c>
      <c r="J1392" s="7">
        <f ca="1">IFERROR(__xludf.DUMMYFUNCTION("GOOGLEFINANCE(""NSE:""&amp;D1392,""marketcap"")"),227250000000)</f>
        <v>227250000000</v>
      </c>
      <c r="K1392" s="7">
        <v>992.8</v>
      </c>
      <c r="L1392" s="8">
        <f ca="1">IFERROR(__xludf.DUMMYFUNCTION("GOOGLEFINANCE(""NSE:""&amp;D1392,""price"")"),9120)</f>
        <v>9120</v>
      </c>
      <c r="M1392" s="9">
        <f t="shared" ca="1" si="27"/>
        <v>8127.2</v>
      </c>
      <c r="N1392" s="10">
        <f t="shared" ca="1" si="28"/>
        <v>818.614020950846</v>
      </c>
      <c r="O1392" s="7">
        <f ca="1">IFERROR(__xludf.DUMMYFUNCTION("GOOGLEFINANCE(""NSE:""&amp;D1392,""pe"")"),124.32)</f>
        <v>124.32</v>
      </c>
      <c r="P1392" s="7">
        <f ca="1">IFERROR(__xludf.DUMMYFUNCTION("GOOGLEFINANCE(""NSE:""&amp;D1392,""EPS"")"),73.36)</f>
        <v>73.36</v>
      </c>
      <c r="Q1392" s="7">
        <v>13.5</v>
      </c>
      <c r="R1392" s="7" t="str">
        <f ca="1">IFERROR(__xludf.DUMMYFUNCTION("IMPORTXML(E1392,""/html/body/main/div[3]/div[3]/div[2]/ul/li[7]/span[2]/span"")"),"Loading...")</f>
        <v>Loading...</v>
      </c>
      <c r="S1392" s="7" t="str">
        <f ca="1">IFERROR(__xludf.DUMMYFUNCTION("IMPORTXML(E1392,""/html/body/main/div[3]/div[3]/div[2]/ul/li[8]/span[2]/span"")"),"Loading...")</f>
        <v>Loading...</v>
      </c>
      <c r="T1392" s="4">
        <v>34.6</v>
      </c>
      <c r="U1392" s="4">
        <v>22.7</v>
      </c>
      <c r="V1392" s="4">
        <v>2.6</v>
      </c>
      <c r="W1392" s="4">
        <v>5.7</v>
      </c>
      <c r="X1392" s="4">
        <v>519.92999999999995</v>
      </c>
      <c r="Y1392" s="7">
        <f t="shared" ca="1" si="29"/>
        <v>8600.07</v>
      </c>
    </row>
    <row r="1393" spans="1:25" ht="15" x14ac:dyDescent="0.25">
      <c r="A1393" s="4">
        <v>2920</v>
      </c>
      <c r="C1393" s="12" t="s">
        <v>3328</v>
      </c>
      <c r="D1393" s="12" t="s">
        <v>3329</v>
      </c>
      <c r="E1393" s="5" t="str">
        <f t="shared" si="25"/>
        <v>https://www.screener.in/company/ADL/consolidated/</v>
      </c>
      <c r="F1393" s="4">
        <v>443059</v>
      </c>
      <c r="G1393" s="4">
        <v>3832241897</v>
      </c>
      <c r="H1393" s="6">
        <f t="shared" ca="1" si="26"/>
        <v>34018.811319669003</v>
      </c>
      <c r="I1393" s="7" t="str">
        <f ca="1">IFERROR(__xludf.DUMMYFUNCTION("IMPORTXML(E1393,""/html/body/main/div[3]/div[3]/div[2]/ul/li[5]/span[2]/span"")"),"Loading...")</f>
        <v>Loading...</v>
      </c>
      <c r="J1393" s="7">
        <f ca="1">IFERROR(__xludf.DUMMYFUNCTION("GOOGLEFINANCE(""NSE:""&amp;D1393,""marketcap"")"),498192400)</f>
        <v>498192400</v>
      </c>
      <c r="K1393" s="7">
        <v>992.8</v>
      </c>
      <c r="L1393" s="8">
        <f ca="1">IFERROR(__xludf.DUMMYFUNCTION("GOOGLEFINANCE(""NSE:""&amp;D1393,""price"")"),88.77)</f>
        <v>88.77</v>
      </c>
      <c r="M1393" s="9">
        <f t="shared" ca="1" si="27"/>
        <v>-904.03</v>
      </c>
      <c r="N1393" s="10">
        <f t="shared" ca="1" si="28"/>
        <v>-91.058622078968583</v>
      </c>
      <c r="O1393" s="7">
        <f ca="1">IFERROR(__xludf.DUMMYFUNCTION("GOOGLEFINANCE(""NSE:""&amp;D1393,""pe"")"),385.96)</f>
        <v>385.96</v>
      </c>
      <c r="P1393" s="7">
        <f ca="1">IFERROR(__xludf.DUMMYFUNCTION("GOOGLEFINANCE(""NSE:""&amp;D1393,""EPS"")"),0.23)</f>
        <v>0.23</v>
      </c>
      <c r="Q1393" s="7">
        <v>13.5</v>
      </c>
      <c r="R1393" s="7" t="str">
        <f ca="1">IFERROR(__xludf.DUMMYFUNCTION("IMPORTXML(E1393,""/html/body/main/div[3]/div[3]/div[2]/ul/li[7]/span[2]/span"")"),"Loading...")</f>
        <v>Loading...</v>
      </c>
      <c r="S1393" s="7" t="str">
        <f ca="1">IFERROR(__xludf.DUMMYFUNCTION("IMPORTXML(E1393,""/html/body/main/div[3]/div[3]/div[2]/ul/li[8]/span[2]/span"")"),"Loading...")</f>
        <v>Loading...</v>
      </c>
      <c r="T1393" s="4">
        <v>34.6</v>
      </c>
      <c r="U1393" s="4">
        <v>22.7</v>
      </c>
      <c r="V1393" s="4">
        <v>2.6</v>
      </c>
      <c r="W1393" s="4">
        <v>5.7</v>
      </c>
      <c r="X1393" s="4">
        <v>519.92999999999995</v>
      </c>
      <c r="Y1393" s="7">
        <f t="shared" ca="1" si="29"/>
        <v>-431.15999999999997</v>
      </c>
    </row>
    <row r="1394" spans="1:25" ht="15" x14ac:dyDescent="0.25">
      <c r="A1394" s="4">
        <v>950</v>
      </c>
      <c r="C1394" s="12" t="s">
        <v>3330</v>
      </c>
      <c r="D1394" s="12" t="s">
        <v>3331</v>
      </c>
      <c r="E1394" s="5" t="str">
        <f t="shared" si="25"/>
        <v>https://www.screener.in/company/SADHNANIQ/consolidated/</v>
      </c>
      <c r="F1394" s="4">
        <v>443059</v>
      </c>
      <c r="G1394" s="4">
        <v>3832241897</v>
      </c>
      <c r="H1394" s="6">
        <f t="shared" ca="1" si="26"/>
        <v>3855.2353483819998</v>
      </c>
      <c r="I1394" s="7" t="str">
        <f ca="1">IFERROR(__xludf.DUMMYFUNCTION("IMPORTXML(E1394,""/html/body/main/div[3]/div[3]/div[2]/ul/li[5]/span[2]/span"")"),"Loading...")</f>
        <v>Loading...</v>
      </c>
      <c r="J1394" s="7">
        <f ca="1">IFERROR(__xludf.DUMMYFUNCTION("GOOGLEFINANCE(""NSE:""&amp;D1394,""marketcap"")"),3313874798)</f>
        <v>3313874798</v>
      </c>
      <c r="K1394" s="7">
        <v>992.8</v>
      </c>
      <c r="L1394" s="8">
        <f ca="1">IFERROR(__xludf.DUMMYFUNCTION("GOOGLEFINANCE(""NSE:""&amp;D1394,""price"")"),10.06)</f>
        <v>10.06</v>
      </c>
      <c r="M1394" s="9">
        <f t="shared" ca="1" si="27"/>
        <v>-982.74</v>
      </c>
      <c r="N1394" s="10">
        <f t="shared" ca="1" si="28"/>
        <v>-98.986704270749399</v>
      </c>
      <c r="O1394" s="7">
        <f ca="1">IFERROR(__xludf.DUMMYFUNCTION("GOOGLEFINANCE(""NSE:""&amp;D1394,""pe"")"),71.86)</f>
        <v>71.86</v>
      </c>
      <c r="P1394" s="7">
        <f ca="1">IFERROR(__xludf.DUMMYFUNCTION("GOOGLEFINANCE(""NSE:""&amp;D1394,""EPS"")"),0.14)</f>
        <v>0.14000000000000001</v>
      </c>
      <c r="Q1394" s="7">
        <v>13.5</v>
      </c>
      <c r="R1394" s="7" t="str">
        <f ca="1">IFERROR(__xludf.DUMMYFUNCTION("IMPORTXML(E1394,""/html/body/main/div[3]/div[3]/div[2]/ul/li[7]/span[2]/span"")"),"Loading...")</f>
        <v>Loading...</v>
      </c>
      <c r="S1394" s="7" t="str">
        <f ca="1">IFERROR(__xludf.DUMMYFUNCTION("IMPORTXML(E1394,""/html/body/main/div[3]/div[3]/div[2]/ul/li[8]/span[2]/span"")"),"Loading...")</f>
        <v>Loading...</v>
      </c>
      <c r="T1394" s="4">
        <v>34.6</v>
      </c>
      <c r="U1394" s="4">
        <v>22.7</v>
      </c>
      <c r="V1394" s="4">
        <v>2.6</v>
      </c>
      <c r="W1394" s="4">
        <v>5.7</v>
      </c>
      <c r="X1394" s="4">
        <v>519.92999999999995</v>
      </c>
      <c r="Y1394" s="7">
        <f t="shared" ca="1" si="29"/>
        <v>-509.86999999999995</v>
      </c>
    </row>
    <row r="1395" spans="1:25" ht="15" x14ac:dyDescent="0.25">
      <c r="A1395" s="4">
        <v>2881</v>
      </c>
      <c r="C1395" s="12" t="s">
        <v>3332</v>
      </c>
      <c r="D1395" s="12" t="s">
        <v>3333</v>
      </c>
      <c r="E1395" s="5" t="str">
        <f t="shared" si="25"/>
        <v>https://www.screener.in/company/LAXMICOT/consolidated/</v>
      </c>
      <c r="F1395" s="4">
        <v>443059</v>
      </c>
      <c r="G1395" s="4">
        <v>3832241897</v>
      </c>
      <c r="H1395" s="6">
        <f t="shared" ca="1" si="26"/>
        <v>9197.3805527999994</v>
      </c>
      <c r="I1395" s="7" t="str">
        <f ca="1">IFERROR(__xludf.DUMMYFUNCTION("IMPORTXML(E1395,""/html/body/main/div[3]/div[3]/div[2]/ul/li[5]/span[2]/span"")"),"Loading...")</f>
        <v>Loading...</v>
      </c>
      <c r="J1395" s="7">
        <f ca="1">IFERROR(__xludf.DUMMYFUNCTION("GOOGLEFINANCE(""NSE:""&amp;D1395,""marketcap"")"),411543840)</f>
        <v>411543840</v>
      </c>
      <c r="K1395" s="7">
        <v>992.8</v>
      </c>
      <c r="L1395" s="8">
        <f ca="1">IFERROR(__xludf.DUMMYFUNCTION("GOOGLEFINANCE(""NSE:""&amp;D1395,""price"")"),24)</f>
        <v>24</v>
      </c>
      <c r="M1395" s="9">
        <f t="shared" ca="1" si="27"/>
        <v>-968.8</v>
      </c>
      <c r="N1395" s="10">
        <f t="shared" ca="1" si="28"/>
        <v>-97.582594681708301</v>
      </c>
      <c r="O1395" s="7">
        <f ca="1">IFERROR(__xludf.DUMMYFUNCTION("GOOGLEFINANCE(""NSE:""&amp;D1395,""pe"")"),7.79)</f>
        <v>7.79</v>
      </c>
      <c r="P1395" s="7">
        <f ca="1">IFERROR(__xludf.DUMMYFUNCTION("GOOGLEFINANCE(""NSE:""&amp;D1395,""EPS"")"),3.08)</f>
        <v>3.08</v>
      </c>
      <c r="Q1395" s="7">
        <v>13.5</v>
      </c>
      <c r="R1395" s="7" t="str">
        <f ca="1">IFERROR(__xludf.DUMMYFUNCTION("IMPORTXML(E1395,""/html/body/main/div[3]/div[3]/div[2]/ul/li[7]/span[2]/span"")"),"Loading...")</f>
        <v>Loading...</v>
      </c>
      <c r="S1395" s="7" t="str">
        <f ca="1">IFERROR(__xludf.DUMMYFUNCTION("IMPORTXML(E1395,""/html/body/main/div[3]/div[3]/div[2]/ul/li[8]/span[2]/span"")"),"Loading...")</f>
        <v>Loading...</v>
      </c>
      <c r="T1395" s="4">
        <v>34.6</v>
      </c>
      <c r="U1395" s="4">
        <v>22.7</v>
      </c>
      <c r="V1395" s="4">
        <v>2.6</v>
      </c>
      <c r="W1395" s="4">
        <v>5.7</v>
      </c>
      <c r="X1395" s="4">
        <v>519.92999999999995</v>
      </c>
      <c r="Y1395" s="7">
        <f t="shared" ca="1" si="29"/>
        <v>-495.92999999999995</v>
      </c>
    </row>
    <row r="1396" spans="1:25" ht="15" x14ac:dyDescent="0.25">
      <c r="A1396" s="4">
        <v>1470</v>
      </c>
      <c r="C1396" s="12" t="s">
        <v>3334</v>
      </c>
      <c r="D1396" s="12" t="s">
        <v>3335</v>
      </c>
      <c r="E1396" s="5" t="str">
        <f t="shared" si="25"/>
        <v>https://www.screener.in/company/MIRZAINT/consolidated/</v>
      </c>
      <c r="F1396" s="4">
        <v>443059</v>
      </c>
      <c r="G1396" s="4">
        <v>3832241897</v>
      </c>
      <c r="H1396" s="6">
        <f t="shared" ca="1" si="26"/>
        <v>12914.655192890001</v>
      </c>
      <c r="I1396" s="7" t="str">
        <f ca="1">IFERROR(__xludf.DUMMYFUNCTION("IMPORTXML(E1396,""/html/body/main/div[3]/div[3]/div[2]/ul/li[5]/span[2]/span"")"),"Loading...")</f>
        <v>Loading...</v>
      </c>
      <c r="J1396" s="7">
        <f ca="1">IFERROR(__xludf.DUMMYFUNCTION("GOOGLEFINANCE(""NSE:""&amp;D1396,""marketcap"")"),4671417849)</f>
        <v>4671417849</v>
      </c>
      <c r="K1396" s="7">
        <v>992.8</v>
      </c>
      <c r="L1396" s="8">
        <f ca="1">IFERROR(__xludf.DUMMYFUNCTION("GOOGLEFINANCE(""NSE:""&amp;D1396,""price"")"),33.7)</f>
        <v>33.700000000000003</v>
      </c>
      <c r="M1396" s="9">
        <f t="shared" ca="1" si="27"/>
        <v>-959.09999999999991</v>
      </c>
      <c r="N1396" s="10">
        <f t="shared" ca="1" si="28"/>
        <v>-96.605560032232063</v>
      </c>
      <c r="O1396" s="7">
        <f ca="1">IFERROR(__xludf.DUMMYFUNCTION("GOOGLEFINANCE(""NSE:""&amp;D1396,""pe"")"),34.6)</f>
        <v>34.6</v>
      </c>
      <c r="P1396" s="7">
        <f ca="1">IFERROR(__xludf.DUMMYFUNCTION("GOOGLEFINANCE(""NSE:""&amp;D1396,""EPS"")"),0.97)</f>
        <v>0.97</v>
      </c>
      <c r="Q1396" s="7">
        <v>13.5</v>
      </c>
      <c r="R1396" s="7" t="str">
        <f ca="1">IFERROR(__xludf.DUMMYFUNCTION("IMPORTXML(E1396,""/html/body/main/div[3]/div[3]/div[2]/ul/li[7]/span[2]/span"")"),"Loading...")</f>
        <v>Loading...</v>
      </c>
      <c r="S1396" s="7" t="str">
        <f ca="1">IFERROR(__xludf.DUMMYFUNCTION("IMPORTXML(E1396,""/html/body/main/div[3]/div[3]/div[2]/ul/li[8]/span[2]/span"")"),"Loading...")</f>
        <v>Loading...</v>
      </c>
      <c r="T1396" s="4">
        <v>34.6</v>
      </c>
      <c r="U1396" s="4">
        <v>22.7</v>
      </c>
      <c r="V1396" s="4">
        <v>2.6</v>
      </c>
      <c r="W1396" s="4">
        <v>5.7</v>
      </c>
      <c r="X1396" s="4">
        <v>519.92999999999995</v>
      </c>
      <c r="Y1396" s="7">
        <f t="shared" ca="1" si="29"/>
        <v>-486.22999999999996</v>
      </c>
    </row>
    <row r="1397" spans="1:25" ht="15" x14ac:dyDescent="0.25">
      <c r="A1397" s="4">
        <v>126</v>
      </c>
      <c r="C1397" s="12" t="s">
        <v>3336</v>
      </c>
      <c r="D1397" s="12" t="s">
        <v>3337</v>
      </c>
      <c r="E1397" s="5" t="str">
        <f t="shared" si="25"/>
        <v>https://www.screener.in/company/SOBHA/consolidated/</v>
      </c>
      <c r="F1397" s="4">
        <v>443059</v>
      </c>
      <c r="G1397" s="4">
        <v>3832241897</v>
      </c>
      <c r="H1397" s="6">
        <f t="shared" ca="1" si="26"/>
        <v>542185.58358755999</v>
      </c>
      <c r="I1397" s="7" t="str">
        <f ca="1">IFERROR(__xludf.DUMMYFUNCTION("IMPORTXML(E1397,""/html/body/main/div[3]/div[3]/div[2]/ul/li[5]/span[2]/span"")"),"Loading...")</f>
        <v>Loading...</v>
      </c>
      <c r="J1397" s="7">
        <f ca="1">IFERROR(__xludf.DUMMYFUNCTION("GOOGLEFINANCE(""NSE:""&amp;D1397,""marketcap"")"),151361392863)</f>
        <v>151361392863</v>
      </c>
      <c r="K1397" s="7">
        <v>992.8</v>
      </c>
      <c r="L1397" s="8">
        <f ca="1">IFERROR(__xludf.DUMMYFUNCTION("GOOGLEFINANCE(""NSE:""&amp;D1397,""price"")"),1414.8)</f>
        <v>1414.8</v>
      </c>
      <c r="M1397" s="9">
        <f t="shared" ca="1" si="27"/>
        <v>422</v>
      </c>
      <c r="N1397" s="10">
        <f t="shared" ca="1" si="28"/>
        <v>42.506043513295729</v>
      </c>
      <c r="O1397" s="7">
        <f ca="1">IFERROR(__xludf.DUMMYFUNCTION("GOOGLEFINANCE(""NSE:""&amp;D1397,""pe"")"),147.26)</f>
        <v>147.26</v>
      </c>
      <c r="P1397" s="7">
        <f ca="1">IFERROR(__xludf.DUMMYFUNCTION("GOOGLEFINANCE(""NSE:""&amp;D1397,""EPS"")"),9.61)</f>
        <v>9.61</v>
      </c>
      <c r="Q1397" s="7">
        <v>13.5</v>
      </c>
      <c r="R1397" s="7" t="str">
        <f ca="1">IFERROR(__xludf.DUMMYFUNCTION("IMPORTXML(E1397,""/html/body/main/div[3]/div[3]/div[2]/ul/li[7]/span[2]/span"")"),"Loading...")</f>
        <v>Loading...</v>
      </c>
      <c r="S1397" s="7" t="str">
        <f ca="1">IFERROR(__xludf.DUMMYFUNCTION("IMPORTXML(E1397,""/html/body/main/div[3]/div[3]/div[2]/ul/li[8]/span[2]/span"")"),"Loading...")</f>
        <v>Loading...</v>
      </c>
      <c r="T1397" s="4">
        <v>34.6</v>
      </c>
      <c r="U1397" s="4">
        <v>22.7</v>
      </c>
      <c r="V1397" s="4">
        <v>2.6</v>
      </c>
      <c r="W1397" s="4">
        <v>5.7</v>
      </c>
      <c r="X1397" s="4">
        <v>519.92999999999995</v>
      </c>
      <c r="Y1397" s="7">
        <f t="shared" ca="1" si="29"/>
        <v>894.87</v>
      </c>
    </row>
    <row r="1398" spans="1:25" ht="15" x14ac:dyDescent="0.25">
      <c r="A1398" s="4">
        <v>2019</v>
      </c>
      <c r="C1398" s="12" t="s">
        <v>3338</v>
      </c>
      <c r="D1398" s="12" t="s">
        <v>3339</v>
      </c>
      <c r="E1398" s="5" t="str">
        <f t="shared" si="25"/>
        <v>https://www.screener.in/company/INCREDIBLE/consolidated/</v>
      </c>
      <c r="F1398" s="4">
        <v>443059</v>
      </c>
      <c r="G1398" s="4">
        <v>3832241897</v>
      </c>
      <c r="H1398" s="6">
        <f t="shared" ca="1" si="26"/>
        <v>16900.186765770002</v>
      </c>
      <c r="I1398" s="7" t="str">
        <f ca="1">IFERROR(__xludf.DUMMYFUNCTION("IMPORTXML(E1398,""/html/body/main/div[3]/div[3]/div[2]/ul/li[5]/span[2]/span"")"),"Loading...")</f>
        <v>Loading...</v>
      </c>
      <c r="J1398" s="7">
        <f ca="1">IFERROR(__xludf.DUMMYFUNCTION("GOOGLEFINANCE(""NSE:""&amp;D1398,""marketcap"")"),2060411000)</f>
        <v>2060411000</v>
      </c>
      <c r="K1398" s="7">
        <v>992.8</v>
      </c>
      <c r="L1398" s="8">
        <f ca="1">IFERROR(__xludf.DUMMYFUNCTION("GOOGLEFINANCE(""NSE:""&amp;D1398,""price"")"),44.1)</f>
        <v>44.1</v>
      </c>
      <c r="M1398" s="9">
        <f t="shared" ca="1" si="27"/>
        <v>-948.69999999999993</v>
      </c>
      <c r="N1398" s="10">
        <f t="shared" ca="1" si="28"/>
        <v>-95.558017727638997</v>
      </c>
      <c r="O1398" s="7">
        <f ca="1">IFERROR(__xludf.DUMMYFUNCTION("GOOGLEFINANCE(""NSE:""&amp;D1398,""pe"")"),209.41)</f>
        <v>209.41</v>
      </c>
      <c r="P1398" s="7">
        <f ca="1">IFERROR(__xludf.DUMMYFUNCTION("GOOGLEFINANCE(""NSE:""&amp;D1398,""EPS"")"),0.14)</f>
        <v>0.14000000000000001</v>
      </c>
      <c r="Q1398" s="7">
        <v>13.5</v>
      </c>
      <c r="R1398" s="7" t="str">
        <f ca="1">IFERROR(__xludf.DUMMYFUNCTION("IMPORTXML(E1398,""/html/body/main/div[3]/div[3]/div[2]/ul/li[7]/span[2]/span"")"),"Loading...")</f>
        <v>Loading...</v>
      </c>
      <c r="S1398" s="7" t="str">
        <f ca="1">IFERROR(__xludf.DUMMYFUNCTION("IMPORTXML(E1398,""/html/body/main/div[3]/div[3]/div[2]/ul/li[8]/span[2]/span"")"),"Loading...")</f>
        <v>Loading...</v>
      </c>
      <c r="T1398" s="4">
        <v>34.6</v>
      </c>
      <c r="U1398" s="4">
        <v>22.7</v>
      </c>
      <c r="V1398" s="4">
        <v>2.6</v>
      </c>
      <c r="W1398" s="4">
        <v>5.7</v>
      </c>
      <c r="X1398" s="4">
        <v>519.92999999999995</v>
      </c>
      <c r="Y1398" s="7">
        <f t="shared" ca="1" si="29"/>
        <v>-475.82999999999993</v>
      </c>
    </row>
    <row r="1399" spans="1:25" ht="15" x14ac:dyDescent="0.25">
      <c r="A1399" s="4">
        <v>653</v>
      </c>
      <c r="C1399" s="12" t="s">
        <v>3340</v>
      </c>
      <c r="D1399" s="12" t="s">
        <v>3341</v>
      </c>
      <c r="E1399" s="5" t="str">
        <f t="shared" si="25"/>
        <v>https://www.screener.in/company/ASHIANA/consolidated/</v>
      </c>
      <c r="F1399" s="4">
        <v>443059</v>
      </c>
      <c r="G1399" s="4">
        <v>3832241897</v>
      </c>
      <c r="H1399" s="6">
        <f t="shared" ca="1" si="26"/>
        <v>119431.81872000499</v>
      </c>
      <c r="I1399" s="7" t="str">
        <f ca="1">IFERROR(__xludf.DUMMYFUNCTION("IMPORTXML(E1399,""/html/body/main/div[3]/div[3]/div[2]/ul/li[5]/span[2]/span"")"),"Loading...")</f>
        <v>Loading...</v>
      </c>
      <c r="J1399" s="7">
        <f ca="1">IFERROR(__xludf.DUMMYFUNCTION("GOOGLEFINANCE(""NSE:""&amp;D1399,""marketcap"")"),31519570000)</f>
        <v>31519570000</v>
      </c>
      <c r="K1399" s="7">
        <v>992.8</v>
      </c>
      <c r="L1399" s="8">
        <f ca="1">IFERROR(__xludf.DUMMYFUNCTION("GOOGLEFINANCE(""NSE:""&amp;D1399,""price"")"),311.65)</f>
        <v>311.64999999999998</v>
      </c>
      <c r="M1399" s="9">
        <f t="shared" ca="1" si="27"/>
        <v>-681.15</v>
      </c>
      <c r="N1399" s="10">
        <f t="shared" ca="1" si="28"/>
        <v>-68.608984689766316</v>
      </c>
      <c r="O1399" s="7">
        <f ca="1">IFERROR(__xludf.DUMMYFUNCTION("GOOGLEFINANCE(""NSE:""&amp;D1399,""pe"")"),84.69)</f>
        <v>84.69</v>
      </c>
      <c r="P1399" s="7">
        <f ca="1">IFERROR(__xludf.DUMMYFUNCTION("GOOGLEFINANCE(""NSE:""&amp;D1399,""EPS"")"),3.68)</f>
        <v>3.68</v>
      </c>
      <c r="Q1399" s="7">
        <v>13.5</v>
      </c>
      <c r="R1399" s="7" t="str">
        <f ca="1">IFERROR(__xludf.DUMMYFUNCTION("IMPORTXML(E1399,""/html/body/main/div[3]/div[3]/div[2]/ul/li[7]/span[2]/span"")"),"Loading...")</f>
        <v>Loading...</v>
      </c>
      <c r="S1399" s="7" t="str">
        <f ca="1">IFERROR(__xludf.DUMMYFUNCTION("IMPORTXML(E1399,""/html/body/main/div[3]/div[3]/div[2]/ul/li[8]/span[2]/span"")"),"Loading...")</f>
        <v>Loading...</v>
      </c>
      <c r="T1399" s="4">
        <v>34.6</v>
      </c>
      <c r="U1399" s="4">
        <v>22.7</v>
      </c>
      <c r="V1399" s="4">
        <v>2.6</v>
      </c>
      <c r="W1399" s="4">
        <v>5.7</v>
      </c>
      <c r="X1399" s="4">
        <v>519.92999999999995</v>
      </c>
      <c r="Y1399" s="7">
        <f t="shared" ca="1" si="29"/>
        <v>-208.27999999999997</v>
      </c>
    </row>
    <row r="1400" spans="1:25" ht="15" x14ac:dyDescent="0.25">
      <c r="A1400" s="4">
        <v>200</v>
      </c>
      <c r="C1400" s="12" t="s">
        <v>3342</v>
      </c>
      <c r="D1400" s="12" t="s">
        <v>3343</v>
      </c>
      <c r="E1400" s="5" t="str">
        <f t="shared" si="25"/>
        <v>https://www.screener.in/company/SWSOLAR/consolidated/</v>
      </c>
      <c r="F1400" s="4">
        <v>443059</v>
      </c>
      <c r="G1400" s="4">
        <v>3832241897</v>
      </c>
      <c r="H1400" s="6">
        <f t="shared" ca="1" si="26"/>
        <v>101171.18608080001</v>
      </c>
      <c r="I1400" s="7" t="str">
        <f ca="1">IFERROR(__xludf.DUMMYFUNCTION("IMPORTXML(E1400,""/html/body/main/div[3]/div[3]/div[2]/ul/li[5]/span[2]/span"")"),"Loading...")</f>
        <v>Loading...</v>
      </c>
      <c r="J1400" s="7">
        <f ca="1">IFERROR(__xludf.DUMMYFUNCTION("GOOGLEFINANCE(""NSE:""&amp;D1400,""marketcap"")"),61448845418)</f>
        <v>61448845418</v>
      </c>
      <c r="K1400" s="7">
        <v>992.8</v>
      </c>
      <c r="L1400" s="8">
        <f ca="1">IFERROR(__xludf.DUMMYFUNCTION("GOOGLEFINANCE(""NSE:""&amp;D1400,""price"")"),264)</f>
        <v>264</v>
      </c>
      <c r="M1400" s="9">
        <f t="shared" ca="1" si="27"/>
        <v>-728.8</v>
      </c>
      <c r="N1400" s="10">
        <f t="shared" ca="1" si="28"/>
        <v>-73.408541498791294</v>
      </c>
      <c r="O1400" s="7">
        <f ca="1">IFERROR(__xludf.DUMMYFUNCTION("GOOGLEFINANCE(""NSE:""&amp;D1400,""pe"")"),56.83)</f>
        <v>56.83</v>
      </c>
      <c r="P1400" s="7">
        <f ca="1">IFERROR(__xludf.DUMMYFUNCTION("GOOGLEFINANCE(""NSE:""&amp;D1400,""EPS"")"),4.65)</f>
        <v>4.6500000000000004</v>
      </c>
      <c r="Q1400" s="7">
        <v>13.5</v>
      </c>
      <c r="R1400" s="7" t="str">
        <f ca="1">IFERROR(__xludf.DUMMYFUNCTION("IMPORTXML(E1400,""/html/body/main/div[3]/div[3]/div[2]/ul/li[7]/span[2]/span"")"),"Loading...")</f>
        <v>Loading...</v>
      </c>
      <c r="S1400" s="7" t="str">
        <f ca="1">IFERROR(__xludf.DUMMYFUNCTION("IMPORTXML(E1400,""/html/body/main/div[3]/div[3]/div[2]/ul/li[8]/span[2]/span"")"),"Loading...")</f>
        <v>Loading...</v>
      </c>
      <c r="T1400" s="4">
        <v>34.6</v>
      </c>
      <c r="U1400" s="4">
        <v>22.7</v>
      </c>
      <c r="V1400" s="4">
        <v>2.6</v>
      </c>
      <c r="W1400" s="4">
        <v>5.7</v>
      </c>
      <c r="X1400" s="4">
        <v>519.92999999999995</v>
      </c>
      <c r="Y1400" s="7">
        <f t="shared" ca="1" si="29"/>
        <v>-255.92999999999995</v>
      </c>
    </row>
    <row r="1401" spans="1:25" ht="15" x14ac:dyDescent="0.25">
      <c r="A1401" s="4">
        <v>1110</v>
      </c>
      <c r="C1401" s="12" t="s">
        <v>3344</v>
      </c>
      <c r="D1401" s="12" t="s">
        <v>3345</v>
      </c>
      <c r="E1401" s="5" t="str">
        <f t="shared" si="25"/>
        <v>https://www.screener.in/company/SNOWMAN/consolidated/</v>
      </c>
      <c r="F1401" s="4">
        <v>443059</v>
      </c>
      <c r="G1401" s="4">
        <v>3832241897</v>
      </c>
      <c r="H1401" s="6">
        <f t="shared" ca="1" si="26"/>
        <v>20318.546537893999</v>
      </c>
      <c r="I1401" s="7" t="str">
        <f ca="1">IFERROR(__xludf.DUMMYFUNCTION("IMPORTXML(E1401,""/html/body/main/div[3]/div[3]/div[2]/ul/li[5]/span[2]/span"")"),"Loading...")</f>
        <v>Loading...</v>
      </c>
      <c r="J1401" s="7">
        <f ca="1">IFERROR(__xludf.DUMMYFUNCTION("GOOGLEFINANCE(""NSE:""&amp;D1401,""marketcap"")"),8859000534)</f>
        <v>8859000534</v>
      </c>
      <c r="K1401" s="7">
        <v>992.8</v>
      </c>
      <c r="L1401" s="8">
        <f ca="1">IFERROR(__xludf.DUMMYFUNCTION("GOOGLEFINANCE(""NSE:""&amp;D1401,""price"")"),53.02)</f>
        <v>53.02</v>
      </c>
      <c r="M1401" s="9">
        <f t="shared" ca="1" si="27"/>
        <v>-939.78</v>
      </c>
      <c r="N1401" s="10">
        <f t="shared" ca="1" si="28"/>
        <v>-94.65954875100725</v>
      </c>
      <c r="O1401" s="7">
        <f ca="1">IFERROR(__xludf.DUMMYFUNCTION("GOOGLEFINANCE(""NSE:""&amp;D1401,""pe"")"),148.61)</f>
        <v>148.61000000000001</v>
      </c>
      <c r="P1401" s="7">
        <f ca="1">IFERROR(__xludf.DUMMYFUNCTION("GOOGLEFINANCE(""NSE:""&amp;D1401,""EPS"")"),0.36)</f>
        <v>0.36</v>
      </c>
      <c r="Q1401" s="7">
        <v>13.5</v>
      </c>
      <c r="R1401" s="7" t="str">
        <f ca="1">IFERROR(__xludf.DUMMYFUNCTION("IMPORTXML(E1401,""/html/body/main/div[3]/div[3]/div[2]/ul/li[7]/span[2]/span"")"),"Loading...")</f>
        <v>Loading...</v>
      </c>
      <c r="S1401" s="7" t="str">
        <f ca="1">IFERROR(__xludf.DUMMYFUNCTION("IMPORTXML(E1401,""/html/body/main/div[3]/div[3]/div[2]/ul/li[8]/span[2]/span"")"),"Loading...")</f>
        <v>Loading...</v>
      </c>
      <c r="T1401" s="4">
        <v>34.6</v>
      </c>
      <c r="U1401" s="4">
        <v>22.7</v>
      </c>
      <c r="V1401" s="4">
        <v>2.6</v>
      </c>
      <c r="W1401" s="4">
        <v>5.7</v>
      </c>
      <c r="X1401" s="4">
        <v>519.92999999999995</v>
      </c>
      <c r="Y1401" s="7">
        <f t="shared" ca="1" si="29"/>
        <v>-466.90999999999997</v>
      </c>
    </row>
    <row r="1402" spans="1:25" ht="15" x14ac:dyDescent="0.25">
      <c r="A1402" s="4">
        <v>1722</v>
      </c>
      <c r="C1402" s="12" t="s">
        <v>3346</v>
      </c>
      <c r="D1402" s="12" t="s">
        <v>3347</v>
      </c>
      <c r="E1402" s="5" t="str">
        <f t="shared" si="25"/>
        <v>https://www.screener.in/company/CCHHL/consolidated/</v>
      </c>
      <c r="F1402" s="4">
        <v>443059</v>
      </c>
      <c r="G1402" s="4">
        <v>3832241897</v>
      </c>
      <c r="H1402" s="6">
        <f t="shared" ca="1" si="26"/>
        <v>6871.209721321</v>
      </c>
      <c r="I1402" s="7" t="str">
        <f ca="1">IFERROR(__xludf.DUMMYFUNCTION("IMPORTXML(E1402,""/html/body/main/div[3]/div[3]/div[2]/ul/li[5]/span[2]/span"")"),"Loading...")</f>
        <v>Loading...</v>
      </c>
      <c r="J1402" s="7">
        <f ca="1">IFERROR(__xludf.DUMMYFUNCTION("GOOGLEFINANCE(""NSE:""&amp;D1402,""marketcap"")"),2970154000)</f>
        <v>2970154000</v>
      </c>
      <c r="K1402" s="7">
        <v>992.8</v>
      </c>
      <c r="L1402" s="8">
        <f ca="1">IFERROR(__xludf.DUMMYFUNCTION("GOOGLEFINANCE(""NSE:""&amp;D1402,""price"")"),17.93)</f>
        <v>17.93</v>
      </c>
      <c r="M1402" s="9">
        <f t="shared" ca="1" si="27"/>
        <v>-974.87</v>
      </c>
      <c r="N1402" s="10">
        <f t="shared" ca="1" si="28"/>
        <v>-98.193996776792915</v>
      </c>
      <c r="O1402" s="7">
        <f ca="1">IFERROR(__xludf.DUMMYFUNCTION("GOOGLEFINANCE(""NSE:""&amp;D1402,""pe"")"),57.94)</f>
        <v>57.94</v>
      </c>
      <c r="P1402" s="7">
        <f ca="1">IFERROR(__xludf.DUMMYFUNCTION("GOOGLEFINANCE(""NSE:""&amp;D1402,""EPS"")"),0.31)</f>
        <v>0.31</v>
      </c>
      <c r="Q1402" s="7">
        <v>13.5</v>
      </c>
      <c r="R1402" s="7" t="str">
        <f ca="1">IFERROR(__xludf.DUMMYFUNCTION("IMPORTXML(E1402,""/html/body/main/div[3]/div[3]/div[2]/ul/li[7]/span[2]/span"")"),"Loading...")</f>
        <v>Loading...</v>
      </c>
      <c r="S1402" s="7" t="str">
        <f ca="1">IFERROR(__xludf.DUMMYFUNCTION("IMPORTXML(E1402,""/html/body/main/div[3]/div[3]/div[2]/ul/li[8]/span[2]/span"")"),"Loading...")</f>
        <v>Loading...</v>
      </c>
      <c r="T1402" s="4">
        <v>34.6</v>
      </c>
      <c r="U1402" s="4">
        <v>22.7</v>
      </c>
      <c r="V1402" s="4">
        <v>2.6</v>
      </c>
      <c r="W1402" s="4">
        <v>5.7</v>
      </c>
      <c r="X1402" s="4">
        <v>519.92999999999995</v>
      </c>
      <c r="Y1402" s="7">
        <f t="shared" ca="1" si="29"/>
        <v>-501.99999999999994</v>
      </c>
    </row>
    <row r="1403" spans="1:25" ht="15" x14ac:dyDescent="0.25">
      <c r="A1403" s="4">
        <v>760</v>
      </c>
      <c r="C1403" s="12" t="s">
        <v>3348</v>
      </c>
      <c r="D1403" s="12" t="s">
        <v>3349</v>
      </c>
      <c r="E1403" s="5" t="str">
        <f t="shared" si="25"/>
        <v>https://www.screener.in/company/VAKRANGEE/consolidated/</v>
      </c>
      <c r="F1403" s="4">
        <v>443059</v>
      </c>
      <c r="G1403" s="4">
        <v>3832241897</v>
      </c>
      <c r="H1403" s="6">
        <f t="shared" ca="1" si="26"/>
        <v>3418.3597721239998</v>
      </c>
      <c r="I1403" s="7" t="str">
        <f ca="1">IFERROR(__xludf.DUMMYFUNCTION("IMPORTXML(E1403,""/html/body/main/div[3]/div[3]/div[2]/ul/li[5]/span[2]/span"")"),"Loading...")</f>
        <v>Loading...</v>
      </c>
      <c r="J1403" s="7">
        <f ca="1">IFERROR(__xludf.DUMMYFUNCTION("GOOGLEFINANCE(""NSE:""&amp;D1403,""marketcap"")"),9651231644)</f>
        <v>9651231644</v>
      </c>
      <c r="K1403" s="7">
        <v>992.8</v>
      </c>
      <c r="L1403" s="8">
        <f ca="1">IFERROR(__xludf.DUMMYFUNCTION("GOOGLEFINANCE(""NSE:""&amp;D1403,""price"")"),8.92)</f>
        <v>8.92</v>
      </c>
      <c r="M1403" s="9">
        <f t="shared" ca="1" si="27"/>
        <v>-983.88</v>
      </c>
      <c r="N1403" s="10">
        <f t="shared" ca="1" si="28"/>
        <v>-99.101531023368253</v>
      </c>
      <c r="O1403" s="7">
        <f ca="1">IFERROR(__xludf.DUMMYFUNCTION("GOOGLEFINANCE(""NSE:""&amp;D1403,""pe"")"),127.43)</f>
        <v>127.43</v>
      </c>
      <c r="P1403" s="7">
        <f ca="1">IFERROR(__xludf.DUMMYFUNCTION("GOOGLEFINANCE(""NSE:""&amp;D1403,""EPS"")"),0.07)</f>
        <v>7.0000000000000007E-2</v>
      </c>
      <c r="Q1403" s="7">
        <v>13.5</v>
      </c>
      <c r="R1403" s="7" t="str">
        <f ca="1">IFERROR(__xludf.DUMMYFUNCTION("IMPORTXML(E1403,""/html/body/main/div[3]/div[3]/div[2]/ul/li[7]/span[2]/span"")"),"Loading...")</f>
        <v>Loading...</v>
      </c>
      <c r="S1403" s="7" t="str">
        <f ca="1">IFERROR(__xludf.DUMMYFUNCTION("IMPORTXML(E1403,""/html/body/main/div[3]/div[3]/div[2]/ul/li[8]/span[2]/span"")"),"Loading...")</f>
        <v>Loading...</v>
      </c>
      <c r="T1403" s="4">
        <v>34.6</v>
      </c>
      <c r="U1403" s="4">
        <v>22.7</v>
      </c>
      <c r="V1403" s="4">
        <v>2.6</v>
      </c>
      <c r="W1403" s="4">
        <v>5.7</v>
      </c>
      <c r="X1403" s="4">
        <v>519.92999999999995</v>
      </c>
      <c r="Y1403" s="7">
        <f t="shared" ca="1" si="29"/>
        <v>-511.00999999999993</v>
      </c>
    </row>
    <row r="1404" spans="1:25" ht="15" x14ac:dyDescent="0.25">
      <c r="A1404" s="4">
        <v>1951</v>
      </c>
      <c r="C1404" s="12" t="s">
        <v>3350</v>
      </c>
      <c r="D1404" s="12" t="s">
        <v>3351</v>
      </c>
      <c r="E1404" s="5" t="str">
        <f t="shared" si="25"/>
        <v>https://www.screener.in/company/COMPUSOFT/consolidated/</v>
      </c>
      <c r="F1404" s="4">
        <v>443059</v>
      </c>
      <c r="G1404" s="4">
        <v>3832241897</v>
      </c>
      <c r="H1404" s="6">
        <f t="shared" ca="1" si="26"/>
        <v>7384.7301355190002</v>
      </c>
      <c r="I1404" s="7" t="str">
        <f ca="1">IFERROR(__xludf.DUMMYFUNCTION("IMPORTXML(E1404,""/html/body/main/div[3]/div[3]/div[2]/ul/li[5]/span[2]/span"")"),"Loading...")</f>
        <v>Loading...</v>
      </c>
      <c r="J1404" s="7">
        <f ca="1">IFERROR(__xludf.DUMMYFUNCTION("GOOGLEFINANCE(""NSE:""&amp;D1404,""marketcap"")"),1519204000)</f>
        <v>1519204000</v>
      </c>
      <c r="K1404" s="7">
        <v>992.8</v>
      </c>
      <c r="L1404" s="8">
        <f ca="1">IFERROR(__xludf.DUMMYFUNCTION("GOOGLEFINANCE(""NSE:""&amp;D1404,""price"")"),19.27)</f>
        <v>19.27</v>
      </c>
      <c r="M1404" s="9">
        <f t="shared" ca="1" si="27"/>
        <v>-973.53</v>
      </c>
      <c r="N1404" s="10">
        <f t="shared" ca="1" si="28"/>
        <v>-98.059024979854954</v>
      </c>
      <c r="O1404" s="7">
        <f ca="1">IFERROR(__xludf.DUMMYFUNCTION("GOOGLEFINANCE(""NSE:""&amp;D1404,""pe"")"),43.23)</f>
        <v>43.23</v>
      </c>
      <c r="P1404" s="7">
        <f ca="1">IFERROR(__xludf.DUMMYFUNCTION("GOOGLEFINANCE(""NSE:""&amp;D1404,""EPS"")"),0.45)</f>
        <v>0.45</v>
      </c>
      <c r="Q1404" s="7">
        <v>13.5</v>
      </c>
      <c r="R1404" s="7" t="str">
        <f ca="1">IFERROR(__xludf.DUMMYFUNCTION("IMPORTXML(E1404,""/html/body/main/div[3]/div[3]/div[2]/ul/li[7]/span[2]/span"")"),"Loading...")</f>
        <v>Loading...</v>
      </c>
      <c r="S1404" s="7" t="str">
        <f ca="1">IFERROR(__xludf.DUMMYFUNCTION("IMPORTXML(E1404,""/html/body/main/div[3]/div[3]/div[2]/ul/li[8]/span[2]/span"")"),"Loading...")</f>
        <v>Loading...</v>
      </c>
      <c r="T1404" s="4">
        <v>34.6</v>
      </c>
      <c r="U1404" s="4">
        <v>22.7</v>
      </c>
      <c r="V1404" s="4">
        <v>2.6</v>
      </c>
      <c r="W1404" s="4">
        <v>5.7</v>
      </c>
      <c r="X1404" s="4">
        <v>519.92999999999995</v>
      </c>
      <c r="Y1404" s="7">
        <f t="shared" ca="1" si="29"/>
        <v>-500.65999999999997</v>
      </c>
    </row>
    <row r="1405" spans="1:25" ht="15" x14ac:dyDescent="0.25">
      <c r="A1405" s="4">
        <v>2276</v>
      </c>
      <c r="C1405" s="12" t="s">
        <v>3352</v>
      </c>
      <c r="D1405" s="12" t="s">
        <v>3353</v>
      </c>
      <c r="E1405" s="5" t="str">
        <f t="shared" si="25"/>
        <v>https://www.screener.in/company/LOTUSEYE/consolidated/</v>
      </c>
      <c r="F1405" s="4">
        <v>443059</v>
      </c>
      <c r="G1405" s="4">
        <v>3832241897</v>
      </c>
      <c r="H1405" s="6">
        <f t="shared" ca="1" si="26"/>
        <v>47366.509846919995</v>
      </c>
      <c r="I1405" s="7" t="str">
        <f ca="1">IFERROR(__xludf.DUMMYFUNCTION("IMPORTXML(E1405,""/html/body/main/div[3]/div[3]/div[2]/ul/li[5]/span[2]/span"")"),"Loading...")</f>
        <v>Loading...</v>
      </c>
      <c r="J1405" s="7">
        <f ca="1">IFERROR(__xludf.DUMMYFUNCTION("GOOGLEFINANCE(""NSE:""&amp;D1405,""marketcap"")"),2528418000)</f>
        <v>2528418000</v>
      </c>
      <c r="K1405" s="7">
        <v>992.8</v>
      </c>
      <c r="L1405" s="8">
        <f ca="1">IFERROR(__xludf.DUMMYFUNCTION("GOOGLEFINANCE(""NSE:""&amp;D1405,""price"")"),123.6)</f>
        <v>123.6</v>
      </c>
      <c r="M1405" s="9">
        <f t="shared" ca="1" si="27"/>
        <v>-869.19999999999993</v>
      </c>
      <c r="N1405" s="10">
        <f t="shared" ca="1" si="28"/>
        <v>-87.550362610797734</v>
      </c>
      <c r="O1405" s="7">
        <f ca="1">IFERROR(__xludf.DUMMYFUNCTION("GOOGLEFINANCE(""NSE:""&amp;D1405,""pe"")"),386.25)</f>
        <v>386.25</v>
      </c>
      <c r="P1405" s="7">
        <f ca="1">IFERROR(__xludf.DUMMYFUNCTION("GOOGLEFINANCE(""NSE:""&amp;D1405,""EPS"")"),0.32)</f>
        <v>0.32</v>
      </c>
      <c r="Q1405" s="7">
        <v>13.5</v>
      </c>
      <c r="R1405" s="7" t="str">
        <f ca="1">IFERROR(__xludf.DUMMYFUNCTION("IMPORTXML(E1405,""/html/body/main/div[3]/div[3]/div[2]/ul/li[7]/span[2]/span"")"),"Loading...")</f>
        <v>Loading...</v>
      </c>
      <c r="S1405" s="7" t="str">
        <f ca="1">IFERROR(__xludf.DUMMYFUNCTION("IMPORTXML(E1405,""/html/body/main/div[3]/div[3]/div[2]/ul/li[8]/span[2]/span"")"),"Loading...")</f>
        <v>Loading...</v>
      </c>
      <c r="T1405" s="4">
        <v>34.6</v>
      </c>
      <c r="U1405" s="4">
        <v>22.7</v>
      </c>
      <c r="V1405" s="4">
        <v>2.6</v>
      </c>
      <c r="W1405" s="4">
        <v>5.7</v>
      </c>
      <c r="X1405" s="4">
        <v>519.92999999999995</v>
      </c>
      <c r="Y1405" s="7">
        <f t="shared" ca="1" si="29"/>
        <v>-396.32999999999993</v>
      </c>
    </row>
    <row r="1406" spans="1:25" ht="15" x14ac:dyDescent="0.25">
      <c r="A1406" s="4">
        <v>569</v>
      </c>
      <c r="C1406" s="12" t="s">
        <v>3354</v>
      </c>
      <c r="D1406" s="12" t="s">
        <v>3355</v>
      </c>
      <c r="E1406" s="5" t="str">
        <f t="shared" si="25"/>
        <v>https://www.screener.in/company/JAYNECOIND/consolidated/</v>
      </c>
      <c r="F1406" s="4">
        <v>443059</v>
      </c>
      <c r="G1406" s="4">
        <v>3832241897</v>
      </c>
      <c r="H1406" s="6">
        <f t="shared" ca="1" si="26"/>
        <v>23319.191943245001</v>
      </c>
      <c r="I1406" s="7" t="str">
        <f ca="1">IFERROR(__xludf.DUMMYFUNCTION("IMPORTXML(E1406,""/html/body/main/div[3]/div[3]/div[2]/ul/li[5]/span[2]/span"")"),"Loading...")</f>
        <v>Loading...</v>
      </c>
      <c r="J1406" s="7">
        <f ca="1">IFERROR(__xludf.DUMMYFUNCTION("GOOGLEFINANCE(""NSE:""&amp;D1406,""marketcap"")"),59291210567)</f>
        <v>59291210567</v>
      </c>
      <c r="K1406" s="7">
        <v>992.8</v>
      </c>
      <c r="L1406" s="8">
        <f ca="1">IFERROR(__xludf.DUMMYFUNCTION("GOOGLEFINANCE(""NSE:""&amp;D1406,""price"")"),60.85)</f>
        <v>60.85</v>
      </c>
      <c r="M1406" s="9">
        <f t="shared" ca="1" si="27"/>
        <v>-931.94999999999993</v>
      </c>
      <c r="N1406" s="10">
        <f t="shared" ca="1" si="28"/>
        <v>-93.87087026591459</v>
      </c>
      <c r="O1406" s="7">
        <f ca="1">IFERROR(__xludf.DUMMYFUNCTION("GOOGLEFINANCE(""NSE:""&amp;D1406,""pe"")"),23.73)</f>
        <v>23.73</v>
      </c>
      <c r="P1406" s="7">
        <f ca="1">IFERROR(__xludf.DUMMYFUNCTION("GOOGLEFINANCE(""NSE:""&amp;D1406,""EPS"")"),2.56)</f>
        <v>2.56</v>
      </c>
      <c r="Q1406" s="7">
        <v>13.5</v>
      </c>
      <c r="R1406" s="7" t="str">
        <f ca="1">IFERROR(__xludf.DUMMYFUNCTION("IMPORTXML(E1406,""/html/body/main/div[3]/div[3]/div[2]/ul/li[7]/span[2]/span"")"),"Loading...")</f>
        <v>Loading...</v>
      </c>
      <c r="S1406" s="7" t="str">
        <f ca="1">IFERROR(__xludf.DUMMYFUNCTION("IMPORTXML(E1406,""/html/body/main/div[3]/div[3]/div[2]/ul/li[8]/span[2]/span"")"),"Loading...")</f>
        <v>Loading...</v>
      </c>
      <c r="T1406" s="4">
        <v>34.6</v>
      </c>
      <c r="U1406" s="4">
        <v>22.7</v>
      </c>
      <c r="V1406" s="4">
        <v>2.6</v>
      </c>
      <c r="W1406" s="4">
        <v>5.7</v>
      </c>
      <c r="X1406" s="4">
        <v>519.92999999999995</v>
      </c>
      <c r="Y1406" s="7">
        <f t="shared" ca="1" si="29"/>
        <v>-459.07999999999993</v>
      </c>
    </row>
    <row r="1407" spans="1:25" ht="15" x14ac:dyDescent="0.25">
      <c r="A1407" s="4">
        <v>2846</v>
      </c>
      <c r="C1407" s="12" t="s">
        <v>3356</v>
      </c>
      <c r="D1407" s="12" t="s">
        <v>3357</v>
      </c>
      <c r="E1407" s="5" t="str">
        <f t="shared" si="25"/>
        <v>https://www.screener.in/company/ABMINTLLTD/consolidated/</v>
      </c>
      <c r="F1407" s="4">
        <v>443059</v>
      </c>
      <c r="G1407" s="4">
        <v>3832241897</v>
      </c>
      <c r="H1407" s="6">
        <f t="shared" ca="1" si="26"/>
        <v>17589.99030723</v>
      </c>
      <c r="I1407" s="7" t="str">
        <f ca="1">IFERROR(__xludf.DUMMYFUNCTION("IMPORTXML(E1407,""/html/body/main/div[3]/div[3]/div[2]/ul/li[5]/span[2]/span"")"),"Loading...")</f>
        <v>Loading...</v>
      </c>
      <c r="J1407" s="7">
        <f ca="1">IFERROR(__xludf.DUMMYFUNCTION("GOOGLEFINANCE(""NSE:""&amp;D1407,""marketcap"")"),431827214)</f>
        <v>431827214</v>
      </c>
      <c r="K1407" s="7">
        <v>992.8</v>
      </c>
      <c r="L1407" s="8">
        <f ca="1">IFERROR(__xludf.DUMMYFUNCTION("GOOGLEFINANCE(""NSE:""&amp;D1407,""price"")"),45.9)</f>
        <v>45.9</v>
      </c>
      <c r="M1407" s="9">
        <f t="shared" ca="1" si="27"/>
        <v>-946.9</v>
      </c>
      <c r="N1407" s="10">
        <f t="shared" ca="1" si="28"/>
        <v>-95.376712328767127</v>
      </c>
      <c r="O1407" s="7" t="str">
        <f ca="1">IFERROR(__xludf.DUMMYFUNCTION("GOOGLEFINANCE(""NSE:""&amp;D1407,""pe"")"),"#N/A")</f>
        <v>#N/A</v>
      </c>
      <c r="P1407" s="7">
        <f ca="1">IFERROR(__xludf.DUMMYFUNCTION("GOOGLEFINANCE(""NSE:""&amp;D1407,""EPS"")"),-4.65)</f>
        <v>-4.6500000000000004</v>
      </c>
      <c r="Q1407" s="7">
        <v>13.5</v>
      </c>
      <c r="R1407" s="7" t="str">
        <f ca="1">IFERROR(__xludf.DUMMYFUNCTION("IMPORTXML(E1407,""/html/body/main/div[3]/div[3]/div[2]/ul/li[7]/span[2]/span"")"),"Loading...")</f>
        <v>Loading...</v>
      </c>
      <c r="S1407" s="7" t="str">
        <f ca="1">IFERROR(__xludf.DUMMYFUNCTION("IMPORTXML(E1407,""/html/body/main/div[3]/div[3]/div[2]/ul/li[8]/span[2]/span"")"),"Loading...")</f>
        <v>Loading...</v>
      </c>
      <c r="T1407" s="4">
        <v>34.6</v>
      </c>
      <c r="U1407" s="4">
        <v>22.7</v>
      </c>
      <c r="V1407" s="4">
        <v>2.6</v>
      </c>
      <c r="W1407" s="4">
        <v>5.7</v>
      </c>
      <c r="X1407" s="4">
        <v>519.92999999999995</v>
      </c>
      <c r="Y1407" s="7">
        <f t="shared" ca="1" si="29"/>
        <v>-474.03</v>
      </c>
    </row>
    <row r="1408" spans="1:25" ht="15" x14ac:dyDescent="0.25">
      <c r="A1408" s="4">
        <v>1054</v>
      </c>
      <c r="C1408" s="12" t="s">
        <v>3358</v>
      </c>
      <c r="D1408" s="12" t="s">
        <v>3359</v>
      </c>
      <c r="E1408" s="5" t="str">
        <f t="shared" si="25"/>
        <v>https://www.screener.in/company/KERNEX/consolidated/</v>
      </c>
      <c r="F1408" s="4">
        <v>443059</v>
      </c>
      <c r="G1408" s="4">
        <v>3832241897</v>
      </c>
      <c r="H1408" s="6">
        <f t="shared" ca="1" si="26"/>
        <v>421546.60866999999</v>
      </c>
      <c r="I1408" s="7" t="str">
        <f ca="1">IFERROR(__xludf.DUMMYFUNCTION("IMPORTXML(E1408,""/html/body/main/div[3]/div[3]/div[2]/ul/li[5]/span[2]/span"")"),"Loading...")</f>
        <v>Loading...</v>
      </c>
      <c r="J1408" s="7">
        <f ca="1">IFERROR(__xludf.DUMMYFUNCTION("GOOGLEFINANCE(""NSE:""&amp;D1408,""marketcap"")"),18158830000)</f>
        <v>18158830000</v>
      </c>
      <c r="K1408" s="7">
        <v>992.8</v>
      </c>
      <c r="L1408" s="8">
        <f ca="1">IFERROR(__xludf.DUMMYFUNCTION("GOOGLEFINANCE(""NSE:""&amp;D1408,""price"")"),1100)</f>
        <v>1100</v>
      </c>
      <c r="M1408" s="9">
        <f t="shared" ca="1" si="27"/>
        <v>107.20000000000005</v>
      </c>
      <c r="N1408" s="10">
        <f t="shared" ca="1" si="28"/>
        <v>10.797743755036267</v>
      </c>
      <c r="O1408" s="7">
        <f ca="1">IFERROR(__xludf.DUMMYFUNCTION("GOOGLEFINANCE(""NSE:""&amp;D1408,""pe"")"),34.1)</f>
        <v>34.1</v>
      </c>
      <c r="P1408" s="7">
        <f ca="1">IFERROR(__xludf.DUMMYFUNCTION("GOOGLEFINANCE(""NSE:""&amp;D1408,""EPS"")"),32.26)</f>
        <v>32.26</v>
      </c>
      <c r="Q1408" s="7">
        <v>13.5</v>
      </c>
      <c r="R1408" s="7" t="str">
        <f ca="1">IFERROR(__xludf.DUMMYFUNCTION("IMPORTXML(E1408,""/html/body/main/div[3]/div[3]/div[2]/ul/li[7]/span[2]/span"")"),"Loading...")</f>
        <v>Loading...</v>
      </c>
      <c r="S1408" s="7" t="str">
        <f ca="1">IFERROR(__xludf.DUMMYFUNCTION("IMPORTXML(E1408,""/html/body/main/div[3]/div[3]/div[2]/ul/li[8]/span[2]/span"")"),"Loading...")</f>
        <v>Loading...</v>
      </c>
      <c r="T1408" s="4">
        <v>34.6</v>
      </c>
      <c r="U1408" s="4">
        <v>22.7</v>
      </c>
      <c r="V1408" s="4">
        <v>2.6</v>
      </c>
      <c r="W1408" s="4">
        <v>5.7</v>
      </c>
      <c r="X1408" s="4">
        <v>519.92999999999995</v>
      </c>
      <c r="Y1408" s="7">
        <f t="shared" ca="1" si="29"/>
        <v>580.07000000000005</v>
      </c>
    </row>
    <row r="1409" spans="1:25" ht="15" x14ac:dyDescent="0.25">
      <c r="A1409" s="4">
        <v>2279</v>
      </c>
      <c r="C1409" s="12" t="s">
        <v>3360</v>
      </c>
      <c r="D1409" s="12" t="s">
        <v>3361</v>
      </c>
      <c r="E1409" s="5" t="str">
        <f t="shared" si="25"/>
        <v>https://www.screener.in/company/TFL/consolidated/</v>
      </c>
      <c r="F1409" s="4">
        <v>443059</v>
      </c>
      <c r="G1409" s="4">
        <v>3832241897</v>
      </c>
      <c r="H1409" s="6">
        <f t="shared" ca="1" si="26"/>
        <v>5595.07316962</v>
      </c>
      <c r="I1409" s="7" t="str">
        <f ca="1">IFERROR(__xludf.DUMMYFUNCTION("IMPORTXML(E1409,""/html/body/main/div[3]/div[3]/div[2]/ul/li[5]/span[2]/span"")"),"Loading...")</f>
        <v>Loading...</v>
      </c>
      <c r="J1409" s="7">
        <f ca="1">IFERROR(__xludf.DUMMYFUNCTION("GOOGLEFINANCE(""NSE:""&amp;D1409,""marketcap"")"),789057604)</f>
        <v>789057604</v>
      </c>
      <c r="K1409" s="7">
        <v>992.8</v>
      </c>
      <c r="L1409" s="8">
        <f ca="1">IFERROR(__xludf.DUMMYFUNCTION("GOOGLEFINANCE(""NSE:""&amp;D1409,""price"")"),14.6)</f>
        <v>14.6</v>
      </c>
      <c r="M1409" s="9">
        <f t="shared" ca="1" si="27"/>
        <v>-978.19999999999993</v>
      </c>
      <c r="N1409" s="10">
        <f t="shared" ca="1" si="28"/>
        <v>-98.52941176470587</v>
      </c>
      <c r="O1409" s="7" t="str">
        <f ca="1">IFERROR(__xludf.DUMMYFUNCTION("GOOGLEFINANCE(""NSE:""&amp;D1409,""pe"")"),"#N/A")</f>
        <v>#N/A</v>
      </c>
      <c r="P1409" s="7">
        <f ca="1">IFERROR(__xludf.DUMMYFUNCTION("GOOGLEFINANCE(""NSE:""&amp;D1409,""EPS"")"),-1.13)</f>
        <v>-1.1299999999999999</v>
      </c>
      <c r="Q1409" s="7">
        <v>13.5</v>
      </c>
      <c r="R1409" s="7" t="str">
        <f ca="1">IFERROR(__xludf.DUMMYFUNCTION("IMPORTXML(E1409,""/html/body/main/div[3]/div[3]/div[2]/ul/li[7]/span[2]/span"")"),"Loading...")</f>
        <v>Loading...</v>
      </c>
      <c r="S1409" s="7" t="str">
        <f ca="1">IFERROR(__xludf.DUMMYFUNCTION("IMPORTXML(E1409,""/html/body/main/div[3]/div[3]/div[2]/ul/li[8]/span[2]/span"")"),"Loading...")</f>
        <v>Loading...</v>
      </c>
      <c r="T1409" s="4">
        <v>34.6</v>
      </c>
      <c r="U1409" s="4">
        <v>22.7</v>
      </c>
      <c r="V1409" s="4">
        <v>2.6</v>
      </c>
      <c r="W1409" s="4">
        <v>5.7</v>
      </c>
      <c r="X1409" s="4">
        <v>519.92999999999995</v>
      </c>
      <c r="Y1409" s="7">
        <f t="shared" ca="1" si="29"/>
        <v>-505.32999999999993</v>
      </c>
    </row>
    <row r="1410" spans="1:25" ht="15" x14ac:dyDescent="0.25">
      <c r="A1410" s="4">
        <v>1003</v>
      </c>
      <c r="C1410" s="12" t="s">
        <v>3362</v>
      </c>
      <c r="D1410" s="12" t="s">
        <v>3363</v>
      </c>
      <c r="E1410" s="5" t="str">
        <f t="shared" si="25"/>
        <v>https://www.screener.in/company/BUTTERFLY/consolidated/</v>
      </c>
      <c r="F1410" s="4">
        <v>443059</v>
      </c>
      <c r="G1410" s="4">
        <v>3832241897</v>
      </c>
      <c r="H1410" s="6">
        <f t="shared" ca="1" si="26"/>
        <v>268755.12423660996</v>
      </c>
      <c r="I1410" s="7" t="str">
        <f ca="1">IFERROR(__xludf.DUMMYFUNCTION("IMPORTXML(E1410,""/html/body/main/div[3]/div[3]/div[2]/ul/li[5]/span[2]/span"")"),"Loading...")</f>
        <v>Loading...</v>
      </c>
      <c r="J1410" s="7">
        <f ca="1">IFERROR(__xludf.DUMMYFUNCTION("GOOGLEFINANCE(""NSE:""&amp;D1410,""marketcap"")"),12538921183)</f>
        <v>12538921183</v>
      </c>
      <c r="K1410" s="7">
        <v>992.8</v>
      </c>
      <c r="L1410" s="8">
        <f ca="1">IFERROR(__xludf.DUMMYFUNCTION("GOOGLEFINANCE(""NSE:""&amp;D1410,""price"")"),701.3)</f>
        <v>701.3</v>
      </c>
      <c r="M1410" s="9">
        <f t="shared" ca="1" si="27"/>
        <v>-291.5</v>
      </c>
      <c r="N1410" s="10">
        <f t="shared" ca="1" si="28"/>
        <v>-29.36140209508461</v>
      </c>
      <c r="O1410" s="7">
        <f ca="1">IFERROR(__xludf.DUMMYFUNCTION("GOOGLEFINANCE(""NSE:""&amp;D1410,""pe"")"),34.38)</f>
        <v>34.380000000000003</v>
      </c>
      <c r="P1410" s="7">
        <f ca="1">IFERROR(__xludf.DUMMYFUNCTION("GOOGLEFINANCE(""NSE:""&amp;D1410,""EPS"")"),20.4)</f>
        <v>20.399999999999999</v>
      </c>
      <c r="Q1410" s="7">
        <v>13.5</v>
      </c>
      <c r="R1410" s="7" t="str">
        <f ca="1">IFERROR(__xludf.DUMMYFUNCTION("IMPORTXML(E1410,""/html/body/main/div[3]/div[3]/div[2]/ul/li[7]/span[2]/span"")"),"Loading...")</f>
        <v>Loading...</v>
      </c>
      <c r="S1410" s="7" t="str">
        <f ca="1">IFERROR(__xludf.DUMMYFUNCTION("IMPORTXML(E1410,""/html/body/main/div[3]/div[3]/div[2]/ul/li[8]/span[2]/span"")"),"Loading...")</f>
        <v>Loading...</v>
      </c>
      <c r="T1410" s="4">
        <v>34.6</v>
      </c>
      <c r="U1410" s="4">
        <v>22.7</v>
      </c>
      <c r="V1410" s="4">
        <v>2.6</v>
      </c>
      <c r="W1410" s="4">
        <v>5.7</v>
      </c>
      <c r="X1410" s="4">
        <v>519.92999999999995</v>
      </c>
      <c r="Y1410" s="7">
        <f t="shared" ca="1" si="29"/>
        <v>181.37</v>
      </c>
    </row>
    <row r="1411" spans="1:25" ht="15" x14ac:dyDescent="0.25">
      <c r="A1411" s="4">
        <v>1986</v>
      </c>
      <c r="C1411" s="12" t="s">
        <v>3364</v>
      </c>
      <c r="D1411" s="12" t="s">
        <v>3365</v>
      </c>
      <c r="E1411" s="5" t="str">
        <f t="shared" si="25"/>
        <v>https://www.screener.in/company/SURANASOL/consolidated/</v>
      </c>
      <c r="F1411" s="4">
        <v>443059</v>
      </c>
      <c r="G1411" s="4">
        <v>3832241897</v>
      </c>
      <c r="H1411" s="6">
        <f t="shared" ca="1" si="26"/>
        <v>12761.365517009999</v>
      </c>
      <c r="I1411" s="7" t="str">
        <f ca="1">IFERROR(__xludf.DUMMYFUNCTION("IMPORTXML(E1411,""/html/body/main/div[3]/div[3]/div[2]/ul/li[5]/span[2]/span"")"),"Loading...")</f>
        <v>Loading...</v>
      </c>
      <c r="J1411" s="7">
        <f ca="1">IFERROR(__xludf.DUMMYFUNCTION("GOOGLEFINANCE(""NSE:""&amp;D1411,""marketcap"")"),1634151000)</f>
        <v>1634151000</v>
      </c>
      <c r="K1411" s="7">
        <v>992.8</v>
      </c>
      <c r="L1411" s="8">
        <f ca="1">IFERROR(__xludf.DUMMYFUNCTION("GOOGLEFINANCE(""NSE:""&amp;D1411,""price"")"),33.3)</f>
        <v>33.299999999999997</v>
      </c>
      <c r="M1411" s="9">
        <f t="shared" ca="1" si="27"/>
        <v>-959.5</v>
      </c>
      <c r="N1411" s="10">
        <f t="shared" ca="1" si="28"/>
        <v>-96.645850120870264</v>
      </c>
      <c r="O1411" s="7" t="str">
        <f ca="1">IFERROR(__xludf.DUMMYFUNCTION("GOOGLEFINANCE(""NSE:""&amp;D1411,""pe"")"),"#N/A")</f>
        <v>#N/A</v>
      </c>
      <c r="P1411" s="7">
        <f ca="1">IFERROR(__xludf.DUMMYFUNCTION("GOOGLEFINANCE(""NSE:""&amp;D1411,""EPS"")"),-0.01)</f>
        <v>-0.01</v>
      </c>
      <c r="Q1411" s="7">
        <v>13.5</v>
      </c>
      <c r="R1411" s="7" t="str">
        <f ca="1">IFERROR(__xludf.DUMMYFUNCTION("IMPORTXML(E1411,""/html/body/main/div[3]/div[3]/div[2]/ul/li[7]/span[2]/span"")"),"Loading...")</f>
        <v>Loading...</v>
      </c>
      <c r="S1411" s="7" t="str">
        <f ca="1">IFERROR(__xludf.DUMMYFUNCTION("IMPORTXML(E1411,""/html/body/main/div[3]/div[3]/div[2]/ul/li[8]/span[2]/span"")"),"Loading...")</f>
        <v>Loading...</v>
      </c>
      <c r="T1411" s="4">
        <v>34.6</v>
      </c>
      <c r="U1411" s="4">
        <v>22.7</v>
      </c>
      <c r="V1411" s="4">
        <v>2.6</v>
      </c>
      <c r="W1411" s="4">
        <v>5.7</v>
      </c>
      <c r="X1411" s="4">
        <v>519.92999999999995</v>
      </c>
      <c r="Y1411" s="7">
        <f t="shared" ca="1" si="29"/>
        <v>-486.62999999999994</v>
      </c>
    </row>
    <row r="1412" spans="1:25" ht="15" x14ac:dyDescent="0.25">
      <c r="A1412" s="4">
        <v>1345</v>
      </c>
      <c r="C1412" s="12" t="s">
        <v>3366</v>
      </c>
      <c r="D1412" s="12" t="s">
        <v>3367</v>
      </c>
      <c r="E1412" s="5" t="str">
        <f t="shared" si="25"/>
        <v>https://www.screener.in/company/PVP/consolidated/</v>
      </c>
      <c r="F1412" s="4">
        <v>443059</v>
      </c>
      <c r="G1412" s="4">
        <v>3832241897</v>
      </c>
      <c r="H1412" s="6">
        <f t="shared" ca="1" si="26"/>
        <v>11002.366486287001</v>
      </c>
      <c r="I1412" s="7" t="str">
        <f ca="1">IFERROR(__xludf.DUMMYFUNCTION("IMPORTXML(E1412,""/html/body/main/div[3]/div[3]/div[2]/ul/li[5]/span[2]/span"")"),"Loading...")</f>
        <v>Loading...</v>
      </c>
      <c r="J1412" s="7">
        <f ca="1">IFERROR(__xludf.DUMMYFUNCTION("GOOGLEFINANCE(""NSE:""&amp;D1412,""marketcap"")"),7477231000)</f>
        <v>7477231000</v>
      </c>
      <c r="K1412" s="7">
        <v>992.8</v>
      </c>
      <c r="L1412" s="8">
        <f ca="1">IFERROR(__xludf.DUMMYFUNCTION("GOOGLEFINANCE(""NSE:""&amp;D1412,""price"")"),28.71)</f>
        <v>28.71</v>
      </c>
      <c r="M1412" s="9">
        <f t="shared" ca="1" si="27"/>
        <v>-964.08999999999992</v>
      </c>
      <c r="N1412" s="10">
        <f t="shared" ca="1" si="28"/>
        <v>-97.108178887993546</v>
      </c>
      <c r="O1412" s="7" t="str">
        <f ca="1">IFERROR(__xludf.DUMMYFUNCTION("GOOGLEFINANCE(""NSE:""&amp;D1412,""pe"")"),"#N/A")</f>
        <v>#N/A</v>
      </c>
      <c r="P1412" s="7">
        <f ca="1">IFERROR(__xludf.DUMMYFUNCTION("GOOGLEFINANCE(""NSE:""&amp;D1412,""EPS"")"),-0.17)</f>
        <v>-0.17</v>
      </c>
      <c r="Q1412" s="7">
        <v>13.5</v>
      </c>
      <c r="R1412" s="7" t="str">
        <f ca="1">IFERROR(__xludf.DUMMYFUNCTION("IMPORTXML(E1412,""/html/body/main/div[3]/div[3]/div[2]/ul/li[7]/span[2]/span"")"),"Loading...")</f>
        <v>Loading...</v>
      </c>
      <c r="S1412" s="7" t="str">
        <f ca="1">IFERROR(__xludf.DUMMYFUNCTION("IMPORTXML(E1412,""/html/body/main/div[3]/div[3]/div[2]/ul/li[8]/span[2]/span"")"),"Loading...")</f>
        <v>Loading...</v>
      </c>
      <c r="T1412" s="4">
        <v>34.6</v>
      </c>
      <c r="U1412" s="4">
        <v>22.7</v>
      </c>
      <c r="V1412" s="4">
        <v>2.6</v>
      </c>
      <c r="W1412" s="4">
        <v>5.7</v>
      </c>
      <c r="X1412" s="4">
        <v>519.92999999999995</v>
      </c>
      <c r="Y1412" s="7">
        <f t="shared" ca="1" si="29"/>
        <v>-491.21999999999997</v>
      </c>
    </row>
    <row r="1413" spans="1:25" ht="15" x14ac:dyDescent="0.25">
      <c r="A1413" s="4">
        <v>1664</v>
      </c>
      <c r="C1413" s="12" t="s">
        <v>3368</v>
      </c>
      <c r="D1413" s="12" t="s">
        <v>3369</v>
      </c>
      <c r="E1413" s="5" t="str">
        <f t="shared" si="25"/>
        <v>https://www.screener.in/company/SINTERCOM/consolidated/</v>
      </c>
      <c r="F1413" s="4">
        <v>443059</v>
      </c>
      <c r="G1413" s="4">
        <v>3832241897</v>
      </c>
      <c r="H1413" s="6">
        <f t="shared" ca="1" si="26"/>
        <v>46753.351143400003</v>
      </c>
      <c r="I1413" s="7" t="str">
        <f ca="1">IFERROR(__xludf.DUMMYFUNCTION("IMPORTXML(E1413,""/html/body/main/div[3]/div[3]/div[2]/ul/li[5]/span[2]/span"")"),"Loading...")</f>
        <v>Loading...</v>
      </c>
      <c r="J1413" s="7">
        <f ca="1">IFERROR(__xludf.DUMMYFUNCTION("GOOGLEFINANCE(""NSE:""&amp;D1413,""marketcap"")"),3358394040)</f>
        <v>3358394040</v>
      </c>
      <c r="K1413" s="7">
        <v>992.8</v>
      </c>
      <c r="L1413" s="8">
        <f ca="1">IFERROR(__xludf.DUMMYFUNCTION("GOOGLEFINANCE(""NSE:""&amp;D1413,""price"")"),122)</f>
        <v>122</v>
      </c>
      <c r="M1413" s="9">
        <f t="shared" ca="1" si="27"/>
        <v>-870.8</v>
      </c>
      <c r="N1413" s="10">
        <f t="shared" ca="1" si="28"/>
        <v>-87.711522965350525</v>
      </c>
      <c r="O1413" s="7">
        <f ca="1">IFERROR(__xludf.DUMMYFUNCTION("GOOGLEFINANCE(""NSE:""&amp;D1413,""pe"")"),398.52)</f>
        <v>398.52</v>
      </c>
      <c r="P1413" s="7">
        <f ca="1">IFERROR(__xludf.DUMMYFUNCTION("GOOGLEFINANCE(""NSE:""&amp;D1413,""EPS"")"),0.31)</f>
        <v>0.31</v>
      </c>
      <c r="Q1413" s="7">
        <v>13.5</v>
      </c>
      <c r="R1413" s="7" t="str">
        <f ca="1">IFERROR(__xludf.DUMMYFUNCTION("IMPORTXML(E1413,""/html/body/main/div[3]/div[3]/div[2]/ul/li[7]/span[2]/span"")"),"Loading...")</f>
        <v>Loading...</v>
      </c>
      <c r="S1413" s="7" t="str">
        <f ca="1">IFERROR(__xludf.DUMMYFUNCTION("IMPORTXML(E1413,""/html/body/main/div[3]/div[3]/div[2]/ul/li[8]/span[2]/span"")"),"Loading...")</f>
        <v>Loading...</v>
      </c>
      <c r="T1413" s="4">
        <v>34.6</v>
      </c>
      <c r="U1413" s="4">
        <v>22.7</v>
      </c>
      <c r="V1413" s="4">
        <v>2.6</v>
      </c>
      <c r="W1413" s="4">
        <v>5.7</v>
      </c>
      <c r="X1413" s="4">
        <v>519.92999999999995</v>
      </c>
      <c r="Y1413" s="7">
        <f t="shared" ca="1" si="29"/>
        <v>-397.92999999999995</v>
      </c>
    </row>
    <row r="1414" spans="1:25" ht="15" x14ac:dyDescent="0.25">
      <c r="A1414" s="4">
        <v>1341</v>
      </c>
      <c r="C1414" s="12" t="s">
        <v>3370</v>
      </c>
      <c r="D1414" s="12" t="s">
        <v>3371</v>
      </c>
      <c r="E1414" s="5" t="str">
        <f t="shared" si="25"/>
        <v>https://www.screener.in/company/BIL/consolidated/</v>
      </c>
      <c r="F1414" s="4">
        <v>443059</v>
      </c>
      <c r="G1414" s="4">
        <v>3832241897</v>
      </c>
      <c r="H1414" s="6">
        <f t="shared" ca="1" si="26"/>
        <v>327656.68219349999</v>
      </c>
      <c r="I1414" s="7" t="str">
        <f ca="1">IFERROR(__xludf.DUMMYFUNCTION("IMPORTXML(E1414,""/html/body/main/div[3]/div[3]/div[2]/ul/li[5]/span[2]/span"")"),"Loading...")</f>
        <v>Loading...</v>
      </c>
      <c r="J1414" s="7">
        <f ca="1">IFERROR(__xludf.DUMMYFUNCTION("GOOGLEFINANCE(""NSE:""&amp;D1414,""marketcap"")"),11449140000)</f>
        <v>11449140000</v>
      </c>
      <c r="K1414" s="7">
        <v>992.8</v>
      </c>
      <c r="L1414" s="8">
        <f ca="1">IFERROR(__xludf.DUMMYFUNCTION("GOOGLEFINANCE(""NSE:""&amp;D1414,""price"")"),855)</f>
        <v>855</v>
      </c>
      <c r="M1414" s="9">
        <f t="shared" ca="1" si="27"/>
        <v>-137.79999999999995</v>
      </c>
      <c r="N1414" s="10">
        <f t="shared" ca="1" si="28"/>
        <v>-13.879935535858175</v>
      </c>
      <c r="O1414" s="7">
        <f ca="1">IFERROR(__xludf.DUMMYFUNCTION("GOOGLEFINANCE(""NSE:""&amp;D1414,""pe"")"),40.54)</f>
        <v>40.54</v>
      </c>
      <c r="P1414" s="7">
        <f ca="1">IFERROR(__xludf.DUMMYFUNCTION("GOOGLEFINANCE(""NSE:""&amp;D1414,""EPS"")"),21.09)</f>
        <v>21.09</v>
      </c>
      <c r="Q1414" s="7">
        <v>13.5</v>
      </c>
      <c r="R1414" s="7" t="str">
        <f ca="1">IFERROR(__xludf.DUMMYFUNCTION("IMPORTXML(E1414,""/html/body/main/div[3]/div[3]/div[2]/ul/li[7]/span[2]/span"")"),"Loading...")</f>
        <v>Loading...</v>
      </c>
      <c r="S1414" s="7" t="str">
        <f ca="1">IFERROR(__xludf.DUMMYFUNCTION("IMPORTXML(E1414,""/html/body/main/div[3]/div[3]/div[2]/ul/li[8]/span[2]/span"")"),"Loading...")</f>
        <v>Loading...</v>
      </c>
      <c r="T1414" s="4">
        <v>34.6</v>
      </c>
      <c r="U1414" s="4">
        <v>22.7</v>
      </c>
      <c r="V1414" s="4">
        <v>2.6</v>
      </c>
      <c r="W1414" s="4">
        <v>5.7</v>
      </c>
      <c r="X1414" s="4">
        <v>519.92999999999995</v>
      </c>
      <c r="Y1414" s="7">
        <f t="shared" ca="1" si="29"/>
        <v>335.07000000000005</v>
      </c>
    </row>
    <row r="1415" spans="1:25" ht="15" x14ac:dyDescent="0.25">
      <c r="A1415" s="4">
        <v>573</v>
      </c>
      <c r="C1415" s="12" t="s">
        <v>3372</v>
      </c>
      <c r="D1415" s="12" t="s">
        <v>3373</v>
      </c>
      <c r="E1415" s="5" t="str">
        <f t="shared" si="25"/>
        <v>https://www.screener.in/company/SEQUENT/consolidated/</v>
      </c>
      <c r="F1415" s="4">
        <v>443059</v>
      </c>
      <c r="G1415" s="4">
        <v>3832241897</v>
      </c>
      <c r="H1415" s="6">
        <f t="shared" ca="1" si="26"/>
        <v>70440.438308757002</v>
      </c>
      <c r="I1415" s="7" t="str">
        <f ca="1">IFERROR(__xludf.DUMMYFUNCTION("IMPORTXML(E1415,""/html/body/main/div[3]/div[3]/div[2]/ul/li[5]/span[2]/span"")"),"Loading...")</f>
        <v>Loading...</v>
      </c>
      <c r="J1415" s="7">
        <f ca="1">IFERROR(__xludf.DUMMYFUNCTION("GOOGLEFINANCE(""NSE:""&amp;D1415,""marketcap"")"),45808756500)</f>
        <v>45808756500</v>
      </c>
      <c r="K1415" s="7">
        <v>992.8</v>
      </c>
      <c r="L1415" s="8">
        <f ca="1">IFERROR(__xludf.DUMMYFUNCTION("GOOGLEFINANCE(""NSE:""&amp;D1415,""price"")"),183.81)</f>
        <v>183.81</v>
      </c>
      <c r="M1415" s="9">
        <f t="shared" ca="1" si="27"/>
        <v>-808.99</v>
      </c>
      <c r="N1415" s="10">
        <f t="shared" ca="1" si="28"/>
        <v>-81.485697018533443</v>
      </c>
      <c r="O1415" s="7">
        <f ca="1">IFERROR(__xludf.DUMMYFUNCTION("GOOGLEFINANCE(""NSE:""&amp;D1415,""pe"")"),159.3)</f>
        <v>159.30000000000001</v>
      </c>
      <c r="P1415" s="7">
        <f ca="1">IFERROR(__xludf.DUMMYFUNCTION("GOOGLEFINANCE(""NSE:""&amp;D1415,""EPS"")"),1.15)</f>
        <v>1.1499999999999999</v>
      </c>
      <c r="Q1415" s="7">
        <v>13.5</v>
      </c>
      <c r="R1415" s="7" t="str">
        <f ca="1">IFERROR(__xludf.DUMMYFUNCTION("IMPORTXML(E1415,""/html/body/main/div[3]/div[3]/div[2]/ul/li[7]/span[2]/span"")"),"Loading...")</f>
        <v>Loading...</v>
      </c>
      <c r="S1415" s="7" t="str">
        <f ca="1">IFERROR(__xludf.DUMMYFUNCTION("IMPORTXML(E1415,""/html/body/main/div[3]/div[3]/div[2]/ul/li[8]/span[2]/span"")"),"Loading...")</f>
        <v>Loading...</v>
      </c>
      <c r="T1415" s="4">
        <v>34.6</v>
      </c>
      <c r="U1415" s="4">
        <v>22.7</v>
      </c>
      <c r="V1415" s="4">
        <v>2.6</v>
      </c>
      <c r="W1415" s="4">
        <v>5.7</v>
      </c>
      <c r="X1415" s="4">
        <v>519.92999999999995</v>
      </c>
      <c r="Y1415" s="7">
        <f t="shared" ca="1" si="29"/>
        <v>-336.11999999999995</v>
      </c>
    </row>
    <row r="1416" spans="1:25" ht="15" x14ac:dyDescent="0.25">
      <c r="A1416" s="4">
        <v>1977</v>
      </c>
      <c r="C1416" s="12" t="s">
        <v>3374</v>
      </c>
      <c r="D1416" s="12" t="s">
        <v>3375</v>
      </c>
      <c r="E1416" s="5" t="str">
        <f t="shared" si="25"/>
        <v>https://www.screener.in/company/SAH/consolidated/</v>
      </c>
      <c r="F1416" s="4">
        <v>443059</v>
      </c>
      <c r="G1416" s="4">
        <v>3832241897</v>
      </c>
      <c r="H1416" s="6" t="e">
        <f t="shared" ca="1" si="26"/>
        <v>#VALUE!</v>
      </c>
      <c r="I1416" s="7" t="str">
        <f ca="1">IFERROR(__xludf.DUMMYFUNCTION("IMPORTXML(E1416,""/html/body/main/div[3]/div[3]/div[2]/ul/li[5]/span[2]/span"")"),"Loading...")</f>
        <v>Loading...</v>
      </c>
      <c r="J1416" s="7" t="str">
        <f ca="1">IFERROR(__xludf.DUMMYFUNCTION("GOOGLEFINANCE(""NSE:""&amp;D1416,""marketcap"")"),"#N/A")</f>
        <v>#N/A</v>
      </c>
      <c r="K1416" s="7">
        <v>992.8</v>
      </c>
      <c r="L1416" s="8" t="str">
        <f ca="1">IFERROR(__xludf.DUMMYFUNCTION("GOOGLEFINANCE(""NSE:""&amp;D1416,""price"")"),"#N/A")</f>
        <v>#N/A</v>
      </c>
      <c r="M1416" s="9" t="e">
        <f t="shared" ca="1" si="27"/>
        <v>#VALUE!</v>
      </c>
      <c r="N1416" s="10" t="e">
        <f t="shared" ca="1" si="28"/>
        <v>#VALUE!</v>
      </c>
      <c r="O1416" s="7" t="str">
        <f ca="1">IFERROR(__xludf.DUMMYFUNCTION("GOOGLEFINANCE(""NSE:""&amp;D1416,""pe"")"),"#N/A")</f>
        <v>#N/A</v>
      </c>
      <c r="P1416" s="7" t="str">
        <f ca="1">IFERROR(__xludf.DUMMYFUNCTION("GOOGLEFINANCE(""NSE:""&amp;D1416,""EPS"")"),"#N/A")</f>
        <v>#N/A</v>
      </c>
      <c r="Q1416" s="7">
        <v>13.5</v>
      </c>
      <c r="R1416" s="7" t="str">
        <f ca="1">IFERROR(__xludf.DUMMYFUNCTION("IMPORTXML(E1416,""/html/body/main/div[3]/div[3]/div[2]/ul/li[7]/span[2]/span"")"),"Loading...")</f>
        <v>Loading...</v>
      </c>
      <c r="S1416" s="7" t="str">
        <f ca="1">IFERROR(__xludf.DUMMYFUNCTION("IMPORTXML(E1416,""/html/body/main/div[3]/div[3]/div[2]/ul/li[8]/span[2]/span"")"),"Loading...")</f>
        <v>Loading...</v>
      </c>
      <c r="T1416" s="4">
        <v>34.6</v>
      </c>
      <c r="U1416" s="4">
        <v>22.7</v>
      </c>
      <c r="V1416" s="4">
        <v>2.6</v>
      </c>
      <c r="W1416" s="4">
        <v>5.7</v>
      </c>
      <c r="X1416" s="4">
        <v>519.92999999999995</v>
      </c>
      <c r="Y1416" s="7" t="e">
        <f t="shared" ca="1" si="29"/>
        <v>#VALUE!</v>
      </c>
    </row>
    <row r="1417" spans="1:25" ht="15" x14ac:dyDescent="0.25">
      <c r="A1417" s="4">
        <v>861</v>
      </c>
      <c r="C1417" s="12" t="s">
        <v>3376</v>
      </c>
      <c r="D1417" s="12" t="s">
        <v>3377</v>
      </c>
      <c r="E1417" s="5" t="str">
        <f t="shared" si="25"/>
        <v>https://www.screener.in/company/ATFL/consolidated/</v>
      </c>
      <c r="F1417" s="4">
        <v>443059</v>
      </c>
      <c r="G1417" s="4">
        <v>3832241897</v>
      </c>
      <c r="H1417" s="6" t="e">
        <f t="shared" ca="1" si="26"/>
        <v>#VALUE!</v>
      </c>
      <c r="I1417" s="7" t="str">
        <f ca="1">IFERROR(__xludf.DUMMYFUNCTION("IMPORTXML(E1417,""/html/body/main/div[3]/div[3]/div[2]/ul/li[5]/span[2]/span"")"),"Loading...")</f>
        <v>Loading...</v>
      </c>
      <c r="J1417" s="7" t="str">
        <f ca="1">IFERROR(__xludf.DUMMYFUNCTION("GOOGLEFINANCE(""NSE:""&amp;D1417,""marketcap"")"),"#N/A")</f>
        <v>#N/A</v>
      </c>
      <c r="K1417" s="7">
        <v>992.8</v>
      </c>
      <c r="L1417" s="8" t="str">
        <f ca="1">IFERROR(__xludf.DUMMYFUNCTION("GOOGLEFINANCE(""NSE:""&amp;D1417,""price"")"),"#N/A")</f>
        <v>#N/A</v>
      </c>
      <c r="M1417" s="9" t="e">
        <f t="shared" ca="1" si="27"/>
        <v>#VALUE!</v>
      </c>
      <c r="N1417" s="10" t="e">
        <f t="shared" ca="1" si="28"/>
        <v>#VALUE!</v>
      </c>
      <c r="O1417" s="7" t="str">
        <f ca="1">IFERROR(__xludf.DUMMYFUNCTION("GOOGLEFINANCE(""NSE:""&amp;D1417,""pe"")"),"#N/A")</f>
        <v>#N/A</v>
      </c>
      <c r="P1417" s="7" t="str">
        <f ca="1">IFERROR(__xludf.DUMMYFUNCTION("GOOGLEFINANCE(""NSE:""&amp;D1417,""EPS"")"),"#N/A")</f>
        <v>#N/A</v>
      </c>
      <c r="Q1417" s="7">
        <v>13.5</v>
      </c>
      <c r="R1417" s="7" t="str">
        <f ca="1">IFERROR(__xludf.DUMMYFUNCTION("IMPORTXML(E1417,""/html/body/main/div[3]/div[3]/div[2]/ul/li[7]/span[2]/span"")"),"Loading...")</f>
        <v>Loading...</v>
      </c>
      <c r="S1417" s="7" t="str">
        <f ca="1">IFERROR(__xludf.DUMMYFUNCTION("IMPORTXML(E1417,""/html/body/main/div[3]/div[3]/div[2]/ul/li[8]/span[2]/span"")"),"Loading...")</f>
        <v>Loading...</v>
      </c>
      <c r="T1417" s="4">
        <v>34.6</v>
      </c>
      <c r="U1417" s="4">
        <v>22.7</v>
      </c>
      <c r="V1417" s="4">
        <v>2.6</v>
      </c>
      <c r="W1417" s="4">
        <v>5.7</v>
      </c>
      <c r="X1417" s="4">
        <v>519.92999999999995</v>
      </c>
      <c r="Y1417" s="7" t="e">
        <f t="shared" ca="1" si="29"/>
        <v>#VALUE!</v>
      </c>
    </row>
    <row r="1418" spans="1:25" ht="15" x14ac:dyDescent="0.25">
      <c r="A1418" s="4">
        <v>106</v>
      </c>
      <c r="C1418" s="12" t="s">
        <v>3378</v>
      </c>
      <c r="D1418" s="12" t="s">
        <v>3379</v>
      </c>
      <c r="E1418" s="5" t="str">
        <f t="shared" si="25"/>
        <v>https://www.screener.in/company/PTCIL/consolidated/</v>
      </c>
      <c r="F1418" s="4">
        <v>443059</v>
      </c>
      <c r="G1418" s="4">
        <v>3832241897</v>
      </c>
      <c r="H1418" s="6">
        <f t="shared" ca="1" si="26"/>
        <v>5205334.1686950997</v>
      </c>
      <c r="I1418" s="7" t="str">
        <f ca="1">IFERROR(__xludf.DUMMYFUNCTION("IMPORTXML(E1418,""/html/body/main/div[3]/div[3]/div[2]/ul/li[5]/span[2]/span"")"),"Loading...")</f>
        <v>Loading...</v>
      </c>
      <c r="J1418" s="7">
        <f ca="1">IFERROR(__xludf.DUMMYFUNCTION("GOOGLEFINANCE(""NSE:""&amp;D1418,""marketcap"")"),203529301960)</f>
        <v>203529301960</v>
      </c>
      <c r="K1418" s="7">
        <v>992.8</v>
      </c>
      <c r="L1418" s="8">
        <f ca="1">IFERROR(__xludf.DUMMYFUNCTION("GOOGLEFINANCE(""NSE:""&amp;D1418,""price"")"),13583)</f>
        <v>13583</v>
      </c>
      <c r="M1418" s="9">
        <f t="shared" ca="1" si="27"/>
        <v>12590.2</v>
      </c>
      <c r="N1418" s="10">
        <f t="shared" ca="1" si="28"/>
        <v>1268.1506849315069</v>
      </c>
      <c r="O1418" s="7">
        <f ca="1">IFERROR(__xludf.DUMMYFUNCTION("GOOGLEFINANCE(""NSE:""&amp;D1418,""pe"")"),330.09)</f>
        <v>330.09</v>
      </c>
      <c r="P1418" s="7">
        <f ca="1">IFERROR(__xludf.DUMMYFUNCTION("GOOGLEFINANCE(""NSE:""&amp;D1418,""EPS"")"),41.15)</f>
        <v>41.15</v>
      </c>
      <c r="Q1418" s="7">
        <v>13.5</v>
      </c>
      <c r="R1418" s="7" t="str">
        <f ca="1">IFERROR(__xludf.DUMMYFUNCTION("IMPORTXML(E1418,""/html/body/main/div[3]/div[3]/div[2]/ul/li[7]/span[2]/span"")"),"Loading...")</f>
        <v>Loading...</v>
      </c>
      <c r="S1418" s="7" t="str">
        <f ca="1">IFERROR(__xludf.DUMMYFUNCTION("IMPORTXML(E1418,""/html/body/main/div[3]/div[3]/div[2]/ul/li[8]/span[2]/span"")"),"Loading...")</f>
        <v>Loading...</v>
      </c>
      <c r="T1418" s="4">
        <v>34.6</v>
      </c>
      <c r="U1418" s="4">
        <v>22.7</v>
      </c>
      <c r="V1418" s="4">
        <v>2.6</v>
      </c>
      <c r="W1418" s="4">
        <v>5.7</v>
      </c>
      <c r="X1418" s="4">
        <v>519.92999999999995</v>
      </c>
      <c r="Y1418" s="7">
        <f t="shared" ca="1" si="29"/>
        <v>13063.07</v>
      </c>
    </row>
    <row r="1419" spans="1:25" ht="15" x14ac:dyDescent="0.25">
      <c r="A1419" s="4">
        <v>2427</v>
      </c>
      <c r="C1419" s="12" t="s">
        <v>3380</v>
      </c>
      <c r="D1419" s="12" t="s">
        <v>3381</v>
      </c>
      <c r="E1419" s="5" t="str">
        <f t="shared" si="25"/>
        <v>https://www.screener.in/company/OBCL/consolidated/</v>
      </c>
      <c r="F1419" s="4">
        <v>443059</v>
      </c>
      <c r="G1419" s="4">
        <v>3832241897</v>
      </c>
      <c r="H1419" s="6">
        <f t="shared" ca="1" si="26"/>
        <v>21268.942528349999</v>
      </c>
      <c r="I1419" s="7" t="str">
        <f ca="1">IFERROR(__xludf.DUMMYFUNCTION("IMPORTXML(E1419,""/html/body/main/div[3]/div[3]/div[2]/ul/li[5]/span[2]/span"")"),"Loading...")</f>
        <v>Loading...</v>
      </c>
      <c r="J1419" s="7">
        <f ca="1">IFERROR(__xludf.DUMMYFUNCTION("GOOGLEFINANCE(""NSE:""&amp;D1419,""marketcap"")"),1170094845)</f>
        <v>1170094845</v>
      </c>
      <c r="K1419" s="7">
        <v>992.8</v>
      </c>
      <c r="L1419" s="8">
        <f ca="1">IFERROR(__xludf.DUMMYFUNCTION("GOOGLEFINANCE(""NSE:""&amp;D1419,""price"")"),55.5)</f>
        <v>55.5</v>
      </c>
      <c r="M1419" s="9">
        <f t="shared" ca="1" si="27"/>
        <v>-937.3</v>
      </c>
      <c r="N1419" s="10">
        <f t="shared" ca="1" si="28"/>
        <v>-94.409750201450436</v>
      </c>
      <c r="O1419" s="7">
        <f ca="1">IFERROR(__xludf.DUMMYFUNCTION("GOOGLEFINANCE(""NSE:""&amp;D1419,""pe"")"),36.66)</f>
        <v>36.659999999999997</v>
      </c>
      <c r="P1419" s="7">
        <f ca="1">IFERROR(__xludf.DUMMYFUNCTION("GOOGLEFINANCE(""NSE:""&amp;D1419,""EPS"")"),1.51)</f>
        <v>1.51</v>
      </c>
      <c r="Q1419" s="7">
        <v>13.5</v>
      </c>
      <c r="R1419" s="7" t="str">
        <f ca="1">IFERROR(__xludf.DUMMYFUNCTION("IMPORTXML(E1419,""/html/body/main/div[3]/div[3]/div[2]/ul/li[7]/span[2]/span"")"),"Loading...")</f>
        <v>Loading...</v>
      </c>
      <c r="S1419" s="7">
        <f ca="1">IFERROR(__xludf.DUMMYFUNCTION("IMPORTXML(E1419,""/html/body/main/div[3]/div[3]/div[2]/ul/li[8]/span[2]/span"")"),2.25)</f>
        <v>2.25</v>
      </c>
      <c r="T1419" s="4">
        <v>34.6</v>
      </c>
      <c r="U1419" s="4">
        <v>22.7</v>
      </c>
      <c r="V1419" s="4">
        <v>2.6</v>
      </c>
      <c r="W1419" s="4">
        <v>5.7</v>
      </c>
      <c r="X1419" s="4">
        <v>519.92999999999995</v>
      </c>
      <c r="Y1419" s="7">
        <f t="shared" ca="1" si="29"/>
        <v>-464.42999999999995</v>
      </c>
    </row>
    <row r="1420" spans="1:25" ht="15" x14ac:dyDescent="0.25">
      <c r="A1420" s="4">
        <v>335</v>
      </c>
      <c r="C1420" s="12" t="s">
        <v>3382</v>
      </c>
      <c r="D1420" s="12" t="s">
        <v>3383</v>
      </c>
      <c r="E1420" s="5" t="str">
        <f t="shared" si="25"/>
        <v>https://www.screener.in/company/MAXESTATES/consolidated/</v>
      </c>
      <c r="F1420" s="4">
        <v>443059</v>
      </c>
      <c r="G1420" s="4">
        <v>3832241897</v>
      </c>
      <c r="H1420" s="6">
        <f t="shared" ca="1" si="26"/>
        <v>164786.40157099999</v>
      </c>
      <c r="I1420" s="7" t="str">
        <f ca="1">IFERROR(__xludf.DUMMYFUNCTION("IMPORTXML(E1420,""/html/body/main/div[3]/div[3]/div[2]/ul/li[5]/span[2]/span"")"),"Loading...")</f>
        <v>Loading...</v>
      </c>
      <c r="J1420" s="7">
        <f ca="1">IFERROR(__xludf.DUMMYFUNCTION("GOOGLEFINANCE(""NSE:""&amp;D1420,""marketcap"")"),69249952000)</f>
        <v>69249952000</v>
      </c>
      <c r="K1420" s="7">
        <v>992.8</v>
      </c>
      <c r="L1420" s="8">
        <f ca="1">IFERROR(__xludf.DUMMYFUNCTION("GOOGLEFINANCE(""NSE:""&amp;D1420,""price"")"),430)</f>
        <v>430</v>
      </c>
      <c r="M1420" s="9">
        <f t="shared" ca="1" si="27"/>
        <v>-562.79999999999995</v>
      </c>
      <c r="N1420" s="10">
        <f t="shared" ca="1" si="28"/>
        <v>-56.688154713940364</v>
      </c>
      <c r="O1420" s="7">
        <f ca="1">IFERROR(__xludf.DUMMYFUNCTION("GOOGLEFINANCE(""NSE:""&amp;D1420,""pe"")"),152.87)</f>
        <v>152.87</v>
      </c>
      <c r="P1420" s="7">
        <f ca="1">IFERROR(__xludf.DUMMYFUNCTION("GOOGLEFINANCE(""NSE:""&amp;D1420,""EPS"")"),2.81)</f>
        <v>2.81</v>
      </c>
      <c r="Q1420" s="7">
        <v>13.5</v>
      </c>
      <c r="R1420" s="7">
        <f ca="1">IFERROR(__xludf.DUMMYFUNCTION("IMPORTXML(E1420,""/html/body/main/div[3]/div[3]/div[2]/ul/li[7]/span[2]/span"")"),2.54)</f>
        <v>2.54</v>
      </c>
      <c r="S1420" s="7" t="str">
        <f ca="1">IFERROR(__xludf.DUMMYFUNCTION("IMPORTXML(E1420,""/html/body/main/div[3]/div[3]/div[2]/ul/li[8]/span[2]/span"")"),"Loading...")</f>
        <v>Loading...</v>
      </c>
      <c r="T1420" s="4">
        <v>34.6</v>
      </c>
      <c r="U1420" s="4">
        <v>22.7</v>
      </c>
      <c r="V1420" s="4">
        <v>2.6</v>
      </c>
      <c r="W1420" s="4">
        <v>5.7</v>
      </c>
      <c r="X1420" s="4">
        <v>519.92999999999995</v>
      </c>
      <c r="Y1420" s="7">
        <f t="shared" ca="1" si="29"/>
        <v>-89.92999999999995</v>
      </c>
    </row>
    <row r="1421" spans="1:25" ht="15" x14ac:dyDescent="0.25">
      <c r="A1421" s="4">
        <v>1788</v>
      </c>
      <c r="C1421" s="12" t="s">
        <v>3384</v>
      </c>
      <c r="D1421" s="12" t="s">
        <v>3385</v>
      </c>
      <c r="E1421" s="5" t="str">
        <f t="shared" si="25"/>
        <v>https://www.screener.in/company/SVLL/consolidated/</v>
      </c>
      <c r="F1421" s="4">
        <v>443059</v>
      </c>
      <c r="G1421" s="4">
        <v>3832241897</v>
      </c>
      <c r="H1421" s="6">
        <f t="shared" ca="1" si="26"/>
        <v>296998.74701749999</v>
      </c>
      <c r="I1421" s="7" t="str">
        <f ca="1">IFERROR(__xludf.DUMMYFUNCTION("IMPORTXML(E1421,""/html/body/main/div[3]/div[3]/div[2]/ul/li[5]/span[2]/span"")"),"Loading...")</f>
        <v>Loading...</v>
      </c>
      <c r="J1421" s="7">
        <f ca="1">IFERROR(__xludf.DUMMYFUNCTION("GOOGLEFINANCE(""NSE:""&amp;D1421,""marketcap"")"),8907617500)</f>
        <v>8907617500</v>
      </c>
      <c r="K1421" s="7">
        <v>992.8</v>
      </c>
      <c r="L1421" s="8">
        <f ca="1">IFERROR(__xludf.DUMMYFUNCTION("GOOGLEFINANCE(""NSE:""&amp;D1421,""price"")"),775)</f>
        <v>775</v>
      </c>
      <c r="M1421" s="9">
        <f t="shared" ca="1" si="27"/>
        <v>-217.79999999999995</v>
      </c>
      <c r="N1421" s="10">
        <f t="shared" ca="1" si="28"/>
        <v>-21.937953263497175</v>
      </c>
      <c r="O1421" s="7">
        <f ca="1">IFERROR(__xludf.DUMMYFUNCTION("GOOGLEFINANCE(""NSE:""&amp;D1421,""pe"")"),270.03)</f>
        <v>270.02999999999997</v>
      </c>
      <c r="P1421" s="7">
        <f ca="1">IFERROR(__xludf.DUMMYFUNCTION("GOOGLEFINANCE(""NSE:""&amp;D1421,""EPS"")"),2.87)</f>
        <v>2.87</v>
      </c>
      <c r="Q1421" s="7">
        <v>13.5</v>
      </c>
      <c r="R1421" s="7" t="str">
        <f ca="1">IFERROR(__xludf.DUMMYFUNCTION("IMPORTXML(E1421,""/html/body/main/div[3]/div[3]/div[2]/ul/li[7]/span[2]/span"")"),"Loading...")</f>
        <v>Loading...</v>
      </c>
      <c r="S1421" s="7" t="str">
        <f ca="1">IFERROR(__xludf.DUMMYFUNCTION("IMPORTXML(E1421,""/html/body/main/div[3]/div[3]/div[2]/ul/li[8]/span[2]/span"")"),"Loading...")</f>
        <v>Loading...</v>
      </c>
      <c r="T1421" s="4">
        <v>34.6</v>
      </c>
      <c r="U1421" s="4">
        <v>22.7</v>
      </c>
      <c r="V1421" s="4">
        <v>2.6</v>
      </c>
      <c r="W1421" s="4">
        <v>5.7</v>
      </c>
      <c r="X1421" s="4">
        <v>519.92999999999995</v>
      </c>
      <c r="Y1421" s="7">
        <f t="shared" ca="1" si="29"/>
        <v>255.07000000000005</v>
      </c>
    </row>
    <row r="1422" spans="1:25" ht="15" x14ac:dyDescent="0.25">
      <c r="A1422" s="4">
        <v>1450</v>
      </c>
      <c r="C1422" s="12" t="s">
        <v>3386</v>
      </c>
      <c r="D1422" s="12" t="s">
        <v>3387</v>
      </c>
      <c r="E1422" s="5" t="str">
        <f t="shared" si="25"/>
        <v>https://www.screener.in/company/FCSSOFT/consolidated/</v>
      </c>
      <c r="F1422" s="4">
        <v>443059</v>
      </c>
      <c r="G1422" s="4">
        <v>3832241897</v>
      </c>
      <c r="H1422" s="6">
        <f t="shared" ca="1" si="26"/>
        <v>927.40253907399995</v>
      </c>
      <c r="I1422" s="7" t="str">
        <f ca="1">IFERROR(__xludf.DUMMYFUNCTION("IMPORTXML(E1422,""/html/body/main/div[3]/div[3]/div[2]/ul/li[5]/span[2]/span"")"),"Loading...")</f>
        <v>Loading...</v>
      </c>
      <c r="J1422" s="7">
        <f ca="1">IFERROR(__xludf.DUMMYFUNCTION("GOOGLEFINANCE(""NSE:""&amp;D1422,""marketcap"")"),4120022876)</f>
        <v>4120022876</v>
      </c>
      <c r="K1422" s="7">
        <v>992.8</v>
      </c>
      <c r="L1422" s="8">
        <f ca="1">IFERROR(__xludf.DUMMYFUNCTION("GOOGLEFINANCE(""NSE:""&amp;D1422,""price"")"),2.42)</f>
        <v>2.42</v>
      </c>
      <c r="M1422" s="9">
        <f t="shared" ca="1" si="27"/>
        <v>-990.38</v>
      </c>
      <c r="N1422" s="10">
        <f t="shared" ca="1" si="28"/>
        <v>-99.756244963738922</v>
      </c>
      <c r="O1422" s="7">
        <f ca="1">IFERROR(__xludf.DUMMYFUNCTION("GOOGLEFINANCE(""NSE:""&amp;D1422,""pe"")"),147.92)</f>
        <v>147.91999999999999</v>
      </c>
      <c r="P1422" s="7">
        <f ca="1">IFERROR(__xludf.DUMMYFUNCTION("GOOGLEFINANCE(""NSE:""&amp;D1422,""EPS"")"),0.02)</f>
        <v>0.02</v>
      </c>
      <c r="Q1422" s="7">
        <v>13.5</v>
      </c>
      <c r="R1422" s="7" t="str">
        <f ca="1">IFERROR(__xludf.DUMMYFUNCTION("IMPORTXML(E1422,""/html/body/main/div[3]/div[3]/div[2]/ul/li[7]/span[2]/span"")"),"Loading...")</f>
        <v>Loading...</v>
      </c>
      <c r="S1422" s="7" t="str">
        <f ca="1">IFERROR(__xludf.DUMMYFUNCTION("IMPORTXML(E1422,""/html/body/main/div[3]/div[3]/div[2]/ul/li[8]/span[2]/span"")"),"Loading...")</f>
        <v>Loading...</v>
      </c>
      <c r="T1422" s="4">
        <v>34.6</v>
      </c>
      <c r="U1422" s="4">
        <v>22.7</v>
      </c>
      <c r="V1422" s="4">
        <v>2.6</v>
      </c>
      <c r="W1422" s="4">
        <v>5.7</v>
      </c>
      <c r="X1422" s="4">
        <v>519.92999999999995</v>
      </c>
      <c r="Y1422" s="7">
        <f t="shared" ca="1" si="29"/>
        <v>-517.51</v>
      </c>
    </row>
    <row r="1423" spans="1:25" ht="15" x14ac:dyDescent="0.25">
      <c r="A1423" s="4">
        <v>1322</v>
      </c>
      <c r="C1423" s="12" t="s">
        <v>3388</v>
      </c>
      <c r="D1423" s="12" t="s">
        <v>3389</v>
      </c>
      <c r="E1423" s="5" t="str">
        <f t="shared" si="25"/>
        <v>https://www.screener.in/company/APEX/consolidated/</v>
      </c>
      <c r="F1423" s="4">
        <v>443059</v>
      </c>
      <c r="G1423" s="4">
        <v>3832241897</v>
      </c>
      <c r="H1423" s="6">
        <f t="shared" ca="1" si="26"/>
        <v>84309.321733999997</v>
      </c>
      <c r="I1423" s="7" t="str">
        <f ca="1">IFERROR(__xludf.DUMMYFUNCTION("IMPORTXML(E1423,""/html/body/main/div[3]/div[3]/div[2]/ul/li[5]/span[2]/span"")"),"Loading...")</f>
        <v>Loading...</v>
      </c>
      <c r="J1423" s="7">
        <f ca="1">IFERROR(__xludf.DUMMYFUNCTION("GOOGLEFINANCE(""NSE:""&amp;D1423,""marketcap"")"),6822500000)</f>
        <v>6822500000</v>
      </c>
      <c r="K1423" s="7">
        <v>992.8</v>
      </c>
      <c r="L1423" s="8">
        <f ca="1">IFERROR(__xludf.DUMMYFUNCTION("GOOGLEFINANCE(""NSE:""&amp;D1423,""price"")"),220)</f>
        <v>220</v>
      </c>
      <c r="M1423" s="9">
        <f t="shared" ca="1" si="27"/>
        <v>-772.8</v>
      </c>
      <c r="N1423" s="10">
        <f t="shared" ca="1" si="28"/>
        <v>-77.84045124899275</v>
      </c>
      <c r="O1423" s="7">
        <f ca="1">IFERROR(__xludf.DUMMYFUNCTION("GOOGLEFINANCE(""NSE:""&amp;D1423,""pe"")"),74.83)</f>
        <v>74.83</v>
      </c>
      <c r="P1423" s="7">
        <f ca="1">IFERROR(__xludf.DUMMYFUNCTION("GOOGLEFINANCE(""NSE:""&amp;D1423,""EPS"")"),2.94)</f>
        <v>2.94</v>
      </c>
      <c r="Q1423" s="7">
        <v>13.5</v>
      </c>
      <c r="R1423" s="7" t="str">
        <f ca="1">IFERROR(__xludf.DUMMYFUNCTION("IMPORTXML(E1423,""/html/body/main/div[3]/div[3]/div[2]/ul/li[7]/span[2]/span"")"),"Loading...")</f>
        <v>Loading...</v>
      </c>
      <c r="S1423" s="7" t="str">
        <f ca="1">IFERROR(__xludf.DUMMYFUNCTION("IMPORTXML(E1423,""/html/body/main/div[3]/div[3]/div[2]/ul/li[8]/span[2]/span"")"),"Loading...")</f>
        <v>Loading...</v>
      </c>
      <c r="T1423" s="4">
        <v>34.6</v>
      </c>
      <c r="U1423" s="4">
        <v>22.7</v>
      </c>
      <c r="V1423" s="4">
        <v>2.6</v>
      </c>
      <c r="W1423" s="4">
        <v>5.7</v>
      </c>
      <c r="X1423" s="4">
        <v>519.92999999999995</v>
      </c>
      <c r="Y1423" s="7">
        <f t="shared" ca="1" si="29"/>
        <v>-299.92999999999995</v>
      </c>
    </row>
    <row r="1424" spans="1:25" ht="15" x14ac:dyDescent="0.25">
      <c r="A1424" s="4">
        <v>1265</v>
      </c>
      <c r="C1424" s="12" t="s">
        <v>3390</v>
      </c>
      <c r="D1424" s="12" t="s">
        <v>3391</v>
      </c>
      <c r="E1424" s="5" t="str">
        <f t="shared" si="25"/>
        <v>https://www.screener.in/company/DECCANCE/consolidated/</v>
      </c>
      <c r="F1424" s="4">
        <v>443059</v>
      </c>
      <c r="G1424" s="4">
        <v>3832241897</v>
      </c>
      <c r="H1424" s="6">
        <f t="shared" ca="1" si="26"/>
        <v>417331.14258330001</v>
      </c>
      <c r="I1424" s="7" t="str">
        <f ca="1">IFERROR(__xludf.DUMMYFUNCTION("IMPORTXML(E1424,""/html/body/main/div[3]/div[3]/div[2]/ul/li[5]/span[2]/span"")"),"Loading...")</f>
        <v>Loading...</v>
      </c>
      <c r="J1424" s="7">
        <f ca="1">IFERROR(__xludf.DUMMYFUNCTION("GOOGLEFINANCE(""NSE:""&amp;D1424,""marketcap"")"),15158920000)</f>
        <v>15158920000</v>
      </c>
      <c r="K1424" s="7">
        <v>992.8</v>
      </c>
      <c r="L1424" s="8">
        <f ca="1">IFERROR(__xludf.DUMMYFUNCTION("GOOGLEFINANCE(""NSE:""&amp;D1424,""price"")"),1089)</f>
        <v>1089</v>
      </c>
      <c r="M1424" s="9">
        <f t="shared" ca="1" si="27"/>
        <v>96.200000000000045</v>
      </c>
      <c r="N1424" s="10">
        <f t="shared" ca="1" si="28"/>
        <v>9.6897663174859048</v>
      </c>
      <c r="O1424" s="7">
        <f ca="1">IFERROR(__xludf.DUMMYFUNCTION("GOOGLEFINANCE(""NSE:""&amp;D1424,""pe"")"),76.38)</f>
        <v>76.38</v>
      </c>
      <c r="P1424" s="7">
        <f ca="1">IFERROR(__xludf.DUMMYFUNCTION("GOOGLEFINANCE(""NSE:""&amp;D1424,""EPS"")"),14.26)</f>
        <v>14.26</v>
      </c>
      <c r="Q1424" s="7">
        <v>13.5</v>
      </c>
      <c r="R1424" s="7" t="str">
        <f ca="1">IFERROR(__xludf.DUMMYFUNCTION("IMPORTXML(E1424,""/html/body/main/div[3]/div[3]/div[2]/ul/li[7]/span[2]/span"")"),"Loading...")</f>
        <v>Loading...</v>
      </c>
      <c r="S1424" s="7" t="str">
        <f ca="1">IFERROR(__xludf.DUMMYFUNCTION("IMPORTXML(E1424,""/html/body/main/div[3]/div[3]/div[2]/ul/li[8]/span[2]/span"")"),"Loading...")</f>
        <v>Loading...</v>
      </c>
      <c r="T1424" s="4">
        <v>34.6</v>
      </c>
      <c r="U1424" s="4">
        <v>22.7</v>
      </c>
      <c r="V1424" s="4">
        <v>2.6</v>
      </c>
      <c r="W1424" s="4">
        <v>5.7</v>
      </c>
      <c r="X1424" s="4">
        <v>519.92999999999995</v>
      </c>
      <c r="Y1424" s="7">
        <f t="shared" ca="1" si="29"/>
        <v>569.07000000000005</v>
      </c>
    </row>
    <row r="1425" spans="1:37" ht="15" x14ac:dyDescent="0.25">
      <c r="A1425" s="4">
        <v>275</v>
      </c>
      <c r="C1425" s="12" t="s">
        <v>3392</v>
      </c>
      <c r="D1425" s="12" t="s">
        <v>3393</v>
      </c>
      <c r="E1425" s="5" t="str">
        <f t="shared" si="25"/>
        <v>https://www.screener.in/company/SAPPHIRE/consolidated/</v>
      </c>
      <c r="F1425" s="4">
        <v>443059</v>
      </c>
      <c r="G1425" s="4">
        <v>3832241897</v>
      </c>
      <c r="H1425" s="6">
        <f t="shared" ca="1" si="26"/>
        <v>123168.25456957998</v>
      </c>
      <c r="I1425" s="7" t="str">
        <f ca="1">IFERROR(__xludf.DUMMYFUNCTION("IMPORTXML(E1425,""/html/body/main/div[3]/div[3]/div[2]/ul/li[5]/span[2]/span"")"),"Loading...")</f>
        <v>Loading...</v>
      </c>
      <c r="J1425" s="7">
        <f ca="1">IFERROR(__xludf.DUMMYFUNCTION("GOOGLEFINANCE(""NSE:""&amp;D1425,""marketcap"")"),103244300000)</f>
        <v>103244300000</v>
      </c>
      <c r="K1425" s="7">
        <v>992.8</v>
      </c>
      <c r="L1425" s="8">
        <f ca="1">IFERROR(__xludf.DUMMYFUNCTION("GOOGLEFINANCE(""NSE:""&amp;D1425,""price"")"),321.4)</f>
        <v>321.39999999999998</v>
      </c>
      <c r="M1425" s="9">
        <f t="shared" ca="1" si="27"/>
        <v>-671.4</v>
      </c>
      <c r="N1425" s="10">
        <f t="shared" ca="1" si="28"/>
        <v>-67.626913779210312</v>
      </c>
      <c r="O1425" s="7">
        <f ca="1">IFERROR(__xludf.DUMMYFUNCTION("GOOGLEFINANCE(""NSE:""&amp;D1425,""pe"")"),1213.38)</f>
        <v>1213.3800000000001</v>
      </c>
      <c r="P1425" s="7">
        <f ca="1">IFERROR(__xludf.DUMMYFUNCTION("GOOGLEFINANCE(""NSE:""&amp;D1425,""EPS"")"),0.26)</f>
        <v>0.26</v>
      </c>
      <c r="Q1425" s="7">
        <v>13.5</v>
      </c>
      <c r="R1425" s="7" t="str">
        <f ca="1">IFERROR(__xludf.DUMMYFUNCTION("IMPORTXML(E1425,""/html/body/main/div[3]/div[3]/div[2]/ul/li[7]/span[2]/span"")"),"Loading...")</f>
        <v>Loading...</v>
      </c>
      <c r="S1425" s="7" t="str">
        <f ca="1">IFERROR(__xludf.DUMMYFUNCTION("IMPORTXML(E1425,""/html/body/main/div[3]/div[3]/div[2]/ul/li[8]/span[2]/span"")"),"Loading...")</f>
        <v>Loading...</v>
      </c>
      <c r="T1425" s="4">
        <v>34.6</v>
      </c>
      <c r="U1425" s="4">
        <v>22.7</v>
      </c>
      <c r="V1425" s="4">
        <v>2.6</v>
      </c>
      <c r="W1425" s="4">
        <v>5.7</v>
      </c>
      <c r="X1425" s="4">
        <v>519.92999999999995</v>
      </c>
      <c r="Y1425" s="7">
        <f t="shared" ca="1" si="29"/>
        <v>-198.52999999999997</v>
      </c>
    </row>
    <row r="1426" spans="1:37" ht="15" x14ac:dyDescent="0.25">
      <c r="A1426" s="4">
        <v>647</v>
      </c>
      <c r="C1426" s="12" t="s">
        <v>3394</v>
      </c>
      <c r="D1426" s="12" t="s">
        <v>3395</v>
      </c>
      <c r="E1426" s="5" t="str">
        <f t="shared" si="25"/>
        <v>https://www.screener.in/company/SHK/consolidated/</v>
      </c>
      <c r="F1426" s="4">
        <v>443059</v>
      </c>
      <c r="G1426" s="4">
        <v>3832241897</v>
      </c>
      <c r="H1426" s="6">
        <f t="shared" ca="1" si="26"/>
        <v>99829.90141685</v>
      </c>
      <c r="I1426" s="7" t="str">
        <f ca="1">IFERROR(__xludf.DUMMYFUNCTION("IMPORTXML(E1426,""/html/body/main/div[3]/div[3]/div[2]/ul/li[5]/span[2]/span"")"),"Loading...")</f>
        <v>Loading...</v>
      </c>
      <c r="J1426" s="7">
        <f ca="1">IFERROR(__xludf.DUMMYFUNCTION("GOOGLEFINANCE(""NSE:""&amp;D1426,""marketcap"")"),36058592350)</f>
        <v>36058592350</v>
      </c>
      <c r="K1426" s="7">
        <v>992.8</v>
      </c>
      <c r="L1426" s="8">
        <f ca="1">IFERROR(__xludf.DUMMYFUNCTION("GOOGLEFINANCE(""NSE:""&amp;D1426,""price"")"),260.5)</f>
        <v>260.5</v>
      </c>
      <c r="M1426" s="9">
        <f t="shared" ca="1" si="27"/>
        <v>-732.3</v>
      </c>
      <c r="N1426" s="10">
        <f t="shared" ca="1" si="28"/>
        <v>-73.761079774375503</v>
      </c>
      <c r="O1426" s="7">
        <f ca="1">IFERROR(__xludf.DUMMYFUNCTION("GOOGLEFINANCE(""NSE:""&amp;D1426,""pe"")"),19.52)</f>
        <v>19.52</v>
      </c>
      <c r="P1426" s="7">
        <f ca="1">IFERROR(__xludf.DUMMYFUNCTION("GOOGLEFINANCE(""NSE:""&amp;D1426,""EPS"")"),13.35)</f>
        <v>13.35</v>
      </c>
      <c r="Q1426" s="7">
        <v>13.5</v>
      </c>
      <c r="R1426" s="7" t="str">
        <f ca="1">IFERROR(__xludf.DUMMYFUNCTION("IMPORTXML(E1426,""/html/body/main/div[3]/div[3]/div[2]/ul/li[7]/span[2]/span"")"),"Loading...")</f>
        <v>Loading...</v>
      </c>
      <c r="S1426" s="7" t="str">
        <f ca="1">IFERROR(__xludf.DUMMYFUNCTION("IMPORTXML(E1426,""/html/body/main/div[3]/div[3]/div[2]/ul/li[8]/span[2]/span"")"),"Loading...")</f>
        <v>Loading...</v>
      </c>
      <c r="T1426" s="4">
        <v>34.6</v>
      </c>
      <c r="U1426" s="4">
        <v>22.7</v>
      </c>
      <c r="V1426" s="4">
        <v>2.6</v>
      </c>
      <c r="W1426" s="4">
        <v>5.7</v>
      </c>
      <c r="X1426" s="4">
        <v>519.92999999999995</v>
      </c>
      <c r="Y1426" s="7">
        <f t="shared" ca="1" si="29"/>
        <v>-259.42999999999995</v>
      </c>
    </row>
    <row r="1427" spans="1:37" ht="15" x14ac:dyDescent="0.25">
      <c r="A1427" s="4">
        <v>21</v>
      </c>
      <c r="C1427" s="12" t="s">
        <v>3396</v>
      </c>
      <c r="D1427" s="12" t="s">
        <v>3397</v>
      </c>
      <c r="E1427" s="5" t="str">
        <f t="shared" si="25"/>
        <v>https://www.screener.in/company/PPLPHARMA/consolidated/</v>
      </c>
      <c r="F1427" s="4">
        <v>443059</v>
      </c>
      <c r="G1427" s="4">
        <v>3832241897</v>
      </c>
      <c r="H1427" s="6">
        <f t="shared" ca="1" si="26"/>
        <v>77411.286319399995</v>
      </c>
      <c r="I1427" s="7" t="str">
        <f ca="1">IFERROR(__xludf.DUMMYFUNCTION("IMPORTXML(E1427,""/html/body/main/div[3]/div[3]/div[2]/ul/li[5]/span[2]/span"")"),"Loading...")</f>
        <v>Loading...</v>
      </c>
      <c r="J1427" s="7">
        <f ca="1">IFERROR(__xludf.DUMMYFUNCTION("GOOGLEFINANCE(""NSE:""&amp;D1427,""marketcap"")"),265188933630)</f>
        <v>265188933630</v>
      </c>
      <c r="K1427" s="7">
        <v>992.8</v>
      </c>
      <c r="L1427" s="8">
        <f ca="1">IFERROR(__xludf.DUMMYFUNCTION("GOOGLEFINANCE(""NSE:""&amp;D1427,""price"")"),202)</f>
        <v>202</v>
      </c>
      <c r="M1427" s="9">
        <f t="shared" ca="1" si="27"/>
        <v>-790.8</v>
      </c>
      <c r="N1427" s="10">
        <f t="shared" ca="1" si="28"/>
        <v>-79.653505237711514</v>
      </c>
      <c r="O1427" s="7">
        <f ca="1">IFERROR(__xludf.DUMMYFUNCTION("GOOGLEFINANCE(""NSE:""&amp;D1427,""pe"")"),278.97)</f>
        <v>278.97000000000003</v>
      </c>
      <c r="P1427" s="7">
        <f ca="1">IFERROR(__xludf.DUMMYFUNCTION("GOOGLEFINANCE(""NSE:""&amp;D1427,""EPS"")"),0.72)</f>
        <v>0.72</v>
      </c>
      <c r="Q1427" s="7">
        <v>13.5</v>
      </c>
      <c r="R1427" s="7" t="str">
        <f ca="1">IFERROR(__xludf.DUMMYFUNCTION("IMPORTXML(E1427,""/html/body/main/div[3]/div[3]/div[2]/ul/li[7]/span[2]/span"")"),"Loading...")</f>
        <v>Loading...</v>
      </c>
      <c r="S1427" s="7" t="str">
        <f ca="1">IFERROR(__xludf.DUMMYFUNCTION("IMPORTXML(E1427,""/html/body/main/div[3]/div[3]/div[2]/ul/li[8]/span[2]/span"")"),"Loading...")</f>
        <v>Loading...</v>
      </c>
      <c r="T1427" s="4">
        <v>34.6</v>
      </c>
      <c r="U1427" s="4">
        <v>22.7</v>
      </c>
      <c r="V1427" s="4">
        <v>2.6</v>
      </c>
      <c r="W1427" s="4">
        <v>5.7</v>
      </c>
      <c r="X1427" s="4">
        <v>519.92999999999995</v>
      </c>
      <c r="Y1427" s="7">
        <f t="shared" ca="1" si="29"/>
        <v>-317.92999999999995</v>
      </c>
    </row>
    <row r="1428" spans="1:37" ht="15" x14ac:dyDescent="0.25">
      <c r="A1428" s="4">
        <v>535</v>
      </c>
      <c r="C1428" s="12" t="s">
        <v>3398</v>
      </c>
      <c r="D1428" s="12" t="s">
        <v>3399</v>
      </c>
      <c r="E1428" s="5" t="str">
        <f t="shared" si="25"/>
        <v>https://www.screener.in/company/ORISSAMINE/consolidated/</v>
      </c>
      <c r="F1428" s="4">
        <v>443059</v>
      </c>
      <c r="G1428" s="4">
        <v>3832241897</v>
      </c>
      <c r="H1428" s="6">
        <f t="shared" ca="1" si="26"/>
        <v>1853923.6625116898</v>
      </c>
      <c r="I1428" s="7" t="str">
        <f ca="1">IFERROR(__xludf.DUMMYFUNCTION("IMPORTXML(E1428,""/html/body/main/div[3]/div[3]/div[2]/ul/li[5]/span[2]/span"")"),"Loading...")</f>
        <v>Loading...</v>
      </c>
      <c r="J1428" s="7">
        <f ca="1">IFERROR(__xludf.DUMMYFUNCTION("GOOGLEFINANCE(""NSE:""&amp;D1428,""marketcap"")"),29026201171)</f>
        <v>29026201171</v>
      </c>
      <c r="K1428" s="7">
        <v>992.8</v>
      </c>
      <c r="L1428" s="8">
        <f ca="1">IFERROR(__xludf.DUMMYFUNCTION("GOOGLEFINANCE(""NSE:""&amp;D1428,""price"")"),4837.7)</f>
        <v>4837.7</v>
      </c>
      <c r="M1428" s="9">
        <f t="shared" ca="1" si="27"/>
        <v>3844.8999999999996</v>
      </c>
      <c r="N1428" s="10">
        <f t="shared" ca="1" si="28"/>
        <v>387.27840451248994</v>
      </c>
      <c r="O1428" s="7" t="str">
        <f ca="1">IFERROR(__xludf.DUMMYFUNCTION("GOOGLEFINANCE(""NSE:""&amp;D1428,""pe"")"),"#N/A")</f>
        <v>#N/A</v>
      </c>
      <c r="P1428" s="7">
        <f ca="1">IFERROR(__xludf.DUMMYFUNCTION("GOOGLEFINANCE(""NSE:""&amp;D1428,""EPS"")"),-67.04)</f>
        <v>-67.040000000000006</v>
      </c>
      <c r="Q1428" s="7">
        <v>13.5</v>
      </c>
      <c r="R1428" s="7" t="str">
        <f ca="1">IFERROR(__xludf.DUMMYFUNCTION("IMPORTXML(E1428,""/html/body/main/div[3]/div[3]/div[2]/ul/li[7]/span[2]/span"")"),"Loading...")</f>
        <v>Loading...</v>
      </c>
      <c r="S1428" s="7" t="str">
        <f ca="1">IFERROR(__xludf.DUMMYFUNCTION("IMPORTXML(E1428,""/html/body/main/div[3]/div[3]/div[2]/ul/li[8]/span[2]/span"")"),"Loading...")</f>
        <v>Loading...</v>
      </c>
      <c r="T1428" s="4">
        <v>34.6</v>
      </c>
      <c r="U1428" s="4">
        <v>22.7</v>
      </c>
      <c r="V1428" s="4">
        <v>2.6</v>
      </c>
      <c r="W1428" s="4">
        <v>5.7</v>
      </c>
      <c r="X1428" s="4">
        <v>519.92999999999995</v>
      </c>
      <c r="Y1428" s="7">
        <f t="shared" ca="1" si="29"/>
        <v>4317.7699999999995</v>
      </c>
    </row>
    <row r="1429" spans="1:37" ht="15" x14ac:dyDescent="0.25">
      <c r="A1429" s="4">
        <v>1157</v>
      </c>
      <c r="C1429" s="12" t="s">
        <v>3400</v>
      </c>
      <c r="D1429" s="12" t="s">
        <v>3401</v>
      </c>
      <c r="E1429" s="5" t="str">
        <f t="shared" si="25"/>
        <v>https://www.screener.in/company/UNIENTER/consolidated/</v>
      </c>
      <c r="F1429" s="4">
        <v>443059</v>
      </c>
      <c r="G1429" s="4">
        <v>3832241897</v>
      </c>
      <c r="H1429" s="6">
        <f t="shared" ca="1" si="26"/>
        <v>59399.749403499998</v>
      </c>
      <c r="I1429" s="7" t="str">
        <f ca="1">IFERROR(__xludf.DUMMYFUNCTION("IMPORTXML(E1429,""/html/body/main/div[3]/div[3]/div[2]/ul/li[5]/span[2]/span"")"),"Loading...")</f>
        <v>Loading...</v>
      </c>
      <c r="J1429" s="7">
        <f ca="1">IFERROR(__xludf.DUMMYFUNCTION("GOOGLEFINANCE(""NSE:""&amp;D1429,""marketcap"")"),10810915669)</f>
        <v>10810915669</v>
      </c>
      <c r="K1429" s="7">
        <v>992.8</v>
      </c>
      <c r="L1429" s="8">
        <f ca="1">IFERROR(__xludf.DUMMYFUNCTION("GOOGLEFINANCE(""NSE:""&amp;D1429,""price"")"),155)</f>
        <v>155</v>
      </c>
      <c r="M1429" s="9">
        <f t="shared" ca="1" si="27"/>
        <v>-837.8</v>
      </c>
      <c r="N1429" s="10">
        <f t="shared" ca="1" si="28"/>
        <v>-84.387590652699444</v>
      </c>
      <c r="O1429" s="7" t="str">
        <f ca="1">IFERROR(__xludf.DUMMYFUNCTION("GOOGLEFINANCE(""NSE:""&amp;D1429,""pe"")"),"#N/A")</f>
        <v>#N/A</v>
      </c>
      <c r="P1429" s="7">
        <f ca="1">IFERROR(__xludf.DUMMYFUNCTION("GOOGLEFINANCE(""NSE:""&amp;D1429,""EPS"")"),-0.04)</f>
        <v>-0.04</v>
      </c>
      <c r="Q1429" s="7">
        <v>13.5</v>
      </c>
      <c r="R1429" s="7" t="str">
        <f ca="1">IFERROR(__xludf.DUMMYFUNCTION("IMPORTXML(E1429,""/html/body/main/div[3]/div[3]/div[2]/ul/li[7]/span[2]/span"")"),"Loading...")</f>
        <v>Loading...</v>
      </c>
      <c r="S1429" s="7" t="str">
        <f ca="1">IFERROR(__xludf.DUMMYFUNCTION("IMPORTXML(E1429,""/html/body/main/div[3]/div[3]/div[2]/ul/li[8]/span[2]/span"")"),"Loading...")</f>
        <v>Loading...</v>
      </c>
      <c r="T1429" s="4">
        <v>34.6</v>
      </c>
      <c r="U1429" s="4">
        <v>22.7</v>
      </c>
      <c r="V1429" s="4">
        <v>2.6</v>
      </c>
      <c r="W1429" s="4">
        <v>5.7</v>
      </c>
      <c r="X1429" s="4">
        <v>519.92999999999995</v>
      </c>
      <c r="Y1429" s="7">
        <f t="shared" ca="1" si="29"/>
        <v>-364.92999999999995</v>
      </c>
    </row>
    <row r="1430" spans="1:37" ht="15" x14ac:dyDescent="0.25">
      <c r="A1430" s="4">
        <v>1187</v>
      </c>
      <c r="C1430" s="12" t="s">
        <v>3402</v>
      </c>
      <c r="D1430" s="12" t="s">
        <v>3403</v>
      </c>
      <c r="E1430" s="5" t="str">
        <f t="shared" si="25"/>
        <v>https://www.screener.in/company/URJA/consolidated/</v>
      </c>
      <c r="F1430" s="4">
        <v>443059</v>
      </c>
      <c r="G1430" s="4">
        <v>3832241897</v>
      </c>
      <c r="H1430" s="6">
        <f t="shared" ca="1" si="26"/>
        <v>5269.3326083749998</v>
      </c>
      <c r="I1430" s="7" t="str">
        <f ca="1">IFERROR(__xludf.DUMMYFUNCTION("IMPORTXML(E1430,""/html/body/main/div[3]/div[3]/div[2]/ul/li[5]/span[2]/span"")"),"Loading...")</f>
        <v>Loading...</v>
      </c>
      <c r="J1430" s="7">
        <f ca="1">IFERROR(__xludf.DUMMYFUNCTION("GOOGLEFINANCE(""NSE:""&amp;D1430,""marketcap"")"),7214163827)</f>
        <v>7214163827</v>
      </c>
      <c r="K1430" s="7">
        <v>992.8</v>
      </c>
      <c r="L1430" s="8">
        <f ca="1">IFERROR(__xludf.DUMMYFUNCTION("GOOGLEFINANCE(""NSE:""&amp;D1430,""price"")"),13.75)</f>
        <v>13.75</v>
      </c>
      <c r="M1430" s="9">
        <f t="shared" ca="1" si="27"/>
        <v>-979.05</v>
      </c>
      <c r="N1430" s="10">
        <f t="shared" ca="1" si="28"/>
        <v>-98.615028203062053</v>
      </c>
      <c r="O1430" s="7">
        <f ca="1">IFERROR(__xludf.DUMMYFUNCTION("GOOGLEFINANCE(""NSE:""&amp;D1430,""pe"")"),528.64)</f>
        <v>528.64</v>
      </c>
      <c r="P1430" s="7">
        <f ca="1">IFERROR(__xludf.DUMMYFUNCTION("GOOGLEFINANCE(""NSE:""&amp;D1430,""EPS"")"),0.03)</f>
        <v>0.03</v>
      </c>
      <c r="Q1430" s="7">
        <v>13.5</v>
      </c>
      <c r="R1430" s="7" t="str">
        <f ca="1">IFERROR(__xludf.DUMMYFUNCTION("IMPORTXML(E1430,""/html/body/main/div[3]/div[3]/div[2]/ul/li[7]/span[2]/span"")"),"Loading...")</f>
        <v>Loading...</v>
      </c>
      <c r="S1430" s="7" t="str">
        <f ca="1">IFERROR(__xludf.DUMMYFUNCTION("IMPORTXML(E1430,""/html/body/main/div[3]/div[3]/div[2]/ul/li[8]/span[2]/span"")"),"Loading...")</f>
        <v>Loading...</v>
      </c>
      <c r="T1430" s="4">
        <v>34.6</v>
      </c>
      <c r="U1430" s="4">
        <v>22.7</v>
      </c>
      <c r="V1430" s="4">
        <v>2.6</v>
      </c>
      <c r="W1430" s="4">
        <v>5.7</v>
      </c>
      <c r="X1430" s="4">
        <v>519.92999999999995</v>
      </c>
      <c r="Y1430" s="7">
        <f t="shared" ca="1" si="29"/>
        <v>-506.17999999999995</v>
      </c>
    </row>
    <row r="1431" spans="1:37" ht="15" x14ac:dyDescent="0.25">
      <c r="A1431" s="4">
        <v>85</v>
      </c>
      <c r="C1431" s="12" t="s">
        <v>3404</v>
      </c>
      <c r="D1431" s="12" t="s">
        <v>3405</v>
      </c>
      <c r="E1431" s="5" t="str">
        <f t="shared" si="25"/>
        <v>https://www.screener.in/company/DEVYANI/consolidated/</v>
      </c>
      <c r="F1431" s="4">
        <v>443059</v>
      </c>
      <c r="G1431" s="4">
        <v>3832241897</v>
      </c>
      <c r="H1431" s="6">
        <f t="shared" ca="1" si="26"/>
        <v>68988.018629794009</v>
      </c>
      <c r="I1431" s="7" t="str">
        <f ca="1">IFERROR(__xludf.DUMMYFUNCTION("IMPORTXML(E1431,""/html/body/main/div[3]/div[3]/div[2]/ul/li[5]/span[2]/span"")"),"Loading...")</f>
        <v>Loading...</v>
      </c>
      <c r="J1431" s="7">
        <f ca="1">IFERROR(__xludf.DUMMYFUNCTION("GOOGLEFINANCE(""NSE:""&amp;D1431,""marketcap"")"),221773304003)</f>
        <v>221773304003</v>
      </c>
      <c r="K1431" s="7">
        <v>992.8</v>
      </c>
      <c r="L1431" s="8">
        <f ca="1">IFERROR(__xludf.DUMMYFUNCTION("GOOGLEFINANCE(""NSE:""&amp;D1431,""price"")"),180.02)</f>
        <v>180.02</v>
      </c>
      <c r="M1431" s="9">
        <f t="shared" ca="1" si="27"/>
        <v>-812.78</v>
      </c>
      <c r="N1431" s="10">
        <f t="shared" ca="1" si="28"/>
        <v>-81.867445608380336</v>
      </c>
      <c r="O1431" s="7" t="str">
        <f ca="1">IFERROR(__xludf.DUMMYFUNCTION("GOOGLEFINANCE(""NSE:""&amp;D1431,""pe"")"),"#N/A")</f>
        <v>#N/A</v>
      </c>
      <c r="P1431" s="7">
        <f ca="1">IFERROR(__xludf.DUMMYFUNCTION("GOOGLEFINANCE(""NSE:""&amp;D1431,""EPS"")"),-0.1)</f>
        <v>-0.1</v>
      </c>
      <c r="Q1431" s="7">
        <v>13.5</v>
      </c>
      <c r="R1431" s="7" t="str">
        <f ca="1">IFERROR(__xludf.DUMMYFUNCTION("IMPORTXML(E1431,""/html/body/main/div[3]/div[3]/div[2]/ul/li[7]/span[2]/span"")"),"Loading...")</f>
        <v>Loading...</v>
      </c>
      <c r="S1431" s="7" t="str">
        <f ca="1">IFERROR(__xludf.DUMMYFUNCTION("IMPORTXML(E1431,""/html/body/main/div[3]/div[3]/div[2]/ul/li[8]/span[2]/span"")"),"Loading...")</f>
        <v>Loading...</v>
      </c>
      <c r="T1431" s="4">
        <v>34.6</v>
      </c>
      <c r="U1431" s="4">
        <v>22.7</v>
      </c>
      <c r="V1431" s="4">
        <v>2.6</v>
      </c>
      <c r="W1431" s="4">
        <v>5.7</v>
      </c>
      <c r="X1431" s="4">
        <v>519.92999999999995</v>
      </c>
      <c r="Y1431" s="7">
        <f t="shared" ca="1" si="29"/>
        <v>-339.90999999999997</v>
      </c>
    </row>
    <row r="1432" spans="1:37" ht="15" x14ac:dyDescent="0.25">
      <c r="A1432" s="4">
        <v>217</v>
      </c>
      <c r="C1432" s="12" t="s">
        <v>3406</v>
      </c>
      <c r="D1432" s="12" t="s">
        <v>3407</v>
      </c>
      <c r="E1432" s="5" t="str">
        <f t="shared" si="25"/>
        <v>https://www.screener.in/company/WESTLIFE/consolidated/</v>
      </c>
      <c r="F1432" s="4">
        <v>443059</v>
      </c>
      <c r="G1432" s="4">
        <v>3832241897</v>
      </c>
      <c r="H1432" s="6">
        <f t="shared" ca="1" si="26"/>
        <v>283585.90037799999</v>
      </c>
      <c r="I1432" s="7" t="str">
        <f ca="1">IFERROR(__xludf.DUMMYFUNCTION("IMPORTXML(E1432,""/html/body/main/div[3]/div[3]/div[2]/ul/li[5]/span[2]/span"")"),"Loading...")</f>
        <v>Loading...</v>
      </c>
      <c r="J1432" s="7">
        <f ca="1">IFERROR(__xludf.DUMMYFUNCTION("GOOGLEFINANCE(""NSE:""&amp;D1432,""marketcap"")"),114992226000)</f>
        <v>114992226000</v>
      </c>
      <c r="K1432" s="7">
        <v>992.8</v>
      </c>
      <c r="L1432" s="8">
        <f ca="1">IFERROR(__xludf.DUMMYFUNCTION("GOOGLEFINANCE(""NSE:""&amp;D1432,""price"")"),740)</f>
        <v>740</v>
      </c>
      <c r="M1432" s="9">
        <f t="shared" ca="1" si="27"/>
        <v>-252.79999999999995</v>
      </c>
      <c r="N1432" s="10">
        <f t="shared" ca="1" si="28"/>
        <v>-25.463336019339238</v>
      </c>
      <c r="O1432" s="7">
        <f ca="1">IFERROR(__xludf.DUMMYFUNCTION("GOOGLEFINANCE(""NSE:""&amp;D1432,""pe"")"),1140.66)</f>
        <v>1140.6600000000001</v>
      </c>
      <c r="P1432" s="7">
        <f ca="1">IFERROR(__xludf.DUMMYFUNCTION("GOOGLEFINANCE(""NSE:""&amp;D1432,""EPS"")"),0.65)</f>
        <v>0.65</v>
      </c>
      <c r="Q1432" s="7">
        <v>13.5</v>
      </c>
      <c r="R1432" s="7" t="str">
        <f ca="1">IFERROR(__xludf.DUMMYFUNCTION("IMPORTXML(E1432,""/html/body/main/div[3]/div[3]/div[2]/ul/li[7]/span[2]/span"")"),"Loading...")</f>
        <v>Loading...</v>
      </c>
      <c r="S1432" s="7" t="str">
        <f ca="1">IFERROR(__xludf.DUMMYFUNCTION("IMPORTXML(E1432,""/html/body/main/div[3]/div[3]/div[2]/ul/li[8]/span[2]/span"")"),"Loading...")</f>
        <v>Loading...</v>
      </c>
      <c r="T1432" s="4">
        <v>34.6</v>
      </c>
      <c r="U1432" s="4">
        <v>22.7</v>
      </c>
      <c r="V1432" s="4">
        <v>2.6</v>
      </c>
      <c r="W1432" s="4">
        <v>5.7</v>
      </c>
      <c r="X1432" s="4">
        <v>519.92999999999995</v>
      </c>
      <c r="Y1432" s="7">
        <f t="shared" ca="1" si="29"/>
        <v>220.07000000000005</v>
      </c>
    </row>
    <row r="1433" spans="1:37" ht="15" x14ac:dyDescent="0.25">
      <c r="A1433" s="4">
        <v>23</v>
      </c>
      <c r="C1433" s="12" t="s">
        <v>3408</v>
      </c>
      <c r="D1433" s="12" t="s">
        <v>3409</v>
      </c>
      <c r="E1433" s="5" t="str">
        <f t="shared" si="25"/>
        <v>https://www.screener.in/company/DELHIVERY/consolidated/</v>
      </c>
      <c r="F1433" s="4">
        <v>443059</v>
      </c>
      <c r="G1433" s="4">
        <v>3832241897</v>
      </c>
      <c r="H1433" s="6">
        <f t="shared" ca="1" si="26"/>
        <v>180115.36915899999</v>
      </c>
      <c r="I1433" s="7" t="str">
        <f ca="1">IFERROR(__xludf.DUMMYFUNCTION("IMPORTXML(E1433,""/html/body/main/div[3]/div[3]/div[2]/ul/li[5]/span[2]/span"")"),"Loading...")</f>
        <v>Loading...</v>
      </c>
      <c r="J1433" s="7">
        <f ca="1">IFERROR(__xludf.DUMMYFUNCTION("GOOGLEFINANCE(""NSE:""&amp;D1433,""marketcap"")"),347796619374)</f>
        <v>347796619374</v>
      </c>
      <c r="K1433" s="7">
        <v>992.8</v>
      </c>
      <c r="L1433" s="8">
        <f ca="1">IFERROR(__xludf.DUMMYFUNCTION("GOOGLEFINANCE(""NSE:""&amp;D1433,""price"")"),470)</f>
        <v>470</v>
      </c>
      <c r="M1433" s="9">
        <f t="shared" ca="1" si="27"/>
        <v>-522.79999999999995</v>
      </c>
      <c r="N1433" s="10">
        <f t="shared" ca="1" si="28"/>
        <v>-52.659145850120872</v>
      </c>
      <c r="O1433" s="7">
        <f ca="1">IFERROR(__xludf.DUMMYFUNCTION("GOOGLEFINANCE(""NSE:""&amp;D1433,""pe"")"),178.63)</f>
        <v>178.63</v>
      </c>
      <c r="P1433" s="7">
        <f ca="1">IFERROR(__xludf.DUMMYFUNCTION("GOOGLEFINANCE(""NSE:""&amp;D1433,""EPS"")"),2.63)</f>
        <v>2.63</v>
      </c>
      <c r="Q1433" s="7">
        <v>13.5</v>
      </c>
      <c r="R1433" s="7" t="str">
        <f ca="1">IFERROR(__xludf.DUMMYFUNCTION("IMPORTXML(E1433,""/html/body/main/div[3]/div[3]/div[2]/ul/li[7]/span[2]/span"")"),"Loading...")</f>
        <v>Loading...</v>
      </c>
      <c r="S1433" s="7" t="str">
        <f ca="1">IFERROR(__xludf.DUMMYFUNCTION("IMPORTXML(E1433,""/html/body/main/div[3]/div[3]/div[2]/ul/li[8]/span[2]/span"")"),"Loading...")</f>
        <v>Loading...</v>
      </c>
      <c r="T1433" s="4">
        <v>34.6</v>
      </c>
      <c r="U1433" s="4">
        <v>22.7</v>
      </c>
      <c r="V1433" s="4">
        <v>2.6</v>
      </c>
      <c r="W1433" s="4">
        <v>5.7</v>
      </c>
      <c r="X1433" s="4">
        <v>519.92999999999995</v>
      </c>
      <c r="Y1433" s="7">
        <f t="shared" ca="1" si="29"/>
        <v>-49.92999999999995</v>
      </c>
    </row>
    <row r="1434" spans="1:37" ht="15" x14ac:dyDescent="0.25">
      <c r="A1434" s="4">
        <v>486</v>
      </c>
      <c r="C1434" s="12" t="s">
        <v>3410</v>
      </c>
      <c r="D1434" s="12" t="s">
        <v>3411</v>
      </c>
      <c r="E1434" s="5" t="str">
        <f t="shared" si="25"/>
        <v>https://www.screener.in/company/UEL/consolidated/</v>
      </c>
      <c r="F1434" s="4">
        <v>443059</v>
      </c>
      <c r="G1434" s="4">
        <v>3832241897</v>
      </c>
      <c r="H1434" s="6">
        <f t="shared" ca="1" si="26"/>
        <v>130296.224498</v>
      </c>
      <c r="I1434" s="7" t="str">
        <f ca="1">IFERROR(__xludf.DUMMYFUNCTION("IMPORTXML(E1434,""/html/body/main/div[3]/div[3]/div[2]/ul/li[5]/span[2]/span"")"),"Loading...")</f>
        <v>Loading...</v>
      </c>
      <c r="J1434" s="7">
        <f ca="1">IFERROR(__xludf.DUMMYFUNCTION("GOOGLEFINANCE(""NSE:""&amp;D1434,""marketcap"")"),37785090000)</f>
        <v>37785090000</v>
      </c>
      <c r="K1434" s="7">
        <v>992.8</v>
      </c>
      <c r="L1434" s="8">
        <f ca="1">IFERROR(__xludf.DUMMYFUNCTION("GOOGLEFINANCE(""NSE:""&amp;D1434,""price"")"),340)</f>
        <v>340</v>
      </c>
      <c r="M1434" s="9">
        <f t="shared" ca="1" si="27"/>
        <v>-652.79999999999995</v>
      </c>
      <c r="N1434" s="10">
        <f t="shared" ca="1" si="28"/>
        <v>-65.753424657534239</v>
      </c>
      <c r="O1434" s="7">
        <f ca="1">IFERROR(__xludf.DUMMYFUNCTION("GOOGLEFINANCE(""NSE:""&amp;D1434,""pe"")"),1009.5)</f>
        <v>1009.5</v>
      </c>
      <c r="P1434" s="7">
        <f ca="1">IFERROR(__xludf.DUMMYFUNCTION("GOOGLEFINANCE(""NSE:""&amp;D1434,""EPS"")"),0.34)</f>
        <v>0.34</v>
      </c>
      <c r="Q1434" s="7">
        <v>13.5</v>
      </c>
      <c r="R1434" s="7" t="str">
        <f ca="1">IFERROR(__xludf.DUMMYFUNCTION("IMPORTXML(E1434,""/html/body/main/div[3]/div[3]/div[2]/ul/li[7]/span[2]/span"")"),"Loading...")</f>
        <v>Loading...</v>
      </c>
      <c r="S1434" s="7" t="str">
        <f ca="1">IFERROR(__xludf.DUMMYFUNCTION("IMPORTXML(E1434,""/html/body/main/div[3]/div[3]/div[2]/ul/li[8]/span[2]/span"")"),"Loading...")</f>
        <v>Loading...</v>
      </c>
      <c r="T1434" s="4">
        <v>34.6</v>
      </c>
      <c r="U1434" s="4">
        <v>22.7</v>
      </c>
      <c r="V1434" s="4">
        <v>2.6</v>
      </c>
      <c r="W1434" s="4">
        <v>5.7</v>
      </c>
      <c r="X1434" s="4">
        <v>519.92999999999995</v>
      </c>
      <c r="Y1434" s="7">
        <f t="shared" ca="1" si="29"/>
        <v>-179.92999999999995</v>
      </c>
    </row>
    <row r="1435" spans="1:37" ht="15" x14ac:dyDescent="0.25">
      <c r="A1435" s="4">
        <v>1568</v>
      </c>
      <c r="C1435" s="12" t="s">
        <v>3412</v>
      </c>
      <c r="D1435" s="12" t="s">
        <v>3413</v>
      </c>
      <c r="E1435" s="5" t="str">
        <f t="shared" si="25"/>
        <v>https://www.screener.in/company/HARRMALAYA/consolidated/</v>
      </c>
      <c r="F1435" s="4">
        <v>443059</v>
      </c>
      <c r="G1435" s="4">
        <v>3832241897</v>
      </c>
      <c r="H1435" s="6">
        <f t="shared" ca="1" si="26"/>
        <v>81281.850635369992</v>
      </c>
      <c r="I1435" s="7" t="str">
        <f ca="1">IFERROR(__xludf.DUMMYFUNCTION("IMPORTXML(E1435,""/html/body/main/div[3]/div[3]/div[2]/ul/li[5]/span[2]/span"")"),"Loading...")</f>
        <v>Loading...</v>
      </c>
      <c r="J1435" s="7">
        <f ca="1">IFERROR(__xludf.DUMMYFUNCTION("GOOGLEFINANCE(""NSE:""&amp;D1435,""marketcap"")"),3937092000)</f>
        <v>3937092000</v>
      </c>
      <c r="K1435" s="7">
        <v>992.8</v>
      </c>
      <c r="L1435" s="8">
        <f ca="1">IFERROR(__xludf.DUMMYFUNCTION("GOOGLEFINANCE(""NSE:""&amp;D1435,""price"")"),212.1)</f>
        <v>212.1</v>
      </c>
      <c r="M1435" s="9">
        <f t="shared" ca="1" si="27"/>
        <v>-780.69999999999993</v>
      </c>
      <c r="N1435" s="10">
        <f t="shared" ca="1" si="28"/>
        <v>-78.636180499597103</v>
      </c>
      <c r="O1435" s="7">
        <f ca="1">IFERROR(__xludf.DUMMYFUNCTION("GOOGLEFINANCE(""NSE:""&amp;D1435,""pe"")"),14.79)</f>
        <v>14.79</v>
      </c>
      <c r="P1435" s="7">
        <f ca="1">IFERROR(__xludf.DUMMYFUNCTION("GOOGLEFINANCE(""NSE:""&amp;D1435,""EPS"")"),14.34)</f>
        <v>14.34</v>
      </c>
      <c r="Q1435" s="7">
        <v>13.5</v>
      </c>
      <c r="R1435" s="7" t="str">
        <f ca="1">IFERROR(__xludf.DUMMYFUNCTION("IMPORTXML(E1435,""/html/body/main/div[3]/div[3]/div[2]/ul/li[7]/span[2]/span"")"),"Loading...")</f>
        <v>Loading...</v>
      </c>
      <c r="S1435" s="7" t="str">
        <f ca="1">IFERROR(__xludf.DUMMYFUNCTION("IMPORTXML(E1435,""/html/body/main/div[3]/div[3]/div[2]/ul/li[8]/span[2]/span"")"),"Loading...")</f>
        <v>Loading...</v>
      </c>
      <c r="T1435" s="4">
        <v>34.6</v>
      </c>
      <c r="U1435" s="4">
        <v>22.7</v>
      </c>
      <c r="V1435" s="4">
        <v>2.6</v>
      </c>
      <c r="W1435" s="4">
        <v>5.7</v>
      </c>
      <c r="X1435" s="4">
        <v>519.92999999999995</v>
      </c>
      <c r="Y1435" s="7">
        <f t="shared" ca="1" si="29"/>
        <v>-307.82999999999993</v>
      </c>
    </row>
    <row r="1436" spans="1:37" ht="15" x14ac:dyDescent="0.25">
      <c r="A1436" s="4">
        <v>2030</v>
      </c>
      <c r="C1436" s="12" t="s">
        <v>3414</v>
      </c>
      <c r="D1436" s="12" t="s">
        <v>3415</v>
      </c>
      <c r="E1436" s="5" t="str">
        <f t="shared" si="25"/>
        <v>https://www.screener.in/company/GILLANDERS/consolidated/</v>
      </c>
      <c r="F1436" s="4">
        <v>443059</v>
      </c>
      <c r="G1436" s="4">
        <v>3832241897</v>
      </c>
      <c r="H1436" s="6">
        <f t="shared" ca="1" si="26"/>
        <v>46178.514858850001</v>
      </c>
      <c r="I1436" s="7" t="str">
        <f ca="1">IFERROR(__xludf.DUMMYFUNCTION("IMPORTXML(E1436,""/html/body/main/div[3]/div[3]/div[2]/ul/li[5]/span[2]/span"")"),"Loading...")</f>
        <v>Loading...</v>
      </c>
      <c r="J1436" s="7">
        <f ca="1">IFERROR(__xludf.DUMMYFUNCTION("GOOGLEFINANCE(""NSE:""&amp;D1436,""marketcap"")"),2579769456)</f>
        <v>2579769456</v>
      </c>
      <c r="K1436" s="7">
        <v>992.8</v>
      </c>
      <c r="L1436" s="8">
        <f ca="1">IFERROR(__xludf.DUMMYFUNCTION("GOOGLEFINANCE(""NSE:""&amp;D1436,""price"")"),120.5)</f>
        <v>120.5</v>
      </c>
      <c r="M1436" s="9">
        <f t="shared" ca="1" si="27"/>
        <v>-872.3</v>
      </c>
      <c r="N1436" s="10">
        <f t="shared" ca="1" si="28"/>
        <v>-87.862610797743756</v>
      </c>
      <c r="O1436" s="7">
        <f ca="1">IFERROR(__xludf.DUMMYFUNCTION("GOOGLEFINANCE(""NSE:""&amp;D1436,""pe"")"),8.27)</f>
        <v>8.27</v>
      </c>
      <c r="P1436" s="7">
        <f ca="1">IFERROR(__xludf.DUMMYFUNCTION("GOOGLEFINANCE(""NSE:""&amp;D1436,""EPS"")"),14.56)</f>
        <v>14.56</v>
      </c>
      <c r="Q1436" s="7">
        <v>13.5</v>
      </c>
      <c r="R1436" s="7" t="str">
        <f ca="1">IFERROR(__xludf.DUMMYFUNCTION("IMPORTXML(E1436,""/html/body/main/div[3]/div[3]/div[2]/ul/li[7]/span[2]/span"")"),"Loading...")</f>
        <v>Loading...</v>
      </c>
      <c r="S1436" s="7" t="str">
        <f ca="1">IFERROR(__xludf.DUMMYFUNCTION("IMPORTXML(E1436,""/html/body/main/div[3]/div[3]/div[2]/ul/li[8]/span[2]/span"")"),"Loading...")</f>
        <v>Loading...</v>
      </c>
      <c r="T1436" s="4">
        <v>34.6</v>
      </c>
      <c r="U1436" s="4">
        <v>22.7</v>
      </c>
      <c r="V1436" s="4">
        <v>2.6</v>
      </c>
      <c r="W1436" s="4">
        <v>5.7</v>
      </c>
      <c r="X1436" s="4">
        <v>519.92999999999995</v>
      </c>
      <c r="Y1436" s="7">
        <f t="shared" ca="1" si="29"/>
        <v>-399.42999999999995</v>
      </c>
    </row>
    <row r="1437" spans="1:37" ht="12.75" x14ac:dyDescent="0.2">
      <c r="A1437" s="1" t="s">
        <v>0</v>
      </c>
      <c r="B1437" s="1" t="s">
        <v>1</v>
      </c>
      <c r="C1437" s="1" t="s">
        <v>2</v>
      </c>
      <c r="D1437" s="1" t="s">
        <v>3</v>
      </c>
      <c r="E1437" s="1" t="s">
        <v>4</v>
      </c>
      <c r="F1437" s="1" t="s">
        <v>5</v>
      </c>
      <c r="G1437" s="1" t="s">
        <v>6</v>
      </c>
      <c r="H1437" s="2" t="s">
        <v>7</v>
      </c>
      <c r="I1437" s="1" t="s">
        <v>8</v>
      </c>
      <c r="J1437" s="1" t="s">
        <v>9</v>
      </c>
      <c r="K1437" s="1" t="s">
        <v>61</v>
      </c>
      <c r="L1437" s="1" t="s">
        <v>11</v>
      </c>
      <c r="M1437" s="2" t="s">
        <v>12</v>
      </c>
      <c r="N1437" s="2" t="s">
        <v>13</v>
      </c>
      <c r="O1437" s="1" t="s">
        <v>14</v>
      </c>
      <c r="P1437" s="1" t="s">
        <v>15</v>
      </c>
      <c r="Q1437" s="1" t="s">
        <v>16</v>
      </c>
      <c r="R1437" s="1" t="s">
        <v>17</v>
      </c>
      <c r="S1437" s="3" t="s">
        <v>18</v>
      </c>
      <c r="T1437" s="3" t="s">
        <v>19</v>
      </c>
      <c r="U1437" s="3" t="s">
        <v>20</v>
      </c>
      <c r="V1437" s="3" t="s">
        <v>21</v>
      </c>
      <c r="W1437" s="3" t="s">
        <v>22</v>
      </c>
      <c r="X1437" s="3" t="s">
        <v>23</v>
      </c>
      <c r="Y1437" s="3" t="s">
        <v>24</v>
      </c>
      <c r="Z1437" s="3" t="s">
        <v>25</v>
      </c>
      <c r="AA1437" s="3" t="s">
        <v>26</v>
      </c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</row>
    <row r="1438" spans="1:37" ht="15" x14ac:dyDescent="0.25">
      <c r="A1438" s="4">
        <v>2</v>
      </c>
      <c r="C1438" s="12" t="s">
        <v>3416</v>
      </c>
      <c r="D1438" s="12" t="s">
        <v>3417</v>
      </c>
      <c r="E1438" s="5" t="str">
        <f t="shared" ref="E1438:E1692" si="30">"https://www.screener.in/company/"&amp; D1438&amp;"/consolidated/"</f>
        <v>https://www.screener.in/company/FIRSTCRY/consolidated/</v>
      </c>
      <c r="F1438" s="4">
        <v>443059</v>
      </c>
      <c r="G1438" s="4">
        <v>3832241897</v>
      </c>
      <c r="H1438" s="6">
        <f t="shared" ref="H1438:H1692" ca="1" si="31">(G1438*L1438)/10^7</f>
        <v>153251.35346102997</v>
      </c>
      <c r="I1438" s="7" t="str">
        <f ca="1">IFERROR(__xludf.DUMMYFUNCTION("IMPORTXML(E1438,""/html/body/main/div[3]/div[3]/div[2]/ul/li[5]/span[2]/span"")"),"Loading...")</f>
        <v>Loading...</v>
      </c>
      <c r="J1438" s="7">
        <f ca="1">IFERROR(__xludf.DUMMYFUNCTION("GOOGLEFINANCE(""NSE:""&amp;D1438,""marketcap"")"),192672002743)</f>
        <v>192672002743</v>
      </c>
      <c r="K1438" s="7">
        <v>992.8</v>
      </c>
      <c r="L1438" s="8">
        <f ca="1">IFERROR(__xludf.DUMMYFUNCTION("GOOGLEFINANCE(""NSE:""&amp;D1438,""price"")"),399.9)</f>
        <v>399.9</v>
      </c>
      <c r="M1438" s="9">
        <f t="shared" ref="M1438:M1692" ca="1" si="32">L1438-K1438</f>
        <v>-592.9</v>
      </c>
      <c r="N1438" s="10">
        <f t="shared" ref="N1438:N1692" ca="1" si="33">(M1438/K1438)*100</f>
        <v>-59.719983883964545</v>
      </c>
      <c r="O1438" s="7" t="str">
        <f ca="1">IFERROR(__xludf.DUMMYFUNCTION("GOOGLEFINANCE(""NSE:""&amp;D1438,""pe"")"),"#N/A")</f>
        <v>#N/A</v>
      </c>
      <c r="P1438" s="7">
        <f ca="1">IFERROR(__xludf.DUMMYFUNCTION("GOOGLEFINANCE(""NSE:""&amp;D1438,""EPS"")"),-3.8)</f>
        <v>-3.8</v>
      </c>
      <c r="Q1438" s="7">
        <v>13.5</v>
      </c>
      <c r="R1438" s="7" t="str">
        <f ca="1">IFERROR(__xludf.DUMMYFUNCTION("IMPORTXML(E1438,""/html/body/main/div[3]/div[3]/div[2]/ul/li[7]/span[2]/span"")"),"Loading...")</f>
        <v>Loading...</v>
      </c>
      <c r="S1438" s="7" t="str">
        <f ca="1">IFERROR(__xludf.DUMMYFUNCTION("IMPORTXML(E1438,""/html/body/main/div[3]/div[3]/div[2]/ul/li[8]/span[2]/span"")"),"Loading...")</f>
        <v>Loading...</v>
      </c>
      <c r="T1438" s="4">
        <v>34.6</v>
      </c>
      <c r="U1438" s="4">
        <v>22.7</v>
      </c>
      <c r="V1438" s="4">
        <v>2.6</v>
      </c>
      <c r="W1438" s="4">
        <v>5.7</v>
      </c>
      <c r="X1438" s="4">
        <v>519.92999999999995</v>
      </c>
      <c r="Y1438" s="7">
        <f t="shared" ref="Y1438:Y1692" ca="1" si="34">L1438-X1438</f>
        <v>-120.02999999999997</v>
      </c>
    </row>
    <row r="1439" spans="1:37" ht="15" x14ac:dyDescent="0.25">
      <c r="A1439" s="4">
        <v>26</v>
      </c>
      <c r="C1439" s="41" t="s">
        <v>3418</v>
      </c>
      <c r="D1439" s="42"/>
      <c r="E1439" s="5" t="str">
        <f t="shared" si="30"/>
        <v>https://www.screener.in/company//consolidated/</v>
      </c>
      <c r="F1439" s="4">
        <v>443059</v>
      </c>
      <c r="G1439" s="4">
        <v>3832241897</v>
      </c>
      <c r="H1439" s="6" t="e">
        <f t="shared" ca="1" si="31"/>
        <v>#VALUE!</v>
      </c>
      <c r="I1439" s="7" t="str">
        <f ca="1">IFERROR(__xludf.DUMMYFUNCTION("IMPORTXML(E1439,""/html/body/main/div[3]/div[3]/div[2]/ul/li[5]/span[2]/span"")"),"Loading...")</f>
        <v>Loading...</v>
      </c>
      <c r="J1439" s="7" t="str">
        <f ca="1">IFERROR(__xludf.DUMMYFUNCTION("GOOGLEFINANCE(""NSE:""&amp;D1439,""marketcap"")"),"#N/A")</f>
        <v>#N/A</v>
      </c>
      <c r="K1439" s="7">
        <v>992.8</v>
      </c>
      <c r="L1439" s="8" t="str">
        <f ca="1">IFERROR(__xludf.DUMMYFUNCTION("GOOGLEFINANCE(""NSE:""&amp;D1439,""price"")"),"#N/A")</f>
        <v>#N/A</v>
      </c>
      <c r="M1439" s="9" t="e">
        <f t="shared" ca="1" si="32"/>
        <v>#VALUE!</v>
      </c>
      <c r="N1439" s="10" t="e">
        <f t="shared" ca="1" si="33"/>
        <v>#VALUE!</v>
      </c>
      <c r="O1439" s="7" t="str">
        <f ca="1">IFERROR(__xludf.DUMMYFUNCTION("GOOGLEFINANCE(""NSE:""&amp;D1439,""pe"")"),"#N/A")</f>
        <v>#N/A</v>
      </c>
      <c r="P1439" s="7" t="str">
        <f ca="1">IFERROR(__xludf.DUMMYFUNCTION("GOOGLEFINANCE(""NSE:""&amp;D1439,""EPS"")"),"#N/A")</f>
        <v>#N/A</v>
      </c>
      <c r="Q1439" s="7">
        <v>13.5</v>
      </c>
      <c r="R1439" s="7" t="str">
        <f ca="1">IFERROR(__xludf.DUMMYFUNCTION("IMPORTXML(E1439,""/html/body/main/div[3]/div[3]/div[2]/ul/li[7]/span[2]/span"")"),"Loading...")</f>
        <v>Loading...</v>
      </c>
      <c r="S1439" s="7" t="str">
        <f ca="1">IFERROR(__xludf.DUMMYFUNCTION("IMPORTXML(E1439,""/html/body/main/div[3]/div[3]/div[2]/ul/li[8]/span[2]/span"")"),"Loading...")</f>
        <v>Loading...</v>
      </c>
      <c r="T1439" s="4">
        <v>34.6</v>
      </c>
      <c r="U1439" s="4">
        <v>22.7</v>
      </c>
      <c r="V1439" s="4">
        <v>2.6</v>
      </c>
      <c r="W1439" s="4">
        <v>5.7</v>
      </c>
      <c r="X1439" s="4">
        <v>519.92999999999995</v>
      </c>
      <c r="Y1439" s="7" t="e">
        <f t="shared" ca="1" si="34"/>
        <v>#VALUE!</v>
      </c>
    </row>
    <row r="1440" spans="1:37" ht="15" x14ac:dyDescent="0.25">
      <c r="A1440" s="4">
        <v>28</v>
      </c>
      <c r="C1440" s="12" t="s">
        <v>3419</v>
      </c>
      <c r="D1440" s="12" t="s">
        <v>3420</v>
      </c>
      <c r="E1440" s="5" t="str">
        <f t="shared" si="30"/>
        <v>https://www.screener.in/company/ABREL/consolidated/</v>
      </c>
      <c r="F1440" s="4">
        <v>443059</v>
      </c>
      <c r="G1440" s="4">
        <v>3832241897</v>
      </c>
      <c r="H1440" s="6">
        <f t="shared" ca="1" si="31"/>
        <v>690569.98983940005</v>
      </c>
      <c r="I1440" s="7" t="str">
        <f ca="1">IFERROR(__xludf.DUMMYFUNCTION("IMPORTXML(E1440,""/html/body/main/div[3]/div[3]/div[2]/ul/li[5]/span[2]/span"")"),"Loading...")</f>
        <v>Loading...</v>
      </c>
      <c r="J1440" s="7">
        <f ca="1">IFERROR(__xludf.DUMMYFUNCTION("GOOGLEFINANCE(""NSE:""&amp;D1440,""marketcap"")"),199169473800)</f>
        <v>199169473800</v>
      </c>
      <c r="K1440" s="7">
        <v>992.8</v>
      </c>
      <c r="L1440" s="8">
        <f ca="1">IFERROR(__xludf.DUMMYFUNCTION("GOOGLEFINANCE(""NSE:""&amp;D1440,""price"")"),1802)</f>
        <v>1802</v>
      </c>
      <c r="M1440" s="9">
        <f t="shared" ca="1" si="32"/>
        <v>809.2</v>
      </c>
      <c r="N1440" s="10">
        <f t="shared" ca="1" si="33"/>
        <v>81.506849315068493</v>
      </c>
      <c r="O1440" s="7" t="str">
        <f ca="1">IFERROR(__xludf.DUMMYFUNCTION("GOOGLEFINANCE(""NSE:""&amp;D1440,""pe"")"),"#N/A")</f>
        <v>#N/A</v>
      </c>
      <c r="P1440" s="7">
        <f ca="1">IFERROR(__xludf.DUMMYFUNCTION("GOOGLEFINANCE(""NSE:""&amp;D1440,""EPS"")"),-17.78)</f>
        <v>-17.78</v>
      </c>
      <c r="Q1440" s="7">
        <v>13.5</v>
      </c>
      <c r="R1440" s="7" t="str">
        <f ca="1">IFERROR(__xludf.DUMMYFUNCTION("IMPORTXML(E1440,""/html/body/main/div[3]/div[3]/div[2]/ul/li[7]/span[2]/span"")"),"Loading...")</f>
        <v>Loading...</v>
      </c>
      <c r="S1440" s="7" t="str">
        <f ca="1">IFERROR(__xludf.DUMMYFUNCTION("IMPORTXML(E1440,""/html/body/main/div[3]/div[3]/div[2]/ul/li[8]/span[2]/span"")"),"Loading...")</f>
        <v>Loading...</v>
      </c>
      <c r="T1440" s="4">
        <v>34.6</v>
      </c>
      <c r="U1440" s="4">
        <v>22.7</v>
      </c>
      <c r="V1440" s="4">
        <v>2.6</v>
      </c>
      <c r="W1440" s="4">
        <v>5.7</v>
      </c>
      <c r="X1440" s="4">
        <v>519.92999999999995</v>
      </c>
      <c r="Y1440" s="7">
        <f t="shared" ca="1" si="34"/>
        <v>1282.0700000000002</v>
      </c>
    </row>
    <row r="1441" spans="1:25" ht="15" x14ac:dyDescent="0.25">
      <c r="A1441" s="4">
        <v>30</v>
      </c>
      <c r="C1441" s="41" t="s">
        <v>3421</v>
      </c>
      <c r="D1441" s="42"/>
      <c r="E1441" s="5" t="str">
        <f t="shared" si="30"/>
        <v>https://www.screener.in/company//consolidated/</v>
      </c>
      <c r="F1441" s="4">
        <v>443059</v>
      </c>
      <c r="G1441" s="4">
        <v>3832241897</v>
      </c>
      <c r="H1441" s="6" t="e">
        <f t="shared" ca="1" si="31"/>
        <v>#VALUE!</v>
      </c>
      <c r="I1441" s="7" t="str">
        <f ca="1">IFERROR(__xludf.DUMMYFUNCTION("IMPORTXML(E1441,""/html/body/main/div[3]/div[3]/div[2]/ul/li[5]/span[2]/span"")"),"Loading...")</f>
        <v>Loading...</v>
      </c>
      <c r="J1441" s="7" t="str">
        <f ca="1">IFERROR(__xludf.DUMMYFUNCTION("GOOGLEFINANCE(""NSE:""&amp;D1441,""marketcap"")"),"#N/A")</f>
        <v>#N/A</v>
      </c>
      <c r="K1441" s="7">
        <v>992.8</v>
      </c>
      <c r="L1441" s="8" t="str">
        <f ca="1">IFERROR(__xludf.DUMMYFUNCTION("GOOGLEFINANCE(""NSE:""&amp;D1441,""price"")"),"#N/A")</f>
        <v>#N/A</v>
      </c>
      <c r="M1441" s="9" t="e">
        <f t="shared" ca="1" si="32"/>
        <v>#VALUE!</v>
      </c>
      <c r="N1441" s="10" t="e">
        <f t="shared" ca="1" si="33"/>
        <v>#VALUE!</v>
      </c>
      <c r="O1441" s="7" t="str">
        <f ca="1">IFERROR(__xludf.DUMMYFUNCTION("GOOGLEFINANCE(""NSE:""&amp;D1441,""pe"")"),"#N/A")</f>
        <v>#N/A</v>
      </c>
      <c r="P1441" s="7" t="str">
        <f ca="1">IFERROR(__xludf.DUMMYFUNCTION("GOOGLEFINANCE(""NSE:""&amp;D1441,""EPS"")"),"#N/A")</f>
        <v>#N/A</v>
      </c>
      <c r="Q1441" s="7">
        <v>13.5</v>
      </c>
      <c r="R1441" s="7" t="str">
        <f ca="1">IFERROR(__xludf.DUMMYFUNCTION("IMPORTXML(E1441,""/html/body/main/div[3]/div[3]/div[2]/ul/li[7]/span[2]/span"")"),"Loading...")</f>
        <v>Loading...</v>
      </c>
      <c r="S1441" s="7" t="str">
        <f ca="1">IFERROR(__xludf.DUMMYFUNCTION("IMPORTXML(E1441,""/html/body/main/div[3]/div[3]/div[2]/ul/li[8]/span[2]/span"")"),"Loading...")</f>
        <v>Loading...</v>
      </c>
      <c r="T1441" s="4">
        <v>34.6</v>
      </c>
      <c r="U1441" s="4">
        <v>22.7</v>
      </c>
      <c r="V1441" s="4">
        <v>2.6</v>
      </c>
      <c r="W1441" s="4">
        <v>5.7</v>
      </c>
      <c r="X1441" s="4">
        <v>519.92999999999995</v>
      </c>
      <c r="Y1441" s="7" t="e">
        <f t="shared" ca="1" si="34"/>
        <v>#VALUE!</v>
      </c>
    </row>
    <row r="1442" spans="1:25" ht="15" x14ac:dyDescent="0.25">
      <c r="A1442" s="4">
        <v>32</v>
      </c>
      <c r="C1442" s="12" t="s">
        <v>3422</v>
      </c>
      <c r="D1442" s="12" t="s">
        <v>3423</v>
      </c>
      <c r="E1442" s="5" t="str">
        <f t="shared" si="30"/>
        <v>https://www.screener.in/company/AEGISLOG/consolidated/</v>
      </c>
      <c r="F1442" s="4">
        <v>443059</v>
      </c>
      <c r="G1442" s="4">
        <v>3832241897</v>
      </c>
      <c r="H1442" s="6">
        <f t="shared" ca="1" si="31"/>
        <v>270958.66332738497</v>
      </c>
      <c r="I1442" s="7" t="str">
        <f ca="1">IFERROR(__xludf.DUMMYFUNCTION("IMPORTXML(E1442,""/html/body/main/div[3]/div[3]/div[2]/ul/li[5]/span[2]/span"")"),"Loading...")</f>
        <v>Loading...</v>
      </c>
      <c r="J1442" s="7">
        <f ca="1">IFERROR(__xludf.DUMMYFUNCTION("GOOGLEFINANCE(""NSE:""&amp;D1442,""marketcap"")"),248279800000)</f>
        <v>248279800000</v>
      </c>
      <c r="K1442" s="7">
        <v>992.8</v>
      </c>
      <c r="L1442" s="8">
        <f ca="1">IFERROR(__xludf.DUMMYFUNCTION("GOOGLEFINANCE(""NSE:""&amp;D1442,""price"")"),707.05)</f>
        <v>707.05</v>
      </c>
      <c r="M1442" s="9">
        <f t="shared" ca="1" si="32"/>
        <v>-285.75</v>
      </c>
      <c r="N1442" s="10">
        <f t="shared" ca="1" si="33"/>
        <v>-28.782232070910556</v>
      </c>
      <c r="O1442" s="7" t="str">
        <f ca="1">IFERROR(__xludf.DUMMYFUNCTION("GOOGLEFINANCE(""NSE:""&amp;D1442,""pe"")"),"#N/A")</f>
        <v>#N/A</v>
      </c>
      <c r="P1442" s="7" t="str">
        <f ca="1">IFERROR(__xludf.DUMMYFUNCTION("GOOGLEFINANCE(""NSE:""&amp;D1442,""EPS"")"),"#N/A")</f>
        <v>#N/A</v>
      </c>
      <c r="Q1442" s="7">
        <v>13.5</v>
      </c>
      <c r="R1442" s="7" t="str">
        <f ca="1">IFERROR(__xludf.DUMMYFUNCTION("IMPORTXML(E1442,""/html/body/main/div[3]/div[3]/div[2]/ul/li[7]/span[2]/span"")"),"Loading...")</f>
        <v>Loading...</v>
      </c>
      <c r="S1442" s="7" t="str">
        <f ca="1">IFERROR(__xludf.DUMMYFUNCTION("IMPORTXML(E1442,""/html/body/main/div[3]/div[3]/div[2]/ul/li[8]/span[2]/span"")"),"Loading...")</f>
        <v>Loading...</v>
      </c>
      <c r="T1442" s="4">
        <v>34.6</v>
      </c>
      <c r="U1442" s="4">
        <v>22.7</v>
      </c>
      <c r="V1442" s="4">
        <v>2.6</v>
      </c>
      <c r="W1442" s="4">
        <v>5.7</v>
      </c>
      <c r="X1442" s="4">
        <v>519.92999999999995</v>
      </c>
      <c r="Y1442" s="7">
        <f t="shared" ca="1" si="34"/>
        <v>187.12</v>
      </c>
    </row>
    <row r="1443" spans="1:25" ht="15" x14ac:dyDescent="0.25">
      <c r="A1443" s="4">
        <v>33</v>
      </c>
      <c r="C1443" s="12" t="s">
        <v>3424</v>
      </c>
      <c r="D1443" s="12" t="s">
        <v>3425</v>
      </c>
      <c r="E1443" s="5" t="str">
        <f t="shared" si="30"/>
        <v>https://www.screener.in/company/ITI/consolidated/</v>
      </c>
      <c r="F1443" s="4">
        <v>443059</v>
      </c>
      <c r="G1443" s="4">
        <v>3832241897</v>
      </c>
      <c r="H1443" s="6">
        <f t="shared" ca="1" si="31"/>
        <v>117841.43833275</v>
      </c>
      <c r="I1443" s="7" t="str">
        <f ca="1">IFERROR(__xludf.DUMMYFUNCTION("IMPORTXML(E1443,""/html/body/main/div[3]/div[3]/div[2]/ul/li[5]/span[2]/span"")"),"Loading...")</f>
        <v>Loading...</v>
      </c>
      <c r="J1443" s="7">
        <f ca="1">IFERROR(__xludf.DUMMYFUNCTION("GOOGLEFINANCE(""NSE:""&amp;D1443,""marketcap"")"),295315934641)</f>
        <v>295315934641</v>
      </c>
      <c r="K1443" s="7">
        <v>992.8</v>
      </c>
      <c r="L1443" s="8">
        <f ca="1">IFERROR(__xludf.DUMMYFUNCTION("GOOGLEFINANCE(""NSE:""&amp;D1443,""price"")"),307.5)</f>
        <v>307.5</v>
      </c>
      <c r="M1443" s="9">
        <f t="shared" ca="1" si="32"/>
        <v>-685.3</v>
      </c>
      <c r="N1443" s="10">
        <f t="shared" ca="1" si="33"/>
        <v>-69.026994359387601</v>
      </c>
      <c r="O1443" s="7" t="str">
        <f ca="1">IFERROR(__xludf.DUMMYFUNCTION("GOOGLEFINANCE(""NSE:""&amp;D1443,""pe"")"),"#N/A")</f>
        <v>#N/A</v>
      </c>
      <c r="P1443" s="7">
        <f ca="1">IFERROR(__xludf.DUMMYFUNCTION("GOOGLEFINANCE(""NSE:""&amp;D1443,""EPS"")"),-1.95)</f>
        <v>-1.95</v>
      </c>
      <c r="Q1443" s="7">
        <v>13.5</v>
      </c>
      <c r="R1443" s="7" t="str">
        <f ca="1">IFERROR(__xludf.DUMMYFUNCTION("IMPORTXML(E1443,""/html/body/main/div[3]/div[3]/div[2]/ul/li[7]/span[2]/span"")"),"Loading...")</f>
        <v>Loading...</v>
      </c>
      <c r="S1443" s="7" t="str">
        <f ca="1">IFERROR(__xludf.DUMMYFUNCTION("IMPORTXML(E1443,""/html/body/main/div[3]/div[3]/div[2]/ul/li[8]/span[2]/span"")"),"Loading...")</f>
        <v>Loading...</v>
      </c>
      <c r="T1443" s="4">
        <v>34.6</v>
      </c>
      <c r="U1443" s="4">
        <v>22.7</v>
      </c>
      <c r="V1443" s="4">
        <v>2.6</v>
      </c>
      <c r="W1443" s="4">
        <v>5.7</v>
      </c>
      <c r="X1443" s="4">
        <v>519.92999999999995</v>
      </c>
      <c r="Y1443" s="7">
        <f t="shared" ca="1" si="34"/>
        <v>-212.42999999999995</v>
      </c>
    </row>
    <row r="1444" spans="1:25" ht="15" x14ac:dyDescent="0.25">
      <c r="A1444" s="4">
        <v>37</v>
      </c>
      <c r="C1444" s="12" t="s">
        <v>3426</v>
      </c>
      <c r="D1444" s="12" t="s">
        <v>3427</v>
      </c>
      <c r="E1444" s="5" t="str">
        <f t="shared" si="30"/>
        <v>https://www.screener.in/company/TATACHEM/consolidated/</v>
      </c>
      <c r="F1444" s="4">
        <v>443059</v>
      </c>
      <c r="G1444" s="4">
        <v>3832241897</v>
      </c>
      <c r="H1444" s="6">
        <f t="shared" ca="1" si="31"/>
        <v>357893.07076082996</v>
      </c>
      <c r="I1444" s="7" t="str">
        <f ca="1">IFERROR(__xludf.DUMMYFUNCTION("IMPORTXML(E1444,""/html/body/main/div[3]/div[3]/div[2]/ul/li[5]/span[2]/span"")"),"Loading...")</f>
        <v>Loading...</v>
      </c>
      <c r="J1444" s="7">
        <f ca="1">IFERROR(__xludf.DUMMYFUNCTION("GOOGLEFINANCE(""NSE:""&amp;D1444,""marketcap"")"),237786803097)</f>
        <v>237786803097</v>
      </c>
      <c r="K1444" s="7">
        <v>992.8</v>
      </c>
      <c r="L1444" s="8">
        <f ca="1">IFERROR(__xludf.DUMMYFUNCTION("GOOGLEFINANCE(""NSE:""&amp;D1444,""price"")"),933.9)</f>
        <v>933.9</v>
      </c>
      <c r="M1444" s="9">
        <f t="shared" ca="1" si="32"/>
        <v>-58.899999999999977</v>
      </c>
      <c r="N1444" s="10">
        <f t="shared" ca="1" si="33"/>
        <v>-5.9327155519742121</v>
      </c>
      <c r="O1444" s="7">
        <f ca="1">IFERROR(__xludf.DUMMYFUNCTION("GOOGLEFINANCE(""NSE:""&amp;D1444,""pe"")"),66.59)</f>
        <v>66.59</v>
      </c>
      <c r="P1444" s="7">
        <f ca="1">IFERROR(__xludf.DUMMYFUNCTION("GOOGLEFINANCE(""NSE:""&amp;D1444,""EPS"")"),14.03)</f>
        <v>14.03</v>
      </c>
      <c r="Q1444" s="7">
        <v>13.5</v>
      </c>
      <c r="R1444" s="7" t="str">
        <f ca="1">IFERROR(__xludf.DUMMYFUNCTION("IMPORTXML(E1444,""/html/body/main/div[3]/div[3]/div[2]/ul/li[7]/span[2]/span"")"),"Loading...")</f>
        <v>Loading...</v>
      </c>
      <c r="S1444" s="7" t="str">
        <f ca="1">IFERROR(__xludf.DUMMYFUNCTION("IMPORTXML(E1444,""/html/body/main/div[3]/div[3]/div[2]/ul/li[8]/span[2]/span"")"),"Loading...")</f>
        <v>Loading...</v>
      </c>
      <c r="T1444" s="4">
        <v>34.6</v>
      </c>
      <c r="U1444" s="4">
        <v>22.7</v>
      </c>
      <c r="V1444" s="4">
        <v>2.6</v>
      </c>
      <c r="W1444" s="4">
        <v>5.7</v>
      </c>
      <c r="X1444" s="4">
        <v>519.92999999999995</v>
      </c>
      <c r="Y1444" s="7">
        <f t="shared" ca="1" si="34"/>
        <v>413.97</v>
      </c>
    </row>
    <row r="1445" spans="1:25" ht="15" x14ac:dyDescent="0.25">
      <c r="A1445" s="4">
        <v>47</v>
      </c>
      <c r="C1445" s="12" t="s">
        <v>3428</v>
      </c>
      <c r="D1445" s="12" t="s">
        <v>3429</v>
      </c>
      <c r="E1445" s="5" t="str">
        <f t="shared" si="30"/>
        <v>https://www.screener.in/company/TVSHLTD/consolidated/</v>
      </c>
      <c r="F1445" s="4">
        <v>443059</v>
      </c>
      <c r="G1445" s="4">
        <v>3832241897</v>
      </c>
      <c r="H1445" s="6">
        <f t="shared" ca="1" si="31"/>
        <v>4680700.2529958002</v>
      </c>
      <c r="I1445" s="7" t="str">
        <f ca="1">IFERROR(__xludf.DUMMYFUNCTION("IMPORTXML(E1445,""/html/body/main/div[3]/div[3]/div[2]/ul/li[5]/span[2]/span"")"),"Loading...")</f>
        <v>Loading...</v>
      </c>
      <c r="J1445" s="7">
        <f ca="1">IFERROR(__xludf.DUMMYFUNCTION("GOOGLEFINANCE(""NSE:""&amp;D1445,""marketcap"")"),246366300000)</f>
        <v>246366300000</v>
      </c>
      <c r="K1445" s="7">
        <v>992.8</v>
      </c>
      <c r="L1445" s="8">
        <f ca="1">IFERROR(__xludf.DUMMYFUNCTION("GOOGLEFINANCE(""NSE:""&amp;D1445,""price"")"),12214)</f>
        <v>12214</v>
      </c>
      <c r="M1445" s="9">
        <f t="shared" ca="1" si="32"/>
        <v>11221.2</v>
      </c>
      <c r="N1445" s="10">
        <f t="shared" ca="1" si="33"/>
        <v>1130.2578565672845</v>
      </c>
      <c r="O1445" s="7" t="str">
        <f ca="1">IFERROR(__xludf.DUMMYFUNCTION("GOOGLEFINANCE(""NSE:""&amp;D1445,""pe"")"),"#N/A")</f>
        <v>#N/A</v>
      </c>
      <c r="P1445" s="7" t="str">
        <f ca="1">IFERROR(__xludf.DUMMYFUNCTION("GOOGLEFINANCE(""NSE:""&amp;D1445,""EPS"")"),"#N/A")</f>
        <v>#N/A</v>
      </c>
      <c r="Q1445" s="7">
        <v>13.5</v>
      </c>
      <c r="R1445" s="7" t="str">
        <f ca="1">IFERROR(__xludf.DUMMYFUNCTION("IMPORTXML(E1445,""/html/body/main/div[3]/div[3]/div[2]/ul/li[7]/span[2]/span"")"),"Loading...")</f>
        <v>Loading...</v>
      </c>
      <c r="S1445" s="7" t="str">
        <f ca="1">IFERROR(__xludf.DUMMYFUNCTION("IMPORTXML(E1445,""/html/body/main/div[3]/div[3]/div[2]/ul/li[8]/span[2]/span"")"),"Loading...")</f>
        <v>Loading...</v>
      </c>
      <c r="T1445" s="4">
        <v>34.6</v>
      </c>
      <c r="U1445" s="4">
        <v>22.7</v>
      </c>
      <c r="V1445" s="4">
        <v>2.6</v>
      </c>
      <c r="W1445" s="4">
        <v>5.7</v>
      </c>
      <c r="X1445" s="4">
        <v>519.92999999999995</v>
      </c>
      <c r="Y1445" s="7">
        <f t="shared" ca="1" si="34"/>
        <v>11694.07</v>
      </c>
    </row>
    <row r="1446" spans="1:25" ht="15" x14ac:dyDescent="0.25">
      <c r="A1446" s="4">
        <v>52</v>
      </c>
      <c r="C1446" s="12" t="s">
        <v>3430</v>
      </c>
      <c r="D1446" s="12" t="s">
        <v>3431</v>
      </c>
      <c r="E1446" s="5" t="str">
        <f t="shared" si="30"/>
        <v>https://www.screener.in/company/ARE&amp;M/consolidated/</v>
      </c>
      <c r="F1446" s="4">
        <v>443059</v>
      </c>
      <c r="G1446" s="4">
        <v>3832241897</v>
      </c>
      <c r="H1446" s="6">
        <f t="shared" ca="1" si="31"/>
        <v>390888.67349399999</v>
      </c>
      <c r="I1446" s="7" t="str">
        <f ca="1">IFERROR(__xludf.DUMMYFUNCTION("IMPORTXML(E1446,""/html/body/main/div[3]/div[3]/div[2]/ul/li[5]/span[2]/span"")"),"Loading...")</f>
        <v>Loading...</v>
      </c>
      <c r="J1446" s="7">
        <f ca="1">IFERROR(__xludf.DUMMYFUNCTION("GOOGLEFINANCE(""NSE:""&amp;D1446,""marketcap"")"),186374700000)</f>
        <v>186374700000</v>
      </c>
      <c r="K1446" s="7">
        <v>992.8</v>
      </c>
      <c r="L1446" s="8">
        <f ca="1">IFERROR(__xludf.DUMMYFUNCTION("GOOGLEFINANCE(""NSE:""&amp;D1446,""price"")"),1020)</f>
        <v>1020</v>
      </c>
      <c r="M1446" s="9">
        <f t="shared" ca="1" si="32"/>
        <v>27.200000000000045</v>
      </c>
      <c r="N1446" s="10">
        <f t="shared" ca="1" si="33"/>
        <v>2.739726027397265</v>
      </c>
      <c r="O1446" s="7" t="str">
        <f ca="1">IFERROR(__xludf.DUMMYFUNCTION("GOOGLEFINANCE(""NSE:""&amp;D1446,""pe"")"),"#N/A")</f>
        <v>#N/A</v>
      </c>
      <c r="P1446" s="7" t="str">
        <f ca="1">IFERROR(__xludf.DUMMYFUNCTION("GOOGLEFINANCE(""NSE:""&amp;D1446,""EPS"")"),"#N/A")</f>
        <v>#N/A</v>
      </c>
      <c r="Q1446" s="7">
        <v>13.5</v>
      </c>
      <c r="R1446" s="7" t="str">
        <f ca="1">IFERROR(__xludf.DUMMYFUNCTION("IMPORTXML(E1446,""/html/body/main/div[3]/div[3]/div[2]/ul/li[7]/span[2]/span"")"),"Loading...")</f>
        <v>Loading...</v>
      </c>
      <c r="S1446" s="7" t="str">
        <f ca="1">IFERROR(__xludf.DUMMYFUNCTION("IMPORTXML(E1446,""/html/body/main/div[3]/div[3]/div[2]/ul/li[8]/span[2]/span"")"),"Loading...")</f>
        <v>Loading...</v>
      </c>
      <c r="T1446" s="4">
        <v>34.6</v>
      </c>
      <c r="U1446" s="4">
        <v>22.7</v>
      </c>
      <c r="V1446" s="4">
        <v>2.6</v>
      </c>
      <c r="W1446" s="4">
        <v>5.7</v>
      </c>
      <c r="X1446" s="4">
        <v>519.92999999999995</v>
      </c>
      <c r="Y1446" s="7">
        <f t="shared" ca="1" si="34"/>
        <v>500.07000000000005</v>
      </c>
    </row>
    <row r="1447" spans="1:25" ht="15" x14ac:dyDescent="0.25">
      <c r="A1447" s="4">
        <v>62</v>
      </c>
      <c r="C1447" s="12" t="s">
        <v>3432</v>
      </c>
      <c r="D1447" s="12" t="s">
        <v>3433</v>
      </c>
      <c r="E1447" s="5" t="str">
        <f t="shared" si="30"/>
        <v>https://www.screener.in/company/KIOCL/consolidated/</v>
      </c>
      <c r="F1447" s="4">
        <v>443059</v>
      </c>
      <c r="G1447" s="4">
        <v>3832241897</v>
      </c>
      <c r="H1447" s="6">
        <f t="shared" ca="1" si="31"/>
        <v>172853.270764185</v>
      </c>
      <c r="I1447" s="7" t="str">
        <f ca="1">IFERROR(__xludf.DUMMYFUNCTION("IMPORTXML(E1447,""/html/body/main/div[3]/div[3]/div[2]/ul/li[5]/span[2]/span"")"),"Loading...")</f>
        <v>Loading...</v>
      </c>
      <c r="J1447" s="7">
        <f ca="1">IFERROR(__xludf.DUMMYFUNCTION("GOOGLEFINANCE(""NSE:""&amp;D1447,""marketcap"")"),274126081131)</f>
        <v>274126081131</v>
      </c>
      <c r="K1447" s="7">
        <v>992.8</v>
      </c>
      <c r="L1447" s="8">
        <f ca="1">IFERROR(__xludf.DUMMYFUNCTION("GOOGLEFINANCE(""NSE:""&amp;D1447,""price"")"),451.05)</f>
        <v>451.05</v>
      </c>
      <c r="M1447" s="9">
        <f t="shared" ca="1" si="32"/>
        <v>-541.75</v>
      </c>
      <c r="N1447" s="10">
        <f t="shared" ca="1" si="33"/>
        <v>-54.567888799355359</v>
      </c>
      <c r="O1447" s="7" t="str">
        <f ca="1">IFERROR(__xludf.DUMMYFUNCTION("GOOGLEFINANCE(""NSE:""&amp;D1447,""pe"")"),"#N/A")</f>
        <v>#N/A</v>
      </c>
      <c r="P1447" s="7">
        <f ca="1">IFERROR(__xludf.DUMMYFUNCTION("GOOGLEFINANCE(""NSE:""&amp;D1447,""EPS"")"),-3.16)</f>
        <v>-3.16</v>
      </c>
      <c r="Q1447" s="7">
        <v>13.5</v>
      </c>
      <c r="R1447" s="7" t="str">
        <f ca="1">IFERROR(__xludf.DUMMYFUNCTION("IMPORTXML(E1447,""/html/body/main/div[3]/div[3]/div[2]/ul/li[7]/span[2]/span"")"),"Loading...")</f>
        <v>Loading...</v>
      </c>
      <c r="S1447" s="7" t="str">
        <f ca="1">IFERROR(__xludf.DUMMYFUNCTION("IMPORTXML(E1447,""/html/body/main/div[3]/div[3]/div[2]/ul/li[8]/span[2]/span"")"),"Loading...")</f>
        <v>Loading...</v>
      </c>
      <c r="T1447" s="4">
        <v>34.6</v>
      </c>
      <c r="U1447" s="4">
        <v>22.7</v>
      </c>
      <c r="V1447" s="4">
        <v>2.6</v>
      </c>
      <c r="W1447" s="4">
        <v>5.7</v>
      </c>
      <c r="X1447" s="4">
        <v>519.92999999999995</v>
      </c>
      <c r="Y1447" s="7">
        <f t="shared" ca="1" si="34"/>
        <v>-68.879999999999939</v>
      </c>
    </row>
    <row r="1448" spans="1:25" ht="15" x14ac:dyDescent="0.25">
      <c r="A1448" s="4">
        <v>69</v>
      </c>
      <c r="C1448" s="12" t="s">
        <v>3434</v>
      </c>
      <c r="D1448" s="12" t="s">
        <v>3435</v>
      </c>
      <c r="E1448" s="5" t="str">
        <f t="shared" si="30"/>
        <v>https://www.screener.in/company/JWL/consolidated/</v>
      </c>
      <c r="F1448" s="4">
        <v>443059</v>
      </c>
      <c r="G1448" s="4">
        <v>3832241897</v>
      </c>
      <c r="H1448" s="6">
        <f t="shared" ca="1" si="31"/>
        <v>124547.8616525</v>
      </c>
      <c r="I1448" s="7" t="str">
        <f ca="1">IFERROR(__xludf.DUMMYFUNCTION("IMPORTXML(E1448,""/html/body/main/div[3]/div[3]/div[2]/ul/li[5]/span[2]/span"")"),"Loading...")</f>
        <v>Loading...</v>
      </c>
      <c r="J1448" s="7">
        <f ca="1">IFERROR(__xludf.DUMMYFUNCTION("GOOGLEFINANCE(""NSE:""&amp;D1448,""marketcap"")"),137261400000)</f>
        <v>137261400000</v>
      </c>
      <c r="K1448" s="7">
        <v>992.8</v>
      </c>
      <c r="L1448" s="8">
        <f ca="1">IFERROR(__xludf.DUMMYFUNCTION("GOOGLEFINANCE(""NSE:""&amp;D1448,""price"")"),325)</f>
        <v>325</v>
      </c>
      <c r="M1448" s="9">
        <f t="shared" ca="1" si="32"/>
        <v>-667.8</v>
      </c>
      <c r="N1448" s="10">
        <f t="shared" ca="1" si="33"/>
        <v>-67.264302981466557</v>
      </c>
      <c r="O1448" s="7" t="str">
        <f ca="1">IFERROR(__xludf.DUMMYFUNCTION("GOOGLEFINANCE(""NSE:""&amp;D1448,""pe"")"),"#N/A")</f>
        <v>#N/A</v>
      </c>
      <c r="P1448" s="7" t="str">
        <f ca="1">IFERROR(__xludf.DUMMYFUNCTION("GOOGLEFINANCE(""NSE:""&amp;D1448,""EPS"")"),"#N/A")</f>
        <v>#N/A</v>
      </c>
      <c r="Q1448" s="7">
        <v>13.5</v>
      </c>
      <c r="R1448" s="7" t="str">
        <f ca="1">IFERROR(__xludf.DUMMYFUNCTION("IMPORTXML(E1448,""/html/body/main/div[3]/div[3]/div[2]/ul/li[7]/span[2]/span"")"),"Loading...")</f>
        <v>Loading...</v>
      </c>
      <c r="S1448" s="7" t="str">
        <f ca="1">IFERROR(__xludf.DUMMYFUNCTION("IMPORTXML(E1448,""/html/body/main/div[3]/div[3]/div[2]/ul/li[8]/span[2]/span"")"),"Loading...")</f>
        <v>Loading...</v>
      </c>
      <c r="T1448" s="4">
        <v>34.6</v>
      </c>
      <c r="U1448" s="4">
        <v>22.7</v>
      </c>
      <c r="V1448" s="4">
        <v>2.6</v>
      </c>
      <c r="W1448" s="4">
        <v>5.7</v>
      </c>
      <c r="X1448" s="4">
        <v>519.92999999999995</v>
      </c>
      <c r="Y1448" s="7">
        <f t="shared" ca="1" si="34"/>
        <v>-194.92999999999995</v>
      </c>
    </row>
    <row r="1449" spans="1:25" ht="15" x14ac:dyDescent="0.25">
      <c r="A1449" s="4">
        <v>88</v>
      </c>
      <c r="C1449" s="12" t="s">
        <v>3436</v>
      </c>
      <c r="D1449" s="12" t="s">
        <v>3437</v>
      </c>
      <c r="E1449" s="5" t="str">
        <f t="shared" si="30"/>
        <v>https://www.screener.in/company/KPIL/consolidated/</v>
      </c>
      <c r="F1449" s="4">
        <v>443059</v>
      </c>
      <c r="G1449" s="4">
        <v>3832241897</v>
      </c>
      <c r="H1449" s="6">
        <f t="shared" ca="1" si="31"/>
        <v>486694.72091899998</v>
      </c>
      <c r="I1449" s="7" t="str">
        <f ca="1">IFERROR(__xludf.DUMMYFUNCTION("IMPORTXML(E1449,""/html/body/main/div[3]/div[3]/div[2]/ul/li[5]/span[2]/span"")"),"Loading...")</f>
        <v>Loading...</v>
      </c>
      <c r="J1449" s="7">
        <f ca="1">IFERROR(__xludf.DUMMYFUNCTION("GOOGLEFINANCE(""NSE:""&amp;D1449,""marketcap"")"),215907700000)</f>
        <v>215907700000</v>
      </c>
      <c r="K1449" s="7">
        <v>992.8</v>
      </c>
      <c r="L1449" s="8">
        <f ca="1">IFERROR(__xludf.DUMMYFUNCTION("GOOGLEFINANCE(""NSE:""&amp;D1449,""price"")"),1270)</f>
        <v>1270</v>
      </c>
      <c r="M1449" s="9">
        <f t="shared" ca="1" si="32"/>
        <v>277.20000000000005</v>
      </c>
      <c r="N1449" s="10">
        <f t="shared" ca="1" si="33"/>
        <v>27.921031426269145</v>
      </c>
      <c r="O1449" s="7" t="str">
        <f ca="1">IFERROR(__xludf.DUMMYFUNCTION("GOOGLEFINANCE(""NSE:""&amp;D1449,""pe"")"),"#N/A")</f>
        <v>#N/A</v>
      </c>
      <c r="P1449" s="7" t="str">
        <f ca="1">IFERROR(__xludf.DUMMYFUNCTION("GOOGLEFINANCE(""NSE:""&amp;D1449,""EPS"")"),"#N/A")</f>
        <v>#N/A</v>
      </c>
      <c r="Q1449" s="7">
        <v>13.5</v>
      </c>
      <c r="R1449" s="7" t="str">
        <f ca="1">IFERROR(__xludf.DUMMYFUNCTION("IMPORTXML(E1449,""/html/body/main/div[3]/div[3]/div[2]/ul/li[7]/span[2]/span"")"),"Loading...")</f>
        <v>Loading...</v>
      </c>
      <c r="S1449" s="7" t="str">
        <f ca="1">IFERROR(__xludf.DUMMYFUNCTION("IMPORTXML(E1449,""/html/body/main/div[3]/div[3]/div[2]/ul/li[8]/span[2]/span"")"),"Loading...")</f>
        <v>Loading...</v>
      </c>
      <c r="T1449" s="4">
        <v>34.6</v>
      </c>
      <c r="U1449" s="4">
        <v>22.7</v>
      </c>
      <c r="V1449" s="4">
        <v>2.6</v>
      </c>
      <c r="W1449" s="4">
        <v>5.7</v>
      </c>
      <c r="X1449" s="4">
        <v>519.92999999999995</v>
      </c>
      <c r="Y1449" s="7">
        <f t="shared" ca="1" si="34"/>
        <v>750.07</v>
      </c>
    </row>
    <row r="1450" spans="1:25" ht="15" x14ac:dyDescent="0.25">
      <c r="A1450" s="4">
        <v>114</v>
      </c>
      <c r="C1450" s="12" t="s">
        <v>3438</v>
      </c>
      <c r="D1450" s="12" t="s">
        <v>3439</v>
      </c>
      <c r="E1450" s="5" t="str">
        <f t="shared" si="30"/>
        <v>https://www.screener.in/company/AADHARHFC/consolidated/</v>
      </c>
      <c r="F1450" s="4">
        <v>443059</v>
      </c>
      <c r="G1450" s="4">
        <v>3832241897</v>
      </c>
      <c r="H1450" s="6">
        <f t="shared" ca="1" si="31"/>
        <v>195904.20577464</v>
      </c>
      <c r="I1450" s="7" t="str">
        <f ca="1">IFERROR(__xludf.DUMMYFUNCTION("IMPORTXML(E1450,""/html/body/main/div[3]/div[3]/div[2]/ul/li[5]/span[2]/span"")"),"Loading...")</f>
        <v>Loading...</v>
      </c>
      <c r="J1450" s="7">
        <f ca="1">IFERROR(__xludf.DUMMYFUNCTION("GOOGLEFINANCE(""NSE:""&amp;D1450,""marketcap"")"),221266024083)</f>
        <v>221266024083</v>
      </c>
      <c r="K1450" s="7">
        <v>992.8</v>
      </c>
      <c r="L1450" s="8">
        <f ca="1">IFERROR(__xludf.DUMMYFUNCTION("GOOGLEFINANCE(""NSE:""&amp;D1450,""price"")"),511.2)</f>
        <v>511.2</v>
      </c>
      <c r="M1450" s="9">
        <f t="shared" ca="1" si="32"/>
        <v>-481.59999999999997</v>
      </c>
      <c r="N1450" s="10">
        <f t="shared" ca="1" si="33"/>
        <v>-48.509266720386783</v>
      </c>
      <c r="O1450" s="7">
        <f ca="1">IFERROR(__xludf.DUMMYFUNCTION("GOOGLEFINANCE(""NSE:""&amp;D1450,""pe"")"),23.64)</f>
        <v>23.64</v>
      </c>
      <c r="P1450" s="7">
        <f ca="1">IFERROR(__xludf.DUMMYFUNCTION("GOOGLEFINANCE(""NSE:""&amp;D1450,""EPS"")"),21.62)</f>
        <v>21.62</v>
      </c>
      <c r="Q1450" s="7">
        <v>13.5</v>
      </c>
      <c r="R1450" s="7" t="str">
        <f ca="1">IFERROR(__xludf.DUMMYFUNCTION("IMPORTXML(E1450,""/html/body/main/div[3]/div[3]/div[2]/ul/li[7]/span[2]/span"")"),"Loading...")</f>
        <v>Loading...</v>
      </c>
      <c r="S1450" s="7" t="str">
        <f ca="1">IFERROR(__xludf.DUMMYFUNCTION("IMPORTXML(E1450,""/html/body/main/div[3]/div[3]/div[2]/ul/li[8]/span[2]/span"")"),"Loading...")</f>
        <v>Loading...</v>
      </c>
      <c r="T1450" s="4">
        <v>34.6</v>
      </c>
      <c r="U1450" s="4">
        <v>22.7</v>
      </c>
      <c r="V1450" s="4">
        <v>2.6</v>
      </c>
      <c r="W1450" s="4">
        <v>5.7</v>
      </c>
      <c r="X1450" s="4">
        <v>519.92999999999995</v>
      </c>
      <c r="Y1450" s="7">
        <f t="shared" ca="1" si="34"/>
        <v>-8.7299999999999613</v>
      </c>
    </row>
    <row r="1451" spans="1:25" ht="15" x14ac:dyDescent="0.25">
      <c r="A1451" s="4">
        <v>117</v>
      </c>
      <c r="C1451" s="12" t="s">
        <v>3440</v>
      </c>
      <c r="D1451" s="12" t="s">
        <v>3441</v>
      </c>
      <c r="E1451" s="5" t="str">
        <f t="shared" si="30"/>
        <v>https://www.screener.in/company/TBOTEK/consolidated/</v>
      </c>
      <c r="F1451" s="4">
        <v>443059</v>
      </c>
      <c r="G1451" s="4">
        <v>3832241897</v>
      </c>
      <c r="H1451" s="6">
        <f t="shared" ca="1" si="31"/>
        <v>593231.04565560003</v>
      </c>
      <c r="I1451" s="7" t="str">
        <f ca="1">IFERROR(__xludf.DUMMYFUNCTION("IMPORTXML(E1451,""/html/body/main/div[3]/div[3]/div[2]/ul/li[5]/span[2]/span"")"),"Loading...")</f>
        <v>Loading...</v>
      </c>
      <c r="J1451" s="7">
        <f ca="1">IFERROR(__xludf.DUMMYFUNCTION("GOOGLEFINANCE(""NSE:""&amp;D1451,""marketcap"")"),164686611600)</f>
        <v>164686611600</v>
      </c>
      <c r="K1451" s="7">
        <v>992.8</v>
      </c>
      <c r="L1451" s="8">
        <f ca="1">IFERROR(__xludf.DUMMYFUNCTION("GOOGLEFINANCE(""NSE:""&amp;D1451,""price"")"),1548)</f>
        <v>1548</v>
      </c>
      <c r="M1451" s="9">
        <f t="shared" ca="1" si="32"/>
        <v>555.20000000000005</v>
      </c>
      <c r="N1451" s="10">
        <f t="shared" ca="1" si="33"/>
        <v>55.922643029814679</v>
      </c>
      <c r="O1451" s="7">
        <f ca="1">IFERROR(__xludf.DUMMYFUNCTION("GOOGLEFINANCE(""NSE:""&amp;D1451,""pe"")"),71.64)</f>
        <v>71.64</v>
      </c>
      <c r="P1451" s="7">
        <f ca="1">IFERROR(__xludf.DUMMYFUNCTION("GOOGLEFINANCE(""NSE:""&amp;D1451,""EPS"")"),21.61)</f>
        <v>21.61</v>
      </c>
      <c r="Q1451" s="7">
        <v>13.5</v>
      </c>
      <c r="R1451" s="7" t="str">
        <f ca="1">IFERROR(__xludf.DUMMYFUNCTION("IMPORTXML(E1451,""/html/body/main/div[3]/div[3]/div[2]/ul/li[7]/span[2]/span"")"),"Loading...")</f>
        <v>Loading...</v>
      </c>
      <c r="S1451" s="7" t="str">
        <f ca="1">IFERROR(__xludf.DUMMYFUNCTION("IMPORTXML(E1451,""/html/body/main/div[3]/div[3]/div[2]/ul/li[8]/span[2]/span"")"),"Loading...")</f>
        <v>Loading...</v>
      </c>
      <c r="T1451" s="4">
        <v>34.6</v>
      </c>
      <c r="U1451" s="4">
        <v>22.7</v>
      </c>
      <c r="V1451" s="4">
        <v>2.6</v>
      </c>
      <c r="W1451" s="4">
        <v>5.7</v>
      </c>
      <c r="X1451" s="4">
        <v>519.92999999999995</v>
      </c>
      <c r="Y1451" s="7">
        <f t="shared" ca="1" si="34"/>
        <v>1028.0700000000002</v>
      </c>
    </row>
    <row r="1452" spans="1:25" ht="15" x14ac:dyDescent="0.25">
      <c r="A1452" s="4">
        <v>125</v>
      </c>
      <c r="C1452" s="12" t="s">
        <v>3442</v>
      </c>
      <c r="D1452" s="12" t="s">
        <v>3443</v>
      </c>
      <c r="E1452" s="5" t="str">
        <f t="shared" si="30"/>
        <v>https://www.screener.in/company/TITAGARH/consolidated/</v>
      </c>
      <c r="F1452" s="4">
        <v>443059</v>
      </c>
      <c r="G1452" s="4">
        <v>3832241897</v>
      </c>
      <c r="H1452" s="6">
        <f t="shared" ca="1" si="31"/>
        <v>322674.7677274</v>
      </c>
      <c r="I1452" s="7" t="str">
        <f ca="1">IFERROR(__xludf.DUMMYFUNCTION("IMPORTXML(E1452,""/html/body/main/div[3]/div[3]/div[2]/ul/li[5]/span[2]/span"")"),"Loading...")</f>
        <v>Loading...</v>
      </c>
      <c r="J1452" s="7">
        <f ca="1">IFERROR(__xludf.DUMMYFUNCTION("GOOGLEFINANCE(""NSE:""&amp;D1452,""marketcap"")"),113395255400)</f>
        <v>113395255400</v>
      </c>
      <c r="K1452" s="7">
        <v>992.8</v>
      </c>
      <c r="L1452" s="8">
        <f ca="1">IFERROR(__xludf.DUMMYFUNCTION("GOOGLEFINANCE(""NSE:""&amp;D1452,""price"")"),842)</f>
        <v>842</v>
      </c>
      <c r="M1452" s="9">
        <f t="shared" ca="1" si="32"/>
        <v>-150.79999999999995</v>
      </c>
      <c r="N1452" s="10">
        <f t="shared" ca="1" si="33"/>
        <v>-15.189363416599514</v>
      </c>
      <c r="O1452" s="7" t="str">
        <f ca="1">IFERROR(__xludf.DUMMYFUNCTION("GOOGLEFINANCE(""NSE:""&amp;D1452,""pe"")"),"#N/A")</f>
        <v>#N/A</v>
      </c>
      <c r="P1452" s="7" t="str">
        <f ca="1">IFERROR(__xludf.DUMMYFUNCTION("GOOGLEFINANCE(""NSE:""&amp;D1452,""EPS"")"),"#N/A")</f>
        <v>#N/A</v>
      </c>
      <c r="Q1452" s="7">
        <v>13.5</v>
      </c>
      <c r="R1452" s="7" t="str">
        <f ca="1">IFERROR(__xludf.DUMMYFUNCTION("IMPORTXML(E1452,""/html/body/main/div[3]/div[3]/div[2]/ul/li[7]/span[2]/span"")"),"Loading...")</f>
        <v>Loading...</v>
      </c>
      <c r="S1452" s="7" t="str">
        <f ca="1">IFERROR(__xludf.DUMMYFUNCTION("IMPORTXML(E1452,""/html/body/main/div[3]/div[3]/div[2]/ul/li[8]/span[2]/span"")"),"Loading...")</f>
        <v>Loading...</v>
      </c>
      <c r="T1452" s="4">
        <v>34.6</v>
      </c>
      <c r="U1452" s="4">
        <v>22.7</v>
      </c>
      <c r="V1452" s="4">
        <v>2.6</v>
      </c>
      <c r="W1452" s="4">
        <v>5.7</v>
      </c>
      <c r="X1452" s="4">
        <v>519.92999999999995</v>
      </c>
      <c r="Y1452" s="7">
        <f t="shared" ca="1" si="34"/>
        <v>322.07000000000005</v>
      </c>
    </row>
    <row r="1453" spans="1:25" ht="15" x14ac:dyDescent="0.25">
      <c r="A1453" s="4">
        <v>131</v>
      </c>
      <c r="C1453" s="12" t="s">
        <v>3444</v>
      </c>
      <c r="D1453" s="37"/>
      <c r="E1453" s="5" t="str">
        <f t="shared" si="30"/>
        <v>https://www.screener.in/company//consolidated/</v>
      </c>
      <c r="F1453" s="4">
        <v>443059</v>
      </c>
      <c r="G1453" s="4">
        <v>3832241897</v>
      </c>
      <c r="H1453" s="6" t="e">
        <f t="shared" ca="1" si="31"/>
        <v>#VALUE!</v>
      </c>
      <c r="I1453" s="7" t="str">
        <f ca="1">IFERROR(__xludf.DUMMYFUNCTION("IMPORTXML(E1453,""/html/body/main/div[3]/div[3]/div[2]/ul/li[5]/span[2]/span"")"),"Loading...")</f>
        <v>Loading...</v>
      </c>
      <c r="J1453" s="7" t="str">
        <f ca="1">IFERROR(__xludf.DUMMYFUNCTION("GOOGLEFINANCE(""NSE:""&amp;D1453,""marketcap"")"),"#N/A")</f>
        <v>#N/A</v>
      </c>
      <c r="K1453" s="7">
        <v>992.8</v>
      </c>
      <c r="L1453" s="8" t="str">
        <f ca="1">IFERROR(__xludf.DUMMYFUNCTION("GOOGLEFINANCE(""NSE:""&amp;D1453,""price"")"),"#N/A")</f>
        <v>#N/A</v>
      </c>
      <c r="M1453" s="9" t="e">
        <f t="shared" ca="1" si="32"/>
        <v>#VALUE!</v>
      </c>
      <c r="N1453" s="10" t="e">
        <f t="shared" ca="1" si="33"/>
        <v>#VALUE!</v>
      </c>
      <c r="O1453" s="7" t="str">
        <f ca="1">IFERROR(__xludf.DUMMYFUNCTION("GOOGLEFINANCE(""NSE:""&amp;D1453,""pe"")"),"#N/A")</f>
        <v>#N/A</v>
      </c>
      <c r="P1453" s="7" t="str">
        <f ca="1">IFERROR(__xludf.DUMMYFUNCTION("GOOGLEFINANCE(""NSE:""&amp;D1453,""EPS"")"),"#N/A")</f>
        <v>#N/A</v>
      </c>
      <c r="Q1453" s="7">
        <v>13.5</v>
      </c>
      <c r="R1453" s="7" t="str">
        <f ca="1">IFERROR(__xludf.DUMMYFUNCTION("IMPORTXML(E1453,""/html/body/main/div[3]/div[3]/div[2]/ul/li[7]/span[2]/span"")"),"Loading...")</f>
        <v>Loading...</v>
      </c>
      <c r="S1453" s="7" t="str">
        <f ca="1">IFERROR(__xludf.DUMMYFUNCTION("IMPORTXML(E1453,""/html/body/main/div[3]/div[3]/div[2]/ul/li[8]/span[2]/span"")"),"Loading...")</f>
        <v>Loading...</v>
      </c>
      <c r="T1453" s="4">
        <v>34.6</v>
      </c>
      <c r="U1453" s="4">
        <v>22.7</v>
      </c>
      <c r="V1453" s="4">
        <v>2.6</v>
      </c>
      <c r="W1453" s="4">
        <v>5.7</v>
      </c>
      <c r="X1453" s="4">
        <v>519.92999999999995</v>
      </c>
      <c r="Y1453" s="7" t="e">
        <f t="shared" ca="1" si="34"/>
        <v>#VALUE!</v>
      </c>
    </row>
    <row r="1454" spans="1:25" ht="15" x14ac:dyDescent="0.25">
      <c r="A1454" s="4">
        <v>140</v>
      </c>
      <c r="C1454" s="12" t="s">
        <v>3445</v>
      </c>
      <c r="D1454" s="12" t="s">
        <v>3446</v>
      </c>
      <c r="E1454" s="5" t="str">
        <f t="shared" si="30"/>
        <v>https://www.screener.in/company/LMW/consolidated/</v>
      </c>
      <c r="F1454" s="4">
        <v>443059</v>
      </c>
      <c r="G1454" s="4">
        <v>3832241897</v>
      </c>
      <c r="H1454" s="6">
        <f t="shared" ca="1" si="31"/>
        <v>5455196.3403794998</v>
      </c>
      <c r="I1454" s="7" t="str">
        <f ca="1">IFERROR(__xludf.DUMMYFUNCTION("IMPORTXML(E1454,""/html/body/main/div[3]/div[3]/div[2]/ul/li[5]/span[2]/span"")"),"Loading...")</f>
        <v>Loading...</v>
      </c>
      <c r="J1454" s="7">
        <f ca="1">IFERROR(__xludf.DUMMYFUNCTION("GOOGLEFINANCE(""NSE:""&amp;D1454,""marketcap"")"),151720000000)</f>
        <v>151720000000</v>
      </c>
      <c r="K1454" s="7">
        <v>992.8</v>
      </c>
      <c r="L1454" s="8">
        <f ca="1">IFERROR(__xludf.DUMMYFUNCTION("GOOGLEFINANCE(""NSE:""&amp;D1454,""price"")"),14235)</f>
        <v>14235</v>
      </c>
      <c r="M1454" s="9">
        <f t="shared" ca="1" si="32"/>
        <v>13242.2</v>
      </c>
      <c r="N1454" s="10">
        <f t="shared" ca="1" si="33"/>
        <v>1333.8235294117649</v>
      </c>
      <c r="O1454" s="7" t="str">
        <f ca="1">IFERROR(__xludf.DUMMYFUNCTION("GOOGLEFINANCE(""NSE:""&amp;D1454,""pe"")"),"#N/A")</f>
        <v>#N/A</v>
      </c>
      <c r="P1454" s="7" t="str">
        <f ca="1">IFERROR(__xludf.DUMMYFUNCTION("GOOGLEFINANCE(""NSE:""&amp;D1454,""EPS"")"),"#N/A")</f>
        <v>#N/A</v>
      </c>
      <c r="Q1454" s="7">
        <v>13.5</v>
      </c>
      <c r="R1454" s="7" t="str">
        <f ca="1">IFERROR(__xludf.DUMMYFUNCTION("IMPORTXML(E1454,""/html/body/main/div[3]/div[3]/div[2]/ul/li[7]/span[2]/span"")"),"Loading...")</f>
        <v>Loading...</v>
      </c>
      <c r="S1454" s="7" t="str">
        <f ca="1">IFERROR(__xludf.DUMMYFUNCTION("IMPORTXML(E1454,""/html/body/main/div[3]/div[3]/div[2]/ul/li[8]/span[2]/span"")"),"Loading...")</f>
        <v>Loading...</v>
      </c>
      <c r="T1454" s="4">
        <v>34.6</v>
      </c>
      <c r="U1454" s="4">
        <v>22.7</v>
      </c>
      <c r="V1454" s="4">
        <v>2.6</v>
      </c>
      <c r="W1454" s="4">
        <v>5.7</v>
      </c>
      <c r="X1454" s="4">
        <v>519.92999999999995</v>
      </c>
      <c r="Y1454" s="7">
        <f t="shared" ca="1" si="34"/>
        <v>13715.07</v>
      </c>
    </row>
    <row r="1455" spans="1:25" ht="15" x14ac:dyDescent="0.25">
      <c r="A1455" s="4">
        <v>147</v>
      </c>
      <c r="C1455" s="12" t="s">
        <v>3447</v>
      </c>
      <c r="D1455" s="12" t="s">
        <v>3448</v>
      </c>
      <c r="E1455" s="5" t="str">
        <f t="shared" si="30"/>
        <v>https://www.screener.in/company/WOCKPHARMA/consolidated/</v>
      </c>
      <c r="F1455" s="4">
        <v>443059</v>
      </c>
      <c r="G1455" s="4">
        <v>3832241897</v>
      </c>
      <c r="H1455" s="6">
        <f t="shared" ca="1" si="31"/>
        <v>567938.24913540005</v>
      </c>
      <c r="I1455" s="7" t="str">
        <f ca="1">IFERROR(__xludf.DUMMYFUNCTION("IMPORTXML(E1455,""/html/body/main/div[3]/div[3]/div[2]/ul/li[5]/span[2]/span"")"),"Loading...")</f>
        <v>Loading...</v>
      </c>
      <c r="J1455" s="7">
        <f ca="1">IFERROR(__xludf.DUMMYFUNCTION("GOOGLEFINANCE(""NSE:""&amp;D1455,""marketcap"")"),240293400000)</f>
        <v>240293400000</v>
      </c>
      <c r="K1455" s="7">
        <v>992.8</v>
      </c>
      <c r="L1455" s="8">
        <f ca="1">IFERROR(__xludf.DUMMYFUNCTION("GOOGLEFINANCE(""NSE:""&amp;D1455,""price"")"),1482)</f>
        <v>1482</v>
      </c>
      <c r="M1455" s="9">
        <f t="shared" ca="1" si="32"/>
        <v>489.20000000000005</v>
      </c>
      <c r="N1455" s="10">
        <f t="shared" ca="1" si="33"/>
        <v>49.274778404512496</v>
      </c>
      <c r="O1455" s="7" t="str">
        <f ca="1">IFERROR(__xludf.DUMMYFUNCTION("GOOGLEFINANCE(""NSE:""&amp;D1455,""pe"")"),"#N/A")</f>
        <v>#N/A</v>
      </c>
      <c r="P1455" s="7">
        <f ca="1">IFERROR(__xludf.DUMMYFUNCTION("GOOGLEFINANCE(""NSE:""&amp;D1455,""EPS"")"),-7.66)</f>
        <v>-7.66</v>
      </c>
      <c r="Q1455" s="7">
        <v>13.5</v>
      </c>
      <c r="R1455" s="7" t="str">
        <f ca="1">IFERROR(__xludf.DUMMYFUNCTION("IMPORTXML(E1455,""/html/body/main/div[3]/div[3]/div[2]/ul/li[7]/span[2]/span"")"),"Loading...")</f>
        <v>Loading...</v>
      </c>
      <c r="S1455" s="7" t="str">
        <f ca="1">IFERROR(__xludf.DUMMYFUNCTION("IMPORTXML(E1455,""/html/body/main/div[3]/div[3]/div[2]/ul/li[8]/span[2]/span"")"),"Loading...")</f>
        <v>Loading...</v>
      </c>
      <c r="T1455" s="4">
        <v>34.6</v>
      </c>
      <c r="U1455" s="4">
        <v>22.7</v>
      </c>
      <c r="V1455" s="4">
        <v>2.6</v>
      </c>
      <c r="W1455" s="4">
        <v>5.7</v>
      </c>
      <c r="X1455" s="4">
        <v>519.92999999999995</v>
      </c>
      <c r="Y1455" s="7">
        <f t="shared" ca="1" si="34"/>
        <v>962.07</v>
      </c>
    </row>
    <row r="1456" spans="1:25" ht="15" x14ac:dyDescent="0.25">
      <c r="A1456" s="4">
        <v>154</v>
      </c>
      <c r="C1456" s="41" t="s">
        <v>3449</v>
      </c>
      <c r="D1456" s="42"/>
      <c r="E1456" s="5" t="str">
        <f t="shared" si="30"/>
        <v>https://www.screener.in/company//consolidated/</v>
      </c>
      <c r="F1456" s="4">
        <v>443059</v>
      </c>
      <c r="G1456" s="4">
        <v>3832241897</v>
      </c>
      <c r="H1456" s="6" t="e">
        <f t="shared" ca="1" si="31"/>
        <v>#VALUE!</v>
      </c>
      <c r="I1456" s="7" t="str">
        <f ca="1">IFERROR(__xludf.DUMMYFUNCTION("IMPORTXML(E1456,""/html/body/main/div[3]/div[3]/div[2]/ul/li[5]/span[2]/span"")"),"Loading...")</f>
        <v>Loading...</v>
      </c>
      <c r="J1456" s="7" t="str">
        <f ca="1">IFERROR(__xludf.DUMMYFUNCTION("GOOGLEFINANCE(""NSE:""&amp;D1456,""marketcap"")"),"#N/A")</f>
        <v>#N/A</v>
      </c>
      <c r="K1456" s="7">
        <v>992.8</v>
      </c>
      <c r="L1456" s="8" t="str">
        <f ca="1">IFERROR(__xludf.DUMMYFUNCTION("GOOGLEFINANCE(""NSE:""&amp;D1456,""price"")"),"#N/A")</f>
        <v>#N/A</v>
      </c>
      <c r="M1456" s="9" t="e">
        <f t="shared" ca="1" si="32"/>
        <v>#VALUE!</v>
      </c>
      <c r="N1456" s="10" t="e">
        <f t="shared" ca="1" si="33"/>
        <v>#VALUE!</v>
      </c>
      <c r="O1456" s="7" t="str">
        <f ca="1">IFERROR(__xludf.DUMMYFUNCTION("GOOGLEFINANCE(""NSE:""&amp;D1456,""pe"")"),"#N/A")</f>
        <v>#N/A</v>
      </c>
      <c r="P1456" s="7" t="str">
        <f ca="1">IFERROR(__xludf.DUMMYFUNCTION("GOOGLEFINANCE(""NSE:""&amp;D1456,""EPS"")"),"#N/A")</f>
        <v>#N/A</v>
      </c>
      <c r="Q1456" s="7">
        <v>13.5</v>
      </c>
      <c r="R1456" s="7" t="str">
        <f ca="1">IFERROR(__xludf.DUMMYFUNCTION("IMPORTXML(E1456,""/html/body/main/div[3]/div[3]/div[2]/ul/li[7]/span[2]/span"")"),"Loading...")</f>
        <v>Loading...</v>
      </c>
      <c r="S1456" s="7" t="str">
        <f ca="1">IFERROR(__xludf.DUMMYFUNCTION("IMPORTXML(E1456,""/html/body/main/div[3]/div[3]/div[2]/ul/li[8]/span[2]/span"")"),"Loading...")</f>
        <v>Loading...</v>
      </c>
      <c r="T1456" s="4">
        <v>34.6</v>
      </c>
      <c r="U1456" s="4">
        <v>22.7</v>
      </c>
      <c r="V1456" s="4">
        <v>2.6</v>
      </c>
      <c r="W1456" s="4">
        <v>5.7</v>
      </c>
      <c r="X1456" s="4">
        <v>519.92999999999995</v>
      </c>
      <c r="Y1456" s="7" t="e">
        <f t="shared" ca="1" si="34"/>
        <v>#VALUE!</v>
      </c>
    </row>
    <row r="1457" spans="1:25" ht="15" x14ac:dyDescent="0.25">
      <c r="A1457" s="4">
        <v>155</v>
      </c>
      <c r="C1457" s="12" t="s">
        <v>3450</v>
      </c>
      <c r="D1457" s="12" t="s">
        <v>3451</v>
      </c>
      <c r="E1457" s="5" t="str">
        <f t="shared" si="30"/>
        <v>https://www.screener.in/company/VENTIVE/consolidated/</v>
      </c>
      <c r="F1457" s="4">
        <v>443059</v>
      </c>
      <c r="G1457" s="4">
        <v>3832241897</v>
      </c>
      <c r="H1457" s="6">
        <f t="shared" ca="1" si="31"/>
        <v>277837.53753249999</v>
      </c>
      <c r="I1457" s="7" t="str">
        <f ca="1">IFERROR(__xludf.DUMMYFUNCTION("IMPORTXML(E1457,""/html/body/main/div[3]/div[3]/div[2]/ul/li[5]/span[2]/span"")"),"Loading...")</f>
        <v>Loading...</v>
      </c>
      <c r="J1457" s="7">
        <f ca="1">IFERROR(__xludf.DUMMYFUNCTION("GOOGLEFINANCE(""NSE:""&amp;D1457,""marketcap"")"),169329300000)</f>
        <v>169329300000</v>
      </c>
      <c r="K1457" s="7">
        <v>992.8</v>
      </c>
      <c r="L1457" s="8">
        <f ca="1">IFERROR(__xludf.DUMMYFUNCTION("GOOGLEFINANCE(""NSE:""&amp;D1457,""price"")"),725)</f>
        <v>725</v>
      </c>
      <c r="M1457" s="9">
        <f t="shared" ca="1" si="32"/>
        <v>-267.79999999999995</v>
      </c>
      <c r="N1457" s="10">
        <f t="shared" ca="1" si="33"/>
        <v>-26.974214343271552</v>
      </c>
      <c r="O1457" s="7">
        <f ca="1">IFERROR(__xludf.DUMMYFUNCTION("GOOGLEFINANCE(""NSE:""&amp;D1457,""pe"")"),140.24)</f>
        <v>140.24</v>
      </c>
      <c r="P1457" s="7">
        <f ca="1">IFERROR(__xludf.DUMMYFUNCTION("GOOGLEFINANCE(""NSE:""&amp;D1457,""EPS"")"),5.17)</f>
        <v>5.17</v>
      </c>
      <c r="Q1457" s="7">
        <v>13.5</v>
      </c>
      <c r="R1457" s="7" t="str">
        <f ca="1">IFERROR(__xludf.DUMMYFUNCTION("IMPORTXML(E1457,""/html/body/main/div[3]/div[3]/div[2]/ul/li[7]/span[2]/span"")"),"Loading...")</f>
        <v>Loading...</v>
      </c>
      <c r="S1457" s="7" t="str">
        <f ca="1">IFERROR(__xludf.DUMMYFUNCTION("IMPORTXML(E1457,""/html/body/main/div[3]/div[3]/div[2]/ul/li[8]/span[2]/span"")"),"Loading...")</f>
        <v>Loading...</v>
      </c>
      <c r="T1457" s="4">
        <v>34.6</v>
      </c>
      <c r="U1457" s="4">
        <v>22.7</v>
      </c>
      <c r="V1457" s="4">
        <v>2.6</v>
      </c>
      <c r="W1457" s="4">
        <v>5.7</v>
      </c>
      <c r="X1457" s="4">
        <v>519.92999999999995</v>
      </c>
      <c r="Y1457" s="7">
        <f t="shared" ca="1" si="34"/>
        <v>205.07000000000005</v>
      </c>
    </row>
    <row r="1458" spans="1:25" ht="15" x14ac:dyDescent="0.25">
      <c r="A1458" s="4">
        <v>160</v>
      </c>
      <c r="C1458" s="12" t="s">
        <v>3452</v>
      </c>
      <c r="D1458" s="12" t="s">
        <v>3453</v>
      </c>
      <c r="E1458" s="5" t="str">
        <f t="shared" si="30"/>
        <v>https://www.screener.in/company/TTML/consolidated/</v>
      </c>
      <c r="F1458" s="4">
        <v>443059</v>
      </c>
      <c r="G1458" s="4">
        <v>3832241897</v>
      </c>
      <c r="H1458" s="6">
        <f t="shared" ca="1" si="31"/>
        <v>22173.351616041997</v>
      </c>
      <c r="I1458" s="7" t="str">
        <f ca="1">IFERROR(__xludf.DUMMYFUNCTION("IMPORTXML(E1458,""/html/body/main/div[3]/div[3]/div[2]/ul/li[5]/span[2]/span"")"),"Loading...")</f>
        <v>Loading...</v>
      </c>
      <c r="J1458" s="7">
        <f ca="1">IFERROR(__xludf.DUMMYFUNCTION("GOOGLEFINANCE(""NSE:""&amp;D1458,""marketcap"")"),112154217271)</f>
        <v>112154217271</v>
      </c>
      <c r="K1458" s="7">
        <v>992.8</v>
      </c>
      <c r="L1458" s="8">
        <f ca="1">IFERROR(__xludf.DUMMYFUNCTION("GOOGLEFINANCE(""NSE:""&amp;D1458,""price"")"),57.86)</f>
        <v>57.86</v>
      </c>
      <c r="M1458" s="9">
        <f t="shared" ca="1" si="32"/>
        <v>-934.93999999999994</v>
      </c>
      <c r="N1458" s="10">
        <f t="shared" ca="1" si="33"/>
        <v>-94.172038678485094</v>
      </c>
      <c r="O1458" s="7" t="str">
        <f ca="1">IFERROR(__xludf.DUMMYFUNCTION("GOOGLEFINANCE(""NSE:""&amp;D1458,""pe"")"),"#N/A")</f>
        <v>#N/A</v>
      </c>
      <c r="P1458" s="7">
        <f ca="1">IFERROR(__xludf.DUMMYFUNCTION("GOOGLEFINANCE(""NSE:""&amp;D1458,""EPS"")"),-6.52)</f>
        <v>-6.52</v>
      </c>
      <c r="Q1458" s="7">
        <v>13.5</v>
      </c>
      <c r="R1458" s="7" t="str">
        <f ca="1">IFERROR(__xludf.DUMMYFUNCTION("IMPORTXML(E1458,""/html/body/main/div[3]/div[3]/div[2]/ul/li[7]/span[2]/span"")"),"Loading...")</f>
        <v>Loading...</v>
      </c>
      <c r="S1458" s="7" t="str">
        <f ca="1">IFERROR(__xludf.DUMMYFUNCTION("IMPORTXML(E1458,""/html/body/main/div[3]/div[3]/div[2]/ul/li[8]/span[2]/span"")"),"Loading...")</f>
        <v>Loading...</v>
      </c>
      <c r="T1458" s="4">
        <v>34.6</v>
      </c>
      <c r="U1458" s="4">
        <v>22.7</v>
      </c>
      <c r="V1458" s="4">
        <v>2.6</v>
      </c>
      <c r="W1458" s="4">
        <v>5.7</v>
      </c>
      <c r="X1458" s="4">
        <v>519.92999999999995</v>
      </c>
      <c r="Y1458" s="7">
        <f t="shared" ca="1" si="34"/>
        <v>-462.06999999999994</v>
      </c>
    </row>
    <row r="1459" spans="1:25" ht="15" x14ac:dyDescent="0.25">
      <c r="A1459" s="4">
        <v>185</v>
      </c>
      <c r="C1459" s="12" t="s">
        <v>3454</v>
      </c>
      <c r="D1459" s="12" t="s">
        <v>3455</v>
      </c>
      <c r="E1459" s="5" t="str">
        <f t="shared" si="30"/>
        <v>https://www.screener.in/company/NSLNISP/consolidated/</v>
      </c>
      <c r="F1459" s="4">
        <v>443059</v>
      </c>
      <c r="G1459" s="4">
        <v>3832241897</v>
      </c>
      <c r="H1459" s="6">
        <f t="shared" ca="1" si="31"/>
        <v>16306.189271734998</v>
      </c>
      <c r="I1459" s="7" t="str">
        <f ca="1">IFERROR(__xludf.DUMMYFUNCTION("IMPORTXML(E1459,""/html/body/main/div[3]/div[3]/div[2]/ul/li[5]/span[2]/span"")"),"Loading...")</f>
        <v>Loading...</v>
      </c>
      <c r="J1459" s="7">
        <f ca="1">IFERROR(__xludf.DUMMYFUNCTION("GOOGLEFINANCE(""NSE:""&amp;D1459,""marketcap"")"),124573396541)</f>
        <v>124573396541</v>
      </c>
      <c r="K1459" s="7">
        <v>992.8</v>
      </c>
      <c r="L1459" s="8">
        <f ca="1">IFERROR(__xludf.DUMMYFUNCTION("GOOGLEFINANCE(""NSE:""&amp;D1459,""price"")"),42.55)</f>
        <v>42.55</v>
      </c>
      <c r="M1459" s="9">
        <f t="shared" ca="1" si="32"/>
        <v>-950.25</v>
      </c>
      <c r="N1459" s="10">
        <f t="shared" ca="1" si="33"/>
        <v>-95.714141821112008</v>
      </c>
      <c r="O1459" s="7" t="str">
        <f ca="1">IFERROR(__xludf.DUMMYFUNCTION("GOOGLEFINANCE(""NSE:""&amp;D1459,""pe"")"),"#N/A")</f>
        <v>#N/A</v>
      </c>
      <c r="P1459" s="7">
        <f ca="1">IFERROR(__xludf.DUMMYFUNCTION("GOOGLEFINANCE(""NSE:""&amp;D1459,""EPS"")"),-6.15)</f>
        <v>-6.15</v>
      </c>
      <c r="Q1459" s="7">
        <v>13.5</v>
      </c>
      <c r="R1459" s="7" t="str">
        <f ca="1">IFERROR(__xludf.DUMMYFUNCTION("IMPORTXML(E1459,""/html/body/main/div[3]/div[3]/div[2]/ul/li[7]/span[2]/span"")"),"Loading...")</f>
        <v>Loading...</v>
      </c>
      <c r="S1459" s="7" t="str">
        <f ca="1">IFERROR(__xludf.DUMMYFUNCTION("IMPORTXML(E1459,""/html/body/main/div[3]/div[3]/div[2]/ul/li[8]/span[2]/span"")"),"Loading...")</f>
        <v>Loading...</v>
      </c>
      <c r="T1459" s="4">
        <v>34.6</v>
      </c>
      <c r="U1459" s="4">
        <v>22.7</v>
      </c>
      <c r="V1459" s="4">
        <v>2.6</v>
      </c>
      <c r="W1459" s="4">
        <v>5.7</v>
      </c>
      <c r="X1459" s="4">
        <v>519.92999999999995</v>
      </c>
      <c r="Y1459" s="7">
        <f t="shared" ca="1" si="34"/>
        <v>-477.37999999999994</v>
      </c>
    </row>
    <row r="1460" spans="1:25" ht="15" x14ac:dyDescent="0.25">
      <c r="A1460" s="4">
        <v>188</v>
      </c>
      <c r="C1460" s="12" t="s">
        <v>3456</v>
      </c>
      <c r="D1460" s="12" t="s">
        <v>3457</v>
      </c>
      <c r="E1460" s="5" t="str">
        <f t="shared" si="30"/>
        <v>https://www.screener.in/company/PVRINOX/consolidated/</v>
      </c>
      <c r="F1460" s="4">
        <v>443059</v>
      </c>
      <c r="G1460" s="4">
        <v>3832241897</v>
      </c>
      <c r="H1460" s="6">
        <f t="shared" ca="1" si="31"/>
        <v>438791.69720649999</v>
      </c>
      <c r="I1460" s="7" t="str">
        <f ca="1">IFERROR(__xludf.DUMMYFUNCTION("IMPORTXML(E1460,""/html/body/main/div[3]/div[3]/div[2]/ul/li[5]/span[2]/span"")"),"Loading...")</f>
        <v>Loading...</v>
      </c>
      <c r="J1460" s="7">
        <f ca="1">IFERROR(__xludf.DUMMYFUNCTION("GOOGLEFINANCE(""NSE:""&amp;D1460,""marketcap"")"),112566600000)</f>
        <v>112566600000</v>
      </c>
      <c r="K1460" s="7">
        <v>992.8</v>
      </c>
      <c r="L1460" s="8">
        <f ca="1">IFERROR(__xludf.DUMMYFUNCTION("GOOGLEFINANCE(""NSE:""&amp;D1460,""price"")"),1145)</f>
        <v>1145</v>
      </c>
      <c r="M1460" s="9">
        <f t="shared" ca="1" si="32"/>
        <v>152.20000000000005</v>
      </c>
      <c r="N1460" s="10">
        <f t="shared" ca="1" si="33"/>
        <v>15.330378726833205</v>
      </c>
      <c r="O1460" s="7" t="str">
        <f ca="1">IFERROR(__xludf.DUMMYFUNCTION("GOOGLEFINANCE(""NSE:""&amp;D1460,""pe"")"),"#N/A")</f>
        <v>#N/A</v>
      </c>
      <c r="P1460" s="7">
        <f ca="1">IFERROR(__xludf.DUMMYFUNCTION("GOOGLEFINANCE(""NSE:""&amp;D1460,""EPS"")"),-51.59)</f>
        <v>-51.59</v>
      </c>
      <c r="Q1460" s="7">
        <v>13.5</v>
      </c>
      <c r="R1460" s="7" t="str">
        <f ca="1">IFERROR(__xludf.DUMMYFUNCTION("IMPORTXML(E1460,""/html/body/main/div[3]/div[3]/div[2]/ul/li[7]/span[2]/span"")"),"Loading...")</f>
        <v>Loading...</v>
      </c>
      <c r="S1460" s="7" t="str">
        <f ca="1">IFERROR(__xludf.DUMMYFUNCTION("IMPORTXML(E1460,""/html/body/main/div[3]/div[3]/div[2]/ul/li[8]/span[2]/span"")"),"Loading...")</f>
        <v>Loading...</v>
      </c>
      <c r="T1460" s="4">
        <v>34.6</v>
      </c>
      <c r="U1460" s="4">
        <v>22.7</v>
      </c>
      <c r="V1460" s="4">
        <v>2.6</v>
      </c>
      <c r="W1460" s="4">
        <v>5.7</v>
      </c>
      <c r="X1460" s="4">
        <v>519.92999999999995</v>
      </c>
      <c r="Y1460" s="7">
        <f t="shared" ca="1" si="34"/>
        <v>625.07000000000005</v>
      </c>
    </row>
    <row r="1461" spans="1:25" ht="15" x14ac:dyDescent="0.25">
      <c r="A1461" s="4">
        <v>208</v>
      </c>
      <c r="C1461" s="12" t="s">
        <v>3458</v>
      </c>
      <c r="D1461" s="12" t="s">
        <v>3459</v>
      </c>
      <c r="E1461" s="5" t="str">
        <f t="shared" si="30"/>
        <v>https://www.screener.in/company/RAYMONDLSL/consolidated/</v>
      </c>
      <c r="F1461" s="4">
        <v>443059</v>
      </c>
      <c r="G1461" s="4">
        <v>3832241897</v>
      </c>
      <c r="H1461" s="6">
        <f t="shared" ca="1" si="31"/>
        <v>472132.2017104</v>
      </c>
      <c r="I1461" s="7" t="str">
        <f ca="1">IFERROR(__xludf.DUMMYFUNCTION("IMPORTXML(E1461,""/html/body/main/div[3]/div[3]/div[2]/ul/li[5]/span[2]/span"")"),"Loading...")</f>
        <v>Loading...</v>
      </c>
      <c r="J1461" s="7">
        <f ca="1">IFERROR(__xludf.DUMMYFUNCTION("GOOGLEFINANCE(""NSE:""&amp;D1461,""marketcap"")"),75413354606)</f>
        <v>75413354606</v>
      </c>
      <c r="K1461" s="7">
        <v>992.8</v>
      </c>
      <c r="L1461" s="8">
        <f ca="1">IFERROR(__xludf.DUMMYFUNCTION("GOOGLEFINANCE(""NSE:""&amp;D1461,""price"")"),1232)</f>
        <v>1232</v>
      </c>
      <c r="M1461" s="9">
        <f t="shared" ca="1" si="32"/>
        <v>239.20000000000005</v>
      </c>
      <c r="N1461" s="10">
        <f t="shared" ca="1" si="33"/>
        <v>24.093473005640618</v>
      </c>
      <c r="O1461" s="7">
        <f ca="1">IFERROR(__xludf.DUMMYFUNCTION("GOOGLEFINANCE(""NSE:""&amp;D1461,""pe"")"),180.45)</f>
        <v>180.45</v>
      </c>
      <c r="P1461" s="7">
        <f ca="1">IFERROR(__xludf.DUMMYFUNCTION("GOOGLEFINANCE(""NSE:""&amp;D1461,""EPS"")"),6.83)</f>
        <v>6.83</v>
      </c>
      <c r="Q1461" s="7">
        <v>13.5</v>
      </c>
      <c r="R1461" s="7" t="str">
        <f ca="1">IFERROR(__xludf.DUMMYFUNCTION("IMPORTXML(E1461,""/html/body/main/div[3]/div[3]/div[2]/ul/li[7]/span[2]/span"")"),"Loading...")</f>
        <v>Loading...</v>
      </c>
      <c r="S1461" s="7" t="str">
        <f ca="1">IFERROR(__xludf.DUMMYFUNCTION("IMPORTXML(E1461,""/html/body/main/div[3]/div[3]/div[2]/ul/li[8]/span[2]/span"")"),"Loading...")</f>
        <v>Loading...</v>
      </c>
      <c r="T1461" s="4">
        <v>34.6</v>
      </c>
      <c r="U1461" s="4">
        <v>22.7</v>
      </c>
      <c r="V1461" s="4">
        <v>2.6</v>
      </c>
      <c r="W1461" s="4">
        <v>5.7</v>
      </c>
      <c r="X1461" s="4">
        <v>519.92999999999995</v>
      </c>
      <c r="Y1461" s="7">
        <f t="shared" ca="1" si="34"/>
        <v>712.07</v>
      </c>
    </row>
    <row r="1462" spans="1:25" ht="15" x14ac:dyDescent="0.25">
      <c r="A1462" s="4">
        <v>219</v>
      </c>
      <c r="C1462" s="12" t="s">
        <v>3460</v>
      </c>
      <c r="D1462" s="12" t="s">
        <v>3461</v>
      </c>
      <c r="E1462" s="5" t="str">
        <f t="shared" si="30"/>
        <v>https://www.screener.in/company/GLS/consolidated/</v>
      </c>
      <c r="F1462" s="4">
        <v>443059</v>
      </c>
      <c r="G1462" s="4">
        <v>3832241897</v>
      </c>
      <c r="H1462" s="6" t="e">
        <f t="shared" ca="1" si="31"/>
        <v>#VALUE!</v>
      </c>
      <c r="I1462" s="7" t="str">
        <f ca="1">IFERROR(__xludf.DUMMYFUNCTION("IMPORTXML(E1462,""/html/body/main/div[3]/div[3]/div[2]/ul/li[5]/span[2]/span"")"),"Loading...")</f>
        <v>Loading...</v>
      </c>
      <c r="J1462" s="7" t="str">
        <f ca="1">IFERROR(__xludf.DUMMYFUNCTION("GOOGLEFINANCE(""NSE:""&amp;D1462,""marketcap"")"),"#N/A")</f>
        <v>#N/A</v>
      </c>
      <c r="K1462" s="7">
        <v>992.8</v>
      </c>
      <c r="L1462" s="8" t="str">
        <f ca="1">IFERROR(__xludf.DUMMYFUNCTION("GOOGLEFINANCE(""NSE:""&amp;D1462,""price"")"),"#N/A")</f>
        <v>#N/A</v>
      </c>
      <c r="M1462" s="9" t="e">
        <f t="shared" ca="1" si="32"/>
        <v>#VALUE!</v>
      </c>
      <c r="N1462" s="10" t="e">
        <f t="shared" ca="1" si="33"/>
        <v>#VALUE!</v>
      </c>
      <c r="O1462" s="7" t="str">
        <f ca="1">IFERROR(__xludf.DUMMYFUNCTION("GOOGLEFINANCE(""NSE:""&amp;D1462,""pe"")"),"#N/A")</f>
        <v>#N/A</v>
      </c>
      <c r="P1462" s="7" t="str">
        <f ca="1">IFERROR(__xludf.DUMMYFUNCTION("GOOGLEFINANCE(""NSE:""&amp;D1462,""EPS"")"),"#N/A")</f>
        <v>#N/A</v>
      </c>
      <c r="Q1462" s="7">
        <v>13.5</v>
      </c>
      <c r="R1462" s="7" t="str">
        <f ca="1">IFERROR(__xludf.DUMMYFUNCTION("IMPORTXML(E1462,""/html/body/main/div[3]/div[3]/div[2]/ul/li[7]/span[2]/span"")"),"Loading...")</f>
        <v>Loading...</v>
      </c>
      <c r="S1462" s="7" t="str">
        <f ca="1">IFERROR(__xludf.DUMMYFUNCTION("IMPORTXML(E1462,""/html/body/main/div[3]/div[3]/div[2]/ul/li[8]/span[2]/span"")"),"Loading...")</f>
        <v>Loading...</v>
      </c>
      <c r="T1462" s="4">
        <v>34.6</v>
      </c>
      <c r="U1462" s="4">
        <v>22.7</v>
      </c>
      <c r="V1462" s="4">
        <v>2.6</v>
      </c>
      <c r="W1462" s="4">
        <v>5.7</v>
      </c>
      <c r="X1462" s="4">
        <v>519.92999999999995</v>
      </c>
      <c r="Y1462" s="7" t="e">
        <f t="shared" ca="1" si="34"/>
        <v>#VALUE!</v>
      </c>
    </row>
    <row r="1463" spans="1:25" ht="15" x14ac:dyDescent="0.25">
      <c r="A1463" s="4">
        <v>224</v>
      </c>
      <c r="C1463" s="12" t="s">
        <v>3462</v>
      </c>
      <c r="D1463" s="12" t="s">
        <v>3463</v>
      </c>
      <c r="E1463" s="5" t="str">
        <f t="shared" si="30"/>
        <v>https://www.screener.in/company/NUVOCO/consolidated/</v>
      </c>
      <c r="F1463" s="4">
        <v>443059</v>
      </c>
      <c r="G1463" s="4">
        <v>3832241897</v>
      </c>
      <c r="H1463" s="6">
        <f t="shared" ca="1" si="31"/>
        <v>178199.24821049999</v>
      </c>
      <c r="I1463" s="7" t="str">
        <f ca="1">IFERROR(__xludf.DUMMYFUNCTION("IMPORTXML(E1463,""/html/body/main/div[3]/div[3]/div[2]/ul/li[5]/span[2]/span"")"),"Loading...")</f>
        <v>Loading...</v>
      </c>
      <c r="J1463" s="7">
        <f ca="1">IFERROR(__xludf.DUMMYFUNCTION("GOOGLEFINANCE(""NSE:""&amp;D1463,""marketcap"")"),166077586500)</f>
        <v>166077586500</v>
      </c>
      <c r="K1463" s="7">
        <v>992.8</v>
      </c>
      <c r="L1463" s="8">
        <f ca="1">IFERROR(__xludf.DUMMYFUNCTION("GOOGLEFINANCE(""NSE:""&amp;D1463,""price"")"),465)</f>
        <v>465</v>
      </c>
      <c r="M1463" s="9">
        <f t="shared" ca="1" si="32"/>
        <v>-527.79999999999995</v>
      </c>
      <c r="N1463" s="10">
        <f t="shared" ca="1" si="33"/>
        <v>-53.162771958098311</v>
      </c>
      <c r="O1463" s="7">
        <f ca="1">IFERROR(__xludf.DUMMYFUNCTION("GOOGLEFINANCE(""NSE:""&amp;D1463,""pe"")"),108.72)</f>
        <v>108.72</v>
      </c>
      <c r="P1463" s="7">
        <f ca="1">IFERROR(__xludf.DUMMYFUNCTION("GOOGLEFINANCE(""NSE:""&amp;D1463,""EPS"")"),4.28)</f>
        <v>4.28</v>
      </c>
      <c r="Q1463" s="7">
        <v>13.5</v>
      </c>
      <c r="R1463" s="7" t="str">
        <f ca="1">IFERROR(__xludf.DUMMYFUNCTION("IMPORTXML(E1463,""/html/body/main/div[3]/div[3]/div[2]/ul/li[7]/span[2]/span"")"),"Loading...")</f>
        <v>Loading...</v>
      </c>
      <c r="S1463" s="7" t="str">
        <f ca="1">IFERROR(__xludf.DUMMYFUNCTION("IMPORTXML(E1463,""/html/body/main/div[3]/div[3]/div[2]/ul/li[8]/span[2]/span"")"),"Loading...")</f>
        <v>Loading...</v>
      </c>
      <c r="T1463" s="4">
        <v>34.6</v>
      </c>
      <c r="U1463" s="4">
        <v>22.7</v>
      </c>
      <c r="V1463" s="4">
        <v>2.6</v>
      </c>
      <c r="W1463" s="4">
        <v>5.7</v>
      </c>
      <c r="X1463" s="4">
        <v>519.92999999999995</v>
      </c>
      <c r="Y1463" s="7">
        <f t="shared" ca="1" si="34"/>
        <v>-54.92999999999995</v>
      </c>
    </row>
    <row r="1464" spans="1:25" ht="15" x14ac:dyDescent="0.25">
      <c r="A1464" s="4">
        <v>226</v>
      </c>
      <c r="C1464" s="12" t="s">
        <v>3464</v>
      </c>
      <c r="D1464" s="12" t="s">
        <v>3465</v>
      </c>
      <c r="E1464" s="5" t="str">
        <f t="shared" si="30"/>
        <v>https://www.screener.in/company/AKUMS/consolidated/</v>
      </c>
      <c r="F1464" s="4">
        <v>443059</v>
      </c>
      <c r="G1464" s="4">
        <v>3832241897</v>
      </c>
      <c r="H1464" s="6">
        <f t="shared" ca="1" si="31"/>
        <v>176628.02903272997</v>
      </c>
      <c r="I1464" s="7" t="str">
        <f ca="1">IFERROR(__xludf.DUMMYFUNCTION("IMPORTXML(E1464,""/html/body/main/div[3]/div[3]/div[2]/ul/li[5]/span[2]/span"")"),"Loading...")</f>
        <v>Loading...</v>
      </c>
      <c r="J1464" s="7">
        <f ca="1">IFERROR(__xludf.DUMMYFUNCTION("GOOGLEFINANCE(""NSE:""&amp;D1464,""marketcap"")"),70564710865)</f>
        <v>70564710865</v>
      </c>
      <c r="K1464" s="7">
        <v>992.8</v>
      </c>
      <c r="L1464" s="8">
        <f ca="1">IFERROR(__xludf.DUMMYFUNCTION("GOOGLEFINANCE(""NSE:""&amp;D1464,""price"")"),460.9)</f>
        <v>460.9</v>
      </c>
      <c r="M1464" s="9">
        <f t="shared" ca="1" si="32"/>
        <v>-531.9</v>
      </c>
      <c r="N1464" s="10">
        <f t="shared" ca="1" si="33"/>
        <v>-53.575745366639808</v>
      </c>
      <c r="O1464" s="7">
        <f ca="1">IFERROR(__xludf.DUMMYFUNCTION("GOOGLEFINANCE(""NSE:""&amp;D1464,""pe"")"),20.56)</f>
        <v>20.56</v>
      </c>
      <c r="P1464" s="7">
        <f ca="1">IFERROR(__xludf.DUMMYFUNCTION("GOOGLEFINANCE(""NSE:""&amp;D1464,""EPS"")"),22.42)</f>
        <v>22.42</v>
      </c>
      <c r="Q1464" s="7">
        <v>13.5</v>
      </c>
      <c r="R1464" s="7" t="str">
        <f ca="1">IFERROR(__xludf.DUMMYFUNCTION("IMPORTXML(E1464,""/html/body/main/div[3]/div[3]/div[2]/ul/li[7]/span[2]/span"")"),"Loading...")</f>
        <v>Loading...</v>
      </c>
      <c r="S1464" s="7" t="str">
        <f ca="1">IFERROR(__xludf.DUMMYFUNCTION("IMPORTXML(E1464,""/html/body/main/div[3]/div[3]/div[2]/ul/li[8]/span[2]/span"")"),"Loading...")</f>
        <v>Loading...</v>
      </c>
      <c r="T1464" s="4">
        <v>34.6</v>
      </c>
      <c r="U1464" s="4">
        <v>22.7</v>
      </c>
      <c r="V1464" s="4">
        <v>2.6</v>
      </c>
      <c r="W1464" s="4">
        <v>5.7</v>
      </c>
      <c r="X1464" s="4">
        <v>519.92999999999995</v>
      </c>
      <c r="Y1464" s="7">
        <f t="shared" ca="1" si="34"/>
        <v>-59.029999999999973</v>
      </c>
    </row>
    <row r="1465" spans="1:25" ht="15" x14ac:dyDescent="0.25">
      <c r="A1465" s="4">
        <v>231</v>
      </c>
      <c r="C1465" s="12" t="s">
        <v>3466</v>
      </c>
      <c r="D1465" s="12" t="s">
        <v>3467</v>
      </c>
      <c r="E1465" s="5" t="str">
        <f t="shared" si="30"/>
        <v>https://www.screener.in/company/ALOKINDS/consolidated/</v>
      </c>
      <c r="F1465" s="4">
        <v>443059</v>
      </c>
      <c r="G1465" s="4">
        <v>3832241897</v>
      </c>
      <c r="H1465" s="6">
        <f t="shared" ca="1" si="31"/>
        <v>6978.5124944370009</v>
      </c>
      <c r="I1465" s="7" t="str">
        <f ca="1">IFERROR(__xludf.DUMMYFUNCTION("IMPORTXML(E1465,""/html/body/main/div[3]/div[3]/div[2]/ul/li[5]/span[2]/span"")"),"Loading...")</f>
        <v>Loading...</v>
      </c>
      <c r="J1465" s="7">
        <f ca="1">IFERROR(__xludf.DUMMYFUNCTION("GOOGLEFINANCE(""NSE:""&amp;D1465,""marketcap"")"),91363130491)</f>
        <v>91363130491</v>
      </c>
      <c r="K1465" s="7">
        <v>992.8</v>
      </c>
      <c r="L1465" s="8">
        <f ca="1">IFERROR(__xludf.DUMMYFUNCTION("GOOGLEFINANCE(""NSE:""&amp;D1465,""price"")"),18.21)</f>
        <v>18.21</v>
      </c>
      <c r="M1465" s="9">
        <f t="shared" ca="1" si="32"/>
        <v>-974.58999999999992</v>
      </c>
      <c r="N1465" s="10">
        <f t="shared" ca="1" si="33"/>
        <v>-98.165793714746158</v>
      </c>
      <c r="O1465" s="7" t="str">
        <f ca="1">IFERROR(__xludf.DUMMYFUNCTION("GOOGLEFINANCE(""NSE:""&amp;D1465,""pe"")"),"#N/A")</f>
        <v>#N/A</v>
      </c>
      <c r="P1465" s="7">
        <f ca="1">IFERROR(__xludf.DUMMYFUNCTION("GOOGLEFINANCE(""NSE:""&amp;D1465,""EPS"")"),-1.58)</f>
        <v>-1.58</v>
      </c>
      <c r="Q1465" s="7">
        <v>13.5</v>
      </c>
      <c r="R1465" s="7" t="str">
        <f ca="1">IFERROR(__xludf.DUMMYFUNCTION("IMPORTXML(E1465,""/html/body/main/div[3]/div[3]/div[2]/ul/li[7]/span[2]/span"")"),"Loading...")</f>
        <v>Loading...</v>
      </c>
      <c r="S1465" s="7" t="str">
        <f ca="1">IFERROR(__xludf.DUMMYFUNCTION("IMPORTXML(E1465,""/html/body/main/div[3]/div[3]/div[2]/ul/li[8]/span[2]/span"")"),"Loading...")</f>
        <v>Loading...</v>
      </c>
      <c r="T1465" s="4">
        <v>34.6</v>
      </c>
      <c r="U1465" s="4">
        <v>22.7</v>
      </c>
      <c r="V1465" s="4">
        <v>2.6</v>
      </c>
      <c r="W1465" s="4">
        <v>5.7</v>
      </c>
      <c r="X1465" s="4">
        <v>519.92999999999995</v>
      </c>
      <c r="Y1465" s="7">
        <f t="shared" ca="1" si="34"/>
        <v>-501.71999999999997</v>
      </c>
    </row>
    <row r="1466" spans="1:25" ht="15" x14ac:dyDescent="0.25">
      <c r="A1466" s="4">
        <v>234</v>
      </c>
      <c r="C1466" s="12" t="s">
        <v>3468</v>
      </c>
      <c r="D1466" s="12" t="s">
        <v>3469</v>
      </c>
      <c r="E1466" s="5" t="str">
        <f t="shared" si="30"/>
        <v>https://www.screener.in/company/RHIM/consolidated/</v>
      </c>
      <c r="F1466" s="4">
        <v>443059</v>
      </c>
      <c r="G1466" s="4">
        <v>3832241897</v>
      </c>
      <c r="H1466" s="6">
        <f t="shared" ca="1" si="31"/>
        <v>183181.16267660001</v>
      </c>
      <c r="I1466" s="7" t="str">
        <f ca="1">IFERROR(__xludf.DUMMYFUNCTION("IMPORTXML(E1466,""/html/body/main/div[3]/div[3]/div[2]/ul/li[5]/span[2]/span"")"),"Loading...")</f>
        <v>Loading...</v>
      </c>
      <c r="J1466" s="7">
        <f ca="1">IFERROR(__xludf.DUMMYFUNCTION("GOOGLEFINANCE(""NSE:""&amp;D1466,""marketcap"")"),97995250000)</f>
        <v>97995250000</v>
      </c>
      <c r="K1466" s="7">
        <v>992.8</v>
      </c>
      <c r="L1466" s="8">
        <f ca="1">IFERROR(__xludf.DUMMYFUNCTION("GOOGLEFINANCE(""NSE:""&amp;D1466,""price"")"),478)</f>
        <v>478</v>
      </c>
      <c r="M1466" s="9">
        <f t="shared" ca="1" si="32"/>
        <v>-514.79999999999995</v>
      </c>
      <c r="N1466" s="10">
        <f t="shared" ca="1" si="33"/>
        <v>-51.853344077356965</v>
      </c>
      <c r="O1466" s="7" t="str">
        <f ca="1">IFERROR(__xludf.DUMMYFUNCTION("GOOGLEFINANCE(""NSE:""&amp;D1466,""pe"")"),"#N/A")</f>
        <v>#N/A</v>
      </c>
      <c r="P1466" s="7" t="str">
        <f ca="1">IFERROR(__xludf.DUMMYFUNCTION("GOOGLEFINANCE(""NSE:""&amp;D1466,""EPS"")"),"#N/A")</f>
        <v>#N/A</v>
      </c>
      <c r="Q1466" s="7">
        <v>13.5</v>
      </c>
      <c r="R1466" s="7" t="str">
        <f ca="1">IFERROR(__xludf.DUMMYFUNCTION("IMPORTXML(E1466,""/html/body/main/div[3]/div[3]/div[2]/ul/li[7]/span[2]/span"")"),"Loading...")</f>
        <v>Loading...</v>
      </c>
      <c r="S1466" s="7" t="str">
        <f ca="1">IFERROR(__xludf.DUMMYFUNCTION("IMPORTXML(E1466,""/html/body/main/div[3]/div[3]/div[2]/ul/li[8]/span[2]/span"")"),"Loading...")</f>
        <v>Loading...</v>
      </c>
      <c r="T1466" s="4">
        <v>34.6</v>
      </c>
      <c r="U1466" s="4">
        <v>22.7</v>
      </c>
      <c r="V1466" s="4">
        <v>2.6</v>
      </c>
      <c r="W1466" s="4">
        <v>5.7</v>
      </c>
      <c r="X1466" s="4">
        <v>519.92999999999995</v>
      </c>
      <c r="Y1466" s="7">
        <f t="shared" ca="1" si="34"/>
        <v>-41.92999999999995</v>
      </c>
    </row>
    <row r="1467" spans="1:25" ht="15" x14ac:dyDescent="0.25">
      <c r="A1467" s="4">
        <v>257</v>
      </c>
      <c r="C1467" s="12" t="s">
        <v>3470</v>
      </c>
      <c r="D1467" s="12" t="s">
        <v>3471</v>
      </c>
      <c r="E1467" s="5" t="str">
        <f t="shared" si="30"/>
        <v>https://www.screener.in/company/INDIACEM/consolidated/</v>
      </c>
      <c r="F1467" s="4">
        <v>443059</v>
      </c>
      <c r="G1467" s="4">
        <v>3832241897</v>
      </c>
      <c r="H1467" s="6">
        <f t="shared" ca="1" si="31"/>
        <v>151718.45670222997</v>
      </c>
      <c r="I1467" s="7" t="str">
        <f ca="1">IFERROR(__xludf.DUMMYFUNCTION("IMPORTXML(E1467,""/html/body/main/div[3]/div[3]/div[2]/ul/li[5]/span[2]/span"")"),"Loading...")</f>
        <v>Loading...</v>
      </c>
      <c r="J1467" s="7">
        <f ca="1">IFERROR(__xludf.DUMMYFUNCTION("GOOGLEFINANCE(""NSE:""&amp;D1467,""marketcap"")"),122468300000)</f>
        <v>122468300000</v>
      </c>
      <c r="K1467" s="7">
        <v>992.8</v>
      </c>
      <c r="L1467" s="8">
        <f ca="1">IFERROR(__xludf.DUMMYFUNCTION("GOOGLEFINANCE(""NSE:""&amp;D1467,""price"")"),395.9)</f>
        <v>395.9</v>
      </c>
      <c r="M1467" s="9">
        <f t="shared" ca="1" si="32"/>
        <v>-596.9</v>
      </c>
      <c r="N1467" s="10">
        <f t="shared" ca="1" si="33"/>
        <v>-60.122884770346495</v>
      </c>
      <c r="O1467" s="7" t="str">
        <f ca="1">IFERROR(__xludf.DUMMYFUNCTION("GOOGLEFINANCE(""NSE:""&amp;D1467,""pe"")"),"#N/A")</f>
        <v>#N/A</v>
      </c>
      <c r="P1467" s="7">
        <f ca="1">IFERROR(__xludf.DUMMYFUNCTION("GOOGLEFINANCE(""NSE:""&amp;D1467,""EPS"")"),-11.34)</f>
        <v>-11.34</v>
      </c>
      <c r="Q1467" s="7">
        <v>13.5</v>
      </c>
      <c r="R1467" s="7" t="str">
        <f ca="1">IFERROR(__xludf.DUMMYFUNCTION("IMPORTXML(E1467,""/html/body/main/div[3]/div[3]/div[2]/ul/li[7]/span[2]/span"")"),"Loading...")</f>
        <v>Loading...</v>
      </c>
      <c r="S1467" s="7" t="str">
        <f ca="1">IFERROR(__xludf.DUMMYFUNCTION("IMPORTXML(E1467,""/html/body/main/div[3]/div[3]/div[2]/ul/li[8]/span[2]/span"")"),"Loading...")</f>
        <v>Loading...</v>
      </c>
      <c r="T1467" s="4">
        <v>34.6</v>
      </c>
      <c r="U1467" s="4">
        <v>22.7</v>
      </c>
      <c r="V1467" s="4">
        <v>2.6</v>
      </c>
      <c r="W1467" s="4">
        <v>5.7</v>
      </c>
      <c r="X1467" s="4">
        <v>519.92999999999995</v>
      </c>
      <c r="Y1467" s="7">
        <f t="shared" ca="1" si="34"/>
        <v>-124.02999999999997</v>
      </c>
    </row>
    <row r="1468" spans="1:25" ht="15" x14ac:dyDescent="0.25">
      <c r="A1468" s="4">
        <v>268</v>
      </c>
      <c r="C1468" s="41" t="s">
        <v>3472</v>
      </c>
      <c r="D1468" s="42"/>
      <c r="E1468" s="5" t="str">
        <f t="shared" si="30"/>
        <v>https://www.screener.in/company//consolidated/</v>
      </c>
      <c r="F1468" s="4">
        <v>443059</v>
      </c>
      <c r="G1468" s="4">
        <v>3832241897</v>
      </c>
      <c r="H1468" s="6" t="e">
        <f t="shared" ca="1" si="31"/>
        <v>#VALUE!</v>
      </c>
      <c r="I1468" s="7" t="str">
        <f ca="1">IFERROR(__xludf.DUMMYFUNCTION("IMPORTXML(E1468,""/html/body/main/div[3]/div[3]/div[2]/ul/li[5]/span[2]/span"")"),"Loading...")</f>
        <v>Loading...</v>
      </c>
      <c r="J1468" s="7" t="str">
        <f ca="1">IFERROR(__xludf.DUMMYFUNCTION("GOOGLEFINANCE(""NSE:""&amp;D1468,""marketcap"")"),"#N/A")</f>
        <v>#N/A</v>
      </c>
      <c r="K1468" s="7">
        <v>992.8</v>
      </c>
      <c r="L1468" s="8" t="str">
        <f ca="1">IFERROR(__xludf.DUMMYFUNCTION("GOOGLEFINANCE(""NSE:""&amp;D1468,""price"")"),"#N/A")</f>
        <v>#N/A</v>
      </c>
      <c r="M1468" s="9" t="e">
        <f t="shared" ca="1" si="32"/>
        <v>#VALUE!</v>
      </c>
      <c r="N1468" s="10" t="e">
        <f t="shared" ca="1" si="33"/>
        <v>#VALUE!</v>
      </c>
      <c r="O1468" s="7" t="str">
        <f ca="1">IFERROR(__xludf.DUMMYFUNCTION("GOOGLEFINANCE(""NSE:""&amp;D1468,""pe"")"),"#N/A")</f>
        <v>#N/A</v>
      </c>
      <c r="P1468" s="7" t="str">
        <f ca="1">IFERROR(__xludf.DUMMYFUNCTION("GOOGLEFINANCE(""NSE:""&amp;D1468,""EPS"")"),"#N/A")</f>
        <v>#N/A</v>
      </c>
      <c r="Q1468" s="7">
        <v>13.5</v>
      </c>
      <c r="R1468" s="7" t="str">
        <f ca="1">IFERROR(__xludf.DUMMYFUNCTION("IMPORTXML(E1468,""/html/body/main/div[3]/div[3]/div[2]/ul/li[7]/span[2]/span"")"),"Loading...")</f>
        <v>Loading...</v>
      </c>
      <c r="S1468" s="7" t="str">
        <f ca="1">IFERROR(__xludf.DUMMYFUNCTION("IMPORTXML(E1468,""/html/body/main/div[3]/div[3]/div[2]/ul/li[8]/span[2]/span"")"),"Loading...")</f>
        <v>Loading...</v>
      </c>
      <c r="T1468" s="4">
        <v>34.6</v>
      </c>
      <c r="U1468" s="4">
        <v>22.7</v>
      </c>
      <c r="V1468" s="4">
        <v>2.6</v>
      </c>
      <c r="W1468" s="4">
        <v>5.7</v>
      </c>
      <c r="X1468" s="4">
        <v>519.92999999999995</v>
      </c>
      <c r="Y1468" s="7" t="e">
        <f t="shared" ca="1" si="34"/>
        <v>#VALUE!</v>
      </c>
    </row>
    <row r="1469" spans="1:25" ht="15" x14ac:dyDescent="0.25">
      <c r="A1469" s="4">
        <v>280</v>
      </c>
      <c r="C1469" s="12" t="s">
        <v>3473</v>
      </c>
      <c r="D1469" s="12" t="s">
        <v>3474</v>
      </c>
      <c r="E1469" s="5" t="str">
        <f t="shared" si="30"/>
        <v>https://www.screener.in/company/PURVA/consolidated/</v>
      </c>
      <c r="F1469" s="4">
        <v>443059</v>
      </c>
      <c r="G1469" s="4">
        <v>3832241897</v>
      </c>
      <c r="H1469" s="6">
        <f t="shared" ca="1" si="31"/>
        <v>109908.69760596001</v>
      </c>
      <c r="I1469" s="7" t="str">
        <f ca="1">IFERROR(__xludf.DUMMYFUNCTION("IMPORTXML(E1469,""/html/body/main/div[3]/div[3]/div[2]/ul/li[5]/span[2]/span"")"),"Loading...")</f>
        <v>Loading...</v>
      </c>
      <c r="J1469" s="7">
        <f ca="1">IFERROR(__xludf.DUMMYFUNCTION("GOOGLEFINANCE(""NSE:""&amp;D1469,""marketcap"")"),68465120000)</f>
        <v>68465120000</v>
      </c>
      <c r="K1469" s="7">
        <v>992.8</v>
      </c>
      <c r="L1469" s="8">
        <f ca="1">IFERROR(__xludf.DUMMYFUNCTION("GOOGLEFINANCE(""NSE:""&amp;D1469,""price"")"),286.8)</f>
        <v>286.8</v>
      </c>
      <c r="M1469" s="9">
        <f t="shared" ca="1" si="32"/>
        <v>-706</v>
      </c>
      <c r="N1469" s="10">
        <f t="shared" ca="1" si="33"/>
        <v>-71.112006446414185</v>
      </c>
      <c r="O1469" s="7" t="str">
        <f ca="1">IFERROR(__xludf.DUMMYFUNCTION("GOOGLEFINANCE(""NSE:""&amp;D1469,""pe"")"),"#N/A")</f>
        <v>#N/A</v>
      </c>
      <c r="P1469" s="7">
        <f ca="1">IFERROR(__xludf.DUMMYFUNCTION("GOOGLEFINANCE(""NSE:""&amp;D1469,""EPS"")"),-11.08)</f>
        <v>-11.08</v>
      </c>
      <c r="Q1469" s="7">
        <v>13.5</v>
      </c>
      <c r="R1469" s="7" t="str">
        <f ca="1">IFERROR(__xludf.DUMMYFUNCTION("IMPORTXML(E1469,""/html/body/main/div[3]/div[3]/div[2]/ul/li[7]/span[2]/span"")"),"Loading...")</f>
        <v>Loading...</v>
      </c>
      <c r="S1469" s="7" t="str">
        <f ca="1">IFERROR(__xludf.DUMMYFUNCTION("IMPORTXML(E1469,""/html/body/main/div[3]/div[3]/div[2]/ul/li[8]/span[2]/span"")"),"Loading...")</f>
        <v>Loading...</v>
      </c>
      <c r="T1469" s="4">
        <v>34.6</v>
      </c>
      <c r="U1469" s="4">
        <v>22.7</v>
      </c>
      <c r="V1469" s="4">
        <v>2.6</v>
      </c>
      <c r="W1469" s="4">
        <v>5.7</v>
      </c>
      <c r="X1469" s="4">
        <v>519.92999999999995</v>
      </c>
      <c r="Y1469" s="7">
        <f t="shared" ca="1" si="34"/>
        <v>-233.12999999999994</v>
      </c>
    </row>
    <row r="1470" spans="1:25" ht="15" x14ac:dyDescent="0.25">
      <c r="A1470" s="4">
        <v>283</v>
      </c>
      <c r="C1470" s="41" t="s">
        <v>3475</v>
      </c>
      <c r="D1470" s="42"/>
      <c r="E1470" s="5" t="str">
        <f t="shared" si="30"/>
        <v>https://www.screener.in/company//consolidated/</v>
      </c>
      <c r="F1470" s="4">
        <v>443059</v>
      </c>
      <c r="G1470" s="4">
        <v>3832241897</v>
      </c>
      <c r="H1470" s="6" t="e">
        <f t="shared" ca="1" si="31"/>
        <v>#VALUE!</v>
      </c>
      <c r="I1470" s="7" t="str">
        <f ca="1">IFERROR(__xludf.DUMMYFUNCTION("IMPORTXML(E1470,""/html/body/main/div[3]/div[3]/div[2]/ul/li[5]/span[2]/span"")"),"Loading...")</f>
        <v>Loading...</v>
      </c>
      <c r="J1470" s="7" t="str">
        <f ca="1">IFERROR(__xludf.DUMMYFUNCTION("GOOGLEFINANCE(""NSE:""&amp;D1470,""marketcap"")"),"#N/A")</f>
        <v>#N/A</v>
      </c>
      <c r="K1470" s="7">
        <v>992.8</v>
      </c>
      <c r="L1470" s="8" t="str">
        <f ca="1">IFERROR(__xludf.DUMMYFUNCTION("GOOGLEFINANCE(""NSE:""&amp;D1470,""price"")"),"#N/A")</f>
        <v>#N/A</v>
      </c>
      <c r="M1470" s="9" t="e">
        <f t="shared" ca="1" si="32"/>
        <v>#VALUE!</v>
      </c>
      <c r="N1470" s="10" t="e">
        <f t="shared" ca="1" si="33"/>
        <v>#VALUE!</v>
      </c>
      <c r="O1470" s="7" t="str">
        <f ca="1">IFERROR(__xludf.DUMMYFUNCTION("GOOGLEFINANCE(""NSE:""&amp;D1470,""pe"")"),"#N/A")</f>
        <v>#N/A</v>
      </c>
      <c r="P1470" s="7" t="str">
        <f ca="1">IFERROR(__xludf.DUMMYFUNCTION("GOOGLEFINANCE(""NSE:""&amp;D1470,""EPS"")"),"#N/A")</f>
        <v>#N/A</v>
      </c>
      <c r="Q1470" s="7">
        <v>13.5</v>
      </c>
      <c r="R1470" s="7" t="str">
        <f ca="1">IFERROR(__xludf.DUMMYFUNCTION("IMPORTXML(E1470,""/html/body/main/div[3]/div[3]/div[2]/ul/li[7]/span[2]/span"")"),"Loading...")</f>
        <v>Loading...</v>
      </c>
      <c r="S1470" s="7" t="str">
        <f ca="1">IFERROR(__xludf.DUMMYFUNCTION("IMPORTXML(E1470,""/html/body/main/div[3]/div[3]/div[2]/ul/li[8]/span[2]/span"")"),"Loading...")</f>
        <v>Loading...</v>
      </c>
      <c r="T1470" s="4">
        <v>34.6</v>
      </c>
      <c r="U1470" s="4">
        <v>22.7</v>
      </c>
      <c r="V1470" s="4">
        <v>2.6</v>
      </c>
      <c r="W1470" s="4">
        <v>5.7</v>
      </c>
      <c r="X1470" s="4">
        <v>519.92999999999995</v>
      </c>
      <c r="Y1470" s="7" t="e">
        <f t="shared" ca="1" si="34"/>
        <v>#VALUE!</v>
      </c>
    </row>
    <row r="1471" spans="1:25" ht="15" x14ac:dyDescent="0.25">
      <c r="A1471" s="4">
        <v>287</v>
      </c>
      <c r="C1471" s="12" t="s">
        <v>3476</v>
      </c>
      <c r="D1471" s="12" t="s">
        <v>3477</v>
      </c>
      <c r="E1471" s="5" t="str">
        <f t="shared" si="30"/>
        <v>https://www.screener.in/company/DBREALTY/consolidated/</v>
      </c>
      <c r="F1471" s="4">
        <v>443059</v>
      </c>
      <c r="G1471" s="4">
        <v>3832241897</v>
      </c>
      <c r="H1471" s="6">
        <f t="shared" ca="1" si="31"/>
        <v>66037.192369103985</v>
      </c>
      <c r="I1471" s="7" t="str">
        <f ca="1">IFERROR(__xludf.DUMMYFUNCTION("IMPORTXML(E1471,""/html/body/main/div[3]/div[3]/div[2]/ul/li[5]/span[2]/span"")"),"Loading...")</f>
        <v>Loading...</v>
      </c>
      <c r="J1471" s="7">
        <f ca="1">IFERROR(__xludf.DUMMYFUNCTION("GOOGLEFINANCE(""NSE:""&amp;D1471,""marketcap"")"),93394101900)</f>
        <v>93394101900</v>
      </c>
      <c r="K1471" s="7">
        <v>992.8</v>
      </c>
      <c r="L1471" s="8">
        <f ca="1">IFERROR(__xludf.DUMMYFUNCTION("GOOGLEFINANCE(""NSE:""&amp;D1471,""price"")"),172.32)</f>
        <v>172.32</v>
      </c>
      <c r="M1471" s="9">
        <f t="shared" ca="1" si="32"/>
        <v>-820.48</v>
      </c>
      <c r="N1471" s="10">
        <f t="shared" ca="1" si="33"/>
        <v>-82.643029814665596</v>
      </c>
      <c r="O1471" s="7" t="str">
        <f ca="1">IFERROR(__xludf.DUMMYFUNCTION("GOOGLEFINANCE(""NSE:""&amp;D1471,""pe"")"),"#N/A")</f>
        <v>#N/A</v>
      </c>
      <c r="P1471" s="7">
        <f ca="1">IFERROR(__xludf.DUMMYFUNCTION("GOOGLEFINANCE(""NSE:""&amp;D1471,""EPS"")"),-1.85)</f>
        <v>-1.85</v>
      </c>
      <c r="Q1471" s="7">
        <v>13.5</v>
      </c>
      <c r="R1471" s="7" t="str">
        <f ca="1">IFERROR(__xludf.DUMMYFUNCTION("IMPORTXML(E1471,""/html/body/main/div[3]/div[3]/div[2]/ul/li[7]/span[2]/span"")"),"Loading...")</f>
        <v>Loading...</v>
      </c>
      <c r="S1471" s="7" t="str">
        <f ca="1">IFERROR(__xludf.DUMMYFUNCTION("IMPORTXML(E1471,""/html/body/main/div[3]/div[3]/div[2]/ul/li[8]/span[2]/span"")"),"Loading...")</f>
        <v>Loading...</v>
      </c>
      <c r="T1471" s="4">
        <v>34.6</v>
      </c>
      <c r="U1471" s="4">
        <v>22.7</v>
      </c>
      <c r="V1471" s="4">
        <v>2.6</v>
      </c>
      <c r="W1471" s="4">
        <v>5.7</v>
      </c>
      <c r="X1471" s="4">
        <v>519.92999999999995</v>
      </c>
      <c r="Y1471" s="7">
        <f t="shared" ca="1" si="34"/>
        <v>-347.60999999999996</v>
      </c>
    </row>
    <row r="1472" spans="1:25" ht="15" x14ac:dyDescent="0.25">
      <c r="A1472" s="4">
        <v>288</v>
      </c>
      <c r="C1472" s="12" t="s">
        <v>3478</v>
      </c>
      <c r="D1472" s="12" t="s">
        <v>3479</v>
      </c>
      <c r="E1472" s="5" t="str">
        <f t="shared" si="30"/>
        <v>https://www.screener.in/company/NETWORK18/consolidated/</v>
      </c>
      <c r="F1472" s="4">
        <v>443059</v>
      </c>
      <c r="G1472" s="4">
        <v>3832241897</v>
      </c>
      <c r="H1472" s="6">
        <f t="shared" ca="1" si="31"/>
        <v>20763.086597946</v>
      </c>
      <c r="I1472" s="7" t="str">
        <f ca="1">IFERROR(__xludf.DUMMYFUNCTION("IMPORTXML(E1472,""/html/body/main/div[3]/div[3]/div[2]/ul/li[5]/span[2]/span"")"),"Loading...")</f>
        <v>Loading...</v>
      </c>
      <c r="J1472" s="7">
        <f ca="1">IFERROR(__xludf.DUMMYFUNCTION("GOOGLEFINANCE(""NSE:""&amp;D1472,""marketcap"")"),83406851538)</f>
        <v>83406851538</v>
      </c>
      <c r="K1472" s="7">
        <v>992.8</v>
      </c>
      <c r="L1472" s="8">
        <f ca="1">IFERROR(__xludf.DUMMYFUNCTION("GOOGLEFINANCE(""NSE:""&amp;D1472,""price"")"),54.18)</f>
        <v>54.18</v>
      </c>
      <c r="M1472" s="9">
        <f t="shared" ca="1" si="32"/>
        <v>-938.62</v>
      </c>
      <c r="N1472" s="10">
        <f t="shared" ca="1" si="33"/>
        <v>-94.542707493956485</v>
      </c>
      <c r="O1472" s="7" t="str">
        <f ca="1">IFERROR(__xludf.DUMMYFUNCTION("GOOGLEFINANCE(""NSE:""&amp;D1472,""pe"")"),"#N/A")</f>
        <v>#N/A</v>
      </c>
      <c r="P1472" s="7">
        <f ca="1">IFERROR(__xludf.DUMMYFUNCTION("GOOGLEFINANCE(""NSE:""&amp;D1472,""EPS"")"),-13.85)</f>
        <v>-13.85</v>
      </c>
      <c r="Q1472" s="7">
        <v>13.5</v>
      </c>
      <c r="R1472" s="7" t="str">
        <f ca="1">IFERROR(__xludf.DUMMYFUNCTION("IMPORTXML(E1472,""/html/body/main/div[3]/div[3]/div[2]/ul/li[7]/span[2]/span"")"),"Loading...")</f>
        <v>Loading...</v>
      </c>
      <c r="S1472" s="7" t="str">
        <f ca="1">IFERROR(__xludf.DUMMYFUNCTION("IMPORTXML(E1472,""/html/body/main/div[3]/div[3]/div[2]/ul/li[8]/span[2]/span"")"),"Loading...")</f>
        <v>Loading...</v>
      </c>
      <c r="T1472" s="4">
        <v>34.6</v>
      </c>
      <c r="U1472" s="4">
        <v>22.7</v>
      </c>
      <c r="V1472" s="4">
        <v>2.6</v>
      </c>
      <c r="W1472" s="4">
        <v>5.7</v>
      </c>
      <c r="X1472" s="4">
        <v>519.92999999999995</v>
      </c>
      <c r="Y1472" s="7">
        <f t="shared" ca="1" si="34"/>
        <v>-465.74999999999994</v>
      </c>
    </row>
    <row r="1473" spans="1:25" ht="15" x14ac:dyDescent="0.25">
      <c r="A1473" s="4">
        <v>295</v>
      </c>
      <c r="C1473" s="41" t="s">
        <v>3480</v>
      </c>
      <c r="D1473" s="42"/>
      <c r="E1473" s="5" t="str">
        <f t="shared" si="30"/>
        <v>https://www.screener.in/company//consolidated/</v>
      </c>
      <c r="F1473" s="4">
        <v>443059</v>
      </c>
      <c r="G1473" s="4">
        <v>3832241897</v>
      </c>
      <c r="H1473" s="6" t="e">
        <f t="shared" ca="1" si="31"/>
        <v>#VALUE!</v>
      </c>
      <c r="I1473" s="7" t="str">
        <f ca="1">IFERROR(__xludf.DUMMYFUNCTION("IMPORTXML(E1473,""/html/body/main/div[3]/div[3]/div[2]/ul/li[5]/span[2]/span"")"),"Loading...")</f>
        <v>Loading...</v>
      </c>
      <c r="J1473" s="7" t="str">
        <f ca="1">IFERROR(__xludf.DUMMYFUNCTION("GOOGLEFINANCE(""NSE:""&amp;D1473,""marketcap"")"),"#N/A")</f>
        <v>#N/A</v>
      </c>
      <c r="K1473" s="7">
        <v>992.8</v>
      </c>
      <c r="L1473" s="8" t="str">
        <f ca="1">IFERROR(__xludf.DUMMYFUNCTION("GOOGLEFINANCE(""NSE:""&amp;D1473,""price"")"),"#N/A")</f>
        <v>#N/A</v>
      </c>
      <c r="M1473" s="9" t="e">
        <f t="shared" ca="1" si="32"/>
        <v>#VALUE!</v>
      </c>
      <c r="N1473" s="10" t="e">
        <f t="shared" ca="1" si="33"/>
        <v>#VALUE!</v>
      </c>
      <c r="O1473" s="7" t="str">
        <f ca="1">IFERROR(__xludf.DUMMYFUNCTION("GOOGLEFINANCE(""NSE:""&amp;D1473,""pe"")"),"#N/A")</f>
        <v>#N/A</v>
      </c>
      <c r="P1473" s="7" t="str">
        <f ca="1">IFERROR(__xludf.DUMMYFUNCTION("GOOGLEFINANCE(""NSE:""&amp;D1473,""EPS"")"),"#N/A")</f>
        <v>#N/A</v>
      </c>
      <c r="Q1473" s="7">
        <v>13.5</v>
      </c>
      <c r="R1473" s="7" t="str">
        <f ca="1">IFERROR(__xludf.DUMMYFUNCTION("IMPORTXML(E1473,""/html/body/main/div[3]/div[3]/div[2]/ul/li[7]/span[2]/span"")"),"Loading...")</f>
        <v>Loading...</v>
      </c>
      <c r="S1473" s="7" t="str">
        <f ca="1">IFERROR(__xludf.DUMMYFUNCTION("IMPORTXML(E1473,""/html/body/main/div[3]/div[3]/div[2]/ul/li[8]/span[2]/span"")"),"Loading...")</f>
        <v>Loading...</v>
      </c>
      <c r="T1473" s="4">
        <v>34.6</v>
      </c>
      <c r="U1473" s="4">
        <v>22.7</v>
      </c>
      <c r="V1473" s="4">
        <v>2.6</v>
      </c>
      <c r="W1473" s="4">
        <v>5.7</v>
      </c>
      <c r="X1473" s="4">
        <v>519.92999999999995</v>
      </c>
      <c r="Y1473" s="7" t="e">
        <f t="shared" ca="1" si="34"/>
        <v>#VALUE!</v>
      </c>
    </row>
    <row r="1474" spans="1:25" ht="15" x14ac:dyDescent="0.25">
      <c r="A1474" s="4">
        <v>297</v>
      </c>
      <c r="C1474" s="12" t="s">
        <v>3481</v>
      </c>
      <c r="D1474" s="12" t="s">
        <v>3482</v>
      </c>
      <c r="E1474" s="5" t="str">
        <f t="shared" si="30"/>
        <v>https://www.screener.in/company/PNGJL/consolidated/</v>
      </c>
      <c r="F1474" s="4">
        <v>443059</v>
      </c>
      <c r="G1474" s="4">
        <v>3832241897</v>
      </c>
      <c r="H1474" s="6">
        <f t="shared" ca="1" si="31"/>
        <v>229915.35261051505</v>
      </c>
      <c r="I1474" s="7" t="str">
        <f ca="1">IFERROR(__xludf.DUMMYFUNCTION("IMPORTXML(E1474,""/html/body/main/div[3]/div[3]/div[2]/ul/li[5]/span[2]/span"")"),"Loading...")</f>
        <v>Loading...</v>
      </c>
      <c r="J1474" s="7">
        <f ca="1">IFERROR(__xludf.DUMMYFUNCTION("GOOGLEFINANCE(""NSE:""&amp;D1474,""marketcap"")"),81418196241)</f>
        <v>81418196241</v>
      </c>
      <c r="K1474" s="7">
        <v>992.8</v>
      </c>
      <c r="L1474" s="8">
        <f ca="1">IFERROR(__xludf.DUMMYFUNCTION("GOOGLEFINANCE(""NSE:""&amp;D1474,""price"")"),599.95)</f>
        <v>599.95000000000005</v>
      </c>
      <c r="M1474" s="9">
        <f t="shared" ca="1" si="32"/>
        <v>-392.84999999999991</v>
      </c>
      <c r="N1474" s="10">
        <f t="shared" ca="1" si="33"/>
        <v>-39.569903303787264</v>
      </c>
      <c r="O1474" s="7">
        <f ca="1">IFERROR(__xludf.DUMMYFUNCTION("GOOGLEFINANCE(""NSE:""&amp;D1474,""pe"")"),30)</f>
        <v>30</v>
      </c>
      <c r="P1474" s="7">
        <f ca="1">IFERROR(__xludf.DUMMYFUNCTION("GOOGLEFINANCE(""NSE:""&amp;D1474,""EPS"")"),20)</f>
        <v>20</v>
      </c>
      <c r="Q1474" s="7">
        <v>13.5</v>
      </c>
      <c r="R1474" s="7" t="str">
        <f ca="1">IFERROR(__xludf.DUMMYFUNCTION("IMPORTXML(E1474,""/html/body/main/div[3]/div[3]/div[2]/ul/li[7]/span[2]/span"")"),"Loading...")</f>
        <v>Loading...</v>
      </c>
      <c r="S1474" s="7" t="str">
        <f ca="1">IFERROR(__xludf.DUMMYFUNCTION("IMPORTXML(E1474,""/html/body/main/div[3]/div[3]/div[2]/ul/li[8]/span[2]/span"")"),"Loading...")</f>
        <v>Loading...</v>
      </c>
      <c r="T1474" s="4">
        <v>34.6</v>
      </c>
      <c r="U1474" s="4">
        <v>22.7</v>
      </c>
      <c r="V1474" s="4">
        <v>2.6</v>
      </c>
      <c r="W1474" s="4">
        <v>5.7</v>
      </c>
      <c r="X1474" s="4">
        <v>519.92999999999995</v>
      </c>
      <c r="Y1474" s="7">
        <f t="shared" ca="1" si="34"/>
        <v>80.020000000000095</v>
      </c>
    </row>
    <row r="1475" spans="1:25" ht="15" x14ac:dyDescent="0.25">
      <c r="A1475" s="4">
        <v>303</v>
      </c>
      <c r="C1475" s="12" t="s">
        <v>3483</v>
      </c>
      <c r="D1475" s="12" t="s">
        <v>3484</v>
      </c>
      <c r="E1475" s="5" t="str">
        <f t="shared" si="30"/>
        <v>https://www.screener.in/company/RENUKA/consolidated/</v>
      </c>
      <c r="F1475" s="4">
        <v>443059</v>
      </c>
      <c r="G1475" s="4">
        <v>3832241897</v>
      </c>
      <c r="H1475" s="6">
        <f t="shared" ca="1" si="31"/>
        <v>12324.489940751999</v>
      </c>
      <c r="I1475" s="7" t="str">
        <f ca="1">IFERROR(__xludf.DUMMYFUNCTION("IMPORTXML(E1475,""/html/body/main/div[3]/div[3]/div[2]/ul/li[5]/span[2]/span"")"),"Loading...")</f>
        <v>Loading...</v>
      </c>
      <c r="J1475" s="7">
        <f ca="1">IFERROR(__xludf.DUMMYFUNCTION("GOOGLEFINANCE(""NSE:""&amp;D1475,""marketcap"")"),68279593789)</f>
        <v>68279593789</v>
      </c>
      <c r="K1475" s="7">
        <v>992.8</v>
      </c>
      <c r="L1475" s="8">
        <f ca="1">IFERROR(__xludf.DUMMYFUNCTION("GOOGLEFINANCE(""NSE:""&amp;D1475,""price"")"),32.16)</f>
        <v>32.159999999999997</v>
      </c>
      <c r="M1475" s="9">
        <f t="shared" ca="1" si="32"/>
        <v>-960.64</v>
      </c>
      <c r="N1475" s="10">
        <f t="shared" ca="1" si="33"/>
        <v>-96.760676873489132</v>
      </c>
      <c r="O1475" s="7" t="str">
        <f ca="1">IFERROR(__xludf.DUMMYFUNCTION("GOOGLEFINANCE(""NSE:""&amp;D1475,""pe"")"),"#N/A")</f>
        <v>#N/A</v>
      </c>
      <c r="P1475" s="7">
        <f ca="1">IFERROR(__xludf.DUMMYFUNCTION("GOOGLEFINANCE(""NSE:""&amp;D1475,""EPS"")"),-1.87)</f>
        <v>-1.87</v>
      </c>
      <c r="Q1475" s="7">
        <v>13.5</v>
      </c>
      <c r="R1475" s="7">
        <f ca="1">IFERROR(__xludf.DUMMYFUNCTION("IMPORTXML(E1475,""/html/body/main/div[3]/div[3]/div[2]/ul/li[7]/span[2]/span"")"),10.6)</f>
        <v>10.6</v>
      </c>
      <c r="S1475" s="7" t="str">
        <f ca="1">IFERROR(__xludf.DUMMYFUNCTION("IMPORTXML(E1475,""/html/body/main/div[3]/div[3]/div[2]/ul/li[8]/span[2]/span"")"),"Loading...")</f>
        <v>Loading...</v>
      </c>
      <c r="T1475" s="4">
        <v>34.6</v>
      </c>
      <c r="U1475" s="4">
        <v>22.7</v>
      </c>
      <c r="V1475" s="4">
        <v>2.6</v>
      </c>
      <c r="W1475" s="4">
        <v>5.7</v>
      </c>
      <c r="X1475" s="4">
        <v>519.92999999999995</v>
      </c>
      <c r="Y1475" s="7">
        <f t="shared" ca="1" si="34"/>
        <v>-487.77</v>
      </c>
    </row>
    <row r="1476" spans="1:25" ht="15" x14ac:dyDescent="0.25">
      <c r="A1476" s="4">
        <v>314</v>
      </c>
      <c r="C1476" s="12" t="s">
        <v>3485</v>
      </c>
      <c r="D1476" s="12" t="s">
        <v>3486</v>
      </c>
      <c r="E1476" s="5" t="str">
        <f t="shared" si="30"/>
        <v>https://www.screener.in/company/ABDL/consolidated/</v>
      </c>
      <c r="F1476" s="4">
        <v>443059</v>
      </c>
      <c r="G1476" s="4">
        <v>3832241897</v>
      </c>
      <c r="H1476" s="6">
        <f t="shared" ca="1" si="31"/>
        <v>192608.47774322002</v>
      </c>
      <c r="I1476" s="7" t="str">
        <f ca="1">IFERROR(__xludf.DUMMYFUNCTION("IMPORTXML(E1476,""/html/body/main/div[3]/div[3]/div[2]/ul/li[5]/span[2]/span"")"),"Loading...")</f>
        <v>Loading...</v>
      </c>
      <c r="J1476" s="7">
        <f ca="1">IFERROR(__xludf.DUMMYFUNCTION("GOOGLEFINANCE(""NSE:""&amp;D1476,""marketcap"")"),140071273573)</f>
        <v>140071273573</v>
      </c>
      <c r="K1476" s="7">
        <v>992.8</v>
      </c>
      <c r="L1476" s="8">
        <f ca="1">IFERROR(__xludf.DUMMYFUNCTION("GOOGLEFINANCE(""NSE:""&amp;D1476,""price"")"),502.6)</f>
        <v>502.6</v>
      </c>
      <c r="M1476" s="9">
        <f t="shared" ca="1" si="32"/>
        <v>-490.19999999999993</v>
      </c>
      <c r="N1476" s="10">
        <f t="shared" ca="1" si="33"/>
        <v>-49.375503626107978</v>
      </c>
      <c r="O1476" s="7">
        <f ca="1">IFERROR(__xludf.DUMMYFUNCTION("GOOGLEFINANCE(""NSE:""&amp;D1476,""pe"")"),58.54)</f>
        <v>58.54</v>
      </c>
      <c r="P1476" s="7">
        <f ca="1">IFERROR(__xludf.DUMMYFUNCTION("GOOGLEFINANCE(""NSE:""&amp;D1476,""EPS"")"),8.59)</f>
        <v>8.59</v>
      </c>
      <c r="Q1476" s="7">
        <v>13.5</v>
      </c>
      <c r="R1476" s="7" t="str">
        <f ca="1">IFERROR(__xludf.DUMMYFUNCTION("IMPORTXML(E1476,""/html/body/main/div[3]/div[3]/div[2]/ul/li[7]/span[2]/span"")"),"Loading...")</f>
        <v>Loading...</v>
      </c>
      <c r="S1476" s="7" t="str">
        <f ca="1">IFERROR(__xludf.DUMMYFUNCTION("IMPORTXML(E1476,""/html/body/main/div[3]/div[3]/div[2]/ul/li[8]/span[2]/span"")"),"Loading...")</f>
        <v>Loading...</v>
      </c>
      <c r="T1476" s="4">
        <v>34.6</v>
      </c>
      <c r="U1476" s="4">
        <v>22.7</v>
      </c>
      <c r="V1476" s="4">
        <v>2.6</v>
      </c>
      <c r="W1476" s="4">
        <v>5.7</v>
      </c>
      <c r="X1476" s="4">
        <v>519.92999999999995</v>
      </c>
      <c r="Y1476" s="7">
        <f t="shared" ca="1" si="34"/>
        <v>-17.329999999999927</v>
      </c>
    </row>
    <row r="1477" spans="1:25" ht="15" x14ac:dyDescent="0.25">
      <c r="A1477" s="4">
        <v>317</v>
      </c>
      <c r="C1477" s="12" t="s">
        <v>3487</v>
      </c>
      <c r="D1477" s="12" t="s">
        <v>3488</v>
      </c>
      <c r="E1477" s="5" t="str">
        <f t="shared" si="30"/>
        <v>https://www.screener.in/company/KIRLPNU/consolidated/</v>
      </c>
      <c r="F1477" s="4">
        <v>443059</v>
      </c>
      <c r="G1477" s="4">
        <v>3832241897</v>
      </c>
      <c r="H1477" s="6" t="e">
        <f t="shared" ca="1" si="31"/>
        <v>#VALUE!</v>
      </c>
      <c r="I1477" s="7" t="str">
        <f ca="1">IFERROR(__xludf.DUMMYFUNCTION("IMPORTXML(E1477,""/html/body/main/div[3]/div[3]/div[2]/ul/li[5]/span[2]/span"")"),"Loading...")</f>
        <v>Loading...</v>
      </c>
      <c r="J1477" s="7" t="str">
        <f ca="1">IFERROR(__xludf.DUMMYFUNCTION("GOOGLEFINANCE(""NSE:""&amp;D1477,""marketcap"")"),"#N/A")</f>
        <v>#N/A</v>
      </c>
      <c r="K1477" s="7">
        <v>992.8</v>
      </c>
      <c r="L1477" s="8" t="str">
        <f ca="1">IFERROR(__xludf.DUMMYFUNCTION("GOOGLEFINANCE(""NSE:""&amp;D1477,""price"")"),"#N/A")</f>
        <v>#N/A</v>
      </c>
      <c r="M1477" s="9" t="e">
        <f t="shared" ca="1" si="32"/>
        <v>#VALUE!</v>
      </c>
      <c r="N1477" s="10" t="e">
        <f t="shared" ca="1" si="33"/>
        <v>#VALUE!</v>
      </c>
      <c r="O1477" s="7" t="str">
        <f ca="1">IFERROR(__xludf.DUMMYFUNCTION("GOOGLEFINANCE(""NSE:""&amp;D1477,""pe"")"),"#N/A")</f>
        <v>#N/A</v>
      </c>
      <c r="P1477" s="7" t="str">
        <f ca="1">IFERROR(__xludf.DUMMYFUNCTION("GOOGLEFINANCE(""NSE:""&amp;D1477,""EPS"")"),"#N/A")</f>
        <v>#N/A</v>
      </c>
      <c r="Q1477" s="7">
        <v>13.5</v>
      </c>
      <c r="R1477" s="7" t="str">
        <f ca="1">IFERROR(__xludf.DUMMYFUNCTION("IMPORTXML(E1477,""/html/body/main/div[3]/div[3]/div[2]/ul/li[7]/span[2]/span"")"),"Loading...")</f>
        <v>Loading...</v>
      </c>
      <c r="S1477" s="7" t="str">
        <f ca="1">IFERROR(__xludf.DUMMYFUNCTION("IMPORTXML(E1477,""/html/body/main/div[3]/div[3]/div[2]/ul/li[8]/span[2]/span"")"),"Loading...")</f>
        <v>Loading...</v>
      </c>
      <c r="T1477" s="4">
        <v>34.6</v>
      </c>
      <c r="U1477" s="4">
        <v>22.7</v>
      </c>
      <c r="V1477" s="4">
        <v>2.6</v>
      </c>
      <c r="W1477" s="4">
        <v>5.7</v>
      </c>
      <c r="X1477" s="4">
        <v>519.92999999999995</v>
      </c>
      <c r="Y1477" s="7" t="e">
        <f t="shared" ca="1" si="34"/>
        <v>#VALUE!</v>
      </c>
    </row>
    <row r="1478" spans="1:25" ht="15" x14ac:dyDescent="0.25">
      <c r="A1478" s="4">
        <v>322</v>
      </c>
      <c r="C1478" s="12" t="s">
        <v>3489</v>
      </c>
      <c r="D1478" s="12" t="s">
        <v>3490</v>
      </c>
      <c r="E1478" s="5" t="str">
        <f t="shared" si="30"/>
        <v>https://www.screener.in/company/PRSMJOHNSN/consolidated/</v>
      </c>
      <c r="F1478" s="4">
        <v>443059</v>
      </c>
      <c r="G1478" s="4">
        <v>3832241897</v>
      </c>
      <c r="H1478" s="6">
        <f t="shared" ca="1" si="31"/>
        <v>55950.731696199997</v>
      </c>
      <c r="I1478" s="7" t="str">
        <f ca="1">IFERROR(__xludf.DUMMYFUNCTION("IMPORTXML(E1478,""/html/body/main/div[3]/div[3]/div[2]/ul/li[5]/span[2]/span"")"),"Loading...")</f>
        <v>Loading...</v>
      </c>
      <c r="J1478" s="7">
        <f ca="1">IFERROR(__xludf.DUMMYFUNCTION("GOOGLEFINANCE(""NSE:""&amp;D1478,""marketcap"")"),73555684278)</f>
        <v>73555684278</v>
      </c>
      <c r="K1478" s="7">
        <v>992.8</v>
      </c>
      <c r="L1478" s="8">
        <f ca="1">IFERROR(__xludf.DUMMYFUNCTION("GOOGLEFINANCE(""NSE:""&amp;D1478,""price"")"),146)</f>
        <v>146</v>
      </c>
      <c r="M1478" s="9">
        <f t="shared" ca="1" si="32"/>
        <v>-846.8</v>
      </c>
      <c r="N1478" s="10">
        <f t="shared" ca="1" si="33"/>
        <v>-85.294117647058826</v>
      </c>
      <c r="O1478" s="7">
        <f ca="1">IFERROR(__xludf.DUMMYFUNCTION("GOOGLEFINANCE(""NSE:""&amp;D1478,""pe"")"),52.05)</f>
        <v>52.05</v>
      </c>
      <c r="P1478" s="7">
        <f ca="1">IFERROR(__xludf.DUMMYFUNCTION("GOOGLEFINANCE(""NSE:""&amp;D1478,""EPS"")"),2.81)</f>
        <v>2.81</v>
      </c>
      <c r="Q1478" s="7">
        <v>13.5</v>
      </c>
      <c r="R1478" s="7" t="str">
        <f ca="1">IFERROR(__xludf.DUMMYFUNCTION("IMPORTXML(E1478,""/html/body/main/div[3]/div[3]/div[2]/ul/li[7]/span[2]/span"")"),"Loading...")</f>
        <v>Loading...</v>
      </c>
      <c r="S1478" s="7" t="str">
        <f ca="1">IFERROR(__xludf.DUMMYFUNCTION("IMPORTXML(E1478,""/html/body/main/div[3]/div[3]/div[2]/ul/li[8]/span[2]/span"")"),"Loading...")</f>
        <v>Loading...</v>
      </c>
      <c r="T1478" s="4">
        <v>34.6</v>
      </c>
      <c r="U1478" s="4">
        <v>22.7</v>
      </c>
      <c r="V1478" s="4">
        <v>2.6</v>
      </c>
      <c r="W1478" s="4">
        <v>5.7</v>
      </c>
      <c r="X1478" s="4">
        <v>519.92999999999995</v>
      </c>
      <c r="Y1478" s="7">
        <f t="shared" ca="1" si="34"/>
        <v>-373.92999999999995</v>
      </c>
    </row>
    <row r="1479" spans="1:25" ht="15" x14ac:dyDescent="0.25">
      <c r="A1479" s="4">
        <v>328</v>
      </c>
      <c r="C1479" s="41" t="s">
        <v>3491</v>
      </c>
      <c r="D1479" s="42"/>
      <c r="E1479" s="5" t="str">
        <f t="shared" si="30"/>
        <v>https://www.screener.in/company//consolidated/</v>
      </c>
      <c r="F1479" s="4">
        <v>443059</v>
      </c>
      <c r="G1479" s="4">
        <v>3832241897</v>
      </c>
      <c r="H1479" s="6" t="e">
        <f t="shared" ca="1" si="31"/>
        <v>#VALUE!</v>
      </c>
      <c r="I1479" s="7" t="str">
        <f ca="1">IFERROR(__xludf.DUMMYFUNCTION("IMPORTXML(E1479,""/html/body/main/div[3]/div[3]/div[2]/ul/li[5]/span[2]/span"")"),"Loading...")</f>
        <v>Loading...</v>
      </c>
      <c r="J1479" s="7" t="str">
        <f ca="1">IFERROR(__xludf.DUMMYFUNCTION("GOOGLEFINANCE(""NSE:""&amp;D1479,""marketcap"")"),"#N/A")</f>
        <v>#N/A</v>
      </c>
      <c r="K1479" s="7">
        <v>992.8</v>
      </c>
      <c r="L1479" s="8" t="str">
        <f ca="1">IFERROR(__xludf.DUMMYFUNCTION("GOOGLEFINANCE(""NSE:""&amp;D1479,""price"")"),"#N/A")</f>
        <v>#N/A</v>
      </c>
      <c r="M1479" s="9" t="e">
        <f t="shared" ca="1" si="32"/>
        <v>#VALUE!</v>
      </c>
      <c r="N1479" s="10" t="e">
        <f t="shared" ca="1" si="33"/>
        <v>#VALUE!</v>
      </c>
      <c r="O1479" s="7" t="str">
        <f ca="1">IFERROR(__xludf.DUMMYFUNCTION("GOOGLEFINANCE(""NSE:""&amp;D1479,""pe"")"),"#N/A")</f>
        <v>#N/A</v>
      </c>
      <c r="P1479" s="7" t="str">
        <f ca="1">IFERROR(__xludf.DUMMYFUNCTION("GOOGLEFINANCE(""NSE:""&amp;D1479,""EPS"")"),"#N/A")</f>
        <v>#N/A</v>
      </c>
      <c r="Q1479" s="7">
        <v>13.5</v>
      </c>
      <c r="R1479" s="7" t="str">
        <f ca="1">IFERROR(__xludf.DUMMYFUNCTION("IMPORTXML(E1479,""/html/body/main/div[3]/div[3]/div[2]/ul/li[7]/span[2]/span"")"),"Loading...")</f>
        <v>Loading...</v>
      </c>
      <c r="S1479" s="7" t="str">
        <f ca="1">IFERROR(__xludf.DUMMYFUNCTION("IMPORTXML(E1479,""/html/body/main/div[3]/div[3]/div[2]/ul/li[8]/span[2]/span"")"),"Loading...")</f>
        <v>Loading...</v>
      </c>
      <c r="T1479" s="4">
        <v>34.6</v>
      </c>
      <c r="U1479" s="4">
        <v>22.7</v>
      </c>
      <c r="V1479" s="4">
        <v>2.6</v>
      </c>
      <c r="W1479" s="4">
        <v>5.7</v>
      </c>
      <c r="X1479" s="4">
        <v>519.92999999999995</v>
      </c>
      <c r="Y1479" s="7" t="e">
        <f t="shared" ca="1" si="34"/>
        <v>#VALUE!</v>
      </c>
    </row>
    <row r="1480" spans="1:25" ht="15" x14ac:dyDescent="0.25">
      <c r="A1480" s="4">
        <v>331</v>
      </c>
      <c r="C1480" s="12" t="s">
        <v>3492</v>
      </c>
      <c r="D1480" s="12" t="s">
        <v>3493</v>
      </c>
      <c r="E1480" s="5" t="str">
        <f t="shared" si="30"/>
        <v>https://www.screener.in/company/LLOYDSENGG/consolidated/</v>
      </c>
      <c r="F1480" s="4">
        <v>443059</v>
      </c>
      <c r="G1480" s="4">
        <v>3832241897</v>
      </c>
      <c r="H1480" s="6">
        <f t="shared" ca="1" si="31"/>
        <v>24273.420175597999</v>
      </c>
      <c r="I1480" s="7" t="str">
        <f ca="1">IFERROR(__xludf.DUMMYFUNCTION("IMPORTXML(E1480,""/html/body/main/div[3]/div[3]/div[2]/ul/li[5]/span[2]/span"")"),"Loading...")</f>
        <v>Loading...</v>
      </c>
      <c r="J1480" s="7">
        <f ca="1">IFERROR(__xludf.DUMMYFUNCTION("GOOGLEFINANCE(""NSE:""&amp;D1480,""marketcap"")"),85685067245)</f>
        <v>85685067245</v>
      </c>
      <c r="K1480" s="7">
        <v>992.8</v>
      </c>
      <c r="L1480" s="8">
        <f ca="1">IFERROR(__xludf.DUMMYFUNCTION("GOOGLEFINANCE(""NSE:""&amp;D1480,""price"")"),63.34)</f>
        <v>63.34</v>
      </c>
      <c r="M1480" s="9">
        <f t="shared" ca="1" si="32"/>
        <v>-929.45999999999992</v>
      </c>
      <c r="N1480" s="10">
        <f t="shared" ca="1" si="33"/>
        <v>-93.620064464141819</v>
      </c>
      <c r="O1480" s="7" t="str">
        <f ca="1">IFERROR(__xludf.DUMMYFUNCTION("GOOGLEFINANCE(""NSE:""&amp;D1480,""pe"")"),"#N/A")</f>
        <v>#N/A</v>
      </c>
      <c r="P1480" s="7" t="str">
        <f ca="1">IFERROR(__xludf.DUMMYFUNCTION("GOOGLEFINANCE(""NSE:""&amp;D1480,""EPS"")"),"#N/A")</f>
        <v>#N/A</v>
      </c>
      <c r="Q1480" s="7">
        <v>13.5</v>
      </c>
      <c r="R1480" s="7" t="str">
        <f ca="1">IFERROR(__xludf.DUMMYFUNCTION("IMPORTXML(E1480,""/html/body/main/div[3]/div[3]/div[2]/ul/li[7]/span[2]/span"")"),"Loading...")</f>
        <v>Loading...</v>
      </c>
      <c r="S1480" s="7" t="str">
        <f ca="1">IFERROR(__xludf.DUMMYFUNCTION("IMPORTXML(E1480,""/html/body/main/div[3]/div[3]/div[2]/ul/li[8]/span[2]/span"")"),"Loading...")</f>
        <v>Loading...</v>
      </c>
      <c r="T1480" s="4">
        <v>34.6</v>
      </c>
      <c r="U1480" s="4">
        <v>22.7</v>
      </c>
      <c r="V1480" s="4">
        <v>2.6</v>
      </c>
      <c r="W1480" s="4">
        <v>5.7</v>
      </c>
      <c r="X1480" s="4">
        <v>519.92999999999995</v>
      </c>
      <c r="Y1480" s="7">
        <f t="shared" ca="1" si="34"/>
        <v>-456.58999999999992</v>
      </c>
    </row>
    <row r="1481" spans="1:25" ht="15" x14ac:dyDescent="0.25">
      <c r="A1481" s="4">
        <v>349</v>
      </c>
      <c r="C1481" s="41" t="s">
        <v>3494</v>
      </c>
      <c r="D1481" s="42"/>
      <c r="E1481" s="5" t="str">
        <f t="shared" si="30"/>
        <v>https://www.screener.in/company//consolidated/</v>
      </c>
      <c r="F1481" s="4">
        <v>443059</v>
      </c>
      <c r="G1481" s="4">
        <v>3832241897</v>
      </c>
      <c r="H1481" s="6" t="e">
        <f t="shared" ca="1" si="31"/>
        <v>#VALUE!</v>
      </c>
      <c r="I1481" s="7" t="str">
        <f ca="1">IFERROR(__xludf.DUMMYFUNCTION("IMPORTXML(E1481,""/html/body/main/div[3]/div[3]/div[2]/ul/li[5]/span[2]/span"")"),"Loading...")</f>
        <v>Loading...</v>
      </c>
      <c r="J1481" s="7" t="str">
        <f ca="1">IFERROR(__xludf.DUMMYFUNCTION("GOOGLEFINANCE(""NSE:""&amp;D1481,""marketcap"")"),"#N/A")</f>
        <v>#N/A</v>
      </c>
      <c r="K1481" s="7">
        <v>992.8</v>
      </c>
      <c r="L1481" s="8" t="str">
        <f ca="1">IFERROR(__xludf.DUMMYFUNCTION("GOOGLEFINANCE(""NSE:""&amp;D1481,""price"")"),"#N/A")</f>
        <v>#N/A</v>
      </c>
      <c r="M1481" s="9" t="e">
        <f t="shared" ca="1" si="32"/>
        <v>#VALUE!</v>
      </c>
      <c r="N1481" s="10" t="e">
        <f t="shared" ca="1" si="33"/>
        <v>#VALUE!</v>
      </c>
      <c r="O1481" s="7" t="str">
        <f ca="1">IFERROR(__xludf.DUMMYFUNCTION("GOOGLEFINANCE(""NSE:""&amp;D1481,""pe"")"),"#N/A")</f>
        <v>#N/A</v>
      </c>
      <c r="P1481" s="7" t="str">
        <f ca="1">IFERROR(__xludf.DUMMYFUNCTION("GOOGLEFINANCE(""NSE:""&amp;D1481,""EPS"")"),"#N/A")</f>
        <v>#N/A</v>
      </c>
      <c r="Q1481" s="7">
        <v>13.5</v>
      </c>
      <c r="R1481" s="7" t="str">
        <f ca="1">IFERROR(__xludf.DUMMYFUNCTION("IMPORTXML(E1481,""/html/body/main/div[3]/div[3]/div[2]/ul/li[7]/span[2]/span"")"),"Loading...")</f>
        <v>Loading...</v>
      </c>
      <c r="S1481" s="7" t="str">
        <f ca="1">IFERROR(__xludf.DUMMYFUNCTION("IMPORTXML(E1481,""/html/body/main/div[3]/div[3]/div[2]/ul/li[8]/span[2]/span"")"),"Loading...")</f>
        <v>Loading...</v>
      </c>
      <c r="T1481" s="4">
        <v>34.6</v>
      </c>
      <c r="U1481" s="4">
        <v>22.7</v>
      </c>
      <c r="V1481" s="4">
        <v>2.6</v>
      </c>
      <c r="W1481" s="4">
        <v>5.7</v>
      </c>
      <c r="X1481" s="4">
        <v>519.92999999999995</v>
      </c>
      <c r="Y1481" s="7" t="e">
        <f t="shared" ca="1" si="34"/>
        <v>#VALUE!</v>
      </c>
    </row>
    <row r="1482" spans="1:25" ht="15" x14ac:dyDescent="0.25">
      <c r="A1482" s="4">
        <v>360</v>
      </c>
      <c r="C1482" s="12" t="s">
        <v>3495</v>
      </c>
      <c r="D1482" s="12" t="s">
        <v>3496</v>
      </c>
      <c r="E1482" s="5" t="str">
        <f t="shared" si="30"/>
        <v>https://www.screener.in/company/TVSSCS/consolidated/</v>
      </c>
      <c r="F1482" s="4">
        <v>443059</v>
      </c>
      <c r="G1482" s="4">
        <v>3832241897</v>
      </c>
      <c r="H1482" s="6">
        <f t="shared" ca="1" si="31"/>
        <v>50390.148703653002</v>
      </c>
      <c r="I1482" s="7" t="str">
        <f ca="1">IFERROR(__xludf.DUMMYFUNCTION("IMPORTXML(E1482,""/html/body/main/div[3]/div[3]/div[2]/ul/li[5]/span[2]/span"")"),"Loading...")</f>
        <v>Loading...</v>
      </c>
      <c r="J1482" s="7">
        <f ca="1">IFERROR(__xludf.DUMMYFUNCTION("GOOGLEFINANCE(""NSE:""&amp;D1482,""marketcap"")"),57996990984)</f>
        <v>57996990984</v>
      </c>
      <c r="K1482" s="7">
        <v>992.8</v>
      </c>
      <c r="L1482" s="8">
        <f ca="1">IFERROR(__xludf.DUMMYFUNCTION("GOOGLEFINANCE(""NSE:""&amp;D1482,""price"")"),131.49)</f>
        <v>131.49</v>
      </c>
      <c r="M1482" s="9">
        <f t="shared" ca="1" si="32"/>
        <v>-861.31</v>
      </c>
      <c r="N1482" s="10">
        <f t="shared" ca="1" si="33"/>
        <v>-86.755640612409351</v>
      </c>
      <c r="O1482" s="7">
        <f ca="1">IFERROR(__xludf.DUMMYFUNCTION("GOOGLEFINANCE(""NSE:""&amp;D1482,""pe"")"),116.27)</f>
        <v>116.27</v>
      </c>
      <c r="P1482" s="7">
        <f ca="1">IFERROR(__xludf.DUMMYFUNCTION("GOOGLEFINANCE(""NSE:""&amp;D1482,""EPS"")"),1.13)</f>
        <v>1.1299999999999999</v>
      </c>
      <c r="Q1482" s="7">
        <v>13.5</v>
      </c>
      <c r="R1482" s="7" t="str">
        <f ca="1">IFERROR(__xludf.DUMMYFUNCTION("IMPORTXML(E1482,""/html/body/main/div[3]/div[3]/div[2]/ul/li[7]/span[2]/span"")"),"Loading...")</f>
        <v>Loading...</v>
      </c>
      <c r="S1482" s="7" t="str">
        <f ca="1">IFERROR(__xludf.DUMMYFUNCTION("IMPORTXML(E1482,""/html/body/main/div[3]/div[3]/div[2]/ul/li[8]/span[2]/span"")"),"Loading...")</f>
        <v>Loading...</v>
      </c>
      <c r="T1482" s="4">
        <v>34.6</v>
      </c>
      <c r="U1482" s="4">
        <v>22.7</v>
      </c>
      <c r="V1482" s="4">
        <v>2.6</v>
      </c>
      <c r="W1482" s="4">
        <v>5.7</v>
      </c>
      <c r="X1482" s="4">
        <v>519.92999999999995</v>
      </c>
      <c r="Y1482" s="7">
        <f t="shared" ca="1" si="34"/>
        <v>-388.43999999999994</v>
      </c>
    </row>
    <row r="1483" spans="1:25" ht="15" x14ac:dyDescent="0.25">
      <c r="A1483" s="4">
        <v>366</v>
      </c>
      <c r="C1483" s="12" t="s">
        <v>3497</v>
      </c>
      <c r="D1483" s="12" t="s">
        <v>3498</v>
      </c>
      <c r="E1483" s="5" t="str">
        <f t="shared" si="30"/>
        <v>https://www.screener.in/company/EMBDL/consolidated/</v>
      </c>
      <c r="F1483" s="4">
        <v>443059</v>
      </c>
      <c r="G1483" s="4">
        <v>3832241897</v>
      </c>
      <c r="H1483" s="6">
        <f t="shared" ca="1" si="31"/>
        <v>37268.552448324997</v>
      </c>
      <c r="I1483" s="7" t="str">
        <f ca="1">IFERROR(__xludf.DUMMYFUNCTION("IMPORTXML(E1483,""/html/body/main/div[3]/div[3]/div[2]/ul/li[5]/span[2]/span"")"),"Loading...")</f>
        <v>Loading...</v>
      </c>
      <c r="J1483" s="7">
        <f ca="1">IFERROR(__xludf.DUMMYFUNCTION("GOOGLEFINANCE(""NSE:""&amp;D1483,""marketcap"")"),133293670250)</f>
        <v>133293670250</v>
      </c>
      <c r="K1483" s="7">
        <v>992.8</v>
      </c>
      <c r="L1483" s="8">
        <f ca="1">IFERROR(__xludf.DUMMYFUNCTION("GOOGLEFINANCE(""NSE:""&amp;D1483,""price"")"),97.25)</f>
        <v>97.25</v>
      </c>
      <c r="M1483" s="9">
        <f t="shared" ca="1" si="32"/>
        <v>-895.55</v>
      </c>
      <c r="N1483" s="10">
        <f t="shared" ca="1" si="33"/>
        <v>-90.204472199838833</v>
      </c>
      <c r="O1483" s="7">
        <f ca="1">IFERROR(__xludf.DUMMYFUNCTION("GOOGLEFINANCE(""NSE:""&amp;D1483,""pe"")"),315.06)</f>
        <v>315.06</v>
      </c>
      <c r="P1483" s="7">
        <f ca="1">IFERROR(__xludf.DUMMYFUNCTION("GOOGLEFINANCE(""NSE:""&amp;D1483,""EPS"")"),0.31)</f>
        <v>0.31</v>
      </c>
      <c r="Q1483" s="7">
        <v>13.5</v>
      </c>
      <c r="R1483" s="7" t="str">
        <f ca="1">IFERROR(__xludf.DUMMYFUNCTION("IMPORTXML(E1483,""/html/body/main/div[3]/div[3]/div[2]/ul/li[7]/span[2]/span"")"),"Loading...")</f>
        <v>Loading...</v>
      </c>
      <c r="S1483" s="7" t="str">
        <f ca="1">IFERROR(__xludf.DUMMYFUNCTION("IMPORTXML(E1483,""/html/body/main/div[3]/div[3]/div[2]/ul/li[8]/span[2]/span"")"),"Loading...")</f>
        <v>Loading...</v>
      </c>
      <c r="T1483" s="4">
        <v>34.6</v>
      </c>
      <c r="U1483" s="4">
        <v>22.7</v>
      </c>
      <c r="V1483" s="4">
        <v>2.6</v>
      </c>
      <c r="W1483" s="4">
        <v>5.7</v>
      </c>
      <c r="X1483" s="4">
        <v>519.92999999999995</v>
      </c>
      <c r="Y1483" s="7">
        <f t="shared" ca="1" si="34"/>
        <v>-422.67999999999995</v>
      </c>
    </row>
    <row r="1484" spans="1:25" ht="15" x14ac:dyDescent="0.25">
      <c r="A1484" s="4">
        <v>377</v>
      </c>
      <c r="C1484" s="12" t="s">
        <v>3499</v>
      </c>
      <c r="D1484" s="12" t="s">
        <v>3500</v>
      </c>
      <c r="E1484" s="5" t="str">
        <f t="shared" si="30"/>
        <v>https://www.screener.in/company/CHEMPLASTS/consolidated/</v>
      </c>
      <c r="F1484" s="4">
        <v>443059</v>
      </c>
      <c r="G1484" s="4">
        <v>3832241897</v>
      </c>
      <c r="H1484" s="6">
        <f t="shared" ca="1" si="31"/>
        <v>157888.36615640001</v>
      </c>
      <c r="I1484" s="7" t="str">
        <f ca="1">IFERROR(__xludf.DUMMYFUNCTION("IMPORTXML(E1484,""/html/body/main/div[3]/div[3]/div[2]/ul/li[5]/span[2]/span"")"),"Loading...")</f>
        <v>Loading...</v>
      </c>
      <c r="J1484" s="7">
        <f ca="1">IFERROR(__xludf.DUMMYFUNCTION("GOOGLEFINANCE(""NSE:""&amp;D1484,""marketcap"")"),65061036139)</f>
        <v>65061036139</v>
      </c>
      <c r="K1484" s="7">
        <v>992.8</v>
      </c>
      <c r="L1484" s="8">
        <f ca="1">IFERROR(__xludf.DUMMYFUNCTION("GOOGLEFINANCE(""NSE:""&amp;D1484,""price"")"),412)</f>
        <v>412</v>
      </c>
      <c r="M1484" s="9">
        <f t="shared" ca="1" si="32"/>
        <v>-580.79999999999995</v>
      </c>
      <c r="N1484" s="10">
        <f t="shared" ca="1" si="33"/>
        <v>-58.501208702659149</v>
      </c>
      <c r="O1484" s="7" t="str">
        <f ca="1">IFERROR(__xludf.DUMMYFUNCTION("GOOGLEFINANCE(""NSE:""&amp;D1484,""pe"")"),"#N/A")</f>
        <v>#N/A</v>
      </c>
      <c r="P1484" s="7">
        <f ca="1">IFERROR(__xludf.DUMMYFUNCTION("GOOGLEFINANCE(""NSE:""&amp;D1484,""EPS"")"),-12.53)</f>
        <v>-12.53</v>
      </c>
      <c r="Q1484" s="7">
        <v>13.5</v>
      </c>
      <c r="R1484" s="7" t="str">
        <f ca="1">IFERROR(__xludf.DUMMYFUNCTION("IMPORTXML(E1484,""/html/body/main/div[3]/div[3]/div[2]/ul/li[7]/span[2]/span"")"),"Loading...")</f>
        <v>Loading...</v>
      </c>
      <c r="S1484" s="7" t="str">
        <f ca="1">IFERROR(__xludf.DUMMYFUNCTION("IMPORTXML(E1484,""/html/body/main/div[3]/div[3]/div[2]/ul/li[8]/span[2]/span"")"),"Loading...")</f>
        <v>Loading...</v>
      </c>
      <c r="T1484" s="4">
        <v>34.6</v>
      </c>
      <c r="U1484" s="4">
        <v>22.7</v>
      </c>
      <c r="V1484" s="4">
        <v>2.6</v>
      </c>
      <c r="W1484" s="4">
        <v>5.7</v>
      </c>
      <c r="X1484" s="4">
        <v>519.92999999999995</v>
      </c>
      <c r="Y1484" s="7">
        <f t="shared" ca="1" si="34"/>
        <v>-107.92999999999995</v>
      </c>
    </row>
    <row r="1485" spans="1:25" ht="15" x14ac:dyDescent="0.25">
      <c r="A1485" s="4">
        <v>379</v>
      </c>
      <c r="C1485" s="41" t="s">
        <v>3501</v>
      </c>
      <c r="D1485" s="42"/>
      <c r="E1485" s="5" t="str">
        <f t="shared" si="30"/>
        <v>https://www.screener.in/company//consolidated/</v>
      </c>
      <c r="F1485" s="4">
        <v>443059</v>
      </c>
      <c r="G1485" s="4">
        <v>3832241897</v>
      </c>
      <c r="H1485" s="6" t="e">
        <f t="shared" ca="1" si="31"/>
        <v>#VALUE!</v>
      </c>
      <c r="I1485" s="7" t="str">
        <f ca="1">IFERROR(__xludf.DUMMYFUNCTION("IMPORTXML(E1485,""/html/body/main/div[3]/div[3]/div[2]/ul/li[5]/span[2]/span"")"),"Loading...")</f>
        <v>Loading...</v>
      </c>
      <c r="J1485" s="7" t="str">
        <f ca="1">IFERROR(__xludf.DUMMYFUNCTION("GOOGLEFINANCE(""NSE:""&amp;D1485,""marketcap"")"),"#N/A")</f>
        <v>#N/A</v>
      </c>
      <c r="K1485" s="7">
        <v>992.8</v>
      </c>
      <c r="L1485" s="8" t="str">
        <f ca="1">IFERROR(__xludf.DUMMYFUNCTION("GOOGLEFINANCE(""NSE:""&amp;D1485,""price"")"),"#N/A")</f>
        <v>#N/A</v>
      </c>
      <c r="M1485" s="9" t="e">
        <f t="shared" ca="1" si="32"/>
        <v>#VALUE!</v>
      </c>
      <c r="N1485" s="10" t="e">
        <f t="shared" ca="1" si="33"/>
        <v>#VALUE!</v>
      </c>
      <c r="O1485" s="7" t="str">
        <f ca="1">IFERROR(__xludf.DUMMYFUNCTION("GOOGLEFINANCE(""NSE:""&amp;D1485,""pe"")"),"#N/A")</f>
        <v>#N/A</v>
      </c>
      <c r="P1485" s="7" t="str">
        <f ca="1">IFERROR(__xludf.DUMMYFUNCTION("GOOGLEFINANCE(""NSE:""&amp;D1485,""EPS"")"),"#N/A")</f>
        <v>#N/A</v>
      </c>
      <c r="Q1485" s="7">
        <v>13.5</v>
      </c>
      <c r="R1485" s="7" t="str">
        <f ca="1">IFERROR(__xludf.DUMMYFUNCTION("IMPORTXML(E1485,""/html/body/main/div[3]/div[3]/div[2]/ul/li[7]/span[2]/span"")"),"Loading...")</f>
        <v>Loading...</v>
      </c>
      <c r="S1485" s="7" t="str">
        <f ca="1">IFERROR(__xludf.DUMMYFUNCTION("IMPORTXML(E1485,""/html/body/main/div[3]/div[3]/div[2]/ul/li[8]/span[2]/span"")"),"Loading...")</f>
        <v>Loading...</v>
      </c>
      <c r="T1485" s="4">
        <v>34.6</v>
      </c>
      <c r="U1485" s="4">
        <v>22.7</v>
      </c>
      <c r="V1485" s="4">
        <v>2.6</v>
      </c>
      <c r="W1485" s="4">
        <v>5.7</v>
      </c>
      <c r="X1485" s="4">
        <v>519.92999999999995</v>
      </c>
      <c r="Y1485" s="7" t="e">
        <f t="shared" ca="1" si="34"/>
        <v>#VALUE!</v>
      </c>
    </row>
    <row r="1486" spans="1:25" ht="15" x14ac:dyDescent="0.25">
      <c r="A1486" s="4">
        <v>383</v>
      </c>
      <c r="C1486" s="41" t="s">
        <v>3502</v>
      </c>
      <c r="D1486" s="42"/>
      <c r="E1486" s="5" t="str">
        <f t="shared" si="30"/>
        <v>https://www.screener.in/company//consolidated/</v>
      </c>
      <c r="F1486" s="4">
        <v>443059</v>
      </c>
      <c r="G1486" s="4">
        <v>3832241897</v>
      </c>
      <c r="H1486" s="6" t="e">
        <f t="shared" ca="1" si="31"/>
        <v>#VALUE!</v>
      </c>
      <c r="I1486" s="7" t="str">
        <f ca="1">IFERROR(__xludf.DUMMYFUNCTION("IMPORTXML(E1486,""/html/body/main/div[3]/div[3]/div[2]/ul/li[5]/span[2]/span"")"),"Loading...")</f>
        <v>Loading...</v>
      </c>
      <c r="J1486" s="7" t="str">
        <f ca="1">IFERROR(__xludf.DUMMYFUNCTION("GOOGLEFINANCE(""NSE:""&amp;D1486,""marketcap"")"),"#N/A")</f>
        <v>#N/A</v>
      </c>
      <c r="K1486" s="7">
        <v>992.8</v>
      </c>
      <c r="L1486" s="8" t="str">
        <f ca="1">IFERROR(__xludf.DUMMYFUNCTION("GOOGLEFINANCE(""NSE:""&amp;D1486,""price"")"),"#N/A")</f>
        <v>#N/A</v>
      </c>
      <c r="M1486" s="9" t="e">
        <f t="shared" ca="1" si="32"/>
        <v>#VALUE!</v>
      </c>
      <c r="N1486" s="10" t="e">
        <f t="shared" ca="1" si="33"/>
        <v>#VALUE!</v>
      </c>
      <c r="O1486" s="7" t="str">
        <f ca="1">IFERROR(__xludf.DUMMYFUNCTION("GOOGLEFINANCE(""NSE:""&amp;D1486,""pe"")"),"#N/A")</f>
        <v>#N/A</v>
      </c>
      <c r="P1486" s="7" t="str">
        <f ca="1">IFERROR(__xludf.DUMMYFUNCTION("GOOGLEFINANCE(""NSE:""&amp;D1486,""EPS"")"),"#N/A")</f>
        <v>#N/A</v>
      </c>
      <c r="Q1486" s="7">
        <v>13.5</v>
      </c>
      <c r="R1486" s="7" t="str">
        <f ca="1">IFERROR(__xludf.DUMMYFUNCTION("IMPORTXML(E1486,""/html/body/main/div[3]/div[3]/div[2]/ul/li[7]/span[2]/span"")"),"Loading...")</f>
        <v>Loading...</v>
      </c>
      <c r="S1486" s="7" t="str">
        <f ca="1">IFERROR(__xludf.DUMMYFUNCTION("IMPORTXML(E1486,""/html/body/main/div[3]/div[3]/div[2]/ul/li[8]/span[2]/span"")"),"Loading...")</f>
        <v>Loading...</v>
      </c>
      <c r="T1486" s="4">
        <v>34.6</v>
      </c>
      <c r="U1486" s="4">
        <v>22.7</v>
      </c>
      <c r="V1486" s="4">
        <v>2.6</v>
      </c>
      <c r="W1486" s="4">
        <v>5.7</v>
      </c>
      <c r="X1486" s="4">
        <v>519.92999999999995</v>
      </c>
      <c r="Y1486" s="7" t="e">
        <f t="shared" ca="1" si="34"/>
        <v>#VALUE!</v>
      </c>
    </row>
    <row r="1487" spans="1:25" ht="15" x14ac:dyDescent="0.25">
      <c r="A1487" s="4">
        <v>391</v>
      </c>
      <c r="C1487" s="41" t="s">
        <v>3503</v>
      </c>
      <c r="D1487" s="42"/>
      <c r="E1487" s="5" t="str">
        <f t="shared" si="30"/>
        <v>https://www.screener.in/company//consolidated/</v>
      </c>
      <c r="F1487" s="4">
        <v>443059</v>
      </c>
      <c r="G1487" s="4">
        <v>3832241897</v>
      </c>
      <c r="H1487" s="6" t="e">
        <f t="shared" ca="1" si="31"/>
        <v>#VALUE!</v>
      </c>
      <c r="I1487" s="7" t="str">
        <f ca="1">IFERROR(__xludf.DUMMYFUNCTION("IMPORTXML(E1487,""/html/body/main/div[3]/div[3]/div[2]/ul/li[5]/span[2]/span"")"),"Loading...")</f>
        <v>Loading...</v>
      </c>
      <c r="J1487" s="7" t="str">
        <f ca="1">IFERROR(__xludf.DUMMYFUNCTION("GOOGLEFINANCE(""NSE:""&amp;D1487,""marketcap"")"),"#N/A")</f>
        <v>#N/A</v>
      </c>
      <c r="K1487" s="7">
        <v>992.8</v>
      </c>
      <c r="L1487" s="8" t="str">
        <f ca="1">IFERROR(__xludf.DUMMYFUNCTION("GOOGLEFINANCE(""NSE:""&amp;D1487,""price"")"),"#N/A")</f>
        <v>#N/A</v>
      </c>
      <c r="M1487" s="9" t="e">
        <f t="shared" ca="1" si="32"/>
        <v>#VALUE!</v>
      </c>
      <c r="N1487" s="10" t="e">
        <f t="shared" ca="1" si="33"/>
        <v>#VALUE!</v>
      </c>
      <c r="O1487" s="7" t="str">
        <f ca="1">IFERROR(__xludf.DUMMYFUNCTION("GOOGLEFINANCE(""NSE:""&amp;D1487,""pe"")"),"#N/A")</f>
        <v>#N/A</v>
      </c>
      <c r="P1487" s="7" t="str">
        <f ca="1">IFERROR(__xludf.DUMMYFUNCTION("GOOGLEFINANCE(""NSE:""&amp;D1487,""EPS"")"),"#N/A")</f>
        <v>#N/A</v>
      </c>
      <c r="Q1487" s="7">
        <v>13.5</v>
      </c>
      <c r="R1487" s="7" t="str">
        <f ca="1">IFERROR(__xludf.DUMMYFUNCTION("IMPORTXML(E1487,""/html/body/main/div[3]/div[3]/div[2]/ul/li[7]/span[2]/span"")"),"Loading...")</f>
        <v>Loading...</v>
      </c>
      <c r="S1487" s="7" t="str">
        <f ca="1">IFERROR(__xludf.DUMMYFUNCTION("IMPORTXML(E1487,""/html/body/main/div[3]/div[3]/div[2]/ul/li[8]/span[2]/span"")"),"Loading...")</f>
        <v>Loading...</v>
      </c>
      <c r="T1487" s="4">
        <v>34.6</v>
      </c>
      <c r="U1487" s="4">
        <v>22.7</v>
      </c>
      <c r="V1487" s="4">
        <v>2.6</v>
      </c>
      <c r="W1487" s="4">
        <v>5.7</v>
      </c>
      <c r="X1487" s="4">
        <v>519.92999999999995</v>
      </c>
      <c r="Y1487" s="7" t="e">
        <f t="shared" ca="1" si="34"/>
        <v>#VALUE!</v>
      </c>
    </row>
    <row r="1488" spans="1:25" ht="15" x14ac:dyDescent="0.25">
      <c r="A1488" s="4">
        <v>392</v>
      </c>
      <c r="C1488" s="41" t="s">
        <v>3504</v>
      </c>
      <c r="D1488" s="42"/>
      <c r="E1488" s="5" t="str">
        <f t="shared" si="30"/>
        <v>https://www.screener.in/company//consolidated/</v>
      </c>
      <c r="F1488" s="4">
        <v>443059</v>
      </c>
      <c r="G1488" s="4">
        <v>3832241897</v>
      </c>
      <c r="H1488" s="6" t="e">
        <f t="shared" ca="1" si="31"/>
        <v>#VALUE!</v>
      </c>
      <c r="I1488" s="7" t="str">
        <f ca="1">IFERROR(__xludf.DUMMYFUNCTION("IMPORTXML(E1488,""/html/body/main/div[3]/div[3]/div[2]/ul/li[5]/span[2]/span"")"),"Loading...")</f>
        <v>Loading...</v>
      </c>
      <c r="J1488" s="7" t="str">
        <f ca="1">IFERROR(__xludf.DUMMYFUNCTION("GOOGLEFINANCE(""NSE:""&amp;D1488,""marketcap"")"),"#N/A")</f>
        <v>#N/A</v>
      </c>
      <c r="K1488" s="7">
        <v>992.8</v>
      </c>
      <c r="L1488" s="8" t="str">
        <f ca="1">IFERROR(__xludf.DUMMYFUNCTION("GOOGLEFINANCE(""NSE:""&amp;D1488,""price"")"),"#N/A")</f>
        <v>#N/A</v>
      </c>
      <c r="M1488" s="9" t="e">
        <f t="shared" ca="1" si="32"/>
        <v>#VALUE!</v>
      </c>
      <c r="N1488" s="10" t="e">
        <f t="shared" ca="1" si="33"/>
        <v>#VALUE!</v>
      </c>
      <c r="O1488" s="7" t="str">
        <f ca="1">IFERROR(__xludf.DUMMYFUNCTION("GOOGLEFINANCE(""NSE:""&amp;D1488,""pe"")"),"#N/A")</f>
        <v>#N/A</v>
      </c>
      <c r="P1488" s="7" t="str">
        <f ca="1">IFERROR(__xludf.DUMMYFUNCTION("GOOGLEFINANCE(""NSE:""&amp;D1488,""EPS"")"),"#N/A")</f>
        <v>#N/A</v>
      </c>
      <c r="Q1488" s="7">
        <v>13.5</v>
      </c>
      <c r="R1488" s="7" t="str">
        <f ca="1">IFERROR(__xludf.DUMMYFUNCTION("IMPORTXML(E1488,""/html/body/main/div[3]/div[3]/div[2]/ul/li[7]/span[2]/span"")"),"Loading...")</f>
        <v>Loading...</v>
      </c>
      <c r="S1488" s="7" t="str">
        <f ca="1">IFERROR(__xludf.DUMMYFUNCTION("IMPORTXML(E1488,""/html/body/main/div[3]/div[3]/div[2]/ul/li[8]/span[2]/span"")"),"Loading...")</f>
        <v>Loading...</v>
      </c>
      <c r="T1488" s="4">
        <v>34.6</v>
      </c>
      <c r="U1488" s="4">
        <v>22.7</v>
      </c>
      <c r="V1488" s="4">
        <v>2.6</v>
      </c>
      <c r="W1488" s="4">
        <v>5.7</v>
      </c>
      <c r="X1488" s="4">
        <v>519.92999999999995</v>
      </c>
      <c r="Y1488" s="7" t="e">
        <f t="shared" ca="1" si="34"/>
        <v>#VALUE!</v>
      </c>
    </row>
    <row r="1489" spans="1:25" ht="15" x14ac:dyDescent="0.25">
      <c r="A1489" s="4">
        <v>393</v>
      </c>
      <c r="C1489" s="12" t="s">
        <v>3505</v>
      </c>
      <c r="D1489" s="12" t="s">
        <v>3506</v>
      </c>
      <c r="E1489" s="5" t="str">
        <f t="shared" si="30"/>
        <v>https://www.screener.in/company/VMART/consolidated/</v>
      </c>
      <c r="F1489" s="4">
        <v>443059</v>
      </c>
      <c r="G1489" s="4">
        <v>3832241897</v>
      </c>
      <c r="H1489" s="6">
        <f t="shared" ca="1" si="31"/>
        <v>285885.24551620003</v>
      </c>
      <c r="I1489" s="7" t="str">
        <f ca="1">IFERROR(__xludf.DUMMYFUNCTION("IMPORTXML(E1489,""/html/body/main/div[3]/div[3]/div[2]/ul/li[5]/span[2]/span"")"),"Loading...")</f>
        <v>Loading...</v>
      </c>
      <c r="J1489" s="7">
        <f ca="1">IFERROR(__xludf.DUMMYFUNCTION("GOOGLEFINANCE(""NSE:""&amp;D1489,""marketcap"")"),59250590000)</f>
        <v>59250590000</v>
      </c>
      <c r="K1489" s="7">
        <v>992.8</v>
      </c>
      <c r="L1489" s="8">
        <f ca="1">IFERROR(__xludf.DUMMYFUNCTION("GOOGLEFINANCE(""NSE:""&amp;D1489,""price"")"),746)</f>
        <v>746</v>
      </c>
      <c r="M1489" s="9">
        <f t="shared" ca="1" si="32"/>
        <v>-246.79999999999995</v>
      </c>
      <c r="N1489" s="10">
        <f t="shared" ca="1" si="33"/>
        <v>-24.858984689766313</v>
      </c>
      <c r="O1489" s="7">
        <f ca="1">IFERROR(__xludf.DUMMYFUNCTION("GOOGLEFINANCE(""NSE:""&amp;D1489,""pe"")"),127.52)</f>
        <v>127.52</v>
      </c>
      <c r="P1489" s="7">
        <f ca="1">IFERROR(__xludf.DUMMYFUNCTION("GOOGLEFINANCE(""NSE:""&amp;D1489,""EPS"")"),5.85)</f>
        <v>5.85</v>
      </c>
      <c r="Q1489" s="7">
        <v>13.5</v>
      </c>
      <c r="R1489" s="7" t="str">
        <f ca="1">IFERROR(__xludf.DUMMYFUNCTION("IMPORTXML(E1489,""/html/body/main/div[3]/div[3]/div[2]/ul/li[7]/span[2]/span"")"),"Loading...")</f>
        <v>Loading...</v>
      </c>
      <c r="S1489" s="7" t="str">
        <f ca="1">IFERROR(__xludf.DUMMYFUNCTION("IMPORTXML(E1489,""/html/body/main/div[3]/div[3]/div[2]/ul/li[8]/span[2]/span"")"),"Loading...")</f>
        <v>Loading...</v>
      </c>
      <c r="T1489" s="4">
        <v>34.6</v>
      </c>
      <c r="U1489" s="4">
        <v>22.7</v>
      </c>
      <c r="V1489" s="4">
        <v>2.6</v>
      </c>
      <c r="W1489" s="4">
        <v>5.7</v>
      </c>
      <c r="X1489" s="4">
        <v>519.92999999999995</v>
      </c>
      <c r="Y1489" s="7">
        <f t="shared" ca="1" si="34"/>
        <v>226.07000000000005</v>
      </c>
    </row>
    <row r="1490" spans="1:25" ht="15" x14ac:dyDescent="0.25">
      <c r="A1490" s="4">
        <v>403</v>
      </c>
      <c r="C1490" s="12" t="s">
        <v>3507</v>
      </c>
      <c r="D1490" s="12" t="s">
        <v>3508</v>
      </c>
      <c r="E1490" s="5" t="str">
        <f t="shared" si="30"/>
        <v>https://www.screener.in/company/TRANSRAILL/consolidated/</v>
      </c>
      <c r="F1490" s="4">
        <v>443059</v>
      </c>
      <c r="G1490" s="4">
        <v>3832241897</v>
      </c>
      <c r="H1490" s="6">
        <f t="shared" ca="1" si="31"/>
        <v>292783.28093080001</v>
      </c>
      <c r="I1490" s="7" t="str">
        <f ca="1">IFERROR(__xludf.DUMMYFUNCTION("IMPORTXML(E1490,""/html/body/main/div[3]/div[3]/div[2]/ul/li[5]/span[2]/span"")"),"Loading...")</f>
        <v>Loading...</v>
      </c>
      <c r="J1490" s="7">
        <f ca="1">IFERROR(__xludf.DUMMYFUNCTION("GOOGLEFINANCE(""NSE:""&amp;D1490,""marketcap"")"),102444039161)</f>
        <v>102444039161</v>
      </c>
      <c r="K1490" s="7">
        <v>992.8</v>
      </c>
      <c r="L1490" s="8">
        <f ca="1">IFERROR(__xludf.DUMMYFUNCTION("GOOGLEFINANCE(""NSE:""&amp;D1490,""price"")"),764)</f>
        <v>764</v>
      </c>
      <c r="M1490" s="9">
        <f t="shared" ca="1" si="32"/>
        <v>-228.79999999999995</v>
      </c>
      <c r="N1490" s="10">
        <f t="shared" ca="1" si="33"/>
        <v>-23.045930701047538</v>
      </c>
      <c r="O1490" s="7">
        <f ca="1">IFERROR(__xludf.DUMMYFUNCTION("GOOGLEFINANCE(""NSE:""&amp;D1490,""pe"")"),25.83)</f>
        <v>25.83</v>
      </c>
      <c r="P1490" s="7">
        <f ca="1">IFERROR(__xludf.DUMMYFUNCTION("GOOGLEFINANCE(""NSE:""&amp;D1490,""EPS"")"),29.58)</f>
        <v>29.58</v>
      </c>
      <c r="Q1490" s="7">
        <v>13.5</v>
      </c>
      <c r="R1490" s="7" t="str">
        <f ca="1">IFERROR(__xludf.DUMMYFUNCTION("IMPORTXML(E1490,""/html/body/main/div[3]/div[3]/div[2]/ul/li[7]/span[2]/span"")"),"Loading...")</f>
        <v>Loading...</v>
      </c>
      <c r="S1490" s="7" t="str">
        <f ca="1">IFERROR(__xludf.DUMMYFUNCTION("IMPORTXML(E1490,""/html/body/main/div[3]/div[3]/div[2]/ul/li[8]/span[2]/span"")"),"Loading...")</f>
        <v>Loading...</v>
      </c>
      <c r="T1490" s="4">
        <v>34.6</v>
      </c>
      <c r="U1490" s="4">
        <v>22.7</v>
      </c>
      <c r="V1490" s="4">
        <v>2.6</v>
      </c>
      <c r="W1490" s="4">
        <v>5.7</v>
      </c>
      <c r="X1490" s="4">
        <v>519.92999999999995</v>
      </c>
      <c r="Y1490" s="7">
        <f t="shared" ca="1" si="34"/>
        <v>244.07000000000005</v>
      </c>
    </row>
    <row r="1491" spans="1:25" ht="15" x14ac:dyDescent="0.25">
      <c r="A1491" s="4">
        <v>408</v>
      </c>
      <c r="C1491" s="41" t="s">
        <v>3509</v>
      </c>
      <c r="D1491" s="42"/>
      <c r="E1491" s="5" t="str">
        <f t="shared" si="30"/>
        <v>https://www.screener.in/company//consolidated/</v>
      </c>
      <c r="F1491" s="4">
        <v>443059</v>
      </c>
      <c r="G1491" s="4">
        <v>3832241897</v>
      </c>
      <c r="H1491" s="6" t="e">
        <f t="shared" ca="1" si="31"/>
        <v>#VALUE!</v>
      </c>
      <c r="I1491" s="7" t="str">
        <f ca="1">IFERROR(__xludf.DUMMYFUNCTION("IMPORTXML(E1491,""/html/body/main/div[3]/div[3]/div[2]/ul/li[5]/span[2]/span"")"),"Loading...")</f>
        <v>Loading...</v>
      </c>
      <c r="J1491" s="7" t="str">
        <f ca="1">IFERROR(__xludf.DUMMYFUNCTION("GOOGLEFINANCE(""NSE:""&amp;D1491,""marketcap"")"),"#N/A")</f>
        <v>#N/A</v>
      </c>
      <c r="K1491" s="7">
        <v>992.8</v>
      </c>
      <c r="L1491" s="8" t="str">
        <f ca="1">IFERROR(__xludf.DUMMYFUNCTION("GOOGLEFINANCE(""NSE:""&amp;D1491,""price"")"),"#N/A")</f>
        <v>#N/A</v>
      </c>
      <c r="M1491" s="9" t="e">
        <f t="shared" ca="1" si="32"/>
        <v>#VALUE!</v>
      </c>
      <c r="N1491" s="10" t="e">
        <f t="shared" ca="1" si="33"/>
        <v>#VALUE!</v>
      </c>
      <c r="O1491" s="7" t="str">
        <f ca="1">IFERROR(__xludf.DUMMYFUNCTION("GOOGLEFINANCE(""NSE:""&amp;D1491,""pe"")"),"#N/A")</f>
        <v>#N/A</v>
      </c>
      <c r="P1491" s="7" t="str">
        <f ca="1">IFERROR(__xludf.DUMMYFUNCTION("GOOGLEFINANCE(""NSE:""&amp;D1491,""EPS"")"),"#N/A")</f>
        <v>#N/A</v>
      </c>
      <c r="Q1491" s="7">
        <v>13.5</v>
      </c>
      <c r="R1491" s="7" t="str">
        <f ca="1">IFERROR(__xludf.DUMMYFUNCTION("IMPORTXML(E1491,""/html/body/main/div[3]/div[3]/div[2]/ul/li[7]/span[2]/span"")"),"Loading...")</f>
        <v>Loading...</v>
      </c>
      <c r="S1491" s="7" t="str">
        <f ca="1">IFERROR(__xludf.DUMMYFUNCTION("IMPORTXML(E1491,""/html/body/main/div[3]/div[3]/div[2]/ul/li[8]/span[2]/span"")"),"Loading...")</f>
        <v>Loading...</v>
      </c>
      <c r="T1491" s="4">
        <v>34.6</v>
      </c>
      <c r="U1491" s="4">
        <v>22.7</v>
      </c>
      <c r="V1491" s="4">
        <v>2.6</v>
      </c>
      <c r="W1491" s="4">
        <v>5.7</v>
      </c>
      <c r="X1491" s="4">
        <v>519.92999999999995</v>
      </c>
      <c r="Y1491" s="7" t="e">
        <f t="shared" ca="1" si="34"/>
        <v>#VALUE!</v>
      </c>
    </row>
    <row r="1492" spans="1:25" ht="15" x14ac:dyDescent="0.25">
      <c r="A1492" s="4">
        <v>416</v>
      </c>
      <c r="C1492" s="12" t="s">
        <v>3510</v>
      </c>
      <c r="D1492" s="12" t="s">
        <v>3511</v>
      </c>
      <c r="E1492" s="5" t="str">
        <f t="shared" si="30"/>
        <v>https://www.screener.in/company/SPARC/consolidated/</v>
      </c>
      <c r="F1492" s="4">
        <v>443059</v>
      </c>
      <c r="G1492" s="4">
        <v>3832241897</v>
      </c>
      <c r="H1492" s="6">
        <f t="shared" ca="1" si="31"/>
        <v>55950.731696199997</v>
      </c>
      <c r="I1492" s="7">
        <f ca="1">IFERROR(__xludf.DUMMYFUNCTION("IMPORTXML(E1492,""/html/body/main/div[3]/div[3]/div[2]/ul/li[5]/span[2]/span"")"),-6.69)</f>
        <v>-6.69</v>
      </c>
      <c r="J1492" s="7">
        <f ca="1">IFERROR(__xludf.DUMMYFUNCTION("GOOGLEFINANCE(""NSE:""&amp;D1492,""marketcap"")"),47225103450)</f>
        <v>47225103450</v>
      </c>
      <c r="K1492" s="7">
        <v>992.8</v>
      </c>
      <c r="L1492" s="8">
        <f ca="1">IFERROR(__xludf.DUMMYFUNCTION("GOOGLEFINANCE(""NSE:""&amp;D1492,""price"")"),146)</f>
        <v>146</v>
      </c>
      <c r="M1492" s="9">
        <f t="shared" ca="1" si="32"/>
        <v>-846.8</v>
      </c>
      <c r="N1492" s="10">
        <f t="shared" ca="1" si="33"/>
        <v>-85.294117647058826</v>
      </c>
      <c r="O1492" s="7" t="str">
        <f ca="1">IFERROR(__xludf.DUMMYFUNCTION("GOOGLEFINANCE(""NSE:""&amp;D1492,""pe"")"),"#N/A")</f>
        <v>#N/A</v>
      </c>
      <c r="P1492" s="7">
        <f ca="1">IFERROR(__xludf.DUMMYFUNCTION("GOOGLEFINANCE(""NSE:""&amp;D1492,""EPS"")"),-9.2)</f>
        <v>-9.1999999999999993</v>
      </c>
      <c r="Q1492" s="7">
        <v>13.5</v>
      </c>
      <c r="R1492" s="7" t="str">
        <f ca="1">IFERROR(__xludf.DUMMYFUNCTION("IMPORTXML(E1492,""/html/body/main/div[3]/div[3]/div[2]/ul/li[7]/span[2]/span"")"),"Loading...")</f>
        <v>Loading...</v>
      </c>
      <c r="S1492" s="7" t="str">
        <f ca="1">IFERROR(__xludf.DUMMYFUNCTION("IMPORTXML(E1492,""/html/body/main/div[3]/div[3]/div[2]/ul/li[8]/span[2]/span"")"),"Loading...")</f>
        <v>Loading...</v>
      </c>
      <c r="T1492" s="4">
        <v>34.6</v>
      </c>
      <c r="U1492" s="4">
        <v>22.7</v>
      </c>
      <c r="V1492" s="4">
        <v>2.6</v>
      </c>
      <c r="W1492" s="4">
        <v>5.7</v>
      </c>
      <c r="X1492" s="4">
        <v>519.92999999999995</v>
      </c>
      <c r="Y1492" s="7">
        <f t="shared" ca="1" si="34"/>
        <v>-373.92999999999995</v>
      </c>
    </row>
    <row r="1493" spans="1:25" ht="15" x14ac:dyDescent="0.25">
      <c r="A1493" s="4">
        <v>425</v>
      </c>
      <c r="C1493" s="41" t="s">
        <v>3512</v>
      </c>
      <c r="D1493" s="42"/>
      <c r="E1493" s="5" t="str">
        <f t="shared" si="30"/>
        <v>https://www.screener.in/company//consolidated/</v>
      </c>
      <c r="F1493" s="4">
        <v>443059</v>
      </c>
      <c r="G1493" s="4">
        <v>3832241897</v>
      </c>
      <c r="H1493" s="6" t="e">
        <f t="shared" ca="1" si="31"/>
        <v>#VALUE!</v>
      </c>
      <c r="I1493" s="7" t="str">
        <f ca="1">IFERROR(__xludf.DUMMYFUNCTION("IMPORTXML(E1493,""/html/body/main/div[3]/div[3]/div[2]/ul/li[5]/span[2]/span"")"),"Loading...")</f>
        <v>Loading...</v>
      </c>
      <c r="J1493" s="7" t="str">
        <f ca="1">IFERROR(__xludf.DUMMYFUNCTION("GOOGLEFINANCE(""NSE:""&amp;D1493,""marketcap"")"),"#N/A")</f>
        <v>#N/A</v>
      </c>
      <c r="K1493" s="7">
        <v>992.8</v>
      </c>
      <c r="L1493" s="8" t="str">
        <f ca="1">IFERROR(__xludf.DUMMYFUNCTION("GOOGLEFINANCE(""NSE:""&amp;D1493,""price"")"),"#N/A")</f>
        <v>#N/A</v>
      </c>
      <c r="M1493" s="9" t="e">
        <f t="shared" ca="1" si="32"/>
        <v>#VALUE!</v>
      </c>
      <c r="N1493" s="10" t="e">
        <f t="shared" ca="1" si="33"/>
        <v>#VALUE!</v>
      </c>
      <c r="O1493" s="7" t="str">
        <f ca="1">IFERROR(__xludf.DUMMYFUNCTION("GOOGLEFINANCE(""NSE:""&amp;D1493,""pe"")"),"#N/A")</f>
        <v>#N/A</v>
      </c>
      <c r="P1493" s="7" t="str">
        <f ca="1">IFERROR(__xludf.DUMMYFUNCTION("GOOGLEFINANCE(""NSE:""&amp;D1493,""EPS"")"),"#N/A")</f>
        <v>#N/A</v>
      </c>
      <c r="Q1493" s="7">
        <v>13.5</v>
      </c>
      <c r="R1493" s="7" t="str">
        <f ca="1">IFERROR(__xludf.DUMMYFUNCTION("IMPORTXML(E1493,""/html/body/main/div[3]/div[3]/div[2]/ul/li[7]/span[2]/span"")"),"Loading...")</f>
        <v>Loading...</v>
      </c>
      <c r="S1493" s="7" t="str">
        <f ca="1">IFERROR(__xludf.DUMMYFUNCTION("IMPORTXML(E1493,""/html/body/main/div[3]/div[3]/div[2]/ul/li[8]/span[2]/span"")"),"Loading...")</f>
        <v>Loading...</v>
      </c>
      <c r="T1493" s="4">
        <v>34.6</v>
      </c>
      <c r="U1493" s="4">
        <v>22.7</v>
      </c>
      <c r="V1493" s="4">
        <v>2.6</v>
      </c>
      <c r="W1493" s="4">
        <v>5.7</v>
      </c>
      <c r="X1493" s="4">
        <v>519.92999999999995</v>
      </c>
      <c r="Y1493" s="7" t="e">
        <f t="shared" ca="1" si="34"/>
        <v>#VALUE!</v>
      </c>
    </row>
    <row r="1494" spans="1:25" ht="15" x14ac:dyDescent="0.25">
      <c r="A1494" s="4">
        <v>426</v>
      </c>
      <c r="C1494" s="12" t="s">
        <v>3513</v>
      </c>
      <c r="D1494" s="12" t="s">
        <v>3514</v>
      </c>
      <c r="E1494" s="5" t="str">
        <f t="shared" si="30"/>
        <v>https://www.screener.in/company/VIPIND/consolidated/</v>
      </c>
      <c r="F1494" s="4">
        <v>443059</v>
      </c>
      <c r="G1494" s="4">
        <v>3832241897</v>
      </c>
      <c r="H1494" s="6">
        <f t="shared" ca="1" si="31"/>
        <v>162831.95820352997</v>
      </c>
      <c r="I1494" s="7" t="str">
        <f ca="1">IFERROR(__xludf.DUMMYFUNCTION("IMPORTXML(E1494,""/html/body/main/div[3]/div[3]/div[2]/ul/li[5]/span[2]/span"")"),"Loading...")</f>
        <v>Loading...</v>
      </c>
      <c r="J1494" s="7">
        <f ca="1">IFERROR(__xludf.DUMMYFUNCTION("GOOGLEFINANCE(""NSE:""&amp;D1494,""marketcap"")"),60022039227)</f>
        <v>60022039227</v>
      </c>
      <c r="K1494" s="7">
        <v>992.8</v>
      </c>
      <c r="L1494" s="8">
        <f ca="1">IFERROR(__xludf.DUMMYFUNCTION("GOOGLEFINANCE(""NSE:""&amp;D1494,""price"")"),424.9)</f>
        <v>424.9</v>
      </c>
      <c r="M1494" s="9">
        <f t="shared" ca="1" si="32"/>
        <v>-567.9</v>
      </c>
      <c r="N1494" s="10">
        <f t="shared" ca="1" si="33"/>
        <v>-57.201853344077357</v>
      </c>
      <c r="O1494" s="7" t="str">
        <f ca="1">IFERROR(__xludf.DUMMYFUNCTION("GOOGLEFINANCE(""NSE:""&amp;D1494,""pe"")"),"#N/A")</f>
        <v>#N/A</v>
      </c>
      <c r="P1494" s="7">
        <f ca="1">IFERROR(__xludf.DUMMYFUNCTION("GOOGLEFINANCE(""NSE:""&amp;D1494,""EPS"")"),-6.04)</f>
        <v>-6.04</v>
      </c>
      <c r="Q1494" s="7">
        <v>13.5</v>
      </c>
      <c r="R1494" s="7" t="str">
        <f ca="1">IFERROR(__xludf.DUMMYFUNCTION("IMPORTXML(E1494,""/html/body/main/div[3]/div[3]/div[2]/ul/li[7]/span[2]/span"")"),"Loading...")</f>
        <v>Loading...</v>
      </c>
      <c r="S1494" s="7" t="str">
        <f ca="1">IFERROR(__xludf.DUMMYFUNCTION("IMPORTXML(E1494,""/html/body/main/div[3]/div[3]/div[2]/ul/li[8]/span[2]/span"")"),"Loading...")</f>
        <v>Loading...</v>
      </c>
      <c r="T1494" s="4">
        <v>34.6</v>
      </c>
      <c r="U1494" s="4">
        <v>22.7</v>
      </c>
      <c r="V1494" s="4">
        <v>2.6</v>
      </c>
      <c r="W1494" s="4">
        <v>5.7</v>
      </c>
      <c r="X1494" s="4">
        <v>519.92999999999995</v>
      </c>
      <c r="Y1494" s="7">
        <f t="shared" ca="1" si="34"/>
        <v>-95.029999999999973</v>
      </c>
    </row>
    <row r="1495" spans="1:25" ht="15" x14ac:dyDescent="0.25">
      <c r="A1495" s="4">
        <v>428</v>
      </c>
      <c r="C1495" s="12" t="s">
        <v>3515</v>
      </c>
      <c r="D1495" s="12" t="s">
        <v>3516</v>
      </c>
      <c r="E1495" s="5" t="str">
        <f t="shared" si="30"/>
        <v>https://www.screener.in/company/BLACKBUCK/consolidated/</v>
      </c>
      <c r="F1495" s="4">
        <v>443059</v>
      </c>
      <c r="G1495" s="4">
        <v>3832241897</v>
      </c>
      <c r="H1495" s="6">
        <f t="shared" ca="1" si="31"/>
        <v>225699.88652381505</v>
      </c>
      <c r="I1495" s="7" t="str">
        <f ca="1">IFERROR(__xludf.DUMMYFUNCTION("IMPORTXML(E1495,""/html/body/main/div[3]/div[3]/div[2]/ul/li[5]/span[2]/span"")"),"Loading...")</f>
        <v>Loading...</v>
      </c>
      <c r="J1495" s="7">
        <f ca="1">IFERROR(__xludf.DUMMYFUNCTION("GOOGLEFINANCE(""NSE:""&amp;D1495,""marketcap"")"),106451470415)</f>
        <v>106451470415</v>
      </c>
      <c r="K1495" s="7">
        <v>992.8</v>
      </c>
      <c r="L1495" s="8">
        <f ca="1">IFERROR(__xludf.DUMMYFUNCTION("GOOGLEFINANCE(""NSE:""&amp;D1495,""price"")"),588.95)</f>
        <v>588.95000000000005</v>
      </c>
      <c r="M1495" s="9">
        <f t="shared" ca="1" si="32"/>
        <v>-403.84999999999991</v>
      </c>
      <c r="N1495" s="10">
        <f t="shared" ca="1" si="33"/>
        <v>-40.677880741337624</v>
      </c>
      <c r="O1495" s="7">
        <f ca="1">IFERROR(__xludf.DUMMYFUNCTION("GOOGLEFINANCE(""NSE:""&amp;D1495,""pe"")"),382.13)</f>
        <v>382.13</v>
      </c>
      <c r="P1495" s="7">
        <f ca="1">IFERROR(__xludf.DUMMYFUNCTION("GOOGLEFINANCE(""NSE:""&amp;D1495,""EPS"")"),1.54)</f>
        <v>1.54</v>
      </c>
      <c r="Q1495" s="7">
        <v>13.5</v>
      </c>
      <c r="R1495" s="7" t="str">
        <f ca="1">IFERROR(__xludf.DUMMYFUNCTION("IMPORTXML(E1495,""/html/body/main/div[3]/div[3]/div[2]/ul/li[7]/span[2]/span"")"),"Loading...")</f>
        <v>Loading...</v>
      </c>
      <c r="S1495" s="7" t="str">
        <f ca="1">IFERROR(__xludf.DUMMYFUNCTION("IMPORTXML(E1495,""/html/body/main/div[3]/div[3]/div[2]/ul/li[8]/span[2]/span"")"),"Loading...")</f>
        <v>Loading...</v>
      </c>
      <c r="T1495" s="4">
        <v>34.6</v>
      </c>
      <c r="U1495" s="4">
        <v>22.7</v>
      </c>
      <c r="V1495" s="4">
        <v>2.6</v>
      </c>
      <c r="W1495" s="4">
        <v>5.7</v>
      </c>
      <c r="X1495" s="4">
        <v>519.92999999999995</v>
      </c>
      <c r="Y1495" s="7">
        <f t="shared" ca="1" si="34"/>
        <v>69.020000000000095</v>
      </c>
    </row>
    <row r="1496" spans="1:25" ht="15" x14ac:dyDescent="0.25">
      <c r="A1496" s="4">
        <v>434</v>
      </c>
      <c r="C1496" s="12" t="s">
        <v>3517</v>
      </c>
      <c r="D1496" s="12" t="s">
        <v>3518</v>
      </c>
      <c r="E1496" s="5" t="str">
        <f t="shared" si="30"/>
        <v>https://www.screener.in/company/KESORAMIND/consolidated/</v>
      </c>
      <c r="F1496" s="4">
        <v>443059</v>
      </c>
      <c r="G1496" s="4">
        <v>3832241897</v>
      </c>
      <c r="H1496" s="6">
        <f t="shared" ca="1" si="31"/>
        <v>2065.5783824829996</v>
      </c>
      <c r="I1496" s="7" t="str">
        <f ca="1">IFERROR(__xludf.DUMMYFUNCTION("IMPORTXML(E1496,""/html/body/main/div[3]/div[3]/div[2]/ul/li[5]/span[2]/span"")"),"Loading...")</f>
        <v>Loading...</v>
      </c>
      <c r="J1496" s="7">
        <f ca="1">IFERROR(__xludf.DUMMYFUNCTION("GOOGLEFINANCE(""NSE:""&amp;D1496,""marketcap"")"),1649624000)</f>
        <v>1649624000</v>
      </c>
      <c r="K1496" s="7">
        <v>992.8</v>
      </c>
      <c r="L1496" s="8">
        <f ca="1">IFERROR(__xludf.DUMMYFUNCTION("GOOGLEFINANCE(""NSE:""&amp;D1496,""price"")"),5.39)</f>
        <v>5.39</v>
      </c>
      <c r="M1496" s="9">
        <f t="shared" ca="1" si="32"/>
        <v>-987.41</v>
      </c>
      <c r="N1496" s="10">
        <f t="shared" ca="1" si="33"/>
        <v>-99.457091055600316</v>
      </c>
      <c r="O1496" s="7">
        <f ca="1">IFERROR(__xludf.DUMMYFUNCTION("GOOGLEFINANCE(""NSE:""&amp;D1496,""pe"")"),0.03)</f>
        <v>0.03</v>
      </c>
      <c r="P1496" s="7">
        <f ca="1">IFERROR(__xludf.DUMMYFUNCTION("GOOGLEFINANCE(""NSE:""&amp;D1496,""EPS"")"),178.12)</f>
        <v>178.12</v>
      </c>
      <c r="Q1496" s="7">
        <v>13.5</v>
      </c>
      <c r="R1496" s="7" t="str">
        <f ca="1">IFERROR(__xludf.DUMMYFUNCTION("IMPORTXML(E1496,""/html/body/main/div[3]/div[3]/div[2]/ul/li[7]/span[2]/span"")"),"Loading...")</f>
        <v>Loading...</v>
      </c>
      <c r="S1496" s="7" t="str">
        <f ca="1">IFERROR(__xludf.DUMMYFUNCTION("IMPORTXML(E1496,""/html/body/main/div[3]/div[3]/div[2]/ul/li[8]/span[2]/span"")"),"Loading...")</f>
        <v>Loading...</v>
      </c>
      <c r="T1496" s="4">
        <v>34.6</v>
      </c>
      <c r="U1496" s="4">
        <v>22.7</v>
      </c>
      <c r="V1496" s="4">
        <v>2.6</v>
      </c>
      <c r="W1496" s="4">
        <v>5.7</v>
      </c>
      <c r="X1496" s="4">
        <v>519.92999999999995</v>
      </c>
      <c r="Y1496" s="7">
        <f t="shared" ca="1" si="34"/>
        <v>-514.54</v>
      </c>
    </row>
    <row r="1497" spans="1:25" ht="15" x14ac:dyDescent="0.25">
      <c r="A1497" s="4">
        <v>435</v>
      </c>
      <c r="C1497" s="41" t="s">
        <v>3519</v>
      </c>
      <c r="D1497" s="42"/>
      <c r="E1497" s="5" t="str">
        <f t="shared" si="30"/>
        <v>https://www.screener.in/company//consolidated/</v>
      </c>
      <c r="F1497" s="4">
        <v>443059</v>
      </c>
      <c r="G1497" s="4">
        <v>3832241897</v>
      </c>
      <c r="H1497" s="6" t="e">
        <f t="shared" ca="1" si="31"/>
        <v>#VALUE!</v>
      </c>
      <c r="I1497" s="7" t="str">
        <f ca="1">IFERROR(__xludf.DUMMYFUNCTION("IMPORTXML(E1497,""/html/body/main/div[3]/div[3]/div[2]/ul/li[5]/span[2]/span"")"),"Loading...")</f>
        <v>Loading...</v>
      </c>
      <c r="J1497" s="7" t="str">
        <f ca="1">IFERROR(__xludf.DUMMYFUNCTION("GOOGLEFINANCE(""NSE:""&amp;D1497,""marketcap"")"),"#N/A")</f>
        <v>#N/A</v>
      </c>
      <c r="K1497" s="7">
        <v>992.8</v>
      </c>
      <c r="L1497" s="8" t="str">
        <f ca="1">IFERROR(__xludf.DUMMYFUNCTION("GOOGLEFINANCE(""NSE:""&amp;D1497,""price"")"),"#N/A")</f>
        <v>#N/A</v>
      </c>
      <c r="M1497" s="9" t="e">
        <f t="shared" ca="1" si="32"/>
        <v>#VALUE!</v>
      </c>
      <c r="N1497" s="10" t="e">
        <f t="shared" ca="1" si="33"/>
        <v>#VALUE!</v>
      </c>
      <c r="O1497" s="7" t="str">
        <f ca="1">IFERROR(__xludf.DUMMYFUNCTION("GOOGLEFINANCE(""NSE:""&amp;D1497,""pe"")"),"#N/A")</f>
        <v>#N/A</v>
      </c>
      <c r="P1497" s="7" t="str">
        <f ca="1">IFERROR(__xludf.DUMMYFUNCTION("GOOGLEFINANCE(""NSE:""&amp;D1497,""EPS"")"),"#N/A")</f>
        <v>#N/A</v>
      </c>
      <c r="Q1497" s="7">
        <v>13.5</v>
      </c>
      <c r="R1497" s="7" t="str">
        <f ca="1">IFERROR(__xludf.DUMMYFUNCTION("IMPORTXML(E1497,""/html/body/main/div[3]/div[3]/div[2]/ul/li[7]/span[2]/span"")"),"Loading...")</f>
        <v>Loading...</v>
      </c>
      <c r="S1497" s="7" t="str">
        <f ca="1">IFERROR(__xludf.DUMMYFUNCTION("IMPORTXML(E1497,""/html/body/main/div[3]/div[3]/div[2]/ul/li[8]/span[2]/span"")"),"Loading...")</f>
        <v>Loading...</v>
      </c>
      <c r="T1497" s="4">
        <v>34.6</v>
      </c>
      <c r="U1497" s="4">
        <v>22.7</v>
      </c>
      <c r="V1497" s="4">
        <v>2.6</v>
      </c>
      <c r="W1497" s="4">
        <v>5.7</v>
      </c>
      <c r="X1497" s="4">
        <v>519.92999999999995</v>
      </c>
      <c r="Y1497" s="7" t="e">
        <f t="shared" ca="1" si="34"/>
        <v>#VALUE!</v>
      </c>
    </row>
    <row r="1498" spans="1:25" ht="15" x14ac:dyDescent="0.25">
      <c r="A1498" s="4">
        <v>439</v>
      </c>
      <c r="C1498" s="12" t="s">
        <v>3520</v>
      </c>
      <c r="D1498" s="12" t="s">
        <v>3521</v>
      </c>
      <c r="E1498" s="5" t="str">
        <f t="shared" si="30"/>
        <v>https://www.screener.in/company/TARC/consolidated/</v>
      </c>
      <c r="F1498" s="4">
        <v>443059</v>
      </c>
      <c r="G1498" s="4">
        <v>3832241897</v>
      </c>
      <c r="H1498" s="6">
        <f t="shared" ca="1" si="31"/>
        <v>60924.981678505996</v>
      </c>
      <c r="I1498" s="7" t="str">
        <f ca="1">IFERROR(__xludf.DUMMYFUNCTION("IMPORTXML(E1498,""/html/body/main/div[3]/div[3]/div[2]/ul/li[5]/span[2]/span"")"),"Loading...")</f>
        <v>Loading...</v>
      </c>
      <c r="J1498" s="7">
        <f ca="1">IFERROR(__xludf.DUMMYFUNCTION("GOOGLEFINANCE(""NSE:""&amp;D1498,""marketcap"")"),46752110000)</f>
        <v>46752110000</v>
      </c>
      <c r="K1498" s="7">
        <v>992.8</v>
      </c>
      <c r="L1498" s="8">
        <f ca="1">IFERROR(__xludf.DUMMYFUNCTION("GOOGLEFINANCE(""NSE:""&amp;D1498,""price"")"),158.98)</f>
        <v>158.97999999999999</v>
      </c>
      <c r="M1498" s="9">
        <f t="shared" ca="1" si="32"/>
        <v>-833.81999999999994</v>
      </c>
      <c r="N1498" s="10">
        <f t="shared" ca="1" si="33"/>
        <v>-83.986704270749385</v>
      </c>
      <c r="O1498" s="7" t="str">
        <f ca="1">IFERROR(__xludf.DUMMYFUNCTION("GOOGLEFINANCE(""NSE:""&amp;D1498,""pe"")"),"#N/A")</f>
        <v>#N/A</v>
      </c>
      <c r="P1498" s="7">
        <f ca="1">IFERROR(__xludf.DUMMYFUNCTION("GOOGLEFINANCE(""NSE:""&amp;D1498,""EPS"")"),-4.95)</f>
        <v>-4.95</v>
      </c>
      <c r="Q1498" s="7">
        <v>13.5</v>
      </c>
      <c r="R1498" s="7" t="str">
        <f ca="1">IFERROR(__xludf.DUMMYFUNCTION("IMPORTXML(E1498,""/html/body/main/div[3]/div[3]/div[2]/ul/li[7]/span[2]/span"")"),"Loading...")</f>
        <v>Loading...</v>
      </c>
      <c r="S1498" s="7" t="str">
        <f ca="1">IFERROR(__xludf.DUMMYFUNCTION("IMPORTXML(E1498,""/html/body/main/div[3]/div[3]/div[2]/ul/li[8]/span[2]/span"")"),"Loading...")</f>
        <v>Loading...</v>
      </c>
      <c r="T1498" s="4">
        <v>34.6</v>
      </c>
      <c r="U1498" s="4">
        <v>22.7</v>
      </c>
      <c r="V1498" s="4">
        <v>2.6</v>
      </c>
      <c r="W1498" s="4">
        <v>5.7</v>
      </c>
      <c r="X1498" s="4">
        <v>519.92999999999995</v>
      </c>
      <c r="Y1498" s="7">
        <f t="shared" ca="1" si="34"/>
        <v>-360.94999999999993</v>
      </c>
    </row>
    <row r="1499" spans="1:25" ht="15" x14ac:dyDescent="0.25">
      <c r="A1499" s="4">
        <v>447</v>
      </c>
      <c r="C1499" s="41" t="s">
        <v>3522</v>
      </c>
      <c r="D1499" s="42"/>
      <c r="E1499" s="5" t="str">
        <f t="shared" si="30"/>
        <v>https://www.screener.in/company//consolidated/</v>
      </c>
      <c r="F1499" s="4">
        <v>443059</v>
      </c>
      <c r="G1499" s="4">
        <v>3832241897</v>
      </c>
      <c r="H1499" s="6" t="e">
        <f t="shared" ca="1" si="31"/>
        <v>#VALUE!</v>
      </c>
      <c r="I1499" s="7" t="str">
        <f ca="1">IFERROR(__xludf.DUMMYFUNCTION("IMPORTXML(E1499,""/html/body/main/div[3]/div[3]/div[2]/ul/li[5]/span[2]/span"")"),"Loading...")</f>
        <v>Loading...</v>
      </c>
      <c r="J1499" s="7" t="str">
        <f ca="1">IFERROR(__xludf.DUMMYFUNCTION("GOOGLEFINANCE(""NSE:""&amp;D1499,""marketcap"")"),"#N/A")</f>
        <v>#N/A</v>
      </c>
      <c r="K1499" s="7">
        <v>992.8</v>
      </c>
      <c r="L1499" s="8" t="str">
        <f ca="1">IFERROR(__xludf.DUMMYFUNCTION("GOOGLEFINANCE(""NSE:""&amp;D1499,""price"")"),"#N/A")</f>
        <v>#N/A</v>
      </c>
      <c r="M1499" s="9" t="e">
        <f t="shared" ca="1" si="32"/>
        <v>#VALUE!</v>
      </c>
      <c r="N1499" s="10" t="e">
        <f t="shared" ca="1" si="33"/>
        <v>#VALUE!</v>
      </c>
      <c r="O1499" s="7" t="str">
        <f ca="1">IFERROR(__xludf.DUMMYFUNCTION("GOOGLEFINANCE(""NSE:""&amp;D1499,""pe"")"),"#N/A")</f>
        <v>#N/A</v>
      </c>
      <c r="P1499" s="7" t="str">
        <f ca="1">IFERROR(__xludf.DUMMYFUNCTION("GOOGLEFINANCE(""NSE:""&amp;D1499,""EPS"")"),"#N/A")</f>
        <v>#N/A</v>
      </c>
      <c r="Q1499" s="7">
        <v>13.5</v>
      </c>
      <c r="R1499" s="7" t="str">
        <f ca="1">IFERROR(__xludf.DUMMYFUNCTION("IMPORTXML(E1499,""/html/body/main/div[3]/div[3]/div[2]/ul/li[7]/span[2]/span"")"),"Loading...")</f>
        <v>Loading...</v>
      </c>
      <c r="S1499" s="7" t="str">
        <f ca="1">IFERROR(__xludf.DUMMYFUNCTION("IMPORTXML(E1499,""/html/body/main/div[3]/div[3]/div[2]/ul/li[8]/span[2]/span"")"),"Loading...")</f>
        <v>Loading...</v>
      </c>
      <c r="T1499" s="4">
        <v>34.6</v>
      </c>
      <c r="U1499" s="4">
        <v>22.7</v>
      </c>
      <c r="V1499" s="4">
        <v>2.6</v>
      </c>
      <c r="W1499" s="4">
        <v>5.7</v>
      </c>
      <c r="X1499" s="4">
        <v>519.92999999999995</v>
      </c>
      <c r="Y1499" s="7" t="e">
        <f t="shared" ca="1" si="34"/>
        <v>#VALUE!</v>
      </c>
    </row>
    <row r="1500" spans="1:25" ht="15" x14ac:dyDescent="0.25">
      <c r="A1500" s="4">
        <v>452</v>
      </c>
      <c r="C1500" s="41" t="s">
        <v>3523</v>
      </c>
      <c r="D1500" s="42"/>
      <c r="E1500" s="5" t="str">
        <f t="shared" si="30"/>
        <v>https://www.screener.in/company//consolidated/</v>
      </c>
      <c r="F1500" s="4">
        <v>443059</v>
      </c>
      <c r="G1500" s="4">
        <v>3832241897</v>
      </c>
      <c r="H1500" s="6" t="e">
        <f t="shared" ca="1" si="31"/>
        <v>#VALUE!</v>
      </c>
      <c r="I1500" s="7" t="str">
        <f ca="1">IFERROR(__xludf.DUMMYFUNCTION("IMPORTXML(E1500,""/html/body/main/div[3]/div[3]/div[2]/ul/li[5]/span[2]/span"")"),"Loading...")</f>
        <v>Loading...</v>
      </c>
      <c r="J1500" s="7" t="str">
        <f ca="1">IFERROR(__xludf.DUMMYFUNCTION("GOOGLEFINANCE(""NSE:""&amp;D1500,""marketcap"")"),"#N/A")</f>
        <v>#N/A</v>
      </c>
      <c r="K1500" s="7">
        <v>992.8</v>
      </c>
      <c r="L1500" s="8" t="str">
        <f ca="1">IFERROR(__xludf.DUMMYFUNCTION("GOOGLEFINANCE(""NSE:""&amp;D1500,""price"")"),"#N/A")</f>
        <v>#N/A</v>
      </c>
      <c r="M1500" s="9" t="e">
        <f t="shared" ca="1" si="32"/>
        <v>#VALUE!</v>
      </c>
      <c r="N1500" s="10" t="e">
        <f t="shared" ca="1" si="33"/>
        <v>#VALUE!</v>
      </c>
      <c r="O1500" s="7" t="str">
        <f ca="1">IFERROR(__xludf.DUMMYFUNCTION("GOOGLEFINANCE(""NSE:""&amp;D1500,""pe"")"),"#N/A")</f>
        <v>#N/A</v>
      </c>
      <c r="P1500" s="7" t="str">
        <f ca="1">IFERROR(__xludf.DUMMYFUNCTION("GOOGLEFINANCE(""NSE:""&amp;D1500,""EPS"")"),"#N/A")</f>
        <v>#N/A</v>
      </c>
      <c r="Q1500" s="7">
        <v>13.5</v>
      </c>
      <c r="R1500" s="7" t="str">
        <f ca="1">IFERROR(__xludf.DUMMYFUNCTION("IMPORTXML(E1500,""/html/body/main/div[3]/div[3]/div[2]/ul/li[7]/span[2]/span"")"),"Loading...")</f>
        <v>Loading...</v>
      </c>
      <c r="S1500" s="7" t="str">
        <f ca="1">IFERROR(__xludf.DUMMYFUNCTION("IMPORTXML(E1500,""/html/body/main/div[3]/div[3]/div[2]/ul/li[8]/span[2]/span"")"),"Loading...")</f>
        <v>Loading...</v>
      </c>
      <c r="T1500" s="4">
        <v>34.6</v>
      </c>
      <c r="U1500" s="4">
        <v>22.7</v>
      </c>
      <c r="V1500" s="4">
        <v>2.6</v>
      </c>
      <c r="W1500" s="4">
        <v>5.7</v>
      </c>
      <c r="X1500" s="4">
        <v>519.92999999999995</v>
      </c>
      <c r="Y1500" s="7" t="e">
        <f t="shared" ca="1" si="34"/>
        <v>#VALUE!</v>
      </c>
    </row>
    <row r="1501" spans="1:25" ht="15" x14ac:dyDescent="0.25">
      <c r="A1501" s="4">
        <v>454</v>
      </c>
      <c r="C1501" s="12" t="s">
        <v>3524</v>
      </c>
      <c r="D1501" s="12" t="s">
        <v>3525</v>
      </c>
      <c r="E1501" s="5" t="str">
        <f t="shared" si="30"/>
        <v>https://www.screener.in/company/STLTECH/consolidated/</v>
      </c>
      <c r="F1501" s="4">
        <v>443059</v>
      </c>
      <c r="G1501" s="4">
        <v>3832241897</v>
      </c>
      <c r="H1501" s="6">
        <f t="shared" ca="1" si="31"/>
        <v>42499.562637730007</v>
      </c>
      <c r="I1501" s="7" t="str">
        <f ca="1">IFERROR(__xludf.DUMMYFUNCTION("IMPORTXML(E1501,""/html/body/main/div[3]/div[3]/div[2]/ul/li[5]/span[2]/span"")"),"Loading...")</f>
        <v>Loading...</v>
      </c>
      <c r="J1501" s="7">
        <f ca="1">IFERROR(__xludf.DUMMYFUNCTION("GOOGLEFINANCE(""NSE:""&amp;D1501,""marketcap"")"),54114099344)</f>
        <v>54114099344</v>
      </c>
      <c r="K1501" s="7">
        <v>992.8</v>
      </c>
      <c r="L1501" s="8">
        <f ca="1">IFERROR(__xludf.DUMMYFUNCTION("GOOGLEFINANCE(""NSE:""&amp;D1501,""price"")"),110.9)</f>
        <v>110.9</v>
      </c>
      <c r="M1501" s="9">
        <f t="shared" ca="1" si="32"/>
        <v>-881.9</v>
      </c>
      <c r="N1501" s="10">
        <f t="shared" ca="1" si="33"/>
        <v>-88.829572925060447</v>
      </c>
      <c r="O1501" s="7" t="str">
        <f ca="1">IFERROR(__xludf.DUMMYFUNCTION("GOOGLEFINANCE(""NSE:""&amp;D1501,""pe"")"),"#N/A")</f>
        <v>#N/A</v>
      </c>
      <c r="P1501" s="7">
        <f ca="1">IFERROR(__xludf.DUMMYFUNCTION("GOOGLEFINANCE(""NSE:""&amp;D1501,""EPS"")"),-1.37)</f>
        <v>-1.37</v>
      </c>
      <c r="Q1501" s="7">
        <v>13.5</v>
      </c>
      <c r="R1501" s="7" t="str">
        <f ca="1">IFERROR(__xludf.DUMMYFUNCTION("IMPORTXML(E1501,""/html/body/main/div[3]/div[3]/div[2]/ul/li[7]/span[2]/span"")"),"Loading...")</f>
        <v>Loading...</v>
      </c>
      <c r="S1501" s="7" t="str">
        <f ca="1">IFERROR(__xludf.DUMMYFUNCTION("IMPORTXML(E1501,""/html/body/main/div[3]/div[3]/div[2]/ul/li[8]/span[2]/span"")"),"Loading...")</f>
        <v>Loading...</v>
      </c>
      <c r="T1501" s="4">
        <v>34.6</v>
      </c>
      <c r="U1501" s="4">
        <v>22.7</v>
      </c>
      <c r="V1501" s="4">
        <v>2.6</v>
      </c>
      <c r="W1501" s="4">
        <v>5.7</v>
      </c>
      <c r="X1501" s="4">
        <v>519.92999999999995</v>
      </c>
      <c r="Y1501" s="7">
        <f t="shared" ca="1" si="34"/>
        <v>-409.03</v>
      </c>
    </row>
    <row r="1502" spans="1:25" ht="15" x14ac:dyDescent="0.25">
      <c r="A1502" s="4">
        <v>464</v>
      </c>
      <c r="C1502" s="41" t="s">
        <v>3526</v>
      </c>
      <c r="D1502" s="42"/>
      <c r="E1502" s="5" t="str">
        <f t="shared" si="30"/>
        <v>https://www.screener.in/company//consolidated/</v>
      </c>
      <c r="F1502" s="4">
        <v>443059</v>
      </c>
      <c r="G1502" s="4">
        <v>3832241897</v>
      </c>
      <c r="H1502" s="6" t="e">
        <f t="shared" ca="1" si="31"/>
        <v>#VALUE!</v>
      </c>
      <c r="I1502" s="7" t="str">
        <f ca="1">IFERROR(__xludf.DUMMYFUNCTION("IMPORTXML(E1502,""/html/body/main/div[3]/div[3]/div[2]/ul/li[5]/span[2]/span"")"),"Loading...")</f>
        <v>Loading...</v>
      </c>
      <c r="J1502" s="7" t="str">
        <f ca="1">IFERROR(__xludf.DUMMYFUNCTION("GOOGLEFINANCE(""NSE:""&amp;D1502,""marketcap"")"),"#N/A")</f>
        <v>#N/A</v>
      </c>
      <c r="K1502" s="7">
        <v>992.8</v>
      </c>
      <c r="L1502" s="8" t="str">
        <f ca="1">IFERROR(__xludf.DUMMYFUNCTION("GOOGLEFINANCE(""NSE:""&amp;D1502,""price"")"),"#N/A")</f>
        <v>#N/A</v>
      </c>
      <c r="M1502" s="9" t="e">
        <f t="shared" ca="1" si="32"/>
        <v>#VALUE!</v>
      </c>
      <c r="N1502" s="10" t="e">
        <f t="shared" ca="1" si="33"/>
        <v>#VALUE!</v>
      </c>
      <c r="O1502" s="7" t="str">
        <f ca="1">IFERROR(__xludf.DUMMYFUNCTION("GOOGLEFINANCE(""NSE:""&amp;D1502,""pe"")"),"#N/A")</f>
        <v>#N/A</v>
      </c>
      <c r="P1502" s="7" t="str">
        <f ca="1">IFERROR(__xludf.DUMMYFUNCTION("GOOGLEFINANCE(""NSE:""&amp;D1502,""EPS"")"),"#N/A")</f>
        <v>#N/A</v>
      </c>
      <c r="Q1502" s="7">
        <v>13.5</v>
      </c>
      <c r="R1502" s="7" t="str">
        <f ca="1">IFERROR(__xludf.DUMMYFUNCTION("IMPORTXML(E1502,""/html/body/main/div[3]/div[3]/div[2]/ul/li[7]/span[2]/span"")"),"Loading...")</f>
        <v>Loading...</v>
      </c>
      <c r="S1502" s="7" t="str">
        <f ca="1">IFERROR(__xludf.DUMMYFUNCTION("IMPORTXML(E1502,""/html/body/main/div[3]/div[3]/div[2]/ul/li[8]/span[2]/span"")"),"Loading...")</f>
        <v>Loading...</v>
      </c>
      <c r="T1502" s="4">
        <v>34.6</v>
      </c>
      <c r="U1502" s="4">
        <v>22.7</v>
      </c>
      <c r="V1502" s="4">
        <v>2.6</v>
      </c>
      <c r="W1502" s="4">
        <v>5.7</v>
      </c>
      <c r="X1502" s="4">
        <v>519.92999999999995</v>
      </c>
      <c r="Y1502" s="7" t="e">
        <f t="shared" ca="1" si="34"/>
        <v>#VALUE!</v>
      </c>
    </row>
    <row r="1503" spans="1:25" ht="15" x14ac:dyDescent="0.25">
      <c r="A1503" s="4">
        <v>479</v>
      </c>
      <c r="C1503" s="12" t="s">
        <v>3527</v>
      </c>
      <c r="D1503" s="12" t="s">
        <v>3528</v>
      </c>
      <c r="E1503" s="5" t="str">
        <f t="shared" si="30"/>
        <v>https://www.screener.in/company/GUJALKALI/consolidated/</v>
      </c>
      <c r="F1503" s="4">
        <v>443059</v>
      </c>
      <c r="G1503" s="4">
        <v>3832241897</v>
      </c>
      <c r="H1503" s="6">
        <f t="shared" ca="1" si="31"/>
        <v>225278.33991514501</v>
      </c>
      <c r="I1503" s="7" t="str">
        <f ca="1">IFERROR(__xludf.DUMMYFUNCTION("IMPORTXML(E1503,""/html/body/main/div[3]/div[3]/div[2]/ul/li[5]/span[2]/span"")"),"Loading...")</f>
        <v>Loading...</v>
      </c>
      <c r="J1503" s="7">
        <f ca="1">IFERROR(__xludf.DUMMYFUNCTION("GOOGLEFINANCE(""NSE:""&amp;D1503,""marketcap"")"),43268475221)</f>
        <v>43268475221</v>
      </c>
      <c r="K1503" s="7">
        <v>992.8</v>
      </c>
      <c r="L1503" s="8">
        <f ca="1">IFERROR(__xludf.DUMMYFUNCTION("GOOGLEFINANCE(""NSE:""&amp;D1503,""price"")"),587.85)</f>
        <v>587.85</v>
      </c>
      <c r="M1503" s="9">
        <f t="shared" ca="1" si="32"/>
        <v>-404.94999999999993</v>
      </c>
      <c r="N1503" s="10">
        <f t="shared" ca="1" si="33"/>
        <v>-40.78867848509266</v>
      </c>
      <c r="O1503" s="7" t="str">
        <f ca="1">IFERROR(__xludf.DUMMYFUNCTION("GOOGLEFINANCE(""NSE:""&amp;D1503,""pe"")"),"#N/A")</f>
        <v>#N/A</v>
      </c>
      <c r="P1503" s="7">
        <f ca="1">IFERROR(__xludf.DUMMYFUNCTION("GOOGLEFINANCE(""NSE:""&amp;D1503,""EPS"")"),-4.69)</f>
        <v>-4.6900000000000004</v>
      </c>
      <c r="Q1503" s="7">
        <v>13.5</v>
      </c>
      <c r="R1503" s="7" t="str">
        <f ca="1">IFERROR(__xludf.DUMMYFUNCTION("IMPORTXML(E1503,""/html/body/main/div[3]/div[3]/div[2]/ul/li[7]/span[2]/span"")"),"Loading...")</f>
        <v>Loading...</v>
      </c>
      <c r="S1503" s="7" t="str">
        <f ca="1">IFERROR(__xludf.DUMMYFUNCTION("IMPORTXML(E1503,""/html/body/main/div[3]/div[3]/div[2]/ul/li[8]/span[2]/span"")"),"Loading...")</f>
        <v>Loading...</v>
      </c>
      <c r="T1503" s="4">
        <v>34.6</v>
      </c>
      <c r="U1503" s="4">
        <v>22.7</v>
      </c>
      <c r="V1503" s="4">
        <v>2.6</v>
      </c>
      <c r="W1503" s="4">
        <v>5.7</v>
      </c>
      <c r="X1503" s="4">
        <v>519.92999999999995</v>
      </c>
      <c r="Y1503" s="7">
        <f t="shared" ca="1" si="34"/>
        <v>67.920000000000073</v>
      </c>
    </row>
    <row r="1504" spans="1:25" ht="15" x14ac:dyDescent="0.25">
      <c r="A1504" s="4">
        <v>487</v>
      </c>
      <c r="C1504" s="41" t="s">
        <v>3529</v>
      </c>
      <c r="D1504" s="42"/>
      <c r="E1504" s="5" t="str">
        <f t="shared" si="30"/>
        <v>https://www.screener.in/company//consolidated/</v>
      </c>
      <c r="F1504" s="4">
        <v>443059</v>
      </c>
      <c r="G1504" s="4">
        <v>3832241897</v>
      </c>
      <c r="H1504" s="6" t="e">
        <f t="shared" ca="1" si="31"/>
        <v>#VALUE!</v>
      </c>
      <c r="I1504" s="7" t="str">
        <f ca="1">IFERROR(__xludf.DUMMYFUNCTION("IMPORTXML(E1504,""/html/body/main/div[3]/div[3]/div[2]/ul/li[5]/span[2]/span"")"),"Loading...")</f>
        <v>Loading...</v>
      </c>
      <c r="J1504" s="7" t="str">
        <f ca="1">IFERROR(__xludf.DUMMYFUNCTION("GOOGLEFINANCE(""NSE:""&amp;D1504,""marketcap"")"),"#N/A")</f>
        <v>#N/A</v>
      </c>
      <c r="K1504" s="7">
        <v>992.8</v>
      </c>
      <c r="L1504" s="8" t="str">
        <f ca="1">IFERROR(__xludf.DUMMYFUNCTION("GOOGLEFINANCE(""NSE:""&amp;D1504,""price"")"),"#N/A")</f>
        <v>#N/A</v>
      </c>
      <c r="M1504" s="9" t="e">
        <f t="shared" ca="1" si="32"/>
        <v>#VALUE!</v>
      </c>
      <c r="N1504" s="10" t="e">
        <f t="shared" ca="1" si="33"/>
        <v>#VALUE!</v>
      </c>
      <c r="O1504" s="7" t="str">
        <f ca="1">IFERROR(__xludf.DUMMYFUNCTION("GOOGLEFINANCE(""NSE:""&amp;D1504,""pe"")"),"#N/A")</f>
        <v>#N/A</v>
      </c>
      <c r="P1504" s="7" t="str">
        <f ca="1">IFERROR(__xludf.DUMMYFUNCTION("GOOGLEFINANCE(""NSE:""&amp;D1504,""EPS"")"),"#N/A")</f>
        <v>#N/A</v>
      </c>
      <c r="Q1504" s="7">
        <v>13.5</v>
      </c>
      <c r="R1504" s="7" t="str">
        <f ca="1">IFERROR(__xludf.DUMMYFUNCTION("IMPORTXML(E1504,""/html/body/main/div[3]/div[3]/div[2]/ul/li[7]/span[2]/span"")"),"Loading...")</f>
        <v>Loading...</v>
      </c>
      <c r="S1504" s="7" t="str">
        <f ca="1">IFERROR(__xludf.DUMMYFUNCTION("IMPORTXML(E1504,""/html/body/main/div[3]/div[3]/div[2]/ul/li[8]/span[2]/span"")"),"Loading...")</f>
        <v>Loading...</v>
      </c>
      <c r="T1504" s="4">
        <v>34.6</v>
      </c>
      <c r="U1504" s="4">
        <v>22.7</v>
      </c>
      <c r="V1504" s="4">
        <v>2.6</v>
      </c>
      <c r="W1504" s="4">
        <v>5.7</v>
      </c>
      <c r="X1504" s="4">
        <v>519.92999999999995</v>
      </c>
      <c r="Y1504" s="7" t="e">
        <f t="shared" ca="1" si="34"/>
        <v>#VALUE!</v>
      </c>
    </row>
    <row r="1505" spans="1:25" ht="15" x14ac:dyDescent="0.25">
      <c r="A1505" s="4">
        <v>489</v>
      </c>
      <c r="C1505" s="12" t="s">
        <v>3530</v>
      </c>
      <c r="D1505" s="12" t="s">
        <v>3531</v>
      </c>
      <c r="E1505" s="5" t="str">
        <f t="shared" si="30"/>
        <v>https://www.screener.in/company/RAIN/consolidated/</v>
      </c>
      <c r="F1505" s="4">
        <v>443059</v>
      </c>
      <c r="G1505" s="4">
        <v>3832241897</v>
      </c>
      <c r="H1505" s="6">
        <f t="shared" ca="1" si="31"/>
        <v>53076.550273449997</v>
      </c>
      <c r="I1505" s="7" t="str">
        <f ca="1">IFERROR(__xludf.DUMMYFUNCTION("IMPORTXML(E1505,""/html/body/main/div[3]/div[3]/div[2]/ul/li[5]/span[2]/span"")"),"Loading...")</f>
        <v>Loading...</v>
      </c>
      <c r="J1505" s="7">
        <f ca="1">IFERROR(__xludf.DUMMYFUNCTION("GOOGLEFINANCE(""NSE:""&amp;D1505,""marketcap"")"),46638181333)</f>
        <v>46638181333</v>
      </c>
      <c r="K1505" s="7">
        <v>992.8</v>
      </c>
      <c r="L1505" s="8">
        <f ca="1">IFERROR(__xludf.DUMMYFUNCTION("GOOGLEFINANCE(""NSE:""&amp;D1505,""price"")"),138.5)</f>
        <v>138.5</v>
      </c>
      <c r="M1505" s="9">
        <f t="shared" ca="1" si="32"/>
        <v>-854.3</v>
      </c>
      <c r="N1505" s="10">
        <f t="shared" ca="1" si="33"/>
        <v>-86.049556809024978</v>
      </c>
      <c r="O1505" s="7" t="str">
        <f ca="1">IFERROR(__xludf.DUMMYFUNCTION("GOOGLEFINANCE(""NSE:""&amp;D1505,""pe"")"),"#N/A")</f>
        <v>#N/A</v>
      </c>
      <c r="P1505" s="7">
        <f ca="1">IFERROR(__xludf.DUMMYFUNCTION("GOOGLEFINANCE(""NSE:""&amp;D1505,""EPS"")"),-12.42)</f>
        <v>-12.42</v>
      </c>
      <c r="Q1505" s="7">
        <v>13.5</v>
      </c>
      <c r="R1505" s="7" t="str">
        <f ca="1">IFERROR(__xludf.DUMMYFUNCTION("IMPORTXML(E1505,""/html/body/main/div[3]/div[3]/div[2]/ul/li[7]/span[2]/span"")"),"Loading...")</f>
        <v>Loading...</v>
      </c>
      <c r="S1505" s="7" t="str">
        <f ca="1">IFERROR(__xludf.DUMMYFUNCTION("IMPORTXML(E1505,""/html/body/main/div[3]/div[3]/div[2]/ul/li[8]/span[2]/span"")"),"Loading...")</f>
        <v>Loading...</v>
      </c>
      <c r="T1505" s="4">
        <v>34.6</v>
      </c>
      <c r="U1505" s="4">
        <v>22.7</v>
      </c>
      <c r="V1505" s="4">
        <v>2.6</v>
      </c>
      <c r="W1505" s="4">
        <v>5.7</v>
      </c>
      <c r="X1505" s="4">
        <v>519.92999999999995</v>
      </c>
      <c r="Y1505" s="7">
        <f t="shared" ca="1" si="34"/>
        <v>-381.42999999999995</v>
      </c>
    </row>
    <row r="1506" spans="1:25" ht="15" x14ac:dyDescent="0.25">
      <c r="A1506" s="4">
        <v>496</v>
      </c>
      <c r="C1506" s="12" t="s">
        <v>3532</v>
      </c>
      <c r="D1506" s="12" t="s">
        <v>3533</v>
      </c>
      <c r="E1506" s="5" t="str">
        <f t="shared" si="30"/>
        <v>https://www.screener.in/company/HEMIPROP/consolidated/</v>
      </c>
      <c r="F1506" s="4">
        <v>443059</v>
      </c>
      <c r="G1506" s="4">
        <v>3832241897</v>
      </c>
      <c r="H1506" s="6">
        <f t="shared" ca="1" si="31"/>
        <v>68202.409040908999</v>
      </c>
      <c r="I1506" s="7" t="str">
        <f ca="1">IFERROR(__xludf.DUMMYFUNCTION("IMPORTXML(E1506,""/html/body/main/div[3]/div[3]/div[2]/ul/li[5]/span[2]/span"")"),"Loading...")</f>
        <v>Loading...</v>
      </c>
      <c r="J1506" s="7">
        <f ca="1">IFERROR(__xludf.DUMMYFUNCTION("GOOGLEFINANCE(""NSE:""&amp;D1506,""marketcap"")"),50263872542)</f>
        <v>50263872542</v>
      </c>
      <c r="K1506" s="7">
        <v>992.8</v>
      </c>
      <c r="L1506" s="8">
        <f ca="1">IFERROR(__xludf.DUMMYFUNCTION("GOOGLEFINANCE(""NSE:""&amp;D1506,""price"")"),177.97)</f>
        <v>177.97</v>
      </c>
      <c r="M1506" s="9">
        <f t="shared" ca="1" si="32"/>
        <v>-814.82999999999993</v>
      </c>
      <c r="N1506" s="10">
        <f t="shared" ca="1" si="33"/>
        <v>-82.073932312651081</v>
      </c>
      <c r="O1506" s="7" t="str">
        <f ca="1">IFERROR(__xludf.DUMMYFUNCTION("GOOGLEFINANCE(""NSE:""&amp;D1506,""pe"")"),"#N/A")</f>
        <v>#N/A</v>
      </c>
      <c r="P1506" s="7">
        <f ca="1">IFERROR(__xludf.DUMMYFUNCTION("GOOGLEFINANCE(""NSE:""&amp;D1506,""EPS"")"),-0.28)</f>
        <v>-0.28000000000000003</v>
      </c>
      <c r="Q1506" s="7">
        <v>13.5</v>
      </c>
      <c r="R1506" s="7" t="str">
        <f ca="1">IFERROR(__xludf.DUMMYFUNCTION("IMPORTXML(E1506,""/html/body/main/div[3]/div[3]/div[2]/ul/li[7]/span[2]/span"")"),"Loading...")</f>
        <v>Loading...</v>
      </c>
      <c r="S1506" s="7" t="str">
        <f ca="1">IFERROR(__xludf.DUMMYFUNCTION("IMPORTXML(E1506,""/html/body/main/div[3]/div[3]/div[2]/ul/li[8]/span[2]/span"")"),"Loading...")</f>
        <v>Loading...</v>
      </c>
      <c r="T1506" s="4">
        <v>34.6</v>
      </c>
      <c r="U1506" s="4">
        <v>22.7</v>
      </c>
      <c r="V1506" s="4">
        <v>2.6</v>
      </c>
      <c r="W1506" s="4">
        <v>5.7</v>
      </c>
      <c r="X1506" s="4">
        <v>519.92999999999995</v>
      </c>
      <c r="Y1506" s="7">
        <f t="shared" ca="1" si="34"/>
        <v>-341.95999999999992</v>
      </c>
    </row>
    <row r="1507" spans="1:25" ht="15" x14ac:dyDescent="0.25">
      <c r="A1507" s="4">
        <v>506</v>
      </c>
      <c r="C1507" s="41" t="s">
        <v>3534</v>
      </c>
      <c r="D1507" s="42"/>
      <c r="E1507" s="5" t="str">
        <f t="shared" si="30"/>
        <v>https://www.screener.in/company//consolidated/</v>
      </c>
      <c r="F1507" s="4">
        <v>443059</v>
      </c>
      <c r="G1507" s="4">
        <v>3832241897</v>
      </c>
      <c r="H1507" s="6" t="e">
        <f t="shared" ca="1" si="31"/>
        <v>#VALUE!</v>
      </c>
      <c r="I1507" s="7" t="str">
        <f ca="1">IFERROR(__xludf.DUMMYFUNCTION("IMPORTXML(E1507,""/html/body/main/div[3]/div[3]/div[2]/ul/li[5]/span[2]/span"")"),"Loading...")</f>
        <v>Loading...</v>
      </c>
      <c r="J1507" s="7" t="str">
        <f ca="1">IFERROR(__xludf.DUMMYFUNCTION("GOOGLEFINANCE(""NSE:""&amp;D1507,""marketcap"")"),"#N/A")</f>
        <v>#N/A</v>
      </c>
      <c r="K1507" s="7">
        <v>992.8</v>
      </c>
      <c r="L1507" s="8" t="str">
        <f ca="1">IFERROR(__xludf.DUMMYFUNCTION("GOOGLEFINANCE(""NSE:""&amp;D1507,""price"")"),"#N/A")</f>
        <v>#N/A</v>
      </c>
      <c r="M1507" s="9" t="e">
        <f t="shared" ca="1" si="32"/>
        <v>#VALUE!</v>
      </c>
      <c r="N1507" s="10" t="e">
        <f t="shared" ca="1" si="33"/>
        <v>#VALUE!</v>
      </c>
      <c r="O1507" s="7" t="str">
        <f ca="1">IFERROR(__xludf.DUMMYFUNCTION("GOOGLEFINANCE(""NSE:""&amp;D1507,""pe"")"),"#N/A")</f>
        <v>#N/A</v>
      </c>
      <c r="P1507" s="7" t="str">
        <f ca="1">IFERROR(__xludf.DUMMYFUNCTION("GOOGLEFINANCE(""NSE:""&amp;D1507,""EPS"")"),"#N/A")</f>
        <v>#N/A</v>
      </c>
      <c r="Q1507" s="7">
        <v>13.5</v>
      </c>
      <c r="R1507" s="7" t="str">
        <f ca="1">IFERROR(__xludf.DUMMYFUNCTION("IMPORTXML(E1507,""/html/body/main/div[3]/div[3]/div[2]/ul/li[7]/span[2]/span"")"),"Loading...")</f>
        <v>Loading...</v>
      </c>
      <c r="S1507" s="7" t="str">
        <f ca="1">IFERROR(__xludf.DUMMYFUNCTION("IMPORTXML(E1507,""/html/body/main/div[3]/div[3]/div[2]/ul/li[8]/span[2]/span"")"),"Loading...")</f>
        <v>Loading...</v>
      </c>
      <c r="T1507" s="4">
        <v>34.6</v>
      </c>
      <c r="U1507" s="4">
        <v>22.7</v>
      </c>
      <c r="V1507" s="4">
        <v>2.6</v>
      </c>
      <c r="W1507" s="4">
        <v>5.7</v>
      </c>
      <c r="X1507" s="4">
        <v>519.92999999999995</v>
      </c>
      <c r="Y1507" s="7" t="e">
        <f t="shared" ca="1" si="34"/>
        <v>#VALUE!</v>
      </c>
    </row>
    <row r="1508" spans="1:25" ht="15" x14ac:dyDescent="0.25">
      <c r="A1508" s="4">
        <v>507</v>
      </c>
      <c r="C1508" s="12" t="s">
        <v>3535</v>
      </c>
      <c r="D1508" s="12" t="s">
        <v>3536</v>
      </c>
      <c r="E1508" s="5" t="str">
        <f t="shared" si="30"/>
        <v>https://www.screener.in/company/EIEL/consolidated/</v>
      </c>
      <c r="F1508" s="4">
        <v>443059</v>
      </c>
      <c r="G1508" s="4">
        <v>3832241897</v>
      </c>
      <c r="H1508" s="6">
        <f t="shared" ca="1" si="31"/>
        <v>93851.604057529999</v>
      </c>
      <c r="I1508" s="7" t="str">
        <f ca="1">IFERROR(__xludf.DUMMYFUNCTION("IMPORTXML(E1508,""/html/body/main/div[3]/div[3]/div[2]/ul/li[5]/span[2]/span"")"),"Loading...")</f>
        <v>Loading...</v>
      </c>
      <c r="J1508" s="7">
        <f ca="1">IFERROR(__xludf.DUMMYFUNCTION("GOOGLEFINANCE(""NSE:""&amp;D1508,""marketcap"")"),42962952869)</f>
        <v>42962952869</v>
      </c>
      <c r="K1508" s="7">
        <v>992.8</v>
      </c>
      <c r="L1508" s="8">
        <f ca="1">IFERROR(__xludf.DUMMYFUNCTION("GOOGLEFINANCE(""NSE:""&amp;D1508,""price"")"),244.9)</f>
        <v>244.9</v>
      </c>
      <c r="M1508" s="9">
        <f t="shared" ca="1" si="32"/>
        <v>-747.9</v>
      </c>
      <c r="N1508" s="10">
        <f t="shared" ca="1" si="33"/>
        <v>-75.332393231265101</v>
      </c>
      <c r="O1508" s="7">
        <f ca="1">IFERROR(__xludf.DUMMYFUNCTION("GOOGLEFINANCE(""NSE:""&amp;D1508,""pe"")"),20.81)</f>
        <v>20.81</v>
      </c>
      <c r="P1508" s="7">
        <f ca="1">IFERROR(__xludf.DUMMYFUNCTION("GOOGLEFINANCE(""NSE:""&amp;D1508,""EPS"")"),11.77)</f>
        <v>11.77</v>
      </c>
      <c r="Q1508" s="7">
        <v>13.5</v>
      </c>
      <c r="R1508" s="7" t="str">
        <f ca="1">IFERROR(__xludf.DUMMYFUNCTION("IMPORTXML(E1508,""/html/body/main/div[3]/div[3]/div[2]/ul/li[7]/span[2]/span"")"),"Loading...")</f>
        <v>Loading...</v>
      </c>
      <c r="S1508" s="7" t="str">
        <f ca="1">IFERROR(__xludf.DUMMYFUNCTION("IMPORTXML(E1508,""/html/body/main/div[3]/div[3]/div[2]/ul/li[8]/span[2]/span"")"),"Loading...")</f>
        <v>Loading...</v>
      </c>
      <c r="T1508" s="4">
        <v>34.6</v>
      </c>
      <c r="U1508" s="4">
        <v>22.7</v>
      </c>
      <c r="V1508" s="4">
        <v>2.6</v>
      </c>
      <c r="W1508" s="4">
        <v>5.7</v>
      </c>
      <c r="X1508" s="4">
        <v>519.92999999999995</v>
      </c>
      <c r="Y1508" s="7">
        <f t="shared" ca="1" si="34"/>
        <v>-275.02999999999997</v>
      </c>
    </row>
    <row r="1509" spans="1:25" ht="15" x14ac:dyDescent="0.25">
      <c r="A1509" s="4">
        <v>515</v>
      </c>
      <c r="C1509" s="12" t="s">
        <v>3537</v>
      </c>
      <c r="D1509" s="37"/>
      <c r="E1509" s="5" t="str">
        <f t="shared" si="30"/>
        <v>https://www.screener.in/company//consolidated/</v>
      </c>
      <c r="F1509" s="4">
        <v>443059</v>
      </c>
      <c r="G1509" s="4">
        <v>3832241897</v>
      </c>
      <c r="H1509" s="6" t="e">
        <f t="shared" ca="1" si="31"/>
        <v>#VALUE!</v>
      </c>
      <c r="I1509" s="7" t="str">
        <f ca="1">IFERROR(__xludf.DUMMYFUNCTION("IMPORTXML(E1509,""/html/body/main/div[3]/div[3]/div[2]/ul/li[5]/span[2]/span"")"),"Loading...")</f>
        <v>Loading...</v>
      </c>
      <c r="J1509" s="7" t="str">
        <f ca="1">IFERROR(__xludf.DUMMYFUNCTION("GOOGLEFINANCE(""NSE:""&amp;D1509,""marketcap"")"),"#N/A")</f>
        <v>#N/A</v>
      </c>
      <c r="K1509" s="7">
        <v>992.8</v>
      </c>
      <c r="L1509" s="8" t="str">
        <f ca="1">IFERROR(__xludf.DUMMYFUNCTION("GOOGLEFINANCE(""NSE:""&amp;D1509,""price"")"),"#N/A")</f>
        <v>#N/A</v>
      </c>
      <c r="M1509" s="9" t="e">
        <f t="shared" ca="1" si="32"/>
        <v>#VALUE!</v>
      </c>
      <c r="N1509" s="10" t="e">
        <f t="shared" ca="1" si="33"/>
        <v>#VALUE!</v>
      </c>
      <c r="O1509" s="7" t="str">
        <f ca="1">IFERROR(__xludf.DUMMYFUNCTION("GOOGLEFINANCE(""NSE:""&amp;D1509,""pe"")"),"#N/A")</f>
        <v>#N/A</v>
      </c>
      <c r="P1509" s="7" t="str">
        <f ca="1">IFERROR(__xludf.DUMMYFUNCTION("GOOGLEFINANCE(""NSE:""&amp;D1509,""EPS"")"),"#N/A")</f>
        <v>#N/A</v>
      </c>
      <c r="Q1509" s="7">
        <v>13.5</v>
      </c>
      <c r="R1509" s="7" t="str">
        <f ca="1">IFERROR(__xludf.DUMMYFUNCTION("IMPORTXML(E1509,""/html/body/main/div[3]/div[3]/div[2]/ul/li[7]/span[2]/span"")"),"Loading...")</f>
        <v>Loading...</v>
      </c>
      <c r="S1509" s="7" t="str">
        <f ca="1">IFERROR(__xludf.DUMMYFUNCTION("IMPORTXML(E1509,""/html/body/main/div[3]/div[3]/div[2]/ul/li[8]/span[2]/span"")"),"Loading...")</f>
        <v>Loading...</v>
      </c>
      <c r="T1509" s="4">
        <v>34.6</v>
      </c>
      <c r="U1509" s="4">
        <v>22.7</v>
      </c>
      <c r="V1509" s="4">
        <v>2.6</v>
      </c>
      <c r="W1509" s="4">
        <v>5.7</v>
      </c>
      <c r="X1509" s="4">
        <v>519.92999999999995</v>
      </c>
      <c r="Y1509" s="7" t="e">
        <f t="shared" ca="1" si="34"/>
        <v>#VALUE!</v>
      </c>
    </row>
    <row r="1510" spans="1:25" ht="15" x14ac:dyDescent="0.25">
      <c r="A1510" s="4">
        <v>519</v>
      </c>
      <c r="C1510" s="12" t="s">
        <v>3538</v>
      </c>
      <c r="D1510" s="12" t="s">
        <v>3539</v>
      </c>
      <c r="E1510" s="5" t="str">
        <f t="shared" si="30"/>
        <v>https://www.screener.in/company/RBA/consolidated/</v>
      </c>
      <c r="F1510" s="4">
        <v>443059</v>
      </c>
      <c r="G1510" s="4">
        <v>3832241897</v>
      </c>
      <c r="H1510" s="6">
        <f t="shared" ca="1" si="31"/>
        <v>30562.129128575001</v>
      </c>
      <c r="I1510" s="7" t="str">
        <f ca="1">IFERROR(__xludf.DUMMYFUNCTION("IMPORTXML(E1510,""/html/body/main/div[3]/div[3]/div[2]/ul/li[5]/span[2]/span"")"),"Loading...")</f>
        <v>Loading...</v>
      </c>
      <c r="J1510" s="7">
        <f ca="1">IFERROR(__xludf.DUMMYFUNCTION("GOOGLEFINANCE(""NSE:""&amp;D1510,""marketcap"")"),46429819975)</f>
        <v>46429819975</v>
      </c>
      <c r="K1510" s="7">
        <v>992.8</v>
      </c>
      <c r="L1510" s="8">
        <f ca="1">IFERROR(__xludf.DUMMYFUNCTION("GOOGLEFINANCE(""NSE:""&amp;D1510,""price"")"),79.75)</f>
        <v>79.75</v>
      </c>
      <c r="M1510" s="9">
        <f t="shared" ca="1" si="32"/>
        <v>-913.05</v>
      </c>
      <c r="N1510" s="10">
        <f t="shared" ca="1" si="33"/>
        <v>-91.967163577759862</v>
      </c>
      <c r="O1510" s="7" t="str">
        <f ca="1">IFERROR(__xludf.DUMMYFUNCTION("GOOGLEFINANCE(""NSE:""&amp;D1510,""pe"")"),"#N/A")</f>
        <v>#N/A</v>
      </c>
      <c r="P1510" s="7">
        <f ca="1">IFERROR(__xludf.DUMMYFUNCTION("GOOGLEFINANCE(""NSE:""&amp;D1510,""EPS"")"),-4.06)</f>
        <v>-4.0599999999999996</v>
      </c>
      <c r="Q1510" s="7">
        <v>13.5</v>
      </c>
      <c r="R1510" s="7" t="str">
        <f ca="1">IFERROR(__xludf.DUMMYFUNCTION("IMPORTXML(E1510,""/html/body/main/div[3]/div[3]/div[2]/ul/li[7]/span[2]/span"")"),"Loading...")</f>
        <v>Loading...</v>
      </c>
      <c r="S1510" s="7" t="str">
        <f ca="1">IFERROR(__xludf.DUMMYFUNCTION("IMPORTXML(E1510,""/html/body/main/div[3]/div[3]/div[2]/ul/li[8]/span[2]/span"")"),"Loading...")</f>
        <v>Loading...</v>
      </c>
      <c r="T1510" s="4">
        <v>34.6</v>
      </c>
      <c r="U1510" s="4">
        <v>22.7</v>
      </c>
      <c r="V1510" s="4">
        <v>2.6</v>
      </c>
      <c r="W1510" s="4">
        <v>5.7</v>
      </c>
      <c r="X1510" s="4">
        <v>519.92999999999995</v>
      </c>
      <c r="Y1510" s="7">
        <f t="shared" ca="1" si="34"/>
        <v>-440.17999999999995</v>
      </c>
    </row>
    <row r="1511" spans="1:25" ht="15" x14ac:dyDescent="0.25">
      <c r="A1511" s="4">
        <v>533</v>
      </c>
      <c r="C1511" s="12" t="s">
        <v>3540</v>
      </c>
      <c r="D1511" s="12" t="s">
        <v>3541</v>
      </c>
      <c r="E1511" s="5" t="str">
        <f t="shared" si="30"/>
        <v>https://www.screener.in/company/BAJAJHIND/consolidated/</v>
      </c>
      <c r="F1511" s="4">
        <v>443059</v>
      </c>
      <c r="G1511" s="4">
        <v>3832241897</v>
      </c>
      <c r="H1511" s="6">
        <f t="shared" ca="1" si="31"/>
        <v>8135.8495473309995</v>
      </c>
      <c r="I1511" s="7" t="str">
        <f ca="1">IFERROR(__xludf.DUMMYFUNCTION("IMPORTXML(E1511,""/html/body/main/div[3]/div[3]/div[2]/ul/li[5]/span[2]/span"")"),"Loading...")</f>
        <v>Loading...</v>
      </c>
      <c r="J1511" s="7">
        <f ca="1">IFERROR(__xludf.DUMMYFUNCTION("GOOGLEFINANCE(""NSE:""&amp;D1511,""marketcap"")"),26915024214)</f>
        <v>26915024214</v>
      </c>
      <c r="K1511" s="7">
        <v>992.8</v>
      </c>
      <c r="L1511" s="8">
        <f ca="1">IFERROR(__xludf.DUMMYFUNCTION("GOOGLEFINANCE(""NSE:""&amp;D1511,""price"")"),21.23)</f>
        <v>21.23</v>
      </c>
      <c r="M1511" s="9">
        <f t="shared" ca="1" si="32"/>
        <v>-971.56999999999994</v>
      </c>
      <c r="N1511" s="10">
        <f t="shared" ca="1" si="33"/>
        <v>-97.861603545527799</v>
      </c>
      <c r="O1511" s="7" t="str">
        <f ca="1">IFERROR(__xludf.DUMMYFUNCTION("GOOGLEFINANCE(""NSE:""&amp;D1511,""pe"")"),"#N/A")</f>
        <v>#N/A</v>
      </c>
      <c r="P1511" s="7">
        <f ca="1">IFERROR(__xludf.DUMMYFUNCTION("GOOGLEFINANCE(""NSE:""&amp;D1511,""EPS"")"),-1.06)</f>
        <v>-1.06</v>
      </c>
      <c r="Q1511" s="7">
        <v>13.5</v>
      </c>
      <c r="R1511" s="7" t="str">
        <f ca="1">IFERROR(__xludf.DUMMYFUNCTION("IMPORTXML(E1511,""/html/body/main/div[3]/div[3]/div[2]/ul/li[7]/span[2]/span"")"),"Loading...")</f>
        <v>Loading...</v>
      </c>
      <c r="S1511" s="7" t="str">
        <f ca="1">IFERROR(__xludf.DUMMYFUNCTION("IMPORTXML(E1511,""/html/body/main/div[3]/div[3]/div[2]/ul/li[8]/span[2]/span"")"),"Loading...")</f>
        <v>Loading...</v>
      </c>
      <c r="T1511" s="4">
        <v>34.6</v>
      </c>
      <c r="U1511" s="4">
        <v>22.7</v>
      </c>
      <c r="V1511" s="4">
        <v>2.6</v>
      </c>
      <c r="W1511" s="4">
        <v>5.7</v>
      </c>
      <c r="X1511" s="4">
        <v>519.92999999999995</v>
      </c>
      <c r="Y1511" s="7">
        <f t="shared" ca="1" si="34"/>
        <v>-498.69999999999993</v>
      </c>
    </row>
    <row r="1512" spans="1:25" ht="15" x14ac:dyDescent="0.25">
      <c r="A1512" s="4">
        <v>534</v>
      </c>
      <c r="C1512" s="12" t="s">
        <v>3542</v>
      </c>
      <c r="D1512" s="12" t="s">
        <v>3543</v>
      </c>
      <c r="E1512" s="5" t="str">
        <f t="shared" si="30"/>
        <v>https://www.screener.in/company/UNICHEMLAB/consolidated/</v>
      </c>
      <c r="F1512" s="4">
        <v>443059</v>
      </c>
      <c r="G1512" s="4">
        <v>3832241897</v>
      </c>
      <c r="H1512" s="6">
        <f t="shared" ca="1" si="31"/>
        <v>190462.42228090001</v>
      </c>
      <c r="I1512" s="7" t="str">
        <f ca="1">IFERROR(__xludf.DUMMYFUNCTION("IMPORTXML(E1512,""/html/body/main/div[3]/div[3]/div[2]/ul/li[5]/span[2]/span"")"),"Loading...")</f>
        <v>Loading...</v>
      </c>
      <c r="J1512" s="7">
        <f ca="1">IFERROR(__xludf.DUMMYFUNCTION("GOOGLEFINANCE(""NSE:""&amp;D1512,""marketcap"")"),34991652780)</f>
        <v>34991652780</v>
      </c>
      <c r="K1512" s="7">
        <v>992.8</v>
      </c>
      <c r="L1512" s="8">
        <f ca="1">IFERROR(__xludf.DUMMYFUNCTION("GOOGLEFINANCE(""NSE:""&amp;D1512,""price"")"),497)</f>
        <v>497</v>
      </c>
      <c r="M1512" s="9">
        <f t="shared" ca="1" si="32"/>
        <v>-495.79999999999995</v>
      </c>
      <c r="N1512" s="10">
        <f t="shared" ca="1" si="33"/>
        <v>-49.939564867042705</v>
      </c>
      <c r="O1512" s="7">
        <f ca="1">IFERROR(__xludf.DUMMYFUNCTION("GOOGLEFINANCE(""NSE:""&amp;D1512,""pe"")"),26.83)</f>
        <v>26.83</v>
      </c>
      <c r="P1512" s="7">
        <f ca="1">IFERROR(__xludf.DUMMYFUNCTION("GOOGLEFINANCE(""NSE:""&amp;D1512,""EPS"")"),18.52)</f>
        <v>18.52</v>
      </c>
      <c r="Q1512" s="7">
        <v>13.5</v>
      </c>
      <c r="R1512" s="7" t="str">
        <f ca="1">IFERROR(__xludf.DUMMYFUNCTION("IMPORTXML(E1512,""/html/body/main/div[3]/div[3]/div[2]/ul/li[7]/span[2]/span"")"),"Loading...")</f>
        <v>Loading...</v>
      </c>
      <c r="S1512" s="7" t="str">
        <f ca="1">IFERROR(__xludf.DUMMYFUNCTION("IMPORTXML(E1512,""/html/body/main/div[3]/div[3]/div[2]/ul/li[8]/span[2]/span"")"),"Loading...")</f>
        <v>Loading...</v>
      </c>
      <c r="T1512" s="4">
        <v>34.6</v>
      </c>
      <c r="U1512" s="4">
        <v>22.7</v>
      </c>
      <c r="V1512" s="4">
        <v>2.6</v>
      </c>
      <c r="W1512" s="4">
        <v>5.7</v>
      </c>
      <c r="X1512" s="4">
        <v>519.92999999999995</v>
      </c>
      <c r="Y1512" s="7">
        <f t="shared" ca="1" si="34"/>
        <v>-22.92999999999995</v>
      </c>
    </row>
    <row r="1513" spans="1:25" ht="15" x14ac:dyDescent="0.25">
      <c r="A1513" s="4">
        <v>544</v>
      </c>
      <c r="C1513" s="12" t="s">
        <v>3544</v>
      </c>
      <c r="D1513" s="12" t="s">
        <v>3545</v>
      </c>
      <c r="E1513" s="5" t="str">
        <f t="shared" si="30"/>
        <v>https://www.screener.in/company/JISLJALEQS/consolidated/</v>
      </c>
      <c r="F1513" s="4">
        <v>443059</v>
      </c>
      <c r="G1513" s="4">
        <v>3832241897</v>
      </c>
      <c r="H1513" s="6">
        <f t="shared" ca="1" si="31"/>
        <v>20690.274001902999</v>
      </c>
      <c r="I1513" s="7" t="str">
        <f ca="1">IFERROR(__xludf.DUMMYFUNCTION("IMPORTXML(E1513,""/html/body/main/div[3]/div[3]/div[2]/ul/li[5]/span[2]/span"")"),"Loading...")</f>
        <v>Loading...</v>
      </c>
      <c r="J1513" s="7">
        <f ca="1">IFERROR(__xludf.DUMMYFUNCTION("GOOGLEFINANCE(""NSE:""&amp;D1513,""marketcap"")"),39032364529)</f>
        <v>39032364529</v>
      </c>
      <c r="K1513" s="7">
        <v>992.8</v>
      </c>
      <c r="L1513" s="8">
        <f ca="1">IFERROR(__xludf.DUMMYFUNCTION("GOOGLEFINANCE(""NSE:""&amp;D1513,""price"")"),53.99)</f>
        <v>53.99</v>
      </c>
      <c r="M1513" s="9">
        <f t="shared" ca="1" si="32"/>
        <v>-938.81</v>
      </c>
      <c r="N1513" s="10">
        <f t="shared" ca="1" si="33"/>
        <v>-94.561845286059636</v>
      </c>
      <c r="O1513" s="7">
        <f ca="1">IFERROR(__xludf.DUMMYFUNCTION("GOOGLEFINANCE(""NSE:""&amp;D1513,""pe"")"),112.48)</f>
        <v>112.48</v>
      </c>
      <c r="P1513" s="7">
        <f ca="1">IFERROR(__xludf.DUMMYFUNCTION("GOOGLEFINANCE(""NSE:""&amp;D1513,""EPS"")"),0.48)</f>
        <v>0.48</v>
      </c>
      <c r="Q1513" s="7">
        <v>13.5</v>
      </c>
      <c r="R1513" s="7" t="str">
        <f ca="1">IFERROR(__xludf.DUMMYFUNCTION("IMPORTXML(E1513,""/html/body/main/div[3]/div[3]/div[2]/ul/li[7]/span[2]/span"")"),"Loading...")</f>
        <v>Loading...</v>
      </c>
      <c r="S1513" s="7" t="str">
        <f ca="1">IFERROR(__xludf.DUMMYFUNCTION("IMPORTXML(E1513,""/html/body/main/div[3]/div[3]/div[2]/ul/li[8]/span[2]/span"")"),"Loading...")</f>
        <v>Loading...</v>
      </c>
      <c r="T1513" s="4">
        <v>34.6</v>
      </c>
      <c r="U1513" s="4">
        <v>22.7</v>
      </c>
      <c r="V1513" s="4">
        <v>2.6</v>
      </c>
      <c r="W1513" s="4">
        <v>5.7</v>
      </c>
      <c r="X1513" s="4">
        <v>519.92999999999995</v>
      </c>
      <c r="Y1513" s="7">
        <f t="shared" ca="1" si="34"/>
        <v>-465.93999999999994</v>
      </c>
    </row>
    <row r="1514" spans="1:25" ht="15" x14ac:dyDescent="0.25">
      <c r="A1514" s="4">
        <v>546</v>
      </c>
      <c r="C1514" s="41" t="s">
        <v>3546</v>
      </c>
      <c r="D1514" s="42"/>
      <c r="E1514" s="5" t="str">
        <f t="shared" si="30"/>
        <v>https://www.screener.in/company//consolidated/</v>
      </c>
      <c r="F1514" s="4">
        <v>443059</v>
      </c>
      <c r="G1514" s="4">
        <v>3832241897</v>
      </c>
      <c r="H1514" s="6" t="e">
        <f t="shared" ca="1" si="31"/>
        <v>#VALUE!</v>
      </c>
      <c r="I1514" s="7" t="str">
        <f ca="1">IFERROR(__xludf.DUMMYFUNCTION("IMPORTXML(E1514,""/html/body/main/div[3]/div[3]/div[2]/ul/li[5]/span[2]/span"")"),"Loading...")</f>
        <v>Loading...</v>
      </c>
      <c r="J1514" s="7" t="str">
        <f ca="1">IFERROR(__xludf.DUMMYFUNCTION("GOOGLEFINANCE(""NSE:""&amp;D1514,""marketcap"")"),"#N/A")</f>
        <v>#N/A</v>
      </c>
      <c r="K1514" s="7">
        <v>992.8</v>
      </c>
      <c r="L1514" s="8" t="str">
        <f ca="1">IFERROR(__xludf.DUMMYFUNCTION("GOOGLEFINANCE(""NSE:""&amp;D1514,""price"")"),"#N/A")</f>
        <v>#N/A</v>
      </c>
      <c r="M1514" s="9" t="e">
        <f t="shared" ca="1" si="32"/>
        <v>#VALUE!</v>
      </c>
      <c r="N1514" s="10" t="e">
        <f t="shared" ca="1" si="33"/>
        <v>#VALUE!</v>
      </c>
      <c r="O1514" s="7" t="str">
        <f ca="1">IFERROR(__xludf.DUMMYFUNCTION("GOOGLEFINANCE(""NSE:""&amp;D1514,""pe"")"),"#N/A")</f>
        <v>#N/A</v>
      </c>
      <c r="P1514" s="7" t="str">
        <f ca="1">IFERROR(__xludf.DUMMYFUNCTION("GOOGLEFINANCE(""NSE:""&amp;D1514,""EPS"")"),"#N/A")</f>
        <v>#N/A</v>
      </c>
      <c r="Q1514" s="7">
        <v>13.5</v>
      </c>
      <c r="R1514" s="7" t="str">
        <f ca="1">IFERROR(__xludf.DUMMYFUNCTION("IMPORTXML(E1514,""/html/body/main/div[3]/div[3]/div[2]/ul/li[7]/span[2]/span"")"),"Loading...")</f>
        <v>Loading...</v>
      </c>
      <c r="S1514" s="7" t="str">
        <f ca="1">IFERROR(__xludf.DUMMYFUNCTION("IMPORTXML(E1514,""/html/body/main/div[3]/div[3]/div[2]/ul/li[8]/span[2]/span"")"),"Loading...")</f>
        <v>Loading...</v>
      </c>
      <c r="T1514" s="4">
        <v>34.6</v>
      </c>
      <c r="U1514" s="4">
        <v>22.7</v>
      </c>
      <c r="V1514" s="4">
        <v>2.6</v>
      </c>
      <c r="W1514" s="4">
        <v>5.7</v>
      </c>
      <c r="X1514" s="4">
        <v>519.92999999999995</v>
      </c>
      <c r="Y1514" s="7" t="e">
        <f t="shared" ca="1" si="34"/>
        <v>#VALUE!</v>
      </c>
    </row>
    <row r="1515" spans="1:25" ht="15" x14ac:dyDescent="0.25">
      <c r="A1515" s="4">
        <v>549</v>
      </c>
      <c r="C1515" s="41" t="s">
        <v>3547</v>
      </c>
      <c r="D1515" s="42"/>
      <c r="E1515" s="5" t="str">
        <f t="shared" si="30"/>
        <v>https://www.screener.in/company//consolidated/</v>
      </c>
      <c r="F1515" s="4">
        <v>443059</v>
      </c>
      <c r="G1515" s="4">
        <v>3832241897</v>
      </c>
      <c r="H1515" s="6" t="e">
        <f t="shared" ca="1" si="31"/>
        <v>#VALUE!</v>
      </c>
      <c r="I1515" s="7" t="str">
        <f ca="1">IFERROR(__xludf.DUMMYFUNCTION("IMPORTXML(E1515,""/html/body/main/div[3]/div[3]/div[2]/ul/li[5]/span[2]/span"")"),"Loading...")</f>
        <v>Loading...</v>
      </c>
      <c r="J1515" s="7" t="str">
        <f ca="1">IFERROR(__xludf.DUMMYFUNCTION("GOOGLEFINANCE(""NSE:""&amp;D1515,""marketcap"")"),"#N/A")</f>
        <v>#N/A</v>
      </c>
      <c r="K1515" s="7">
        <v>992.8</v>
      </c>
      <c r="L1515" s="8" t="str">
        <f ca="1">IFERROR(__xludf.DUMMYFUNCTION("GOOGLEFINANCE(""NSE:""&amp;D1515,""price"")"),"#N/A")</f>
        <v>#N/A</v>
      </c>
      <c r="M1515" s="9" t="e">
        <f t="shared" ca="1" si="32"/>
        <v>#VALUE!</v>
      </c>
      <c r="N1515" s="10" t="e">
        <f t="shared" ca="1" si="33"/>
        <v>#VALUE!</v>
      </c>
      <c r="O1515" s="7" t="str">
        <f ca="1">IFERROR(__xludf.DUMMYFUNCTION("GOOGLEFINANCE(""NSE:""&amp;D1515,""pe"")"),"#N/A")</f>
        <v>#N/A</v>
      </c>
      <c r="P1515" s="7" t="str">
        <f ca="1">IFERROR(__xludf.DUMMYFUNCTION("GOOGLEFINANCE(""NSE:""&amp;D1515,""EPS"")"),"#N/A")</f>
        <v>#N/A</v>
      </c>
      <c r="Q1515" s="7">
        <v>13.5</v>
      </c>
      <c r="R1515" s="7" t="str">
        <f ca="1">IFERROR(__xludf.DUMMYFUNCTION("IMPORTXML(E1515,""/html/body/main/div[3]/div[3]/div[2]/ul/li[7]/span[2]/span"")"),"Loading...")</f>
        <v>Loading...</v>
      </c>
      <c r="S1515" s="7" t="str">
        <f ca="1">IFERROR(__xludf.DUMMYFUNCTION("IMPORTXML(E1515,""/html/body/main/div[3]/div[3]/div[2]/ul/li[8]/span[2]/span"")"),"Loading...")</f>
        <v>Loading...</v>
      </c>
      <c r="T1515" s="4">
        <v>34.6</v>
      </c>
      <c r="U1515" s="4">
        <v>22.7</v>
      </c>
      <c r="V1515" s="4">
        <v>2.6</v>
      </c>
      <c r="W1515" s="4">
        <v>5.7</v>
      </c>
      <c r="X1515" s="4">
        <v>519.92999999999995</v>
      </c>
      <c r="Y1515" s="7" t="e">
        <f t="shared" ca="1" si="34"/>
        <v>#VALUE!</v>
      </c>
    </row>
    <row r="1516" spans="1:25" ht="15" x14ac:dyDescent="0.25">
      <c r="A1516" s="4">
        <v>552</v>
      </c>
      <c r="C1516" s="41" t="s">
        <v>3548</v>
      </c>
      <c r="D1516" s="42"/>
      <c r="E1516" s="5" t="str">
        <f t="shared" si="30"/>
        <v>https://www.screener.in/company//consolidated/</v>
      </c>
      <c r="F1516" s="4">
        <v>443059</v>
      </c>
      <c r="G1516" s="4">
        <v>3832241897</v>
      </c>
      <c r="H1516" s="6" t="e">
        <f t="shared" ca="1" si="31"/>
        <v>#VALUE!</v>
      </c>
      <c r="I1516" s="7" t="str">
        <f ca="1">IFERROR(__xludf.DUMMYFUNCTION("IMPORTXML(E1516,""/html/body/main/div[3]/div[3]/div[2]/ul/li[5]/span[2]/span"")"),"Loading...")</f>
        <v>Loading...</v>
      </c>
      <c r="J1516" s="7" t="str">
        <f ca="1">IFERROR(__xludf.DUMMYFUNCTION("GOOGLEFINANCE(""NSE:""&amp;D1516,""marketcap"")"),"#N/A")</f>
        <v>#N/A</v>
      </c>
      <c r="K1516" s="7">
        <v>992.8</v>
      </c>
      <c r="L1516" s="8" t="str">
        <f ca="1">IFERROR(__xludf.DUMMYFUNCTION("GOOGLEFINANCE(""NSE:""&amp;D1516,""price"")"),"#N/A")</f>
        <v>#N/A</v>
      </c>
      <c r="M1516" s="9" t="e">
        <f t="shared" ca="1" si="32"/>
        <v>#VALUE!</v>
      </c>
      <c r="N1516" s="10" t="e">
        <f t="shared" ca="1" si="33"/>
        <v>#VALUE!</v>
      </c>
      <c r="O1516" s="7" t="str">
        <f ca="1">IFERROR(__xludf.DUMMYFUNCTION("GOOGLEFINANCE(""NSE:""&amp;D1516,""pe"")"),"#N/A")</f>
        <v>#N/A</v>
      </c>
      <c r="P1516" s="7" t="str">
        <f ca="1">IFERROR(__xludf.DUMMYFUNCTION("GOOGLEFINANCE(""NSE:""&amp;D1516,""EPS"")"),"#N/A")</f>
        <v>#N/A</v>
      </c>
      <c r="Q1516" s="7">
        <v>13.5</v>
      </c>
      <c r="R1516" s="7" t="str">
        <f ca="1">IFERROR(__xludf.DUMMYFUNCTION("IMPORTXML(E1516,""/html/body/main/div[3]/div[3]/div[2]/ul/li[7]/span[2]/span"")"),"Loading...")</f>
        <v>Loading...</v>
      </c>
      <c r="S1516" s="7" t="str">
        <f ca="1">IFERROR(__xludf.DUMMYFUNCTION("IMPORTXML(E1516,""/html/body/main/div[3]/div[3]/div[2]/ul/li[8]/span[2]/span"")"),"Loading...")</f>
        <v>Loading...</v>
      </c>
      <c r="T1516" s="4">
        <v>34.6</v>
      </c>
      <c r="U1516" s="4">
        <v>22.7</v>
      </c>
      <c r="V1516" s="4">
        <v>2.6</v>
      </c>
      <c r="W1516" s="4">
        <v>5.7</v>
      </c>
      <c r="X1516" s="4">
        <v>519.92999999999995</v>
      </c>
      <c r="Y1516" s="7" t="e">
        <f t="shared" ca="1" si="34"/>
        <v>#VALUE!</v>
      </c>
    </row>
    <row r="1517" spans="1:25" ht="15" x14ac:dyDescent="0.25">
      <c r="A1517" s="4">
        <v>553</v>
      </c>
      <c r="C1517" s="41" t="s">
        <v>3549</v>
      </c>
      <c r="D1517" s="42"/>
      <c r="E1517" s="5" t="str">
        <f t="shared" si="30"/>
        <v>https://www.screener.in/company//consolidated/</v>
      </c>
      <c r="F1517" s="4">
        <v>443059</v>
      </c>
      <c r="G1517" s="4">
        <v>3832241897</v>
      </c>
      <c r="H1517" s="6" t="e">
        <f t="shared" ca="1" si="31"/>
        <v>#VALUE!</v>
      </c>
      <c r="I1517" s="7" t="str">
        <f ca="1">IFERROR(__xludf.DUMMYFUNCTION("IMPORTXML(E1517,""/html/body/main/div[3]/div[3]/div[2]/ul/li[5]/span[2]/span"")"),"Loading...")</f>
        <v>Loading...</v>
      </c>
      <c r="J1517" s="7" t="str">
        <f ca="1">IFERROR(__xludf.DUMMYFUNCTION("GOOGLEFINANCE(""NSE:""&amp;D1517,""marketcap"")"),"#N/A")</f>
        <v>#N/A</v>
      </c>
      <c r="K1517" s="7">
        <v>992.8</v>
      </c>
      <c r="L1517" s="8" t="str">
        <f ca="1">IFERROR(__xludf.DUMMYFUNCTION("GOOGLEFINANCE(""NSE:""&amp;D1517,""price"")"),"#N/A")</f>
        <v>#N/A</v>
      </c>
      <c r="M1517" s="9" t="e">
        <f t="shared" ca="1" si="32"/>
        <v>#VALUE!</v>
      </c>
      <c r="N1517" s="10" t="e">
        <f t="shared" ca="1" si="33"/>
        <v>#VALUE!</v>
      </c>
      <c r="O1517" s="7" t="str">
        <f ca="1">IFERROR(__xludf.DUMMYFUNCTION("GOOGLEFINANCE(""NSE:""&amp;D1517,""pe"")"),"#N/A")</f>
        <v>#N/A</v>
      </c>
      <c r="P1517" s="7" t="str">
        <f ca="1">IFERROR(__xludf.DUMMYFUNCTION("GOOGLEFINANCE(""NSE:""&amp;D1517,""EPS"")"),"#N/A")</f>
        <v>#N/A</v>
      </c>
      <c r="Q1517" s="7">
        <v>13.5</v>
      </c>
      <c r="R1517" s="7" t="str">
        <f ca="1">IFERROR(__xludf.DUMMYFUNCTION("IMPORTXML(E1517,""/html/body/main/div[3]/div[3]/div[2]/ul/li[7]/span[2]/span"")"),"Loading...")</f>
        <v>Loading...</v>
      </c>
      <c r="S1517" s="7" t="str">
        <f ca="1">IFERROR(__xludf.DUMMYFUNCTION("IMPORTXML(E1517,""/html/body/main/div[3]/div[3]/div[2]/ul/li[8]/span[2]/span"")"),"Loading...")</f>
        <v>Loading...</v>
      </c>
      <c r="T1517" s="4">
        <v>34.6</v>
      </c>
      <c r="U1517" s="4">
        <v>22.7</v>
      </c>
      <c r="V1517" s="4">
        <v>2.6</v>
      </c>
      <c r="W1517" s="4">
        <v>5.7</v>
      </c>
      <c r="X1517" s="4">
        <v>519.92999999999995</v>
      </c>
      <c r="Y1517" s="7" t="e">
        <f t="shared" ca="1" si="34"/>
        <v>#VALUE!</v>
      </c>
    </row>
    <row r="1518" spans="1:25" ht="15" x14ac:dyDescent="0.25">
      <c r="A1518" s="4">
        <v>556</v>
      </c>
      <c r="C1518" s="12" t="s">
        <v>3550</v>
      </c>
      <c r="D1518" s="12" t="s">
        <v>3551</v>
      </c>
      <c r="E1518" s="5" t="str">
        <f t="shared" si="30"/>
        <v>https://www.screener.in/company/STYRENIX/consolidated/</v>
      </c>
      <c r="F1518" s="4">
        <v>443059</v>
      </c>
      <c r="G1518" s="4">
        <v>3832241897</v>
      </c>
      <c r="H1518" s="6">
        <f t="shared" ca="1" si="31"/>
        <v>1032712.5464035602</v>
      </c>
      <c r="I1518" s="7" t="str">
        <f ca="1">IFERROR(__xludf.DUMMYFUNCTION("IMPORTXML(E1518,""/html/body/main/div[3]/div[3]/div[2]/ul/li[5]/span[2]/span"")"),"Loading...")</f>
        <v>Loading...</v>
      </c>
      <c r="J1518" s="7">
        <f ca="1">IFERROR(__xludf.DUMMYFUNCTION("GOOGLEFINANCE(""NSE:""&amp;D1518,""marketcap"")"),47103100000)</f>
        <v>47103100000</v>
      </c>
      <c r="K1518" s="7">
        <v>992.8</v>
      </c>
      <c r="L1518" s="8">
        <f ca="1">IFERROR(__xludf.DUMMYFUNCTION("GOOGLEFINANCE(""NSE:""&amp;D1518,""price"")"),2694.8)</f>
        <v>2694.8</v>
      </c>
      <c r="M1518" s="9">
        <f t="shared" ca="1" si="32"/>
        <v>1702.0000000000002</v>
      </c>
      <c r="N1518" s="10">
        <f t="shared" ca="1" si="33"/>
        <v>171.43432715551978</v>
      </c>
      <c r="O1518" s="7" t="str">
        <f ca="1">IFERROR(__xludf.DUMMYFUNCTION("GOOGLEFINANCE(""NSE:""&amp;D1518,""pe"")"),"#N/A")</f>
        <v>#N/A</v>
      </c>
      <c r="P1518" s="7" t="str">
        <f ca="1">IFERROR(__xludf.DUMMYFUNCTION("GOOGLEFINANCE(""NSE:""&amp;D1518,""EPS"")"),"#N/A")</f>
        <v>#N/A</v>
      </c>
      <c r="Q1518" s="7">
        <v>13.5</v>
      </c>
      <c r="R1518" s="7" t="str">
        <f ca="1">IFERROR(__xludf.DUMMYFUNCTION("IMPORTXML(E1518,""/html/body/main/div[3]/div[3]/div[2]/ul/li[7]/span[2]/span"")"),"Loading...")</f>
        <v>Loading...</v>
      </c>
      <c r="S1518" s="7" t="str">
        <f ca="1">IFERROR(__xludf.DUMMYFUNCTION("IMPORTXML(E1518,""/html/body/main/div[3]/div[3]/div[2]/ul/li[8]/span[2]/span"")"),"Loading...")</f>
        <v>Loading...</v>
      </c>
      <c r="T1518" s="4">
        <v>34.6</v>
      </c>
      <c r="U1518" s="4">
        <v>22.7</v>
      </c>
      <c r="V1518" s="4">
        <v>2.6</v>
      </c>
      <c r="W1518" s="4">
        <v>5.7</v>
      </c>
      <c r="X1518" s="4">
        <v>519.92999999999995</v>
      </c>
      <c r="Y1518" s="7">
        <f t="shared" ca="1" si="34"/>
        <v>2174.8700000000003</v>
      </c>
    </row>
    <row r="1519" spans="1:25" ht="15" x14ac:dyDescent="0.25">
      <c r="A1519" s="4">
        <v>559</v>
      </c>
      <c r="C1519" s="12" t="s">
        <v>3552</v>
      </c>
      <c r="D1519" s="12" t="s">
        <v>3553</v>
      </c>
      <c r="E1519" s="5" t="str">
        <f t="shared" si="30"/>
        <v>https://www.screener.in/company/UFLEX/consolidated/</v>
      </c>
      <c r="F1519" s="4">
        <v>443059</v>
      </c>
      <c r="G1519" s="4">
        <v>3832241897</v>
      </c>
      <c r="H1519" s="6">
        <f t="shared" ca="1" si="31"/>
        <v>212306.20109379999</v>
      </c>
      <c r="I1519" s="7" t="str">
        <f ca="1">IFERROR(__xludf.DUMMYFUNCTION("IMPORTXML(E1519,""/html/body/main/div[3]/div[3]/div[2]/ul/li[5]/span[2]/span"")"),"Loading...")</f>
        <v>Loading...</v>
      </c>
      <c r="J1519" s="7">
        <f ca="1">IFERROR(__xludf.DUMMYFUNCTION("GOOGLEFINANCE(""NSE:""&amp;D1519,""marketcap"")"),39784920000)</f>
        <v>39784920000</v>
      </c>
      <c r="K1519" s="7">
        <v>992.8</v>
      </c>
      <c r="L1519" s="8">
        <f ca="1">IFERROR(__xludf.DUMMYFUNCTION("GOOGLEFINANCE(""NSE:""&amp;D1519,""price"")"),554)</f>
        <v>554</v>
      </c>
      <c r="M1519" s="9">
        <f t="shared" ca="1" si="32"/>
        <v>-438.79999999999995</v>
      </c>
      <c r="N1519" s="10">
        <f t="shared" ca="1" si="33"/>
        <v>-44.198227236099918</v>
      </c>
      <c r="O1519" s="7">
        <f ca="1">IFERROR(__xludf.DUMMYFUNCTION("GOOGLEFINANCE(""NSE:""&amp;D1519,""pe"")"),28.11)</f>
        <v>28.11</v>
      </c>
      <c r="P1519" s="7">
        <f ca="1">IFERROR(__xludf.DUMMYFUNCTION("GOOGLEFINANCE(""NSE:""&amp;D1519,""EPS"")"),19.71)</f>
        <v>19.71</v>
      </c>
      <c r="Q1519" s="7">
        <v>13.5</v>
      </c>
      <c r="R1519" s="7" t="str">
        <f ca="1">IFERROR(__xludf.DUMMYFUNCTION("IMPORTXML(E1519,""/html/body/main/div[3]/div[3]/div[2]/ul/li[7]/span[2]/span"")"),"Loading...")</f>
        <v>Loading...</v>
      </c>
      <c r="S1519" s="7" t="str">
        <f ca="1">IFERROR(__xludf.DUMMYFUNCTION("IMPORTXML(E1519,""/html/body/main/div[3]/div[3]/div[2]/ul/li[8]/span[2]/span"")"),"Loading...")</f>
        <v>Loading...</v>
      </c>
      <c r="T1519" s="4">
        <v>34.6</v>
      </c>
      <c r="U1519" s="4">
        <v>22.7</v>
      </c>
      <c r="V1519" s="4">
        <v>2.6</v>
      </c>
      <c r="W1519" s="4">
        <v>5.7</v>
      </c>
      <c r="X1519" s="4">
        <v>519.92999999999995</v>
      </c>
      <c r="Y1519" s="7">
        <f t="shared" ca="1" si="34"/>
        <v>34.07000000000005</v>
      </c>
    </row>
    <row r="1520" spans="1:25" ht="15" x14ac:dyDescent="0.25">
      <c r="A1520" s="4">
        <v>560</v>
      </c>
      <c r="C1520" s="41" t="s">
        <v>3554</v>
      </c>
      <c r="D1520" s="42"/>
      <c r="E1520" s="5" t="str">
        <f t="shared" si="30"/>
        <v>https://www.screener.in/company//consolidated/</v>
      </c>
      <c r="F1520" s="4">
        <v>443059</v>
      </c>
      <c r="G1520" s="4">
        <v>3832241897</v>
      </c>
      <c r="H1520" s="6" t="e">
        <f t="shared" ca="1" si="31"/>
        <v>#VALUE!</v>
      </c>
      <c r="I1520" s="7" t="str">
        <f ca="1">IFERROR(__xludf.DUMMYFUNCTION("IMPORTXML(E1520,""/html/body/main/div[3]/div[3]/div[2]/ul/li[5]/span[2]/span"")"),"Loading...")</f>
        <v>Loading...</v>
      </c>
      <c r="J1520" s="7" t="str">
        <f ca="1">IFERROR(__xludf.DUMMYFUNCTION("GOOGLEFINANCE(""NSE:""&amp;D1520,""marketcap"")"),"#N/A")</f>
        <v>#N/A</v>
      </c>
      <c r="K1520" s="7">
        <v>992.8</v>
      </c>
      <c r="L1520" s="8" t="str">
        <f ca="1">IFERROR(__xludf.DUMMYFUNCTION("GOOGLEFINANCE(""NSE:""&amp;D1520,""price"")"),"#N/A")</f>
        <v>#N/A</v>
      </c>
      <c r="M1520" s="9" t="e">
        <f t="shared" ca="1" si="32"/>
        <v>#VALUE!</v>
      </c>
      <c r="N1520" s="10" t="e">
        <f t="shared" ca="1" si="33"/>
        <v>#VALUE!</v>
      </c>
      <c r="O1520" s="7" t="str">
        <f ca="1">IFERROR(__xludf.DUMMYFUNCTION("GOOGLEFINANCE(""NSE:""&amp;D1520,""pe"")"),"#N/A")</f>
        <v>#N/A</v>
      </c>
      <c r="P1520" s="7" t="str">
        <f ca="1">IFERROR(__xludf.DUMMYFUNCTION("GOOGLEFINANCE(""NSE:""&amp;D1520,""EPS"")"),"#N/A")</f>
        <v>#N/A</v>
      </c>
      <c r="Q1520" s="7">
        <v>13.5</v>
      </c>
      <c r="R1520" s="7" t="str">
        <f ca="1">IFERROR(__xludf.DUMMYFUNCTION("IMPORTXML(E1520,""/html/body/main/div[3]/div[3]/div[2]/ul/li[7]/span[2]/span"")"),"Loading...")</f>
        <v>Loading...</v>
      </c>
      <c r="S1520" s="7" t="str">
        <f ca="1">IFERROR(__xludf.DUMMYFUNCTION("IMPORTXML(E1520,""/html/body/main/div[3]/div[3]/div[2]/ul/li[8]/span[2]/span"")"),"Loading...")</f>
        <v>Loading...</v>
      </c>
      <c r="T1520" s="4">
        <v>34.6</v>
      </c>
      <c r="U1520" s="4">
        <v>22.7</v>
      </c>
      <c r="V1520" s="4">
        <v>2.6</v>
      </c>
      <c r="W1520" s="4">
        <v>5.7</v>
      </c>
      <c r="X1520" s="4">
        <v>519.92999999999995</v>
      </c>
      <c r="Y1520" s="7" t="e">
        <f t="shared" ca="1" si="34"/>
        <v>#VALUE!</v>
      </c>
    </row>
    <row r="1521" spans="1:25" ht="15" x14ac:dyDescent="0.25">
      <c r="A1521" s="4">
        <v>565</v>
      </c>
      <c r="C1521" s="12" t="s">
        <v>3555</v>
      </c>
      <c r="D1521" s="12" t="s">
        <v>3556</v>
      </c>
      <c r="E1521" s="5" t="str">
        <f t="shared" si="30"/>
        <v>https://www.screener.in/company/SUNCLAY/consolidated/</v>
      </c>
      <c r="F1521" s="4">
        <v>443059</v>
      </c>
      <c r="G1521" s="4">
        <v>3832241897</v>
      </c>
      <c r="H1521" s="6">
        <f t="shared" ca="1" si="31"/>
        <v>643778.31627703004</v>
      </c>
      <c r="I1521" s="7" t="str">
        <f ca="1">IFERROR(__xludf.DUMMYFUNCTION("IMPORTXML(E1521,""/html/body/main/div[3]/div[3]/div[2]/ul/li[5]/span[2]/span"")"),"Loading...")</f>
        <v>Loading...</v>
      </c>
      <c r="J1521" s="7">
        <f ca="1">IFERROR(__xludf.DUMMYFUNCTION("GOOGLEFINANCE(""NSE:""&amp;D1521,""marketcap"")"),37035344722)</f>
        <v>37035344722</v>
      </c>
      <c r="K1521" s="7">
        <v>992.8</v>
      </c>
      <c r="L1521" s="8">
        <f ca="1">IFERROR(__xludf.DUMMYFUNCTION("GOOGLEFINANCE(""NSE:""&amp;D1521,""price"")"),1679.9)</f>
        <v>1679.9</v>
      </c>
      <c r="M1521" s="9">
        <f t="shared" ca="1" si="32"/>
        <v>687.10000000000014</v>
      </c>
      <c r="N1521" s="10">
        <f t="shared" ca="1" si="33"/>
        <v>69.208299758259486</v>
      </c>
      <c r="O1521" s="7" t="str">
        <f ca="1">IFERROR(__xludf.DUMMYFUNCTION("GOOGLEFINANCE(""NSE:""&amp;D1521,""pe"")"),"#N/A")</f>
        <v>#N/A</v>
      </c>
      <c r="P1521" s="7">
        <f ca="1">IFERROR(__xludf.DUMMYFUNCTION("GOOGLEFINANCE(""NSE:""&amp;D1521,""EPS"")"),-8.78)</f>
        <v>-8.7799999999999994</v>
      </c>
      <c r="Q1521" s="7">
        <v>13.5</v>
      </c>
      <c r="R1521" s="7" t="str">
        <f ca="1">IFERROR(__xludf.DUMMYFUNCTION("IMPORTXML(E1521,""/html/body/main/div[3]/div[3]/div[2]/ul/li[7]/span[2]/span"")"),"Loading...")</f>
        <v>Loading...</v>
      </c>
      <c r="S1521" s="7" t="str">
        <f ca="1">IFERROR(__xludf.DUMMYFUNCTION("IMPORTXML(E1521,""/html/body/main/div[3]/div[3]/div[2]/ul/li[8]/span[2]/span"")"),"Loading...")</f>
        <v>Loading...</v>
      </c>
      <c r="T1521" s="4">
        <v>34.6</v>
      </c>
      <c r="U1521" s="4">
        <v>22.7</v>
      </c>
      <c r="V1521" s="4">
        <v>2.6</v>
      </c>
      <c r="W1521" s="4">
        <v>5.7</v>
      </c>
      <c r="X1521" s="4">
        <v>519.92999999999995</v>
      </c>
      <c r="Y1521" s="7">
        <f t="shared" ca="1" si="34"/>
        <v>1159.9700000000003</v>
      </c>
    </row>
    <row r="1522" spans="1:25" ht="15" x14ac:dyDescent="0.25">
      <c r="A1522" s="4">
        <v>567</v>
      </c>
      <c r="C1522" s="12" t="s">
        <v>3557</v>
      </c>
      <c r="D1522" s="12" t="s">
        <v>3558</v>
      </c>
      <c r="E1522" s="5" t="str">
        <f t="shared" si="30"/>
        <v>https://www.screener.in/company/MOBIKWIK/consolidated/</v>
      </c>
      <c r="F1522" s="4">
        <v>443059</v>
      </c>
      <c r="G1522" s="4">
        <v>3832241897</v>
      </c>
      <c r="H1522" s="6">
        <f t="shared" ca="1" si="31"/>
        <v>112514.62209592001</v>
      </c>
      <c r="I1522" s="7" t="str">
        <f ca="1">IFERROR(__xludf.DUMMYFUNCTION("IMPORTXML(E1522,""/html/body/main/div[3]/div[3]/div[2]/ul/li[5]/span[2]/span"")"),"Loading...")</f>
        <v>Loading...</v>
      </c>
      <c r="J1522" s="7">
        <f ca="1">IFERROR(__xludf.DUMMYFUNCTION("GOOGLEFINANCE(""NSE:""&amp;D1522,""marketcap"")"),22951223341)</f>
        <v>22951223341</v>
      </c>
      <c r="K1522" s="7">
        <v>992.8</v>
      </c>
      <c r="L1522" s="8">
        <f ca="1">IFERROR(__xludf.DUMMYFUNCTION("GOOGLEFINANCE(""NSE:""&amp;D1522,""price"")"),293.6)</f>
        <v>293.60000000000002</v>
      </c>
      <c r="M1522" s="9">
        <f t="shared" ca="1" si="32"/>
        <v>-699.19999999999993</v>
      </c>
      <c r="N1522" s="10">
        <f t="shared" ca="1" si="33"/>
        <v>-70.427074939564861</v>
      </c>
      <c r="O1522" s="7" t="str">
        <f ca="1">IFERROR(__xludf.DUMMYFUNCTION("GOOGLEFINANCE(""NSE:""&amp;D1522,""pe"")"),"#N/A")</f>
        <v>#N/A</v>
      </c>
      <c r="P1522" s="7">
        <f ca="1">IFERROR(__xludf.DUMMYFUNCTION("GOOGLEFINANCE(""NSE:""&amp;D1522,""EPS"")"),-22.58)</f>
        <v>-22.58</v>
      </c>
      <c r="Q1522" s="7">
        <v>13.5</v>
      </c>
      <c r="R1522" s="7" t="str">
        <f ca="1">IFERROR(__xludf.DUMMYFUNCTION("IMPORTXML(E1522,""/html/body/main/div[3]/div[3]/div[2]/ul/li[7]/span[2]/span"")"),"Loading...")</f>
        <v>Loading...</v>
      </c>
      <c r="S1522" s="7" t="str">
        <f ca="1">IFERROR(__xludf.DUMMYFUNCTION("IMPORTXML(E1522,""/html/body/main/div[3]/div[3]/div[2]/ul/li[8]/span[2]/span"")"),"Loading...")</f>
        <v>Loading...</v>
      </c>
      <c r="T1522" s="4">
        <v>34.6</v>
      </c>
      <c r="U1522" s="4">
        <v>22.7</v>
      </c>
      <c r="V1522" s="4">
        <v>2.6</v>
      </c>
      <c r="W1522" s="4">
        <v>5.7</v>
      </c>
      <c r="X1522" s="4">
        <v>519.92999999999995</v>
      </c>
      <c r="Y1522" s="7">
        <f t="shared" ca="1" si="34"/>
        <v>-226.32999999999993</v>
      </c>
    </row>
    <row r="1523" spans="1:25" ht="15" x14ac:dyDescent="0.25">
      <c r="A1523" s="4">
        <v>572</v>
      </c>
      <c r="C1523" s="12" t="s">
        <v>3559</v>
      </c>
      <c r="D1523" s="12" t="s">
        <v>3560</v>
      </c>
      <c r="E1523" s="5" t="str">
        <f t="shared" si="30"/>
        <v>https://www.screener.in/company/IMAGICAA/consolidated/</v>
      </c>
      <c r="F1523" s="4">
        <v>443059</v>
      </c>
      <c r="G1523" s="4">
        <v>3832241897</v>
      </c>
      <c r="H1523" s="6">
        <f t="shared" ca="1" si="31"/>
        <v>21920.423650840003</v>
      </c>
      <c r="I1523" s="7" t="str">
        <f ca="1">IFERROR(__xludf.DUMMYFUNCTION("IMPORTXML(E1523,""/html/body/main/div[3]/div[3]/div[2]/ul/li[5]/span[2]/span"")"),"Loading...")</f>
        <v>Loading...</v>
      </c>
      <c r="J1523" s="7">
        <f ca="1">IFERROR(__xludf.DUMMYFUNCTION("GOOGLEFINANCE(""NSE:""&amp;D1523,""marketcap"")"),32259760000)</f>
        <v>32259760000</v>
      </c>
      <c r="K1523" s="7">
        <v>992.8</v>
      </c>
      <c r="L1523" s="8">
        <f ca="1">IFERROR(__xludf.DUMMYFUNCTION("GOOGLEFINANCE(""NSE:""&amp;D1523,""price"")"),57.2)</f>
        <v>57.2</v>
      </c>
      <c r="M1523" s="9">
        <f t="shared" ca="1" si="32"/>
        <v>-935.59999999999991</v>
      </c>
      <c r="N1523" s="10">
        <f t="shared" ca="1" si="33"/>
        <v>-94.238517324738112</v>
      </c>
      <c r="O1523" s="7" t="str">
        <f ca="1">IFERROR(__xludf.DUMMYFUNCTION("GOOGLEFINANCE(""NSE:""&amp;D1523,""pe"")"),"#N/A")</f>
        <v>#N/A</v>
      </c>
      <c r="P1523" s="7">
        <f ca="1">IFERROR(__xludf.DUMMYFUNCTION("GOOGLEFINANCE(""NSE:""&amp;D1523,""EPS"")"),-43.76)</f>
        <v>-43.76</v>
      </c>
      <c r="Q1523" s="7">
        <v>13.5</v>
      </c>
      <c r="R1523" s="7" t="str">
        <f ca="1">IFERROR(__xludf.DUMMYFUNCTION("IMPORTXML(E1523,""/html/body/main/div[3]/div[3]/div[2]/ul/li[7]/span[2]/span"")"),"Loading...")</f>
        <v>Loading...</v>
      </c>
      <c r="S1523" s="7" t="str">
        <f ca="1">IFERROR(__xludf.DUMMYFUNCTION("IMPORTXML(E1523,""/html/body/main/div[3]/div[3]/div[2]/ul/li[8]/span[2]/span"")"),"Loading...")</f>
        <v>Loading...</v>
      </c>
      <c r="T1523" s="4">
        <v>34.6</v>
      </c>
      <c r="U1523" s="4">
        <v>22.7</v>
      </c>
      <c r="V1523" s="4">
        <v>2.6</v>
      </c>
      <c r="W1523" s="4">
        <v>5.7</v>
      </c>
      <c r="X1523" s="4">
        <v>519.92999999999995</v>
      </c>
      <c r="Y1523" s="7">
        <f t="shared" ca="1" si="34"/>
        <v>-462.72999999999996</v>
      </c>
    </row>
    <row r="1524" spans="1:25" ht="15" x14ac:dyDescent="0.25">
      <c r="A1524" s="4">
        <v>578</v>
      </c>
      <c r="C1524" s="12" t="s">
        <v>3561</v>
      </c>
      <c r="D1524" s="12" t="s">
        <v>3562</v>
      </c>
      <c r="E1524" s="5" t="str">
        <f t="shared" si="30"/>
        <v>https://www.screener.in/company/EXICOM/consolidated/</v>
      </c>
      <c r="F1524" s="4">
        <v>443059</v>
      </c>
      <c r="G1524" s="4">
        <v>3832241897</v>
      </c>
      <c r="H1524" s="6">
        <f t="shared" ca="1" si="31"/>
        <v>56295.633466930005</v>
      </c>
      <c r="I1524" s="7" t="str">
        <f ca="1">IFERROR(__xludf.DUMMYFUNCTION("IMPORTXML(E1524,""/html/body/main/div[3]/div[3]/div[2]/ul/li[5]/span[2]/span"")"),"Loading...")</f>
        <v>Loading...</v>
      </c>
      <c r="J1524" s="7">
        <f ca="1">IFERROR(__xludf.DUMMYFUNCTION("GOOGLEFINANCE(""NSE:""&amp;D1524,""marketcap"")"),20430807081)</f>
        <v>20430807081</v>
      </c>
      <c r="K1524" s="7">
        <v>992.8</v>
      </c>
      <c r="L1524" s="8">
        <f ca="1">IFERROR(__xludf.DUMMYFUNCTION("GOOGLEFINANCE(""NSE:""&amp;D1524,""price"")"),146.9)</f>
        <v>146.9</v>
      </c>
      <c r="M1524" s="9">
        <f t="shared" ca="1" si="32"/>
        <v>-845.9</v>
      </c>
      <c r="N1524" s="10">
        <f t="shared" ca="1" si="33"/>
        <v>-85.203464947622891</v>
      </c>
      <c r="O1524" s="7" t="str">
        <f ca="1">IFERROR(__xludf.DUMMYFUNCTION("GOOGLEFINANCE(""NSE:""&amp;D1524,""pe"")"),"#N/A")</f>
        <v>#N/A</v>
      </c>
      <c r="P1524" s="7">
        <f ca="1">IFERROR(__xludf.DUMMYFUNCTION("GOOGLEFINANCE(""NSE:""&amp;D1524,""EPS"")"),-16.85)</f>
        <v>-16.850000000000001</v>
      </c>
      <c r="Q1524" s="7">
        <v>13.5</v>
      </c>
      <c r="R1524" s="7" t="str">
        <f ca="1">IFERROR(__xludf.DUMMYFUNCTION("IMPORTXML(E1524,""/html/body/main/div[3]/div[3]/div[2]/ul/li[7]/span[2]/span"")"),"Loading...")</f>
        <v>Loading...</v>
      </c>
      <c r="S1524" s="7" t="str">
        <f ca="1">IFERROR(__xludf.DUMMYFUNCTION("IMPORTXML(E1524,""/html/body/main/div[3]/div[3]/div[2]/ul/li[8]/span[2]/span"")"),"Loading...")</f>
        <v>Loading...</v>
      </c>
      <c r="T1524" s="4">
        <v>34.6</v>
      </c>
      <c r="U1524" s="4">
        <v>22.7</v>
      </c>
      <c r="V1524" s="4">
        <v>2.6</v>
      </c>
      <c r="W1524" s="4">
        <v>5.7</v>
      </c>
      <c r="X1524" s="4">
        <v>519.92999999999995</v>
      </c>
      <c r="Y1524" s="7">
        <f t="shared" ca="1" si="34"/>
        <v>-373.03</v>
      </c>
    </row>
    <row r="1525" spans="1:25" ht="15" x14ac:dyDescent="0.25">
      <c r="A1525" s="4">
        <v>585</v>
      </c>
      <c r="C1525" s="12" t="s">
        <v>3563</v>
      </c>
      <c r="D1525" s="12" t="s">
        <v>3564</v>
      </c>
      <c r="E1525" s="5" t="str">
        <f t="shared" si="30"/>
        <v>https://www.screener.in/company/PFOCUS/consolidated/</v>
      </c>
      <c r="F1525" s="4">
        <v>443059</v>
      </c>
      <c r="G1525" s="4">
        <v>3832241897</v>
      </c>
      <c r="H1525" s="6">
        <f t="shared" ca="1" si="31"/>
        <v>60691.214922789004</v>
      </c>
      <c r="I1525" s="7" t="str">
        <f ca="1">IFERROR(__xludf.DUMMYFUNCTION("IMPORTXML(E1525,""/html/body/main/div[3]/div[3]/div[2]/ul/li[5]/span[2]/span"")"),"Loading...")</f>
        <v>Loading...</v>
      </c>
      <c r="J1525" s="7">
        <f ca="1">IFERROR(__xludf.DUMMYFUNCTION("GOOGLEFINANCE(""NSE:""&amp;D1525,""marketcap"")"),49084721176)</f>
        <v>49084721176</v>
      </c>
      <c r="K1525" s="7">
        <v>992.8</v>
      </c>
      <c r="L1525" s="8">
        <f ca="1">IFERROR(__xludf.DUMMYFUNCTION("GOOGLEFINANCE(""NSE:""&amp;D1525,""price"")"),158.37)</f>
        <v>158.37</v>
      </c>
      <c r="M1525" s="9">
        <f t="shared" ca="1" si="32"/>
        <v>-834.43</v>
      </c>
      <c r="N1525" s="10">
        <f t="shared" ca="1" si="33"/>
        <v>-84.048146655922636</v>
      </c>
      <c r="O1525" s="7" t="str">
        <f ca="1">IFERROR(__xludf.DUMMYFUNCTION("GOOGLEFINANCE(""NSE:""&amp;D1525,""pe"")"),"#N/A")</f>
        <v>#N/A</v>
      </c>
      <c r="P1525" s="7">
        <f ca="1">IFERROR(__xludf.DUMMYFUNCTION("GOOGLEFINANCE(""NSE:""&amp;D1525,""EPS"")"),-7.36)</f>
        <v>-7.36</v>
      </c>
      <c r="Q1525" s="7">
        <v>13.5</v>
      </c>
      <c r="R1525" s="7" t="str">
        <f ca="1">IFERROR(__xludf.DUMMYFUNCTION("IMPORTXML(E1525,""/html/body/main/div[3]/div[3]/div[2]/ul/li[7]/span[2]/span"")"),"Loading...")</f>
        <v>Loading...</v>
      </c>
      <c r="S1525" s="7" t="str">
        <f ca="1">IFERROR(__xludf.DUMMYFUNCTION("IMPORTXML(E1525,""/html/body/main/div[3]/div[3]/div[2]/ul/li[8]/span[2]/span"")"),"Loading...")</f>
        <v>Loading...</v>
      </c>
      <c r="T1525" s="4">
        <v>34.6</v>
      </c>
      <c r="U1525" s="4">
        <v>22.7</v>
      </c>
      <c r="V1525" s="4">
        <v>2.6</v>
      </c>
      <c r="W1525" s="4">
        <v>5.7</v>
      </c>
      <c r="X1525" s="4">
        <v>519.92999999999995</v>
      </c>
      <c r="Y1525" s="7">
        <f t="shared" ca="1" si="34"/>
        <v>-361.55999999999995</v>
      </c>
    </row>
    <row r="1526" spans="1:25" ht="15" x14ac:dyDescent="0.25">
      <c r="A1526" s="4">
        <v>589</v>
      </c>
      <c r="C1526" s="12" t="s">
        <v>3565</v>
      </c>
      <c r="D1526" s="12" t="s">
        <v>3566</v>
      </c>
      <c r="E1526" s="5" t="str">
        <f t="shared" si="30"/>
        <v>https://www.screener.in/company/NORTHARC/consolidated/</v>
      </c>
      <c r="F1526" s="4">
        <v>443059</v>
      </c>
      <c r="G1526" s="4">
        <v>3832241897</v>
      </c>
      <c r="H1526" s="6">
        <f t="shared" ca="1" si="31"/>
        <v>92395.352136670001</v>
      </c>
      <c r="I1526" s="7" t="str">
        <f ca="1">IFERROR(__xludf.DUMMYFUNCTION("IMPORTXML(E1526,""/html/body/main/div[3]/div[3]/div[2]/ul/li[5]/span[2]/span"")"),"Loading...")</f>
        <v>Loading...</v>
      </c>
      <c r="J1526" s="7">
        <f ca="1">IFERROR(__xludf.DUMMYFUNCTION("GOOGLEFINANCE(""NSE:""&amp;D1526,""marketcap"")"),39137760000)</f>
        <v>39137760000</v>
      </c>
      <c r="K1526" s="7">
        <v>992.8</v>
      </c>
      <c r="L1526" s="8">
        <f ca="1">IFERROR(__xludf.DUMMYFUNCTION("GOOGLEFINANCE(""NSE:""&amp;D1526,""price"")"),241.1)</f>
        <v>241.1</v>
      </c>
      <c r="M1526" s="9">
        <f t="shared" ca="1" si="32"/>
        <v>-751.69999999999993</v>
      </c>
      <c r="N1526" s="10">
        <f t="shared" ca="1" si="33"/>
        <v>-75.715149073327964</v>
      </c>
      <c r="O1526" s="7">
        <f ca="1">IFERROR(__xludf.DUMMYFUNCTION("GOOGLEFINANCE(""NSE:""&amp;D1526,""pe"")"),13.36)</f>
        <v>13.36</v>
      </c>
      <c r="P1526" s="7">
        <f ca="1">IFERROR(__xludf.DUMMYFUNCTION("GOOGLEFINANCE(""NSE:""&amp;D1526,""EPS"")"),18.05)</f>
        <v>18.05</v>
      </c>
      <c r="Q1526" s="7">
        <v>13.5</v>
      </c>
      <c r="R1526" s="7" t="str">
        <f ca="1">IFERROR(__xludf.DUMMYFUNCTION("IMPORTXML(E1526,""/html/body/main/div[3]/div[3]/div[2]/ul/li[7]/span[2]/span"")"),"Loading...")</f>
        <v>Loading...</v>
      </c>
      <c r="S1526" s="7" t="str">
        <f ca="1">IFERROR(__xludf.DUMMYFUNCTION("IMPORTXML(E1526,""/html/body/main/div[3]/div[3]/div[2]/ul/li[8]/span[2]/span"")"),"Loading...")</f>
        <v>Loading...</v>
      </c>
      <c r="T1526" s="4">
        <v>34.6</v>
      </c>
      <c r="U1526" s="4">
        <v>22.7</v>
      </c>
      <c r="V1526" s="4">
        <v>2.6</v>
      </c>
      <c r="W1526" s="4">
        <v>5.7</v>
      </c>
      <c r="X1526" s="4">
        <v>519.92999999999995</v>
      </c>
      <c r="Y1526" s="7">
        <f t="shared" ca="1" si="34"/>
        <v>-278.82999999999993</v>
      </c>
    </row>
    <row r="1527" spans="1:25" ht="15" x14ac:dyDescent="0.25">
      <c r="A1527" s="4">
        <v>601</v>
      </c>
      <c r="C1527" s="12" t="s">
        <v>3567</v>
      </c>
      <c r="D1527" s="12" t="s">
        <v>3568</v>
      </c>
      <c r="E1527" s="5" t="str">
        <f t="shared" si="30"/>
        <v>https://www.screener.in/company/KRN/consolidated/</v>
      </c>
      <c r="F1527" s="4">
        <v>443059</v>
      </c>
      <c r="G1527" s="4">
        <v>3832241897</v>
      </c>
      <c r="H1527" s="6">
        <f t="shared" ca="1" si="31"/>
        <v>335436.13324440998</v>
      </c>
      <c r="I1527" s="7" t="str">
        <f ca="1">IFERROR(__xludf.DUMMYFUNCTION("IMPORTXML(E1527,""/html/body/main/div[3]/div[3]/div[2]/ul/li[5]/span[2]/span"")"),"Loading...")</f>
        <v>Loading...</v>
      </c>
      <c r="J1527" s="7">
        <f ca="1">IFERROR(__xludf.DUMMYFUNCTION("GOOGLEFINANCE(""NSE:""&amp;D1527,""marketcap"")"),54405662468)</f>
        <v>54405662468</v>
      </c>
      <c r="K1527" s="7">
        <v>992.8</v>
      </c>
      <c r="L1527" s="8">
        <f ca="1">IFERROR(__xludf.DUMMYFUNCTION("GOOGLEFINANCE(""NSE:""&amp;D1527,""price"")"),875.3)</f>
        <v>875.3</v>
      </c>
      <c r="M1527" s="9">
        <f t="shared" ca="1" si="32"/>
        <v>-117.5</v>
      </c>
      <c r="N1527" s="10">
        <f t="shared" ca="1" si="33"/>
        <v>-11.835213537469782</v>
      </c>
      <c r="O1527" s="7">
        <f ca="1">IFERROR(__xludf.DUMMYFUNCTION("GOOGLEFINANCE(""NSE:""&amp;D1527,""pe"")"),94.72)</f>
        <v>94.72</v>
      </c>
      <c r="P1527" s="7">
        <f ca="1">IFERROR(__xludf.DUMMYFUNCTION("GOOGLEFINANCE(""NSE:""&amp;D1527,""EPS"")"),9.24)</f>
        <v>9.24</v>
      </c>
      <c r="Q1527" s="7">
        <v>13.5</v>
      </c>
      <c r="R1527" s="7" t="str">
        <f ca="1">IFERROR(__xludf.DUMMYFUNCTION("IMPORTXML(E1527,""/html/body/main/div[3]/div[3]/div[2]/ul/li[7]/span[2]/span"")"),"Loading...")</f>
        <v>Loading...</v>
      </c>
      <c r="S1527" s="7" t="str">
        <f ca="1">IFERROR(__xludf.DUMMYFUNCTION("IMPORTXML(E1527,""/html/body/main/div[3]/div[3]/div[2]/ul/li[8]/span[2]/span"")"),"Loading...")</f>
        <v>Loading...</v>
      </c>
      <c r="T1527" s="4">
        <v>34.6</v>
      </c>
      <c r="U1527" s="4">
        <v>22.7</v>
      </c>
      <c r="V1527" s="4">
        <v>2.6</v>
      </c>
      <c r="W1527" s="4">
        <v>5.7</v>
      </c>
      <c r="X1527" s="4">
        <v>519.92999999999995</v>
      </c>
      <c r="Y1527" s="7">
        <f t="shared" ca="1" si="34"/>
        <v>355.37</v>
      </c>
    </row>
    <row r="1528" spans="1:25" ht="15" x14ac:dyDescent="0.25">
      <c r="A1528" s="4">
        <v>602</v>
      </c>
      <c r="C1528" s="41" t="s">
        <v>3569</v>
      </c>
      <c r="D1528" s="42"/>
      <c r="E1528" s="5" t="str">
        <f t="shared" si="30"/>
        <v>https://www.screener.in/company//consolidated/</v>
      </c>
      <c r="F1528" s="4">
        <v>443059</v>
      </c>
      <c r="G1528" s="4">
        <v>3832241897</v>
      </c>
      <c r="H1528" s="6" t="e">
        <f t="shared" ca="1" si="31"/>
        <v>#VALUE!</v>
      </c>
      <c r="I1528" s="7" t="str">
        <f ca="1">IFERROR(__xludf.DUMMYFUNCTION("IMPORTXML(E1528,""/html/body/main/div[3]/div[3]/div[2]/ul/li[5]/span[2]/span"")"),"Loading...")</f>
        <v>Loading...</v>
      </c>
      <c r="J1528" s="7" t="str">
        <f ca="1">IFERROR(__xludf.DUMMYFUNCTION("GOOGLEFINANCE(""NSE:""&amp;D1528,""marketcap"")"),"#N/A")</f>
        <v>#N/A</v>
      </c>
      <c r="K1528" s="7">
        <v>992.8</v>
      </c>
      <c r="L1528" s="8" t="str">
        <f ca="1">IFERROR(__xludf.DUMMYFUNCTION("GOOGLEFINANCE(""NSE:""&amp;D1528,""price"")"),"#N/A")</f>
        <v>#N/A</v>
      </c>
      <c r="M1528" s="9" t="e">
        <f t="shared" ca="1" si="32"/>
        <v>#VALUE!</v>
      </c>
      <c r="N1528" s="10" t="e">
        <f t="shared" ca="1" si="33"/>
        <v>#VALUE!</v>
      </c>
      <c r="O1528" s="7" t="str">
        <f ca="1">IFERROR(__xludf.DUMMYFUNCTION("GOOGLEFINANCE(""NSE:""&amp;D1528,""pe"")"),"#N/A")</f>
        <v>#N/A</v>
      </c>
      <c r="P1528" s="7" t="str">
        <f ca="1">IFERROR(__xludf.DUMMYFUNCTION("GOOGLEFINANCE(""NSE:""&amp;D1528,""EPS"")"),"#N/A")</f>
        <v>#N/A</v>
      </c>
      <c r="Q1528" s="7">
        <v>13.5</v>
      </c>
      <c r="R1528" s="7" t="str">
        <f ca="1">IFERROR(__xludf.DUMMYFUNCTION("IMPORTXML(E1528,""/html/body/main/div[3]/div[3]/div[2]/ul/li[7]/span[2]/span"")"),"Loading...")</f>
        <v>Loading...</v>
      </c>
      <c r="S1528" s="7" t="str">
        <f ca="1">IFERROR(__xludf.DUMMYFUNCTION("IMPORTXML(E1528,""/html/body/main/div[3]/div[3]/div[2]/ul/li[8]/span[2]/span"")"),"Loading...")</f>
        <v>Loading...</v>
      </c>
      <c r="T1528" s="4">
        <v>34.6</v>
      </c>
      <c r="U1528" s="4">
        <v>22.7</v>
      </c>
      <c r="V1528" s="4">
        <v>2.6</v>
      </c>
      <c r="W1528" s="4">
        <v>5.7</v>
      </c>
      <c r="X1528" s="4">
        <v>519.92999999999995</v>
      </c>
      <c r="Y1528" s="7" t="e">
        <f t="shared" ca="1" si="34"/>
        <v>#VALUE!</v>
      </c>
    </row>
    <row r="1529" spans="1:25" ht="15" x14ac:dyDescent="0.25">
      <c r="A1529" s="4">
        <v>610</v>
      </c>
      <c r="C1529" s="41" t="s">
        <v>3570</v>
      </c>
      <c r="D1529" s="42"/>
      <c r="E1529" s="5" t="str">
        <f t="shared" si="30"/>
        <v>https://www.screener.in/company//consolidated/</v>
      </c>
      <c r="F1529" s="4">
        <v>443059</v>
      </c>
      <c r="G1529" s="4">
        <v>3832241897</v>
      </c>
      <c r="H1529" s="6" t="e">
        <f t="shared" ca="1" si="31"/>
        <v>#VALUE!</v>
      </c>
      <c r="I1529" s="7" t="str">
        <f ca="1">IFERROR(__xludf.DUMMYFUNCTION("IMPORTXML(E1529,""/html/body/main/div[3]/div[3]/div[2]/ul/li[5]/span[2]/span"")"),"Loading...")</f>
        <v>Loading...</v>
      </c>
      <c r="J1529" s="7" t="str">
        <f ca="1">IFERROR(__xludf.DUMMYFUNCTION("GOOGLEFINANCE(""NSE:""&amp;D1529,""marketcap"")"),"#N/A")</f>
        <v>#N/A</v>
      </c>
      <c r="K1529" s="7">
        <v>992.8</v>
      </c>
      <c r="L1529" s="8" t="str">
        <f ca="1">IFERROR(__xludf.DUMMYFUNCTION("GOOGLEFINANCE(""NSE:""&amp;D1529,""price"")"),"#N/A")</f>
        <v>#N/A</v>
      </c>
      <c r="M1529" s="9" t="e">
        <f t="shared" ca="1" si="32"/>
        <v>#VALUE!</v>
      </c>
      <c r="N1529" s="10" t="e">
        <f t="shared" ca="1" si="33"/>
        <v>#VALUE!</v>
      </c>
      <c r="O1529" s="7" t="str">
        <f ca="1">IFERROR(__xludf.DUMMYFUNCTION("GOOGLEFINANCE(""NSE:""&amp;D1529,""pe"")"),"#N/A")</f>
        <v>#N/A</v>
      </c>
      <c r="P1529" s="7" t="str">
        <f ca="1">IFERROR(__xludf.DUMMYFUNCTION("GOOGLEFINANCE(""NSE:""&amp;D1529,""EPS"")"),"#N/A")</f>
        <v>#N/A</v>
      </c>
      <c r="Q1529" s="7">
        <v>13.5</v>
      </c>
      <c r="R1529" s="7" t="str">
        <f ca="1">IFERROR(__xludf.DUMMYFUNCTION("IMPORTXML(E1529,""/html/body/main/div[3]/div[3]/div[2]/ul/li[7]/span[2]/span"")"),"Loading...")</f>
        <v>Loading...</v>
      </c>
      <c r="S1529" s="7" t="str">
        <f ca="1">IFERROR(__xludf.DUMMYFUNCTION("IMPORTXML(E1529,""/html/body/main/div[3]/div[3]/div[2]/ul/li[8]/span[2]/span"")"),"Loading...")</f>
        <v>Loading...</v>
      </c>
      <c r="T1529" s="4">
        <v>34.6</v>
      </c>
      <c r="U1529" s="4">
        <v>22.7</v>
      </c>
      <c r="V1529" s="4">
        <v>2.6</v>
      </c>
      <c r="W1529" s="4">
        <v>5.7</v>
      </c>
      <c r="X1529" s="4">
        <v>519.92999999999995</v>
      </c>
      <c r="Y1529" s="7" t="e">
        <f t="shared" ca="1" si="34"/>
        <v>#VALUE!</v>
      </c>
    </row>
    <row r="1530" spans="1:25" ht="15" x14ac:dyDescent="0.25">
      <c r="A1530" s="4">
        <v>611</v>
      </c>
      <c r="C1530" s="41" t="s">
        <v>3571</v>
      </c>
      <c r="D1530" s="42"/>
      <c r="E1530" s="5" t="str">
        <f t="shared" si="30"/>
        <v>https://www.screener.in/company//consolidated/</v>
      </c>
      <c r="F1530" s="4">
        <v>443059</v>
      </c>
      <c r="G1530" s="4">
        <v>3832241897</v>
      </c>
      <c r="H1530" s="6" t="e">
        <f t="shared" ca="1" si="31"/>
        <v>#VALUE!</v>
      </c>
      <c r="I1530" s="7" t="str">
        <f ca="1">IFERROR(__xludf.DUMMYFUNCTION("IMPORTXML(E1530,""/html/body/main/div[3]/div[3]/div[2]/ul/li[5]/span[2]/span"")"),"Loading...")</f>
        <v>Loading...</v>
      </c>
      <c r="J1530" s="7" t="str">
        <f ca="1">IFERROR(__xludf.DUMMYFUNCTION("GOOGLEFINANCE(""NSE:""&amp;D1530,""marketcap"")"),"#N/A")</f>
        <v>#N/A</v>
      </c>
      <c r="K1530" s="7">
        <v>992.8</v>
      </c>
      <c r="L1530" s="8" t="str">
        <f ca="1">IFERROR(__xludf.DUMMYFUNCTION("GOOGLEFINANCE(""NSE:""&amp;D1530,""price"")"),"#N/A")</f>
        <v>#N/A</v>
      </c>
      <c r="M1530" s="9" t="e">
        <f t="shared" ca="1" si="32"/>
        <v>#VALUE!</v>
      </c>
      <c r="N1530" s="10" t="e">
        <f t="shared" ca="1" si="33"/>
        <v>#VALUE!</v>
      </c>
      <c r="O1530" s="7" t="str">
        <f ca="1">IFERROR(__xludf.DUMMYFUNCTION("GOOGLEFINANCE(""NSE:""&amp;D1530,""pe"")"),"#N/A")</f>
        <v>#N/A</v>
      </c>
      <c r="P1530" s="7" t="str">
        <f ca="1">IFERROR(__xludf.DUMMYFUNCTION("GOOGLEFINANCE(""NSE:""&amp;D1530,""EPS"")"),"#N/A")</f>
        <v>#N/A</v>
      </c>
      <c r="Q1530" s="7">
        <v>13.5</v>
      </c>
      <c r="R1530" s="7" t="str">
        <f ca="1">IFERROR(__xludf.DUMMYFUNCTION("IMPORTXML(E1530,""/html/body/main/div[3]/div[3]/div[2]/ul/li[7]/span[2]/span"")"),"Loading...")</f>
        <v>Loading...</v>
      </c>
      <c r="S1530" s="7" t="str">
        <f ca="1">IFERROR(__xludf.DUMMYFUNCTION("IMPORTXML(E1530,""/html/body/main/div[3]/div[3]/div[2]/ul/li[8]/span[2]/span"")"),"Loading...")</f>
        <v>Loading...</v>
      </c>
      <c r="T1530" s="4">
        <v>34.6</v>
      </c>
      <c r="U1530" s="4">
        <v>22.7</v>
      </c>
      <c r="V1530" s="4">
        <v>2.6</v>
      </c>
      <c r="W1530" s="4">
        <v>5.7</v>
      </c>
      <c r="X1530" s="4">
        <v>519.92999999999995</v>
      </c>
      <c r="Y1530" s="7" t="e">
        <f t="shared" ca="1" si="34"/>
        <v>#VALUE!</v>
      </c>
    </row>
    <row r="1531" spans="1:25" ht="15" x14ac:dyDescent="0.25">
      <c r="A1531" s="4">
        <v>613</v>
      </c>
      <c r="C1531" s="12" t="s">
        <v>3572</v>
      </c>
      <c r="D1531" s="12" t="s">
        <v>3573</v>
      </c>
      <c r="E1531" s="5" t="str">
        <f t="shared" si="30"/>
        <v>https://www.screener.in/company/DHANI/consolidated/</v>
      </c>
      <c r="F1531" s="4">
        <v>443059</v>
      </c>
      <c r="G1531" s="4">
        <v>3832241897</v>
      </c>
      <c r="H1531" s="6">
        <f t="shared" ca="1" si="31"/>
        <v>24737.121445134999</v>
      </c>
      <c r="I1531" s="7" t="str">
        <f ca="1">IFERROR(__xludf.DUMMYFUNCTION("IMPORTXML(E1531,""/html/body/main/div[3]/div[3]/div[2]/ul/li[5]/span[2]/span"")"),"Loading...")</f>
        <v>Loading...</v>
      </c>
      <c r="J1531" s="7">
        <f ca="1">IFERROR(__xludf.DUMMYFUNCTION("GOOGLEFINANCE(""NSE:""&amp;D1531,""marketcap"")"),37111507329)</f>
        <v>37111507329</v>
      </c>
      <c r="K1531" s="7">
        <v>992.8</v>
      </c>
      <c r="L1531" s="8">
        <f ca="1">IFERROR(__xludf.DUMMYFUNCTION("GOOGLEFINANCE(""NSE:""&amp;D1531,""price"")"),64.55)</f>
        <v>64.55</v>
      </c>
      <c r="M1531" s="9">
        <f t="shared" ca="1" si="32"/>
        <v>-928.25</v>
      </c>
      <c r="N1531" s="10">
        <f t="shared" ca="1" si="33"/>
        <v>-93.498186946011288</v>
      </c>
      <c r="O1531" s="7">
        <f ca="1">IFERROR(__xludf.DUMMYFUNCTION("GOOGLEFINANCE(""NSE:""&amp;D1531,""pe"")"),110.39)</f>
        <v>110.39</v>
      </c>
      <c r="P1531" s="7">
        <f ca="1">IFERROR(__xludf.DUMMYFUNCTION("GOOGLEFINANCE(""NSE:""&amp;D1531,""EPS"")"),0.58)</f>
        <v>0.57999999999999996</v>
      </c>
      <c r="Q1531" s="7">
        <v>13.5</v>
      </c>
      <c r="R1531" s="7" t="str">
        <f ca="1">IFERROR(__xludf.DUMMYFUNCTION("IMPORTXML(E1531,""/html/body/main/div[3]/div[3]/div[2]/ul/li[7]/span[2]/span"")"),"Loading...")</f>
        <v>Loading...</v>
      </c>
      <c r="S1531" s="7" t="str">
        <f ca="1">IFERROR(__xludf.DUMMYFUNCTION("IMPORTXML(E1531,""/html/body/main/div[3]/div[3]/div[2]/ul/li[8]/span[2]/span"")"),"Loading...")</f>
        <v>Loading...</v>
      </c>
      <c r="T1531" s="4">
        <v>34.6</v>
      </c>
      <c r="U1531" s="4">
        <v>22.7</v>
      </c>
      <c r="V1531" s="4">
        <v>2.6</v>
      </c>
      <c r="W1531" s="4">
        <v>5.7</v>
      </c>
      <c r="X1531" s="4">
        <v>519.92999999999995</v>
      </c>
      <c r="Y1531" s="7">
        <f t="shared" ca="1" si="34"/>
        <v>-455.37999999999994</v>
      </c>
    </row>
    <row r="1532" spans="1:25" ht="15" x14ac:dyDescent="0.25">
      <c r="A1532" s="4">
        <v>615</v>
      </c>
      <c r="C1532" s="12" t="s">
        <v>3574</v>
      </c>
      <c r="D1532" s="12" t="s">
        <v>3575</v>
      </c>
      <c r="E1532" s="5" t="str">
        <f t="shared" si="30"/>
        <v>https://www.screener.in/company/SPANDANA/consolidated/</v>
      </c>
      <c r="F1532" s="4">
        <v>443059</v>
      </c>
      <c r="G1532" s="4">
        <v>3832241897</v>
      </c>
      <c r="H1532" s="6">
        <f t="shared" ca="1" si="31"/>
        <v>100787.9618911</v>
      </c>
      <c r="I1532" s="7" t="str">
        <f ca="1">IFERROR(__xludf.DUMMYFUNCTION("IMPORTXML(E1532,""/html/body/main/div[3]/div[3]/div[2]/ul/li[5]/span[2]/span"")"),"Loading...")</f>
        <v>Loading...</v>
      </c>
      <c r="J1532" s="7">
        <f ca="1">IFERROR(__xludf.DUMMYFUNCTION("GOOGLEFINANCE(""NSE:""&amp;D1532,""marketcap"")"),21021590000)</f>
        <v>21021590000</v>
      </c>
      <c r="K1532" s="7">
        <v>992.8</v>
      </c>
      <c r="L1532" s="8">
        <f ca="1">IFERROR(__xludf.DUMMYFUNCTION("GOOGLEFINANCE(""NSE:""&amp;D1532,""price"")"),263)</f>
        <v>263</v>
      </c>
      <c r="M1532" s="9">
        <f t="shared" ca="1" si="32"/>
        <v>-729.8</v>
      </c>
      <c r="N1532" s="10">
        <f t="shared" ca="1" si="33"/>
        <v>-73.509266720386776</v>
      </c>
      <c r="O1532" s="7" t="str">
        <f ca="1">IFERROR(__xludf.DUMMYFUNCTION("GOOGLEFINANCE(""NSE:""&amp;D1532,""pe"")"),"#N/A")</f>
        <v>#N/A</v>
      </c>
      <c r="P1532" s="7">
        <f ca="1">IFERROR(__xludf.DUMMYFUNCTION("GOOGLEFINANCE(""NSE:""&amp;D1532,""EPS"")"),-193.52)</f>
        <v>-193.52</v>
      </c>
      <c r="Q1532" s="7">
        <v>13.5</v>
      </c>
      <c r="R1532" s="7" t="str">
        <f ca="1">IFERROR(__xludf.DUMMYFUNCTION("IMPORTXML(E1532,""/html/body/main/div[3]/div[3]/div[2]/ul/li[7]/span[2]/span"")"),"Loading...")</f>
        <v>Loading...</v>
      </c>
      <c r="S1532" s="7" t="str">
        <f ca="1">IFERROR(__xludf.DUMMYFUNCTION("IMPORTXML(E1532,""/html/body/main/div[3]/div[3]/div[2]/ul/li[8]/span[2]/span"")"),"Loading...")</f>
        <v>Loading...</v>
      </c>
      <c r="T1532" s="4">
        <v>34.6</v>
      </c>
      <c r="U1532" s="4">
        <v>22.7</v>
      </c>
      <c r="V1532" s="4">
        <v>2.6</v>
      </c>
      <c r="W1532" s="4">
        <v>5.7</v>
      </c>
      <c r="X1532" s="4">
        <v>519.92999999999995</v>
      </c>
      <c r="Y1532" s="7">
        <f t="shared" ca="1" si="34"/>
        <v>-256.92999999999995</v>
      </c>
    </row>
    <row r="1533" spans="1:25" ht="15" x14ac:dyDescent="0.25">
      <c r="A1533" s="4">
        <v>635</v>
      </c>
      <c r="C1533" s="12" t="s">
        <v>3576</v>
      </c>
      <c r="D1533" s="12" t="s">
        <v>3577</v>
      </c>
      <c r="E1533" s="5" t="str">
        <f t="shared" si="30"/>
        <v>https://www.screener.in/company/CARRARO/consolidated/</v>
      </c>
      <c r="F1533" s="4">
        <v>443059</v>
      </c>
      <c r="G1533" s="4">
        <v>3832241897</v>
      </c>
      <c r="H1533" s="6">
        <f t="shared" ca="1" si="31"/>
        <v>167047.42429022997</v>
      </c>
      <c r="I1533" s="7" t="str">
        <f ca="1">IFERROR(__xludf.DUMMYFUNCTION("IMPORTXML(E1533,""/html/body/main/div[3]/div[3]/div[2]/ul/li[5]/span[2]/span"")"),"Loading...")</f>
        <v>Loading...</v>
      </c>
      <c r="J1533" s="7">
        <f ca="1">IFERROR(__xludf.DUMMYFUNCTION("GOOGLEFINANCE(""NSE:""&amp;D1533,""marketcap"")"),24781585939)</f>
        <v>24781585939</v>
      </c>
      <c r="K1533" s="7">
        <v>992.8</v>
      </c>
      <c r="L1533" s="8">
        <f ca="1">IFERROR(__xludf.DUMMYFUNCTION("GOOGLEFINANCE(""NSE:""&amp;D1533,""price"")"),435.9)</f>
        <v>435.9</v>
      </c>
      <c r="M1533" s="9">
        <f t="shared" ca="1" si="32"/>
        <v>-556.9</v>
      </c>
      <c r="N1533" s="10">
        <f t="shared" ca="1" si="33"/>
        <v>-56.093875906526989</v>
      </c>
      <c r="O1533" s="7">
        <f ca="1">IFERROR(__xludf.DUMMYFUNCTION("GOOGLEFINANCE(""NSE:""&amp;D1533,""pe"")"),28.12)</f>
        <v>28.12</v>
      </c>
      <c r="P1533" s="7">
        <f ca="1">IFERROR(__xludf.DUMMYFUNCTION("GOOGLEFINANCE(""NSE:""&amp;D1533,""EPS"")"),15.5)</f>
        <v>15.5</v>
      </c>
      <c r="Q1533" s="7">
        <v>13.5</v>
      </c>
      <c r="R1533" s="7" t="str">
        <f ca="1">IFERROR(__xludf.DUMMYFUNCTION("IMPORTXML(E1533,""/html/body/main/div[3]/div[3]/div[2]/ul/li[7]/span[2]/span"")"),"Loading...")</f>
        <v>Loading...</v>
      </c>
      <c r="S1533" s="7" t="str">
        <f ca="1">IFERROR(__xludf.DUMMYFUNCTION("IMPORTXML(E1533,""/html/body/main/div[3]/div[3]/div[2]/ul/li[8]/span[2]/span"")"),"Loading...")</f>
        <v>Loading...</v>
      </c>
      <c r="T1533" s="4">
        <v>34.6</v>
      </c>
      <c r="U1533" s="4">
        <v>22.7</v>
      </c>
      <c r="V1533" s="4">
        <v>2.6</v>
      </c>
      <c r="W1533" s="4">
        <v>5.7</v>
      </c>
      <c r="X1533" s="4">
        <v>519.92999999999995</v>
      </c>
      <c r="Y1533" s="7">
        <f t="shared" ca="1" si="34"/>
        <v>-84.029999999999973</v>
      </c>
    </row>
    <row r="1534" spans="1:25" ht="15" x14ac:dyDescent="0.25">
      <c r="A1534" s="4">
        <v>638</v>
      </c>
      <c r="C1534" s="41" t="s">
        <v>3578</v>
      </c>
      <c r="D1534" s="42"/>
      <c r="E1534" s="5" t="str">
        <f t="shared" si="30"/>
        <v>https://www.screener.in/company//consolidated/</v>
      </c>
      <c r="F1534" s="4">
        <v>443059</v>
      </c>
      <c r="G1534" s="4">
        <v>3832241897</v>
      </c>
      <c r="H1534" s="6" t="e">
        <f t="shared" ca="1" si="31"/>
        <v>#VALUE!</v>
      </c>
      <c r="I1534" s="7" t="str">
        <f ca="1">IFERROR(__xludf.DUMMYFUNCTION("IMPORTXML(E1534,""/html/body/main/div[3]/div[3]/div[2]/ul/li[5]/span[2]/span"")"),"Loading...")</f>
        <v>Loading...</v>
      </c>
      <c r="J1534" s="7" t="str">
        <f ca="1">IFERROR(__xludf.DUMMYFUNCTION("GOOGLEFINANCE(""NSE:""&amp;D1534,""marketcap"")"),"#N/A")</f>
        <v>#N/A</v>
      </c>
      <c r="K1534" s="7">
        <v>992.8</v>
      </c>
      <c r="L1534" s="8" t="str">
        <f ca="1">IFERROR(__xludf.DUMMYFUNCTION("GOOGLEFINANCE(""NSE:""&amp;D1534,""price"")"),"#N/A")</f>
        <v>#N/A</v>
      </c>
      <c r="M1534" s="9" t="e">
        <f t="shared" ca="1" si="32"/>
        <v>#VALUE!</v>
      </c>
      <c r="N1534" s="10" t="e">
        <f t="shared" ca="1" si="33"/>
        <v>#VALUE!</v>
      </c>
      <c r="O1534" s="7" t="str">
        <f ca="1">IFERROR(__xludf.DUMMYFUNCTION("GOOGLEFINANCE(""NSE:""&amp;D1534,""pe"")"),"#N/A")</f>
        <v>#N/A</v>
      </c>
      <c r="P1534" s="7" t="str">
        <f ca="1">IFERROR(__xludf.DUMMYFUNCTION("GOOGLEFINANCE(""NSE:""&amp;D1534,""EPS"")"),"#N/A")</f>
        <v>#N/A</v>
      </c>
      <c r="Q1534" s="7">
        <v>13.5</v>
      </c>
      <c r="R1534" s="7" t="str">
        <f ca="1">IFERROR(__xludf.DUMMYFUNCTION("IMPORTXML(E1534,""/html/body/main/div[3]/div[3]/div[2]/ul/li[7]/span[2]/span"")"),"Loading...")</f>
        <v>Loading...</v>
      </c>
      <c r="S1534" s="7" t="str">
        <f ca="1">IFERROR(__xludf.DUMMYFUNCTION("IMPORTXML(E1534,""/html/body/main/div[3]/div[3]/div[2]/ul/li[8]/span[2]/span"")"),"Loading...")</f>
        <v>Loading...</v>
      </c>
      <c r="T1534" s="4">
        <v>34.6</v>
      </c>
      <c r="U1534" s="4">
        <v>22.7</v>
      </c>
      <c r="V1534" s="4">
        <v>2.6</v>
      </c>
      <c r="W1534" s="4">
        <v>5.7</v>
      </c>
      <c r="X1534" s="4">
        <v>519.92999999999995</v>
      </c>
      <c r="Y1534" s="7" t="e">
        <f t="shared" ca="1" si="34"/>
        <v>#VALUE!</v>
      </c>
    </row>
    <row r="1535" spans="1:25" ht="15" x14ac:dyDescent="0.25">
      <c r="A1535" s="4">
        <v>650</v>
      </c>
      <c r="C1535" s="12" t="s">
        <v>3579</v>
      </c>
      <c r="D1535" s="12" t="s">
        <v>3580</v>
      </c>
      <c r="E1535" s="5" t="str">
        <f t="shared" si="30"/>
        <v>https://www.screener.in/company/MTNL/consolidated/</v>
      </c>
      <c r="F1535" s="4">
        <v>443059</v>
      </c>
      <c r="G1535" s="4">
        <v>3832241897</v>
      </c>
      <c r="H1535" s="6">
        <f t="shared" ca="1" si="31"/>
        <v>17229.759568911999</v>
      </c>
      <c r="I1535" s="7" t="str">
        <f ca="1">IFERROR(__xludf.DUMMYFUNCTION("IMPORTXML(E1535,""/html/body/main/div[3]/div[3]/div[2]/ul/li[5]/span[2]/span"")"),"Loading...")</f>
        <v>Loading...</v>
      </c>
      <c r="J1535" s="7">
        <f ca="1">IFERROR(__xludf.DUMMYFUNCTION("GOOGLEFINANCE(""NSE:""&amp;D1535,""marketcap"")"),28406700096)</f>
        <v>28406700096</v>
      </c>
      <c r="K1535" s="7">
        <v>992.8</v>
      </c>
      <c r="L1535" s="8">
        <f ca="1">IFERROR(__xludf.DUMMYFUNCTION("GOOGLEFINANCE(""NSE:""&amp;D1535,""price"")"),44.96)</f>
        <v>44.96</v>
      </c>
      <c r="M1535" s="9">
        <f t="shared" ca="1" si="32"/>
        <v>-947.83999999999992</v>
      </c>
      <c r="N1535" s="10">
        <f t="shared" ca="1" si="33"/>
        <v>-95.471394037066887</v>
      </c>
      <c r="O1535" s="7" t="str">
        <f ca="1">IFERROR(__xludf.DUMMYFUNCTION("GOOGLEFINANCE(""NSE:""&amp;D1535,""pe"")"),"#N/A")</f>
        <v>#N/A</v>
      </c>
      <c r="P1535" s="7">
        <f ca="1">IFERROR(__xludf.DUMMYFUNCTION("GOOGLEFINANCE(""NSE:""&amp;D1535,""EPS"")"),-55.51)</f>
        <v>-55.51</v>
      </c>
      <c r="Q1535" s="7">
        <v>13.5</v>
      </c>
      <c r="R1535" s="7" t="str">
        <f ca="1">IFERROR(__xludf.DUMMYFUNCTION("IMPORTXML(E1535,""/html/body/main/div[3]/div[3]/div[2]/ul/li[7]/span[2]/span"")"),"Loading...")</f>
        <v>Loading...</v>
      </c>
      <c r="S1535" s="7" t="str">
        <f ca="1">IFERROR(__xludf.DUMMYFUNCTION("IMPORTXML(E1535,""/html/body/main/div[3]/div[3]/div[2]/ul/li[8]/span[2]/span"")"),"Loading...")</f>
        <v>Loading...</v>
      </c>
      <c r="T1535" s="4">
        <v>34.6</v>
      </c>
      <c r="U1535" s="4">
        <v>22.7</v>
      </c>
      <c r="V1535" s="4">
        <v>2.6</v>
      </c>
      <c r="W1535" s="4">
        <v>5.7</v>
      </c>
      <c r="X1535" s="4">
        <v>519.92999999999995</v>
      </c>
      <c r="Y1535" s="7">
        <f t="shared" ca="1" si="34"/>
        <v>-474.96999999999997</v>
      </c>
    </row>
    <row r="1536" spans="1:25" ht="15" x14ac:dyDescent="0.25">
      <c r="A1536" s="4">
        <v>654</v>
      </c>
      <c r="C1536" s="41" t="s">
        <v>3581</v>
      </c>
      <c r="D1536" s="42"/>
      <c r="E1536" s="5" t="str">
        <f t="shared" si="30"/>
        <v>https://www.screener.in/company//consolidated/</v>
      </c>
      <c r="F1536" s="4">
        <v>443059</v>
      </c>
      <c r="G1536" s="4">
        <v>3832241897</v>
      </c>
      <c r="H1536" s="6" t="e">
        <f t="shared" ca="1" si="31"/>
        <v>#VALUE!</v>
      </c>
      <c r="I1536" s="7" t="str">
        <f ca="1">IFERROR(__xludf.DUMMYFUNCTION("IMPORTXML(E1536,""/html/body/main/div[3]/div[3]/div[2]/ul/li[5]/span[2]/span"")"),"Loading...")</f>
        <v>Loading...</v>
      </c>
      <c r="J1536" s="7" t="str">
        <f ca="1">IFERROR(__xludf.DUMMYFUNCTION("GOOGLEFINANCE(""NSE:""&amp;D1536,""marketcap"")"),"#N/A")</f>
        <v>#N/A</v>
      </c>
      <c r="K1536" s="7">
        <v>992.8</v>
      </c>
      <c r="L1536" s="8" t="str">
        <f ca="1">IFERROR(__xludf.DUMMYFUNCTION("GOOGLEFINANCE(""NSE:""&amp;D1536,""price"")"),"#N/A")</f>
        <v>#N/A</v>
      </c>
      <c r="M1536" s="9" t="e">
        <f t="shared" ca="1" si="32"/>
        <v>#VALUE!</v>
      </c>
      <c r="N1536" s="10" t="e">
        <f t="shared" ca="1" si="33"/>
        <v>#VALUE!</v>
      </c>
      <c r="O1536" s="7" t="str">
        <f ca="1">IFERROR(__xludf.DUMMYFUNCTION("GOOGLEFINANCE(""NSE:""&amp;D1536,""pe"")"),"#N/A")</f>
        <v>#N/A</v>
      </c>
      <c r="P1536" s="7" t="str">
        <f ca="1">IFERROR(__xludf.DUMMYFUNCTION("GOOGLEFINANCE(""NSE:""&amp;D1536,""EPS"")"),"#N/A")</f>
        <v>#N/A</v>
      </c>
      <c r="Q1536" s="7">
        <v>13.5</v>
      </c>
      <c r="R1536" s="7" t="str">
        <f ca="1">IFERROR(__xludf.DUMMYFUNCTION("IMPORTXML(E1536,""/html/body/main/div[3]/div[3]/div[2]/ul/li[7]/span[2]/span"")"),"Loading...")</f>
        <v>Loading...</v>
      </c>
      <c r="S1536" s="7" t="str">
        <f ca="1">IFERROR(__xludf.DUMMYFUNCTION("IMPORTXML(E1536,""/html/body/main/div[3]/div[3]/div[2]/ul/li[8]/span[2]/span"")"),"Loading...")</f>
        <v>Loading...</v>
      </c>
      <c r="T1536" s="4">
        <v>34.6</v>
      </c>
      <c r="U1536" s="4">
        <v>22.7</v>
      </c>
      <c r="V1536" s="4">
        <v>2.6</v>
      </c>
      <c r="W1536" s="4">
        <v>5.7</v>
      </c>
      <c r="X1536" s="4">
        <v>519.92999999999995</v>
      </c>
      <c r="Y1536" s="7" t="e">
        <f t="shared" ca="1" si="34"/>
        <v>#VALUE!</v>
      </c>
    </row>
    <row r="1537" spans="1:25" ht="15" x14ac:dyDescent="0.25">
      <c r="A1537" s="4">
        <v>656</v>
      </c>
      <c r="C1537" s="41" t="s">
        <v>3582</v>
      </c>
      <c r="D1537" s="42"/>
      <c r="E1537" s="5" t="str">
        <f t="shared" si="30"/>
        <v>https://www.screener.in/company//consolidated/</v>
      </c>
      <c r="F1537" s="4">
        <v>443059</v>
      </c>
      <c r="G1537" s="4">
        <v>3832241897</v>
      </c>
      <c r="H1537" s="6" t="e">
        <f t="shared" ca="1" si="31"/>
        <v>#VALUE!</v>
      </c>
      <c r="I1537" s="7" t="str">
        <f ca="1">IFERROR(__xludf.DUMMYFUNCTION("IMPORTXML(E1537,""/html/body/main/div[3]/div[3]/div[2]/ul/li[5]/span[2]/span"")"),"Loading...")</f>
        <v>Loading...</v>
      </c>
      <c r="J1537" s="7" t="str">
        <f ca="1">IFERROR(__xludf.DUMMYFUNCTION("GOOGLEFINANCE(""NSE:""&amp;D1537,""marketcap"")"),"#N/A")</f>
        <v>#N/A</v>
      </c>
      <c r="K1537" s="7">
        <v>992.8</v>
      </c>
      <c r="L1537" s="8" t="str">
        <f ca="1">IFERROR(__xludf.DUMMYFUNCTION("GOOGLEFINANCE(""NSE:""&amp;D1537,""price"")"),"#N/A")</f>
        <v>#N/A</v>
      </c>
      <c r="M1537" s="9" t="e">
        <f t="shared" ca="1" si="32"/>
        <v>#VALUE!</v>
      </c>
      <c r="N1537" s="10" t="e">
        <f t="shared" ca="1" si="33"/>
        <v>#VALUE!</v>
      </c>
      <c r="O1537" s="7" t="str">
        <f ca="1">IFERROR(__xludf.DUMMYFUNCTION("GOOGLEFINANCE(""NSE:""&amp;D1537,""pe"")"),"#N/A")</f>
        <v>#N/A</v>
      </c>
      <c r="P1537" s="7" t="str">
        <f ca="1">IFERROR(__xludf.DUMMYFUNCTION("GOOGLEFINANCE(""NSE:""&amp;D1537,""EPS"")"),"#N/A")</f>
        <v>#N/A</v>
      </c>
      <c r="Q1537" s="7">
        <v>13.5</v>
      </c>
      <c r="R1537" s="7" t="str">
        <f ca="1">IFERROR(__xludf.DUMMYFUNCTION("IMPORTXML(E1537,""/html/body/main/div[3]/div[3]/div[2]/ul/li[7]/span[2]/span"")"),"Loading...")</f>
        <v>Loading...</v>
      </c>
      <c r="S1537" s="7" t="str">
        <f ca="1">IFERROR(__xludf.DUMMYFUNCTION("IMPORTXML(E1537,""/html/body/main/div[3]/div[3]/div[2]/ul/li[8]/span[2]/span"")"),"Loading...")</f>
        <v>Loading...</v>
      </c>
      <c r="T1537" s="4">
        <v>34.6</v>
      </c>
      <c r="U1537" s="4">
        <v>22.7</v>
      </c>
      <c r="V1537" s="4">
        <v>2.6</v>
      </c>
      <c r="W1537" s="4">
        <v>5.7</v>
      </c>
      <c r="X1537" s="4">
        <v>519.92999999999995</v>
      </c>
      <c r="Y1537" s="7" t="e">
        <f t="shared" ca="1" si="34"/>
        <v>#VALUE!</v>
      </c>
    </row>
    <row r="1538" spans="1:25" ht="15" x14ac:dyDescent="0.25">
      <c r="A1538" s="4">
        <v>660</v>
      </c>
      <c r="C1538" s="12" t="s">
        <v>3583</v>
      </c>
      <c r="D1538" s="12" t="s">
        <v>3584</v>
      </c>
      <c r="E1538" s="5" t="str">
        <f t="shared" si="30"/>
        <v>https://www.screener.in/company/SINDHUTRAD/consolidated/</v>
      </c>
      <c r="F1538" s="4">
        <v>443059</v>
      </c>
      <c r="G1538" s="4">
        <v>3832241897</v>
      </c>
      <c r="H1538" s="6">
        <f t="shared" ca="1" si="31"/>
        <v>9442.6440342080004</v>
      </c>
      <c r="I1538" s="7" t="str">
        <f ca="1">IFERROR(__xludf.DUMMYFUNCTION("IMPORTXML(E1538,""/html/body/main/div[3]/div[3]/div[2]/ul/li[5]/span[2]/span"")"),"Loading...")</f>
        <v>Loading...</v>
      </c>
      <c r="J1538" s="7">
        <f ca="1">IFERROR(__xludf.DUMMYFUNCTION("GOOGLEFINANCE(""NSE:""&amp;D1538,""marketcap"")"),37993104978)</f>
        <v>37993104978</v>
      </c>
      <c r="K1538" s="7">
        <v>992.8</v>
      </c>
      <c r="L1538" s="8">
        <f ca="1">IFERROR(__xludf.DUMMYFUNCTION("GOOGLEFINANCE(""NSE:""&amp;D1538,""price"")"),24.64)</f>
        <v>24.64</v>
      </c>
      <c r="M1538" s="9">
        <f t="shared" ca="1" si="32"/>
        <v>-968.16</v>
      </c>
      <c r="N1538" s="10">
        <f t="shared" ca="1" si="33"/>
        <v>-97.518130539887196</v>
      </c>
      <c r="O1538" s="7">
        <f ca="1">IFERROR(__xludf.DUMMYFUNCTION("GOOGLEFINANCE(""NSE:""&amp;D1538,""pe"")"),272.33)</f>
        <v>272.33</v>
      </c>
      <c r="P1538" s="7">
        <f ca="1">IFERROR(__xludf.DUMMYFUNCTION("GOOGLEFINANCE(""NSE:""&amp;D1538,""EPS"")"),0.09)</f>
        <v>0.09</v>
      </c>
      <c r="Q1538" s="7">
        <v>13.5</v>
      </c>
      <c r="R1538" s="7" t="str">
        <f ca="1">IFERROR(__xludf.DUMMYFUNCTION("IMPORTXML(E1538,""/html/body/main/div[3]/div[3]/div[2]/ul/li[7]/span[2]/span"")"),"Loading...")</f>
        <v>Loading...</v>
      </c>
      <c r="S1538" s="7" t="str">
        <f ca="1">IFERROR(__xludf.DUMMYFUNCTION("IMPORTXML(E1538,""/html/body/main/div[3]/div[3]/div[2]/ul/li[8]/span[2]/span"")"),"Loading...")</f>
        <v>Loading...</v>
      </c>
      <c r="T1538" s="4">
        <v>34.6</v>
      </c>
      <c r="U1538" s="4">
        <v>22.7</v>
      </c>
      <c r="V1538" s="4">
        <v>2.6</v>
      </c>
      <c r="W1538" s="4">
        <v>5.7</v>
      </c>
      <c r="X1538" s="4">
        <v>519.92999999999995</v>
      </c>
      <c r="Y1538" s="7">
        <f t="shared" ca="1" si="34"/>
        <v>-495.28999999999996</v>
      </c>
    </row>
    <row r="1539" spans="1:25" ht="15" x14ac:dyDescent="0.25">
      <c r="A1539" s="4">
        <v>666</v>
      </c>
      <c r="C1539" s="12" t="s">
        <v>3585</v>
      </c>
      <c r="D1539" s="12" t="s">
        <v>3586</v>
      </c>
      <c r="E1539" s="5" t="str">
        <f t="shared" si="30"/>
        <v>https://www.screener.in/company/TIRUMALCHM/consolidated/</v>
      </c>
      <c r="F1539" s="4">
        <v>443059</v>
      </c>
      <c r="G1539" s="4">
        <v>3832241897</v>
      </c>
      <c r="H1539" s="6">
        <f t="shared" ca="1" si="31"/>
        <v>117458.21414305001</v>
      </c>
      <c r="I1539" s="7" t="str">
        <f ca="1">IFERROR(__xludf.DUMMYFUNCTION("IMPORTXML(E1539,""/html/body/main/div[3]/div[3]/div[2]/ul/li[5]/span[2]/span"")"),"Loading...")</f>
        <v>Loading...</v>
      </c>
      <c r="J1539" s="7">
        <f ca="1">IFERROR(__xludf.DUMMYFUNCTION("GOOGLEFINANCE(""NSE:""&amp;D1539,""marketcap"")"),36368094650)</f>
        <v>36368094650</v>
      </c>
      <c r="K1539" s="7">
        <v>992.8</v>
      </c>
      <c r="L1539" s="8">
        <f ca="1">IFERROR(__xludf.DUMMYFUNCTION("GOOGLEFINANCE(""NSE:""&amp;D1539,""price"")"),306.5)</f>
        <v>306.5</v>
      </c>
      <c r="M1539" s="9">
        <f t="shared" ca="1" si="32"/>
        <v>-686.3</v>
      </c>
      <c r="N1539" s="10">
        <f t="shared" ca="1" si="33"/>
        <v>-69.127719580983069</v>
      </c>
      <c r="O1539" s="7" t="str">
        <f ca="1">IFERROR(__xludf.DUMMYFUNCTION("GOOGLEFINANCE(""NSE:""&amp;D1539,""pe"")"),"#N/A")</f>
        <v>#N/A</v>
      </c>
      <c r="P1539" s="7">
        <f ca="1">IFERROR(__xludf.DUMMYFUNCTION("GOOGLEFINANCE(""NSE:""&amp;D1539,""EPS"")"),-10.85)</f>
        <v>-10.85</v>
      </c>
      <c r="Q1539" s="7">
        <v>13.5</v>
      </c>
      <c r="R1539" s="7" t="str">
        <f ca="1">IFERROR(__xludf.DUMMYFUNCTION("IMPORTXML(E1539,""/html/body/main/div[3]/div[3]/div[2]/ul/li[7]/span[2]/span"")"),"Loading...")</f>
        <v>Loading...</v>
      </c>
      <c r="S1539" s="7" t="str">
        <f ca="1">IFERROR(__xludf.DUMMYFUNCTION("IMPORTXML(E1539,""/html/body/main/div[3]/div[3]/div[2]/ul/li[8]/span[2]/span"")"),"Loading...")</f>
        <v>Loading...</v>
      </c>
      <c r="T1539" s="4">
        <v>34.6</v>
      </c>
      <c r="U1539" s="4">
        <v>22.7</v>
      </c>
      <c r="V1539" s="4">
        <v>2.6</v>
      </c>
      <c r="W1539" s="4">
        <v>5.7</v>
      </c>
      <c r="X1539" s="4">
        <v>519.92999999999995</v>
      </c>
      <c r="Y1539" s="7">
        <f t="shared" ca="1" si="34"/>
        <v>-213.42999999999995</v>
      </c>
    </row>
    <row r="1540" spans="1:25" ht="15" x14ac:dyDescent="0.25">
      <c r="A1540" s="4">
        <v>669</v>
      </c>
      <c r="C1540" s="12" t="s">
        <v>3587</v>
      </c>
      <c r="D1540" s="12" t="s">
        <v>3588</v>
      </c>
      <c r="E1540" s="5" t="str">
        <f t="shared" si="30"/>
        <v>https://www.screener.in/company/MAHLOG/consolidated/</v>
      </c>
      <c r="F1540" s="4">
        <v>443059</v>
      </c>
      <c r="G1540" s="4">
        <v>3832241897</v>
      </c>
      <c r="H1540" s="6">
        <f t="shared" ca="1" si="31"/>
        <v>122995.80368421499</v>
      </c>
      <c r="I1540" s="7" t="str">
        <f ca="1">IFERROR(__xludf.DUMMYFUNCTION("IMPORTXML(E1540,""/html/body/main/div[3]/div[3]/div[2]/ul/li[5]/span[2]/span"")"),"Loading...")</f>
        <v>Loading...</v>
      </c>
      <c r="J1540" s="7">
        <f ca="1">IFERROR(__xludf.DUMMYFUNCTION("GOOGLEFINANCE(""NSE:""&amp;D1540,""marketcap"")"),31832062923)</f>
        <v>31832062923</v>
      </c>
      <c r="K1540" s="7">
        <v>992.8</v>
      </c>
      <c r="L1540" s="8">
        <f ca="1">IFERROR(__xludf.DUMMYFUNCTION("GOOGLEFINANCE(""NSE:""&amp;D1540,""price"")"),320.95)</f>
        <v>320.95</v>
      </c>
      <c r="M1540" s="9">
        <f t="shared" ca="1" si="32"/>
        <v>-671.84999999999991</v>
      </c>
      <c r="N1540" s="10">
        <f t="shared" ca="1" si="33"/>
        <v>-67.67224012892828</v>
      </c>
      <c r="O1540" s="7" t="str">
        <f ca="1">IFERROR(__xludf.DUMMYFUNCTION("GOOGLEFINANCE(""NSE:""&amp;D1540,""pe"")"),"#N/A")</f>
        <v>#N/A</v>
      </c>
      <c r="P1540" s="7">
        <f ca="1">IFERROR(__xludf.DUMMYFUNCTION("GOOGLEFINANCE(""NSE:""&amp;D1540,""EPS"")"),-4.73)</f>
        <v>-4.7300000000000004</v>
      </c>
      <c r="Q1540" s="7">
        <v>13.5</v>
      </c>
      <c r="R1540" s="7" t="str">
        <f ca="1">IFERROR(__xludf.DUMMYFUNCTION("IMPORTXML(E1540,""/html/body/main/div[3]/div[3]/div[2]/ul/li[7]/span[2]/span"")"),"Loading...")</f>
        <v>Loading...</v>
      </c>
      <c r="S1540" s="7" t="str">
        <f ca="1">IFERROR(__xludf.DUMMYFUNCTION("IMPORTXML(E1540,""/html/body/main/div[3]/div[3]/div[2]/ul/li[8]/span[2]/span"")"),"Loading...")</f>
        <v>Loading...</v>
      </c>
      <c r="T1540" s="4">
        <v>34.6</v>
      </c>
      <c r="U1540" s="4">
        <v>22.7</v>
      </c>
      <c r="V1540" s="4">
        <v>2.6</v>
      </c>
      <c r="W1540" s="4">
        <v>5.7</v>
      </c>
      <c r="X1540" s="4">
        <v>519.92999999999995</v>
      </c>
      <c r="Y1540" s="7">
        <f t="shared" ca="1" si="34"/>
        <v>-198.97999999999996</v>
      </c>
    </row>
    <row r="1541" spans="1:25" ht="15" x14ac:dyDescent="0.25">
      <c r="A1541" s="4">
        <v>670</v>
      </c>
      <c r="C1541" s="12" t="s">
        <v>3589</v>
      </c>
      <c r="D1541" s="12" t="s">
        <v>3590</v>
      </c>
      <c r="E1541" s="5" t="str">
        <f t="shared" si="30"/>
        <v>https://www.screener.in/company/RPSGVENT/consolidated/</v>
      </c>
      <c r="F1541" s="4">
        <v>443059</v>
      </c>
      <c r="G1541" s="4">
        <v>3832241897</v>
      </c>
      <c r="H1541" s="6">
        <f t="shared" ca="1" si="31"/>
        <v>333405.04503899999</v>
      </c>
      <c r="I1541" s="7" t="str">
        <f ca="1">IFERROR(__xludf.DUMMYFUNCTION("IMPORTXML(E1541,""/html/body/main/div[3]/div[3]/div[2]/ul/li[5]/span[2]/span"")"),"Loading...")</f>
        <v>Loading...</v>
      </c>
      <c r="J1541" s="7">
        <f ca="1">IFERROR(__xludf.DUMMYFUNCTION("GOOGLEFINANCE(""NSE:""&amp;D1541,""marketcap"")"),28785176700)</f>
        <v>28785176700</v>
      </c>
      <c r="K1541" s="7">
        <v>992.8</v>
      </c>
      <c r="L1541" s="8">
        <f ca="1">IFERROR(__xludf.DUMMYFUNCTION("GOOGLEFINANCE(""NSE:""&amp;D1541,""price"")"),870)</f>
        <v>870</v>
      </c>
      <c r="M1541" s="9">
        <f t="shared" ca="1" si="32"/>
        <v>-122.79999999999995</v>
      </c>
      <c r="N1541" s="10">
        <f t="shared" ca="1" si="33"/>
        <v>-12.369057211925861</v>
      </c>
      <c r="O1541" s="7" t="str">
        <f ca="1">IFERROR(__xludf.DUMMYFUNCTION("GOOGLEFINANCE(""NSE:""&amp;D1541,""pe"")"),"#N/A")</f>
        <v>#N/A</v>
      </c>
      <c r="P1541" s="7">
        <f ca="1">IFERROR(__xludf.DUMMYFUNCTION("GOOGLEFINANCE(""NSE:""&amp;D1541,""EPS"")"),-20.5)</f>
        <v>-20.5</v>
      </c>
      <c r="Q1541" s="7">
        <v>13.5</v>
      </c>
      <c r="R1541" s="7" t="str">
        <f ca="1">IFERROR(__xludf.DUMMYFUNCTION("IMPORTXML(E1541,""/html/body/main/div[3]/div[3]/div[2]/ul/li[7]/span[2]/span"")"),"Loading...")</f>
        <v>Loading...</v>
      </c>
      <c r="S1541" s="7" t="str">
        <f ca="1">IFERROR(__xludf.DUMMYFUNCTION("IMPORTXML(E1541,""/html/body/main/div[3]/div[3]/div[2]/ul/li[8]/span[2]/span"")"),"Loading...")</f>
        <v>Loading...</v>
      </c>
      <c r="T1541" s="4">
        <v>34.6</v>
      </c>
      <c r="U1541" s="4">
        <v>22.7</v>
      </c>
      <c r="V1541" s="4">
        <v>2.6</v>
      </c>
      <c r="W1541" s="4">
        <v>5.7</v>
      </c>
      <c r="X1541" s="4">
        <v>519.92999999999995</v>
      </c>
      <c r="Y1541" s="7">
        <f t="shared" ca="1" si="34"/>
        <v>350.07000000000005</v>
      </c>
    </row>
    <row r="1542" spans="1:25" ht="15" x14ac:dyDescent="0.25">
      <c r="A1542" s="4">
        <v>674</v>
      </c>
      <c r="C1542" s="12" t="s">
        <v>3591</v>
      </c>
      <c r="D1542" s="12" t="s">
        <v>3592</v>
      </c>
      <c r="E1542" s="5" t="str">
        <f t="shared" si="30"/>
        <v>https://www.screener.in/company/SOLARA/consolidated/</v>
      </c>
      <c r="F1542" s="4">
        <v>443059</v>
      </c>
      <c r="G1542" s="4">
        <v>3832241897</v>
      </c>
      <c r="H1542" s="6">
        <f t="shared" ca="1" si="31"/>
        <v>254844.08615049999</v>
      </c>
      <c r="I1542" s="7" t="str">
        <f ca="1">IFERROR(__xludf.DUMMYFUNCTION("IMPORTXML(E1542,""/html/body/main/div[3]/div[3]/div[2]/ul/li[5]/span[2]/span"")"),"Loading...")</f>
        <v>Loading...</v>
      </c>
      <c r="J1542" s="7">
        <f ca="1">IFERROR(__xludf.DUMMYFUNCTION("GOOGLEFINANCE(""NSE:""&amp;D1542,""marketcap"")"),29551655700)</f>
        <v>29551655700</v>
      </c>
      <c r="K1542" s="7">
        <v>992.8</v>
      </c>
      <c r="L1542" s="8">
        <f ca="1">IFERROR(__xludf.DUMMYFUNCTION("GOOGLEFINANCE(""NSE:""&amp;D1542,""price"")"),665)</f>
        <v>665</v>
      </c>
      <c r="M1542" s="9">
        <f t="shared" ca="1" si="32"/>
        <v>-327.79999999999995</v>
      </c>
      <c r="N1542" s="10">
        <f t="shared" ca="1" si="33"/>
        <v>-33.017727639000803</v>
      </c>
      <c r="O1542" s="7">
        <f ca="1">IFERROR(__xludf.DUMMYFUNCTION("GOOGLEFINANCE(""NSE:""&amp;D1542,""pe"")"),114.96)</f>
        <v>114.96</v>
      </c>
      <c r="P1542" s="7">
        <f ca="1">IFERROR(__xludf.DUMMYFUNCTION("GOOGLEFINANCE(""NSE:""&amp;D1542,""EPS"")"),5.78)</f>
        <v>5.78</v>
      </c>
      <c r="Q1542" s="7">
        <v>13.5</v>
      </c>
      <c r="R1542" s="7" t="str">
        <f ca="1">IFERROR(__xludf.DUMMYFUNCTION("IMPORTXML(E1542,""/html/body/main/div[3]/div[3]/div[2]/ul/li[7]/span[2]/span"")"),"Loading...")</f>
        <v>Loading...</v>
      </c>
      <c r="S1542" s="7" t="str">
        <f ca="1">IFERROR(__xludf.DUMMYFUNCTION("IMPORTXML(E1542,""/html/body/main/div[3]/div[3]/div[2]/ul/li[8]/span[2]/span"")"),"Loading...")</f>
        <v>Loading...</v>
      </c>
      <c r="T1542" s="4">
        <v>34.6</v>
      </c>
      <c r="U1542" s="4">
        <v>22.7</v>
      </c>
      <c r="V1542" s="4">
        <v>2.6</v>
      </c>
      <c r="W1542" s="4">
        <v>5.7</v>
      </c>
      <c r="X1542" s="4">
        <v>519.92999999999995</v>
      </c>
      <c r="Y1542" s="7">
        <f t="shared" ca="1" si="34"/>
        <v>145.07000000000005</v>
      </c>
    </row>
    <row r="1543" spans="1:25" ht="15" x14ac:dyDescent="0.25">
      <c r="A1543" s="4">
        <v>679</v>
      </c>
      <c r="C1543" s="41" t="s">
        <v>3593</v>
      </c>
      <c r="D1543" s="42"/>
      <c r="E1543" s="5" t="str">
        <f t="shared" si="30"/>
        <v>https://www.screener.in/company//consolidated/</v>
      </c>
      <c r="F1543" s="4">
        <v>443059</v>
      </c>
      <c r="G1543" s="4">
        <v>3832241897</v>
      </c>
      <c r="H1543" s="6" t="e">
        <f t="shared" ca="1" si="31"/>
        <v>#VALUE!</v>
      </c>
      <c r="I1543" s="7" t="str">
        <f ca="1">IFERROR(__xludf.DUMMYFUNCTION("IMPORTXML(E1543,""/html/body/main/div[3]/div[3]/div[2]/ul/li[5]/span[2]/span"")"),"Loading...")</f>
        <v>Loading...</v>
      </c>
      <c r="J1543" s="7" t="str">
        <f ca="1">IFERROR(__xludf.DUMMYFUNCTION("GOOGLEFINANCE(""NSE:""&amp;D1543,""marketcap"")"),"#N/A")</f>
        <v>#N/A</v>
      </c>
      <c r="K1543" s="7">
        <v>992.8</v>
      </c>
      <c r="L1543" s="8" t="str">
        <f ca="1">IFERROR(__xludf.DUMMYFUNCTION("GOOGLEFINANCE(""NSE:""&amp;D1543,""price"")"),"#N/A")</f>
        <v>#N/A</v>
      </c>
      <c r="M1543" s="9" t="e">
        <f t="shared" ca="1" si="32"/>
        <v>#VALUE!</v>
      </c>
      <c r="N1543" s="10" t="e">
        <f t="shared" ca="1" si="33"/>
        <v>#VALUE!</v>
      </c>
      <c r="O1543" s="7" t="str">
        <f ca="1">IFERROR(__xludf.DUMMYFUNCTION("GOOGLEFINANCE(""NSE:""&amp;D1543,""pe"")"),"#N/A")</f>
        <v>#N/A</v>
      </c>
      <c r="P1543" s="7" t="str">
        <f ca="1">IFERROR(__xludf.DUMMYFUNCTION("GOOGLEFINANCE(""NSE:""&amp;D1543,""EPS"")"),"#N/A")</f>
        <v>#N/A</v>
      </c>
      <c r="Q1543" s="7">
        <v>13.5</v>
      </c>
      <c r="R1543" s="7" t="str">
        <f ca="1">IFERROR(__xludf.DUMMYFUNCTION("IMPORTXML(E1543,""/html/body/main/div[3]/div[3]/div[2]/ul/li[7]/span[2]/span"")"),"Loading...")</f>
        <v>Loading...</v>
      </c>
      <c r="S1543" s="7" t="str">
        <f ca="1">IFERROR(__xludf.DUMMYFUNCTION("IMPORTXML(E1543,""/html/body/main/div[3]/div[3]/div[2]/ul/li[8]/span[2]/span"")"),"Loading...")</f>
        <v>Loading...</v>
      </c>
      <c r="T1543" s="4">
        <v>34.6</v>
      </c>
      <c r="U1543" s="4">
        <v>22.7</v>
      </c>
      <c r="V1543" s="4">
        <v>2.6</v>
      </c>
      <c r="W1543" s="4">
        <v>5.7</v>
      </c>
      <c r="X1543" s="4">
        <v>519.92999999999995</v>
      </c>
      <c r="Y1543" s="7" t="e">
        <f t="shared" ca="1" si="34"/>
        <v>#VALUE!</v>
      </c>
    </row>
    <row r="1544" spans="1:25" ht="15" x14ac:dyDescent="0.25">
      <c r="A1544" s="4">
        <v>684</v>
      </c>
      <c r="C1544" s="12" t="s">
        <v>3594</v>
      </c>
      <c r="D1544" s="12" t="s">
        <v>3595</v>
      </c>
      <c r="E1544" s="5" t="str">
        <f t="shared" si="30"/>
        <v>https://www.screener.in/company/GTLINFRA/consolidated/</v>
      </c>
      <c r="F1544" s="4">
        <v>443059</v>
      </c>
      <c r="G1544" s="4">
        <v>3832241897</v>
      </c>
      <c r="H1544" s="6">
        <f t="shared" ca="1" si="31"/>
        <v>586.33301024100001</v>
      </c>
      <c r="I1544" s="7" t="str">
        <f ca="1">IFERROR(__xludf.DUMMYFUNCTION("IMPORTXML(E1544,""/html/body/main/div[3]/div[3]/div[2]/ul/li[5]/span[2]/span"")"),"Loading...")</f>
        <v>Loading...</v>
      </c>
      <c r="J1544" s="7">
        <f ca="1">IFERROR(__xludf.DUMMYFUNCTION("GOOGLEFINANCE(""NSE:""&amp;D1544,""marketcap"")"),19597937933)</f>
        <v>19597937933</v>
      </c>
      <c r="K1544" s="7">
        <v>992.8</v>
      </c>
      <c r="L1544" s="8">
        <f ca="1">IFERROR(__xludf.DUMMYFUNCTION("GOOGLEFINANCE(""NSE:""&amp;D1544,""price"")"),1.53)</f>
        <v>1.53</v>
      </c>
      <c r="M1544" s="9">
        <f t="shared" ca="1" si="32"/>
        <v>-991.27</v>
      </c>
      <c r="N1544" s="10">
        <f t="shared" ca="1" si="33"/>
        <v>-99.845890410958901</v>
      </c>
      <c r="O1544" s="7" t="str">
        <f ca="1">IFERROR(__xludf.DUMMYFUNCTION("GOOGLEFINANCE(""NSE:""&amp;D1544,""pe"")"),"#N/A")</f>
        <v>#N/A</v>
      </c>
      <c r="P1544" s="7">
        <f ca="1">IFERROR(__xludf.DUMMYFUNCTION("GOOGLEFINANCE(""NSE:""&amp;D1544,""EPS"")"),-0.69)</f>
        <v>-0.69</v>
      </c>
      <c r="Q1544" s="7">
        <v>13.5</v>
      </c>
      <c r="R1544" s="7" t="str">
        <f ca="1">IFERROR(__xludf.DUMMYFUNCTION("IMPORTXML(E1544,""/html/body/main/div[3]/div[3]/div[2]/ul/li[7]/span[2]/span"")"),"Loading...")</f>
        <v>Loading...</v>
      </c>
      <c r="S1544" s="7" t="str">
        <f ca="1">IFERROR(__xludf.DUMMYFUNCTION("IMPORTXML(E1544,""/html/body/main/div[3]/div[3]/div[2]/ul/li[8]/span[2]/span"")"),"Loading...")</f>
        <v>Loading...</v>
      </c>
      <c r="T1544" s="4">
        <v>34.6</v>
      </c>
      <c r="U1544" s="4">
        <v>22.7</v>
      </c>
      <c r="V1544" s="4">
        <v>2.6</v>
      </c>
      <c r="W1544" s="4">
        <v>5.7</v>
      </c>
      <c r="X1544" s="4">
        <v>519.92999999999995</v>
      </c>
      <c r="Y1544" s="7">
        <f t="shared" ca="1" si="34"/>
        <v>-518.4</v>
      </c>
    </row>
    <row r="1545" spans="1:25" ht="15" x14ac:dyDescent="0.25">
      <c r="A1545" s="4">
        <v>685</v>
      </c>
      <c r="C1545" s="12" t="s">
        <v>3596</v>
      </c>
      <c r="D1545" s="12" t="s">
        <v>3597</v>
      </c>
      <c r="E1545" s="5" t="str">
        <f t="shared" si="30"/>
        <v>https://www.screener.in/company/DCAL/consolidated/</v>
      </c>
      <c r="F1545" s="4">
        <v>443059</v>
      </c>
      <c r="G1545" s="4">
        <v>3832241897</v>
      </c>
      <c r="H1545" s="6">
        <f t="shared" ca="1" si="31"/>
        <v>105942.32724256499</v>
      </c>
      <c r="I1545" s="7" t="str">
        <f ca="1">IFERROR(__xludf.DUMMYFUNCTION("IMPORTXML(E1545,""/html/body/main/div[3]/div[3]/div[2]/ul/li[5]/span[2]/span"")"),"Loading...")</f>
        <v>Loading...</v>
      </c>
      <c r="J1545" s="7">
        <f ca="1">IFERROR(__xludf.DUMMYFUNCTION("GOOGLEFINANCE(""NSE:""&amp;D1545,""marketcap"")"),43334850000)</f>
        <v>43334850000</v>
      </c>
      <c r="K1545" s="7">
        <v>992.8</v>
      </c>
      <c r="L1545" s="8">
        <f ca="1">IFERROR(__xludf.DUMMYFUNCTION("GOOGLEFINANCE(""NSE:""&amp;D1545,""price"")"),276.45)</f>
        <v>276.45</v>
      </c>
      <c r="M1545" s="9">
        <f t="shared" ca="1" si="32"/>
        <v>-716.34999999999991</v>
      </c>
      <c r="N1545" s="10">
        <f t="shared" ca="1" si="33"/>
        <v>-72.15451248992747</v>
      </c>
      <c r="O1545" s="7">
        <f ca="1">IFERROR(__xludf.DUMMYFUNCTION("GOOGLEFINANCE(""NSE:""&amp;D1545,""pe"")"),41.57)</f>
        <v>41.57</v>
      </c>
      <c r="P1545" s="7">
        <f ca="1">IFERROR(__xludf.DUMMYFUNCTION("GOOGLEFINANCE(""NSE:""&amp;D1545,""EPS"")"),6.65)</f>
        <v>6.65</v>
      </c>
      <c r="Q1545" s="7">
        <v>13.5</v>
      </c>
      <c r="R1545" s="7" t="str">
        <f ca="1">IFERROR(__xludf.DUMMYFUNCTION("IMPORTXML(E1545,""/html/body/main/div[3]/div[3]/div[2]/ul/li[7]/span[2]/span"")"),"Loading...")</f>
        <v>Loading...</v>
      </c>
      <c r="S1545" s="7" t="str">
        <f ca="1">IFERROR(__xludf.DUMMYFUNCTION("IMPORTXML(E1545,""/html/body/main/div[3]/div[3]/div[2]/ul/li[8]/span[2]/span"")"),"Loading...")</f>
        <v>Loading...</v>
      </c>
      <c r="T1545" s="4">
        <v>34.6</v>
      </c>
      <c r="U1545" s="4">
        <v>22.7</v>
      </c>
      <c r="V1545" s="4">
        <v>2.6</v>
      </c>
      <c r="W1545" s="4">
        <v>5.7</v>
      </c>
      <c r="X1545" s="4">
        <v>519.92999999999995</v>
      </c>
      <c r="Y1545" s="7">
        <f t="shared" ca="1" si="34"/>
        <v>-243.47999999999996</v>
      </c>
    </row>
    <row r="1546" spans="1:25" ht="15" x14ac:dyDescent="0.25">
      <c r="A1546" s="4">
        <v>687</v>
      </c>
      <c r="C1546" s="12" t="s">
        <v>3598</v>
      </c>
      <c r="D1546" s="12" t="s">
        <v>3599</v>
      </c>
      <c r="E1546" s="5" t="str">
        <f t="shared" si="30"/>
        <v>https://www.screener.in/company/SANATHAN/consolidated/</v>
      </c>
      <c r="F1546" s="4">
        <v>443059</v>
      </c>
      <c r="G1546" s="4">
        <v>3832241897</v>
      </c>
      <c r="H1546" s="6">
        <f t="shared" ca="1" si="31"/>
        <v>196191.62391691498</v>
      </c>
      <c r="I1546" s="7" t="str">
        <f ca="1">IFERROR(__xludf.DUMMYFUNCTION("IMPORTXML(E1546,""/html/body/main/div[3]/div[3]/div[2]/ul/li[5]/span[2]/span"")"),"Loading...")</f>
        <v>Loading...</v>
      </c>
      <c r="J1546" s="7">
        <f ca="1">IFERROR(__xludf.DUMMYFUNCTION("GOOGLEFINANCE(""NSE:""&amp;D1546,""marketcap"")"),43210654427)</f>
        <v>43210654427</v>
      </c>
      <c r="K1546" s="7">
        <v>992.8</v>
      </c>
      <c r="L1546" s="8">
        <f ca="1">IFERROR(__xludf.DUMMYFUNCTION("GOOGLEFINANCE(""NSE:""&amp;D1546,""price"")"),511.95)</f>
        <v>511.95</v>
      </c>
      <c r="M1546" s="9">
        <f t="shared" ca="1" si="32"/>
        <v>-480.84999999999997</v>
      </c>
      <c r="N1546" s="10">
        <f t="shared" ca="1" si="33"/>
        <v>-48.433722804190168</v>
      </c>
      <c r="O1546" s="7">
        <f ca="1">IFERROR(__xludf.DUMMYFUNCTION("GOOGLEFINANCE(""NSE:""&amp;D1546,""pe"")"),26.7)</f>
        <v>26.7</v>
      </c>
      <c r="P1546" s="7">
        <f ca="1">IFERROR(__xludf.DUMMYFUNCTION("GOOGLEFINANCE(""NSE:""&amp;D1546,""EPS"")"),19.17)</f>
        <v>19.170000000000002</v>
      </c>
      <c r="Q1546" s="7">
        <v>13.5</v>
      </c>
      <c r="R1546" s="7" t="str">
        <f ca="1">IFERROR(__xludf.DUMMYFUNCTION("IMPORTXML(E1546,""/html/body/main/div[3]/div[3]/div[2]/ul/li[7]/span[2]/span"")"),"Loading...")</f>
        <v>Loading...</v>
      </c>
      <c r="S1546" s="7" t="str">
        <f ca="1">IFERROR(__xludf.DUMMYFUNCTION("IMPORTXML(E1546,""/html/body/main/div[3]/div[3]/div[2]/ul/li[8]/span[2]/span"")"),"Loading...")</f>
        <v>Loading...</v>
      </c>
      <c r="T1546" s="4">
        <v>34.6</v>
      </c>
      <c r="U1546" s="4">
        <v>22.7</v>
      </c>
      <c r="V1546" s="4">
        <v>2.6</v>
      </c>
      <c r="W1546" s="4">
        <v>5.7</v>
      </c>
      <c r="X1546" s="4">
        <v>519.92999999999995</v>
      </c>
      <c r="Y1546" s="7">
        <f t="shared" ca="1" si="34"/>
        <v>-7.9799999999999613</v>
      </c>
    </row>
    <row r="1547" spans="1:25" ht="15" x14ac:dyDescent="0.25">
      <c r="A1547" s="4">
        <v>694</v>
      </c>
      <c r="C1547" s="12" t="s">
        <v>3600</v>
      </c>
      <c r="D1547" s="12" t="s">
        <v>3601</v>
      </c>
      <c r="E1547" s="5" t="str">
        <f t="shared" si="30"/>
        <v>https://www.screener.in/company/INDOCO/consolidated/</v>
      </c>
      <c r="F1547" s="4">
        <v>443059</v>
      </c>
      <c r="G1547" s="4">
        <v>3832241897</v>
      </c>
      <c r="H1547" s="6">
        <f t="shared" ca="1" si="31"/>
        <v>104351.94685531002</v>
      </c>
      <c r="I1547" s="7" t="str">
        <f ca="1">IFERROR(__xludf.DUMMYFUNCTION("IMPORTXML(E1547,""/html/body/main/div[3]/div[3]/div[2]/ul/li[5]/span[2]/span"")"),"Loading...")</f>
        <v>Loading...</v>
      </c>
      <c r="J1547" s="7">
        <f ca="1">IFERROR(__xludf.DUMMYFUNCTION("GOOGLEFINANCE(""NSE:""&amp;D1547,""marketcap"")"),25210750000)</f>
        <v>25210750000</v>
      </c>
      <c r="K1547" s="7">
        <v>992.8</v>
      </c>
      <c r="L1547" s="8">
        <f ca="1">IFERROR(__xludf.DUMMYFUNCTION("GOOGLEFINANCE(""NSE:""&amp;D1547,""price"")"),272.3)</f>
        <v>272.3</v>
      </c>
      <c r="M1547" s="9">
        <f t="shared" ca="1" si="32"/>
        <v>-720.5</v>
      </c>
      <c r="N1547" s="10">
        <f t="shared" ca="1" si="33"/>
        <v>-72.572522159548754</v>
      </c>
      <c r="O1547" s="7" t="str">
        <f ca="1">IFERROR(__xludf.DUMMYFUNCTION("GOOGLEFINANCE(""NSE:""&amp;D1547,""pe"")"),"#N/A")</f>
        <v>#N/A</v>
      </c>
      <c r="P1547" s="7">
        <f ca="1">IFERROR(__xludf.DUMMYFUNCTION("GOOGLEFINANCE(""NSE:""&amp;D1547,""EPS"")"),-12.49)</f>
        <v>-12.49</v>
      </c>
      <c r="Q1547" s="7">
        <v>13.5</v>
      </c>
      <c r="R1547" s="7" t="str">
        <f ca="1">IFERROR(__xludf.DUMMYFUNCTION("IMPORTXML(E1547,""/html/body/main/div[3]/div[3]/div[2]/ul/li[7]/span[2]/span"")"),"Loading...")</f>
        <v>Loading...</v>
      </c>
      <c r="S1547" s="7" t="str">
        <f ca="1">IFERROR(__xludf.DUMMYFUNCTION("IMPORTXML(E1547,""/html/body/main/div[3]/div[3]/div[2]/ul/li[8]/span[2]/span"")"),"Loading...")</f>
        <v>Loading...</v>
      </c>
      <c r="T1547" s="4">
        <v>34.6</v>
      </c>
      <c r="U1547" s="4">
        <v>22.7</v>
      </c>
      <c r="V1547" s="4">
        <v>2.6</v>
      </c>
      <c r="W1547" s="4">
        <v>5.7</v>
      </c>
      <c r="X1547" s="4">
        <v>519.92999999999995</v>
      </c>
      <c r="Y1547" s="7">
        <f t="shared" ca="1" si="34"/>
        <v>-247.62999999999994</v>
      </c>
    </row>
    <row r="1548" spans="1:25" ht="15" x14ac:dyDescent="0.25">
      <c r="A1548" s="4">
        <v>708</v>
      </c>
      <c r="C1548" s="12" t="s">
        <v>3602</v>
      </c>
      <c r="D1548" s="12" t="s">
        <v>3603</v>
      </c>
      <c r="E1548" s="5" t="str">
        <f t="shared" si="30"/>
        <v>https://www.screener.in/company/SAGCEM/consolidated/</v>
      </c>
      <c r="F1548" s="4">
        <v>443059</v>
      </c>
      <c r="G1548" s="4">
        <v>3832241897</v>
      </c>
      <c r="H1548" s="6">
        <f t="shared" ca="1" si="31"/>
        <v>113434.3601512</v>
      </c>
      <c r="I1548" s="7" t="str">
        <f ca="1">IFERROR(__xludf.DUMMYFUNCTION("IMPORTXML(E1548,""/html/body/main/div[3]/div[3]/div[2]/ul/li[5]/span[2]/span"")"),"Loading...")</f>
        <v>Loading...</v>
      </c>
      <c r="J1548" s="7">
        <f ca="1">IFERROR(__xludf.DUMMYFUNCTION("GOOGLEFINANCE(""NSE:""&amp;D1548,""marketcap"")"),38689420000)</f>
        <v>38689420000</v>
      </c>
      <c r="K1548" s="7">
        <v>992.8</v>
      </c>
      <c r="L1548" s="8">
        <f ca="1">IFERROR(__xludf.DUMMYFUNCTION("GOOGLEFINANCE(""NSE:""&amp;D1548,""price"")"),296)</f>
        <v>296</v>
      </c>
      <c r="M1548" s="9">
        <f t="shared" ca="1" si="32"/>
        <v>-696.8</v>
      </c>
      <c r="N1548" s="10">
        <f t="shared" ca="1" si="33"/>
        <v>-70.185334407735695</v>
      </c>
      <c r="O1548" s="7" t="str">
        <f ca="1">IFERROR(__xludf.DUMMYFUNCTION("GOOGLEFINANCE(""NSE:""&amp;D1548,""pe"")"),"#N/A")</f>
        <v>#N/A</v>
      </c>
      <c r="P1548" s="7">
        <f ca="1">IFERROR(__xludf.DUMMYFUNCTION("GOOGLEFINANCE(""NSE:""&amp;D1548,""EPS"")"),-12.9)</f>
        <v>-12.9</v>
      </c>
      <c r="Q1548" s="7">
        <v>13.5</v>
      </c>
      <c r="R1548" s="7" t="str">
        <f ca="1">IFERROR(__xludf.DUMMYFUNCTION("IMPORTXML(E1548,""/html/body/main/div[3]/div[3]/div[2]/ul/li[7]/span[2]/span"")"),"Loading...")</f>
        <v>Loading...</v>
      </c>
      <c r="S1548" s="7" t="str">
        <f ca="1">IFERROR(__xludf.DUMMYFUNCTION("IMPORTXML(E1548,""/html/body/main/div[3]/div[3]/div[2]/ul/li[8]/span[2]/span"")"),"Loading...")</f>
        <v>Loading...</v>
      </c>
      <c r="T1548" s="4">
        <v>34.6</v>
      </c>
      <c r="U1548" s="4">
        <v>22.7</v>
      </c>
      <c r="V1548" s="4">
        <v>2.6</v>
      </c>
      <c r="W1548" s="4">
        <v>5.7</v>
      </c>
      <c r="X1548" s="4">
        <v>519.92999999999995</v>
      </c>
      <c r="Y1548" s="7">
        <f t="shared" ca="1" si="34"/>
        <v>-223.92999999999995</v>
      </c>
    </row>
    <row r="1549" spans="1:25" ht="15" x14ac:dyDescent="0.25">
      <c r="A1549" s="4">
        <v>712</v>
      </c>
      <c r="C1549" s="12" t="s">
        <v>3604</v>
      </c>
      <c r="D1549" s="12" t="s">
        <v>3605</v>
      </c>
      <c r="E1549" s="5" t="str">
        <f t="shared" si="30"/>
        <v>https://www.screener.in/company/SUVEN/consolidated/</v>
      </c>
      <c r="F1549" s="4">
        <v>443059</v>
      </c>
      <c r="G1549" s="4">
        <v>3832241897</v>
      </c>
      <c r="H1549" s="6">
        <f t="shared" ca="1" si="31"/>
        <v>85171.576160825003</v>
      </c>
      <c r="I1549" s="7" t="str">
        <f ca="1">IFERROR(__xludf.DUMMYFUNCTION("IMPORTXML(E1549,""/html/body/main/div[3]/div[3]/div[2]/ul/li[5]/span[2]/span"")"),"Loading...")</f>
        <v>Loading...</v>
      </c>
      <c r="J1549" s="7">
        <f ca="1">IFERROR(__xludf.DUMMYFUNCTION("GOOGLEFINANCE(""NSE:""&amp;D1549,""marketcap"")"),50554657492)</f>
        <v>50554657492</v>
      </c>
      <c r="K1549" s="7">
        <v>992.8</v>
      </c>
      <c r="L1549" s="8">
        <f ca="1">IFERROR(__xludf.DUMMYFUNCTION("GOOGLEFINANCE(""NSE:""&amp;D1549,""price"")"),222.25)</f>
        <v>222.25</v>
      </c>
      <c r="M1549" s="9">
        <f t="shared" ca="1" si="32"/>
        <v>-770.55</v>
      </c>
      <c r="N1549" s="10">
        <f t="shared" ca="1" si="33"/>
        <v>-77.613819500402897</v>
      </c>
      <c r="O1549" s="7" t="str">
        <f ca="1">IFERROR(__xludf.DUMMYFUNCTION("GOOGLEFINANCE(""NSE:""&amp;D1549,""pe"")"),"#N/A")</f>
        <v>#N/A</v>
      </c>
      <c r="P1549" s="7">
        <f ca="1">IFERROR(__xludf.DUMMYFUNCTION("GOOGLEFINANCE(""NSE:""&amp;D1549,""EPS"")"),-8.43)</f>
        <v>-8.43</v>
      </c>
      <c r="Q1549" s="7">
        <v>13.5</v>
      </c>
      <c r="R1549" s="7" t="str">
        <f ca="1">IFERROR(__xludf.DUMMYFUNCTION("IMPORTXML(E1549,""/html/body/main/div[3]/div[3]/div[2]/ul/li[7]/span[2]/span"")"),"Loading...")</f>
        <v>Loading...</v>
      </c>
      <c r="S1549" s="7">
        <f ca="1">IFERROR(__xludf.DUMMYFUNCTION("IMPORTXML(E1549,""/html/body/main/div[3]/div[3]/div[2]/ul/li[8]/span[2]/span"")"),-87.2)</f>
        <v>-87.2</v>
      </c>
      <c r="T1549" s="4">
        <v>34.6</v>
      </c>
      <c r="U1549" s="4">
        <v>22.7</v>
      </c>
      <c r="V1549" s="4">
        <v>2.6</v>
      </c>
      <c r="W1549" s="4">
        <v>5.7</v>
      </c>
      <c r="X1549" s="4">
        <v>519.92999999999995</v>
      </c>
      <c r="Y1549" s="7">
        <f t="shared" ca="1" si="34"/>
        <v>-297.67999999999995</v>
      </c>
    </row>
    <row r="1550" spans="1:25" ht="15" x14ac:dyDescent="0.25">
      <c r="A1550" s="4">
        <v>721</v>
      </c>
      <c r="C1550" s="12" t="s">
        <v>3606</v>
      </c>
      <c r="D1550" s="12" t="s">
        <v>3607</v>
      </c>
      <c r="E1550" s="5" t="str">
        <f t="shared" si="30"/>
        <v>https://www.screener.in/company/IDEAFORGE/consolidated/</v>
      </c>
      <c r="F1550" s="4">
        <v>443059</v>
      </c>
      <c r="G1550" s="4">
        <v>3832241897</v>
      </c>
      <c r="H1550" s="6">
        <f t="shared" ca="1" si="31"/>
        <v>196210.78512640001</v>
      </c>
      <c r="I1550" s="7" t="str">
        <f ca="1">IFERROR(__xludf.DUMMYFUNCTION("IMPORTXML(E1550,""/html/body/main/div[3]/div[3]/div[2]/ul/li[5]/span[2]/span"")"),"Loading...")</f>
        <v>Loading...</v>
      </c>
      <c r="J1550" s="7">
        <f ca="1">IFERROR(__xludf.DUMMYFUNCTION("GOOGLEFINANCE(""NSE:""&amp;D1550,""marketcap"")"),21997937269)</f>
        <v>21997937269</v>
      </c>
      <c r="K1550" s="7">
        <v>992.8</v>
      </c>
      <c r="L1550" s="8">
        <f ca="1">IFERROR(__xludf.DUMMYFUNCTION("GOOGLEFINANCE(""NSE:""&amp;D1550,""price"")"),512)</f>
        <v>512</v>
      </c>
      <c r="M1550" s="9">
        <f t="shared" ca="1" si="32"/>
        <v>-480.79999999999995</v>
      </c>
      <c r="N1550" s="10">
        <f t="shared" ca="1" si="33"/>
        <v>-48.428686543110395</v>
      </c>
      <c r="O1550" s="7" t="str">
        <f ca="1">IFERROR(__xludf.DUMMYFUNCTION("GOOGLEFINANCE(""NSE:""&amp;D1550,""pe"")"),"#N/A")</f>
        <v>#N/A</v>
      </c>
      <c r="P1550" s="7">
        <f ca="1">IFERROR(__xludf.DUMMYFUNCTION("GOOGLEFINANCE(""NSE:""&amp;D1550,""EPS"")"),-20.07)</f>
        <v>-20.07</v>
      </c>
      <c r="Q1550" s="7">
        <v>13.5</v>
      </c>
      <c r="R1550" s="7" t="str">
        <f ca="1">IFERROR(__xludf.DUMMYFUNCTION("IMPORTXML(E1550,""/html/body/main/div[3]/div[3]/div[2]/ul/li[7]/span[2]/span"")"),"Loading...")</f>
        <v>Loading...</v>
      </c>
      <c r="S1550" s="7" t="str">
        <f ca="1">IFERROR(__xludf.DUMMYFUNCTION("IMPORTXML(E1550,""/html/body/main/div[3]/div[3]/div[2]/ul/li[8]/span[2]/span"")"),"Loading...")</f>
        <v>Loading...</v>
      </c>
      <c r="T1550" s="4">
        <v>34.6</v>
      </c>
      <c r="U1550" s="4">
        <v>22.7</v>
      </c>
      <c r="V1550" s="4">
        <v>2.6</v>
      </c>
      <c r="W1550" s="4">
        <v>5.7</v>
      </c>
      <c r="X1550" s="4">
        <v>519.92999999999995</v>
      </c>
      <c r="Y1550" s="7">
        <f t="shared" ca="1" si="34"/>
        <v>-7.92999999999995</v>
      </c>
    </row>
    <row r="1551" spans="1:25" ht="15" x14ac:dyDescent="0.25">
      <c r="A1551" s="4">
        <v>724</v>
      </c>
      <c r="C1551" s="41" t="s">
        <v>3608</v>
      </c>
      <c r="D1551" s="42"/>
      <c r="E1551" s="5" t="str">
        <f t="shared" si="30"/>
        <v>https://www.screener.in/company//consolidated/</v>
      </c>
      <c r="F1551" s="4">
        <v>443059</v>
      </c>
      <c r="G1551" s="4">
        <v>3832241897</v>
      </c>
      <c r="H1551" s="6" t="e">
        <f t="shared" ca="1" si="31"/>
        <v>#VALUE!</v>
      </c>
      <c r="I1551" s="7" t="str">
        <f ca="1">IFERROR(__xludf.DUMMYFUNCTION("IMPORTXML(E1551,""/html/body/main/div[3]/div[3]/div[2]/ul/li[5]/span[2]/span"")"),"Loading...")</f>
        <v>Loading...</v>
      </c>
      <c r="J1551" s="7" t="str">
        <f ca="1">IFERROR(__xludf.DUMMYFUNCTION("GOOGLEFINANCE(""NSE:""&amp;D1551,""marketcap"")"),"#N/A")</f>
        <v>#N/A</v>
      </c>
      <c r="K1551" s="7">
        <v>992.8</v>
      </c>
      <c r="L1551" s="8" t="str">
        <f ca="1">IFERROR(__xludf.DUMMYFUNCTION("GOOGLEFINANCE(""NSE:""&amp;D1551,""price"")"),"#N/A")</f>
        <v>#N/A</v>
      </c>
      <c r="M1551" s="9" t="e">
        <f t="shared" ca="1" si="32"/>
        <v>#VALUE!</v>
      </c>
      <c r="N1551" s="10" t="e">
        <f t="shared" ca="1" si="33"/>
        <v>#VALUE!</v>
      </c>
      <c r="O1551" s="7" t="str">
        <f ca="1">IFERROR(__xludf.DUMMYFUNCTION("GOOGLEFINANCE(""NSE:""&amp;D1551,""pe"")"),"#N/A")</f>
        <v>#N/A</v>
      </c>
      <c r="P1551" s="7" t="str">
        <f ca="1">IFERROR(__xludf.DUMMYFUNCTION("GOOGLEFINANCE(""NSE:""&amp;D1551,""EPS"")"),"#N/A")</f>
        <v>#N/A</v>
      </c>
      <c r="Q1551" s="7">
        <v>13.5</v>
      </c>
      <c r="R1551" s="7" t="str">
        <f ca="1">IFERROR(__xludf.DUMMYFUNCTION("IMPORTXML(E1551,""/html/body/main/div[3]/div[3]/div[2]/ul/li[7]/span[2]/span"")"),"Loading...")</f>
        <v>Loading...</v>
      </c>
      <c r="S1551" s="7" t="str">
        <f ca="1">IFERROR(__xludf.DUMMYFUNCTION("IMPORTXML(E1551,""/html/body/main/div[3]/div[3]/div[2]/ul/li[8]/span[2]/span"")"),"Loading...")</f>
        <v>Loading...</v>
      </c>
      <c r="T1551" s="4">
        <v>34.6</v>
      </c>
      <c r="U1551" s="4">
        <v>22.7</v>
      </c>
      <c r="V1551" s="4">
        <v>2.6</v>
      </c>
      <c r="W1551" s="4">
        <v>5.7</v>
      </c>
      <c r="X1551" s="4">
        <v>519.92999999999995</v>
      </c>
      <c r="Y1551" s="7" t="e">
        <f t="shared" ca="1" si="34"/>
        <v>#VALUE!</v>
      </c>
    </row>
    <row r="1552" spans="1:25" ht="15" x14ac:dyDescent="0.25">
      <c r="A1552" s="4">
        <v>734</v>
      </c>
      <c r="C1552" s="12" t="s">
        <v>3609</v>
      </c>
      <c r="D1552" s="12" t="s">
        <v>3610</v>
      </c>
      <c r="E1552" s="5" t="str">
        <f t="shared" si="30"/>
        <v>https://www.screener.in/company/DREDGECORP/consolidated/</v>
      </c>
      <c r="F1552" s="4">
        <v>443059</v>
      </c>
      <c r="G1552" s="4">
        <v>3832241897</v>
      </c>
      <c r="H1552" s="6">
        <f t="shared" ca="1" si="31"/>
        <v>245263.48140799999</v>
      </c>
      <c r="I1552" s="7" t="str">
        <f ca="1">IFERROR(__xludf.DUMMYFUNCTION("IMPORTXML(E1552,""/html/body/main/div[3]/div[3]/div[2]/ul/li[5]/span[2]/span"")"),"Loading...")</f>
        <v>Loading...</v>
      </c>
      <c r="J1552" s="7">
        <f ca="1">IFERROR(__xludf.DUMMYFUNCTION("GOOGLEFINANCE(""NSE:""&amp;D1552,""marketcap"")"),17900400000)</f>
        <v>17900400000</v>
      </c>
      <c r="K1552" s="7">
        <v>992.8</v>
      </c>
      <c r="L1552" s="8">
        <f ca="1">IFERROR(__xludf.DUMMYFUNCTION("GOOGLEFINANCE(""NSE:""&amp;D1552,""price"")"),640)</f>
        <v>640</v>
      </c>
      <c r="M1552" s="9">
        <f t="shared" ca="1" si="32"/>
        <v>-352.79999999999995</v>
      </c>
      <c r="N1552" s="10">
        <f t="shared" ca="1" si="33"/>
        <v>-35.535858178887992</v>
      </c>
      <c r="O1552" s="7" t="str">
        <f ca="1">IFERROR(__xludf.DUMMYFUNCTION("GOOGLEFINANCE(""NSE:""&amp;D1552,""pe"")"),"#N/A")</f>
        <v>#N/A</v>
      </c>
      <c r="P1552" s="7">
        <f ca="1">IFERROR(__xludf.DUMMYFUNCTION("GOOGLEFINANCE(""NSE:""&amp;D1552,""EPS"")"),-9.19)</f>
        <v>-9.19</v>
      </c>
      <c r="Q1552" s="7">
        <v>13.5</v>
      </c>
      <c r="R1552" s="7" t="str">
        <f ca="1">IFERROR(__xludf.DUMMYFUNCTION("IMPORTXML(E1552,""/html/body/main/div[3]/div[3]/div[2]/ul/li[7]/span[2]/span"")"),"Loading...")</f>
        <v>Loading...</v>
      </c>
      <c r="S1552" s="7" t="str">
        <f ca="1">IFERROR(__xludf.DUMMYFUNCTION("IMPORTXML(E1552,""/html/body/main/div[3]/div[3]/div[2]/ul/li[8]/span[2]/span"")"),"Loading...")</f>
        <v>Loading...</v>
      </c>
      <c r="T1552" s="4">
        <v>34.6</v>
      </c>
      <c r="U1552" s="4">
        <v>22.7</v>
      </c>
      <c r="V1552" s="4">
        <v>2.6</v>
      </c>
      <c r="W1552" s="4">
        <v>5.7</v>
      </c>
      <c r="X1552" s="4">
        <v>519.92999999999995</v>
      </c>
      <c r="Y1552" s="7">
        <f t="shared" ca="1" si="34"/>
        <v>120.07000000000005</v>
      </c>
    </row>
    <row r="1553" spans="1:25" ht="15" x14ac:dyDescent="0.25">
      <c r="A1553" s="4">
        <v>737</v>
      </c>
      <c r="C1553" s="12" t="s">
        <v>3611</v>
      </c>
      <c r="D1553" s="12" t="s">
        <v>3612</v>
      </c>
      <c r="E1553" s="5" t="str">
        <f t="shared" si="30"/>
        <v>https://www.screener.in/company/FUSION/consolidated/</v>
      </c>
      <c r="F1553" s="4">
        <v>443059</v>
      </c>
      <c r="G1553" s="4">
        <v>3832241897</v>
      </c>
      <c r="H1553" s="6">
        <f t="shared" ca="1" si="31"/>
        <v>67064.233197499998</v>
      </c>
      <c r="I1553" s="7" t="str">
        <f ca="1">IFERROR(__xludf.DUMMYFUNCTION("IMPORTXML(E1553,""/html/body/main/div[3]/div[3]/div[2]/ul/li[5]/span[2]/span"")"),"Loading...")</f>
        <v>Loading...</v>
      </c>
      <c r="J1553" s="7">
        <f ca="1">IFERROR(__xludf.DUMMYFUNCTION("GOOGLEFINANCE(""NSE:""&amp;D1553,""marketcap"")"),34339330000)</f>
        <v>34339330000</v>
      </c>
      <c r="K1553" s="7">
        <v>992.8</v>
      </c>
      <c r="L1553" s="8">
        <f ca="1">IFERROR(__xludf.DUMMYFUNCTION("GOOGLEFINANCE(""NSE:""&amp;D1553,""price"")"),175)</f>
        <v>175</v>
      </c>
      <c r="M1553" s="9">
        <f t="shared" ca="1" si="32"/>
        <v>-817.8</v>
      </c>
      <c r="N1553" s="10">
        <f t="shared" ca="1" si="33"/>
        <v>-82.373086220789688</v>
      </c>
      <c r="O1553" s="7" t="str">
        <f ca="1">IFERROR(__xludf.DUMMYFUNCTION("GOOGLEFINANCE(""NSE:""&amp;D1553,""pe"")"),"#N/A")</f>
        <v>#N/A</v>
      </c>
      <c r="P1553" s="7">
        <f ca="1">IFERROR(__xludf.DUMMYFUNCTION("GOOGLEFINANCE(""NSE:""&amp;D1553,""EPS"")"),-120.48)</f>
        <v>-120.48</v>
      </c>
      <c r="Q1553" s="7">
        <v>13.5</v>
      </c>
      <c r="R1553" s="7" t="str">
        <f ca="1">IFERROR(__xludf.DUMMYFUNCTION("IMPORTXML(E1553,""/html/body/main/div[3]/div[3]/div[2]/ul/li[7]/span[2]/span"")"),"Loading...")</f>
        <v>Loading...</v>
      </c>
      <c r="S1553" s="7" t="str">
        <f ca="1">IFERROR(__xludf.DUMMYFUNCTION("IMPORTXML(E1553,""/html/body/main/div[3]/div[3]/div[2]/ul/li[8]/span[2]/span"")"),"Loading...")</f>
        <v>Loading...</v>
      </c>
      <c r="T1553" s="4">
        <v>34.6</v>
      </c>
      <c r="U1553" s="4">
        <v>22.7</v>
      </c>
      <c r="V1553" s="4">
        <v>2.6</v>
      </c>
      <c r="W1553" s="4">
        <v>5.7</v>
      </c>
      <c r="X1553" s="4">
        <v>519.92999999999995</v>
      </c>
      <c r="Y1553" s="7">
        <f t="shared" ca="1" si="34"/>
        <v>-344.92999999999995</v>
      </c>
    </row>
    <row r="1554" spans="1:25" ht="15" x14ac:dyDescent="0.25">
      <c r="A1554" s="4">
        <v>738</v>
      </c>
      <c r="C1554" s="12" t="s">
        <v>3613</v>
      </c>
      <c r="D1554" s="12" t="s">
        <v>3614</v>
      </c>
      <c r="E1554" s="5" t="str">
        <f t="shared" si="30"/>
        <v>https://www.screener.in/company/THEJO/consolidated/</v>
      </c>
      <c r="F1554" s="4">
        <v>443059</v>
      </c>
      <c r="G1554" s="4">
        <v>3832241897</v>
      </c>
      <c r="H1554" s="6">
        <f t="shared" ca="1" si="31"/>
        <v>725749.97045386001</v>
      </c>
      <c r="I1554" s="7" t="str">
        <f ca="1">IFERROR(__xludf.DUMMYFUNCTION("IMPORTXML(E1554,""/html/body/main/div[3]/div[3]/div[2]/ul/li[5]/span[2]/span"")"),"Loading...")</f>
        <v>Loading...</v>
      </c>
      <c r="J1554" s="7">
        <f ca="1">IFERROR(__xludf.DUMMYFUNCTION("GOOGLEFINANCE(""NSE:""&amp;D1554,""marketcap"")"),20540856035)</f>
        <v>20540856035</v>
      </c>
      <c r="K1554" s="7">
        <v>992.8</v>
      </c>
      <c r="L1554" s="8">
        <f ca="1">IFERROR(__xludf.DUMMYFUNCTION("GOOGLEFINANCE(""NSE:""&amp;D1554,""price"")"),1893.8)</f>
        <v>1893.8</v>
      </c>
      <c r="M1554" s="9">
        <f t="shared" ca="1" si="32"/>
        <v>901</v>
      </c>
      <c r="N1554" s="10">
        <f t="shared" ca="1" si="33"/>
        <v>90.753424657534254</v>
      </c>
      <c r="O1554" s="7">
        <f ca="1">IFERROR(__xludf.DUMMYFUNCTION("GOOGLEFINANCE(""NSE:""&amp;D1554,""pe"")"),41.33)</f>
        <v>41.33</v>
      </c>
      <c r="P1554" s="7">
        <f ca="1">IFERROR(__xludf.DUMMYFUNCTION("GOOGLEFINANCE(""NSE:""&amp;D1554,""EPS"")"),45.82)</f>
        <v>45.82</v>
      </c>
      <c r="Q1554" s="7">
        <v>13.5</v>
      </c>
      <c r="R1554" s="7" t="str">
        <f ca="1">IFERROR(__xludf.DUMMYFUNCTION("IMPORTXML(E1554,""/html/body/main/div[3]/div[3]/div[2]/ul/li[7]/span[2]/span"")"),"Loading...")</f>
        <v>Loading...</v>
      </c>
      <c r="S1554" s="7" t="str">
        <f ca="1">IFERROR(__xludf.DUMMYFUNCTION("IMPORTXML(E1554,""/html/body/main/div[3]/div[3]/div[2]/ul/li[8]/span[2]/span"")"),"Loading...")</f>
        <v>Loading...</v>
      </c>
      <c r="T1554" s="4">
        <v>34.6</v>
      </c>
      <c r="U1554" s="4">
        <v>22.7</v>
      </c>
      <c r="V1554" s="4">
        <v>2.6</v>
      </c>
      <c r="W1554" s="4">
        <v>5.7</v>
      </c>
      <c r="X1554" s="4">
        <v>519.92999999999995</v>
      </c>
      <c r="Y1554" s="7">
        <f t="shared" ca="1" si="34"/>
        <v>1373.87</v>
      </c>
    </row>
    <row r="1555" spans="1:25" ht="15" x14ac:dyDescent="0.25">
      <c r="A1555" s="4">
        <v>740</v>
      </c>
      <c r="C1555" s="41" t="s">
        <v>3615</v>
      </c>
      <c r="D1555" s="42"/>
      <c r="E1555" s="5" t="str">
        <f t="shared" si="30"/>
        <v>https://www.screener.in/company//consolidated/</v>
      </c>
      <c r="F1555" s="4">
        <v>443059</v>
      </c>
      <c r="G1555" s="4">
        <v>3832241897</v>
      </c>
      <c r="H1555" s="6" t="e">
        <f t="shared" ca="1" si="31"/>
        <v>#VALUE!</v>
      </c>
      <c r="I1555" s="7" t="str">
        <f ca="1">IFERROR(__xludf.DUMMYFUNCTION("IMPORTXML(E1555,""/html/body/main/div[3]/div[3]/div[2]/ul/li[5]/span[2]/span"")"),"Loading...")</f>
        <v>Loading...</v>
      </c>
      <c r="J1555" s="7" t="str">
        <f ca="1">IFERROR(__xludf.DUMMYFUNCTION("GOOGLEFINANCE(""NSE:""&amp;D1555,""marketcap"")"),"#N/A")</f>
        <v>#N/A</v>
      </c>
      <c r="K1555" s="7">
        <v>992.8</v>
      </c>
      <c r="L1555" s="8" t="str">
        <f ca="1">IFERROR(__xludf.DUMMYFUNCTION("GOOGLEFINANCE(""NSE:""&amp;D1555,""price"")"),"#N/A")</f>
        <v>#N/A</v>
      </c>
      <c r="M1555" s="9" t="e">
        <f t="shared" ca="1" si="32"/>
        <v>#VALUE!</v>
      </c>
      <c r="N1555" s="10" t="e">
        <f t="shared" ca="1" si="33"/>
        <v>#VALUE!</v>
      </c>
      <c r="O1555" s="7" t="str">
        <f ca="1">IFERROR(__xludf.DUMMYFUNCTION("GOOGLEFINANCE(""NSE:""&amp;D1555,""pe"")"),"#N/A")</f>
        <v>#N/A</v>
      </c>
      <c r="P1555" s="7" t="str">
        <f ca="1">IFERROR(__xludf.DUMMYFUNCTION("GOOGLEFINANCE(""NSE:""&amp;D1555,""EPS"")"),"#N/A")</f>
        <v>#N/A</v>
      </c>
      <c r="Q1555" s="7">
        <v>13.5</v>
      </c>
      <c r="R1555" s="7" t="str">
        <f ca="1">IFERROR(__xludf.DUMMYFUNCTION("IMPORTXML(E1555,""/html/body/main/div[3]/div[3]/div[2]/ul/li[7]/span[2]/span"")"),"Loading...")</f>
        <v>Loading...</v>
      </c>
      <c r="S1555" s="7" t="str">
        <f ca="1">IFERROR(__xludf.DUMMYFUNCTION("IMPORTXML(E1555,""/html/body/main/div[3]/div[3]/div[2]/ul/li[8]/span[2]/span"")"),"Loading...")</f>
        <v>Loading...</v>
      </c>
      <c r="T1555" s="4">
        <v>34.6</v>
      </c>
      <c r="U1555" s="4">
        <v>22.7</v>
      </c>
      <c r="V1555" s="4">
        <v>2.6</v>
      </c>
      <c r="W1555" s="4">
        <v>5.7</v>
      </c>
      <c r="X1555" s="4">
        <v>519.92999999999995</v>
      </c>
      <c r="Y1555" s="7" t="e">
        <f t="shared" ca="1" si="34"/>
        <v>#VALUE!</v>
      </c>
    </row>
    <row r="1556" spans="1:25" ht="15" x14ac:dyDescent="0.25">
      <c r="A1556" s="4">
        <v>750</v>
      </c>
      <c r="C1556" s="41" t="s">
        <v>3616</v>
      </c>
      <c r="D1556" s="42"/>
      <c r="E1556" s="5" t="str">
        <f t="shared" si="30"/>
        <v>https://www.screener.in/company//consolidated/</v>
      </c>
      <c r="F1556" s="4">
        <v>443059</v>
      </c>
      <c r="G1556" s="4">
        <v>3832241897</v>
      </c>
      <c r="H1556" s="6" t="e">
        <f t="shared" ca="1" si="31"/>
        <v>#VALUE!</v>
      </c>
      <c r="I1556" s="7" t="str">
        <f ca="1">IFERROR(__xludf.DUMMYFUNCTION("IMPORTXML(E1556,""/html/body/main/div[3]/div[3]/div[2]/ul/li[5]/span[2]/span"")"),"Loading...")</f>
        <v>Loading...</v>
      </c>
      <c r="J1556" s="7" t="str">
        <f ca="1">IFERROR(__xludf.DUMMYFUNCTION("GOOGLEFINANCE(""NSE:""&amp;D1556,""marketcap"")"),"#N/A")</f>
        <v>#N/A</v>
      </c>
      <c r="K1556" s="7">
        <v>992.8</v>
      </c>
      <c r="L1556" s="8" t="str">
        <f ca="1">IFERROR(__xludf.DUMMYFUNCTION("GOOGLEFINANCE(""NSE:""&amp;D1556,""price"")"),"#N/A")</f>
        <v>#N/A</v>
      </c>
      <c r="M1556" s="9" t="e">
        <f t="shared" ca="1" si="32"/>
        <v>#VALUE!</v>
      </c>
      <c r="N1556" s="10" t="e">
        <f t="shared" ca="1" si="33"/>
        <v>#VALUE!</v>
      </c>
      <c r="O1556" s="7" t="str">
        <f ca="1">IFERROR(__xludf.DUMMYFUNCTION("GOOGLEFINANCE(""NSE:""&amp;D1556,""pe"")"),"#N/A")</f>
        <v>#N/A</v>
      </c>
      <c r="P1556" s="7" t="str">
        <f ca="1">IFERROR(__xludf.DUMMYFUNCTION("GOOGLEFINANCE(""NSE:""&amp;D1556,""EPS"")"),"#N/A")</f>
        <v>#N/A</v>
      </c>
      <c r="Q1556" s="7">
        <v>13.5</v>
      </c>
      <c r="R1556" s="7" t="str">
        <f ca="1">IFERROR(__xludf.DUMMYFUNCTION("IMPORTXML(E1556,""/html/body/main/div[3]/div[3]/div[2]/ul/li[7]/span[2]/span"")"),"Loading...")</f>
        <v>Loading...</v>
      </c>
      <c r="S1556" s="7" t="str">
        <f ca="1">IFERROR(__xludf.DUMMYFUNCTION("IMPORTXML(E1556,""/html/body/main/div[3]/div[3]/div[2]/ul/li[8]/span[2]/span"")"),"Loading...")</f>
        <v>Loading...</v>
      </c>
      <c r="T1556" s="4">
        <v>34.6</v>
      </c>
      <c r="U1556" s="4">
        <v>22.7</v>
      </c>
      <c r="V1556" s="4">
        <v>2.6</v>
      </c>
      <c r="W1556" s="4">
        <v>5.7</v>
      </c>
      <c r="X1556" s="4">
        <v>519.92999999999995</v>
      </c>
      <c r="Y1556" s="7" t="e">
        <f t="shared" ca="1" si="34"/>
        <v>#VALUE!</v>
      </c>
    </row>
    <row r="1557" spans="1:25" ht="15" x14ac:dyDescent="0.25">
      <c r="A1557" s="4">
        <v>751</v>
      </c>
      <c r="C1557" s="41" t="s">
        <v>3617</v>
      </c>
      <c r="D1557" s="42"/>
      <c r="E1557" s="5" t="str">
        <f t="shared" si="30"/>
        <v>https://www.screener.in/company//consolidated/</v>
      </c>
      <c r="F1557" s="4">
        <v>443059</v>
      </c>
      <c r="G1557" s="4">
        <v>3832241897</v>
      </c>
      <c r="H1557" s="6" t="e">
        <f t="shared" ca="1" si="31"/>
        <v>#VALUE!</v>
      </c>
      <c r="I1557" s="7" t="str">
        <f ca="1">IFERROR(__xludf.DUMMYFUNCTION("IMPORTXML(E1557,""/html/body/main/div[3]/div[3]/div[2]/ul/li[5]/span[2]/span"")"),"Loading...")</f>
        <v>Loading...</v>
      </c>
      <c r="J1557" s="7" t="str">
        <f ca="1">IFERROR(__xludf.DUMMYFUNCTION("GOOGLEFINANCE(""NSE:""&amp;D1557,""marketcap"")"),"#N/A")</f>
        <v>#N/A</v>
      </c>
      <c r="K1557" s="7">
        <v>992.8</v>
      </c>
      <c r="L1557" s="8" t="str">
        <f ca="1">IFERROR(__xludf.DUMMYFUNCTION("GOOGLEFINANCE(""NSE:""&amp;D1557,""price"")"),"#N/A")</f>
        <v>#N/A</v>
      </c>
      <c r="M1557" s="9" t="e">
        <f t="shared" ca="1" si="32"/>
        <v>#VALUE!</v>
      </c>
      <c r="N1557" s="10" t="e">
        <f t="shared" ca="1" si="33"/>
        <v>#VALUE!</v>
      </c>
      <c r="O1557" s="7" t="str">
        <f ca="1">IFERROR(__xludf.DUMMYFUNCTION("GOOGLEFINANCE(""NSE:""&amp;D1557,""pe"")"),"#N/A")</f>
        <v>#N/A</v>
      </c>
      <c r="P1557" s="7" t="str">
        <f ca="1">IFERROR(__xludf.DUMMYFUNCTION("GOOGLEFINANCE(""NSE:""&amp;D1557,""EPS"")"),"#N/A")</f>
        <v>#N/A</v>
      </c>
      <c r="Q1557" s="7">
        <v>13.5</v>
      </c>
      <c r="R1557" s="7" t="str">
        <f ca="1">IFERROR(__xludf.DUMMYFUNCTION("IMPORTXML(E1557,""/html/body/main/div[3]/div[3]/div[2]/ul/li[7]/span[2]/span"")"),"Loading...")</f>
        <v>Loading...</v>
      </c>
      <c r="S1557" s="7" t="str">
        <f ca="1">IFERROR(__xludf.DUMMYFUNCTION("IMPORTXML(E1557,""/html/body/main/div[3]/div[3]/div[2]/ul/li[8]/span[2]/span"")"),"Loading...")</f>
        <v>Loading...</v>
      </c>
      <c r="T1557" s="4">
        <v>34.6</v>
      </c>
      <c r="U1557" s="4">
        <v>22.7</v>
      </c>
      <c r="V1557" s="4">
        <v>2.6</v>
      </c>
      <c r="W1557" s="4">
        <v>5.7</v>
      </c>
      <c r="X1557" s="4">
        <v>519.92999999999995</v>
      </c>
      <c r="Y1557" s="7" t="e">
        <f t="shared" ca="1" si="34"/>
        <v>#VALUE!</v>
      </c>
    </row>
    <row r="1558" spans="1:25" ht="15" x14ac:dyDescent="0.25">
      <c r="A1558" s="4">
        <v>754</v>
      </c>
      <c r="C1558" s="12" t="s">
        <v>3618</v>
      </c>
      <c r="D1558" s="12" t="s">
        <v>3619</v>
      </c>
      <c r="E1558" s="5" t="str">
        <f t="shared" si="30"/>
        <v>https://www.screener.in/company/UNITECH/consolidated/</v>
      </c>
      <c r="F1558" s="4">
        <v>443059</v>
      </c>
      <c r="G1558" s="4">
        <v>3832241897</v>
      </c>
      <c r="H1558" s="6">
        <f t="shared" ca="1" si="31"/>
        <v>2690.233811694</v>
      </c>
      <c r="I1558" s="7" t="str">
        <f ca="1">IFERROR(__xludf.DUMMYFUNCTION("IMPORTXML(E1558,""/html/body/main/div[3]/div[3]/div[2]/ul/li[5]/span[2]/span"")"),"Loading...")</f>
        <v>Loading...</v>
      </c>
      <c r="J1558" s="7">
        <f ca="1">IFERROR(__xludf.DUMMYFUNCTION("GOOGLEFINANCE(""NSE:""&amp;D1558,""marketcap"")"),18261781029)</f>
        <v>18261781029</v>
      </c>
      <c r="K1558" s="7">
        <v>992.8</v>
      </c>
      <c r="L1558" s="8">
        <f ca="1">IFERROR(__xludf.DUMMYFUNCTION("GOOGLEFINANCE(""NSE:""&amp;D1558,""price"")"),7.02)</f>
        <v>7.02</v>
      </c>
      <c r="M1558" s="9">
        <f t="shared" ca="1" si="32"/>
        <v>-985.78</v>
      </c>
      <c r="N1558" s="10">
        <f t="shared" ca="1" si="33"/>
        <v>-99.292908944399684</v>
      </c>
      <c r="O1558" s="7" t="str">
        <f ca="1">IFERROR(__xludf.DUMMYFUNCTION("GOOGLEFINANCE(""NSE:""&amp;D1558,""pe"")"),"#N/A")</f>
        <v>#N/A</v>
      </c>
      <c r="P1558" s="7">
        <f ca="1">IFERROR(__xludf.DUMMYFUNCTION("GOOGLEFINANCE(""NSE:""&amp;D1558,""EPS"")"),-8.07)</f>
        <v>-8.07</v>
      </c>
      <c r="Q1558" s="7">
        <v>13.5</v>
      </c>
      <c r="R1558" s="7" t="str">
        <f ca="1">IFERROR(__xludf.DUMMYFUNCTION("IMPORTXML(E1558,""/html/body/main/div[3]/div[3]/div[2]/ul/li[7]/span[2]/span"")"),"Loading...")</f>
        <v>Loading...</v>
      </c>
      <c r="S1558" s="7" t="str">
        <f ca="1">IFERROR(__xludf.DUMMYFUNCTION("IMPORTXML(E1558,""/html/body/main/div[3]/div[3]/div[2]/ul/li[8]/span[2]/span"")"),"Loading...")</f>
        <v>Loading...</v>
      </c>
      <c r="T1558" s="4">
        <v>34.6</v>
      </c>
      <c r="U1558" s="4">
        <v>22.7</v>
      </c>
      <c r="V1558" s="4">
        <v>2.6</v>
      </c>
      <c r="W1558" s="4">
        <v>5.7</v>
      </c>
      <c r="X1558" s="4">
        <v>519.92999999999995</v>
      </c>
      <c r="Y1558" s="7">
        <f t="shared" ca="1" si="34"/>
        <v>-512.91</v>
      </c>
    </row>
    <row r="1559" spans="1:25" ht="15" x14ac:dyDescent="0.25">
      <c r="A1559" s="4">
        <v>756</v>
      </c>
      <c r="C1559" s="41" t="s">
        <v>3620</v>
      </c>
      <c r="D1559" s="42"/>
      <c r="E1559" s="5" t="str">
        <f t="shared" si="30"/>
        <v>https://www.screener.in/company//consolidated/</v>
      </c>
      <c r="F1559" s="4">
        <v>443059</v>
      </c>
      <c r="G1559" s="4">
        <v>3832241897</v>
      </c>
      <c r="H1559" s="6" t="e">
        <f t="shared" ca="1" si="31"/>
        <v>#VALUE!</v>
      </c>
      <c r="I1559" s="7" t="str">
        <f ca="1">IFERROR(__xludf.DUMMYFUNCTION("IMPORTXML(E1559,""/html/body/main/div[3]/div[3]/div[2]/ul/li[5]/span[2]/span"")"),"Loading...")</f>
        <v>Loading...</v>
      </c>
      <c r="J1559" s="7" t="str">
        <f ca="1">IFERROR(__xludf.DUMMYFUNCTION("GOOGLEFINANCE(""NSE:""&amp;D1559,""marketcap"")"),"#N/A")</f>
        <v>#N/A</v>
      </c>
      <c r="K1559" s="7">
        <v>992.8</v>
      </c>
      <c r="L1559" s="8" t="str">
        <f ca="1">IFERROR(__xludf.DUMMYFUNCTION("GOOGLEFINANCE(""NSE:""&amp;D1559,""price"")"),"#N/A")</f>
        <v>#N/A</v>
      </c>
      <c r="M1559" s="9" t="e">
        <f t="shared" ca="1" si="32"/>
        <v>#VALUE!</v>
      </c>
      <c r="N1559" s="10" t="e">
        <f t="shared" ca="1" si="33"/>
        <v>#VALUE!</v>
      </c>
      <c r="O1559" s="7" t="str">
        <f ca="1">IFERROR(__xludf.DUMMYFUNCTION("GOOGLEFINANCE(""NSE:""&amp;D1559,""pe"")"),"#N/A")</f>
        <v>#N/A</v>
      </c>
      <c r="P1559" s="7" t="str">
        <f ca="1">IFERROR(__xludf.DUMMYFUNCTION("GOOGLEFINANCE(""NSE:""&amp;D1559,""EPS"")"),"#N/A")</f>
        <v>#N/A</v>
      </c>
      <c r="Q1559" s="7">
        <v>13.5</v>
      </c>
      <c r="R1559" s="7" t="str">
        <f ca="1">IFERROR(__xludf.DUMMYFUNCTION("IMPORTXML(E1559,""/html/body/main/div[3]/div[3]/div[2]/ul/li[7]/span[2]/span"")"),"Loading...")</f>
        <v>Loading...</v>
      </c>
      <c r="S1559" s="7" t="str">
        <f ca="1">IFERROR(__xludf.DUMMYFUNCTION("IMPORTXML(E1559,""/html/body/main/div[3]/div[3]/div[2]/ul/li[8]/span[2]/span"")"),"Loading...")</f>
        <v>Loading...</v>
      </c>
      <c r="T1559" s="4">
        <v>34.6</v>
      </c>
      <c r="U1559" s="4">
        <v>22.7</v>
      </c>
      <c r="V1559" s="4">
        <v>2.6</v>
      </c>
      <c r="W1559" s="4">
        <v>5.7</v>
      </c>
      <c r="X1559" s="4">
        <v>519.92999999999995</v>
      </c>
      <c r="Y1559" s="7" t="e">
        <f t="shared" ca="1" si="34"/>
        <v>#VALUE!</v>
      </c>
    </row>
    <row r="1560" spans="1:25" ht="15" x14ac:dyDescent="0.25">
      <c r="A1560" s="4">
        <v>759</v>
      </c>
      <c r="C1560" s="41" t="s">
        <v>3621</v>
      </c>
      <c r="D1560" s="42"/>
      <c r="E1560" s="5" t="str">
        <f t="shared" si="30"/>
        <v>https://www.screener.in/company//consolidated/</v>
      </c>
      <c r="F1560" s="4">
        <v>443059</v>
      </c>
      <c r="G1560" s="4">
        <v>3832241897</v>
      </c>
      <c r="H1560" s="6" t="e">
        <f t="shared" ca="1" si="31"/>
        <v>#VALUE!</v>
      </c>
      <c r="I1560" s="7" t="str">
        <f ca="1">IFERROR(__xludf.DUMMYFUNCTION("IMPORTXML(E1560,""/html/body/main/div[3]/div[3]/div[2]/ul/li[5]/span[2]/span"")"),"Loading...")</f>
        <v>Loading...</v>
      </c>
      <c r="J1560" s="7" t="str">
        <f ca="1">IFERROR(__xludf.DUMMYFUNCTION("GOOGLEFINANCE(""NSE:""&amp;D1560,""marketcap"")"),"#N/A")</f>
        <v>#N/A</v>
      </c>
      <c r="K1560" s="7">
        <v>992.8</v>
      </c>
      <c r="L1560" s="8" t="str">
        <f ca="1">IFERROR(__xludf.DUMMYFUNCTION("GOOGLEFINANCE(""NSE:""&amp;D1560,""price"")"),"#N/A")</f>
        <v>#N/A</v>
      </c>
      <c r="M1560" s="9" t="e">
        <f t="shared" ca="1" si="32"/>
        <v>#VALUE!</v>
      </c>
      <c r="N1560" s="10" t="e">
        <f t="shared" ca="1" si="33"/>
        <v>#VALUE!</v>
      </c>
      <c r="O1560" s="7" t="str">
        <f ca="1">IFERROR(__xludf.DUMMYFUNCTION("GOOGLEFINANCE(""NSE:""&amp;D1560,""pe"")"),"#N/A")</f>
        <v>#N/A</v>
      </c>
      <c r="P1560" s="7" t="str">
        <f ca="1">IFERROR(__xludf.DUMMYFUNCTION("GOOGLEFINANCE(""NSE:""&amp;D1560,""EPS"")"),"#N/A")</f>
        <v>#N/A</v>
      </c>
      <c r="Q1560" s="7">
        <v>13.5</v>
      </c>
      <c r="R1560" s="7" t="str">
        <f ca="1">IFERROR(__xludf.DUMMYFUNCTION("IMPORTXML(E1560,""/html/body/main/div[3]/div[3]/div[2]/ul/li[7]/span[2]/span"")"),"Loading...")</f>
        <v>Loading...</v>
      </c>
      <c r="S1560" s="7" t="str">
        <f ca="1">IFERROR(__xludf.DUMMYFUNCTION("IMPORTXML(E1560,""/html/body/main/div[3]/div[3]/div[2]/ul/li[8]/span[2]/span"")"),"Loading...")</f>
        <v>Loading...</v>
      </c>
      <c r="T1560" s="4">
        <v>34.6</v>
      </c>
      <c r="U1560" s="4">
        <v>22.7</v>
      </c>
      <c r="V1560" s="4">
        <v>2.6</v>
      </c>
      <c r="W1560" s="4">
        <v>5.7</v>
      </c>
      <c r="X1560" s="4">
        <v>519.92999999999995</v>
      </c>
      <c r="Y1560" s="7" t="e">
        <f t="shared" ca="1" si="34"/>
        <v>#VALUE!</v>
      </c>
    </row>
    <row r="1561" spans="1:25" ht="15" x14ac:dyDescent="0.25">
      <c r="A1561" s="4">
        <v>764</v>
      </c>
      <c r="C1561" s="12" t="s">
        <v>3622</v>
      </c>
      <c r="D1561" s="12" t="s">
        <v>3623</v>
      </c>
      <c r="E1561" s="5" t="str">
        <f t="shared" si="30"/>
        <v>https://www.screener.in/company/HINDWAREAP/consolidated/</v>
      </c>
      <c r="F1561" s="4">
        <v>443059</v>
      </c>
      <c r="G1561" s="4">
        <v>3832241897</v>
      </c>
      <c r="H1561" s="6">
        <f t="shared" ca="1" si="31"/>
        <v>128897.45620559502</v>
      </c>
      <c r="I1561" s="7" t="str">
        <f ca="1">IFERROR(__xludf.DUMMYFUNCTION("IMPORTXML(E1561,""/html/body/main/div[3]/div[3]/div[2]/ul/li[5]/span[2]/span"")"),"Loading...")</f>
        <v>Loading...</v>
      </c>
      <c r="J1561" s="7">
        <f ca="1">IFERROR(__xludf.DUMMYFUNCTION("GOOGLEFINANCE(""NSE:""&amp;D1561,""marketcap"")"),28134450333)</f>
        <v>28134450333</v>
      </c>
      <c r="K1561" s="7">
        <v>992.8</v>
      </c>
      <c r="L1561" s="8">
        <f ca="1">IFERROR(__xludf.DUMMYFUNCTION("GOOGLEFINANCE(""NSE:""&amp;D1561,""price"")"),336.35)</f>
        <v>336.35</v>
      </c>
      <c r="M1561" s="9">
        <f t="shared" ca="1" si="32"/>
        <v>-656.44999999999993</v>
      </c>
      <c r="N1561" s="10">
        <f t="shared" ca="1" si="33"/>
        <v>-66.121071716357775</v>
      </c>
      <c r="O1561" s="7" t="str">
        <f ca="1">IFERROR(__xludf.DUMMYFUNCTION("GOOGLEFINANCE(""NSE:""&amp;D1561,""pe"")"),"#N/A")</f>
        <v>#N/A</v>
      </c>
      <c r="P1561" s="7">
        <f ca="1">IFERROR(__xludf.DUMMYFUNCTION("GOOGLEFINANCE(""NSE:""&amp;D1561,""EPS"")"),-11.52)</f>
        <v>-11.52</v>
      </c>
      <c r="Q1561" s="7">
        <v>13.5</v>
      </c>
      <c r="R1561" s="7" t="str">
        <f ca="1">IFERROR(__xludf.DUMMYFUNCTION("IMPORTXML(E1561,""/html/body/main/div[3]/div[3]/div[2]/ul/li[7]/span[2]/span"")"),"Loading...")</f>
        <v>Loading...</v>
      </c>
      <c r="S1561" s="7" t="str">
        <f ca="1">IFERROR(__xludf.DUMMYFUNCTION("IMPORTXML(E1561,""/html/body/main/div[3]/div[3]/div[2]/ul/li[8]/span[2]/span"")"),"Loading...")</f>
        <v>Loading...</v>
      </c>
      <c r="T1561" s="4">
        <v>34.6</v>
      </c>
      <c r="U1561" s="4">
        <v>22.7</v>
      </c>
      <c r="V1561" s="4">
        <v>2.6</v>
      </c>
      <c r="W1561" s="4">
        <v>5.7</v>
      </c>
      <c r="X1561" s="4">
        <v>519.92999999999995</v>
      </c>
      <c r="Y1561" s="7">
        <f t="shared" ca="1" si="34"/>
        <v>-183.57999999999993</v>
      </c>
    </row>
    <row r="1562" spans="1:25" ht="15" x14ac:dyDescent="0.25">
      <c r="A1562" s="4">
        <v>769</v>
      </c>
      <c r="C1562" s="41" t="s">
        <v>3624</v>
      </c>
      <c r="D1562" s="42"/>
      <c r="E1562" s="5" t="str">
        <f t="shared" si="30"/>
        <v>https://www.screener.in/company//consolidated/</v>
      </c>
      <c r="F1562" s="4">
        <v>443059</v>
      </c>
      <c r="G1562" s="4">
        <v>3832241897</v>
      </c>
      <c r="H1562" s="6" t="e">
        <f t="shared" ca="1" si="31"/>
        <v>#VALUE!</v>
      </c>
      <c r="I1562" s="7" t="str">
        <f ca="1">IFERROR(__xludf.DUMMYFUNCTION("IMPORTXML(E1562,""/html/body/main/div[3]/div[3]/div[2]/ul/li[5]/span[2]/span"")"),"Loading...")</f>
        <v>Loading...</v>
      </c>
      <c r="J1562" s="7" t="str">
        <f ca="1">IFERROR(__xludf.DUMMYFUNCTION("GOOGLEFINANCE(""NSE:""&amp;D1562,""marketcap"")"),"#N/A")</f>
        <v>#N/A</v>
      </c>
      <c r="K1562" s="7">
        <v>992.8</v>
      </c>
      <c r="L1562" s="8" t="str">
        <f ca="1">IFERROR(__xludf.DUMMYFUNCTION("GOOGLEFINANCE(""NSE:""&amp;D1562,""price"")"),"#N/A")</f>
        <v>#N/A</v>
      </c>
      <c r="M1562" s="9" t="e">
        <f t="shared" ca="1" si="32"/>
        <v>#VALUE!</v>
      </c>
      <c r="N1562" s="10" t="e">
        <f t="shared" ca="1" si="33"/>
        <v>#VALUE!</v>
      </c>
      <c r="O1562" s="7" t="str">
        <f ca="1">IFERROR(__xludf.DUMMYFUNCTION("GOOGLEFINANCE(""NSE:""&amp;D1562,""pe"")"),"#N/A")</f>
        <v>#N/A</v>
      </c>
      <c r="P1562" s="7" t="str">
        <f ca="1">IFERROR(__xludf.DUMMYFUNCTION("GOOGLEFINANCE(""NSE:""&amp;D1562,""EPS"")"),"#N/A")</f>
        <v>#N/A</v>
      </c>
      <c r="Q1562" s="7">
        <v>13.5</v>
      </c>
      <c r="R1562" s="7" t="str">
        <f ca="1">IFERROR(__xludf.DUMMYFUNCTION("IMPORTXML(E1562,""/html/body/main/div[3]/div[3]/div[2]/ul/li[7]/span[2]/span"")"),"Loading...")</f>
        <v>Loading...</v>
      </c>
      <c r="S1562" s="7" t="str">
        <f ca="1">IFERROR(__xludf.DUMMYFUNCTION("IMPORTXML(E1562,""/html/body/main/div[3]/div[3]/div[2]/ul/li[8]/span[2]/span"")"),"Loading...")</f>
        <v>Loading...</v>
      </c>
      <c r="T1562" s="4">
        <v>34.6</v>
      </c>
      <c r="U1562" s="4">
        <v>22.7</v>
      </c>
      <c r="V1562" s="4">
        <v>2.6</v>
      </c>
      <c r="W1562" s="4">
        <v>5.7</v>
      </c>
      <c r="X1562" s="4">
        <v>519.92999999999995</v>
      </c>
      <c r="Y1562" s="7" t="e">
        <f t="shared" ca="1" si="34"/>
        <v>#VALUE!</v>
      </c>
    </row>
    <row r="1563" spans="1:25" ht="15" x14ac:dyDescent="0.25">
      <c r="A1563" s="4">
        <v>770</v>
      </c>
      <c r="C1563" s="41" t="s">
        <v>3625</v>
      </c>
      <c r="D1563" s="42"/>
      <c r="E1563" s="5" t="str">
        <f t="shared" si="30"/>
        <v>https://www.screener.in/company//consolidated/</v>
      </c>
      <c r="F1563" s="4">
        <v>443059</v>
      </c>
      <c r="G1563" s="4">
        <v>3832241897</v>
      </c>
      <c r="H1563" s="6" t="e">
        <f t="shared" ca="1" si="31"/>
        <v>#VALUE!</v>
      </c>
      <c r="I1563" s="7" t="str">
        <f ca="1">IFERROR(__xludf.DUMMYFUNCTION("IMPORTXML(E1563,""/html/body/main/div[3]/div[3]/div[2]/ul/li[5]/span[2]/span"")"),"Loading...")</f>
        <v>Loading...</v>
      </c>
      <c r="J1563" s="7" t="str">
        <f ca="1">IFERROR(__xludf.DUMMYFUNCTION("GOOGLEFINANCE(""NSE:""&amp;D1563,""marketcap"")"),"#N/A")</f>
        <v>#N/A</v>
      </c>
      <c r="K1563" s="7">
        <v>992.8</v>
      </c>
      <c r="L1563" s="8" t="str">
        <f ca="1">IFERROR(__xludf.DUMMYFUNCTION("GOOGLEFINANCE(""NSE:""&amp;D1563,""price"")"),"#N/A")</f>
        <v>#N/A</v>
      </c>
      <c r="M1563" s="9" t="e">
        <f t="shared" ca="1" si="32"/>
        <v>#VALUE!</v>
      </c>
      <c r="N1563" s="10" t="e">
        <f t="shared" ca="1" si="33"/>
        <v>#VALUE!</v>
      </c>
      <c r="O1563" s="7" t="str">
        <f ca="1">IFERROR(__xludf.DUMMYFUNCTION("GOOGLEFINANCE(""NSE:""&amp;D1563,""pe"")"),"#N/A")</f>
        <v>#N/A</v>
      </c>
      <c r="P1563" s="7" t="str">
        <f ca="1">IFERROR(__xludf.DUMMYFUNCTION("GOOGLEFINANCE(""NSE:""&amp;D1563,""EPS"")"),"#N/A")</f>
        <v>#N/A</v>
      </c>
      <c r="Q1563" s="7">
        <v>13.5</v>
      </c>
      <c r="R1563" s="7" t="str">
        <f ca="1">IFERROR(__xludf.DUMMYFUNCTION("IMPORTXML(E1563,""/html/body/main/div[3]/div[3]/div[2]/ul/li[7]/span[2]/span"")"),"Loading...")</f>
        <v>Loading...</v>
      </c>
      <c r="S1563" s="7" t="str">
        <f ca="1">IFERROR(__xludf.DUMMYFUNCTION("IMPORTXML(E1563,""/html/body/main/div[3]/div[3]/div[2]/ul/li[8]/span[2]/span"")"),"Loading...")</f>
        <v>Loading...</v>
      </c>
      <c r="T1563" s="4">
        <v>34.6</v>
      </c>
      <c r="U1563" s="4">
        <v>22.7</v>
      </c>
      <c r="V1563" s="4">
        <v>2.6</v>
      </c>
      <c r="W1563" s="4">
        <v>5.7</v>
      </c>
      <c r="X1563" s="4">
        <v>519.92999999999995</v>
      </c>
      <c r="Y1563" s="7" t="e">
        <f t="shared" ca="1" si="34"/>
        <v>#VALUE!</v>
      </c>
    </row>
    <row r="1564" spans="1:25" ht="15" x14ac:dyDescent="0.25">
      <c r="A1564" s="4">
        <v>776</v>
      </c>
      <c r="C1564" s="41" t="s">
        <v>3626</v>
      </c>
      <c r="D1564" s="42"/>
      <c r="E1564" s="5" t="str">
        <f t="shared" si="30"/>
        <v>https://www.screener.in/company//consolidated/</v>
      </c>
      <c r="F1564" s="4">
        <v>443059</v>
      </c>
      <c r="G1564" s="4">
        <v>3832241897</v>
      </c>
      <c r="H1564" s="6" t="e">
        <f t="shared" ca="1" si="31"/>
        <v>#VALUE!</v>
      </c>
      <c r="I1564" s="7" t="str">
        <f ca="1">IFERROR(__xludf.DUMMYFUNCTION("IMPORTXML(E1564,""/html/body/main/div[3]/div[3]/div[2]/ul/li[5]/span[2]/span"")"),"Loading...")</f>
        <v>Loading...</v>
      </c>
      <c r="J1564" s="7" t="str">
        <f ca="1">IFERROR(__xludf.DUMMYFUNCTION("GOOGLEFINANCE(""NSE:""&amp;D1564,""marketcap"")"),"#N/A")</f>
        <v>#N/A</v>
      </c>
      <c r="K1564" s="7">
        <v>992.8</v>
      </c>
      <c r="L1564" s="8" t="str">
        <f ca="1">IFERROR(__xludf.DUMMYFUNCTION("GOOGLEFINANCE(""NSE:""&amp;D1564,""price"")"),"#N/A")</f>
        <v>#N/A</v>
      </c>
      <c r="M1564" s="9" t="e">
        <f t="shared" ca="1" si="32"/>
        <v>#VALUE!</v>
      </c>
      <c r="N1564" s="10" t="e">
        <f t="shared" ca="1" si="33"/>
        <v>#VALUE!</v>
      </c>
      <c r="O1564" s="7" t="str">
        <f ca="1">IFERROR(__xludf.DUMMYFUNCTION("GOOGLEFINANCE(""NSE:""&amp;D1564,""pe"")"),"#N/A")</f>
        <v>#N/A</v>
      </c>
      <c r="P1564" s="7" t="str">
        <f ca="1">IFERROR(__xludf.DUMMYFUNCTION("GOOGLEFINANCE(""NSE:""&amp;D1564,""EPS"")"),"#N/A")</f>
        <v>#N/A</v>
      </c>
      <c r="Q1564" s="7">
        <v>13.5</v>
      </c>
      <c r="R1564" s="7" t="str">
        <f ca="1">IFERROR(__xludf.DUMMYFUNCTION("IMPORTXML(E1564,""/html/body/main/div[3]/div[3]/div[2]/ul/li[7]/span[2]/span"")"),"Loading...")</f>
        <v>Loading...</v>
      </c>
      <c r="S1564" s="7" t="str">
        <f ca="1">IFERROR(__xludf.DUMMYFUNCTION("IMPORTXML(E1564,""/html/body/main/div[3]/div[3]/div[2]/ul/li[8]/span[2]/span"")"),"Loading...")</f>
        <v>Loading...</v>
      </c>
      <c r="T1564" s="4">
        <v>34.6</v>
      </c>
      <c r="U1564" s="4">
        <v>22.7</v>
      </c>
      <c r="V1564" s="4">
        <v>2.6</v>
      </c>
      <c r="W1564" s="4">
        <v>5.7</v>
      </c>
      <c r="X1564" s="4">
        <v>519.92999999999995</v>
      </c>
      <c r="Y1564" s="7" t="e">
        <f t="shared" ca="1" si="34"/>
        <v>#VALUE!</v>
      </c>
    </row>
    <row r="1565" spans="1:25" ht="15" x14ac:dyDescent="0.25">
      <c r="A1565" s="4">
        <v>777</v>
      </c>
      <c r="C1565" s="12" t="s">
        <v>3627</v>
      </c>
      <c r="D1565" s="12" t="s">
        <v>3628</v>
      </c>
      <c r="E1565" s="5" t="str">
        <f t="shared" si="30"/>
        <v>https://www.screener.in/company/SABTNL/consolidated/</v>
      </c>
      <c r="F1565" s="4">
        <v>443059</v>
      </c>
      <c r="G1565" s="4">
        <v>3832241897</v>
      </c>
      <c r="H1565" s="6">
        <f t="shared" ca="1" si="31"/>
        <v>394337.69120130001</v>
      </c>
      <c r="I1565" s="7" t="str">
        <f ca="1">IFERROR(__xludf.DUMMYFUNCTION("IMPORTXML(E1565,""/html/body/main/div[3]/div[3]/div[2]/ul/li[5]/span[2]/span"")"),"Loading...")</f>
        <v>Loading...</v>
      </c>
      <c r="J1565" s="7">
        <f ca="1">IFERROR(__xludf.DUMMYFUNCTION("GOOGLEFINANCE(""NSE:""&amp;D1565,""marketcap"")"),26108878740)</f>
        <v>26108878740</v>
      </c>
      <c r="K1565" s="7">
        <v>992.8</v>
      </c>
      <c r="L1565" s="8">
        <f ca="1">IFERROR(__xludf.DUMMYFUNCTION("GOOGLEFINANCE(""NSE:""&amp;D1565,""price"")"),1029)</f>
        <v>1029</v>
      </c>
      <c r="M1565" s="9">
        <f t="shared" ca="1" si="32"/>
        <v>36.200000000000045</v>
      </c>
      <c r="N1565" s="10">
        <f t="shared" ca="1" si="33"/>
        <v>3.6462530217566527</v>
      </c>
      <c r="O1565" s="7" t="str">
        <f ca="1">IFERROR(__xludf.DUMMYFUNCTION("GOOGLEFINANCE(""NSE:""&amp;D1565,""pe"")"),"#N/A")</f>
        <v>#N/A</v>
      </c>
      <c r="P1565" s="7">
        <f ca="1">IFERROR(__xludf.DUMMYFUNCTION("GOOGLEFINANCE(""NSE:""&amp;D1565,""EPS"")"),-9.58)</f>
        <v>-9.58</v>
      </c>
      <c r="Q1565" s="7">
        <v>13.5</v>
      </c>
      <c r="R1565" s="7" t="str">
        <f ca="1">IFERROR(__xludf.DUMMYFUNCTION("IMPORTXML(E1565,""/html/body/main/div[3]/div[3]/div[2]/ul/li[7]/span[2]/span"")"),"Loading...")</f>
        <v>Loading...</v>
      </c>
      <c r="S1565" s="7" t="str">
        <f ca="1">IFERROR(__xludf.DUMMYFUNCTION("IMPORTXML(E1565,""/html/body/main/div[3]/div[3]/div[2]/ul/li[8]/span[2]/span"")"),"Loading...")</f>
        <v>Loading...</v>
      </c>
      <c r="T1565" s="4">
        <v>34.6</v>
      </c>
      <c r="U1565" s="4">
        <v>22.7</v>
      </c>
      <c r="V1565" s="4">
        <v>2.6</v>
      </c>
      <c r="W1565" s="4">
        <v>5.7</v>
      </c>
      <c r="X1565" s="4">
        <v>519.92999999999995</v>
      </c>
      <c r="Y1565" s="7">
        <f t="shared" ca="1" si="34"/>
        <v>509.07000000000005</v>
      </c>
    </row>
    <row r="1566" spans="1:25" ht="15" x14ac:dyDescent="0.25">
      <c r="A1566" s="4">
        <v>780</v>
      </c>
      <c r="C1566" s="41" t="s">
        <v>3629</v>
      </c>
      <c r="D1566" s="42"/>
      <c r="E1566" s="5" t="str">
        <f t="shared" si="30"/>
        <v>https://www.screener.in/company//consolidated/</v>
      </c>
      <c r="F1566" s="4">
        <v>443059</v>
      </c>
      <c r="G1566" s="4">
        <v>3832241897</v>
      </c>
      <c r="H1566" s="6" t="e">
        <f t="shared" ca="1" si="31"/>
        <v>#VALUE!</v>
      </c>
      <c r="I1566" s="7" t="str">
        <f ca="1">IFERROR(__xludf.DUMMYFUNCTION("IMPORTXML(E1566,""/html/body/main/div[3]/div[3]/div[2]/ul/li[5]/span[2]/span"")"),"Loading...")</f>
        <v>Loading...</v>
      </c>
      <c r="J1566" s="7" t="str">
        <f ca="1">IFERROR(__xludf.DUMMYFUNCTION("GOOGLEFINANCE(""NSE:""&amp;D1566,""marketcap"")"),"#N/A")</f>
        <v>#N/A</v>
      </c>
      <c r="K1566" s="7">
        <v>992.8</v>
      </c>
      <c r="L1566" s="8" t="str">
        <f ca="1">IFERROR(__xludf.DUMMYFUNCTION("GOOGLEFINANCE(""NSE:""&amp;D1566,""price"")"),"#N/A")</f>
        <v>#N/A</v>
      </c>
      <c r="M1566" s="9" t="e">
        <f t="shared" ca="1" si="32"/>
        <v>#VALUE!</v>
      </c>
      <c r="N1566" s="10" t="e">
        <f t="shared" ca="1" si="33"/>
        <v>#VALUE!</v>
      </c>
      <c r="O1566" s="7" t="str">
        <f ca="1">IFERROR(__xludf.DUMMYFUNCTION("GOOGLEFINANCE(""NSE:""&amp;D1566,""pe"")"),"#N/A")</f>
        <v>#N/A</v>
      </c>
      <c r="P1566" s="7" t="str">
        <f ca="1">IFERROR(__xludf.DUMMYFUNCTION("GOOGLEFINANCE(""NSE:""&amp;D1566,""EPS"")"),"#N/A")</f>
        <v>#N/A</v>
      </c>
      <c r="Q1566" s="7">
        <v>13.5</v>
      </c>
      <c r="R1566" s="7" t="str">
        <f ca="1">IFERROR(__xludf.DUMMYFUNCTION("IMPORTXML(E1566,""/html/body/main/div[3]/div[3]/div[2]/ul/li[7]/span[2]/span"")"),"Loading...")</f>
        <v>Loading...</v>
      </c>
      <c r="S1566" s="7" t="str">
        <f ca="1">IFERROR(__xludf.DUMMYFUNCTION("IMPORTXML(E1566,""/html/body/main/div[3]/div[3]/div[2]/ul/li[8]/span[2]/span"")"),"Loading...")</f>
        <v>Loading...</v>
      </c>
      <c r="T1566" s="4">
        <v>34.6</v>
      </c>
      <c r="U1566" s="4">
        <v>22.7</v>
      </c>
      <c r="V1566" s="4">
        <v>2.6</v>
      </c>
      <c r="W1566" s="4">
        <v>5.7</v>
      </c>
      <c r="X1566" s="4">
        <v>519.92999999999995</v>
      </c>
      <c r="Y1566" s="7" t="e">
        <f t="shared" ca="1" si="34"/>
        <v>#VALUE!</v>
      </c>
    </row>
    <row r="1567" spans="1:25" ht="15" x14ac:dyDescent="0.25">
      <c r="A1567" s="4">
        <v>785</v>
      </c>
      <c r="C1567" s="12" t="s">
        <v>3630</v>
      </c>
      <c r="D1567" s="12" t="s">
        <v>3631</v>
      </c>
      <c r="E1567" s="5" t="str">
        <f t="shared" si="30"/>
        <v>https://www.screener.in/company/DISHTV/consolidated/</v>
      </c>
      <c r="F1567" s="4">
        <v>443059</v>
      </c>
      <c r="G1567" s="4">
        <v>3832241897</v>
      </c>
      <c r="H1567" s="6">
        <f t="shared" ca="1" si="31"/>
        <v>2080.9073500710001</v>
      </c>
      <c r="I1567" s="7" t="str">
        <f ca="1">IFERROR(__xludf.DUMMYFUNCTION("IMPORTXML(E1567,""/html/body/main/div[3]/div[3]/div[2]/ul/li[5]/span[2]/span"")"),"Loading...")</f>
        <v>Loading...</v>
      </c>
      <c r="J1567" s="7">
        <f ca="1">IFERROR(__xludf.DUMMYFUNCTION("GOOGLEFINANCE(""NSE:""&amp;D1567,""marketcap"")"),9541758598)</f>
        <v>9541758598</v>
      </c>
      <c r="K1567" s="7">
        <v>992.8</v>
      </c>
      <c r="L1567" s="8">
        <f ca="1">IFERROR(__xludf.DUMMYFUNCTION("GOOGLEFINANCE(""NSE:""&amp;D1567,""price"")"),5.43)</f>
        <v>5.43</v>
      </c>
      <c r="M1567" s="9">
        <f t="shared" ca="1" si="32"/>
        <v>-987.37</v>
      </c>
      <c r="N1567" s="10">
        <f t="shared" ca="1" si="33"/>
        <v>-99.453062046736505</v>
      </c>
      <c r="O1567" s="7" t="str">
        <f ca="1">IFERROR(__xludf.DUMMYFUNCTION("GOOGLEFINANCE(""NSE:""&amp;D1567,""pe"")"),"#N/A")</f>
        <v>#N/A</v>
      </c>
      <c r="P1567" s="7">
        <f ca="1">IFERROR(__xludf.DUMMYFUNCTION("GOOGLEFINANCE(""NSE:""&amp;D1567,""EPS"")"),-3.07)</f>
        <v>-3.07</v>
      </c>
      <c r="Q1567" s="7">
        <v>13.5</v>
      </c>
      <c r="R1567" s="7" t="str">
        <f ca="1">IFERROR(__xludf.DUMMYFUNCTION("IMPORTXML(E1567,""/html/body/main/div[3]/div[3]/div[2]/ul/li[7]/span[2]/span"")"),"Loading...")</f>
        <v>Loading...</v>
      </c>
      <c r="S1567" s="7" t="str">
        <f ca="1">IFERROR(__xludf.DUMMYFUNCTION("IMPORTXML(E1567,""/html/body/main/div[3]/div[3]/div[2]/ul/li[8]/span[2]/span"")"),"Loading...")</f>
        <v>Loading...</v>
      </c>
      <c r="T1567" s="4">
        <v>34.6</v>
      </c>
      <c r="U1567" s="4">
        <v>22.7</v>
      </c>
      <c r="V1567" s="4">
        <v>2.6</v>
      </c>
      <c r="W1567" s="4">
        <v>5.7</v>
      </c>
      <c r="X1567" s="4">
        <v>519.92999999999995</v>
      </c>
      <c r="Y1567" s="7">
        <f t="shared" ca="1" si="34"/>
        <v>-514.5</v>
      </c>
    </row>
    <row r="1568" spans="1:25" ht="15" x14ac:dyDescent="0.25">
      <c r="A1568" s="4">
        <v>790</v>
      </c>
      <c r="C1568" s="12" t="s">
        <v>3632</v>
      </c>
      <c r="D1568" s="12" t="s">
        <v>3633</v>
      </c>
      <c r="E1568" s="5" t="str">
        <f t="shared" si="30"/>
        <v>https://www.screener.in/company/INTERARCH/consolidated/</v>
      </c>
      <c r="F1568" s="4">
        <v>443059</v>
      </c>
      <c r="G1568" s="4">
        <v>3832241897</v>
      </c>
      <c r="H1568" s="6">
        <f t="shared" ca="1" si="31"/>
        <v>802471.4532318</v>
      </c>
      <c r="I1568" s="7" t="str">
        <f ca="1">IFERROR(__xludf.DUMMYFUNCTION("IMPORTXML(E1568,""/html/body/main/div[3]/div[3]/div[2]/ul/li[5]/span[2]/span"")"),"Loading...")</f>
        <v>Loading...</v>
      </c>
      <c r="J1568" s="7">
        <f ca="1">IFERROR(__xludf.DUMMYFUNCTION("GOOGLEFINANCE(""NSE:""&amp;D1568,""marketcap"")"),35120253900)</f>
        <v>35120253900</v>
      </c>
      <c r="K1568" s="7">
        <v>992.8</v>
      </c>
      <c r="L1568" s="8">
        <f ca="1">IFERROR(__xludf.DUMMYFUNCTION("GOOGLEFINANCE(""NSE:""&amp;D1568,""price"")"),2094)</f>
        <v>2094</v>
      </c>
      <c r="M1568" s="9">
        <f t="shared" ca="1" si="32"/>
        <v>1101.2</v>
      </c>
      <c r="N1568" s="10">
        <f t="shared" ca="1" si="33"/>
        <v>110.91861402095084</v>
      </c>
      <c r="O1568" s="7">
        <f ca="1">IFERROR(__xludf.DUMMYFUNCTION("GOOGLEFINANCE(""NSE:""&amp;D1568,""pe"")"),29.89)</f>
        <v>29.89</v>
      </c>
      <c r="P1568" s="7">
        <f ca="1">IFERROR(__xludf.DUMMYFUNCTION("GOOGLEFINANCE(""NSE:""&amp;D1568,""EPS"")"),70.06)</f>
        <v>70.06</v>
      </c>
      <c r="Q1568" s="7">
        <v>13.5</v>
      </c>
      <c r="R1568" s="7" t="str">
        <f ca="1">IFERROR(__xludf.DUMMYFUNCTION("IMPORTXML(E1568,""/html/body/main/div[3]/div[3]/div[2]/ul/li[7]/span[2]/span"")"),"Loading...")</f>
        <v>Loading...</v>
      </c>
      <c r="S1568" s="7" t="str">
        <f ca="1">IFERROR(__xludf.DUMMYFUNCTION("IMPORTXML(E1568,""/html/body/main/div[3]/div[3]/div[2]/ul/li[8]/span[2]/span"")"),"Loading...")</f>
        <v>Loading...</v>
      </c>
      <c r="T1568" s="4">
        <v>34.6</v>
      </c>
      <c r="U1568" s="4">
        <v>22.7</v>
      </c>
      <c r="V1568" s="4">
        <v>2.6</v>
      </c>
      <c r="W1568" s="4">
        <v>5.7</v>
      </c>
      <c r="X1568" s="4">
        <v>519.92999999999995</v>
      </c>
      <c r="Y1568" s="7">
        <f t="shared" ca="1" si="34"/>
        <v>1574.0700000000002</v>
      </c>
    </row>
    <row r="1569" spans="1:25" ht="15" x14ac:dyDescent="0.25">
      <c r="A1569" s="4">
        <v>793</v>
      </c>
      <c r="C1569" s="41" t="s">
        <v>3634</v>
      </c>
      <c r="D1569" s="42"/>
      <c r="E1569" s="5" t="str">
        <f t="shared" si="30"/>
        <v>https://www.screener.in/company//consolidated/</v>
      </c>
      <c r="F1569" s="4">
        <v>443059</v>
      </c>
      <c r="G1569" s="4">
        <v>3832241897</v>
      </c>
      <c r="H1569" s="6" t="e">
        <f t="shared" ca="1" si="31"/>
        <v>#VALUE!</v>
      </c>
      <c r="I1569" s="7" t="str">
        <f ca="1">IFERROR(__xludf.DUMMYFUNCTION("IMPORTXML(E1569,""/html/body/main/div[3]/div[3]/div[2]/ul/li[5]/span[2]/span"")"),"Loading...")</f>
        <v>Loading...</v>
      </c>
      <c r="J1569" s="7" t="str">
        <f ca="1">IFERROR(__xludf.DUMMYFUNCTION("GOOGLEFINANCE(""NSE:""&amp;D1569,""marketcap"")"),"#N/A")</f>
        <v>#N/A</v>
      </c>
      <c r="K1569" s="7">
        <v>992.8</v>
      </c>
      <c r="L1569" s="8" t="str">
        <f ca="1">IFERROR(__xludf.DUMMYFUNCTION("GOOGLEFINANCE(""NSE:""&amp;D1569,""price"")"),"#N/A")</f>
        <v>#N/A</v>
      </c>
      <c r="M1569" s="9" t="e">
        <f t="shared" ca="1" si="32"/>
        <v>#VALUE!</v>
      </c>
      <c r="N1569" s="10" t="e">
        <f t="shared" ca="1" si="33"/>
        <v>#VALUE!</v>
      </c>
      <c r="O1569" s="7" t="str">
        <f ca="1">IFERROR(__xludf.DUMMYFUNCTION("GOOGLEFINANCE(""NSE:""&amp;D1569,""pe"")"),"#N/A")</f>
        <v>#N/A</v>
      </c>
      <c r="P1569" s="7" t="str">
        <f ca="1">IFERROR(__xludf.DUMMYFUNCTION("GOOGLEFINANCE(""NSE:""&amp;D1569,""EPS"")"),"#N/A")</f>
        <v>#N/A</v>
      </c>
      <c r="Q1569" s="7">
        <v>13.5</v>
      </c>
      <c r="R1569" s="7" t="str">
        <f ca="1">IFERROR(__xludf.DUMMYFUNCTION("IMPORTXML(E1569,""/html/body/main/div[3]/div[3]/div[2]/ul/li[7]/span[2]/span"")"),"Loading...")</f>
        <v>Loading...</v>
      </c>
      <c r="S1569" s="7" t="str">
        <f ca="1">IFERROR(__xludf.DUMMYFUNCTION("IMPORTXML(E1569,""/html/body/main/div[3]/div[3]/div[2]/ul/li[8]/span[2]/span"")"),"Loading...")</f>
        <v>Loading...</v>
      </c>
      <c r="T1569" s="4">
        <v>34.6</v>
      </c>
      <c r="U1569" s="4">
        <v>22.7</v>
      </c>
      <c r="V1569" s="4">
        <v>2.6</v>
      </c>
      <c r="W1569" s="4">
        <v>5.7</v>
      </c>
      <c r="X1569" s="4">
        <v>519.92999999999995</v>
      </c>
      <c r="Y1569" s="7" t="e">
        <f t="shared" ca="1" si="34"/>
        <v>#VALUE!</v>
      </c>
    </row>
    <row r="1570" spans="1:25" ht="15" x14ac:dyDescent="0.25">
      <c r="A1570" s="4">
        <v>798</v>
      </c>
      <c r="C1570" s="41" t="s">
        <v>3635</v>
      </c>
      <c r="D1570" s="42"/>
      <c r="E1570" s="5" t="str">
        <f t="shared" si="30"/>
        <v>https://www.screener.in/company//consolidated/</v>
      </c>
      <c r="F1570" s="4">
        <v>443059</v>
      </c>
      <c r="G1570" s="4">
        <v>3832241897</v>
      </c>
      <c r="H1570" s="6" t="e">
        <f t="shared" ca="1" si="31"/>
        <v>#VALUE!</v>
      </c>
      <c r="I1570" s="7" t="str">
        <f ca="1">IFERROR(__xludf.DUMMYFUNCTION("IMPORTXML(E1570,""/html/body/main/div[3]/div[3]/div[2]/ul/li[5]/span[2]/span"")"),"Loading...")</f>
        <v>Loading...</v>
      </c>
      <c r="J1570" s="7" t="str">
        <f ca="1">IFERROR(__xludf.DUMMYFUNCTION("GOOGLEFINANCE(""NSE:""&amp;D1570,""marketcap"")"),"#N/A")</f>
        <v>#N/A</v>
      </c>
      <c r="K1570" s="7">
        <v>992.8</v>
      </c>
      <c r="L1570" s="8" t="str">
        <f ca="1">IFERROR(__xludf.DUMMYFUNCTION("GOOGLEFINANCE(""NSE:""&amp;D1570,""price"")"),"#N/A")</f>
        <v>#N/A</v>
      </c>
      <c r="M1570" s="9" t="e">
        <f t="shared" ca="1" si="32"/>
        <v>#VALUE!</v>
      </c>
      <c r="N1570" s="10" t="e">
        <f t="shared" ca="1" si="33"/>
        <v>#VALUE!</v>
      </c>
      <c r="O1570" s="7" t="str">
        <f ca="1">IFERROR(__xludf.DUMMYFUNCTION("GOOGLEFINANCE(""NSE:""&amp;D1570,""pe"")"),"#N/A")</f>
        <v>#N/A</v>
      </c>
      <c r="P1570" s="7" t="str">
        <f ca="1">IFERROR(__xludf.DUMMYFUNCTION("GOOGLEFINANCE(""NSE:""&amp;D1570,""EPS"")"),"#N/A")</f>
        <v>#N/A</v>
      </c>
      <c r="Q1570" s="7">
        <v>13.5</v>
      </c>
      <c r="R1570" s="7" t="str">
        <f ca="1">IFERROR(__xludf.DUMMYFUNCTION("IMPORTXML(E1570,""/html/body/main/div[3]/div[3]/div[2]/ul/li[7]/span[2]/span"")"),"Loading...")</f>
        <v>Loading...</v>
      </c>
      <c r="S1570" s="7" t="str">
        <f ca="1">IFERROR(__xludf.DUMMYFUNCTION("IMPORTXML(E1570,""/html/body/main/div[3]/div[3]/div[2]/ul/li[8]/span[2]/span"")"),"Loading...")</f>
        <v>Loading...</v>
      </c>
      <c r="T1570" s="4">
        <v>34.6</v>
      </c>
      <c r="U1570" s="4">
        <v>22.7</v>
      </c>
      <c r="V1570" s="4">
        <v>2.6</v>
      </c>
      <c r="W1570" s="4">
        <v>5.7</v>
      </c>
      <c r="X1570" s="4">
        <v>519.92999999999995</v>
      </c>
      <c r="Y1570" s="7" t="e">
        <f t="shared" ca="1" si="34"/>
        <v>#VALUE!</v>
      </c>
    </row>
    <row r="1571" spans="1:25" ht="15" x14ac:dyDescent="0.25">
      <c r="A1571" s="4">
        <v>799</v>
      </c>
      <c r="C1571" s="12" t="s">
        <v>3636</v>
      </c>
      <c r="D1571" s="37"/>
      <c r="E1571" s="5" t="str">
        <f t="shared" si="30"/>
        <v>https://www.screener.in/company//consolidated/</v>
      </c>
      <c r="F1571" s="4">
        <v>443059</v>
      </c>
      <c r="G1571" s="4">
        <v>3832241897</v>
      </c>
      <c r="H1571" s="6" t="e">
        <f t="shared" ca="1" si="31"/>
        <v>#VALUE!</v>
      </c>
      <c r="I1571" s="7" t="str">
        <f ca="1">IFERROR(__xludf.DUMMYFUNCTION("IMPORTXML(E1571,""/html/body/main/div[3]/div[3]/div[2]/ul/li[5]/span[2]/span"")"),"Loading...")</f>
        <v>Loading...</v>
      </c>
      <c r="J1571" s="7" t="str">
        <f ca="1">IFERROR(__xludf.DUMMYFUNCTION("GOOGLEFINANCE(""NSE:""&amp;D1571,""marketcap"")"),"#N/A")</f>
        <v>#N/A</v>
      </c>
      <c r="K1571" s="7">
        <v>992.8</v>
      </c>
      <c r="L1571" s="8" t="str">
        <f ca="1">IFERROR(__xludf.DUMMYFUNCTION("GOOGLEFINANCE(""NSE:""&amp;D1571,""price"")"),"#N/A")</f>
        <v>#N/A</v>
      </c>
      <c r="M1571" s="9" t="e">
        <f t="shared" ca="1" si="32"/>
        <v>#VALUE!</v>
      </c>
      <c r="N1571" s="10" t="e">
        <f t="shared" ca="1" si="33"/>
        <v>#VALUE!</v>
      </c>
      <c r="O1571" s="7" t="str">
        <f ca="1">IFERROR(__xludf.DUMMYFUNCTION("GOOGLEFINANCE(""NSE:""&amp;D1571,""pe"")"),"#N/A")</f>
        <v>#N/A</v>
      </c>
      <c r="P1571" s="7" t="str">
        <f ca="1">IFERROR(__xludf.DUMMYFUNCTION("GOOGLEFINANCE(""NSE:""&amp;D1571,""EPS"")"),"#N/A")</f>
        <v>#N/A</v>
      </c>
      <c r="Q1571" s="7">
        <v>13.5</v>
      </c>
      <c r="R1571" s="7" t="str">
        <f ca="1">IFERROR(__xludf.DUMMYFUNCTION("IMPORTXML(E1571,""/html/body/main/div[3]/div[3]/div[2]/ul/li[7]/span[2]/span"")"),"Loading...")</f>
        <v>Loading...</v>
      </c>
      <c r="S1571" s="7" t="str">
        <f ca="1">IFERROR(__xludf.DUMMYFUNCTION("IMPORTXML(E1571,""/html/body/main/div[3]/div[3]/div[2]/ul/li[8]/span[2]/span"")"),"Loading...")</f>
        <v>Loading...</v>
      </c>
      <c r="T1571" s="4">
        <v>34.6</v>
      </c>
      <c r="U1571" s="4">
        <v>22.7</v>
      </c>
      <c r="V1571" s="4">
        <v>2.6</v>
      </c>
      <c r="W1571" s="4">
        <v>5.7</v>
      </c>
      <c r="X1571" s="4">
        <v>519.92999999999995</v>
      </c>
      <c r="Y1571" s="7" t="e">
        <f t="shared" ca="1" si="34"/>
        <v>#VALUE!</v>
      </c>
    </row>
    <row r="1572" spans="1:25" ht="15" x14ac:dyDescent="0.25">
      <c r="A1572" s="4">
        <v>800</v>
      </c>
      <c r="C1572" s="12" t="s">
        <v>3637</v>
      </c>
      <c r="D1572" s="12" t="s">
        <v>3638</v>
      </c>
      <c r="E1572" s="5" t="str">
        <f t="shared" si="30"/>
        <v>https://www.screener.in/company/MOL/consolidated/</v>
      </c>
      <c r="F1572" s="4">
        <v>443059</v>
      </c>
      <c r="G1572" s="4">
        <v>3832241897</v>
      </c>
      <c r="H1572" s="6">
        <f t="shared" ca="1" si="31"/>
        <v>30734.580013940002</v>
      </c>
      <c r="I1572" s="7" t="str">
        <f ca="1">IFERROR(__xludf.DUMMYFUNCTION("IMPORTXML(E1572,""/html/body/main/div[3]/div[3]/div[2]/ul/li[5]/span[2]/span"")"),"Loading...")</f>
        <v>Loading...</v>
      </c>
      <c r="J1572" s="7">
        <f ca="1">IFERROR(__xludf.DUMMYFUNCTION("GOOGLEFINANCE(""NSE:""&amp;D1572,""marketcap"")"),20395990043)</f>
        <v>20395990043</v>
      </c>
      <c r="K1572" s="7">
        <v>992.8</v>
      </c>
      <c r="L1572" s="8">
        <f ca="1">IFERROR(__xludf.DUMMYFUNCTION("GOOGLEFINANCE(""NSE:""&amp;D1572,""price"")"),80.2)</f>
        <v>80.2</v>
      </c>
      <c r="M1572" s="9">
        <f t="shared" ca="1" si="32"/>
        <v>-912.59999999999991</v>
      </c>
      <c r="N1572" s="10">
        <f t="shared" ca="1" si="33"/>
        <v>-91.921837228041895</v>
      </c>
      <c r="O1572" s="7">
        <f ca="1">IFERROR(__xludf.DUMMYFUNCTION("GOOGLEFINANCE(""NSE:""&amp;D1572,""pe"")"),108.13)</f>
        <v>108.13</v>
      </c>
      <c r="P1572" s="7">
        <f ca="1">IFERROR(__xludf.DUMMYFUNCTION("GOOGLEFINANCE(""NSE:""&amp;D1572,""EPS"")"),0.74)</f>
        <v>0.74</v>
      </c>
      <c r="Q1572" s="7">
        <v>13.5</v>
      </c>
      <c r="R1572" s="7" t="str">
        <f ca="1">IFERROR(__xludf.DUMMYFUNCTION("IMPORTXML(E1572,""/html/body/main/div[3]/div[3]/div[2]/ul/li[7]/span[2]/span"")"),"Loading...")</f>
        <v>Loading...</v>
      </c>
      <c r="S1572" s="7" t="str">
        <f ca="1">IFERROR(__xludf.DUMMYFUNCTION("IMPORTXML(E1572,""/html/body/main/div[3]/div[3]/div[2]/ul/li[8]/span[2]/span"")"),"Loading...")</f>
        <v>Loading...</v>
      </c>
      <c r="T1572" s="4">
        <v>34.6</v>
      </c>
      <c r="U1572" s="4">
        <v>22.7</v>
      </c>
      <c r="V1572" s="4">
        <v>2.6</v>
      </c>
      <c r="W1572" s="4">
        <v>5.7</v>
      </c>
      <c r="X1572" s="4">
        <v>519.92999999999995</v>
      </c>
      <c r="Y1572" s="7">
        <f t="shared" ca="1" si="34"/>
        <v>-439.72999999999996</v>
      </c>
    </row>
    <row r="1573" spans="1:25" ht="15" x14ac:dyDescent="0.25">
      <c r="A1573" s="4">
        <v>808</v>
      </c>
      <c r="C1573" s="12" t="s">
        <v>3639</v>
      </c>
      <c r="D1573" s="12" t="s">
        <v>3640</v>
      </c>
      <c r="E1573" s="5" t="str">
        <f t="shared" si="30"/>
        <v>https://www.screener.in/company/ESAFSFB/consolidated/</v>
      </c>
      <c r="F1573" s="4">
        <v>443059</v>
      </c>
      <c r="G1573" s="4">
        <v>3832241897</v>
      </c>
      <c r="H1573" s="6">
        <f t="shared" ca="1" si="31"/>
        <v>11182.481855446</v>
      </c>
      <c r="I1573" s="7" t="str">
        <f ca="1">IFERROR(__xludf.DUMMYFUNCTION("IMPORTXML(E1573,""/html/body/main/div[3]/div[3]/div[2]/ul/li[5]/span[2]/span"")"),"Loading...")</f>
        <v>Loading...</v>
      </c>
      <c r="J1573" s="7">
        <f ca="1">IFERROR(__xludf.DUMMYFUNCTION("GOOGLEFINANCE(""NSE:""&amp;D1573,""marketcap"")"),15042608219)</f>
        <v>15042608219</v>
      </c>
      <c r="K1573" s="7">
        <v>992.8</v>
      </c>
      <c r="L1573" s="8">
        <f ca="1">IFERROR(__xludf.DUMMYFUNCTION("GOOGLEFINANCE(""NSE:""&amp;D1573,""price"")"),29.18)</f>
        <v>29.18</v>
      </c>
      <c r="M1573" s="9">
        <f t="shared" ca="1" si="32"/>
        <v>-963.62</v>
      </c>
      <c r="N1573" s="10">
        <f t="shared" ca="1" si="33"/>
        <v>-97.06083803384368</v>
      </c>
      <c r="O1573" s="7" t="str">
        <f ca="1">IFERROR(__xludf.DUMMYFUNCTION("GOOGLEFINANCE(""NSE:""&amp;D1573,""pe"")"),"#N/A")</f>
        <v>#N/A</v>
      </c>
      <c r="P1573" s="7">
        <f ca="1">IFERROR(__xludf.DUMMYFUNCTION("GOOGLEFINANCE(""NSE:""&amp;D1573,""EPS"")"),-12.92)</f>
        <v>-12.92</v>
      </c>
      <c r="Q1573" s="7">
        <v>13.5</v>
      </c>
      <c r="R1573" s="7" t="str">
        <f ca="1">IFERROR(__xludf.DUMMYFUNCTION("IMPORTXML(E1573,""/html/body/main/div[3]/div[3]/div[2]/ul/li[7]/span[2]/span"")"),"Loading...")</f>
        <v>Loading...</v>
      </c>
      <c r="S1573" s="7" t="str">
        <f ca="1">IFERROR(__xludf.DUMMYFUNCTION("IMPORTXML(E1573,""/html/body/main/div[3]/div[3]/div[2]/ul/li[8]/span[2]/span"")"),"Loading...")</f>
        <v>Loading...</v>
      </c>
      <c r="T1573" s="4">
        <v>34.6</v>
      </c>
      <c r="U1573" s="4">
        <v>22.7</v>
      </c>
      <c r="V1573" s="4">
        <v>2.6</v>
      </c>
      <c r="W1573" s="4">
        <v>5.7</v>
      </c>
      <c r="X1573" s="4">
        <v>519.92999999999995</v>
      </c>
      <c r="Y1573" s="7">
        <f t="shared" ca="1" si="34"/>
        <v>-490.74999999999994</v>
      </c>
    </row>
    <row r="1574" spans="1:25" ht="15" x14ac:dyDescent="0.25">
      <c r="A1574" s="4">
        <v>818</v>
      </c>
      <c r="C1574" s="41" t="s">
        <v>3641</v>
      </c>
      <c r="D1574" s="42"/>
      <c r="E1574" s="5" t="str">
        <f t="shared" si="30"/>
        <v>https://www.screener.in/company//consolidated/</v>
      </c>
      <c r="F1574" s="4">
        <v>443059</v>
      </c>
      <c r="G1574" s="4">
        <v>3832241897</v>
      </c>
      <c r="H1574" s="6" t="e">
        <f t="shared" ca="1" si="31"/>
        <v>#VALUE!</v>
      </c>
      <c r="I1574" s="7" t="str">
        <f ca="1">IFERROR(__xludf.DUMMYFUNCTION("IMPORTXML(E1574,""/html/body/main/div[3]/div[3]/div[2]/ul/li[5]/span[2]/span"")"),"Loading...")</f>
        <v>Loading...</v>
      </c>
      <c r="J1574" s="7" t="str">
        <f ca="1">IFERROR(__xludf.DUMMYFUNCTION("GOOGLEFINANCE(""NSE:""&amp;D1574,""marketcap"")"),"#N/A")</f>
        <v>#N/A</v>
      </c>
      <c r="K1574" s="7">
        <v>992.8</v>
      </c>
      <c r="L1574" s="8" t="str">
        <f ca="1">IFERROR(__xludf.DUMMYFUNCTION("GOOGLEFINANCE(""NSE:""&amp;D1574,""price"")"),"#N/A")</f>
        <v>#N/A</v>
      </c>
      <c r="M1574" s="9" t="e">
        <f t="shared" ca="1" si="32"/>
        <v>#VALUE!</v>
      </c>
      <c r="N1574" s="10" t="e">
        <f t="shared" ca="1" si="33"/>
        <v>#VALUE!</v>
      </c>
      <c r="O1574" s="7" t="str">
        <f ca="1">IFERROR(__xludf.DUMMYFUNCTION("GOOGLEFINANCE(""NSE:""&amp;D1574,""pe"")"),"#N/A")</f>
        <v>#N/A</v>
      </c>
      <c r="P1574" s="7" t="str">
        <f ca="1">IFERROR(__xludf.DUMMYFUNCTION("GOOGLEFINANCE(""NSE:""&amp;D1574,""EPS"")"),"#N/A")</f>
        <v>#N/A</v>
      </c>
      <c r="Q1574" s="7">
        <v>13.5</v>
      </c>
      <c r="R1574" s="7" t="str">
        <f ca="1">IFERROR(__xludf.DUMMYFUNCTION("IMPORTXML(E1574,""/html/body/main/div[3]/div[3]/div[2]/ul/li[7]/span[2]/span"")"),"Loading...")</f>
        <v>Loading...</v>
      </c>
      <c r="S1574" s="7" t="str">
        <f ca="1">IFERROR(__xludf.DUMMYFUNCTION("IMPORTXML(E1574,""/html/body/main/div[3]/div[3]/div[2]/ul/li[8]/span[2]/span"")"),"Loading...")</f>
        <v>Loading...</v>
      </c>
      <c r="T1574" s="4">
        <v>34.6</v>
      </c>
      <c r="U1574" s="4">
        <v>22.7</v>
      </c>
      <c r="V1574" s="4">
        <v>2.6</v>
      </c>
      <c r="W1574" s="4">
        <v>5.7</v>
      </c>
      <c r="X1574" s="4">
        <v>519.92999999999995</v>
      </c>
      <c r="Y1574" s="7" t="e">
        <f t="shared" ca="1" si="34"/>
        <v>#VALUE!</v>
      </c>
    </row>
    <row r="1575" spans="1:25" ht="15" x14ac:dyDescent="0.25">
      <c r="A1575" s="4">
        <v>825</v>
      </c>
      <c r="C1575" s="12" t="s">
        <v>3642</v>
      </c>
      <c r="D1575" s="12" t="s">
        <v>3643</v>
      </c>
      <c r="E1575" s="5" t="str">
        <f t="shared" si="30"/>
        <v>https://www.screener.in/company/63MOONS/consolidated/</v>
      </c>
      <c r="F1575" s="4">
        <v>443059</v>
      </c>
      <c r="G1575" s="4">
        <v>3832241897</v>
      </c>
      <c r="H1575" s="6">
        <f t="shared" ca="1" si="31"/>
        <v>353600.95983619004</v>
      </c>
      <c r="I1575" s="7" t="str">
        <f ca="1">IFERROR(__xludf.DUMMYFUNCTION("IMPORTXML(E1575,""/html/body/main/div[3]/div[3]/div[2]/ul/li[5]/span[2]/span"")"),"Loading...")</f>
        <v>Loading...</v>
      </c>
      <c r="J1575" s="7">
        <f ca="1">IFERROR(__xludf.DUMMYFUNCTION("GOOGLEFINANCE(""NSE:""&amp;D1575,""marketcap"")"),42516660193)</f>
        <v>42516660193</v>
      </c>
      <c r="K1575" s="7">
        <v>992.8</v>
      </c>
      <c r="L1575" s="8">
        <f ca="1">IFERROR(__xludf.DUMMYFUNCTION("GOOGLEFINANCE(""NSE:""&amp;D1575,""price"")"),922.7)</f>
        <v>922.7</v>
      </c>
      <c r="M1575" s="9">
        <f t="shared" ca="1" si="32"/>
        <v>-70.099999999999909</v>
      </c>
      <c r="N1575" s="10">
        <f t="shared" ca="1" si="33"/>
        <v>-7.0608380338436652</v>
      </c>
      <c r="O1575" s="7" t="str">
        <f ca="1">IFERROR(__xludf.DUMMYFUNCTION("GOOGLEFINANCE(""NSE:""&amp;D1575,""pe"")"),"#N/A")</f>
        <v>#N/A</v>
      </c>
      <c r="P1575" s="7">
        <f ca="1">IFERROR(__xludf.DUMMYFUNCTION("GOOGLEFINANCE(""NSE:""&amp;D1575,""EPS"")"),-4.66)</f>
        <v>-4.66</v>
      </c>
      <c r="Q1575" s="7">
        <v>13.5</v>
      </c>
      <c r="R1575" s="7" t="str">
        <f ca="1">IFERROR(__xludf.DUMMYFUNCTION("IMPORTXML(E1575,""/html/body/main/div[3]/div[3]/div[2]/ul/li[7]/span[2]/span"")"),"Loading...")</f>
        <v>Loading...</v>
      </c>
      <c r="S1575" s="7" t="str">
        <f ca="1">IFERROR(__xludf.DUMMYFUNCTION("IMPORTXML(E1575,""/html/body/main/div[3]/div[3]/div[2]/ul/li[8]/span[2]/span"")"),"Loading...")</f>
        <v>Loading...</v>
      </c>
      <c r="T1575" s="4">
        <v>34.6</v>
      </c>
      <c r="U1575" s="4">
        <v>22.7</v>
      </c>
      <c r="V1575" s="4">
        <v>2.6</v>
      </c>
      <c r="W1575" s="4">
        <v>5.7</v>
      </c>
      <c r="X1575" s="4">
        <v>519.92999999999995</v>
      </c>
      <c r="Y1575" s="7">
        <f t="shared" ca="1" si="34"/>
        <v>402.7700000000001</v>
      </c>
    </row>
    <row r="1576" spans="1:25" ht="15" x14ac:dyDescent="0.25">
      <c r="A1576" s="4">
        <v>826</v>
      </c>
      <c r="C1576" s="12" t="s">
        <v>3644</v>
      </c>
      <c r="D1576" s="12" t="s">
        <v>3645</v>
      </c>
      <c r="E1576" s="5" t="str">
        <f t="shared" si="30"/>
        <v>https://www.screener.in/company/DIAMONDYD/consolidated/</v>
      </c>
      <c r="F1576" s="4">
        <v>443059</v>
      </c>
      <c r="G1576" s="4">
        <v>3832241897</v>
      </c>
      <c r="H1576" s="6">
        <f t="shared" ca="1" si="31"/>
        <v>383607.41388970002</v>
      </c>
      <c r="I1576" s="7" t="str">
        <f ca="1">IFERROR(__xludf.DUMMYFUNCTION("IMPORTXML(E1576,""/html/body/main/div[3]/div[3]/div[2]/ul/li[5]/span[2]/span"")"),"Loading...")</f>
        <v>Loading...</v>
      </c>
      <c r="J1576" s="7">
        <f ca="1">IFERROR(__xludf.DUMMYFUNCTION("GOOGLEFINANCE(""NSE:""&amp;D1576,""marketcap"")"),23923910010)</f>
        <v>23923910010</v>
      </c>
      <c r="K1576" s="7">
        <v>992.8</v>
      </c>
      <c r="L1576" s="8">
        <f ca="1">IFERROR(__xludf.DUMMYFUNCTION("GOOGLEFINANCE(""NSE:""&amp;D1576,""price"")"),1001)</f>
        <v>1001</v>
      </c>
      <c r="M1576" s="9">
        <f t="shared" ca="1" si="32"/>
        <v>8.2000000000000455</v>
      </c>
      <c r="N1576" s="10">
        <f t="shared" ca="1" si="33"/>
        <v>0.82594681708300222</v>
      </c>
      <c r="O1576" s="7" t="str">
        <f ca="1">IFERROR(__xludf.DUMMYFUNCTION("GOOGLEFINANCE(""NSE:""&amp;D1576,""pe"")"),"#N/A")</f>
        <v>#N/A</v>
      </c>
      <c r="P1576" s="7">
        <f ca="1">IFERROR(__xludf.DUMMYFUNCTION("GOOGLEFINANCE(""NSE:""&amp;D1576,""EPS"")"),-18.01)</f>
        <v>-18.010000000000002</v>
      </c>
      <c r="Q1576" s="7">
        <v>13.5</v>
      </c>
      <c r="R1576" s="7" t="str">
        <f ca="1">IFERROR(__xludf.DUMMYFUNCTION("IMPORTXML(E1576,""/html/body/main/div[3]/div[3]/div[2]/ul/li[7]/span[2]/span"")"),"Loading...")</f>
        <v>Loading...</v>
      </c>
      <c r="S1576" s="7" t="str">
        <f ca="1">IFERROR(__xludf.DUMMYFUNCTION("IMPORTXML(E1576,""/html/body/main/div[3]/div[3]/div[2]/ul/li[8]/span[2]/span"")"),"Loading...")</f>
        <v>Loading...</v>
      </c>
      <c r="T1576" s="4">
        <v>34.6</v>
      </c>
      <c r="U1576" s="4">
        <v>22.7</v>
      </c>
      <c r="V1576" s="4">
        <v>2.6</v>
      </c>
      <c r="W1576" s="4">
        <v>5.7</v>
      </c>
      <c r="X1576" s="4">
        <v>519.92999999999995</v>
      </c>
      <c r="Y1576" s="7">
        <f t="shared" ca="1" si="34"/>
        <v>481.07000000000005</v>
      </c>
    </row>
    <row r="1577" spans="1:25" ht="15" x14ac:dyDescent="0.25">
      <c r="A1577" s="4">
        <v>828</v>
      </c>
      <c r="C1577" s="41" t="s">
        <v>3646</v>
      </c>
      <c r="D1577" s="42"/>
      <c r="E1577" s="5" t="str">
        <f t="shared" si="30"/>
        <v>https://www.screener.in/company//consolidated/</v>
      </c>
      <c r="F1577" s="4">
        <v>443059</v>
      </c>
      <c r="G1577" s="4">
        <v>3832241897</v>
      </c>
      <c r="H1577" s="6" t="e">
        <f t="shared" ca="1" si="31"/>
        <v>#VALUE!</v>
      </c>
      <c r="I1577" s="7" t="str">
        <f ca="1">IFERROR(__xludf.DUMMYFUNCTION("IMPORTXML(E1577,""/html/body/main/div[3]/div[3]/div[2]/ul/li[5]/span[2]/span"")"),"Loading...")</f>
        <v>Loading...</v>
      </c>
      <c r="J1577" s="7" t="str">
        <f ca="1">IFERROR(__xludf.DUMMYFUNCTION("GOOGLEFINANCE(""NSE:""&amp;D1577,""marketcap"")"),"#N/A")</f>
        <v>#N/A</v>
      </c>
      <c r="K1577" s="7">
        <v>992.8</v>
      </c>
      <c r="L1577" s="8" t="str">
        <f ca="1">IFERROR(__xludf.DUMMYFUNCTION("GOOGLEFINANCE(""NSE:""&amp;D1577,""price"")"),"#N/A")</f>
        <v>#N/A</v>
      </c>
      <c r="M1577" s="9" t="e">
        <f t="shared" ca="1" si="32"/>
        <v>#VALUE!</v>
      </c>
      <c r="N1577" s="10" t="e">
        <f t="shared" ca="1" si="33"/>
        <v>#VALUE!</v>
      </c>
      <c r="O1577" s="7" t="str">
        <f ca="1">IFERROR(__xludf.DUMMYFUNCTION("GOOGLEFINANCE(""NSE:""&amp;D1577,""pe"")"),"#N/A")</f>
        <v>#N/A</v>
      </c>
      <c r="P1577" s="7" t="str">
        <f ca="1">IFERROR(__xludf.DUMMYFUNCTION("GOOGLEFINANCE(""NSE:""&amp;D1577,""EPS"")"),"#N/A")</f>
        <v>#N/A</v>
      </c>
      <c r="Q1577" s="7">
        <v>13.5</v>
      </c>
      <c r="R1577" s="7" t="str">
        <f ca="1">IFERROR(__xludf.DUMMYFUNCTION("IMPORTXML(E1577,""/html/body/main/div[3]/div[3]/div[2]/ul/li[7]/span[2]/span"")"),"Loading...")</f>
        <v>Loading...</v>
      </c>
      <c r="S1577" s="7" t="str">
        <f ca="1">IFERROR(__xludf.DUMMYFUNCTION("IMPORTXML(E1577,""/html/body/main/div[3]/div[3]/div[2]/ul/li[8]/span[2]/span"")"),"Loading...")</f>
        <v>Loading...</v>
      </c>
      <c r="T1577" s="4">
        <v>34.6</v>
      </c>
      <c r="U1577" s="4">
        <v>22.7</v>
      </c>
      <c r="V1577" s="4">
        <v>2.6</v>
      </c>
      <c r="W1577" s="4">
        <v>5.7</v>
      </c>
      <c r="X1577" s="4">
        <v>519.92999999999995</v>
      </c>
      <c r="Y1577" s="7" t="e">
        <f t="shared" ca="1" si="34"/>
        <v>#VALUE!</v>
      </c>
    </row>
    <row r="1578" spans="1:25" ht="15" x14ac:dyDescent="0.25">
      <c r="A1578" s="4">
        <v>830</v>
      </c>
      <c r="C1578" s="12" t="s">
        <v>3647</v>
      </c>
      <c r="D1578" s="12" t="s">
        <v>3648</v>
      </c>
      <c r="E1578" s="5" t="str">
        <f t="shared" si="30"/>
        <v>https://www.screener.in/company/SANSTAR/consolidated/</v>
      </c>
      <c r="F1578" s="4">
        <v>443059</v>
      </c>
      <c r="G1578" s="4">
        <v>3832241897</v>
      </c>
      <c r="H1578" s="6">
        <f t="shared" ca="1" si="31"/>
        <v>33148.89240905</v>
      </c>
      <c r="I1578" s="7" t="str">
        <f ca="1">IFERROR(__xludf.DUMMYFUNCTION("IMPORTXML(E1578,""/html/body/main/div[3]/div[3]/div[2]/ul/li[5]/span[2]/span"")"),"Loading...")</f>
        <v>Loading...</v>
      </c>
      <c r="J1578" s="7">
        <f ca="1">IFERROR(__xludf.DUMMYFUNCTION("GOOGLEFINANCE(""NSE:""&amp;D1578,""marketcap"")"),15669352741)</f>
        <v>15669352741</v>
      </c>
      <c r="K1578" s="7">
        <v>992.8</v>
      </c>
      <c r="L1578" s="8">
        <f ca="1">IFERROR(__xludf.DUMMYFUNCTION("GOOGLEFINANCE(""NSE:""&amp;D1578,""price"")"),86.5)</f>
        <v>86.5</v>
      </c>
      <c r="M1578" s="9">
        <f t="shared" ca="1" si="32"/>
        <v>-906.3</v>
      </c>
      <c r="N1578" s="10">
        <f t="shared" ca="1" si="33"/>
        <v>-91.287268331990333</v>
      </c>
      <c r="O1578" s="7">
        <f ca="1">IFERROR(__xludf.DUMMYFUNCTION("GOOGLEFINANCE(""NSE:""&amp;D1578,""pe"")"),58.62)</f>
        <v>58.62</v>
      </c>
      <c r="P1578" s="7">
        <f ca="1">IFERROR(__xludf.DUMMYFUNCTION("GOOGLEFINANCE(""NSE:""&amp;D1578,""EPS"")"),1.48)</f>
        <v>1.48</v>
      </c>
      <c r="Q1578" s="7">
        <v>13.5</v>
      </c>
      <c r="R1578" s="7" t="str">
        <f ca="1">IFERROR(__xludf.DUMMYFUNCTION("IMPORTXML(E1578,""/html/body/main/div[3]/div[3]/div[2]/ul/li[7]/span[2]/span"")"),"Loading...")</f>
        <v>Loading...</v>
      </c>
      <c r="S1578" s="7" t="str">
        <f ca="1">IFERROR(__xludf.DUMMYFUNCTION("IMPORTXML(E1578,""/html/body/main/div[3]/div[3]/div[2]/ul/li[8]/span[2]/span"")"),"Loading...")</f>
        <v>Loading...</v>
      </c>
      <c r="T1578" s="4">
        <v>34.6</v>
      </c>
      <c r="U1578" s="4">
        <v>22.7</v>
      </c>
      <c r="V1578" s="4">
        <v>2.6</v>
      </c>
      <c r="W1578" s="4">
        <v>5.7</v>
      </c>
      <c r="X1578" s="4">
        <v>519.92999999999995</v>
      </c>
      <c r="Y1578" s="7">
        <f t="shared" ca="1" si="34"/>
        <v>-433.42999999999995</v>
      </c>
    </row>
    <row r="1579" spans="1:25" ht="15" x14ac:dyDescent="0.25">
      <c r="A1579" s="4">
        <v>831</v>
      </c>
      <c r="C1579" s="12" t="s">
        <v>3649</v>
      </c>
      <c r="D1579" s="12" t="s">
        <v>3650</v>
      </c>
      <c r="E1579" s="5" t="str">
        <f t="shared" si="30"/>
        <v>https://www.screener.in/company/ASTEC/consolidated/</v>
      </c>
      <c r="F1579" s="4">
        <v>443059</v>
      </c>
      <c r="G1579" s="4">
        <v>3832241897</v>
      </c>
      <c r="H1579" s="6">
        <f t="shared" ca="1" si="31"/>
        <v>326660.29930027999</v>
      </c>
      <c r="I1579" s="7" t="str">
        <f ca="1">IFERROR(__xludf.DUMMYFUNCTION("IMPORTXML(E1579,""/html/body/main/div[3]/div[3]/div[2]/ul/li[5]/span[2]/span"")"),"Loading...")</f>
        <v>Loading...</v>
      </c>
      <c r="J1579" s="7">
        <f ca="1">IFERROR(__xludf.DUMMYFUNCTION("GOOGLEFINANCE(""NSE:""&amp;D1579,""marketcap"")"),19062580000)</f>
        <v>19062580000</v>
      </c>
      <c r="K1579" s="7">
        <v>992.8</v>
      </c>
      <c r="L1579" s="8">
        <f ca="1">IFERROR(__xludf.DUMMYFUNCTION("GOOGLEFINANCE(""NSE:""&amp;D1579,""price"")"),852.4)</f>
        <v>852.4</v>
      </c>
      <c r="M1579" s="9">
        <f t="shared" ca="1" si="32"/>
        <v>-140.39999999999998</v>
      </c>
      <c r="N1579" s="10">
        <f t="shared" ca="1" si="33"/>
        <v>-14.141821112006445</v>
      </c>
      <c r="O1579" s="7" t="str">
        <f ca="1">IFERROR(__xludf.DUMMYFUNCTION("GOOGLEFINANCE(""NSE:""&amp;D1579,""pe"")"),"#N/A")</f>
        <v>#N/A</v>
      </c>
      <c r="P1579" s="7">
        <f ca="1">IFERROR(__xludf.DUMMYFUNCTION("GOOGLEFINANCE(""NSE:""&amp;D1579,""EPS"")"),-64.81)</f>
        <v>-64.81</v>
      </c>
      <c r="Q1579" s="7">
        <v>13.5</v>
      </c>
      <c r="R1579" s="7" t="str">
        <f ca="1">IFERROR(__xludf.DUMMYFUNCTION("IMPORTXML(E1579,""/html/body/main/div[3]/div[3]/div[2]/ul/li[7]/span[2]/span"")"),"Loading...")</f>
        <v>Loading...</v>
      </c>
      <c r="S1579" s="7" t="str">
        <f ca="1">IFERROR(__xludf.DUMMYFUNCTION("IMPORTXML(E1579,""/html/body/main/div[3]/div[3]/div[2]/ul/li[8]/span[2]/span"")"),"Loading...")</f>
        <v>Loading...</v>
      </c>
      <c r="T1579" s="4">
        <v>34.6</v>
      </c>
      <c r="U1579" s="4">
        <v>22.7</v>
      </c>
      <c r="V1579" s="4">
        <v>2.6</v>
      </c>
      <c r="W1579" s="4">
        <v>5.7</v>
      </c>
      <c r="X1579" s="4">
        <v>519.92999999999995</v>
      </c>
      <c r="Y1579" s="7">
        <f t="shared" ca="1" si="34"/>
        <v>332.47</v>
      </c>
    </row>
    <row r="1580" spans="1:25" ht="15" x14ac:dyDescent="0.25">
      <c r="A1580" s="4">
        <v>834</v>
      </c>
      <c r="C1580" s="41" t="s">
        <v>3651</v>
      </c>
      <c r="D1580" s="42"/>
      <c r="E1580" s="5" t="str">
        <f t="shared" si="30"/>
        <v>https://www.screener.in/company//consolidated/</v>
      </c>
      <c r="F1580" s="4">
        <v>443059</v>
      </c>
      <c r="G1580" s="4">
        <v>3832241897</v>
      </c>
      <c r="H1580" s="6" t="e">
        <f t="shared" ca="1" si="31"/>
        <v>#VALUE!</v>
      </c>
      <c r="I1580" s="7" t="str">
        <f ca="1">IFERROR(__xludf.DUMMYFUNCTION("IMPORTXML(E1580,""/html/body/main/div[3]/div[3]/div[2]/ul/li[5]/span[2]/span"")"),"Loading...")</f>
        <v>Loading...</v>
      </c>
      <c r="J1580" s="7" t="str">
        <f ca="1">IFERROR(__xludf.DUMMYFUNCTION("GOOGLEFINANCE(""NSE:""&amp;D1580,""marketcap"")"),"#N/A")</f>
        <v>#N/A</v>
      </c>
      <c r="K1580" s="7">
        <v>992.8</v>
      </c>
      <c r="L1580" s="8" t="str">
        <f ca="1">IFERROR(__xludf.DUMMYFUNCTION("GOOGLEFINANCE(""NSE:""&amp;D1580,""price"")"),"#N/A")</f>
        <v>#N/A</v>
      </c>
      <c r="M1580" s="9" t="e">
        <f t="shared" ca="1" si="32"/>
        <v>#VALUE!</v>
      </c>
      <c r="N1580" s="10" t="e">
        <f t="shared" ca="1" si="33"/>
        <v>#VALUE!</v>
      </c>
      <c r="O1580" s="7" t="str">
        <f ca="1">IFERROR(__xludf.DUMMYFUNCTION("GOOGLEFINANCE(""NSE:""&amp;D1580,""pe"")"),"#N/A")</f>
        <v>#N/A</v>
      </c>
      <c r="P1580" s="7" t="str">
        <f ca="1">IFERROR(__xludf.DUMMYFUNCTION("GOOGLEFINANCE(""NSE:""&amp;D1580,""EPS"")"),"#N/A")</f>
        <v>#N/A</v>
      </c>
      <c r="Q1580" s="7">
        <v>13.5</v>
      </c>
      <c r="R1580" s="7" t="str">
        <f ca="1">IFERROR(__xludf.DUMMYFUNCTION("IMPORTXML(E1580,""/html/body/main/div[3]/div[3]/div[2]/ul/li[7]/span[2]/span"")"),"Loading...")</f>
        <v>Loading...</v>
      </c>
      <c r="S1580" s="7" t="str">
        <f ca="1">IFERROR(__xludf.DUMMYFUNCTION("IMPORTXML(E1580,""/html/body/main/div[3]/div[3]/div[2]/ul/li[8]/span[2]/span"")"),"Loading...")</f>
        <v>Loading...</v>
      </c>
      <c r="T1580" s="4">
        <v>34.6</v>
      </c>
      <c r="U1580" s="4">
        <v>22.7</v>
      </c>
      <c r="V1580" s="4">
        <v>2.6</v>
      </c>
      <c r="W1580" s="4">
        <v>5.7</v>
      </c>
      <c r="X1580" s="4">
        <v>519.92999999999995</v>
      </c>
      <c r="Y1580" s="7" t="e">
        <f t="shared" ca="1" si="34"/>
        <v>#VALUE!</v>
      </c>
    </row>
    <row r="1581" spans="1:25" ht="15" x14ac:dyDescent="0.25">
      <c r="A1581" s="4">
        <v>838</v>
      </c>
      <c r="C1581" s="12" t="s">
        <v>3652</v>
      </c>
      <c r="D1581" s="12" t="s">
        <v>3653</v>
      </c>
      <c r="E1581" s="5" t="str">
        <f t="shared" si="30"/>
        <v>https://www.screener.in/company/CENTUM/consolidated/</v>
      </c>
      <c r="F1581" s="4">
        <v>443059</v>
      </c>
      <c r="G1581" s="4">
        <v>3832241897</v>
      </c>
      <c r="H1581" s="6">
        <f t="shared" ca="1" si="31"/>
        <v>1139708.7401678001</v>
      </c>
      <c r="I1581" s="7" t="str">
        <f ca="1">IFERROR(__xludf.DUMMYFUNCTION("IMPORTXML(E1581,""/html/body/main/div[3]/div[3]/div[2]/ul/li[5]/span[2]/span"")"),"Loading...")</f>
        <v>Loading...</v>
      </c>
      <c r="J1581" s="7">
        <f ca="1">IFERROR(__xludf.DUMMYFUNCTION("GOOGLEFINANCE(""NSE:""&amp;D1581,""marketcap"")"),43739064100)</f>
        <v>43739064100</v>
      </c>
      <c r="K1581" s="7">
        <v>992.8</v>
      </c>
      <c r="L1581" s="8">
        <f ca="1">IFERROR(__xludf.DUMMYFUNCTION("GOOGLEFINANCE(""NSE:""&amp;D1581,""price"")"),2974)</f>
        <v>2974</v>
      </c>
      <c r="M1581" s="9">
        <f t="shared" ca="1" si="32"/>
        <v>1981.2</v>
      </c>
      <c r="N1581" s="10">
        <f t="shared" ca="1" si="33"/>
        <v>199.55680902497988</v>
      </c>
      <c r="O1581" s="7">
        <f ca="1">IFERROR(__xludf.DUMMYFUNCTION("GOOGLEFINANCE(""NSE:""&amp;D1581,""pe"")"),106.7)</f>
        <v>106.7</v>
      </c>
      <c r="P1581" s="7">
        <f ca="1">IFERROR(__xludf.DUMMYFUNCTION("GOOGLEFINANCE(""NSE:""&amp;D1581,""EPS"")"),27.87)</f>
        <v>27.87</v>
      </c>
      <c r="Q1581" s="7">
        <v>13.5</v>
      </c>
      <c r="R1581" s="7" t="str">
        <f ca="1">IFERROR(__xludf.DUMMYFUNCTION("IMPORTXML(E1581,""/html/body/main/div[3]/div[3]/div[2]/ul/li[7]/span[2]/span"")"),"Loading...")</f>
        <v>Loading...</v>
      </c>
      <c r="S1581" s="7" t="str">
        <f ca="1">IFERROR(__xludf.DUMMYFUNCTION("IMPORTXML(E1581,""/html/body/main/div[3]/div[3]/div[2]/ul/li[8]/span[2]/span"")"),"Loading...")</f>
        <v>Loading...</v>
      </c>
      <c r="T1581" s="4">
        <v>34.6</v>
      </c>
      <c r="U1581" s="4">
        <v>22.7</v>
      </c>
      <c r="V1581" s="4">
        <v>2.6</v>
      </c>
      <c r="W1581" s="4">
        <v>5.7</v>
      </c>
      <c r="X1581" s="4">
        <v>519.92999999999995</v>
      </c>
      <c r="Y1581" s="7">
        <f t="shared" ca="1" si="34"/>
        <v>2454.0700000000002</v>
      </c>
    </row>
    <row r="1582" spans="1:25" ht="15" x14ac:dyDescent="0.25">
      <c r="A1582" s="4">
        <v>840</v>
      </c>
      <c r="C1582" s="12" t="s">
        <v>3654</v>
      </c>
      <c r="D1582" s="12" t="s">
        <v>3655</v>
      </c>
      <c r="E1582" s="5" t="str">
        <f t="shared" si="30"/>
        <v>https://www.screener.in/company/BARBEQUE/consolidated/</v>
      </c>
      <c r="F1582" s="4">
        <v>443059</v>
      </c>
      <c r="G1582" s="4">
        <v>3832241897</v>
      </c>
      <c r="H1582" s="6">
        <f t="shared" ca="1" si="31"/>
        <v>99599.966903029999</v>
      </c>
      <c r="I1582" s="7" t="str">
        <f ca="1">IFERROR(__xludf.DUMMYFUNCTION("IMPORTXML(E1582,""/html/body/main/div[3]/div[3]/div[2]/ul/li[5]/span[2]/span"")"),"Loading...")</f>
        <v>Loading...</v>
      </c>
      <c r="J1582" s="7">
        <f ca="1">IFERROR(__xludf.DUMMYFUNCTION("GOOGLEFINANCE(""NSE:""&amp;D1582,""marketcap"")"),10158549923)</f>
        <v>10158549923</v>
      </c>
      <c r="K1582" s="7">
        <v>992.8</v>
      </c>
      <c r="L1582" s="8">
        <f ca="1">IFERROR(__xludf.DUMMYFUNCTION("GOOGLEFINANCE(""NSE:""&amp;D1582,""price"")"),259.9)</f>
        <v>259.89999999999998</v>
      </c>
      <c r="M1582" s="9">
        <f t="shared" ca="1" si="32"/>
        <v>-732.9</v>
      </c>
      <c r="N1582" s="10">
        <f t="shared" ca="1" si="33"/>
        <v>-73.821514907332798</v>
      </c>
      <c r="O1582" s="7" t="str">
        <f ca="1">IFERROR(__xludf.DUMMYFUNCTION("GOOGLEFINANCE(""NSE:""&amp;D1582,""pe"")"),"#N/A")</f>
        <v>#N/A</v>
      </c>
      <c r="P1582" s="7">
        <f ca="1">IFERROR(__xludf.DUMMYFUNCTION("GOOGLEFINANCE(""NSE:""&amp;D1582,""EPS"")"),-10.11)</f>
        <v>-10.11</v>
      </c>
      <c r="Q1582" s="7">
        <v>13.5</v>
      </c>
      <c r="R1582" s="7" t="str">
        <f ca="1">IFERROR(__xludf.DUMMYFUNCTION("IMPORTXML(E1582,""/html/body/main/div[3]/div[3]/div[2]/ul/li[7]/span[2]/span"")"),"Loading...")</f>
        <v>Loading...</v>
      </c>
      <c r="S1582" s="7" t="str">
        <f ca="1">IFERROR(__xludf.DUMMYFUNCTION("IMPORTXML(E1582,""/html/body/main/div[3]/div[3]/div[2]/ul/li[8]/span[2]/span"")"),"Loading...")</f>
        <v>Loading...</v>
      </c>
      <c r="T1582" s="4">
        <v>34.6</v>
      </c>
      <c r="U1582" s="4">
        <v>22.7</v>
      </c>
      <c r="V1582" s="4">
        <v>2.6</v>
      </c>
      <c r="W1582" s="4">
        <v>5.7</v>
      </c>
      <c r="X1582" s="4">
        <v>519.92999999999995</v>
      </c>
      <c r="Y1582" s="7">
        <f t="shared" ca="1" si="34"/>
        <v>-260.02999999999997</v>
      </c>
    </row>
    <row r="1583" spans="1:25" ht="15" x14ac:dyDescent="0.25">
      <c r="A1583" s="4">
        <v>845</v>
      </c>
      <c r="C1583" s="41" t="s">
        <v>3656</v>
      </c>
      <c r="D1583" s="42"/>
      <c r="E1583" s="5" t="str">
        <f t="shared" si="30"/>
        <v>https://www.screener.in/company//consolidated/</v>
      </c>
      <c r="F1583" s="4">
        <v>443059</v>
      </c>
      <c r="G1583" s="4">
        <v>3832241897</v>
      </c>
      <c r="H1583" s="6" t="e">
        <f t="shared" ca="1" si="31"/>
        <v>#VALUE!</v>
      </c>
      <c r="I1583" s="7" t="str">
        <f ca="1">IFERROR(__xludf.DUMMYFUNCTION("IMPORTXML(E1583,""/html/body/main/div[3]/div[3]/div[2]/ul/li[5]/span[2]/span"")"),"Loading...")</f>
        <v>Loading...</v>
      </c>
      <c r="J1583" s="7" t="str">
        <f ca="1">IFERROR(__xludf.DUMMYFUNCTION("GOOGLEFINANCE(""NSE:""&amp;D1583,""marketcap"")"),"#N/A")</f>
        <v>#N/A</v>
      </c>
      <c r="K1583" s="7">
        <v>992.8</v>
      </c>
      <c r="L1583" s="8" t="str">
        <f ca="1">IFERROR(__xludf.DUMMYFUNCTION("GOOGLEFINANCE(""NSE:""&amp;D1583,""price"")"),"#N/A")</f>
        <v>#N/A</v>
      </c>
      <c r="M1583" s="9" t="e">
        <f t="shared" ca="1" si="32"/>
        <v>#VALUE!</v>
      </c>
      <c r="N1583" s="10" t="e">
        <f t="shared" ca="1" si="33"/>
        <v>#VALUE!</v>
      </c>
      <c r="O1583" s="7" t="str">
        <f ca="1">IFERROR(__xludf.DUMMYFUNCTION("GOOGLEFINANCE(""NSE:""&amp;D1583,""pe"")"),"#N/A")</f>
        <v>#N/A</v>
      </c>
      <c r="P1583" s="7" t="str">
        <f ca="1">IFERROR(__xludf.DUMMYFUNCTION("GOOGLEFINANCE(""NSE:""&amp;D1583,""EPS"")"),"#N/A")</f>
        <v>#N/A</v>
      </c>
      <c r="Q1583" s="7">
        <v>13.5</v>
      </c>
      <c r="R1583" s="7" t="str">
        <f ca="1">IFERROR(__xludf.DUMMYFUNCTION("IMPORTXML(E1583,""/html/body/main/div[3]/div[3]/div[2]/ul/li[7]/span[2]/span"")"),"Loading...")</f>
        <v>Loading...</v>
      </c>
      <c r="S1583" s="7" t="str">
        <f ca="1">IFERROR(__xludf.DUMMYFUNCTION("IMPORTXML(E1583,""/html/body/main/div[3]/div[3]/div[2]/ul/li[8]/span[2]/span"")"),"Loading...")</f>
        <v>Loading...</v>
      </c>
      <c r="T1583" s="4">
        <v>34.6</v>
      </c>
      <c r="U1583" s="4">
        <v>22.7</v>
      </c>
      <c r="V1583" s="4">
        <v>2.6</v>
      </c>
      <c r="W1583" s="4">
        <v>5.7</v>
      </c>
      <c r="X1583" s="4">
        <v>519.92999999999995</v>
      </c>
      <c r="Y1583" s="7" t="e">
        <f t="shared" ca="1" si="34"/>
        <v>#VALUE!</v>
      </c>
    </row>
    <row r="1584" spans="1:25" ht="15" x14ac:dyDescent="0.25">
      <c r="A1584" s="4">
        <v>847</v>
      </c>
      <c r="C1584" s="12" t="s">
        <v>3657</v>
      </c>
      <c r="D1584" s="12" t="s">
        <v>3658</v>
      </c>
      <c r="E1584" s="5" t="str">
        <f t="shared" si="30"/>
        <v>https://www.screener.in/company/SANGHIIND/consolidated/</v>
      </c>
      <c r="F1584" s="4">
        <v>443059</v>
      </c>
      <c r="G1584" s="4">
        <v>3832241897</v>
      </c>
      <c r="H1584" s="6">
        <f t="shared" ca="1" si="31"/>
        <v>24426.709851478001</v>
      </c>
      <c r="I1584" s="7" t="str">
        <f ca="1">IFERROR(__xludf.DUMMYFUNCTION("IMPORTXML(E1584,""/html/body/main/div[3]/div[3]/div[2]/ul/li[5]/span[2]/span"")"),"Loading...")</f>
        <v>Loading...</v>
      </c>
      <c r="J1584" s="7">
        <f ca="1">IFERROR(__xludf.DUMMYFUNCTION("GOOGLEFINANCE(""NSE:""&amp;D1584,""marketcap"")"),16584530000)</f>
        <v>16584530000</v>
      </c>
      <c r="K1584" s="7">
        <v>992.8</v>
      </c>
      <c r="L1584" s="8">
        <f ca="1">IFERROR(__xludf.DUMMYFUNCTION("GOOGLEFINANCE(""NSE:""&amp;D1584,""price"")"),63.74)</f>
        <v>63.74</v>
      </c>
      <c r="M1584" s="9">
        <f t="shared" ca="1" si="32"/>
        <v>-929.06</v>
      </c>
      <c r="N1584" s="10">
        <f t="shared" ca="1" si="33"/>
        <v>-93.579774375503618</v>
      </c>
      <c r="O1584" s="7" t="str">
        <f ca="1">IFERROR(__xludf.DUMMYFUNCTION("GOOGLEFINANCE(""NSE:""&amp;D1584,""pe"")"),"#N/A")</f>
        <v>#N/A</v>
      </c>
      <c r="P1584" s="7">
        <f ca="1">IFERROR(__xludf.DUMMYFUNCTION("GOOGLEFINANCE(""NSE:""&amp;D1584,""EPS"")"),-18.76)</f>
        <v>-18.760000000000002</v>
      </c>
      <c r="Q1584" s="7">
        <v>13.5</v>
      </c>
      <c r="R1584" s="7" t="str">
        <f ca="1">IFERROR(__xludf.DUMMYFUNCTION("IMPORTXML(E1584,""/html/body/main/div[3]/div[3]/div[2]/ul/li[7]/span[2]/span"")"),"Loading...")</f>
        <v>Loading...</v>
      </c>
      <c r="S1584" s="7" t="str">
        <f ca="1">IFERROR(__xludf.DUMMYFUNCTION("IMPORTXML(E1584,""/html/body/main/div[3]/div[3]/div[2]/ul/li[8]/span[2]/span"")"),"Loading...")</f>
        <v>Loading...</v>
      </c>
      <c r="T1584" s="4">
        <v>34.6</v>
      </c>
      <c r="U1584" s="4">
        <v>22.7</v>
      </c>
      <c r="V1584" s="4">
        <v>2.6</v>
      </c>
      <c r="W1584" s="4">
        <v>5.7</v>
      </c>
      <c r="X1584" s="4">
        <v>519.92999999999995</v>
      </c>
      <c r="Y1584" s="7">
        <f t="shared" ca="1" si="34"/>
        <v>-456.18999999999994</v>
      </c>
    </row>
    <row r="1585" spans="1:25" ht="15" x14ac:dyDescent="0.25">
      <c r="A1585" s="4">
        <v>854</v>
      </c>
      <c r="C1585" s="12" t="s">
        <v>3659</v>
      </c>
      <c r="D1585" s="12" t="s">
        <v>3660</v>
      </c>
      <c r="E1585" s="5" t="str">
        <f t="shared" si="30"/>
        <v>https://www.screener.in/company/OMAXE/consolidated/</v>
      </c>
      <c r="F1585" s="4">
        <v>443059</v>
      </c>
      <c r="G1585" s="4">
        <v>3832241897</v>
      </c>
      <c r="H1585" s="6">
        <f t="shared" ca="1" si="31"/>
        <v>33340.504503900003</v>
      </c>
      <c r="I1585" s="7" t="str">
        <f ca="1">IFERROR(__xludf.DUMMYFUNCTION("IMPORTXML(E1585,""/html/body/main/div[3]/div[3]/div[2]/ul/li[5]/span[2]/span"")"),"Loading...")</f>
        <v>Loading...</v>
      </c>
      <c r="J1585" s="7">
        <f ca="1">IFERROR(__xludf.DUMMYFUNCTION("GOOGLEFINANCE(""NSE:""&amp;D1585,""marketcap"")"),15892230000)</f>
        <v>15892230000</v>
      </c>
      <c r="K1585" s="7">
        <v>992.8</v>
      </c>
      <c r="L1585" s="8">
        <f ca="1">IFERROR(__xludf.DUMMYFUNCTION("GOOGLEFINANCE(""NSE:""&amp;D1585,""price"")"),87)</f>
        <v>87</v>
      </c>
      <c r="M1585" s="9">
        <f t="shared" ca="1" si="32"/>
        <v>-905.8</v>
      </c>
      <c r="N1585" s="10">
        <f t="shared" ca="1" si="33"/>
        <v>-91.236905721192585</v>
      </c>
      <c r="O1585" s="7" t="str">
        <f ca="1">IFERROR(__xludf.DUMMYFUNCTION("GOOGLEFINANCE(""NSE:""&amp;D1585,""pe"")"),"#N/A")</f>
        <v>#N/A</v>
      </c>
      <c r="P1585" s="7">
        <f ca="1">IFERROR(__xludf.DUMMYFUNCTION("GOOGLEFINANCE(""NSE:""&amp;D1585,""EPS"")"),-39.6)</f>
        <v>-39.6</v>
      </c>
      <c r="Q1585" s="7">
        <v>13.5</v>
      </c>
      <c r="R1585" s="7" t="str">
        <f ca="1">IFERROR(__xludf.DUMMYFUNCTION("IMPORTXML(E1585,""/html/body/main/div[3]/div[3]/div[2]/ul/li[7]/span[2]/span"")"),"Loading...")</f>
        <v>Loading...</v>
      </c>
      <c r="S1585" s="7" t="str">
        <f ca="1">IFERROR(__xludf.DUMMYFUNCTION("IMPORTXML(E1585,""/html/body/main/div[3]/div[3]/div[2]/ul/li[8]/span[2]/span"")"),"Loading...")</f>
        <v>Loading...</v>
      </c>
      <c r="T1585" s="4">
        <v>34.6</v>
      </c>
      <c r="U1585" s="4">
        <v>22.7</v>
      </c>
      <c r="V1585" s="4">
        <v>2.6</v>
      </c>
      <c r="W1585" s="4">
        <v>5.7</v>
      </c>
      <c r="X1585" s="4">
        <v>519.92999999999995</v>
      </c>
      <c r="Y1585" s="7">
        <f t="shared" ca="1" si="34"/>
        <v>-432.92999999999995</v>
      </c>
    </row>
    <row r="1586" spans="1:25" ht="15" x14ac:dyDescent="0.25">
      <c r="A1586" s="4">
        <v>858</v>
      </c>
      <c r="C1586" s="41" t="s">
        <v>3661</v>
      </c>
      <c r="D1586" s="42"/>
      <c r="E1586" s="5" t="str">
        <f t="shared" si="30"/>
        <v>https://www.screener.in/company//consolidated/</v>
      </c>
      <c r="F1586" s="4">
        <v>443059</v>
      </c>
      <c r="G1586" s="4">
        <v>3832241897</v>
      </c>
      <c r="H1586" s="6" t="e">
        <f t="shared" ca="1" si="31"/>
        <v>#VALUE!</v>
      </c>
      <c r="I1586" s="7" t="str">
        <f ca="1">IFERROR(__xludf.DUMMYFUNCTION("IMPORTXML(E1586,""/html/body/main/div[3]/div[3]/div[2]/ul/li[5]/span[2]/span"")"),"Loading...")</f>
        <v>Loading...</v>
      </c>
      <c r="J1586" s="7" t="str">
        <f ca="1">IFERROR(__xludf.DUMMYFUNCTION("GOOGLEFINANCE(""NSE:""&amp;D1586,""marketcap"")"),"#N/A")</f>
        <v>#N/A</v>
      </c>
      <c r="K1586" s="7">
        <v>992.8</v>
      </c>
      <c r="L1586" s="8" t="str">
        <f ca="1">IFERROR(__xludf.DUMMYFUNCTION("GOOGLEFINANCE(""NSE:""&amp;D1586,""price"")"),"#N/A")</f>
        <v>#N/A</v>
      </c>
      <c r="M1586" s="9" t="e">
        <f t="shared" ca="1" si="32"/>
        <v>#VALUE!</v>
      </c>
      <c r="N1586" s="10" t="e">
        <f t="shared" ca="1" si="33"/>
        <v>#VALUE!</v>
      </c>
      <c r="O1586" s="7" t="str">
        <f ca="1">IFERROR(__xludf.DUMMYFUNCTION("GOOGLEFINANCE(""NSE:""&amp;D1586,""pe"")"),"#N/A")</f>
        <v>#N/A</v>
      </c>
      <c r="P1586" s="7" t="str">
        <f ca="1">IFERROR(__xludf.DUMMYFUNCTION("GOOGLEFINANCE(""NSE:""&amp;D1586,""EPS"")"),"#N/A")</f>
        <v>#N/A</v>
      </c>
      <c r="Q1586" s="7">
        <v>13.5</v>
      </c>
      <c r="R1586" s="7" t="str">
        <f ca="1">IFERROR(__xludf.DUMMYFUNCTION("IMPORTXML(E1586,""/html/body/main/div[3]/div[3]/div[2]/ul/li[7]/span[2]/span"")"),"Loading...")</f>
        <v>Loading...</v>
      </c>
      <c r="S1586" s="7" t="str">
        <f ca="1">IFERROR(__xludf.DUMMYFUNCTION("IMPORTXML(E1586,""/html/body/main/div[3]/div[3]/div[2]/ul/li[8]/span[2]/span"")"),"Loading...")</f>
        <v>Loading...</v>
      </c>
      <c r="T1586" s="4">
        <v>34.6</v>
      </c>
      <c r="U1586" s="4">
        <v>22.7</v>
      </c>
      <c r="V1586" s="4">
        <v>2.6</v>
      </c>
      <c r="W1586" s="4">
        <v>5.7</v>
      </c>
      <c r="X1586" s="4">
        <v>519.92999999999995</v>
      </c>
      <c r="Y1586" s="7" t="e">
        <f t="shared" ca="1" si="34"/>
        <v>#VALUE!</v>
      </c>
    </row>
    <row r="1587" spans="1:25" ht="15" x14ac:dyDescent="0.25">
      <c r="A1587" s="4">
        <v>859</v>
      </c>
      <c r="C1587" s="12" t="s">
        <v>3662</v>
      </c>
      <c r="D1587" s="12" t="s">
        <v>3663</v>
      </c>
      <c r="E1587" s="5" t="str">
        <f t="shared" si="30"/>
        <v>https://www.screener.in/company/HUBTOWN/consolidated/</v>
      </c>
      <c r="F1587" s="4">
        <v>443059</v>
      </c>
      <c r="G1587" s="4">
        <v>3832241897</v>
      </c>
      <c r="H1587" s="6">
        <f t="shared" ca="1" si="31"/>
        <v>125697.5342216</v>
      </c>
      <c r="I1587" s="7" t="str">
        <f ca="1">IFERROR(__xludf.DUMMYFUNCTION("IMPORTXML(E1587,""/html/body/main/div[3]/div[3]/div[2]/ul/li[5]/span[2]/span"")"),"Loading...")</f>
        <v>Loading...</v>
      </c>
      <c r="J1587" s="7">
        <f ca="1">IFERROR(__xludf.DUMMYFUNCTION("GOOGLEFINANCE(""NSE:""&amp;D1587,""marketcap"")"),45827733600)</f>
        <v>45827733600</v>
      </c>
      <c r="K1587" s="7">
        <v>992.8</v>
      </c>
      <c r="L1587" s="8">
        <f ca="1">IFERROR(__xludf.DUMMYFUNCTION("GOOGLEFINANCE(""NSE:""&amp;D1587,""price"")"),328)</f>
        <v>328</v>
      </c>
      <c r="M1587" s="9">
        <f t="shared" ca="1" si="32"/>
        <v>-664.8</v>
      </c>
      <c r="N1587" s="10">
        <f t="shared" ca="1" si="33"/>
        <v>-66.962127316680096</v>
      </c>
      <c r="O1587" s="7">
        <f ca="1">IFERROR(__xludf.DUMMYFUNCTION("GOOGLEFINANCE(""NSE:""&amp;D1587,""pe"")"),36.33)</f>
        <v>36.33</v>
      </c>
      <c r="P1587" s="7">
        <f ca="1">IFERROR(__xludf.DUMMYFUNCTION("GOOGLEFINANCE(""NSE:""&amp;D1587,""EPS"")"),9.03)</f>
        <v>9.0299999999999994</v>
      </c>
      <c r="Q1587" s="7">
        <v>13.5</v>
      </c>
      <c r="R1587" s="7" t="str">
        <f ca="1">IFERROR(__xludf.DUMMYFUNCTION("IMPORTXML(E1587,""/html/body/main/div[3]/div[3]/div[2]/ul/li[7]/span[2]/span"")"),"Loading...")</f>
        <v>Loading...</v>
      </c>
      <c r="S1587" s="7" t="str">
        <f ca="1">IFERROR(__xludf.DUMMYFUNCTION("IMPORTXML(E1587,""/html/body/main/div[3]/div[3]/div[2]/ul/li[8]/span[2]/span"")"),"Loading...")</f>
        <v>Loading...</v>
      </c>
      <c r="T1587" s="4">
        <v>34.6</v>
      </c>
      <c r="U1587" s="4">
        <v>22.7</v>
      </c>
      <c r="V1587" s="4">
        <v>2.6</v>
      </c>
      <c r="W1587" s="4">
        <v>5.7</v>
      </c>
      <c r="X1587" s="4">
        <v>519.92999999999995</v>
      </c>
      <c r="Y1587" s="7">
        <f t="shared" ca="1" si="34"/>
        <v>-191.92999999999995</v>
      </c>
    </row>
    <row r="1588" spans="1:25" ht="15" x14ac:dyDescent="0.25">
      <c r="A1588" s="4">
        <v>864</v>
      </c>
      <c r="C1588" s="41" t="s">
        <v>3664</v>
      </c>
      <c r="D1588" s="42"/>
      <c r="E1588" s="5" t="str">
        <f t="shared" si="30"/>
        <v>https://www.screener.in/company//consolidated/</v>
      </c>
      <c r="F1588" s="4">
        <v>443059</v>
      </c>
      <c r="G1588" s="4">
        <v>3832241897</v>
      </c>
      <c r="H1588" s="6" t="e">
        <f t="shared" ca="1" si="31"/>
        <v>#VALUE!</v>
      </c>
      <c r="I1588" s="7" t="str">
        <f ca="1">IFERROR(__xludf.DUMMYFUNCTION("IMPORTXML(E1588,""/html/body/main/div[3]/div[3]/div[2]/ul/li[5]/span[2]/span"")"),"Loading...")</f>
        <v>Loading...</v>
      </c>
      <c r="J1588" s="7" t="str">
        <f ca="1">IFERROR(__xludf.DUMMYFUNCTION("GOOGLEFINANCE(""NSE:""&amp;D1588,""marketcap"")"),"#N/A")</f>
        <v>#N/A</v>
      </c>
      <c r="K1588" s="7">
        <v>992.8</v>
      </c>
      <c r="L1588" s="8" t="str">
        <f ca="1">IFERROR(__xludf.DUMMYFUNCTION("GOOGLEFINANCE(""NSE:""&amp;D1588,""price"")"),"#N/A")</f>
        <v>#N/A</v>
      </c>
      <c r="M1588" s="9" t="e">
        <f t="shared" ca="1" si="32"/>
        <v>#VALUE!</v>
      </c>
      <c r="N1588" s="10" t="e">
        <f t="shared" ca="1" si="33"/>
        <v>#VALUE!</v>
      </c>
      <c r="O1588" s="7" t="str">
        <f ca="1">IFERROR(__xludf.DUMMYFUNCTION("GOOGLEFINANCE(""NSE:""&amp;D1588,""pe"")"),"#N/A")</f>
        <v>#N/A</v>
      </c>
      <c r="P1588" s="7" t="str">
        <f ca="1">IFERROR(__xludf.DUMMYFUNCTION("GOOGLEFINANCE(""NSE:""&amp;D1588,""EPS"")"),"#N/A")</f>
        <v>#N/A</v>
      </c>
      <c r="Q1588" s="7">
        <v>13.5</v>
      </c>
      <c r="R1588" s="7" t="str">
        <f ca="1">IFERROR(__xludf.DUMMYFUNCTION("IMPORTXML(E1588,""/html/body/main/div[3]/div[3]/div[2]/ul/li[7]/span[2]/span"")"),"Loading...")</f>
        <v>Loading...</v>
      </c>
      <c r="S1588" s="7" t="str">
        <f ca="1">IFERROR(__xludf.DUMMYFUNCTION("IMPORTXML(E1588,""/html/body/main/div[3]/div[3]/div[2]/ul/li[8]/span[2]/span"")"),"Loading...")</f>
        <v>Loading...</v>
      </c>
      <c r="T1588" s="4">
        <v>34.6</v>
      </c>
      <c r="U1588" s="4">
        <v>22.7</v>
      </c>
      <c r="V1588" s="4">
        <v>2.6</v>
      </c>
      <c r="W1588" s="4">
        <v>5.7</v>
      </c>
      <c r="X1588" s="4">
        <v>519.92999999999995</v>
      </c>
      <c r="Y1588" s="7" t="e">
        <f t="shared" ca="1" si="34"/>
        <v>#VALUE!</v>
      </c>
    </row>
    <row r="1589" spans="1:25" ht="15" x14ac:dyDescent="0.25">
      <c r="A1589" s="4">
        <v>865</v>
      </c>
      <c r="C1589" s="41" t="s">
        <v>3665</v>
      </c>
      <c r="D1589" s="42"/>
      <c r="E1589" s="5" t="str">
        <f t="shared" si="30"/>
        <v>https://www.screener.in/company//consolidated/</v>
      </c>
      <c r="F1589" s="4">
        <v>443059</v>
      </c>
      <c r="G1589" s="4">
        <v>3832241897</v>
      </c>
      <c r="H1589" s="6" t="e">
        <f t="shared" ca="1" si="31"/>
        <v>#VALUE!</v>
      </c>
      <c r="I1589" s="7" t="str">
        <f ca="1">IFERROR(__xludf.DUMMYFUNCTION("IMPORTXML(E1589,""/html/body/main/div[3]/div[3]/div[2]/ul/li[5]/span[2]/span"")"),"Loading...")</f>
        <v>Loading...</v>
      </c>
      <c r="J1589" s="7" t="str">
        <f ca="1">IFERROR(__xludf.DUMMYFUNCTION("GOOGLEFINANCE(""NSE:""&amp;D1589,""marketcap"")"),"#N/A")</f>
        <v>#N/A</v>
      </c>
      <c r="K1589" s="7">
        <v>992.8</v>
      </c>
      <c r="L1589" s="8" t="str">
        <f ca="1">IFERROR(__xludf.DUMMYFUNCTION("GOOGLEFINANCE(""NSE:""&amp;D1589,""price"")"),"#N/A")</f>
        <v>#N/A</v>
      </c>
      <c r="M1589" s="9" t="e">
        <f t="shared" ca="1" si="32"/>
        <v>#VALUE!</v>
      </c>
      <c r="N1589" s="10" t="e">
        <f t="shared" ca="1" si="33"/>
        <v>#VALUE!</v>
      </c>
      <c r="O1589" s="7" t="str">
        <f ca="1">IFERROR(__xludf.DUMMYFUNCTION("GOOGLEFINANCE(""NSE:""&amp;D1589,""pe"")"),"#N/A")</f>
        <v>#N/A</v>
      </c>
      <c r="P1589" s="7" t="str">
        <f ca="1">IFERROR(__xludf.DUMMYFUNCTION("GOOGLEFINANCE(""NSE:""&amp;D1589,""EPS"")"),"#N/A")</f>
        <v>#N/A</v>
      </c>
      <c r="Q1589" s="7">
        <v>13.5</v>
      </c>
      <c r="R1589" s="7" t="str">
        <f ca="1">IFERROR(__xludf.DUMMYFUNCTION("IMPORTXML(E1589,""/html/body/main/div[3]/div[3]/div[2]/ul/li[7]/span[2]/span"")"),"Loading...")</f>
        <v>Loading...</v>
      </c>
      <c r="S1589" s="7" t="str">
        <f ca="1">IFERROR(__xludf.DUMMYFUNCTION("IMPORTXML(E1589,""/html/body/main/div[3]/div[3]/div[2]/ul/li[8]/span[2]/span"")"),"Loading...")</f>
        <v>Loading...</v>
      </c>
      <c r="T1589" s="4">
        <v>34.6</v>
      </c>
      <c r="U1589" s="4">
        <v>22.7</v>
      </c>
      <c r="V1589" s="4">
        <v>2.6</v>
      </c>
      <c r="W1589" s="4">
        <v>5.7</v>
      </c>
      <c r="X1589" s="4">
        <v>519.92999999999995</v>
      </c>
      <c r="Y1589" s="7" t="e">
        <f t="shared" ca="1" si="34"/>
        <v>#VALUE!</v>
      </c>
    </row>
    <row r="1590" spans="1:25" ht="15" x14ac:dyDescent="0.25">
      <c r="A1590" s="4">
        <v>869</v>
      </c>
      <c r="C1590" s="41" t="s">
        <v>3666</v>
      </c>
      <c r="D1590" s="42"/>
      <c r="E1590" s="5" t="str">
        <f t="shared" si="30"/>
        <v>https://www.screener.in/company//consolidated/</v>
      </c>
      <c r="F1590" s="4">
        <v>443059</v>
      </c>
      <c r="G1590" s="4">
        <v>3832241897</v>
      </c>
      <c r="H1590" s="6" t="e">
        <f t="shared" ca="1" si="31"/>
        <v>#VALUE!</v>
      </c>
      <c r="I1590" s="7" t="str">
        <f ca="1">IFERROR(__xludf.DUMMYFUNCTION("IMPORTXML(E1590,""/html/body/main/div[3]/div[3]/div[2]/ul/li[5]/span[2]/span"")"),"Loading...")</f>
        <v>Loading...</v>
      </c>
      <c r="J1590" s="7" t="str">
        <f ca="1">IFERROR(__xludf.DUMMYFUNCTION("GOOGLEFINANCE(""NSE:""&amp;D1590,""marketcap"")"),"#N/A")</f>
        <v>#N/A</v>
      </c>
      <c r="K1590" s="7">
        <v>992.8</v>
      </c>
      <c r="L1590" s="8" t="str">
        <f ca="1">IFERROR(__xludf.DUMMYFUNCTION("GOOGLEFINANCE(""NSE:""&amp;D1590,""price"")"),"#N/A")</f>
        <v>#N/A</v>
      </c>
      <c r="M1590" s="9" t="e">
        <f t="shared" ca="1" si="32"/>
        <v>#VALUE!</v>
      </c>
      <c r="N1590" s="10" t="e">
        <f t="shared" ca="1" si="33"/>
        <v>#VALUE!</v>
      </c>
      <c r="O1590" s="7" t="str">
        <f ca="1">IFERROR(__xludf.DUMMYFUNCTION("GOOGLEFINANCE(""NSE:""&amp;D1590,""pe"")"),"#N/A")</f>
        <v>#N/A</v>
      </c>
      <c r="P1590" s="7" t="str">
        <f ca="1">IFERROR(__xludf.DUMMYFUNCTION("GOOGLEFINANCE(""NSE:""&amp;D1590,""EPS"")"),"#N/A")</f>
        <v>#N/A</v>
      </c>
      <c r="Q1590" s="7">
        <v>13.5</v>
      </c>
      <c r="R1590" s="7" t="str">
        <f ca="1">IFERROR(__xludf.DUMMYFUNCTION("IMPORTXML(E1590,""/html/body/main/div[3]/div[3]/div[2]/ul/li[7]/span[2]/span"")"),"Loading...")</f>
        <v>Loading...</v>
      </c>
      <c r="S1590" s="7" t="str">
        <f ca="1">IFERROR(__xludf.DUMMYFUNCTION("IMPORTXML(E1590,""/html/body/main/div[3]/div[3]/div[2]/ul/li[8]/span[2]/span"")"),"Loading...")</f>
        <v>Loading...</v>
      </c>
      <c r="T1590" s="4">
        <v>34.6</v>
      </c>
      <c r="U1590" s="4">
        <v>22.7</v>
      </c>
      <c r="V1590" s="4">
        <v>2.6</v>
      </c>
      <c r="W1590" s="4">
        <v>5.7</v>
      </c>
      <c r="X1590" s="4">
        <v>519.92999999999995</v>
      </c>
      <c r="Y1590" s="7" t="e">
        <f t="shared" ca="1" si="34"/>
        <v>#VALUE!</v>
      </c>
    </row>
    <row r="1591" spans="1:25" ht="15" x14ac:dyDescent="0.25">
      <c r="A1591" s="4">
        <v>870</v>
      </c>
      <c r="C1591" s="41" t="s">
        <v>3667</v>
      </c>
      <c r="D1591" s="42"/>
      <c r="E1591" s="5" t="str">
        <f t="shared" si="30"/>
        <v>https://www.screener.in/company//consolidated/</v>
      </c>
      <c r="F1591" s="4">
        <v>443059</v>
      </c>
      <c r="G1591" s="4">
        <v>3832241897</v>
      </c>
      <c r="H1591" s="6" t="e">
        <f t="shared" ca="1" si="31"/>
        <v>#VALUE!</v>
      </c>
      <c r="I1591" s="7" t="str">
        <f ca="1">IFERROR(__xludf.DUMMYFUNCTION("IMPORTXML(E1591,""/html/body/main/div[3]/div[3]/div[2]/ul/li[5]/span[2]/span"")"),"Loading...")</f>
        <v>Loading...</v>
      </c>
      <c r="J1591" s="7" t="str">
        <f ca="1">IFERROR(__xludf.DUMMYFUNCTION("GOOGLEFINANCE(""NSE:""&amp;D1591,""marketcap"")"),"#N/A")</f>
        <v>#N/A</v>
      </c>
      <c r="K1591" s="7">
        <v>992.8</v>
      </c>
      <c r="L1591" s="8" t="str">
        <f ca="1">IFERROR(__xludf.DUMMYFUNCTION("GOOGLEFINANCE(""NSE:""&amp;D1591,""price"")"),"#N/A")</f>
        <v>#N/A</v>
      </c>
      <c r="M1591" s="9" t="e">
        <f t="shared" ca="1" si="32"/>
        <v>#VALUE!</v>
      </c>
      <c r="N1591" s="10" t="e">
        <f t="shared" ca="1" si="33"/>
        <v>#VALUE!</v>
      </c>
      <c r="O1591" s="7" t="str">
        <f ca="1">IFERROR(__xludf.DUMMYFUNCTION("GOOGLEFINANCE(""NSE:""&amp;D1591,""pe"")"),"#N/A")</f>
        <v>#N/A</v>
      </c>
      <c r="P1591" s="7" t="str">
        <f ca="1">IFERROR(__xludf.DUMMYFUNCTION("GOOGLEFINANCE(""NSE:""&amp;D1591,""EPS"")"),"#N/A")</f>
        <v>#N/A</v>
      </c>
      <c r="Q1591" s="7">
        <v>13.5</v>
      </c>
      <c r="R1591" s="7" t="str">
        <f ca="1">IFERROR(__xludf.DUMMYFUNCTION("IMPORTXML(E1591,""/html/body/main/div[3]/div[3]/div[2]/ul/li[7]/span[2]/span"")"),"Loading...")</f>
        <v>Loading...</v>
      </c>
      <c r="S1591" s="7" t="str">
        <f ca="1">IFERROR(__xludf.DUMMYFUNCTION("IMPORTXML(E1591,""/html/body/main/div[3]/div[3]/div[2]/ul/li[8]/span[2]/span"")"),"Loading...")</f>
        <v>Loading...</v>
      </c>
      <c r="T1591" s="4">
        <v>34.6</v>
      </c>
      <c r="U1591" s="4">
        <v>22.7</v>
      </c>
      <c r="V1591" s="4">
        <v>2.6</v>
      </c>
      <c r="W1591" s="4">
        <v>5.7</v>
      </c>
      <c r="X1591" s="4">
        <v>519.92999999999995</v>
      </c>
      <c r="Y1591" s="7" t="e">
        <f t="shared" ca="1" si="34"/>
        <v>#VALUE!</v>
      </c>
    </row>
    <row r="1592" spans="1:25" ht="15" x14ac:dyDescent="0.25">
      <c r="A1592" s="4">
        <v>873</v>
      </c>
      <c r="C1592" s="12" t="s">
        <v>3668</v>
      </c>
      <c r="D1592" s="12" t="s">
        <v>3669</v>
      </c>
      <c r="E1592" s="5" t="str">
        <f t="shared" si="30"/>
        <v>https://www.screener.in/company/KMEW/consolidated/</v>
      </c>
      <c r="F1592" s="4">
        <v>443059</v>
      </c>
      <c r="G1592" s="4">
        <v>3832241897</v>
      </c>
      <c r="H1592" s="6">
        <f t="shared" ca="1" si="31"/>
        <v>674666.18596685003</v>
      </c>
      <c r="I1592" s="7" t="str">
        <f ca="1">IFERROR(__xludf.DUMMYFUNCTION("IMPORTXML(E1592,""/html/body/main/div[3]/div[3]/div[2]/ul/li[5]/span[2]/span"")"),"Loading...")</f>
        <v>Loading...</v>
      </c>
      <c r="J1592" s="7">
        <f ca="1">IFERROR(__xludf.DUMMYFUNCTION("GOOGLEFINANCE(""NSE:""&amp;D1592,""marketcap"")"),19015160500)</f>
        <v>19015160500</v>
      </c>
      <c r="K1592" s="7">
        <v>992.8</v>
      </c>
      <c r="L1592" s="8">
        <f ca="1">IFERROR(__xludf.DUMMYFUNCTION("GOOGLEFINANCE(""NSE:""&amp;D1592,""price"")"),1760.5)</f>
        <v>1760.5</v>
      </c>
      <c r="M1592" s="9">
        <f t="shared" ca="1" si="32"/>
        <v>767.7</v>
      </c>
      <c r="N1592" s="10">
        <f t="shared" ca="1" si="33"/>
        <v>77.326752618855764</v>
      </c>
      <c r="O1592" s="7" t="str">
        <f ca="1">IFERROR(__xludf.DUMMYFUNCTION("GOOGLEFINANCE(""NSE:""&amp;D1592,""pe"")"),"#N/A")</f>
        <v>#N/A</v>
      </c>
      <c r="P1592" s="7" t="str">
        <f ca="1">IFERROR(__xludf.DUMMYFUNCTION("GOOGLEFINANCE(""NSE:""&amp;D1592,""EPS"")"),"#N/A")</f>
        <v>#N/A</v>
      </c>
      <c r="Q1592" s="7">
        <v>13.5</v>
      </c>
      <c r="R1592" s="7" t="str">
        <f ca="1">IFERROR(__xludf.DUMMYFUNCTION("IMPORTXML(E1592,""/html/body/main/div[3]/div[3]/div[2]/ul/li[7]/span[2]/span"")"),"Loading...")</f>
        <v>Loading...</v>
      </c>
      <c r="S1592" s="7" t="str">
        <f ca="1">IFERROR(__xludf.DUMMYFUNCTION("IMPORTXML(E1592,""/html/body/main/div[3]/div[3]/div[2]/ul/li[8]/span[2]/span"")"),"Loading...")</f>
        <v>Loading...</v>
      </c>
      <c r="T1592" s="4">
        <v>34.6</v>
      </c>
      <c r="U1592" s="4">
        <v>22.7</v>
      </c>
      <c r="V1592" s="4">
        <v>2.6</v>
      </c>
      <c r="W1592" s="4">
        <v>5.7</v>
      </c>
      <c r="X1592" s="4">
        <v>519.92999999999995</v>
      </c>
      <c r="Y1592" s="7">
        <f t="shared" ca="1" si="34"/>
        <v>1240.5700000000002</v>
      </c>
    </row>
    <row r="1593" spans="1:25" ht="15" x14ac:dyDescent="0.25">
      <c r="A1593" s="4">
        <v>877</v>
      </c>
      <c r="C1593" s="12" t="s">
        <v>3670</v>
      </c>
      <c r="D1593" s="12" t="s">
        <v>3671</v>
      </c>
      <c r="E1593" s="5" t="str">
        <f t="shared" si="30"/>
        <v>https://www.screener.in/company/SURAKSHA/consolidated/</v>
      </c>
      <c r="F1593" s="4">
        <v>443059</v>
      </c>
      <c r="G1593" s="4">
        <v>3832241897</v>
      </c>
      <c r="H1593" s="6">
        <f t="shared" ca="1" si="31"/>
        <v>115043.90174793999</v>
      </c>
      <c r="I1593" s="7" t="str">
        <f ca="1">IFERROR(__xludf.DUMMYFUNCTION("IMPORTXML(E1593,""/html/body/main/div[3]/div[3]/div[2]/ul/li[5]/span[2]/span"")"),"Loading...")</f>
        <v>Loading...</v>
      </c>
      <c r="J1593" s="7">
        <f ca="1">IFERROR(__xludf.DUMMYFUNCTION("GOOGLEFINANCE(""NSE:""&amp;D1593,""marketcap"")"),15686831581)</f>
        <v>15686831581</v>
      </c>
      <c r="K1593" s="7">
        <v>992.8</v>
      </c>
      <c r="L1593" s="8">
        <f ca="1">IFERROR(__xludf.DUMMYFUNCTION("GOOGLEFINANCE(""NSE:""&amp;D1593,""price"")"),300.2)</f>
        <v>300.2</v>
      </c>
      <c r="M1593" s="9">
        <f t="shared" ca="1" si="32"/>
        <v>-692.59999999999991</v>
      </c>
      <c r="N1593" s="10">
        <f t="shared" ca="1" si="33"/>
        <v>-69.762288477034645</v>
      </c>
      <c r="O1593" s="7">
        <f ca="1">IFERROR(__xludf.DUMMYFUNCTION("GOOGLEFINANCE(""NSE:""&amp;D1593,""pe"")"),47.35)</f>
        <v>47.35</v>
      </c>
      <c r="P1593" s="7">
        <f ca="1">IFERROR(__xludf.DUMMYFUNCTION("GOOGLEFINANCE(""NSE:""&amp;D1593,""EPS"")"),6.34)</f>
        <v>6.34</v>
      </c>
      <c r="Q1593" s="7">
        <v>13.5</v>
      </c>
      <c r="R1593" s="7" t="str">
        <f ca="1">IFERROR(__xludf.DUMMYFUNCTION("IMPORTXML(E1593,""/html/body/main/div[3]/div[3]/div[2]/ul/li[7]/span[2]/span"")"),"Loading...")</f>
        <v>Loading...</v>
      </c>
      <c r="S1593" s="7" t="str">
        <f ca="1">IFERROR(__xludf.DUMMYFUNCTION("IMPORTXML(E1593,""/html/body/main/div[3]/div[3]/div[2]/ul/li[8]/span[2]/span"")"),"Loading...")</f>
        <v>Loading...</v>
      </c>
      <c r="T1593" s="4">
        <v>34.6</v>
      </c>
      <c r="U1593" s="4">
        <v>22.7</v>
      </c>
      <c r="V1593" s="4">
        <v>2.6</v>
      </c>
      <c r="W1593" s="4">
        <v>5.7</v>
      </c>
      <c r="X1593" s="4">
        <v>519.92999999999995</v>
      </c>
      <c r="Y1593" s="7">
        <f t="shared" ca="1" si="34"/>
        <v>-219.72999999999996</v>
      </c>
    </row>
    <row r="1594" spans="1:25" ht="15" x14ac:dyDescent="0.25">
      <c r="A1594" s="4">
        <v>878</v>
      </c>
      <c r="C1594" s="41" t="s">
        <v>3672</v>
      </c>
      <c r="D1594" s="42"/>
      <c r="E1594" s="5" t="str">
        <f t="shared" si="30"/>
        <v>https://www.screener.in/company//consolidated/</v>
      </c>
      <c r="F1594" s="4">
        <v>443059</v>
      </c>
      <c r="G1594" s="4">
        <v>3832241897</v>
      </c>
      <c r="H1594" s="6" t="e">
        <f t="shared" ca="1" si="31"/>
        <v>#VALUE!</v>
      </c>
      <c r="I1594" s="7" t="str">
        <f ca="1">IFERROR(__xludf.DUMMYFUNCTION("IMPORTXML(E1594,""/html/body/main/div[3]/div[3]/div[2]/ul/li[5]/span[2]/span"")"),"Loading...")</f>
        <v>Loading...</v>
      </c>
      <c r="J1594" s="7" t="str">
        <f ca="1">IFERROR(__xludf.DUMMYFUNCTION("GOOGLEFINANCE(""NSE:""&amp;D1594,""marketcap"")"),"#N/A")</f>
        <v>#N/A</v>
      </c>
      <c r="K1594" s="7">
        <v>992.8</v>
      </c>
      <c r="L1594" s="8" t="str">
        <f ca="1">IFERROR(__xludf.DUMMYFUNCTION("GOOGLEFINANCE(""NSE:""&amp;D1594,""price"")"),"#N/A")</f>
        <v>#N/A</v>
      </c>
      <c r="M1594" s="9" t="e">
        <f t="shared" ca="1" si="32"/>
        <v>#VALUE!</v>
      </c>
      <c r="N1594" s="10" t="e">
        <f t="shared" ca="1" si="33"/>
        <v>#VALUE!</v>
      </c>
      <c r="O1594" s="7" t="str">
        <f ca="1">IFERROR(__xludf.DUMMYFUNCTION("GOOGLEFINANCE(""NSE:""&amp;D1594,""pe"")"),"#N/A")</f>
        <v>#N/A</v>
      </c>
      <c r="P1594" s="7" t="str">
        <f ca="1">IFERROR(__xludf.DUMMYFUNCTION("GOOGLEFINANCE(""NSE:""&amp;D1594,""EPS"")"),"#N/A")</f>
        <v>#N/A</v>
      </c>
      <c r="Q1594" s="7">
        <v>13.5</v>
      </c>
      <c r="R1594" s="7" t="str">
        <f ca="1">IFERROR(__xludf.DUMMYFUNCTION("IMPORTXML(E1594,""/html/body/main/div[3]/div[3]/div[2]/ul/li[7]/span[2]/span"")"),"Loading...")</f>
        <v>Loading...</v>
      </c>
      <c r="S1594" s="7" t="str">
        <f ca="1">IFERROR(__xludf.DUMMYFUNCTION("IMPORTXML(E1594,""/html/body/main/div[3]/div[3]/div[2]/ul/li[8]/span[2]/span"")"),"Loading...")</f>
        <v>Loading...</v>
      </c>
      <c r="T1594" s="4">
        <v>34.6</v>
      </c>
      <c r="U1594" s="4">
        <v>22.7</v>
      </c>
      <c r="V1594" s="4">
        <v>2.6</v>
      </c>
      <c r="W1594" s="4">
        <v>5.7</v>
      </c>
      <c r="X1594" s="4">
        <v>519.92999999999995</v>
      </c>
      <c r="Y1594" s="7" t="e">
        <f t="shared" ca="1" si="34"/>
        <v>#VALUE!</v>
      </c>
    </row>
    <row r="1595" spans="1:25" ht="15" x14ac:dyDescent="0.25">
      <c r="A1595" s="4">
        <v>881</v>
      </c>
      <c r="C1595" s="12" t="s">
        <v>3673</v>
      </c>
      <c r="D1595" s="12" t="s">
        <v>3674</v>
      </c>
      <c r="E1595" s="5" t="str">
        <f t="shared" si="30"/>
        <v>https://www.screener.in/company/NAVKARCORP/consolidated/</v>
      </c>
      <c r="F1595" s="4">
        <v>443059</v>
      </c>
      <c r="G1595" s="4">
        <v>3832241897</v>
      </c>
      <c r="H1595" s="6">
        <f t="shared" ca="1" si="31"/>
        <v>44561.308778316001</v>
      </c>
      <c r="I1595" s="7" t="str">
        <f ca="1">IFERROR(__xludf.DUMMYFUNCTION("IMPORTXML(E1595,""/html/body/main/div[3]/div[3]/div[2]/ul/li[5]/span[2]/span"")"),"Loading...")</f>
        <v>Loading...</v>
      </c>
      <c r="J1595" s="7">
        <f ca="1">IFERROR(__xludf.DUMMYFUNCTION("GOOGLEFINANCE(""NSE:""&amp;D1595,""marketcap"")"),17406040000)</f>
        <v>17406040000</v>
      </c>
      <c r="K1595" s="7">
        <v>992.8</v>
      </c>
      <c r="L1595" s="8">
        <f ca="1">IFERROR(__xludf.DUMMYFUNCTION("GOOGLEFINANCE(""NSE:""&amp;D1595,""price"")"),116.28)</f>
        <v>116.28</v>
      </c>
      <c r="M1595" s="9">
        <f t="shared" ca="1" si="32"/>
        <v>-876.52</v>
      </c>
      <c r="N1595" s="10">
        <f t="shared" ca="1" si="33"/>
        <v>-88.287671232876718</v>
      </c>
      <c r="O1595" s="7" t="str">
        <f ca="1">IFERROR(__xludf.DUMMYFUNCTION("GOOGLEFINANCE(""NSE:""&amp;D1595,""pe"")"),"#N/A")</f>
        <v>#N/A</v>
      </c>
      <c r="P1595" s="7">
        <f ca="1">IFERROR(__xludf.DUMMYFUNCTION("GOOGLEFINANCE(""NSE:""&amp;D1595,""EPS"")"),-1.98)</f>
        <v>-1.98</v>
      </c>
      <c r="Q1595" s="7">
        <v>13.5</v>
      </c>
      <c r="R1595" s="7" t="str">
        <f ca="1">IFERROR(__xludf.DUMMYFUNCTION("IMPORTXML(E1595,""/html/body/main/div[3]/div[3]/div[2]/ul/li[7]/span[2]/span"")"),"Loading...")</f>
        <v>Loading...</v>
      </c>
      <c r="S1595" s="7" t="str">
        <f ca="1">IFERROR(__xludf.DUMMYFUNCTION("IMPORTXML(E1595,""/html/body/main/div[3]/div[3]/div[2]/ul/li[8]/span[2]/span"")"),"Loading...")</f>
        <v>Loading...</v>
      </c>
      <c r="T1595" s="4">
        <v>34.6</v>
      </c>
      <c r="U1595" s="4">
        <v>22.7</v>
      </c>
      <c r="V1595" s="4">
        <v>2.6</v>
      </c>
      <c r="W1595" s="4">
        <v>5.7</v>
      </c>
      <c r="X1595" s="4">
        <v>519.92999999999995</v>
      </c>
      <c r="Y1595" s="7">
        <f t="shared" ca="1" si="34"/>
        <v>-403.65</v>
      </c>
    </row>
    <row r="1596" spans="1:25" ht="15" x14ac:dyDescent="0.25">
      <c r="A1596" s="4">
        <v>882</v>
      </c>
      <c r="C1596" s="12" t="s">
        <v>3675</v>
      </c>
      <c r="D1596" s="12" t="s">
        <v>3676</v>
      </c>
      <c r="E1596" s="5" t="str">
        <f t="shared" si="30"/>
        <v>https://www.screener.in/company/HIL/consolidated/</v>
      </c>
      <c r="F1596" s="4">
        <v>443059</v>
      </c>
      <c r="G1596" s="4">
        <v>3832241897</v>
      </c>
      <c r="H1596" s="6" t="e">
        <f t="shared" ca="1" si="31"/>
        <v>#VALUE!</v>
      </c>
      <c r="I1596" s="7" t="str">
        <f ca="1">IFERROR(__xludf.DUMMYFUNCTION("IMPORTXML(E1596,""/html/body/main/div[3]/div[3]/div[2]/ul/li[5]/span[2]/span"")"),"Loading...")</f>
        <v>Loading...</v>
      </c>
      <c r="J1596" s="7" t="str">
        <f ca="1">IFERROR(__xludf.DUMMYFUNCTION("GOOGLEFINANCE(""NSE:""&amp;D1596,""marketcap"")"),"#N/A")</f>
        <v>#N/A</v>
      </c>
      <c r="K1596" s="7">
        <v>992.8</v>
      </c>
      <c r="L1596" s="8" t="str">
        <f ca="1">IFERROR(__xludf.DUMMYFUNCTION("GOOGLEFINANCE(""NSE:""&amp;D1596,""price"")"),"#N/A")</f>
        <v>#N/A</v>
      </c>
      <c r="M1596" s="9" t="e">
        <f t="shared" ca="1" si="32"/>
        <v>#VALUE!</v>
      </c>
      <c r="N1596" s="10" t="e">
        <f t="shared" ca="1" si="33"/>
        <v>#VALUE!</v>
      </c>
      <c r="O1596" s="7" t="str">
        <f ca="1">IFERROR(__xludf.DUMMYFUNCTION("GOOGLEFINANCE(""NSE:""&amp;D1596,""pe"")"),"#N/A")</f>
        <v>#N/A</v>
      </c>
      <c r="P1596" s="7" t="str">
        <f ca="1">IFERROR(__xludf.DUMMYFUNCTION("GOOGLEFINANCE(""NSE:""&amp;D1596,""EPS"")"),"#N/A")</f>
        <v>#N/A</v>
      </c>
      <c r="Q1596" s="7">
        <v>13.5</v>
      </c>
      <c r="R1596" s="7" t="str">
        <f ca="1">IFERROR(__xludf.DUMMYFUNCTION("IMPORTXML(E1596,""/html/body/main/div[3]/div[3]/div[2]/ul/li[7]/span[2]/span"")"),"Loading...")</f>
        <v>Loading...</v>
      </c>
      <c r="S1596" s="7" t="str">
        <f ca="1">IFERROR(__xludf.DUMMYFUNCTION("IMPORTXML(E1596,""/html/body/main/div[3]/div[3]/div[2]/ul/li[8]/span[2]/span"")"),"Loading...")</f>
        <v>Loading...</v>
      </c>
      <c r="T1596" s="4">
        <v>34.6</v>
      </c>
      <c r="U1596" s="4">
        <v>22.7</v>
      </c>
      <c r="V1596" s="4">
        <v>2.6</v>
      </c>
      <c r="W1596" s="4">
        <v>5.7</v>
      </c>
      <c r="X1596" s="4">
        <v>519.92999999999995</v>
      </c>
      <c r="Y1596" s="7" t="e">
        <f t="shared" ca="1" si="34"/>
        <v>#VALUE!</v>
      </c>
    </row>
    <row r="1597" spans="1:25" ht="15" x14ac:dyDescent="0.25">
      <c r="A1597" s="4">
        <v>883</v>
      </c>
      <c r="C1597" s="41" t="s">
        <v>3677</v>
      </c>
      <c r="D1597" s="42"/>
      <c r="E1597" s="5" t="str">
        <f t="shared" si="30"/>
        <v>https://www.screener.in/company//consolidated/</v>
      </c>
      <c r="F1597" s="4">
        <v>443059</v>
      </c>
      <c r="G1597" s="4">
        <v>3832241897</v>
      </c>
      <c r="H1597" s="6" t="e">
        <f t="shared" ca="1" si="31"/>
        <v>#VALUE!</v>
      </c>
      <c r="I1597" s="7" t="str">
        <f ca="1">IFERROR(__xludf.DUMMYFUNCTION("IMPORTXML(E1597,""/html/body/main/div[3]/div[3]/div[2]/ul/li[5]/span[2]/span"")"),"Loading...")</f>
        <v>Loading...</v>
      </c>
      <c r="J1597" s="7" t="str">
        <f ca="1">IFERROR(__xludf.DUMMYFUNCTION("GOOGLEFINANCE(""NSE:""&amp;D1597,""marketcap"")"),"#N/A")</f>
        <v>#N/A</v>
      </c>
      <c r="K1597" s="7">
        <v>992.8</v>
      </c>
      <c r="L1597" s="8" t="str">
        <f ca="1">IFERROR(__xludf.DUMMYFUNCTION("GOOGLEFINANCE(""NSE:""&amp;D1597,""price"")"),"#N/A")</f>
        <v>#N/A</v>
      </c>
      <c r="M1597" s="9" t="e">
        <f t="shared" ca="1" si="32"/>
        <v>#VALUE!</v>
      </c>
      <c r="N1597" s="10" t="e">
        <f t="shared" ca="1" si="33"/>
        <v>#VALUE!</v>
      </c>
      <c r="O1597" s="7" t="str">
        <f ca="1">IFERROR(__xludf.DUMMYFUNCTION("GOOGLEFINANCE(""NSE:""&amp;D1597,""pe"")"),"#N/A")</f>
        <v>#N/A</v>
      </c>
      <c r="P1597" s="7" t="str">
        <f ca="1">IFERROR(__xludf.DUMMYFUNCTION("GOOGLEFINANCE(""NSE:""&amp;D1597,""EPS"")"),"#N/A")</f>
        <v>#N/A</v>
      </c>
      <c r="Q1597" s="7">
        <v>13.5</v>
      </c>
      <c r="R1597" s="7" t="str">
        <f ca="1">IFERROR(__xludf.DUMMYFUNCTION("IMPORTXML(E1597,""/html/body/main/div[3]/div[3]/div[2]/ul/li[7]/span[2]/span"")"),"Loading...")</f>
        <v>Loading...</v>
      </c>
      <c r="S1597" s="7" t="str">
        <f ca="1">IFERROR(__xludf.DUMMYFUNCTION("IMPORTXML(E1597,""/html/body/main/div[3]/div[3]/div[2]/ul/li[8]/span[2]/span"")"),"Loading...")</f>
        <v>Loading...</v>
      </c>
      <c r="T1597" s="4">
        <v>34.6</v>
      </c>
      <c r="U1597" s="4">
        <v>22.7</v>
      </c>
      <c r="V1597" s="4">
        <v>2.6</v>
      </c>
      <c r="W1597" s="4">
        <v>5.7</v>
      </c>
      <c r="X1597" s="4">
        <v>519.92999999999995</v>
      </c>
      <c r="Y1597" s="7" t="e">
        <f t="shared" ca="1" si="34"/>
        <v>#VALUE!</v>
      </c>
    </row>
    <row r="1598" spans="1:25" ht="15" x14ac:dyDescent="0.25">
      <c r="A1598" s="4">
        <v>889</v>
      </c>
      <c r="C1598" s="41" t="s">
        <v>3678</v>
      </c>
      <c r="D1598" s="42"/>
      <c r="E1598" s="5" t="str">
        <f t="shared" si="30"/>
        <v>https://www.screener.in/company//consolidated/</v>
      </c>
      <c r="F1598" s="4">
        <v>443059</v>
      </c>
      <c r="G1598" s="4">
        <v>3832241897</v>
      </c>
      <c r="H1598" s="6" t="e">
        <f t="shared" ca="1" si="31"/>
        <v>#VALUE!</v>
      </c>
      <c r="I1598" s="7" t="str">
        <f ca="1">IFERROR(__xludf.DUMMYFUNCTION("IMPORTXML(E1598,""/html/body/main/div[3]/div[3]/div[2]/ul/li[5]/span[2]/span"")"),"Loading...")</f>
        <v>Loading...</v>
      </c>
      <c r="J1598" s="7" t="str">
        <f ca="1">IFERROR(__xludf.DUMMYFUNCTION("GOOGLEFINANCE(""NSE:""&amp;D1598,""marketcap"")"),"#N/A")</f>
        <v>#N/A</v>
      </c>
      <c r="K1598" s="7">
        <v>992.8</v>
      </c>
      <c r="L1598" s="8" t="str">
        <f ca="1">IFERROR(__xludf.DUMMYFUNCTION("GOOGLEFINANCE(""NSE:""&amp;D1598,""price"")"),"#N/A")</f>
        <v>#N/A</v>
      </c>
      <c r="M1598" s="9" t="e">
        <f t="shared" ca="1" si="32"/>
        <v>#VALUE!</v>
      </c>
      <c r="N1598" s="10" t="e">
        <f t="shared" ca="1" si="33"/>
        <v>#VALUE!</v>
      </c>
      <c r="O1598" s="7" t="str">
        <f ca="1">IFERROR(__xludf.DUMMYFUNCTION("GOOGLEFINANCE(""NSE:""&amp;D1598,""pe"")"),"#N/A")</f>
        <v>#N/A</v>
      </c>
      <c r="P1598" s="7" t="str">
        <f ca="1">IFERROR(__xludf.DUMMYFUNCTION("GOOGLEFINANCE(""NSE:""&amp;D1598,""EPS"")"),"#N/A")</f>
        <v>#N/A</v>
      </c>
      <c r="Q1598" s="7">
        <v>13.5</v>
      </c>
      <c r="R1598" s="7" t="str">
        <f ca="1">IFERROR(__xludf.DUMMYFUNCTION("IMPORTXML(E1598,""/html/body/main/div[3]/div[3]/div[2]/ul/li[7]/span[2]/span"")"),"Loading...")</f>
        <v>Loading...</v>
      </c>
      <c r="S1598" s="7" t="str">
        <f ca="1">IFERROR(__xludf.DUMMYFUNCTION("IMPORTXML(E1598,""/html/body/main/div[3]/div[3]/div[2]/ul/li[8]/span[2]/span"")"),"Loading...")</f>
        <v>Loading...</v>
      </c>
      <c r="T1598" s="4">
        <v>34.6</v>
      </c>
      <c r="U1598" s="4">
        <v>22.7</v>
      </c>
      <c r="V1598" s="4">
        <v>2.6</v>
      </c>
      <c r="W1598" s="4">
        <v>5.7</v>
      </c>
      <c r="X1598" s="4">
        <v>519.92999999999995</v>
      </c>
      <c r="Y1598" s="7" t="e">
        <f t="shared" ca="1" si="34"/>
        <v>#VALUE!</v>
      </c>
    </row>
    <row r="1599" spans="1:25" ht="15" x14ac:dyDescent="0.25">
      <c r="A1599" s="4">
        <v>890</v>
      </c>
      <c r="C1599" s="12" t="s">
        <v>3679</v>
      </c>
      <c r="D1599" s="12" t="s">
        <v>3680</v>
      </c>
      <c r="E1599" s="5" t="str">
        <f t="shared" si="30"/>
        <v>https://www.screener.in/company/IFGLEXPOR/consolidated/</v>
      </c>
      <c r="F1599" s="4">
        <v>443059</v>
      </c>
      <c r="G1599" s="4">
        <v>3832241897</v>
      </c>
      <c r="H1599" s="6">
        <f t="shared" ca="1" si="31"/>
        <v>91594.413580196997</v>
      </c>
      <c r="I1599" s="7" t="str">
        <f ca="1">IFERROR(__xludf.DUMMYFUNCTION("IMPORTXML(E1599,""/html/body/main/div[3]/div[3]/div[2]/ul/li[5]/span[2]/span"")"),"Loading...")</f>
        <v>Loading...</v>
      </c>
      <c r="J1599" s="7">
        <f ca="1">IFERROR(__xludf.DUMMYFUNCTION("GOOGLEFINANCE(""NSE:""&amp;D1599,""marketcap"")"),17290220000)</f>
        <v>17290220000</v>
      </c>
      <c r="K1599" s="7">
        <v>992.8</v>
      </c>
      <c r="L1599" s="8">
        <f ca="1">IFERROR(__xludf.DUMMYFUNCTION("GOOGLEFINANCE(""NSE:""&amp;D1599,""price"")"),239.01)</f>
        <v>239.01</v>
      </c>
      <c r="M1599" s="9">
        <f t="shared" ca="1" si="32"/>
        <v>-753.79</v>
      </c>
      <c r="N1599" s="10">
        <f t="shared" ca="1" si="33"/>
        <v>-75.925664786462534</v>
      </c>
      <c r="O1599" s="7">
        <f ca="1">IFERROR(__xludf.DUMMYFUNCTION("GOOGLEFINANCE(""NSE:""&amp;D1599,""pe"")"),59.12)</f>
        <v>59.12</v>
      </c>
      <c r="P1599" s="7">
        <f ca="1">IFERROR(__xludf.DUMMYFUNCTION("GOOGLEFINANCE(""NSE:""&amp;D1599,""EPS"")"),4.04)</f>
        <v>4.04</v>
      </c>
      <c r="Q1599" s="7">
        <v>13.5</v>
      </c>
      <c r="R1599" s="7" t="str">
        <f ca="1">IFERROR(__xludf.DUMMYFUNCTION("IMPORTXML(E1599,""/html/body/main/div[3]/div[3]/div[2]/ul/li[7]/span[2]/span"")"),"Loading...")</f>
        <v>Loading...</v>
      </c>
      <c r="S1599" s="7" t="str">
        <f ca="1">IFERROR(__xludf.DUMMYFUNCTION("IMPORTXML(E1599,""/html/body/main/div[3]/div[3]/div[2]/ul/li[8]/span[2]/span"")"),"Loading...")</f>
        <v>Loading...</v>
      </c>
      <c r="T1599" s="4">
        <v>34.6</v>
      </c>
      <c r="U1599" s="4">
        <v>22.7</v>
      </c>
      <c r="V1599" s="4">
        <v>2.6</v>
      </c>
      <c r="W1599" s="4">
        <v>5.7</v>
      </c>
      <c r="X1599" s="4">
        <v>519.92999999999995</v>
      </c>
      <c r="Y1599" s="7">
        <f t="shared" ca="1" si="34"/>
        <v>-280.91999999999996</v>
      </c>
    </row>
    <row r="1600" spans="1:25" ht="15" x14ac:dyDescent="0.25">
      <c r="A1600" s="4">
        <v>900</v>
      </c>
      <c r="C1600" s="12" t="s">
        <v>3681</v>
      </c>
      <c r="D1600" s="12" t="s">
        <v>3682</v>
      </c>
      <c r="E1600" s="5" t="str">
        <f t="shared" si="30"/>
        <v>https://www.screener.in/company/VERANDA/consolidated/</v>
      </c>
      <c r="F1600" s="4">
        <v>443059</v>
      </c>
      <c r="G1600" s="4">
        <v>3832241897</v>
      </c>
      <c r="H1600" s="6">
        <f t="shared" ca="1" si="31"/>
        <v>88428.981773274994</v>
      </c>
      <c r="I1600" s="7" t="str">
        <f ca="1">IFERROR(__xludf.DUMMYFUNCTION("IMPORTXML(E1600,""/html/body/main/div[3]/div[3]/div[2]/ul/li[5]/span[2]/span"")"),"Loading...")</f>
        <v>Loading...</v>
      </c>
      <c r="J1600" s="7">
        <f ca="1">IFERROR(__xludf.DUMMYFUNCTION("GOOGLEFINANCE(""NSE:""&amp;D1600,""marketcap"")"),21598716880)</f>
        <v>21598716880</v>
      </c>
      <c r="K1600" s="7">
        <v>992.8</v>
      </c>
      <c r="L1600" s="8">
        <f ca="1">IFERROR(__xludf.DUMMYFUNCTION("GOOGLEFINANCE(""NSE:""&amp;D1600,""price"")"),230.75)</f>
        <v>230.75</v>
      </c>
      <c r="M1600" s="9">
        <f t="shared" ca="1" si="32"/>
        <v>-762.05</v>
      </c>
      <c r="N1600" s="10">
        <f t="shared" ca="1" si="33"/>
        <v>-76.757655116841264</v>
      </c>
      <c r="O1600" s="7" t="str">
        <f ca="1">IFERROR(__xludf.DUMMYFUNCTION("GOOGLEFINANCE(""NSE:""&amp;D1600,""pe"")"),"#N/A")</f>
        <v>#N/A</v>
      </c>
      <c r="P1600" s="7">
        <f ca="1">IFERROR(__xludf.DUMMYFUNCTION("GOOGLEFINANCE(""NSE:""&amp;D1600,""EPS"")"),-31)</f>
        <v>-31</v>
      </c>
      <c r="Q1600" s="7">
        <v>13.5</v>
      </c>
      <c r="R1600" s="7" t="str">
        <f ca="1">IFERROR(__xludf.DUMMYFUNCTION("IMPORTXML(E1600,""/html/body/main/div[3]/div[3]/div[2]/ul/li[7]/span[2]/span"")"),"Loading...")</f>
        <v>Loading...</v>
      </c>
      <c r="S1600" s="7" t="str">
        <f ca="1">IFERROR(__xludf.DUMMYFUNCTION("IMPORTXML(E1600,""/html/body/main/div[3]/div[3]/div[2]/ul/li[8]/span[2]/span"")"),"Loading...")</f>
        <v>Loading...</v>
      </c>
      <c r="T1600" s="4">
        <v>34.6</v>
      </c>
      <c r="U1600" s="4">
        <v>22.7</v>
      </c>
      <c r="V1600" s="4">
        <v>2.6</v>
      </c>
      <c r="W1600" s="4">
        <v>5.7</v>
      </c>
      <c r="X1600" s="4">
        <v>519.92999999999995</v>
      </c>
      <c r="Y1600" s="7">
        <f t="shared" ca="1" si="34"/>
        <v>-289.17999999999995</v>
      </c>
    </row>
    <row r="1601" spans="1:25" ht="15" x14ac:dyDescent="0.25">
      <c r="A1601" s="4">
        <v>902</v>
      </c>
      <c r="C1601" s="41" t="s">
        <v>3683</v>
      </c>
      <c r="D1601" s="42"/>
      <c r="E1601" s="5" t="str">
        <f t="shared" si="30"/>
        <v>https://www.screener.in/company//consolidated/</v>
      </c>
      <c r="F1601" s="4">
        <v>443059</v>
      </c>
      <c r="G1601" s="4">
        <v>3832241897</v>
      </c>
      <c r="H1601" s="6" t="e">
        <f t="shared" ca="1" si="31"/>
        <v>#VALUE!</v>
      </c>
      <c r="I1601" s="7" t="str">
        <f ca="1">IFERROR(__xludf.DUMMYFUNCTION("IMPORTXML(E1601,""/html/body/main/div[3]/div[3]/div[2]/ul/li[5]/span[2]/span"")"),"Loading...")</f>
        <v>Loading...</v>
      </c>
      <c r="J1601" s="7" t="str">
        <f ca="1">IFERROR(__xludf.DUMMYFUNCTION("GOOGLEFINANCE(""NSE:""&amp;D1601,""marketcap"")"),"#N/A")</f>
        <v>#N/A</v>
      </c>
      <c r="K1601" s="7">
        <v>992.8</v>
      </c>
      <c r="L1601" s="8" t="str">
        <f ca="1">IFERROR(__xludf.DUMMYFUNCTION("GOOGLEFINANCE(""NSE:""&amp;D1601,""price"")"),"#N/A")</f>
        <v>#N/A</v>
      </c>
      <c r="M1601" s="9" t="e">
        <f t="shared" ca="1" si="32"/>
        <v>#VALUE!</v>
      </c>
      <c r="N1601" s="10" t="e">
        <f t="shared" ca="1" si="33"/>
        <v>#VALUE!</v>
      </c>
      <c r="O1601" s="7" t="str">
        <f ca="1">IFERROR(__xludf.DUMMYFUNCTION("GOOGLEFINANCE(""NSE:""&amp;D1601,""pe"")"),"#N/A")</f>
        <v>#N/A</v>
      </c>
      <c r="P1601" s="7" t="str">
        <f ca="1">IFERROR(__xludf.DUMMYFUNCTION("GOOGLEFINANCE(""NSE:""&amp;D1601,""EPS"")"),"#N/A")</f>
        <v>#N/A</v>
      </c>
      <c r="Q1601" s="7">
        <v>13.5</v>
      </c>
      <c r="R1601" s="7" t="str">
        <f ca="1">IFERROR(__xludf.DUMMYFUNCTION("IMPORTXML(E1601,""/html/body/main/div[3]/div[3]/div[2]/ul/li[7]/span[2]/span"")"),"Loading...")</f>
        <v>Loading...</v>
      </c>
      <c r="S1601" s="7" t="str">
        <f ca="1">IFERROR(__xludf.DUMMYFUNCTION("IMPORTXML(E1601,""/html/body/main/div[3]/div[3]/div[2]/ul/li[8]/span[2]/span"")"),"Loading...")</f>
        <v>Loading...</v>
      </c>
      <c r="T1601" s="4">
        <v>34.6</v>
      </c>
      <c r="U1601" s="4">
        <v>22.7</v>
      </c>
      <c r="V1601" s="4">
        <v>2.6</v>
      </c>
      <c r="W1601" s="4">
        <v>5.7</v>
      </c>
      <c r="X1601" s="4">
        <v>519.92999999999995</v>
      </c>
      <c r="Y1601" s="7" t="e">
        <f t="shared" ca="1" si="34"/>
        <v>#VALUE!</v>
      </c>
    </row>
    <row r="1602" spans="1:25" ht="15" x14ac:dyDescent="0.25">
      <c r="A1602" s="4">
        <v>904</v>
      </c>
      <c r="C1602" s="41" t="s">
        <v>3684</v>
      </c>
      <c r="D1602" s="42"/>
      <c r="E1602" s="5" t="str">
        <f t="shared" si="30"/>
        <v>https://www.screener.in/company//consolidated/</v>
      </c>
      <c r="F1602" s="4">
        <v>443059</v>
      </c>
      <c r="G1602" s="4">
        <v>3832241897</v>
      </c>
      <c r="H1602" s="6" t="e">
        <f t="shared" ca="1" si="31"/>
        <v>#VALUE!</v>
      </c>
      <c r="I1602" s="7" t="str">
        <f ca="1">IFERROR(__xludf.DUMMYFUNCTION("IMPORTXML(E1602,""/html/body/main/div[3]/div[3]/div[2]/ul/li[5]/span[2]/span"")"),"Loading...")</f>
        <v>Loading...</v>
      </c>
      <c r="J1602" s="7" t="str">
        <f ca="1">IFERROR(__xludf.DUMMYFUNCTION("GOOGLEFINANCE(""NSE:""&amp;D1602,""marketcap"")"),"#N/A")</f>
        <v>#N/A</v>
      </c>
      <c r="K1602" s="7">
        <v>992.8</v>
      </c>
      <c r="L1602" s="8" t="str">
        <f ca="1">IFERROR(__xludf.DUMMYFUNCTION("GOOGLEFINANCE(""NSE:""&amp;D1602,""price"")"),"#N/A")</f>
        <v>#N/A</v>
      </c>
      <c r="M1602" s="9" t="e">
        <f t="shared" ca="1" si="32"/>
        <v>#VALUE!</v>
      </c>
      <c r="N1602" s="10" t="e">
        <f t="shared" ca="1" si="33"/>
        <v>#VALUE!</v>
      </c>
      <c r="O1602" s="7" t="str">
        <f ca="1">IFERROR(__xludf.DUMMYFUNCTION("GOOGLEFINANCE(""NSE:""&amp;D1602,""pe"")"),"#N/A")</f>
        <v>#N/A</v>
      </c>
      <c r="P1602" s="7" t="str">
        <f ca="1">IFERROR(__xludf.DUMMYFUNCTION("GOOGLEFINANCE(""NSE:""&amp;D1602,""EPS"")"),"#N/A")</f>
        <v>#N/A</v>
      </c>
      <c r="Q1602" s="7">
        <v>13.5</v>
      </c>
      <c r="R1602" s="7" t="str">
        <f ca="1">IFERROR(__xludf.DUMMYFUNCTION("IMPORTXML(E1602,""/html/body/main/div[3]/div[3]/div[2]/ul/li[7]/span[2]/span"")"),"Loading...")</f>
        <v>Loading...</v>
      </c>
      <c r="S1602" s="7" t="str">
        <f ca="1">IFERROR(__xludf.DUMMYFUNCTION("IMPORTXML(E1602,""/html/body/main/div[3]/div[3]/div[2]/ul/li[8]/span[2]/span"")"),"Loading...")</f>
        <v>Loading...</v>
      </c>
      <c r="T1602" s="4">
        <v>34.6</v>
      </c>
      <c r="U1602" s="4">
        <v>22.7</v>
      </c>
      <c r="V1602" s="4">
        <v>2.6</v>
      </c>
      <c r="W1602" s="4">
        <v>5.7</v>
      </c>
      <c r="X1602" s="4">
        <v>519.92999999999995</v>
      </c>
      <c r="Y1602" s="7" t="e">
        <f t="shared" ca="1" si="34"/>
        <v>#VALUE!</v>
      </c>
    </row>
    <row r="1603" spans="1:25" ht="15" x14ac:dyDescent="0.25">
      <c r="A1603" s="4">
        <v>907</v>
      </c>
      <c r="C1603" s="41" t="s">
        <v>3685</v>
      </c>
      <c r="D1603" s="42"/>
      <c r="E1603" s="5" t="str">
        <f t="shared" si="30"/>
        <v>https://www.screener.in/company//consolidated/</v>
      </c>
      <c r="F1603" s="4">
        <v>443059</v>
      </c>
      <c r="G1603" s="4">
        <v>3832241897</v>
      </c>
      <c r="H1603" s="6" t="e">
        <f t="shared" ca="1" si="31"/>
        <v>#VALUE!</v>
      </c>
      <c r="I1603" s="7" t="str">
        <f ca="1">IFERROR(__xludf.DUMMYFUNCTION("IMPORTXML(E1603,""/html/body/main/div[3]/div[3]/div[2]/ul/li[5]/span[2]/span"")"),"Loading...")</f>
        <v>Loading...</v>
      </c>
      <c r="J1603" s="7" t="str">
        <f ca="1">IFERROR(__xludf.DUMMYFUNCTION("GOOGLEFINANCE(""NSE:""&amp;D1603,""marketcap"")"),"#N/A")</f>
        <v>#N/A</v>
      </c>
      <c r="K1603" s="7">
        <v>992.8</v>
      </c>
      <c r="L1603" s="8" t="str">
        <f ca="1">IFERROR(__xludf.DUMMYFUNCTION("GOOGLEFINANCE(""NSE:""&amp;D1603,""price"")"),"#N/A")</f>
        <v>#N/A</v>
      </c>
      <c r="M1603" s="9" t="e">
        <f t="shared" ca="1" si="32"/>
        <v>#VALUE!</v>
      </c>
      <c r="N1603" s="10" t="e">
        <f t="shared" ca="1" si="33"/>
        <v>#VALUE!</v>
      </c>
      <c r="O1603" s="7" t="str">
        <f ca="1">IFERROR(__xludf.DUMMYFUNCTION("GOOGLEFINANCE(""NSE:""&amp;D1603,""pe"")"),"#N/A")</f>
        <v>#N/A</v>
      </c>
      <c r="P1603" s="7" t="str">
        <f ca="1">IFERROR(__xludf.DUMMYFUNCTION("GOOGLEFINANCE(""NSE:""&amp;D1603,""EPS"")"),"#N/A")</f>
        <v>#N/A</v>
      </c>
      <c r="Q1603" s="7">
        <v>13.5</v>
      </c>
      <c r="R1603" s="7" t="str">
        <f ca="1">IFERROR(__xludf.DUMMYFUNCTION("IMPORTXML(E1603,""/html/body/main/div[3]/div[3]/div[2]/ul/li[7]/span[2]/span"")"),"Loading...")</f>
        <v>Loading...</v>
      </c>
      <c r="S1603" s="7" t="str">
        <f ca="1">IFERROR(__xludf.DUMMYFUNCTION("IMPORTXML(E1603,""/html/body/main/div[3]/div[3]/div[2]/ul/li[8]/span[2]/span"")"),"Loading...")</f>
        <v>Loading...</v>
      </c>
      <c r="T1603" s="4">
        <v>34.6</v>
      </c>
      <c r="U1603" s="4">
        <v>22.7</v>
      </c>
      <c r="V1603" s="4">
        <v>2.6</v>
      </c>
      <c r="W1603" s="4">
        <v>5.7</v>
      </c>
      <c r="X1603" s="4">
        <v>519.92999999999995</v>
      </c>
      <c r="Y1603" s="7" t="e">
        <f t="shared" ca="1" si="34"/>
        <v>#VALUE!</v>
      </c>
    </row>
    <row r="1604" spans="1:25" ht="15" x14ac:dyDescent="0.25">
      <c r="A1604" s="4">
        <v>911</v>
      </c>
      <c r="C1604" s="41" t="s">
        <v>3686</v>
      </c>
      <c r="D1604" s="42"/>
      <c r="E1604" s="5" t="str">
        <f t="shared" si="30"/>
        <v>https://www.screener.in/company//consolidated/</v>
      </c>
      <c r="F1604" s="4">
        <v>443059</v>
      </c>
      <c r="G1604" s="4">
        <v>3832241897</v>
      </c>
      <c r="H1604" s="6" t="e">
        <f t="shared" ca="1" si="31"/>
        <v>#VALUE!</v>
      </c>
      <c r="I1604" s="7" t="str">
        <f ca="1">IFERROR(__xludf.DUMMYFUNCTION("IMPORTXML(E1604,""/html/body/main/div[3]/div[3]/div[2]/ul/li[5]/span[2]/span"")"),"Loading...")</f>
        <v>Loading...</v>
      </c>
      <c r="J1604" s="7" t="str">
        <f ca="1">IFERROR(__xludf.DUMMYFUNCTION("GOOGLEFINANCE(""NSE:""&amp;D1604,""marketcap"")"),"#N/A")</f>
        <v>#N/A</v>
      </c>
      <c r="K1604" s="7">
        <v>992.8</v>
      </c>
      <c r="L1604" s="8" t="str">
        <f ca="1">IFERROR(__xludf.DUMMYFUNCTION("GOOGLEFINANCE(""NSE:""&amp;D1604,""price"")"),"#N/A")</f>
        <v>#N/A</v>
      </c>
      <c r="M1604" s="9" t="e">
        <f t="shared" ca="1" si="32"/>
        <v>#VALUE!</v>
      </c>
      <c r="N1604" s="10" t="e">
        <f t="shared" ca="1" si="33"/>
        <v>#VALUE!</v>
      </c>
      <c r="O1604" s="7" t="str">
        <f ca="1">IFERROR(__xludf.DUMMYFUNCTION("GOOGLEFINANCE(""NSE:""&amp;D1604,""pe"")"),"#N/A")</f>
        <v>#N/A</v>
      </c>
      <c r="P1604" s="7" t="str">
        <f ca="1">IFERROR(__xludf.DUMMYFUNCTION("GOOGLEFINANCE(""NSE:""&amp;D1604,""EPS"")"),"#N/A")</f>
        <v>#N/A</v>
      </c>
      <c r="Q1604" s="7">
        <v>13.5</v>
      </c>
      <c r="R1604" s="7" t="str">
        <f ca="1">IFERROR(__xludf.DUMMYFUNCTION("IMPORTXML(E1604,""/html/body/main/div[3]/div[3]/div[2]/ul/li[7]/span[2]/span"")"),"Loading...")</f>
        <v>Loading...</v>
      </c>
      <c r="S1604" s="7" t="str">
        <f ca="1">IFERROR(__xludf.DUMMYFUNCTION("IMPORTXML(E1604,""/html/body/main/div[3]/div[3]/div[2]/ul/li[8]/span[2]/span"")"),"Loading...")</f>
        <v>Loading...</v>
      </c>
      <c r="T1604" s="4">
        <v>34.6</v>
      </c>
      <c r="U1604" s="4">
        <v>22.7</v>
      </c>
      <c r="V1604" s="4">
        <v>2.6</v>
      </c>
      <c r="W1604" s="4">
        <v>5.7</v>
      </c>
      <c r="X1604" s="4">
        <v>519.92999999999995</v>
      </c>
      <c r="Y1604" s="7" t="e">
        <f t="shared" ca="1" si="34"/>
        <v>#VALUE!</v>
      </c>
    </row>
    <row r="1605" spans="1:25" ht="15" x14ac:dyDescent="0.25">
      <c r="A1605" s="4">
        <v>913</v>
      </c>
      <c r="C1605" s="41" t="s">
        <v>3687</v>
      </c>
      <c r="D1605" s="42"/>
      <c r="E1605" s="5" t="str">
        <f t="shared" si="30"/>
        <v>https://www.screener.in/company//consolidated/</v>
      </c>
      <c r="F1605" s="4">
        <v>443059</v>
      </c>
      <c r="G1605" s="4">
        <v>3832241897</v>
      </c>
      <c r="H1605" s="6" t="e">
        <f t="shared" ca="1" si="31"/>
        <v>#VALUE!</v>
      </c>
      <c r="I1605" s="7" t="str">
        <f ca="1">IFERROR(__xludf.DUMMYFUNCTION("IMPORTXML(E1605,""/html/body/main/div[3]/div[3]/div[2]/ul/li[5]/span[2]/span"")"),"Loading...")</f>
        <v>Loading...</v>
      </c>
      <c r="J1605" s="7" t="str">
        <f ca="1">IFERROR(__xludf.DUMMYFUNCTION("GOOGLEFINANCE(""NSE:""&amp;D1605,""marketcap"")"),"#N/A")</f>
        <v>#N/A</v>
      </c>
      <c r="K1605" s="7">
        <v>992.8</v>
      </c>
      <c r="L1605" s="8" t="str">
        <f ca="1">IFERROR(__xludf.DUMMYFUNCTION("GOOGLEFINANCE(""NSE:""&amp;D1605,""price"")"),"#N/A")</f>
        <v>#N/A</v>
      </c>
      <c r="M1605" s="9" t="e">
        <f t="shared" ca="1" si="32"/>
        <v>#VALUE!</v>
      </c>
      <c r="N1605" s="10" t="e">
        <f t="shared" ca="1" si="33"/>
        <v>#VALUE!</v>
      </c>
      <c r="O1605" s="7" t="str">
        <f ca="1">IFERROR(__xludf.DUMMYFUNCTION("GOOGLEFINANCE(""NSE:""&amp;D1605,""pe"")"),"#N/A")</f>
        <v>#N/A</v>
      </c>
      <c r="P1605" s="7" t="str">
        <f ca="1">IFERROR(__xludf.DUMMYFUNCTION("GOOGLEFINANCE(""NSE:""&amp;D1605,""EPS"")"),"#N/A")</f>
        <v>#N/A</v>
      </c>
      <c r="Q1605" s="7">
        <v>13.5</v>
      </c>
      <c r="R1605" s="7" t="str">
        <f ca="1">IFERROR(__xludf.DUMMYFUNCTION("IMPORTXML(E1605,""/html/body/main/div[3]/div[3]/div[2]/ul/li[7]/span[2]/span"")"),"Loading...")</f>
        <v>Loading...</v>
      </c>
      <c r="S1605" s="7" t="str">
        <f ca="1">IFERROR(__xludf.DUMMYFUNCTION("IMPORTXML(E1605,""/html/body/main/div[3]/div[3]/div[2]/ul/li[8]/span[2]/span"")"),"Loading...")</f>
        <v>Loading...</v>
      </c>
      <c r="T1605" s="4">
        <v>34.6</v>
      </c>
      <c r="U1605" s="4">
        <v>22.7</v>
      </c>
      <c r="V1605" s="4">
        <v>2.6</v>
      </c>
      <c r="W1605" s="4">
        <v>5.7</v>
      </c>
      <c r="X1605" s="4">
        <v>519.92999999999995</v>
      </c>
      <c r="Y1605" s="7" t="e">
        <f t="shared" ca="1" si="34"/>
        <v>#VALUE!</v>
      </c>
    </row>
    <row r="1606" spans="1:25" ht="15" x14ac:dyDescent="0.25">
      <c r="A1606" s="4">
        <v>918</v>
      </c>
      <c r="C1606" s="12" t="s">
        <v>3688</v>
      </c>
      <c r="D1606" s="12" t="s">
        <v>3689</v>
      </c>
      <c r="E1606" s="5" t="str">
        <f t="shared" si="30"/>
        <v>https://www.screener.in/company/UDAICEMENT/consolidated/</v>
      </c>
      <c r="F1606" s="4">
        <v>443059</v>
      </c>
      <c r="G1606" s="4">
        <v>3832241897</v>
      </c>
      <c r="H1606" s="6" t="e">
        <f t="shared" ca="1" si="31"/>
        <v>#VALUE!</v>
      </c>
      <c r="I1606" s="7" t="str">
        <f ca="1">IFERROR(__xludf.DUMMYFUNCTION("IMPORTXML(E1606,""/html/body/main/div[3]/div[3]/div[2]/ul/li[5]/span[2]/span"")"),"Loading...")</f>
        <v>Loading...</v>
      </c>
      <c r="J1606" s="7" t="str">
        <f ca="1">IFERROR(__xludf.DUMMYFUNCTION("GOOGLEFINANCE(""NSE:""&amp;D1606,""marketcap"")"),"#N/A")</f>
        <v>#N/A</v>
      </c>
      <c r="K1606" s="7">
        <v>992.8</v>
      </c>
      <c r="L1606" s="8" t="str">
        <f ca="1">IFERROR(__xludf.DUMMYFUNCTION("GOOGLEFINANCE(""NSE:""&amp;D1606,""price"")"),"#N/A")</f>
        <v>#N/A</v>
      </c>
      <c r="M1606" s="9" t="e">
        <f t="shared" ca="1" si="32"/>
        <v>#VALUE!</v>
      </c>
      <c r="N1606" s="10" t="e">
        <f t="shared" ca="1" si="33"/>
        <v>#VALUE!</v>
      </c>
      <c r="O1606" s="7" t="str">
        <f ca="1">IFERROR(__xludf.DUMMYFUNCTION("GOOGLEFINANCE(""NSE:""&amp;D1606,""pe"")"),"#N/A")</f>
        <v>#N/A</v>
      </c>
      <c r="P1606" s="7" t="str">
        <f ca="1">IFERROR(__xludf.DUMMYFUNCTION("GOOGLEFINANCE(""NSE:""&amp;D1606,""EPS"")"),"#N/A")</f>
        <v>#N/A</v>
      </c>
      <c r="Q1606" s="7">
        <v>13.5</v>
      </c>
      <c r="R1606" s="7" t="str">
        <f ca="1">IFERROR(__xludf.DUMMYFUNCTION("IMPORTXML(E1606,""/html/body/main/div[3]/div[3]/div[2]/ul/li[7]/span[2]/span"")"),"Loading...")</f>
        <v>Loading...</v>
      </c>
      <c r="S1606" s="7" t="str">
        <f ca="1">IFERROR(__xludf.DUMMYFUNCTION("IMPORTXML(E1606,""/html/body/main/div[3]/div[3]/div[2]/ul/li[8]/span[2]/span"")"),"#N/A")</f>
        <v>#N/A</v>
      </c>
      <c r="T1606" s="4">
        <v>34.6</v>
      </c>
      <c r="U1606" s="4">
        <v>22.7</v>
      </c>
      <c r="V1606" s="4">
        <v>2.6</v>
      </c>
      <c r="W1606" s="4">
        <v>5.7</v>
      </c>
      <c r="X1606" s="4">
        <v>519.92999999999995</v>
      </c>
      <c r="Y1606" s="7" t="e">
        <f t="shared" ca="1" si="34"/>
        <v>#VALUE!</v>
      </c>
    </row>
    <row r="1607" spans="1:25" ht="15" x14ac:dyDescent="0.25">
      <c r="A1607" s="4">
        <v>920</v>
      </c>
      <c r="C1607" s="41" t="s">
        <v>3690</v>
      </c>
      <c r="D1607" s="42"/>
      <c r="E1607" s="5" t="str">
        <f t="shared" si="30"/>
        <v>https://www.screener.in/company//consolidated/</v>
      </c>
      <c r="F1607" s="4">
        <v>443059</v>
      </c>
      <c r="G1607" s="4">
        <v>3832241897</v>
      </c>
      <c r="H1607" s="6" t="e">
        <f t="shared" ca="1" si="31"/>
        <v>#VALUE!</v>
      </c>
      <c r="I1607" s="7" t="str">
        <f ca="1">IFERROR(__xludf.DUMMYFUNCTION("IMPORTXML(E1607,""/html/body/main/div[3]/div[3]/div[2]/ul/li[5]/span[2]/span"")"),"Loading...")</f>
        <v>Loading...</v>
      </c>
      <c r="J1607" s="7" t="str">
        <f ca="1">IFERROR(__xludf.DUMMYFUNCTION("GOOGLEFINANCE(""NSE:""&amp;D1607,""marketcap"")"),"#N/A")</f>
        <v>#N/A</v>
      </c>
      <c r="K1607" s="7">
        <v>992.8</v>
      </c>
      <c r="L1607" s="8" t="str">
        <f ca="1">IFERROR(__xludf.DUMMYFUNCTION("GOOGLEFINANCE(""NSE:""&amp;D1607,""price"")"),"#N/A")</f>
        <v>#N/A</v>
      </c>
      <c r="M1607" s="9" t="e">
        <f t="shared" ca="1" si="32"/>
        <v>#VALUE!</v>
      </c>
      <c r="N1607" s="10" t="e">
        <f t="shared" ca="1" si="33"/>
        <v>#VALUE!</v>
      </c>
      <c r="O1607" s="7" t="str">
        <f ca="1">IFERROR(__xludf.DUMMYFUNCTION("GOOGLEFINANCE(""NSE:""&amp;D1607,""pe"")"),"#N/A")</f>
        <v>#N/A</v>
      </c>
      <c r="P1607" s="7" t="str">
        <f ca="1">IFERROR(__xludf.DUMMYFUNCTION("GOOGLEFINANCE(""NSE:""&amp;D1607,""EPS"")"),"#N/A")</f>
        <v>#N/A</v>
      </c>
      <c r="Q1607" s="7">
        <v>13.5</v>
      </c>
      <c r="R1607" s="7" t="str">
        <f ca="1">IFERROR(__xludf.DUMMYFUNCTION("IMPORTXML(E1607,""/html/body/main/div[3]/div[3]/div[2]/ul/li[7]/span[2]/span"")"),"Loading...")</f>
        <v>Loading...</v>
      </c>
      <c r="S1607" s="7" t="str">
        <f ca="1">IFERROR(__xludf.DUMMYFUNCTION("IMPORTXML(E1607,""/html/body/main/div[3]/div[3]/div[2]/ul/li[8]/span[2]/span"")"),"Loading...")</f>
        <v>Loading...</v>
      </c>
      <c r="T1607" s="4">
        <v>34.6</v>
      </c>
      <c r="U1607" s="4">
        <v>22.7</v>
      </c>
      <c r="V1607" s="4">
        <v>2.6</v>
      </c>
      <c r="W1607" s="4">
        <v>5.7</v>
      </c>
      <c r="X1607" s="4">
        <v>519.92999999999995</v>
      </c>
      <c r="Y1607" s="7" t="e">
        <f t="shared" ca="1" si="34"/>
        <v>#VALUE!</v>
      </c>
    </row>
    <row r="1608" spans="1:25" ht="15" x14ac:dyDescent="0.25">
      <c r="A1608" s="4">
        <v>921</v>
      </c>
      <c r="C1608" s="41" t="s">
        <v>3691</v>
      </c>
      <c r="D1608" s="42"/>
      <c r="E1608" s="5" t="str">
        <f t="shared" si="30"/>
        <v>https://www.screener.in/company//consolidated/</v>
      </c>
      <c r="F1608" s="4">
        <v>443059</v>
      </c>
      <c r="G1608" s="4">
        <v>3832241897</v>
      </c>
      <c r="H1608" s="6" t="e">
        <f t="shared" ca="1" si="31"/>
        <v>#VALUE!</v>
      </c>
      <c r="I1608" s="7" t="str">
        <f ca="1">IFERROR(__xludf.DUMMYFUNCTION("IMPORTXML(E1608,""/html/body/main/div[3]/div[3]/div[2]/ul/li[5]/span[2]/span"")"),"Loading...")</f>
        <v>Loading...</v>
      </c>
      <c r="J1608" s="7" t="str">
        <f ca="1">IFERROR(__xludf.DUMMYFUNCTION("GOOGLEFINANCE(""NSE:""&amp;D1608,""marketcap"")"),"#N/A")</f>
        <v>#N/A</v>
      </c>
      <c r="K1608" s="7">
        <v>992.8</v>
      </c>
      <c r="L1608" s="8" t="str">
        <f ca="1">IFERROR(__xludf.DUMMYFUNCTION("GOOGLEFINANCE(""NSE:""&amp;D1608,""price"")"),"#N/A")</f>
        <v>#N/A</v>
      </c>
      <c r="M1608" s="9" t="e">
        <f t="shared" ca="1" si="32"/>
        <v>#VALUE!</v>
      </c>
      <c r="N1608" s="10" t="e">
        <f t="shared" ca="1" si="33"/>
        <v>#VALUE!</v>
      </c>
      <c r="O1608" s="7" t="str">
        <f ca="1">IFERROR(__xludf.DUMMYFUNCTION("GOOGLEFINANCE(""NSE:""&amp;D1608,""pe"")"),"#N/A")</f>
        <v>#N/A</v>
      </c>
      <c r="P1608" s="7" t="str">
        <f ca="1">IFERROR(__xludf.DUMMYFUNCTION("GOOGLEFINANCE(""NSE:""&amp;D1608,""EPS"")"),"#N/A")</f>
        <v>#N/A</v>
      </c>
      <c r="Q1608" s="7">
        <v>13.5</v>
      </c>
      <c r="R1608" s="7" t="str">
        <f ca="1">IFERROR(__xludf.DUMMYFUNCTION("IMPORTXML(E1608,""/html/body/main/div[3]/div[3]/div[2]/ul/li[7]/span[2]/span"")"),"Loading...")</f>
        <v>Loading...</v>
      </c>
      <c r="S1608" s="7" t="str">
        <f ca="1">IFERROR(__xludf.DUMMYFUNCTION("IMPORTXML(E1608,""/html/body/main/div[3]/div[3]/div[2]/ul/li[8]/span[2]/span"")"),"Loading...")</f>
        <v>Loading...</v>
      </c>
      <c r="T1608" s="4">
        <v>34.6</v>
      </c>
      <c r="U1608" s="4">
        <v>22.7</v>
      </c>
      <c r="V1608" s="4">
        <v>2.6</v>
      </c>
      <c r="W1608" s="4">
        <v>5.7</v>
      </c>
      <c r="X1608" s="4">
        <v>519.92999999999995</v>
      </c>
      <c r="Y1608" s="7" t="e">
        <f t="shared" ca="1" si="34"/>
        <v>#VALUE!</v>
      </c>
    </row>
    <row r="1609" spans="1:25" ht="15" x14ac:dyDescent="0.25">
      <c r="A1609" s="4">
        <v>925</v>
      </c>
      <c r="C1609" s="12" t="s">
        <v>3692</v>
      </c>
      <c r="D1609" s="12" t="s">
        <v>3693</v>
      </c>
      <c r="E1609" s="5" t="str">
        <f t="shared" si="30"/>
        <v>https://www.screener.in/company/ROSSTECH/consolidated/</v>
      </c>
      <c r="F1609" s="4">
        <v>443059</v>
      </c>
      <c r="G1609" s="4">
        <v>3832241897</v>
      </c>
      <c r="H1609" s="6">
        <f t="shared" ca="1" si="31"/>
        <v>276017.22263142501</v>
      </c>
      <c r="I1609" s="7" t="str">
        <f ca="1">IFERROR(__xludf.DUMMYFUNCTION("IMPORTXML(E1609,""/html/body/main/div[3]/div[3]/div[2]/ul/li[5]/span[2]/span"")"),"Loading...")</f>
        <v>Loading...</v>
      </c>
      <c r="J1609" s="7">
        <f ca="1">IFERROR(__xludf.DUMMYFUNCTION("GOOGLEFINANCE(""NSE:""&amp;D1609,""marketcap"")"),26937399552)</f>
        <v>26937399552</v>
      </c>
      <c r="K1609" s="7">
        <v>992.8</v>
      </c>
      <c r="L1609" s="8">
        <f ca="1">IFERROR(__xludf.DUMMYFUNCTION("GOOGLEFINANCE(""NSE:""&amp;D1609,""price"")"),720.25)</f>
        <v>720.25</v>
      </c>
      <c r="M1609" s="9">
        <f t="shared" ca="1" si="32"/>
        <v>-272.54999999999995</v>
      </c>
      <c r="N1609" s="10">
        <f t="shared" ca="1" si="33"/>
        <v>-27.452659145850117</v>
      </c>
      <c r="O1609" s="7">
        <f ca="1">IFERROR(__xludf.DUMMYFUNCTION("GOOGLEFINANCE(""NSE:""&amp;D1609,""pe"")"),178.61)</f>
        <v>178.61</v>
      </c>
      <c r="P1609" s="7">
        <f ca="1">IFERROR(__xludf.DUMMYFUNCTION("GOOGLEFINANCE(""NSE:""&amp;D1609,""EPS"")"),4.03)</f>
        <v>4.03</v>
      </c>
      <c r="Q1609" s="7">
        <v>13.5</v>
      </c>
      <c r="R1609" s="7" t="str">
        <f ca="1">IFERROR(__xludf.DUMMYFUNCTION("IMPORTXML(E1609,""/html/body/main/div[3]/div[3]/div[2]/ul/li[7]/span[2]/span"")"),"Loading...")</f>
        <v>Loading...</v>
      </c>
      <c r="S1609" s="7" t="str">
        <f ca="1">IFERROR(__xludf.DUMMYFUNCTION("IMPORTXML(E1609,""/html/body/main/div[3]/div[3]/div[2]/ul/li[8]/span[2]/span"")"),"Loading...")</f>
        <v>Loading...</v>
      </c>
      <c r="T1609" s="4">
        <v>34.6</v>
      </c>
      <c r="U1609" s="4">
        <v>22.7</v>
      </c>
      <c r="V1609" s="4">
        <v>2.6</v>
      </c>
      <c r="W1609" s="4">
        <v>5.7</v>
      </c>
      <c r="X1609" s="4">
        <v>519.92999999999995</v>
      </c>
      <c r="Y1609" s="7">
        <f t="shared" ca="1" si="34"/>
        <v>200.32000000000005</v>
      </c>
    </row>
    <row r="1610" spans="1:25" ht="15" x14ac:dyDescent="0.25">
      <c r="A1610" s="4">
        <v>926</v>
      </c>
      <c r="C1610" s="12" t="s">
        <v>3694</v>
      </c>
      <c r="D1610" s="12" t="s">
        <v>3695</v>
      </c>
      <c r="E1610" s="5" t="str">
        <f t="shared" si="30"/>
        <v>https://www.screener.in/company/JPASSOCIAT/consolidated/</v>
      </c>
      <c r="F1610" s="4">
        <v>443059</v>
      </c>
      <c r="G1610" s="4">
        <v>3832241897</v>
      </c>
      <c r="H1610" s="6">
        <f t="shared" ca="1" si="31"/>
        <v>1383.4393248169999</v>
      </c>
      <c r="I1610" s="7" t="str">
        <f ca="1">IFERROR(__xludf.DUMMYFUNCTION("IMPORTXML(E1610,""/html/body/main/div[3]/div[3]/div[2]/ul/li[5]/span[2]/span"")"),"Loading...")</f>
        <v>Loading...</v>
      </c>
      <c r="J1610" s="7">
        <f ca="1">IFERROR(__xludf.DUMMYFUNCTION("GOOGLEFINANCE(""NSE:""&amp;D1610,""marketcap"")"),8861090000)</f>
        <v>8861090000</v>
      </c>
      <c r="K1610" s="7">
        <v>992.8</v>
      </c>
      <c r="L1610" s="8">
        <f ca="1">IFERROR(__xludf.DUMMYFUNCTION("GOOGLEFINANCE(""NSE:""&amp;D1610,""price"")"),3.61)</f>
        <v>3.61</v>
      </c>
      <c r="M1610" s="9">
        <f t="shared" ca="1" si="32"/>
        <v>-989.18999999999994</v>
      </c>
      <c r="N1610" s="10">
        <f t="shared" ca="1" si="33"/>
        <v>-99.636381950040288</v>
      </c>
      <c r="O1610" s="7" t="str">
        <f ca="1">IFERROR(__xludf.DUMMYFUNCTION("GOOGLEFINANCE(""NSE:""&amp;D1610,""pe"")"),"#N/A")</f>
        <v>#N/A</v>
      </c>
      <c r="P1610" s="7">
        <f ca="1">IFERROR(__xludf.DUMMYFUNCTION("GOOGLEFINANCE(""NSE:""&amp;D1610,""EPS"")"),-6.02)</f>
        <v>-6.02</v>
      </c>
      <c r="Q1610" s="7">
        <v>13.5</v>
      </c>
      <c r="R1610" s="7" t="str">
        <f ca="1">IFERROR(__xludf.DUMMYFUNCTION("IMPORTXML(E1610,""/html/body/main/div[3]/div[3]/div[2]/ul/li[7]/span[2]/span"")"),"Loading...")</f>
        <v>Loading...</v>
      </c>
      <c r="S1610" s="7" t="str">
        <f ca="1">IFERROR(__xludf.DUMMYFUNCTION("IMPORTXML(E1610,""/html/body/main/div[3]/div[3]/div[2]/ul/li[8]/span[2]/span"")"),"Loading...")</f>
        <v>Loading...</v>
      </c>
      <c r="T1610" s="4">
        <v>34.6</v>
      </c>
      <c r="U1610" s="4">
        <v>22.7</v>
      </c>
      <c r="V1610" s="4">
        <v>2.6</v>
      </c>
      <c r="W1610" s="4">
        <v>5.7</v>
      </c>
      <c r="X1610" s="4">
        <v>519.92999999999995</v>
      </c>
      <c r="Y1610" s="7">
        <f t="shared" ca="1" si="34"/>
        <v>-516.31999999999994</v>
      </c>
    </row>
    <row r="1611" spans="1:25" ht="15" x14ac:dyDescent="0.25">
      <c r="A1611" s="4">
        <v>928</v>
      </c>
      <c r="C1611" s="12" t="s">
        <v>3696</v>
      </c>
      <c r="D1611" s="12" t="s">
        <v>3697</v>
      </c>
      <c r="E1611" s="5" t="str">
        <f t="shared" si="30"/>
        <v>https://www.screener.in/company/GKWLIMITED/consolidated/</v>
      </c>
      <c r="F1611" s="4">
        <v>443059</v>
      </c>
      <c r="G1611" s="4">
        <v>3832241897</v>
      </c>
      <c r="H1611" s="6">
        <f t="shared" ca="1" si="31"/>
        <v>670642.33197499998</v>
      </c>
      <c r="I1611" s="7" t="str">
        <f ca="1">IFERROR(__xludf.DUMMYFUNCTION("IMPORTXML(E1611,""/html/body/main/div[3]/div[3]/div[2]/ul/li[5]/span[2]/span"")"),"Loading...")</f>
        <v>Loading...</v>
      </c>
      <c r="J1611" s="7">
        <f ca="1">IFERROR(__xludf.DUMMYFUNCTION("GOOGLEFINANCE(""NSE:""&amp;D1611,""marketcap"")"),10435410000)</f>
        <v>10435410000</v>
      </c>
      <c r="K1611" s="7">
        <v>992.8</v>
      </c>
      <c r="L1611" s="8">
        <f ca="1">IFERROR(__xludf.DUMMYFUNCTION("GOOGLEFINANCE(""NSE:""&amp;D1611,""price"")"),1750)</f>
        <v>1750</v>
      </c>
      <c r="M1611" s="9">
        <f t="shared" ca="1" si="32"/>
        <v>757.2</v>
      </c>
      <c r="N1611" s="10">
        <f t="shared" ca="1" si="33"/>
        <v>76.269137792103152</v>
      </c>
      <c r="O1611" s="7" t="str">
        <f ca="1">IFERROR(__xludf.DUMMYFUNCTION("GOOGLEFINANCE(""NSE:""&amp;D1611,""pe"")"),"#N/A")</f>
        <v>#N/A</v>
      </c>
      <c r="P1611" s="7">
        <f ca="1">IFERROR(__xludf.DUMMYFUNCTION("GOOGLEFINANCE(""NSE:""&amp;D1611,""EPS"")"),-11.59)</f>
        <v>-11.59</v>
      </c>
      <c r="Q1611" s="7">
        <v>13.5</v>
      </c>
      <c r="R1611" s="7" t="str">
        <f ca="1">IFERROR(__xludf.DUMMYFUNCTION("IMPORTXML(E1611,""/html/body/main/div[3]/div[3]/div[2]/ul/li[7]/span[2]/span"")"),"Loading...")</f>
        <v>Loading...</v>
      </c>
      <c r="S1611" s="7" t="str">
        <f ca="1">IFERROR(__xludf.DUMMYFUNCTION("IMPORTXML(E1611,""/html/body/main/div[3]/div[3]/div[2]/ul/li[8]/span[2]/span"")"),"Loading...")</f>
        <v>Loading...</v>
      </c>
      <c r="T1611" s="4">
        <v>34.6</v>
      </c>
      <c r="U1611" s="4">
        <v>22.7</v>
      </c>
      <c r="V1611" s="4">
        <v>2.6</v>
      </c>
      <c r="W1611" s="4">
        <v>5.7</v>
      </c>
      <c r="X1611" s="4">
        <v>519.92999999999995</v>
      </c>
      <c r="Y1611" s="7">
        <f t="shared" ca="1" si="34"/>
        <v>1230.0700000000002</v>
      </c>
    </row>
    <row r="1612" spans="1:25" ht="15" x14ac:dyDescent="0.25">
      <c r="A1612" s="4">
        <v>930</v>
      </c>
      <c r="C1612" s="41" t="s">
        <v>3698</v>
      </c>
      <c r="D1612" s="42"/>
      <c r="E1612" s="5" t="str">
        <f t="shared" si="30"/>
        <v>https://www.screener.in/company//consolidated/</v>
      </c>
      <c r="F1612" s="4">
        <v>443059</v>
      </c>
      <c r="G1612" s="4">
        <v>3832241897</v>
      </c>
      <c r="H1612" s="6" t="e">
        <f t="shared" ca="1" si="31"/>
        <v>#VALUE!</v>
      </c>
      <c r="I1612" s="7" t="str">
        <f ca="1">IFERROR(__xludf.DUMMYFUNCTION("IMPORTXML(E1612,""/html/body/main/div[3]/div[3]/div[2]/ul/li[5]/span[2]/span"")"),"Loading...")</f>
        <v>Loading...</v>
      </c>
      <c r="J1612" s="7" t="str">
        <f ca="1">IFERROR(__xludf.DUMMYFUNCTION("GOOGLEFINANCE(""NSE:""&amp;D1612,""marketcap"")"),"#N/A")</f>
        <v>#N/A</v>
      </c>
      <c r="K1612" s="7">
        <v>992.8</v>
      </c>
      <c r="L1612" s="8" t="str">
        <f ca="1">IFERROR(__xludf.DUMMYFUNCTION("GOOGLEFINANCE(""NSE:""&amp;D1612,""price"")"),"#N/A")</f>
        <v>#N/A</v>
      </c>
      <c r="M1612" s="9" t="e">
        <f t="shared" ca="1" si="32"/>
        <v>#VALUE!</v>
      </c>
      <c r="N1612" s="10" t="e">
        <f t="shared" ca="1" si="33"/>
        <v>#VALUE!</v>
      </c>
      <c r="O1612" s="7" t="str">
        <f ca="1">IFERROR(__xludf.DUMMYFUNCTION("GOOGLEFINANCE(""NSE:""&amp;D1612,""pe"")"),"#N/A")</f>
        <v>#N/A</v>
      </c>
      <c r="P1612" s="7" t="str">
        <f ca="1">IFERROR(__xludf.DUMMYFUNCTION("GOOGLEFINANCE(""NSE:""&amp;D1612,""EPS"")"),"#N/A")</f>
        <v>#N/A</v>
      </c>
      <c r="Q1612" s="7">
        <v>13.5</v>
      </c>
      <c r="R1612" s="7" t="str">
        <f ca="1">IFERROR(__xludf.DUMMYFUNCTION("IMPORTXML(E1612,""/html/body/main/div[3]/div[3]/div[2]/ul/li[7]/span[2]/span"")"),"Loading...")</f>
        <v>Loading...</v>
      </c>
      <c r="S1612" s="7" t="str">
        <f ca="1">IFERROR(__xludf.DUMMYFUNCTION("IMPORTXML(E1612,""/html/body/main/div[3]/div[3]/div[2]/ul/li[8]/span[2]/span"")"),"Loading...")</f>
        <v>Loading...</v>
      </c>
      <c r="T1612" s="4">
        <v>34.6</v>
      </c>
      <c r="U1612" s="4">
        <v>22.7</v>
      </c>
      <c r="V1612" s="4">
        <v>2.6</v>
      </c>
      <c r="W1612" s="4">
        <v>5.7</v>
      </c>
      <c r="X1612" s="4">
        <v>519.92999999999995</v>
      </c>
      <c r="Y1612" s="7" t="e">
        <f t="shared" ca="1" si="34"/>
        <v>#VALUE!</v>
      </c>
    </row>
    <row r="1613" spans="1:25" ht="15" x14ac:dyDescent="0.25">
      <c r="A1613" s="4">
        <v>931</v>
      </c>
      <c r="C1613" s="12" t="s">
        <v>3699</v>
      </c>
      <c r="D1613" s="12" t="s">
        <v>3700</v>
      </c>
      <c r="E1613" s="5" t="str">
        <f t="shared" si="30"/>
        <v>https://www.screener.in/company/CAMLINFINE/consolidated/</v>
      </c>
      <c r="F1613" s="4">
        <v>443059</v>
      </c>
      <c r="G1613" s="4">
        <v>3832241897</v>
      </c>
      <c r="H1613" s="6">
        <f t="shared" ca="1" si="31"/>
        <v>77717.865671160005</v>
      </c>
      <c r="I1613" s="7" t="str">
        <f ca="1">IFERROR(__xludf.DUMMYFUNCTION("IMPORTXML(E1613,""/html/body/main/div[3]/div[3]/div[2]/ul/li[5]/span[2]/span"")"),"Loading...")</f>
        <v>Loading...</v>
      </c>
      <c r="J1613" s="7">
        <f ca="1">IFERROR(__xludf.DUMMYFUNCTION("GOOGLEFINANCE(""NSE:""&amp;D1613,""marketcap"")"),38153258550)</f>
        <v>38153258550</v>
      </c>
      <c r="K1613" s="7">
        <v>992.8</v>
      </c>
      <c r="L1613" s="8">
        <f ca="1">IFERROR(__xludf.DUMMYFUNCTION("GOOGLEFINANCE(""NSE:""&amp;D1613,""price"")"),202.8)</f>
        <v>202.8</v>
      </c>
      <c r="M1613" s="9">
        <f t="shared" ca="1" si="32"/>
        <v>-790</v>
      </c>
      <c r="N1613" s="10">
        <f t="shared" ca="1" si="33"/>
        <v>-79.572925060435139</v>
      </c>
      <c r="O1613" s="7" t="str">
        <f ca="1">IFERROR(__xludf.DUMMYFUNCTION("GOOGLEFINANCE(""NSE:""&amp;D1613,""pe"")"),"#N/A")</f>
        <v>#N/A</v>
      </c>
      <c r="P1613" s="7">
        <f ca="1">IFERROR(__xludf.DUMMYFUNCTION("GOOGLEFINANCE(""NSE:""&amp;D1613,""EPS"")"),-6.65)</f>
        <v>-6.65</v>
      </c>
      <c r="Q1613" s="7">
        <v>13.5</v>
      </c>
      <c r="R1613" s="7" t="str">
        <f ca="1">IFERROR(__xludf.DUMMYFUNCTION("IMPORTXML(E1613,""/html/body/main/div[3]/div[3]/div[2]/ul/li[7]/span[2]/span"")"),"Loading...")</f>
        <v>Loading...</v>
      </c>
      <c r="S1613" s="7" t="str">
        <f ca="1">IFERROR(__xludf.DUMMYFUNCTION("IMPORTXML(E1613,""/html/body/main/div[3]/div[3]/div[2]/ul/li[8]/span[2]/span"")"),"Loading...")</f>
        <v>Loading...</v>
      </c>
      <c r="T1613" s="4">
        <v>34.6</v>
      </c>
      <c r="U1613" s="4">
        <v>22.7</v>
      </c>
      <c r="V1613" s="4">
        <v>2.6</v>
      </c>
      <c r="W1613" s="4">
        <v>5.7</v>
      </c>
      <c r="X1613" s="4">
        <v>519.92999999999995</v>
      </c>
      <c r="Y1613" s="7">
        <f t="shared" ca="1" si="34"/>
        <v>-317.12999999999994</v>
      </c>
    </row>
    <row r="1614" spans="1:25" ht="15" x14ac:dyDescent="0.25">
      <c r="A1614" s="4">
        <v>934</v>
      </c>
      <c r="C1614" s="41" t="s">
        <v>3701</v>
      </c>
      <c r="D1614" s="42"/>
      <c r="E1614" s="5" t="str">
        <f t="shared" si="30"/>
        <v>https://www.screener.in/company//consolidated/</v>
      </c>
      <c r="F1614" s="4">
        <v>443059</v>
      </c>
      <c r="G1614" s="4">
        <v>3832241897</v>
      </c>
      <c r="H1614" s="6" t="e">
        <f t="shared" ca="1" si="31"/>
        <v>#VALUE!</v>
      </c>
      <c r="I1614" s="7" t="str">
        <f ca="1">IFERROR(__xludf.DUMMYFUNCTION("IMPORTXML(E1614,""/html/body/main/div[3]/div[3]/div[2]/ul/li[5]/span[2]/span"")"),"Loading...")</f>
        <v>Loading...</v>
      </c>
      <c r="J1614" s="7" t="str">
        <f ca="1">IFERROR(__xludf.DUMMYFUNCTION("GOOGLEFINANCE(""NSE:""&amp;D1614,""marketcap"")"),"#N/A")</f>
        <v>#N/A</v>
      </c>
      <c r="K1614" s="7">
        <v>992.8</v>
      </c>
      <c r="L1614" s="8" t="str">
        <f ca="1">IFERROR(__xludf.DUMMYFUNCTION("GOOGLEFINANCE(""NSE:""&amp;D1614,""price"")"),"#N/A")</f>
        <v>#N/A</v>
      </c>
      <c r="M1614" s="9" t="e">
        <f t="shared" ca="1" si="32"/>
        <v>#VALUE!</v>
      </c>
      <c r="N1614" s="10" t="e">
        <f t="shared" ca="1" si="33"/>
        <v>#VALUE!</v>
      </c>
      <c r="O1614" s="7" t="str">
        <f ca="1">IFERROR(__xludf.DUMMYFUNCTION("GOOGLEFINANCE(""NSE:""&amp;D1614,""pe"")"),"#N/A")</f>
        <v>#N/A</v>
      </c>
      <c r="P1614" s="7" t="str">
        <f ca="1">IFERROR(__xludf.DUMMYFUNCTION("GOOGLEFINANCE(""NSE:""&amp;D1614,""EPS"")"),"#N/A")</f>
        <v>#N/A</v>
      </c>
      <c r="Q1614" s="7">
        <v>13.5</v>
      </c>
      <c r="R1614" s="7" t="str">
        <f ca="1">IFERROR(__xludf.DUMMYFUNCTION("IMPORTXML(E1614,""/html/body/main/div[3]/div[3]/div[2]/ul/li[7]/span[2]/span"")"),"Loading...")</f>
        <v>Loading...</v>
      </c>
      <c r="S1614" s="7" t="str">
        <f ca="1">IFERROR(__xludf.DUMMYFUNCTION("IMPORTXML(E1614,""/html/body/main/div[3]/div[3]/div[2]/ul/li[8]/span[2]/span"")"),"Loading...")</f>
        <v>Loading...</v>
      </c>
      <c r="T1614" s="4">
        <v>34.6</v>
      </c>
      <c r="U1614" s="4">
        <v>22.7</v>
      </c>
      <c r="V1614" s="4">
        <v>2.6</v>
      </c>
      <c r="W1614" s="4">
        <v>5.7</v>
      </c>
      <c r="X1614" s="4">
        <v>519.92999999999995</v>
      </c>
      <c r="Y1614" s="7" t="e">
        <f t="shared" ca="1" si="34"/>
        <v>#VALUE!</v>
      </c>
    </row>
    <row r="1615" spans="1:25" ht="15" x14ac:dyDescent="0.25">
      <c r="A1615" s="4">
        <v>940</v>
      </c>
      <c r="C1615" s="12" t="s">
        <v>3702</v>
      </c>
      <c r="D1615" s="12" t="s">
        <v>3703</v>
      </c>
      <c r="E1615" s="5" t="str">
        <f t="shared" si="30"/>
        <v>https://www.screener.in/company/RELTD/consolidated/</v>
      </c>
      <c r="F1615" s="4">
        <v>443059</v>
      </c>
      <c r="G1615" s="4">
        <v>3832241897</v>
      </c>
      <c r="H1615" s="6">
        <f t="shared" ca="1" si="31"/>
        <v>56333.955885900003</v>
      </c>
      <c r="I1615" s="7" t="str">
        <f ca="1">IFERROR(__xludf.DUMMYFUNCTION("IMPORTXML(E1615,""/html/body/main/div[3]/div[3]/div[2]/ul/li[5]/span[2]/span"")"),"Loading...")</f>
        <v>Loading...</v>
      </c>
      <c r="J1615" s="7">
        <f ca="1">IFERROR(__xludf.DUMMYFUNCTION("GOOGLEFINANCE(""NSE:""&amp;D1615,""marketcap"")"),26284173300)</f>
        <v>26284173300</v>
      </c>
      <c r="K1615" s="7">
        <v>992.8</v>
      </c>
      <c r="L1615" s="8">
        <f ca="1">IFERROR(__xludf.DUMMYFUNCTION("GOOGLEFINANCE(""NSE:""&amp;D1615,""price"")"),147)</f>
        <v>147</v>
      </c>
      <c r="M1615" s="9">
        <f t="shared" ca="1" si="32"/>
        <v>-845.8</v>
      </c>
      <c r="N1615" s="10">
        <f t="shared" ca="1" si="33"/>
        <v>-85.19339242546333</v>
      </c>
      <c r="O1615" s="7">
        <f ca="1">IFERROR(__xludf.DUMMYFUNCTION("GOOGLEFINANCE(""NSE:""&amp;D1615,""pe"")"),64.47)</f>
        <v>64.47</v>
      </c>
      <c r="P1615" s="7">
        <f ca="1">IFERROR(__xludf.DUMMYFUNCTION("GOOGLEFINANCE(""NSE:""&amp;D1615,""EPS"")"),2.28)</f>
        <v>2.2799999999999998</v>
      </c>
      <c r="Q1615" s="7">
        <v>13.5</v>
      </c>
      <c r="R1615" s="7" t="str">
        <f ca="1">IFERROR(__xludf.DUMMYFUNCTION("IMPORTXML(E1615,""/html/body/main/div[3]/div[3]/div[2]/ul/li[7]/span[2]/span"")"),"Loading...")</f>
        <v>Loading...</v>
      </c>
      <c r="S1615" s="7" t="str">
        <f ca="1">IFERROR(__xludf.DUMMYFUNCTION("IMPORTXML(E1615,""/html/body/main/div[3]/div[3]/div[2]/ul/li[8]/span[2]/span"")"),"Loading...")</f>
        <v>Loading...</v>
      </c>
      <c r="T1615" s="4">
        <v>34.6</v>
      </c>
      <c r="U1615" s="4">
        <v>22.7</v>
      </c>
      <c r="V1615" s="4">
        <v>2.6</v>
      </c>
      <c r="W1615" s="4">
        <v>5.7</v>
      </c>
      <c r="X1615" s="4">
        <v>519.92999999999995</v>
      </c>
      <c r="Y1615" s="7">
        <f t="shared" ca="1" si="34"/>
        <v>-372.92999999999995</v>
      </c>
    </row>
    <row r="1616" spans="1:25" ht="15" x14ac:dyDescent="0.25">
      <c r="A1616" s="4">
        <v>951</v>
      </c>
      <c r="C1616" s="41" t="s">
        <v>3704</v>
      </c>
      <c r="D1616" s="42"/>
      <c r="E1616" s="5" t="str">
        <f t="shared" si="30"/>
        <v>https://www.screener.in/company//consolidated/</v>
      </c>
      <c r="F1616" s="4">
        <v>443059</v>
      </c>
      <c r="G1616" s="4">
        <v>3832241897</v>
      </c>
      <c r="H1616" s="6" t="e">
        <f t="shared" ca="1" si="31"/>
        <v>#VALUE!</v>
      </c>
      <c r="I1616" s="7" t="str">
        <f ca="1">IFERROR(__xludf.DUMMYFUNCTION("IMPORTXML(E1616,""/html/body/main/div[3]/div[3]/div[2]/ul/li[5]/span[2]/span"")"),"Loading...")</f>
        <v>Loading...</v>
      </c>
      <c r="J1616" s="7" t="str">
        <f ca="1">IFERROR(__xludf.DUMMYFUNCTION("GOOGLEFINANCE(""NSE:""&amp;D1616,""marketcap"")"),"#N/A")</f>
        <v>#N/A</v>
      </c>
      <c r="K1616" s="7">
        <v>992.8</v>
      </c>
      <c r="L1616" s="8" t="str">
        <f ca="1">IFERROR(__xludf.DUMMYFUNCTION("GOOGLEFINANCE(""NSE:""&amp;D1616,""price"")"),"#N/A")</f>
        <v>#N/A</v>
      </c>
      <c r="M1616" s="9" t="e">
        <f t="shared" ca="1" si="32"/>
        <v>#VALUE!</v>
      </c>
      <c r="N1616" s="10" t="e">
        <f t="shared" ca="1" si="33"/>
        <v>#VALUE!</v>
      </c>
      <c r="O1616" s="7" t="str">
        <f ca="1">IFERROR(__xludf.DUMMYFUNCTION("GOOGLEFINANCE(""NSE:""&amp;D1616,""pe"")"),"#N/A")</f>
        <v>#N/A</v>
      </c>
      <c r="P1616" s="7" t="str">
        <f ca="1">IFERROR(__xludf.DUMMYFUNCTION("GOOGLEFINANCE(""NSE:""&amp;D1616,""EPS"")"),"#N/A")</f>
        <v>#N/A</v>
      </c>
      <c r="Q1616" s="7">
        <v>13.5</v>
      </c>
      <c r="R1616" s="7" t="str">
        <f ca="1">IFERROR(__xludf.DUMMYFUNCTION("IMPORTXML(E1616,""/html/body/main/div[3]/div[3]/div[2]/ul/li[7]/span[2]/span"")"),"Loading...")</f>
        <v>Loading...</v>
      </c>
      <c r="S1616" s="7" t="str">
        <f ca="1">IFERROR(__xludf.DUMMYFUNCTION("IMPORTXML(E1616,""/html/body/main/div[3]/div[3]/div[2]/ul/li[8]/span[2]/span"")"),"Loading...")</f>
        <v>Loading...</v>
      </c>
      <c r="T1616" s="4">
        <v>34.6</v>
      </c>
      <c r="U1616" s="4">
        <v>22.7</v>
      </c>
      <c r="V1616" s="4">
        <v>2.6</v>
      </c>
      <c r="W1616" s="4">
        <v>5.7</v>
      </c>
      <c r="X1616" s="4">
        <v>519.92999999999995</v>
      </c>
      <c r="Y1616" s="7" t="e">
        <f t="shared" ca="1" si="34"/>
        <v>#VALUE!</v>
      </c>
    </row>
    <row r="1617" spans="1:25" ht="15" x14ac:dyDescent="0.25">
      <c r="A1617" s="4">
        <v>952</v>
      </c>
      <c r="C1617" s="12" t="s">
        <v>3705</v>
      </c>
      <c r="D1617" s="12" t="s">
        <v>3706</v>
      </c>
      <c r="E1617" s="5" t="str">
        <f t="shared" si="30"/>
        <v>https://www.screener.in/company/PANACEABIO/consolidated/</v>
      </c>
      <c r="F1617" s="4">
        <v>443059</v>
      </c>
      <c r="G1617" s="4">
        <v>3832241897</v>
      </c>
      <c r="H1617" s="6">
        <f t="shared" ca="1" si="31"/>
        <v>155512.37618026001</v>
      </c>
      <c r="I1617" s="7" t="str">
        <f ca="1">IFERROR(__xludf.DUMMYFUNCTION("IMPORTXML(E1617,""/html/body/main/div[3]/div[3]/div[2]/ul/li[5]/span[2]/span"")"),"Loading...")</f>
        <v>Loading...</v>
      </c>
      <c r="J1617" s="7">
        <f ca="1">IFERROR(__xludf.DUMMYFUNCTION("GOOGLEFINANCE(""NSE:""&amp;D1617,""marketcap"")"),24855553602)</f>
        <v>24855553602</v>
      </c>
      <c r="K1617" s="7">
        <v>992.8</v>
      </c>
      <c r="L1617" s="8">
        <f ca="1">IFERROR(__xludf.DUMMYFUNCTION("GOOGLEFINANCE(""NSE:""&amp;D1617,""price"")"),405.8)</f>
        <v>405.8</v>
      </c>
      <c r="M1617" s="9">
        <f t="shared" ca="1" si="32"/>
        <v>-587</v>
      </c>
      <c r="N1617" s="10">
        <f t="shared" ca="1" si="33"/>
        <v>-59.125705076551171</v>
      </c>
      <c r="O1617" s="7">
        <f ca="1">IFERROR(__xludf.DUMMYFUNCTION("GOOGLEFINANCE(""NSE:""&amp;D1617,""pe"")"),218.17)</f>
        <v>218.17</v>
      </c>
      <c r="P1617" s="7">
        <f ca="1">IFERROR(__xludf.DUMMYFUNCTION("GOOGLEFINANCE(""NSE:""&amp;D1617,""EPS"")"),1.86)</f>
        <v>1.86</v>
      </c>
      <c r="Q1617" s="7">
        <v>13.5</v>
      </c>
      <c r="R1617" s="7" t="str">
        <f ca="1">IFERROR(__xludf.DUMMYFUNCTION("IMPORTXML(E1617,""/html/body/main/div[3]/div[3]/div[2]/ul/li[7]/span[2]/span"")"),"Loading...")</f>
        <v>Loading...</v>
      </c>
      <c r="S1617" s="7" t="str">
        <f ca="1">IFERROR(__xludf.DUMMYFUNCTION("IMPORTXML(E1617,""/html/body/main/div[3]/div[3]/div[2]/ul/li[8]/span[2]/span"")"),"Loading...")</f>
        <v>Loading...</v>
      </c>
      <c r="T1617" s="4">
        <v>34.6</v>
      </c>
      <c r="U1617" s="4">
        <v>22.7</v>
      </c>
      <c r="V1617" s="4">
        <v>2.6</v>
      </c>
      <c r="W1617" s="4">
        <v>5.7</v>
      </c>
      <c r="X1617" s="4">
        <v>519.92999999999995</v>
      </c>
      <c r="Y1617" s="7">
        <f t="shared" ca="1" si="34"/>
        <v>-114.12999999999994</v>
      </c>
    </row>
    <row r="1618" spans="1:25" ht="15" x14ac:dyDescent="0.25">
      <c r="A1618" s="4">
        <v>955</v>
      </c>
      <c r="C1618" s="41" t="s">
        <v>3707</v>
      </c>
      <c r="D1618" s="42"/>
      <c r="E1618" s="5" t="str">
        <f t="shared" si="30"/>
        <v>https://www.screener.in/company//consolidated/</v>
      </c>
      <c r="F1618" s="4">
        <v>443059</v>
      </c>
      <c r="G1618" s="4">
        <v>3832241897</v>
      </c>
      <c r="H1618" s="6" t="e">
        <f t="shared" ca="1" si="31"/>
        <v>#VALUE!</v>
      </c>
      <c r="I1618" s="7" t="str">
        <f ca="1">IFERROR(__xludf.DUMMYFUNCTION("IMPORTXML(E1618,""/html/body/main/div[3]/div[3]/div[2]/ul/li[5]/span[2]/span"")"),"Loading...")</f>
        <v>Loading...</v>
      </c>
      <c r="J1618" s="7" t="str">
        <f ca="1">IFERROR(__xludf.DUMMYFUNCTION("GOOGLEFINANCE(""NSE:""&amp;D1618,""marketcap"")"),"#N/A")</f>
        <v>#N/A</v>
      </c>
      <c r="K1618" s="7">
        <v>992.8</v>
      </c>
      <c r="L1618" s="8" t="str">
        <f ca="1">IFERROR(__xludf.DUMMYFUNCTION("GOOGLEFINANCE(""NSE:""&amp;D1618,""price"")"),"#N/A")</f>
        <v>#N/A</v>
      </c>
      <c r="M1618" s="9" t="e">
        <f t="shared" ca="1" si="32"/>
        <v>#VALUE!</v>
      </c>
      <c r="N1618" s="10" t="e">
        <f t="shared" ca="1" si="33"/>
        <v>#VALUE!</v>
      </c>
      <c r="O1618" s="7" t="str">
        <f ca="1">IFERROR(__xludf.DUMMYFUNCTION("GOOGLEFINANCE(""NSE:""&amp;D1618,""pe"")"),"#N/A")</f>
        <v>#N/A</v>
      </c>
      <c r="P1618" s="7" t="str">
        <f ca="1">IFERROR(__xludf.DUMMYFUNCTION("GOOGLEFINANCE(""NSE:""&amp;D1618,""EPS"")"),"#N/A")</f>
        <v>#N/A</v>
      </c>
      <c r="Q1618" s="7">
        <v>13.5</v>
      </c>
      <c r="R1618" s="7" t="str">
        <f ca="1">IFERROR(__xludf.DUMMYFUNCTION("IMPORTXML(E1618,""/html/body/main/div[3]/div[3]/div[2]/ul/li[7]/span[2]/span"")"),"Loading...")</f>
        <v>Loading...</v>
      </c>
      <c r="S1618" s="7" t="str">
        <f ca="1">IFERROR(__xludf.DUMMYFUNCTION("IMPORTXML(E1618,""/html/body/main/div[3]/div[3]/div[2]/ul/li[8]/span[2]/span"")"),"Loading...")</f>
        <v>Loading...</v>
      </c>
      <c r="T1618" s="4">
        <v>34.6</v>
      </c>
      <c r="U1618" s="4">
        <v>22.7</v>
      </c>
      <c r="V1618" s="4">
        <v>2.6</v>
      </c>
      <c r="W1618" s="4">
        <v>5.7</v>
      </c>
      <c r="X1618" s="4">
        <v>519.92999999999995</v>
      </c>
      <c r="Y1618" s="7" t="e">
        <f t="shared" ca="1" si="34"/>
        <v>#VALUE!</v>
      </c>
    </row>
    <row r="1619" spans="1:25" ht="15" x14ac:dyDescent="0.25">
      <c r="A1619" s="4">
        <v>957</v>
      </c>
      <c r="C1619" s="12" t="s">
        <v>3708</v>
      </c>
      <c r="D1619" s="12" t="s">
        <v>3709</v>
      </c>
      <c r="E1619" s="5" t="str">
        <f t="shared" si="30"/>
        <v>https://www.screener.in/company/GODAVARIB/consolidated/</v>
      </c>
      <c r="F1619" s="4">
        <v>443059</v>
      </c>
      <c r="G1619" s="4">
        <v>3832241897</v>
      </c>
      <c r="H1619" s="6">
        <f t="shared" ca="1" si="31"/>
        <v>108835.66987480001</v>
      </c>
      <c r="I1619" s="7" t="str">
        <f ca="1">IFERROR(__xludf.DUMMYFUNCTION("IMPORTXML(E1619,""/html/body/main/div[3]/div[3]/div[2]/ul/li[5]/span[2]/span"")"),"Loading...")</f>
        <v>Loading...</v>
      </c>
      <c r="J1619" s="7">
        <f ca="1">IFERROR(__xludf.DUMMYFUNCTION("GOOGLEFINANCE(""NSE:""&amp;D1619,""marketcap"")"),14525790000)</f>
        <v>14525790000</v>
      </c>
      <c r="K1619" s="7">
        <v>992.8</v>
      </c>
      <c r="L1619" s="8">
        <f ca="1">IFERROR(__xludf.DUMMYFUNCTION("GOOGLEFINANCE(""NSE:""&amp;D1619,""price"")"),284)</f>
        <v>284</v>
      </c>
      <c r="M1619" s="9">
        <f t="shared" ca="1" si="32"/>
        <v>-708.8</v>
      </c>
      <c r="N1619" s="10">
        <f t="shared" ca="1" si="33"/>
        <v>-71.394037066881538</v>
      </c>
      <c r="O1619" s="7" t="str">
        <f ca="1">IFERROR(__xludf.DUMMYFUNCTION("GOOGLEFINANCE(""NSE:""&amp;D1619,""pe"")"),"#N/A")</f>
        <v>#N/A</v>
      </c>
      <c r="P1619" s="7">
        <f ca="1">IFERROR(__xludf.DUMMYFUNCTION("GOOGLEFINANCE(""NSE:""&amp;D1619,""EPS"")"),-5.65)</f>
        <v>-5.65</v>
      </c>
      <c r="Q1619" s="7">
        <v>13.5</v>
      </c>
      <c r="R1619" s="7" t="str">
        <f ca="1">IFERROR(__xludf.DUMMYFUNCTION("IMPORTXML(E1619,""/html/body/main/div[3]/div[3]/div[2]/ul/li[7]/span[2]/span"")"),"Loading...")</f>
        <v>Loading...</v>
      </c>
      <c r="S1619" s="7" t="str">
        <f ca="1">IFERROR(__xludf.DUMMYFUNCTION("IMPORTXML(E1619,""/html/body/main/div[3]/div[3]/div[2]/ul/li[8]/span[2]/span"")"),"Loading...")</f>
        <v>Loading...</v>
      </c>
      <c r="T1619" s="4">
        <v>34.6</v>
      </c>
      <c r="U1619" s="4">
        <v>22.7</v>
      </c>
      <c r="V1619" s="4">
        <v>2.6</v>
      </c>
      <c r="W1619" s="4">
        <v>5.7</v>
      </c>
      <c r="X1619" s="4">
        <v>519.92999999999995</v>
      </c>
      <c r="Y1619" s="7">
        <f t="shared" ca="1" si="34"/>
        <v>-235.92999999999995</v>
      </c>
    </row>
    <row r="1620" spans="1:25" ht="15" x14ac:dyDescent="0.25">
      <c r="A1620" s="4">
        <v>960</v>
      </c>
      <c r="C1620" s="41" t="s">
        <v>3710</v>
      </c>
      <c r="D1620" s="42"/>
      <c r="E1620" s="5" t="str">
        <f t="shared" si="30"/>
        <v>https://www.screener.in/company//consolidated/</v>
      </c>
      <c r="F1620" s="4">
        <v>443059</v>
      </c>
      <c r="G1620" s="4">
        <v>3832241897</v>
      </c>
      <c r="H1620" s="6" t="e">
        <f t="shared" ca="1" si="31"/>
        <v>#VALUE!</v>
      </c>
      <c r="I1620" s="7" t="str">
        <f ca="1">IFERROR(__xludf.DUMMYFUNCTION("IMPORTXML(E1620,""/html/body/main/div[3]/div[3]/div[2]/ul/li[5]/span[2]/span"")"),"Loading...")</f>
        <v>Loading...</v>
      </c>
      <c r="J1620" s="7" t="str">
        <f ca="1">IFERROR(__xludf.DUMMYFUNCTION("GOOGLEFINANCE(""NSE:""&amp;D1620,""marketcap"")"),"#N/A")</f>
        <v>#N/A</v>
      </c>
      <c r="K1620" s="7">
        <v>992.8</v>
      </c>
      <c r="L1620" s="8" t="str">
        <f ca="1">IFERROR(__xludf.DUMMYFUNCTION("GOOGLEFINANCE(""NSE:""&amp;D1620,""price"")"),"#N/A")</f>
        <v>#N/A</v>
      </c>
      <c r="M1620" s="9" t="e">
        <f t="shared" ca="1" si="32"/>
        <v>#VALUE!</v>
      </c>
      <c r="N1620" s="10" t="e">
        <f t="shared" ca="1" si="33"/>
        <v>#VALUE!</v>
      </c>
      <c r="O1620" s="7" t="str">
        <f ca="1">IFERROR(__xludf.DUMMYFUNCTION("GOOGLEFINANCE(""NSE:""&amp;D1620,""pe"")"),"#N/A")</f>
        <v>#N/A</v>
      </c>
      <c r="P1620" s="7" t="str">
        <f ca="1">IFERROR(__xludf.DUMMYFUNCTION("GOOGLEFINANCE(""NSE:""&amp;D1620,""EPS"")"),"#N/A")</f>
        <v>#N/A</v>
      </c>
      <c r="Q1620" s="7">
        <v>13.5</v>
      </c>
      <c r="R1620" s="7" t="str">
        <f ca="1">IFERROR(__xludf.DUMMYFUNCTION("IMPORTXML(E1620,""/html/body/main/div[3]/div[3]/div[2]/ul/li[7]/span[2]/span"")"),"Loading...")</f>
        <v>Loading...</v>
      </c>
      <c r="S1620" s="7" t="str">
        <f ca="1">IFERROR(__xludf.DUMMYFUNCTION("IMPORTXML(E1620,""/html/body/main/div[3]/div[3]/div[2]/ul/li[8]/span[2]/span"")"),"Loading...")</f>
        <v>Loading...</v>
      </c>
      <c r="T1620" s="4">
        <v>34.6</v>
      </c>
      <c r="U1620" s="4">
        <v>22.7</v>
      </c>
      <c r="V1620" s="4">
        <v>2.6</v>
      </c>
      <c r="W1620" s="4">
        <v>5.7</v>
      </c>
      <c r="X1620" s="4">
        <v>519.92999999999995</v>
      </c>
      <c r="Y1620" s="7" t="e">
        <f t="shared" ca="1" si="34"/>
        <v>#VALUE!</v>
      </c>
    </row>
    <row r="1621" spans="1:25" ht="15" x14ac:dyDescent="0.25">
      <c r="A1621" s="4">
        <v>961</v>
      </c>
      <c r="C1621" s="41" t="s">
        <v>3711</v>
      </c>
      <c r="D1621" s="42"/>
      <c r="E1621" s="5" t="str">
        <f t="shared" si="30"/>
        <v>https://www.screener.in/company//consolidated/</v>
      </c>
      <c r="F1621" s="4">
        <v>443059</v>
      </c>
      <c r="G1621" s="4">
        <v>3832241897</v>
      </c>
      <c r="H1621" s="6" t="e">
        <f t="shared" ca="1" si="31"/>
        <v>#VALUE!</v>
      </c>
      <c r="I1621" s="7" t="str">
        <f ca="1">IFERROR(__xludf.DUMMYFUNCTION("IMPORTXML(E1621,""/html/body/main/div[3]/div[3]/div[2]/ul/li[5]/span[2]/span"")"),"Loading...")</f>
        <v>Loading...</v>
      </c>
      <c r="J1621" s="7" t="str">
        <f ca="1">IFERROR(__xludf.DUMMYFUNCTION("GOOGLEFINANCE(""NSE:""&amp;D1621,""marketcap"")"),"#N/A")</f>
        <v>#N/A</v>
      </c>
      <c r="K1621" s="7">
        <v>992.8</v>
      </c>
      <c r="L1621" s="8" t="str">
        <f ca="1">IFERROR(__xludf.DUMMYFUNCTION("GOOGLEFINANCE(""NSE:""&amp;D1621,""price"")"),"#N/A")</f>
        <v>#N/A</v>
      </c>
      <c r="M1621" s="9" t="e">
        <f t="shared" ca="1" si="32"/>
        <v>#VALUE!</v>
      </c>
      <c r="N1621" s="10" t="e">
        <f t="shared" ca="1" si="33"/>
        <v>#VALUE!</v>
      </c>
      <c r="O1621" s="7" t="str">
        <f ca="1">IFERROR(__xludf.DUMMYFUNCTION("GOOGLEFINANCE(""NSE:""&amp;D1621,""pe"")"),"#N/A")</f>
        <v>#N/A</v>
      </c>
      <c r="P1621" s="7" t="str">
        <f ca="1">IFERROR(__xludf.DUMMYFUNCTION("GOOGLEFINANCE(""NSE:""&amp;D1621,""EPS"")"),"#N/A")</f>
        <v>#N/A</v>
      </c>
      <c r="Q1621" s="7">
        <v>13.5</v>
      </c>
      <c r="R1621" s="7" t="str">
        <f ca="1">IFERROR(__xludf.DUMMYFUNCTION("IMPORTXML(E1621,""/html/body/main/div[3]/div[3]/div[2]/ul/li[7]/span[2]/span"")"),"Loading...")</f>
        <v>Loading...</v>
      </c>
      <c r="S1621" s="7" t="str">
        <f ca="1">IFERROR(__xludf.DUMMYFUNCTION("IMPORTXML(E1621,""/html/body/main/div[3]/div[3]/div[2]/ul/li[8]/span[2]/span"")"),"Loading...")</f>
        <v>Loading...</v>
      </c>
      <c r="T1621" s="4">
        <v>34.6</v>
      </c>
      <c r="U1621" s="4">
        <v>22.7</v>
      </c>
      <c r="V1621" s="4">
        <v>2.6</v>
      </c>
      <c r="W1621" s="4">
        <v>5.7</v>
      </c>
      <c r="X1621" s="4">
        <v>519.92999999999995</v>
      </c>
      <c r="Y1621" s="7" t="e">
        <f t="shared" ca="1" si="34"/>
        <v>#VALUE!</v>
      </c>
    </row>
    <row r="1622" spans="1:25" ht="15" x14ac:dyDescent="0.25">
      <c r="A1622" s="4">
        <v>964</v>
      </c>
      <c r="C1622" s="12" t="s">
        <v>3712</v>
      </c>
      <c r="D1622" s="12" t="s">
        <v>3713</v>
      </c>
      <c r="E1622" s="5" t="str">
        <f t="shared" si="30"/>
        <v>https://www.screener.in/company/BCG/consolidated/</v>
      </c>
      <c r="F1622" s="4">
        <v>443059</v>
      </c>
      <c r="G1622" s="4">
        <v>3832241897</v>
      </c>
      <c r="H1622" s="6">
        <f t="shared" ca="1" si="31"/>
        <v>5897.8202794830004</v>
      </c>
      <c r="I1622" s="7" t="str">
        <f ca="1">IFERROR(__xludf.DUMMYFUNCTION("IMPORTXML(E1622,""/html/body/main/div[3]/div[3]/div[2]/ul/li[5]/span[2]/span"")"),"Loading...")</f>
        <v>Loading...</v>
      </c>
      <c r="J1622" s="7">
        <f ca="1">IFERROR(__xludf.DUMMYFUNCTION("GOOGLEFINANCE(""NSE:""&amp;D1622,""marketcap"")"),31004481866)</f>
        <v>31004481866</v>
      </c>
      <c r="K1622" s="7">
        <v>992.8</v>
      </c>
      <c r="L1622" s="8">
        <f ca="1">IFERROR(__xludf.DUMMYFUNCTION("GOOGLEFINANCE(""NSE:""&amp;D1622,""price"")"),15.39)</f>
        <v>15.39</v>
      </c>
      <c r="M1622" s="9">
        <f t="shared" ca="1" si="32"/>
        <v>-977.41</v>
      </c>
      <c r="N1622" s="10">
        <f t="shared" ca="1" si="33"/>
        <v>-98.449838839645452</v>
      </c>
      <c r="O1622" s="7">
        <f ca="1">IFERROR(__xludf.DUMMYFUNCTION("GOOGLEFINANCE(""NSE:""&amp;D1622,""pe"")"),4.08)</f>
        <v>4.08</v>
      </c>
      <c r="P1622" s="7">
        <f ca="1">IFERROR(__xludf.DUMMYFUNCTION("GOOGLEFINANCE(""NSE:""&amp;D1622,""EPS"")"),3.77)</f>
        <v>3.77</v>
      </c>
      <c r="Q1622" s="7">
        <v>13.5</v>
      </c>
      <c r="R1622" s="7">
        <f ca="1">IFERROR(__xludf.DUMMYFUNCTION("IMPORTXML(E1622,""/html/body/main/div[3]/div[3]/div[2]/ul/li[7]/span[2]/span"")"),12.3)</f>
        <v>12.3</v>
      </c>
      <c r="S1622" s="7" t="str">
        <f ca="1">IFERROR(__xludf.DUMMYFUNCTION("IMPORTXML(E1622,""/html/body/main/div[3]/div[3]/div[2]/ul/li[8]/span[2]/span"")"),"Loading...")</f>
        <v>Loading...</v>
      </c>
      <c r="T1622" s="4">
        <v>34.6</v>
      </c>
      <c r="U1622" s="4">
        <v>22.7</v>
      </c>
      <c r="V1622" s="4">
        <v>2.6</v>
      </c>
      <c r="W1622" s="4">
        <v>5.7</v>
      </c>
      <c r="X1622" s="4">
        <v>519.92999999999995</v>
      </c>
      <c r="Y1622" s="7">
        <f t="shared" ca="1" si="34"/>
        <v>-504.53999999999996</v>
      </c>
    </row>
    <row r="1623" spans="1:25" ht="15" x14ac:dyDescent="0.25">
      <c r="A1623" s="4">
        <v>965</v>
      </c>
      <c r="C1623" s="12" t="s">
        <v>3714</v>
      </c>
      <c r="D1623" s="12" t="s">
        <v>3715</v>
      </c>
      <c r="E1623" s="5" t="str">
        <f t="shared" si="30"/>
        <v>https://www.screener.in/company/WALCHANNAG/consolidated/</v>
      </c>
      <c r="F1623" s="4">
        <v>443059</v>
      </c>
      <c r="G1623" s="4">
        <v>3832241897</v>
      </c>
      <c r="H1623" s="6">
        <f t="shared" ca="1" si="31"/>
        <v>69210.288659819998</v>
      </c>
      <c r="I1623" s="7" t="str">
        <f ca="1">IFERROR(__xludf.DUMMYFUNCTION("IMPORTXML(E1623,""/html/body/main/div[3]/div[3]/div[2]/ul/li[5]/span[2]/span"")"),"Loading...")</f>
        <v>Loading...</v>
      </c>
      <c r="J1623" s="7">
        <f ca="1">IFERROR(__xludf.DUMMYFUNCTION("GOOGLEFINANCE(""NSE:""&amp;D1623,""marketcap"")"),12228430000)</f>
        <v>12228430000</v>
      </c>
      <c r="K1623" s="7">
        <v>992.8</v>
      </c>
      <c r="L1623" s="8">
        <f ca="1">IFERROR(__xludf.DUMMYFUNCTION("GOOGLEFINANCE(""NSE:""&amp;D1623,""price"")"),180.6)</f>
        <v>180.6</v>
      </c>
      <c r="M1623" s="9">
        <f t="shared" ca="1" si="32"/>
        <v>-812.19999999999993</v>
      </c>
      <c r="N1623" s="10">
        <f t="shared" ca="1" si="33"/>
        <v>-81.809024979854954</v>
      </c>
      <c r="O1623" s="7" t="str">
        <f ca="1">IFERROR(__xludf.DUMMYFUNCTION("GOOGLEFINANCE(""NSE:""&amp;D1623,""pe"")"),"#N/A")</f>
        <v>#N/A</v>
      </c>
      <c r="P1623" s="7">
        <f ca="1">IFERROR(__xludf.DUMMYFUNCTION("GOOGLEFINANCE(""NSE:""&amp;D1623,""EPS"")"),-14.97)</f>
        <v>-14.97</v>
      </c>
      <c r="Q1623" s="7">
        <v>13.5</v>
      </c>
      <c r="R1623" s="7" t="str">
        <f ca="1">IFERROR(__xludf.DUMMYFUNCTION("IMPORTXML(E1623,""/html/body/main/div[3]/div[3]/div[2]/ul/li[7]/span[2]/span"")"),"Loading...")</f>
        <v>Loading...</v>
      </c>
      <c r="S1623" s="7" t="str">
        <f ca="1">IFERROR(__xludf.DUMMYFUNCTION("IMPORTXML(E1623,""/html/body/main/div[3]/div[3]/div[2]/ul/li[8]/span[2]/span"")"),"Loading...")</f>
        <v>Loading...</v>
      </c>
      <c r="T1623" s="4">
        <v>34.6</v>
      </c>
      <c r="U1623" s="4">
        <v>22.7</v>
      </c>
      <c r="V1623" s="4">
        <v>2.6</v>
      </c>
      <c r="W1623" s="4">
        <v>5.7</v>
      </c>
      <c r="X1623" s="4">
        <v>519.92999999999995</v>
      </c>
      <c r="Y1623" s="7">
        <f t="shared" ca="1" si="34"/>
        <v>-339.32999999999993</v>
      </c>
    </row>
    <row r="1624" spans="1:25" ht="15" x14ac:dyDescent="0.25">
      <c r="A1624" s="4">
        <v>969</v>
      </c>
      <c r="C1624" s="41" t="s">
        <v>3716</v>
      </c>
      <c r="D1624" s="42"/>
      <c r="E1624" s="5" t="str">
        <f t="shared" si="30"/>
        <v>https://www.screener.in/company//consolidated/</v>
      </c>
      <c r="F1624" s="4">
        <v>443059</v>
      </c>
      <c r="G1624" s="4">
        <v>3832241897</v>
      </c>
      <c r="H1624" s="6" t="e">
        <f t="shared" ca="1" si="31"/>
        <v>#VALUE!</v>
      </c>
      <c r="I1624" s="7" t="str">
        <f ca="1">IFERROR(__xludf.DUMMYFUNCTION("IMPORTXML(E1624,""/html/body/main/div[3]/div[3]/div[2]/ul/li[5]/span[2]/span"")"),"Loading...")</f>
        <v>Loading...</v>
      </c>
      <c r="J1624" s="7" t="str">
        <f ca="1">IFERROR(__xludf.DUMMYFUNCTION("GOOGLEFINANCE(""NSE:""&amp;D1624,""marketcap"")"),"#N/A")</f>
        <v>#N/A</v>
      </c>
      <c r="K1624" s="7">
        <v>992.8</v>
      </c>
      <c r="L1624" s="8" t="str">
        <f ca="1">IFERROR(__xludf.DUMMYFUNCTION("GOOGLEFINANCE(""NSE:""&amp;D1624,""price"")"),"#N/A")</f>
        <v>#N/A</v>
      </c>
      <c r="M1624" s="9" t="e">
        <f t="shared" ca="1" si="32"/>
        <v>#VALUE!</v>
      </c>
      <c r="N1624" s="10" t="e">
        <f t="shared" ca="1" si="33"/>
        <v>#VALUE!</v>
      </c>
      <c r="O1624" s="7" t="str">
        <f ca="1">IFERROR(__xludf.DUMMYFUNCTION("GOOGLEFINANCE(""NSE:""&amp;D1624,""pe"")"),"#N/A")</f>
        <v>#N/A</v>
      </c>
      <c r="P1624" s="7" t="str">
        <f ca="1">IFERROR(__xludf.DUMMYFUNCTION("GOOGLEFINANCE(""NSE:""&amp;D1624,""EPS"")"),"#N/A")</f>
        <v>#N/A</v>
      </c>
      <c r="Q1624" s="7">
        <v>13.5</v>
      </c>
      <c r="R1624" s="7" t="str">
        <f ca="1">IFERROR(__xludf.DUMMYFUNCTION("IMPORTXML(E1624,""/html/body/main/div[3]/div[3]/div[2]/ul/li[7]/span[2]/span"")"),"Loading...")</f>
        <v>Loading...</v>
      </c>
      <c r="S1624" s="7" t="str">
        <f ca="1">IFERROR(__xludf.DUMMYFUNCTION("IMPORTXML(E1624,""/html/body/main/div[3]/div[3]/div[2]/ul/li[8]/span[2]/span"")"),"Loading...")</f>
        <v>Loading...</v>
      </c>
      <c r="T1624" s="4">
        <v>34.6</v>
      </c>
      <c r="U1624" s="4">
        <v>22.7</v>
      </c>
      <c r="V1624" s="4">
        <v>2.6</v>
      </c>
      <c r="W1624" s="4">
        <v>5.7</v>
      </c>
      <c r="X1624" s="4">
        <v>519.92999999999995</v>
      </c>
      <c r="Y1624" s="7" t="e">
        <f t="shared" ca="1" si="34"/>
        <v>#VALUE!</v>
      </c>
    </row>
    <row r="1625" spans="1:25" ht="15" x14ac:dyDescent="0.25">
      <c r="A1625" s="4">
        <v>973</v>
      </c>
      <c r="C1625" s="41" t="s">
        <v>3717</v>
      </c>
      <c r="D1625" s="42"/>
      <c r="E1625" s="5" t="str">
        <f t="shared" si="30"/>
        <v>https://www.screener.in/company//consolidated/</v>
      </c>
      <c r="F1625" s="4">
        <v>443059</v>
      </c>
      <c r="G1625" s="4">
        <v>3832241897</v>
      </c>
      <c r="H1625" s="6" t="e">
        <f t="shared" ca="1" si="31"/>
        <v>#VALUE!</v>
      </c>
      <c r="I1625" s="7" t="str">
        <f ca="1">IFERROR(__xludf.DUMMYFUNCTION("IMPORTXML(E1625,""/html/body/main/div[3]/div[3]/div[2]/ul/li[5]/span[2]/span"")"),"Loading...")</f>
        <v>Loading...</v>
      </c>
      <c r="J1625" s="7" t="str">
        <f ca="1">IFERROR(__xludf.DUMMYFUNCTION("GOOGLEFINANCE(""NSE:""&amp;D1625,""marketcap"")"),"#N/A")</f>
        <v>#N/A</v>
      </c>
      <c r="K1625" s="7">
        <v>992.8</v>
      </c>
      <c r="L1625" s="8" t="str">
        <f ca="1">IFERROR(__xludf.DUMMYFUNCTION("GOOGLEFINANCE(""NSE:""&amp;D1625,""price"")"),"#N/A")</f>
        <v>#N/A</v>
      </c>
      <c r="M1625" s="9" t="e">
        <f t="shared" ca="1" si="32"/>
        <v>#VALUE!</v>
      </c>
      <c r="N1625" s="10" t="e">
        <f t="shared" ca="1" si="33"/>
        <v>#VALUE!</v>
      </c>
      <c r="O1625" s="7" t="str">
        <f ca="1">IFERROR(__xludf.DUMMYFUNCTION("GOOGLEFINANCE(""NSE:""&amp;D1625,""pe"")"),"#N/A")</f>
        <v>#N/A</v>
      </c>
      <c r="P1625" s="7" t="str">
        <f ca="1">IFERROR(__xludf.DUMMYFUNCTION("GOOGLEFINANCE(""NSE:""&amp;D1625,""EPS"")"),"#N/A")</f>
        <v>#N/A</v>
      </c>
      <c r="Q1625" s="7">
        <v>13.5</v>
      </c>
      <c r="R1625" s="7" t="str">
        <f ca="1">IFERROR(__xludf.DUMMYFUNCTION("IMPORTXML(E1625,""/html/body/main/div[3]/div[3]/div[2]/ul/li[7]/span[2]/span"")"),"Loading...")</f>
        <v>Loading...</v>
      </c>
      <c r="S1625" s="7" t="str">
        <f ca="1">IFERROR(__xludf.DUMMYFUNCTION("IMPORTXML(E1625,""/html/body/main/div[3]/div[3]/div[2]/ul/li[8]/span[2]/span"")"),"Loading...")</f>
        <v>Loading...</v>
      </c>
      <c r="T1625" s="4">
        <v>34.6</v>
      </c>
      <c r="U1625" s="4">
        <v>22.7</v>
      </c>
      <c r="V1625" s="4">
        <v>2.6</v>
      </c>
      <c r="W1625" s="4">
        <v>5.7</v>
      </c>
      <c r="X1625" s="4">
        <v>519.92999999999995</v>
      </c>
      <c r="Y1625" s="7" t="e">
        <f t="shared" ca="1" si="34"/>
        <v>#VALUE!</v>
      </c>
    </row>
    <row r="1626" spans="1:25" ht="15" x14ac:dyDescent="0.25">
      <c r="A1626" s="4">
        <v>976</v>
      </c>
      <c r="C1626" s="12" t="s">
        <v>3718</v>
      </c>
      <c r="D1626" s="12" t="s">
        <v>3719</v>
      </c>
      <c r="E1626" s="5" t="str">
        <f t="shared" si="30"/>
        <v>https://www.screener.in/company/ZOTA/consolidated/</v>
      </c>
      <c r="F1626" s="4">
        <v>443059</v>
      </c>
      <c r="G1626" s="4">
        <v>3832241897</v>
      </c>
      <c r="H1626" s="6">
        <f t="shared" ca="1" si="31"/>
        <v>517352.65609499998</v>
      </c>
      <c r="I1626" s="7" t="str">
        <f ca="1">IFERROR(__xludf.DUMMYFUNCTION("IMPORTXML(E1626,""/html/body/main/div[3]/div[3]/div[2]/ul/li[5]/span[2]/span"")"),"Loading...")</f>
        <v>Loading...</v>
      </c>
      <c r="J1626" s="7">
        <f ca="1">IFERROR(__xludf.DUMMYFUNCTION("GOOGLEFINANCE(""NSE:""&amp;D1626,""marketcap"")"),40949077500)</f>
        <v>40949077500</v>
      </c>
      <c r="K1626" s="7">
        <v>992.8</v>
      </c>
      <c r="L1626" s="8">
        <f ca="1">IFERROR(__xludf.DUMMYFUNCTION("GOOGLEFINANCE(""NSE:""&amp;D1626,""price"")"),1350)</f>
        <v>1350</v>
      </c>
      <c r="M1626" s="9">
        <f t="shared" ca="1" si="32"/>
        <v>357.20000000000005</v>
      </c>
      <c r="N1626" s="10">
        <f t="shared" ca="1" si="33"/>
        <v>35.979049153908143</v>
      </c>
      <c r="O1626" s="7" t="str">
        <f ca="1">IFERROR(__xludf.DUMMYFUNCTION("GOOGLEFINANCE(""NSE:""&amp;D1626,""pe"")"),"#N/A")</f>
        <v>#N/A</v>
      </c>
      <c r="P1626" s="7">
        <f ca="1">IFERROR(__xludf.DUMMYFUNCTION("GOOGLEFINANCE(""NSE:""&amp;D1626,""EPS"")"),-20.86)</f>
        <v>-20.86</v>
      </c>
      <c r="Q1626" s="7">
        <v>13.5</v>
      </c>
      <c r="R1626" s="7" t="str">
        <f ca="1">IFERROR(__xludf.DUMMYFUNCTION("IMPORTXML(E1626,""/html/body/main/div[3]/div[3]/div[2]/ul/li[7]/span[2]/span"")"),"Loading...")</f>
        <v>Loading...</v>
      </c>
      <c r="S1626" s="7" t="str">
        <f ca="1">IFERROR(__xludf.DUMMYFUNCTION("IMPORTXML(E1626,""/html/body/main/div[3]/div[3]/div[2]/ul/li[8]/span[2]/span"")"),"Loading...")</f>
        <v>Loading...</v>
      </c>
      <c r="T1626" s="4">
        <v>34.6</v>
      </c>
      <c r="U1626" s="4">
        <v>22.7</v>
      </c>
      <c r="V1626" s="4">
        <v>2.6</v>
      </c>
      <c r="W1626" s="4">
        <v>5.7</v>
      </c>
      <c r="X1626" s="4">
        <v>519.92999999999995</v>
      </c>
      <c r="Y1626" s="7">
        <f t="shared" ca="1" si="34"/>
        <v>830.07</v>
      </c>
    </row>
    <row r="1627" spans="1:25" ht="15" x14ac:dyDescent="0.25">
      <c r="A1627" s="4">
        <v>977</v>
      </c>
      <c r="C1627" s="41" t="s">
        <v>3720</v>
      </c>
      <c r="D1627" s="42"/>
      <c r="E1627" s="5" t="str">
        <f t="shared" si="30"/>
        <v>https://www.screener.in/company//consolidated/</v>
      </c>
      <c r="F1627" s="4">
        <v>443059</v>
      </c>
      <c r="G1627" s="4">
        <v>3832241897</v>
      </c>
      <c r="H1627" s="6" t="e">
        <f t="shared" ca="1" si="31"/>
        <v>#VALUE!</v>
      </c>
      <c r="I1627" s="7" t="str">
        <f ca="1">IFERROR(__xludf.DUMMYFUNCTION("IMPORTXML(E1627,""/html/body/main/div[3]/div[3]/div[2]/ul/li[5]/span[2]/span"")"),"Loading...")</f>
        <v>Loading...</v>
      </c>
      <c r="J1627" s="7" t="str">
        <f ca="1">IFERROR(__xludf.DUMMYFUNCTION("GOOGLEFINANCE(""NSE:""&amp;D1627,""marketcap"")"),"#N/A")</f>
        <v>#N/A</v>
      </c>
      <c r="K1627" s="7">
        <v>992.8</v>
      </c>
      <c r="L1627" s="8" t="str">
        <f ca="1">IFERROR(__xludf.DUMMYFUNCTION("GOOGLEFINANCE(""NSE:""&amp;D1627,""price"")"),"#N/A")</f>
        <v>#N/A</v>
      </c>
      <c r="M1627" s="9" t="e">
        <f t="shared" ca="1" si="32"/>
        <v>#VALUE!</v>
      </c>
      <c r="N1627" s="10" t="e">
        <f t="shared" ca="1" si="33"/>
        <v>#VALUE!</v>
      </c>
      <c r="O1627" s="7" t="str">
        <f ca="1">IFERROR(__xludf.DUMMYFUNCTION("GOOGLEFINANCE(""NSE:""&amp;D1627,""pe"")"),"#N/A")</f>
        <v>#N/A</v>
      </c>
      <c r="P1627" s="7" t="str">
        <f ca="1">IFERROR(__xludf.DUMMYFUNCTION("GOOGLEFINANCE(""NSE:""&amp;D1627,""EPS"")"),"#N/A")</f>
        <v>#N/A</v>
      </c>
      <c r="Q1627" s="7">
        <v>13.5</v>
      </c>
      <c r="R1627" s="7" t="str">
        <f ca="1">IFERROR(__xludf.DUMMYFUNCTION("IMPORTXML(E1627,""/html/body/main/div[3]/div[3]/div[2]/ul/li[7]/span[2]/span"")"),"Loading...")</f>
        <v>Loading...</v>
      </c>
      <c r="S1627" s="7" t="str">
        <f ca="1">IFERROR(__xludf.DUMMYFUNCTION("IMPORTXML(E1627,""/html/body/main/div[3]/div[3]/div[2]/ul/li[8]/span[2]/span"")"),"Loading...")</f>
        <v>Loading...</v>
      </c>
      <c r="T1627" s="4">
        <v>34.6</v>
      </c>
      <c r="U1627" s="4">
        <v>22.7</v>
      </c>
      <c r="V1627" s="4">
        <v>2.6</v>
      </c>
      <c r="W1627" s="4">
        <v>5.7</v>
      </c>
      <c r="X1627" s="4">
        <v>519.92999999999995</v>
      </c>
      <c r="Y1627" s="7" t="e">
        <f t="shared" ca="1" si="34"/>
        <v>#VALUE!</v>
      </c>
    </row>
    <row r="1628" spans="1:25" ht="15" x14ac:dyDescent="0.25">
      <c r="A1628" s="4">
        <v>981</v>
      </c>
      <c r="C1628" s="41" t="s">
        <v>3721</v>
      </c>
      <c r="D1628" s="42"/>
      <c r="E1628" s="5" t="str">
        <f t="shared" si="30"/>
        <v>https://www.screener.in/company//consolidated/</v>
      </c>
      <c r="F1628" s="4">
        <v>443059</v>
      </c>
      <c r="G1628" s="4">
        <v>3832241897</v>
      </c>
      <c r="H1628" s="6" t="e">
        <f t="shared" ca="1" si="31"/>
        <v>#VALUE!</v>
      </c>
      <c r="I1628" s="7" t="str">
        <f ca="1">IFERROR(__xludf.DUMMYFUNCTION("IMPORTXML(E1628,""/html/body/main/div[3]/div[3]/div[2]/ul/li[5]/span[2]/span"")"),"Loading...")</f>
        <v>Loading...</v>
      </c>
      <c r="J1628" s="7" t="str">
        <f ca="1">IFERROR(__xludf.DUMMYFUNCTION("GOOGLEFINANCE(""NSE:""&amp;D1628,""marketcap"")"),"#N/A")</f>
        <v>#N/A</v>
      </c>
      <c r="K1628" s="7">
        <v>992.8</v>
      </c>
      <c r="L1628" s="8" t="str">
        <f ca="1">IFERROR(__xludf.DUMMYFUNCTION("GOOGLEFINANCE(""NSE:""&amp;D1628,""price"")"),"#N/A")</f>
        <v>#N/A</v>
      </c>
      <c r="M1628" s="9" t="e">
        <f t="shared" ca="1" si="32"/>
        <v>#VALUE!</v>
      </c>
      <c r="N1628" s="10" t="e">
        <f t="shared" ca="1" si="33"/>
        <v>#VALUE!</v>
      </c>
      <c r="O1628" s="7" t="str">
        <f ca="1">IFERROR(__xludf.DUMMYFUNCTION("GOOGLEFINANCE(""NSE:""&amp;D1628,""pe"")"),"#N/A")</f>
        <v>#N/A</v>
      </c>
      <c r="P1628" s="7" t="str">
        <f ca="1">IFERROR(__xludf.DUMMYFUNCTION("GOOGLEFINANCE(""NSE:""&amp;D1628,""EPS"")"),"#N/A")</f>
        <v>#N/A</v>
      </c>
      <c r="Q1628" s="7">
        <v>13.5</v>
      </c>
      <c r="R1628" s="7" t="str">
        <f ca="1">IFERROR(__xludf.DUMMYFUNCTION("IMPORTXML(E1628,""/html/body/main/div[3]/div[3]/div[2]/ul/li[7]/span[2]/span"")"),"Loading...")</f>
        <v>Loading...</v>
      </c>
      <c r="S1628" s="7" t="str">
        <f ca="1">IFERROR(__xludf.DUMMYFUNCTION("IMPORTXML(E1628,""/html/body/main/div[3]/div[3]/div[2]/ul/li[8]/span[2]/span"")"),"Loading...")</f>
        <v>Loading...</v>
      </c>
      <c r="T1628" s="4">
        <v>34.6</v>
      </c>
      <c r="U1628" s="4">
        <v>22.7</v>
      </c>
      <c r="V1628" s="4">
        <v>2.6</v>
      </c>
      <c r="W1628" s="4">
        <v>5.7</v>
      </c>
      <c r="X1628" s="4">
        <v>519.92999999999995</v>
      </c>
      <c r="Y1628" s="7" t="e">
        <f t="shared" ca="1" si="34"/>
        <v>#VALUE!</v>
      </c>
    </row>
    <row r="1629" spans="1:25" ht="15" x14ac:dyDescent="0.25">
      <c r="A1629" s="4">
        <v>983</v>
      </c>
      <c r="C1629" s="41" t="s">
        <v>3722</v>
      </c>
      <c r="D1629" s="42"/>
      <c r="E1629" s="5" t="str">
        <f t="shared" si="30"/>
        <v>https://www.screener.in/company//consolidated/</v>
      </c>
      <c r="F1629" s="4">
        <v>443059</v>
      </c>
      <c r="G1629" s="4">
        <v>3832241897</v>
      </c>
      <c r="H1629" s="6" t="e">
        <f t="shared" ca="1" si="31"/>
        <v>#VALUE!</v>
      </c>
      <c r="I1629" s="7" t="str">
        <f ca="1">IFERROR(__xludf.DUMMYFUNCTION("IMPORTXML(E1629,""/html/body/main/div[3]/div[3]/div[2]/ul/li[5]/span[2]/span"")"),"Loading...")</f>
        <v>Loading...</v>
      </c>
      <c r="J1629" s="7" t="str">
        <f ca="1">IFERROR(__xludf.DUMMYFUNCTION("GOOGLEFINANCE(""NSE:""&amp;D1629,""marketcap"")"),"#N/A")</f>
        <v>#N/A</v>
      </c>
      <c r="K1629" s="7">
        <v>992.8</v>
      </c>
      <c r="L1629" s="8" t="str">
        <f ca="1">IFERROR(__xludf.DUMMYFUNCTION("GOOGLEFINANCE(""NSE:""&amp;D1629,""price"")"),"#N/A")</f>
        <v>#N/A</v>
      </c>
      <c r="M1629" s="9" t="e">
        <f t="shared" ca="1" si="32"/>
        <v>#VALUE!</v>
      </c>
      <c r="N1629" s="10" t="e">
        <f t="shared" ca="1" si="33"/>
        <v>#VALUE!</v>
      </c>
      <c r="O1629" s="7" t="str">
        <f ca="1">IFERROR(__xludf.DUMMYFUNCTION("GOOGLEFINANCE(""NSE:""&amp;D1629,""pe"")"),"#N/A")</f>
        <v>#N/A</v>
      </c>
      <c r="P1629" s="7" t="str">
        <f ca="1">IFERROR(__xludf.DUMMYFUNCTION("GOOGLEFINANCE(""NSE:""&amp;D1629,""EPS"")"),"#N/A")</f>
        <v>#N/A</v>
      </c>
      <c r="Q1629" s="7">
        <v>13.5</v>
      </c>
      <c r="R1629" s="7" t="str">
        <f ca="1">IFERROR(__xludf.DUMMYFUNCTION("IMPORTXML(E1629,""/html/body/main/div[3]/div[3]/div[2]/ul/li[7]/span[2]/span"")"),"Loading...")</f>
        <v>Loading...</v>
      </c>
      <c r="S1629" s="7" t="str">
        <f ca="1">IFERROR(__xludf.DUMMYFUNCTION("IMPORTXML(E1629,""/html/body/main/div[3]/div[3]/div[2]/ul/li[8]/span[2]/span"")"),"Loading...")</f>
        <v>Loading...</v>
      </c>
      <c r="T1629" s="4">
        <v>34.6</v>
      </c>
      <c r="U1629" s="4">
        <v>22.7</v>
      </c>
      <c r="V1629" s="4">
        <v>2.6</v>
      </c>
      <c r="W1629" s="4">
        <v>5.7</v>
      </c>
      <c r="X1629" s="4">
        <v>519.92999999999995</v>
      </c>
      <c r="Y1629" s="7" t="e">
        <f t="shared" ca="1" si="34"/>
        <v>#VALUE!</v>
      </c>
    </row>
    <row r="1630" spans="1:25" ht="15" x14ac:dyDescent="0.25">
      <c r="A1630" s="4">
        <v>986</v>
      </c>
      <c r="C1630" s="12" t="s">
        <v>3723</v>
      </c>
      <c r="D1630" s="12" t="s">
        <v>3724</v>
      </c>
      <c r="E1630" s="5" t="str">
        <f t="shared" si="30"/>
        <v>https://www.screener.in/company/TEXINFRA/consolidated/</v>
      </c>
      <c r="F1630" s="4">
        <v>443059</v>
      </c>
      <c r="G1630" s="4">
        <v>3832241897</v>
      </c>
      <c r="H1630" s="6">
        <f t="shared" ca="1" si="31"/>
        <v>36023.0738318</v>
      </c>
      <c r="I1630" s="7" t="str">
        <f ca="1">IFERROR(__xludf.DUMMYFUNCTION("IMPORTXML(E1630,""/html/body/main/div[3]/div[3]/div[2]/ul/li[5]/span[2]/span"")"),"Loading...")</f>
        <v>Loading...</v>
      </c>
      <c r="J1630" s="7">
        <f ca="1">IFERROR(__xludf.DUMMYFUNCTION("GOOGLEFINANCE(""NSE:""&amp;D1630,""marketcap"")"),12017600000)</f>
        <v>12017600000</v>
      </c>
      <c r="K1630" s="7">
        <v>992.8</v>
      </c>
      <c r="L1630" s="8">
        <f ca="1">IFERROR(__xludf.DUMMYFUNCTION("GOOGLEFINANCE(""NSE:""&amp;D1630,""price"")"),94)</f>
        <v>94</v>
      </c>
      <c r="M1630" s="9">
        <f t="shared" ca="1" si="32"/>
        <v>-898.8</v>
      </c>
      <c r="N1630" s="10">
        <f t="shared" ca="1" si="33"/>
        <v>-90.531829170024167</v>
      </c>
      <c r="O1630" s="7" t="str">
        <f ca="1">IFERROR(__xludf.DUMMYFUNCTION("GOOGLEFINANCE(""NSE:""&amp;D1630,""pe"")"),"#N/A")</f>
        <v>#N/A</v>
      </c>
      <c r="P1630" s="7">
        <f ca="1">IFERROR(__xludf.DUMMYFUNCTION("GOOGLEFINANCE(""NSE:""&amp;D1630,""EPS"")"),-0.28)</f>
        <v>-0.28000000000000003</v>
      </c>
      <c r="Q1630" s="7">
        <v>13.5</v>
      </c>
      <c r="R1630" s="7" t="str">
        <f ca="1">IFERROR(__xludf.DUMMYFUNCTION("IMPORTXML(E1630,""/html/body/main/div[3]/div[3]/div[2]/ul/li[7]/span[2]/span"")"),"Loading...")</f>
        <v>Loading...</v>
      </c>
      <c r="S1630" s="7" t="str">
        <f ca="1">IFERROR(__xludf.DUMMYFUNCTION("IMPORTXML(E1630,""/html/body/main/div[3]/div[3]/div[2]/ul/li[8]/span[2]/span"")"),"Loading...")</f>
        <v>Loading...</v>
      </c>
      <c r="T1630" s="4">
        <v>34.6</v>
      </c>
      <c r="U1630" s="4">
        <v>22.7</v>
      </c>
      <c r="V1630" s="4">
        <v>2.6</v>
      </c>
      <c r="W1630" s="4">
        <v>5.7</v>
      </c>
      <c r="X1630" s="4">
        <v>519.92999999999995</v>
      </c>
      <c r="Y1630" s="7">
        <f t="shared" ca="1" si="34"/>
        <v>-425.92999999999995</v>
      </c>
    </row>
    <row r="1631" spans="1:25" ht="15" x14ac:dyDescent="0.25">
      <c r="A1631" s="4">
        <v>990</v>
      </c>
      <c r="C1631" s="41" t="s">
        <v>3725</v>
      </c>
      <c r="D1631" s="42"/>
      <c r="E1631" s="5" t="str">
        <f t="shared" si="30"/>
        <v>https://www.screener.in/company//consolidated/</v>
      </c>
      <c r="F1631" s="4">
        <v>443059</v>
      </c>
      <c r="G1631" s="4">
        <v>3832241897</v>
      </c>
      <c r="H1631" s="6" t="e">
        <f t="shared" ca="1" si="31"/>
        <v>#VALUE!</v>
      </c>
      <c r="I1631" s="7" t="str">
        <f ca="1">IFERROR(__xludf.DUMMYFUNCTION("IMPORTXML(E1631,""/html/body/main/div[3]/div[3]/div[2]/ul/li[5]/span[2]/span"")"),"Loading...")</f>
        <v>Loading...</v>
      </c>
      <c r="J1631" s="7" t="str">
        <f ca="1">IFERROR(__xludf.DUMMYFUNCTION("GOOGLEFINANCE(""NSE:""&amp;D1631,""marketcap"")"),"#N/A")</f>
        <v>#N/A</v>
      </c>
      <c r="K1631" s="7">
        <v>992.8</v>
      </c>
      <c r="L1631" s="8" t="str">
        <f ca="1">IFERROR(__xludf.DUMMYFUNCTION("GOOGLEFINANCE(""NSE:""&amp;D1631,""price"")"),"#N/A")</f>
        <v>#N/A</v>
      </c>
      <c r="M1631" s="9" t="e">
        <f t="shared" ca="1" si="32"/>
        <v>#VALUE!</v>
      </c>
      <c r="N1631" s="10" t="e">
        <f t="shared" ca="1" si="33"/>
        <v>#VALUE!</v>
      </c>
      <c r="O1631" s="7" t="str">
        <f ca="1">IFERROR(__xludf.DUMMYFUNCTION("GOOGLEFINANCE(""NSE:""&amp;D1631,""pe"")"),"#N/A")</f>
        <v>#N/A</v>
      </c>
      <c r="P1631" s="7" t="str">
        <f ca="1">IFERROR(__xludf.DUMMYFUNCTION("GOOGLEFINANCE(""NSE:""&amp;D1631,""EPS"")"),"#N/A")</f>
        <v>#N/A</v>
      </c>
      <c r="Q1631" s="7">
        <v>13.5</v>
      </c>
      <c r="R1631" s="7" t="str">
        <f ca="1">IFERROR(__xludf.DUMMYFUNCTION("IMPORTXML(E1631,""/html/body/main/div[3]/div[3]/div[2]/ul/li[7]/span[2]/span"")"),"Loading...")</f>
        <v>Loading...</v>
      </c>
      <c r="S1631" s="7" t="str">
        <f ca="1">IFERROR(__xludf.DUMMYFUNCTION("IMPORTXML(E1631,""/html/body/main/div[3]/div[3]/div[2]/ul/li[8]/span[2]/span"")"),"Loading...")</f>
        <v>Loading...</v>
      </c>
      <c r="T1631" s="4">
        <v>34.6</v>
      </c>
      <c r="U1631" s="4">
        <v>22.7</v>
      </c>
      <c r="V1631" s="4">
        <v>2.6</v>
      </c>
      <c r="W1631" s="4">
        <v>5.7</v>
      </c>
      <c r="X1631" s="4">
        <v>519.92999999999995</v>
      </c>
      <c r="Y1631" s="7" t="e">
        <f t="shared" ca="1" si="34"/>
        <v>#VALUE!</v>
      </c>
    </row>
    <row r="1632" spans="1:25" ht="15" x14ac:dyDescent="0.25">
      <c r="A1632" s="4">
        <v>994</v>
      </c>
      <c r="C1632" s="12" t="s">
        <v>3726</v>
      </c>
      <c r="D1632" s="12" t="s">
        <v>3727</v>
      </c>
      <c r="E1632" s="5" t="str">
        <f t="shared" si="30"/>
        <v>https://www.screener.in/company/RML/consolidated/</v>
      </c>
      <c r="F1632" s="4">
        <v>443059</v>
      </c>
      <c r="G1632" s="4">
        <v>3832241897</v>
      </c>
      <c r="H1632" s="6">
        <f t="shared" ca="1" si="31"/>
        <v>322559.80047049007</v>
      </c>
      <c r="I1632" s="7" t="str">
        <f ca="1">IFERROR(__xludf.DUMMYFUNCTION("IMPORTXML(E1632,""/html/body/main/div[3]/div[3]/div[2]/ul/li[5]/span[2]/span"")"),"Loading...")</f>
        <v>Loading...</v>
      </c>
      <c r="J1632" s="7">
        <f ca="1">IFERROR(__xludf.DUMMYFUNCTION("GOOGLEFINANCE(""NSE:""&amp;D1632,""marketcap"")"),23461171433)</f>
        <v>23461171433</v>
      </c>
      <c r="K1632" s="7">
        <v>992.8</v>
      </c>
      <c r="L1632" s="8">
        <f ca="1">IFERROR(__xludf.DUMMYFUNCTION("GOOGLEFINANCE(""NSE:""&amp;D1632,""price"")"),841.7)</f>
        <v>841.7</v>
      </c>
      <c r="M1632" s="9">
        <f t="shared" ca="1" si="32"/>
        <v>-151.09999999999991</v>
      </c>
      <c r="N1632" s="10">
        <f t="shared" ca="1" si="33"/>
        <v>-15.219580983078155</v>
      </c>
      <c r="O1632" s="7">
        <f ca="1">IFERROR(__xludf.DUMMYFUNCTION("GOOGLEFINANCE(""NSE:""&amp;D1632,""pe"")"),30.34)</f>
        <v>30.34</v>
      </c>
      <c r="P1632" s="7">
        <f ca="1">IFERROR(__xludf.DUMMYFUNCTION("GOOGLEFINANCE(""NSE:""&amp;D1632,""EPS"")"),27.74)</f>
        <v>27.74</v>
      </c>
      <c r="Q1632" s="7">
        <v>13.5</v>
      </c>
      <c r="R1632" s="7" t="str">
        <f ca="1">IFERROR(__xludf.DUMMYFUNCTION("IMPORTXML(E1632,""/html/body/main/div[3]/div[3]/div[2]/ul/li[7]/span[2]/span"")"),"Loading...")</f>
        <v>Loading...</v>
      </c>
      <c r="S1632" s="7" t="str">
        <f ca="1">IFERROR(__xludf.DUMMYFUNCTION("IMPORTXML(E1632,""/html/body/main/div[3]/div[3]/div[2]/ul/li[8]/span[2]/span"")"),"Loading...")</f>
        <v>Loading...</v>
      </c>
      <c r="T1632" s="4">
        <v>34.6</v>
      </c>
      <c r="U1632" s="4">
        <v>22.7</v>
      </c>
      <c r="V1632" s="4">
        <v>2.6</v>
      </c>
      <c r="W1632" s="4">
        <v>5.7</v>
      </c>
      <c r="X1632" s="4">
        <v>519.92999999999995</v>
      </c>
      <c r="Y1632" s="7">
        <f t="shared" ca="1" si="34"/>
        <v>321.7700000000001</v>
      </c>
    </row>
    <row r="1633" spans="1:25" ht="15" x14ac:dyDescent="0.25">
      <c r="A1633" s="4">
        <v>996</v>
      </c>
      <c r="C1633" s="12" t="s">
        <v>3728</v>
      </c>
      <c r="D1633" s="12" t="s">
        <v>3729</v>
      </c>
      <c r="E1633" s="5" t="str">
        <f t="shared" si="30"/>
        <v>https://www.screener.in/company/EVERESTIND/consolidated/</v>
      </c>
      <c r="F1633" s="4">
        <v>443059</v>
      </c>
      <c r="G1633" s="4">
        <v>3832241897</v>
      </c>
      <c r="H1633" s="6">
        <f t="shared" ca="1" si="31"/>
        <v>255227.3103402</v>
      </c>
      <c r="I1633" s="7" t="str">
        <f ca="1">IFERROR(__xludf.DUMMYFUNCTION("IMPORTXML(E1633,""/html/body/main/div[3]/div[3]/div[2]/ul/li[5]/span[2]/span"")"),"Loading...")</f>
        <v>Loading...</v>
      </c>
      <c r="J1633" s="7">
        <f ca="1">IFERROR(__xludf.DUMMYFUNCTION("GOOGLEFINANCE(""NSE:""&amp;D1633,""marketcap"")"),10536040080)</f>
        <v>10536040080</v>
      </c>
      <c r="K1633" s="7">
        <v>992.8</v>
      </c>
      <c r="L1633" s="8">
        <f ca="1">IFERROR(__xludf.DUMMYFUNCTION("GOOGLEFINANCE(""NSE:""&amp;D1633,""price"")"),666)</f>
        <v>666</v>
      </c>
      <c r="M1633" s="9">
        <f t="shared" ca="1" si="32"/>
        <v>-326.79999999999995</v>
      </c>
      <c r="N1633" s="10">
        <f t="shared" ca="1" si="33"/>
        <v>-32.917002417405314</v>
      </c>
      <c r="O1633" s="7" t="str">
        <f ca="1">IFERROR(__xludf.DUMMYFUNCTION("GOOGLEFINANCE(""NSE:""&amp;D1633,""pe"")"),"#N/A")</f>
        <v>#N/A</v>
      </c>
      <c r="P1633" s="7">
        <f ca="1">IFERROR(__xludf.DUMMYFUNCTION("GOOGLEFINANCE(""NSE:""&amp;D1633,""EPS"")"),-11.3)</f>
        <v>-11.3</v>
      </c>
      <c r="Q1633" s="7">
        <v>13.5</v>
      </c>
      <c r="R1633" s="7" t="str">
        <f ca="1">IFERROR(__xludf.DUMMYFUNCTION("IMPORTXML(E1633,""/html/body/main/div[3]/div[3]/div[2]/ul/li[7]/span[2]/span"")"),"Loading...")</f>
        <v>Loading...</v>
      </c>
      <c r="S1633" s="7" t="str">
        <f ca="1">IFERROR(__xludf.DUMMYFUNCTION("IMPORTXML(E1633,""/html/body/main/div[3]/div[3]/div[2]/ul/li[8]/span[2]/span"")"),"Loading...")</f>
        <v>Loading...</v>
      </c>
      <c r="T1633" s="4">
        <v>34.6</v>
      </c>
      <c r="U1633" s="4">
        <v>22.7</v>
      </c>
      <c r="V1633" s="4">
        <v>2.6</v>
      </c>
      <c r="W1633" s="4">
        <v>5.7</v>
      </c>
      <c r="X1633" s="4">
        <v>519.92999999999995</v>
      </c>
      <c r="Y1633" s="7">
        <f t="shared" ca="1" si="34"/>
        <v>146.07000000000005</v>
      </c>
    </row>
    <row r="1634" spans="1:25" ht="15" x14ac:dyDescent="0.25">
      <c r="A1634" s="4">
        <v>999</v>
      </c>
      <c r="C1634" s="41" t="s">
        <v>3730</v>
      </c>
      <c r="D1634" s="42"/>
      <c r="E1634" s="5" t="str">
        <f t="shared" si="30"/>
        <v>https://www.screener.in/company//consolidated/</v>
      </c>
      <c r="F1634" s="4">
        <v>443059</v>
      </c>
      <c r="G1634" s="4">
        <v>3832241897</v>
      </c>
      <c r="H1634" s="6" t="e">
        <f t="shared" ca="1" si="31"/>
        <v>#VALUE!</v>
      </c>
      <c r="I1634" s="7" t="str">
        <f ca="1">IFERROR(__xludf.DUMMYFUNCTION("IMPORTXML(E1634,""/html/body/main/div[3]/div[3]/div[2]/ul/li[5]/span[2]/span"")"),"Loading...")</f>
        <v>Loading...</v>
      </c>
      <c r="J1634" s="7" t="str">
        <f ca="1">IFERROR(__xludf.DUMMYFUNCTION("GOOGLEFINANCE(""NSE:""&amp;D1634,""marketcap"")"),"#N/A")</f>
        <v>#N/A</v>
      </c>
      <c r="K1634" s="7">
        <v>992.8</v>
      </c>
      <c r="L1634" s="8" t="str">
        <f ca="1">IFERROR(__xludf.DUMMYFUNCTION("GOOGLEFINANCE(""NSE:""&amp;D1634,""price"")"),"#N/A")</f>
        <v>#N/A</v>
      </c>
      <c r="M1634" s="9" t="e">
        <f t="shared" ca="1" si="32"/>
        <v>#VALUE!</v>
      </c>
      <c r="N1634" s="10" t="e">
        <f t="shared" ca="1" si="33"/>
        <v>#VALUE!</v>
      </c>
      <c r="O1634" s="7" t="str">
        <f ca="1">IFERROR(__xludf.DUMMYFUNCTION("GOOGLEFINANCE(""NSE:""&amp;D1634,""pe"")"),"#N/A")</f>
        <v>#N/A</v>
      </c>
      <c r="P1634" s="7" t="str">
        <f ca="1">IFERROR(__xludf.DUMMYFUNCTION("GOOGLEFINANCE(""NSE:""&amp;D1634,""EPS"")"),"#N/A")</f>
        <v>#N/A</v>
      </c>
      <c r="Q1634" s="7">
        <v>13.5</v>
      </c>
      <c r="R1634" s="7" t="str">
        <f ca="1">IFERROR(__xludf.DUMMYFUNCTION("IMPORTXML(E1634,""/html/body/main/div[3]/div[3]/div[2]/ul/li[7]/span[2]/span"")"),"Loading...")</f>
        <v>Loading...</v>
      </c>
      <c r="S1634" s="7" t="str">
        <f ca="1">IFERROR(__xludf.DUMMYFUNCTION("IMPORTXML(E1634,""/html/body/main/div[3]/div[3]/div[2]/ul/li[8]/span[2]/span"")"),"Loading...")</f>
        <v>Loading...</v>
      </c>
      <c r="T1634" s="4">
        <v>34.6</v>
      </c>
      <c r="U1634" s="4">
        <v>22.7</v>
      </c>
      <c r="V1634" s="4">
        <v>2.6</v>
      </c>
      <c r="W1634" s="4">
        <v>5.7</v>
      </c>
      <c r="X1634" s="4">
        <v>519.92999999999995</v>
      </c>
      <c r="Y1634" s="7" t="e">
        <f t="shared" ca="1" si="34"/>
        <v>#VALUE!</v>
      </c>
    </row>
    <row r="1635" spans="1:25" ht="15" x14ac:dyDescent="0.25">
      <c r="A1635" s="4">
        <v>1000</v>
      </c>
      <c r="C1635" s="41" t="s">
        <v>3731</v>
      </c>
      <c r="D1635" s="42"/>
      <c r="E1635" s="5" t="str">
        <f t="shared" si="30"/>
        <v>https://www.screener.in/company//consolidated/</v>
      </c>
      <c r="F1635" s="4">
        <v>443059</v>
      </c>
      <c r="G1635" s="4">
        <v>3832241897</v>
      </c>
      <c r="H1635" s="6" t="e">
        <f t="shared" ca="1" si="31"/>
        <v>#VALUE!</v>
      </c>
      <c r="I1635" s="7" t="str">
        <f ca="1">IFERROR(__xludf.DUMMYFUNCTION("IMPORTXML(E1635,""/html/body/main/div[3]/div[3]/div[2]/ul/li[5]/span[2]/span"")"),"Loading...")</f>
        <v>Loading...</v>
      </c>
      <c r="J1635" s="7" t="str">
        <f ca="1">IFERROR(__xludf.DUMMYFUNCTION("GOOGLEFINANCE(""NSE:""&amp;D1635,""marketcap"")"),"#N/A")</f>
        <v>#N/A</v>
      </c>
      <c r="K1635" s="7">
        <v>992.8</v>
      </c>
      <c r="L1635" s="8" t="str">
        <f ca="1">IFERROR(__xludf.DUMMYFUNCTION("GOOGLEFINANCE(""NSE:""&amp;D1635,""price"")"),"#N/A")</f>
        <v>#N/A</v>
      </c>
      <c r="M1635" s="9" t="e">
        <f t="shared" ca="1" si="32"/>
        <v>#VALUE!</v>
      </c>
      <c r="N1635" s="10" t="e">
        <f t="shared" ca="1" si="33"/>
        <v>#VALUE!</v>
      </c>
      <c r="O1635" s="7" t="str">
        <f ca="1">IFERROR(__xludf.DUMMYFUNCTION("GOOGLEFINANCE(""NSE:""&amp;D1635,""pe"")"),"#N/A")</f>
        <v>#N/A</v>
      </c>
      <c r="P1635" s="7" t="str">
        <f ca="1">IFERROR(__xludf.DUMMYFUNCTION("GOOGLEFINANCE(""NSE:""&amp;D1635,""EPS"")"),"#N/A")</f>
        <v>#N/A</v>
      </c>
      <c r="Q1635" s="7">
        <v>13.5</v>
      </c>
      <c r="R1635" s="7" t="str">
        <f ca="1">IFERROR(__xludf.DUMMYFUNCTION("IMPORTXML(E1635,""/html/body/main/div[3]/div[3]/div[2]/ul/li[7]/span[2]/span"")"),"Loading...")</f>
        <v>Loading...</v>
      </c>
      <c r="S1635" s="7" t="str">
        <f ca="1">IFERROR(__xludf.DUMMYFUNCTION("IMPORTXML(E1635,""/html/body/main/div[3]/div[3]/div[2]/ul/li[8]/span[2]/span"")"),"Loading...")</f>
        <v>Loading...</v>
      </c>
      <c r="T1635" s="4">
        <v>34.6</v>
      </c>
      <c r="U1635" s="4">
        <v>22.7</v>
      </c>
      <c r="V1635" s="4">
        <v>2.6</v>
      </c>
      <c r="W1635" s="4">
        <v>5.7</v>
      </c>
      <c r="X1635" s="4">
        <v>519.92999999999995</v>
      </c>
      <c r="Y1635" s="7" t="e">
        <f t="shared" ca="1" si="34"/>
        <v>#VALUE!</v>
      </c>
    </row>
    <row r="1636" spans="1:25" ht="15" x14ac:dyDescent="0.25">
      <c r="A1636" s="4">
        <v>1010</v>
      </c>
      <c r="C1636" s="41" t="s">
        <v>3732</v>
      </c>
      <c r="D1636" s="42"/>
      <c r="E1636" s="5" t="str">
        <f t="shared" si="30"/>
        <v>https://www.screener.in/company//consolidated/</v>
      </c>
      <c r="F1636" s="4">
        <v>443059</v>
      </c>
      <c r="G1636" s="4">
        <v>3832241897</v>
      </c>
      <c r="H1636" s="6" t="e">
        <f t="shared" ca="1" si="31"/>
        <v>#VALUE!</v>
      </c>
      <c r="I1636" s="7" t="str">
        <f ca="1">IFERROR(__xludf.DUMMYFUNCTION("IMPORTXML(E1636,""/html/body/main/div[3]/div[3]/div[2]/ul/li[5]/span[2]/span"")"),"Loading...")</f>
        <v>Loading...</v>
      </c>
      <c r="J1636" s="7" t="str">
        <f ca="1">IFERROR(__xludf.DUMMYFUNCTION("GOOGLEFINANCE(""NSE:""&amp;D1636,""marketcap"")"),"#N/A")</f>
        <v>#N/A</v>
      </c>
      <c r="K1636" s="7">
        <v>992.8</v>
      </c>
      <c r="L1636" s="8" t="str">
        <f ca="1">IFERROR(__xludf.DUMMYFUNCTION("GOOGLEFINANCE(""NSE:""&amp;D1636,""price"")"),"#N/A")</f>
        <v>#N/A</v>
      </c>
      <c r="M1636" s="9" t="e">
        <f t="shared" ca="1" si="32"/>
        <v>#VALUE!</v>
      </c>
      <c r="N1636" s="10" t="e">
        <f t="shared" ca="1" si="33"/>
        <v>#VALUE!</v>
      </c>
      <c r="O1636" s="7" t="str">
        <f ca="1">IFERROR(__xludf.DUMMYFUNCTION("GOOGLEFINANCE(""NSE:""&amp;D1636,""pe"")"),"#N/A")</f>
        <v>#N/A</v>
      </c>
      <c r="P1636" s="7" t="str">
        <f ca="1">IFERROR(__xludf.DUMMYFUNCTION("GOOGLEFINANCE(""NSE:""&amp;D1636,""EPS"")"),"#N/A")</f>
        <v>#N/A</v>
      </c>
      <c r="Q1636" s="7">
        <v>13.5</v>
      </c>
      <c r="R1636" s="7" t="str">
        <f ca="1">IFERROR(__xludf.DUMMYFUNCTION("IMPORTXML(E1636,""/html/body/main/div[3]/div[3]/div[2]/ul/li[7]/span[2]/span"")"),"Loading...")</f>
        <v>Loading...</v>
      </c>
      <c r="S1636" s="7" t="str">
        <f ca="1">IFERROR(__xludf.DUMMYFUNCTION("IMPORTXML(E1636,""/html/body/main/div[3]/div[3]/div[2]/ul/li[8]/span[2]/span"")"),"Loading...")</f>
        <v>Loading...</v>
      </c>
      <c r="T1636" s="4">
        <v>34.6</v>
      </c>
      <c r="U1636" s="4">
        <v>22.7</v>
      </c>
      <c r="V1636" s="4">
        <v>2.6</v>
      </c>
      <c r="W1636" s="4">
        <v>5.7</v>
      </c>
      <c r="X1636" s="4">
        <v>519.92999999999995</v>
      </c>
      <c r="Y1636" s="7" t="e">
        <f t="shared" ca="1" si="34"/>
        <v>#VALUE!</v>
      </c>
    </row>
    <row r="1637" spans="1:25" ht="15" x14ac:dyDescent="0.25">
      <c r="A1637" s="4">
        <v>1011</v>
      </c>
      <c r="C1637" s="41" t="s">
        <v>3733</v>
      </c>
      <c r="D1637" s="42"/>
      <c r="E1637" s="5" t="str">
        <f t="shared" si="30"/>
        <v>https://www.screener.in/company//consolidated/</v>
      </c>
      <c r="F1637" s="4">
        <v>443059</v>
      </c>
      <c r="G1637" s="4">
        <v>3832241897</v>
      </c>
      <c r="H1637" s="6" t="e">
        <f t="shared" ca="1" si="31"/>
        <v>#VALUE!</v>
      </c>
      <c r="I1637" s="7" t="str">
        <f ca="1">IFERROR(__xludf.DUMMYFUNCTION("IMPORTXML(E1637,""/html/body/main/div[3]/div[3]/div[2]/ul/li[5]/span[2]/span"")"),"Loading...")</f>
        <v>Loading...</v>
      </c>
      <c r="J1637" s="7" t="str">
        <f ca="1">IFERROR(__xludf.DUMMYFUNCTION("GOOGLEFINANCE(""NSE:""&amp;D1637,""marketcap"")"),"#N/A")</f>
        <v>#N/A</v>
      </c>
      <c r="K1637" s="7">
        <v>992.8</v>
      </c>
      <c r="L1637" s="8" t="str">
        <f ca="1">IFERROR(__xludf.DUMMYFUNCTION("GOOGLEFINANCE(""NSE:""&amp;D1637,""price"")"),"#N/A")</f>
        <v>#N/A</v>
      </c>
      <c r="M1637" s="9" t="e">
        <f t="shared" ca="1" si="32"/>
        <v>#VALUE!</v>
      </c>
      <c r="N1637" s="10" t="e">
        <f t="shared" ca="1" si="33"/>
        <v>#VALUE!</v>
      </c>
      <c r="O1637" s="7" t="str">
        <f ca="1">IFERROR(__xludf.DUMMYFUNCTION("GOOGLEFINANCE(""NSE:""&amp;D1637,""pe"")"),"#N/A")</f>
        <v>#N/A</v>
      </c>
      <c r="P1637" s="7" t="str">
        <f ca="1">IFERROR(__xludf.DUMMYFUNCTION("GOOGLEFINANCE(""NSE:""&amp;D1637,""EPS"")"),"#N/A")</f>
        <v>#N/A</v>
      </c>
      <c r="Q1637" s="7">
        <v>13.5</v>
      </c>
      <c r="R1637" s="7" t="str">
        <f ca="1">IFERROR(__xludf.DUMMYFUNCTION("IMPORTXML(E1637,""/html/body/main/div[3]/div[3]/div[2]/ul/li[7]/span[2]/span"")"),"Loading...")</f>
        <v>Loading...</v>
      </c>
      <c r="S1637" s="7" t="str">
        <f ca="1">IFERROR(__xludf.DUMMYFUNCTION("IMPORTXML(E1637,""/html/body/main/div[3]/div[3]/div[2]/ul/li[8]/span[2]/span"")"),"Loading...")</f>
        <v>Loading...</v>
      </c>
      <c r="T1637" s="4">
        <v>34.6</v>
      </c>
      <c r="U1637" s="4">
        <v>22.7</v>
      </c>
      <c r="V1637" s="4">
        <v>2.6</v>
      </c>
      <c r="W1637" s="4">
        <v>5.7</v>
      </c>
      <c r="X1637" s="4">
        <v>519.92999999999995</v>
      </c>
      <c r="Y1637" s="7" t="e">
        <f t="shared" ca="1" si="34"/>
        <v>#VALUE!</v>
      </c>
    </row>
    <row r="1638" spans="1:25" ht="15" x14ac:dyDescent="0.25">
      <c r="A1638" s="4">
        <v>1013</v>
      </c>
      <c r="C1638" s="12" t="s">
        <v>3734</v>
      </c>
      <c r="D1638" s="12" t="s">
        <v>3735</v>
      </c>
      <c r="E1638" s="5" t="str">
        <f t="shared" si="30"/>
        <v>https://www.screener.in/company/SUBEXLTD/consolidated/</v>
      </c>
      <c r="F1638" s="4">
        <v>443059</v>
      </c>
      <c r="G1638" s="4">
        <v>3832241897</v>
      </c>
      <c r="H1638" s="6">
        <f t="shared" ca="1" si="31"/>
        <v>4962.7532566149994</v>
      </c>
      <c r="I1638" s="7" t="str">
        <f ca="1">IFERROR(__xludf.DUMMYFUNCTION("IMPORTXML(E1638,""/html/body/main/div[3]/div[3]/div[2]/ul/li[5]/span[2]/span"")"),"Loading...")</f>
        <v>Loading...</v>
      </c>
      <c r="J1638" s="7">
        <f ca="1">IFERROR(__xludf.DUMMYFUNCTION("GOOGLEFINANCE(""NSE:""&amp;D1638,""marketcap"")"),7185374734)</f>
        <v>7185374734</v>
      </c>
      <c r="K1638" s="7">
        <v>992.8</v>
      </c>
      <c r="L1638" s="8">
        <f ca="1">IFERROR(__xludf.DUMMYFUNCTION("GOOGLEFINANCE(""NSE:""&amp;D1638,""price"")"),12.95)</f>
        <v>12.95</v>
      </c>
      <c r="M1638" s="9">
        <f t="shared" ca="1" si="32"/>
        <v>-979.84999999999991</v>
      </c>
      <c r="N1638" s="10">
        <f t="shared" ca="1" si="33"/>
        <v>-98.695608380338427</v>
      </c>
      <c r="O1638" s="7" t="str">
        <f ca="1">IFERROR(__xludf.DUMMYFUNCTION("GOOGLEFINANCE(""NSE:""&amp;D1638,""pe"")"),"#N/A")</f>
        <v>#N/A</v>
      </c>
      <c r="P1638" s="7">
        <f ca="1">IFERROR(__xludf.DUMMYFUNCTION("GOOGLEFINANCE(""NSE:""&amp;D1638,""EPS"")"),-0.14)</f>
        <v>-0.14000000000000001</v>
      </c>
      <c r="Q1638" s="7">
        <v>13.5</v>
      </c>
      <c r="R1638" s="7" t="str">
        <f ca="1">IFERROR(__xludf.DUMMYFUNCTION("IMPORTXML(E1638,""/html/body/main/div[3]/div[3]/div[2]/ul/li[7]/span[2]/span"")"),"Loading...")</f>
        <v>Loading...</v>
      </c>
      <c r="S1638" s="7" t="str">
        <f ca="1">IFERROR(__xludf.DUMMYFUNCTION("IMPORTXML(E1638,""/html/body/main/div[3]/div[3]/div[2]/ul/li[8]/span[2]/span"")"),"Loading...")</f>
        <v>Loading...</v>
      </c>
      <c r="T1638" s="4">
        <v>34.6</v>
      </c>
      <c r="U1638" s="4">
        <v>22.7</v>
      </c>
      <c r="V1638" s="4">
        <v>2.6</v>
      </c>
      <c r="W1638" s="4">
        <v>5.7</v>
      </c>
      <c r="X1638" s="4">
        <v>519.92999999999995</v>
      </c>
      <c r="Y1638" s="7">
        <f t="shared" ca="1" si="34"/>
        <v>-506.97999999999996</v>
      </c>
    </row>
    <row r="1639" spans="1:25" ht="15" x14ac:dyDescent="0.25">
      <c r="A1639" s="4">
        <v>1015</v>
      </c>
      <c r="C1639" s="41" t="s">
        <v>3736</v>
      </c>
      <c r="D1639" s="42"/>
      <c r="E1639" s="5" t="str">
        <f t="shared" si="30"/>
        <v>https://www.screener.in/company//consolidated/</v>
      </c>
      <c r="F1639" s="4">
        <v>443059</v>
      </c>
      <c r="G1639" s="4">
        <v>3832241897</v>
      </c>
      <c r="H1639" s="6" t="e">
        <f t="shared" ca="1" si="31"/>
        <v>#VALUE!</v>
      </c>
      <c r="I1639" s="7" t="str">
        <f ca="1">IFERROR(__xludf.DUMMYFUNCTION("IMPORTXML(E1639,""/html/body/main/div[3]/div[3]/div[2]/ul/li[5]/span[2]/span"")"),"Loading...")</f>
        <v>Loading...</v>
      </c>
      <c r="J1639" s="7" t="str">
        <f ca="1">IFERROR(__xludf.DUMMYFUNCTION("GOOGLEFINANCE(""NSE:""&amp;D1639,""marketcap"")"),"#N/A")</f>
        <v>#N/A</v>
      </c>
      <c r="K1639" s="7">
        <v>992.8</v>
      </c>
      <c r="L1639" s="8" t="str">
        <f ca="1">IFERROR(__xludf.DUMMYFUNCTION("GOOGLEFINANCE(""NSE:""&amp;D1639,""price"")"),"#N/A")</f>
        <v>#N/A</v>
      </c>
      <c r="M1639" s="9" t="e">
        <f t="shared" ca="1" si="32"/>
        <v>#VALUE!</v>
      </c>
      <c r="N1639" s="10" t="e">
        <f t="shared" ca="1" si="33"/>
        <v>#VALUE!</v>
      </c>
      <c r="O1639" s="7" t="str">
        <f ca="1">IFERROR(__xludf.DUMMYFUNCTION("GOOGLEFINANCE(""NSE:""&amp;D1639,""pe"")"),"#N/A")</f>
        <v>#N/A</v>
      </c>
      <c r="P1639" s="7" t="str">
        <f ca="1">IFERROR(__xludf.DUMMYFUNCTION("GOOGLEFINANCE(""NSE:""&amp;D1639,""EPS"")"),"#N/A")</f>
        <v>#N/A</v>
      </c>
      <c r="Q1639" s="7">
        <v>13.5</v>
      </c>
      <c r="R1639" s="7" t="str">
        <f ca="1">IFERROR(__xludf.DUMMYFUNCTION("IMPORTXML(E1639,""/html/body/main/div[3]/div[3]/div[2]/ul/li[7]/span[2]/span"")"),"Loading...")</f>
        <v>Loading...</v>
      </c>
      <c r="S1639" s="7" t="str">
        <f ca="1">IFERROR(__xludf.DUMMYFUNCTION("IMPORTXML(E1639,""/html/body/main/div[3]/div[3]/div[2]/ul/li[8]/span[2]/span"")"),"Loading...")</f>
        <v>Loading...</v>
      </c>
      <c r="T1639" s="4">
        <v>34.6</v>
      </c>
      <c r="U1639" s="4">
        <v>22.7</v>
      </c>
      <c r="V1639" s="4">
        <v>2.6</v>
      </c>
      <c r="W1639" s="4">
        <v>5.7</v>
      </c>
      <c r="X1639" s="4">
        <v>519.92999999999995</v>
      </c>
      <c r="Y1639" s="7" t="e">
        <f t="shared" ca="1" si="34"/>
        <v>#VALUE!</v>
      </c>
    </row>
    <row r="1640" spans="1:25" ht="15" x14ac:dyDescent="0.25">
      <c r="A1640" s="4">
        <v>1018</v>
      </c>
      <c r="C1640" s="41" t="s">
        <v>3737</v>
      </c>
      <c r="D1640" s="42"/>
      <c r="E1640" s="5" t="str">
        <f t="shared" si="30"/>
        <v>https://www.screener.in/company//consolidated/</v>
      </c>
      <c r="F1640" s="4">
        <v>443059</v>
      </c>
      <c r="G1640" s="4">
        <v>3832241897</v>
      </c>
      <c r="H1640" s="6" t="e">
        <f t="shared" ca="1" si="31"/>
        <v>#VALUE!</v>
      </c>
      <c r="I1640" s="7" t="str">
        <f ca="1">IFERROR(__xludf.DUMMYFUNCTION("IMPORTXML(E1640,""/html/body/main/div[3]/div[3]/div[2]/ul/li[5]/span[2]/span"")"),"Loading...")</f>
        <v>Loading...</v>
      </c>
      <c r="J1640" s="7" t="str">
        <f ca="1">IFERROR(__xludf.DUMMYFUNCTION("GOOGLEFINANCE(""NSE:""&amp;D1640,""marketcap"")"),"#N/A")</f>
        <v>#N/A</v>
      </c>
      <c r="K1640" s="7">
        <v>992.8</v>
      </c>
      <c r="L1640" s="8" t="str">
        <f ca="1">IFERROR(__xludf.DUMMYFUNCTION("GOOGLEFINANCE(""NSE:""&amp;D1640,""price"")"),"#N/A")</f>
        <v>#N/A</v>
      </c>
      <c r="M1640" s="9" t="e">
        <f t="shared" ca="1" si="32"/>
        <v>#VALUE!</v>
      </c>
      <c r="N1640" s="10" t="e">
        <f t="shared" ca="1" si="33"/>
        <v>#VALUE!</v>
      </c>
      <c r="O1640" s="7" t="str">
        <f ca="1">IFERROR(__xludf.DUMMYFUNCTION("GOOGLEFINANCE(""NSE:""&amp;D1640,""pe"")"),"#N/A")</f>
        <v>#N/A</v>
      </c>
      <c r="P1640" s="7" t="str">
        <f ca="1">IFERROR(__xludf.DUMMYFUNCTION("GOOGLEFINANCE(""NSE:""&amp;D1640,""EPS"")"),"#N/A")</f>
        <v>#N/A</v>
      </c>
      <c r="Q1640" s="7">
        <v>13.5</v>
      </c>
      <c r="R1640" s="7" t="str">
        <f ca="1">IFERROR(__xludf.DUMMYFUNCTION("IMPORTXML(E1640,""/html/body/main/div[3]/div[3]/div[2]/ul/li[7]/span[2]/span"")"),"Loading...")</f>
        <v>Loading...</v>
      </c>
      <c r="S1640" s="7" t="str">
        <f ca="1">IFERROR(__xludf.DUMMYFUNCTION("IMPORTXML(E1640,""/html/body/main/div[3]/div[3]/div[2]/ul/li[8]/span[2]/span"")"),"Loading...")</f>
        <v>Loading...</v>
      </c>
      <c r="T1640" s="4">
        <v>34.6</v>
      </c>
      <c r="U1640" s="4">
        <v>22.7</v>
      </c>
      <c r="V1640" s="4">
        <v>2.6</v>
      </c>
      <c r="W1640" s="4">
        <v>5.7</v>
      </c>
      <c r="X1640" s="4">
        <v>519.92999999999995</v>
      </c>
      <c r="Y1640" s="7" t="e">
        <f t="shared" ca="1" si="34"/>
        <v>#VALUE!</v>
      </c>
    </row>
    <row r="1641" spans="1:25" ht="15" x14ac:dyDescent="0.25">
      <c r="A1641" s="4">
        <v>1019</v>
      </c>
      <c r="C1641" s="12" t="s">
        <v>3738</v>
      </c>
      <c r="D1641" s="12" t="s">
        <v>3739</v>
      </c>
      <c r="E1641" s="5" t="str">
        <f t="shared" si="30"/>
        <v>https://www.screener.in/company/WINDMACHIN/consolidated/</v>
      </c>
      <c r="F1641" s="4">
        <v>443059</v>
      </c>
      <c r="G1641" s="4">
        <v>3832241897</v>
      </c>
      <c r="H1641" s="6">
        <f t="shared" ca="1" si="31"/>
        <v>118991.11090185</v>
      </c>
      <c r="I1641" s="7">
        <f ca="1">IFERROR(__xludf.DUMMYFUNCTION("IMPORTXML(E1641,""/html/body/main/div[3]/div[3]/div[2]/ul/li[5]/span[2]/span"")"),86.9)</f>
        <v>86.9</v>
      </c>
      <c r="J1641" s="7">
        <f ca="1">IFERROR(__xludf.DUMMYFUNCTION("GOOGLEFINANCE(""NSE:""&amp;D1641,""marketcap"")"),26116470000)</f>
        <v>26116470000</v>
      </c>
      <c r="K1641" s="7">
        <v>992.8</v>
      </c>
      <c r="L1641" s="8">
        <f ca="1">IFERROR(__xludf.DUMMYFUNCTION("GOOGLEFINANCE(""NSE:""&amp;D1641,""price"")"),310.5)</f>
        <v>310.5</v>
      </c>
      <c r="M1641" s="9">
        <f t="shared" ca="1" si="32"/>
        <v>-682.3</v>
      </c>
      <c r="N1641" s="10">
        <f t="shared" ca="1" si="33"/>
        <v>-68.724818694601126</v>
      </c>
      <c r="O1641" s="7" t="str">
        <f ca="1">IFERROR(__xludf.DUMMYFUNCTION("GOOGLEFINANCE(""NSE:""&amp;D1641,""pe"")"),"#N/A")</f>
        <v>#N/A</v>
      </c>
      <c r="P1641" s="7">
        <f ca="1">IFERROR(__xludf.DUMMYFUNCTION("GOOGLEFINANCE(""NSE:""&amp;D1641,""EPS"")"),-0.97)</f>
        <v>-0.97</v>
      </c>
      <c r="Q1641" s="7">
        <v>13.5</v>
      </c>
      <c r="R1641" s="7" t="str">
        <f ca="1">IFERROR(__xludf.DUMMYFUNCTION("IMPORTXML(E1641,""/html/body/main/div[3]/div[3]/div[2]/ul/li[7]/span[2]/span"")"),"Loading...")</f>
        <v>Loading...</v>
      </c>
      <c r="S1641" s="7" t="str">
        <f ca="1">IFERROR(__xludf.DUMMYFUNCTION("IMPORTXML(E1641,""/html/body/main/div[3]/div[3]/div[2]/ul/li[8]/span[2]/span"")"),"Loading...")</f>
        <v>Loading...</v>
      </c>
      <c r="T1641" s="4">
        <v>34.6</v>
      </c>
      <c r="U1641" s="4">
        <v>22.7</v>
      </c>
      <c r="V1641" s="4">
        <v>2.6</v>
      </c>
      <c r="W1641" s="4">
        <v>5.7</v>
      </c>
      <c r="X1641" s="4">
        <v>519.92999999999995</v>
      </c>
      <c r="Y1641" s="7">
        <f t="shared" ca="1" si="34"/>
        <v>-209.42999999999995</v>
      </c>
    </row>
    <row r="1642" spans="1:25" ht="15" x14ac:dyDescent="0.25">
      <c r="A1642" s="4">
        <v>1020</v>
      </c>
      <c r="C1642" s="12" t="s">
        <v>3740</v>
      </c>
      <c r="D1642" s="12" t="s">
        <v>3741</v>
      </c>
      <c r="E1642" s="5" t="str">
        <f t="shared" si="30"/>
        <v>https://www.screener.in/company/CENTRUM/consolidated/</v>
      </c>
      <c r="F1642" s="4">
        <v>443059</v>
      </c>
      <c r="G1642" s="4">
        <v>3832241897</v>
      </c>
      <c r="H1642" s="6">
        <f t="shared" ca="1" si="31"/>
        <v>14217.617437870002</v>
      </c>
      <c r="I1642" s="7" t="str">
        <f ca="1">IFERROR(__xludf.DUMMYFUNCTION("IMPORTXML(E1642,""/html/body/main/div[3]/div[3]/div[2]/ul/li[5]/span[2]/span"")"),"Loading...")</f>
        <v>Loading...</v>
      </c>
      <c r="J1642" s="7">
        <f ca="1">IFERROR(__xludf.DUMMYFUNCTION("GOOGLEFINANCE(""NSE:""&amp;D1642,""marketcap"")"),16466130000)</f>
        <v>16466130000</v>
      </c>
      <c r="K1642" s="7">
        <v>992.8</v>
      </c>
      <c r="L1642" s="8">
        <f ca="1">IFERROR(__xludf.DUMMYFUNCTION("GOOGLEFINANCE(""NSE:""&amp;D1642,""price"")"),37.1)</f>
        <v>37.1</v>
      </c>
      <c r="M1642" s="9">
        <f t="shared" ca="1" si="32"/>
        <v>-955.69999999999993</v>
      </c>
      <c r="N1642" s="10">
        <f t="shared" ca="1" si="33"/>
        <v>-96.263094278807415</v>
      </c>
      <c r="O1642" s="7" t="str">
        <f ca="1">IFERROR(__xludf.DUMMYFUNCTION("GOOGLEFINANCE(""NSE:""&amp;D1642,""pe"")"),"#N/A")</f>
        <v>#N/A</v>
      </c>
      <c r="P1642" s="7">
        <f ca="1">IFERROR(__xludf.DUMMYFUNCTION("GOOGLEFINANCE(""NSE:""&amp;D1642,""EPS"")"),-2.65)</f>
        <v>-2.65</v>
      </c>
      <c r="Q1642" s="7">
        <v>13.5</v>
      </c>
      <c r="R1642" s="7" t="str">
        <f ca="1">IFERROR(__xludf.DUMMYFUNCTION("IMPORTXML(E1642,""/html/body/main/div[3]/div[3]/div[2]/ul/li[7]/span[2]/span"")"),"Loading...")</f>
        <v>Loading...</v>
      </c>
      <c r="S1642" s="7" t="str">
        <f ca="1">IFERROR(__xludf.DUMMYFUNCTION("IMPORTXML(E1642,""/html/body/main/div[3]/div[3]/div[2]/ul/li[8]/span[2]/span"")"),"Loading...")</f>
        <v>Loading...</v>
      </c>
      <c r="T1642" s="4">
        <v>34.6</v>
      </c>
      <c r="U1642" s="4">
        <v>22.7</v>
      </c>
      <c r="V1642" s="4">
        <v>2.6</v>
      </c>
      <c r="W1642" s="4">
        <v>5.7</v>
      </c>
      <c r="X1642" s="4">
        <v>519.92999999999995</v>
      </c>
      <c r="Y1642" s="7">
        <f t="shared" ca="1" si="34"/>
        <v>-482.82999999999993</v>
      </c>
    </row>
    <row r="1643" spans="1:25" ht="15" x14ac:dyDescent="0.25">
      <c r="A1643" s="4">
        <v>1022</v>
      </c>
      <c r="C1643" s="41" t="s">
        <v>3742</v>
      </c>
      <c r="D1643" s="42"/>
      <c r="E1643" s="5" t="str">
        <f t="shared" si="30"/>
        <v>https://www.screener.in/company//consolidated/</v>
      </c>
      <c r="F1643" s="4">
        <v>443059</v>
      </c>
      <c r="G1643" s="4">
        <v>3832241897</v>
      </c>
      <c r="H1643" s="6" t="e">
        <f t="shared" ca="1" si="31"/>
        <v>#VALUE!</v>
      </c>
      <c r="I1643" s="7" t="str">
        <f ca="1">IFERROR(__xludf.DUMMYFUNCTION("IMPORTXML(E1643,""/html/body/main/div[3]/div[3]/div[2]/ul/li[5]/span[2]/span"")"),"Loading...")</f>
        <v>Loading...</v>
      </c>
      <c r="J1643" s="7" t="str">
        <f ca="1">IFERROR(__xludf.DUMMYFUNCTION("GOOGLEFINANCE(""NSE:""&amp;D1643,""marketcap"")"),"#N/A")</f>
        <v>#N/A</v>
      </c>
      <c r="K1643" s="7">
        <v>992.8</v>
      </c>
      <c r="L1643" s="8" t="str">
        <f ca="1">IFERROR(__xludf.DUMMYFUNCTION("GOOGLEFINANCE(""NSE:""&amp;D1643,""price"")"),"#N/A")</f>
        <v>#N/A</v>
      </c>
      <c r="M1643" s="9" t="e">
        <f t="shared" ca="1" si="32"/>
        <v>#VALUE!</v>
      </c>
      <c r="N1643" s="10" t="e">
        <f t="shared" ca="1" si="33"/>
        <v>#VALUE!</v>
      </c>
      <c r="O1643" s="7" t="str">
        <f ca="1">IFERROR(__xludf.DUMMYFUNCTION("GOOGLEFINANCE(""NSE:""&amp;D1643,""pe"")"),"#N/A")</f>
        <v>#N/A</v>
      </c>
      <c r="P1643" s="7" t="str">
        <f ca="1">IFERROR(__xludf.DUMMYFUNCTION("GOOGLEFINANCE(""NSE:""&amp;D1643,""EPS"")"),"#N/A")</f>
        <v>#N/A</v>
      </c>
      <c r="Q1643" s="7">
        <v>13.5</v>
      </c>
      <c r="R1643" s="7" t="str">
        <f ca="1">IFERROR(__xludf.DUMMYFUNCTION("IMPORTXML(E1643,""/html/body/main/div[3]/div[3]/div[2]/ul/li[7]/span[2]/span"")"),"Loading...")</f>
        <v>Loading...</v>
      </c>
      <c r="S1643" s="7" t="str">
        <f ca="1">IFERROR(__xludf.DUMMYFUNCTION("IMPORTXML(E1643,""/html/body/main/div[3]/div[3]/div[2]/ul/li[8]/span[2]/span"")"),"Loading...")</f>
        <v>Loading...</v>
      </c>
      <c r="T1643" s="4">
        <v>34.6</v>
      </c>
      <c r="U1643" s="4">
        <v>22.7</v>
      </c>
      <c r="V1643" s="4">
        <v>2.6</v>
      </c>
      <c r="W1643" s="4">
        <v>5.7</v>
      </c>
      <c r="X1643" s="4">
        <v>519.92999999999995</v>
      </c>
      <c r="Y1643" s="7" t="e">
        <f t="shared" ca="1" si="34"/>
        <v>#VALUE!</v>
      </c>
    </row>
    <row r="1644" spans="1:25" ht="15" x14ac:dyDescent="0.25">
      <c r="A1644" s="4">
        <v>1024</v>
      </c>
      <c r="C1644" s="12" t="s">
        <v>3743</v>
      </c>
      <c r="D1644" s="12" t="s">
        <v>3744</v>
      </c>
      <c r="E1644" s="5" t="str">
        <f t="shared" si="30"/>
        <v>https://www.screener.in/company/DVL/consolidated/</v>
      </c>
      <c r="F1644" s="4">
        <v>443059</v>
      </c>
      <c r="G1644" s="4">
        <v>3832241897</v>
      </c>
      <c r="H1644" s="6">
        <f t="shared" ca="1" si="31"/>
        <v>129146.55192889999</v>
      </c>
      <c r="I1644" s="7" t="str">
        <f ca="1">IFERROR(__xludf.DUMMYFUNCTION("IMPORTXML(E1644,""/html/body/main/div[3]/div[3]/div[2]/ul/li[5]/span[2]/span"")"),"Loading...")</f>
        <v>Loading...</v>
      </c>
      <c r="J1644" s="7">
        <f ca="1">IFERROR(__xludf.DUMMYFUNCTION("GOOGLEFINANCE(""NSE:""&amp;D1644,""marketcap"")"),11840266255)</f>
        <v>11840266255</v>
      </c>
      <c r="K1644" s="7">
        <v>992.8</v>
      </c>
      <c r="L1644" s="8">
        <f ca="1">IFERROR(__xludf.DUMMYFUNCTION("GOOGLEFINANCE(""NSE:""&amp;D1644,""price"")"),337)</f>
        <v>337</v>
      </c>
      <c r="M1644" s="9">
        <f t="shared" ca="1" si="32"/>
        <v>-655.8</v>
      </c>
      <c r="N1644" s="10">
        <f t="shared" ca="1" si="33"/>
        <v>-66.0556003223207</v>
      </c>
      <c r="O1644" s="7" t="str">
        <f ca="1">IFERROR(__xludf.DUMMYFUNCTION("GOOGLEFINANCE(""NSE:""&amp;D1644,""pe"")"),"#N/A")</f>
        <v>#N/A</v>
      </c>
      <c r="P1644" s="7" t="str">
        <f ca="1">IFERROR(__xludf.DUMMYFUNCTION("GOOGLEFINANCE(""NSE:""&amp;D1644,""EPS"")"),"#N/A")</f>
        <v>#N/A</v>
      </c>
      <c r="Q1644" s="7">
        <v>13.5</v>
      </c>
      <c r="R1644" s="7" t="str">
        <f ca="1">IFERROR(__xludf.DUMMYFUNCTION("IMPORTXML(E1644,""/html/body/main/div[3]/div[3]/div[2]/ul/li[7]/span[2]/span"")"),"Loading...")</f>
        <v>Loading...</v>
      </c>
      <c r="S1644" s="7" t="str">
        <f ca="1">IFERROR(__xludf.DUMMYFUNCTION("IMPORTXML(E1644,""/html/body/main/div[3]/div[3]/div[2]/ul/li[8]/span[2]/span"")"),"Loading...")</f>
        <v>Loading...</v>
      </c>
      <c r="T1644" s="4">
        <v>34.6</v>
      </c>
      <c r="U1644" s="4">
        <v>22.7</v>
      </c>
      <c r="V1644" s="4">
        <v>2.6</v>
      </c>
      <c r="W1644" s="4">
        <v>5.7</v>
      </c>
      <c r="X1644" s="4">
        <v>519.92999999999995</v>
      </c>
      <c r="Y1644" s="7">
        <f t="shared" ca="1" si="34"/>
        <v>-182.92999999999995</v>
      </c>
    </row>
    <row r="1645" spans="1:25" ht="15" x14ac:dyDescent="0.25">
      <c r="A1645" s="4">
        <v>1025</v>
      </c>
      <c r="C1645" s="41" t="s">
        <v>3745</v>
      </c>
      <c r="D1645" s="42"/>
      <c r="E1645" s="5" t="str">
        <f t="shared" si="30"/>
        <v>https://www.screener.in/company//consolidated/</v>
      </c>
      <c r="F1645" s="4">
        <v>443059</v>
      </c>
      <c r="G1645" s="4">
        <v>3832241897</v>
      </c>
      <c r="H1645" s="6" t="e">
        <f t="shared" ca="1" si="31"/>
        <v>#VALUE!</v>
      </c>
      <c r="I1645" s="7" t="str">
        <f ca="1">IFERROR(__xludf.DUMMYFUNCTION("IMPORTXML(E1645,""/html/body/main/div[3]/div[3]/div[2]/ul/li[5]/span[2]/span"")"),"Loading...")</f>
        <v>Loading...</v>
      </c>
      <c r="J1645" s="7" t="str">
        <f ca="1">IFERROR(__xludf.DUMMYFUNCTION("GOOGLEFINANCE(""NSE:""&amp;D1645,""marketcap"")"),"#N/A")</f>
        <v>#N/A</v>
      </c>
      <c r="K1645" s="7">
        <v>992.8</v>
      </c>
      <c r="L1645" s="8" t="str">
        <f ca="1">IFERROR(__xludf.DUMMYFUNCTION("GOOGLEFINANCE(""NSE:""&amp;D1645,""price"")"),"#N/A")</f>
        <v>#N/A</v>
      </c>
      <c r="M1645" s="9" t="e">
        <f t="shared" ca="1" si="32"/>
        <v>#VALUE!</v>
      </c>
      <c r="N1645" s="10" t="e">
        <f t="shared" ca="1" si="33"/>
        <v>#VALUE!</v>
      </c>
      <c r="O1645" s="7" t="str">
        <f ca="1">IFERROR(__xludf.DUMMYFUNCTION("GOOGLEFINANCE(""NSE:""&amp;D1645,""pe"")"),"#N/A")</f>
        <v>#N/A</v>
      </c>
      <c r="P1645" s="7" t="str">
        <f ca="1">IFERROR(__xludf.DUMMYFUNCTION("GOOGLEFINANCE(""NSE:""&amp;D1645,""EPS"")"),"#N/A")</f>
        <v>#N/A</v>
      </c>
      <c r="Q1645" s="7">
        <v>13.5</v>
      </c>
      <c r="R1645" s="7" t="str">
        <f ca="1">IFERROR(__xludf.DUMMYFUNCTION("IMPORTXML(E1645,""/html/body/main/div[3]/div[3]/div[2]/ul/li[7]/span[2]/span"")"),"Loading...")</f>
        <v>Loading...</v>
      </c>
      <c r="S1645" s="7" t="str">
        <f ca="1">IFERROR(__xludf.DUMMYFUNCTION("IMPORTXML(E1645,""/html/body/main/div[3]/div[3]/div[2]/ul/li[8]/span[2]/span"")"),"Loading...")</f>
        <v>Loading...</v>
      </c>
      <c r="T1645" s="4">
        <v>34.6</v>
      </c>
      <c r="U1645" s="4">
        <v>22.7</v>
      </c>
      <c r="V1645" s="4">
        <v>2.6</v>
      </c>
      <c r="W1645" s="4">
        <v>5.7</v>
      </c>
      <c r="X1645" s="4">
        <v>519.92999999999995</v>
      </c>
      <c r="Y1645" s="7" t="e">
        <f t="shared" ca="1" si="34"/>
        <v>#VALUE!</v>
      </c>
    </row>
    <row r="1646" spans="1:25" ht="15" x14ac:dyDescent="0.25">
      <c r="A1646" s="4">
        <v>1026</v>
      </c>
      <c r="C1646" s="12" t="s">
        <v>3746</v>
      </c>
      <c r="D1646" s="12" t="s">
        <v>3747</v>
      </c>
      <c r="E1646" s="5" t="str">
        <f t="shared" si="30"/>
        <v>https://www.screener.in/company/HEXATRADEX/consolidated/</v>
      </c>
      <c r="F1646" s="4">
        <v>443059</v>
      </c>
      <c r="G1646" s="4">
        <v>3832241897</v>
      </c>
      <c r="H1646" s="6">
        <f t="shared" ca="1" si="31"/>
        <v>68367.195442480006</v>
      </c>
      <c r="I1646" s="7" t="str">
        <f ca="1">IFERROR(__xludf.DUMMYFUNCTION("IMPORTXML(E1646,""/html/body/main/div[3]/div[3]/div[2]/ul/li[5]/span[2]/span"")"),"Loading...")</f>
        <v>Loading...</v>
      </c>
      <c r="J1646" s="7">
        <f ca="1">IFERROR(__xludf.DUMMYFUNCTION("GOOGLEFINANCE(""NSE:""&amp;D1646,""marketcap"")"),9855103000)</f>
        <v>9855103000</v>
      </c>
      <c r="K1646" s="7">
        <v>992.8</v>
      </c>
      <c r="L1646" s="8">
        <f ca="1">IFERROR(__xludf.DUMMYFUNCTION("GOOGLEFINANCE(""NSE:""&amp;D1646,""price"")"),178.4)</f>
        <v>178.4</v>
      </c>
      <c r="M1646" s="9">
        <f t="shared" ca="1" si="32"/>
        <v>-814.4</v>
      </c>
      <c r="N1646" s="10">
        <f t="shared" ca="1" si="33"/>
        <v>-82.03062046736504</v>
      </c>
      <c r="O1646" s="7" t="str">
        <f ca="1">IFERROR(__xludf.DUMMYFUNCTION("GOOGLEFINANCE(""NSE:""&amp;D1646,""pe"")"),"#N/A")</f>
        <v>#N/A</v>
      </c>
      <c r="P1646" s="7">
        <f ca="1">IFERROR(__xludf.DUMMYFUNCTION("GOOGLEFINANCE(""NSE:""&amp;D1646,""EPS"")"),-4.21)</f>
        <v>-4.21</v>
      </c>
      <c r="Q1646" s="7">
        <v>13.5</v>
      </c>
      <c r="R1646" s="7" t="str">
        <f ca="1">IFERROR(__xludf.DUMMYFUNCTION("IMPORTXML(E1646,""/html/body/main/div[3]/div[3]/div[2]/ul/li[7]/span[2]/span"")"),"Loading...")</f>
        <v>Loading...</v>
      </c>
      <c r="S1646" s="7" t="str">
        <f ca="1">IFERROR(__xludf.DUMMYFUNCTION("IMPORTXML(E1646,""/html/body/main/div[3]/div[3]/div[2]/ul/li[8]/span[2]/span"")"),"Loading...")</f>
        <v>Loading...</v>
      </c>
      <c r="T1646" s="4">
        <v>34.6</v>
      </c>
      <c r="U1646" s="4">
        <v>22.7</v>
      </c>
      <c r="V1646" s="4">
        <v>2.6</v>
      </c>
      <c r="W1646" s="4">
        <v>5.7</v>
      </c>
      <c r="X1646" s="4">
        <v>519.92999999999995</v>
      </c>
      <c r="Y1646" s="7">
        <f t="shared" ca="1" si="34"/>
        <v>-341.53</v>
      </c>
    </row>
    <row r="1647" spans="1:25" ht="15" x14ac:dyDescent="0.25">
      <c r="A1647" s="4">
        <v>1030</v>
      </c>
      <c r="C1647" s="12" t="s">
        <v>3748</v>
      </c>
      <c r="D1647" s="12" t="s">
        <v>3749</v>
      </c>
      <c r="E1647" s="5" t="str">
        <f t="shared" si="30"/>
        <v>https://www.screener.in/company/RAMCOSYS/consolidated/</v>
      </c>
      <c r="F1647" s="4">
        <v>443059</v>
      </c>
      <c r="G1647" s="4">
        <v>3832241897</v>
      </c>
      <c r="H1647" s="6">
        <f t="shared" ca="1" si="31"/>
        <v>163636.72900190001</v>
      </c>
      <c r="I1647" s="7" t="str">
        <f ca="1">IFERROR(__xludf.DUMMYFUNCTION("IMPORTXML(E1647,""/html/body/main/div[3]/div[3]/div[2]/ul/li[5]/span[2]/span"")"),"Loading...")</f>
        <v>Loading...</v>
      </c>
      <c r="J1647" s="7">
        <f ca="1">IFERROR(__xludf.DUMMYFUNCTION("GOOGLEFINANCE(""NSE:""&amp;D1647,""marketcap"")"),15658767593)</f>
        <v>15658767593</v>
      </c>
      <c r="K1647" s="7">
        <v>992.8</v>
      </c>
      <c r="L1647" s="8">
        <f ca="1">IFERROR(__xludf.DUMMYFUNCTION("GOOGLEFINANCE(""NSE:""&amp;D1647,""price"")"),427)</f>
        <v>427</v>
      </c>
      <c r="M1647" s="9">
        <f t="shared" ca="1" si="32"/>
        <v>-565.79999999999995</v>
      </c>
      <c r="N1647" s="10">
        <f t="shared" ca="1" si="33"/>
        <v>-56.990330378726824</v>
      </c>
      <c r="O1647" s="7" t="str">
        <f ca="1">IFERROR(__xludf.DUMMYFUNCTION("GOOGLEFINANCE(""NSE:""&amp;D1647,""pe"")"),"#N/A")</f>
        <v>#N/A</v>
      </c>
      <c r="P1647" s="7">
        <f ca="1">IFERROR(__xludf.DUMMYFUNCTION("GOOGLEFINANCE(""NSE:""&amp;D1647,""EPS"")"),-3.81)</f>
        <v>-3.81</v>
      </c>
      <c r="Q1647" s="7">
        <v>13.5</v>
      </c>
      <c r="R1647" s="7" t="str">
        <f ca="1">IFERROR(__xludf.DUMMYFUNCTION("IMPORTXML(E1647,""/html/body/main/div[3]/div[3]/div[2]/ul/li[7]/span[2]/span"")"),"Loading...")</f>
        <v>Loading...</v>
      </c>
      <c r="S1647" s="7" t="str">
        <f ca="1">IFERROR(__xludf.DUMMYFUNCTION("IMPORTXML(E1647,""/html/body/main/div[3]/div[3]/div[2]/ul/li[8]/span[2]/span"")"),"Loading...")</f>
        <v>Loading...</v>
      </c>
      <c r="T1647" s="4">
        <v>34.6</v>
      </c>
      <c r="U1647" s="4">
        <v>22.7</v>
      </c>
      <c r="V1647" s="4">
        <v>2.6</v>
      </c>
      <c r="W1647" s="4">
        <v>5.7</v>
      </c>
      <c r="X1647" s="4">
        <v>519.92999999999995</v>
      </c>
      <c r="Y1647" s="7">
        <f t="shared" ca="1" si="34"/>
        <v>-92.92999999999995</v>
      </c>
    </row>
    <row r="1648" spans="1:25" ht="15" x14ac:dyDescent="0.25">
      <c r="A1648" s="4">
        <v>1039</v>
      </c>
      <c r="C1648" s="41" t="s">
        <v>3750</v>
      </c>
      <c r="D1648" s="42"/>
      <c r="E1648" s="5" t="str">
        <f t="shared" si="30"/>
        <v>https://www.screener.in/company//consolidated/</v>
      </c>
      <c r="F1648" s="4">
        <v>443059</v>
      </c>
      <c r="G1648" s="4">
        <v>3832241897</v>
      </c>
      <c r="H1648" s="6" t="e">
        <f t="shared" ca="1" si="31"/>
        <v>#VALUE!</v>
      </c>
      <c r="I1648" s="7" t="str">
        <f ca="1">IFERROR(__xludf.DUMMYFUNCTION("IMPORTXML(E1648,""/html/body/main/div[3]/div[3]/div[2]/ul/li[5]/span[2]/span"")"),"Loading...")</f>
        <v>Loading...</v>
      </c>
      <c r="J1648" s="7" t="str">
        <f ca="1">IFERROR(__xludf.DUMMYFUNCTION("GOOGLEFINANCE(""NSE:""&amp;D1648,""marketcap"")"),"#N/A")</f>
        <v>#N/A</v>
      </c>
      <c r="K1648" s="7">
        <v>992.8</v>
      </c>
      <c r="L1648" s="8" t="str">
        <f ca="1">IFERROR(__xludf.DUMMYFUNCTION("GOOGLEFINANCE(""NSE:""&amp;D1648,""price"")"),"#N/A")</f>
        <v>#N/A</v>
      </c>
      <c r="M1648" s="9" t="e">
        <f t="shared" ca="1" si="32"/>
        <v>#VALUE!</v>
      </c>
      <c r="N1648" s="10" t="e">
        <f t="shared" ca="1" si="33"/>
        <v>#VALUE!</v>
      </c>
      <c r="O1648" s="7" t="str">
        <f ca="1">IFERROR(__xludf.DUMMYFUNCTION("GOOGLEFINANCE(""NSE:""&amp;D1648,""pe"")"),"#N/A")</f>
        <v>#N/A</v>
      </c>
      <c r="P1648" s="7" t="str">
        <f ca="1">IFERROR(__xludf.DUMMYFUNCTION("GOOGLEFINANCE(""NSE:""&amp;D1648,""EPS"")"),"#N/A")</f>
        <v>#N/A</v>
      </c>
      <c r="Q1648" s="7">
        <v>13.5</v>
      </c>
      <c r="R1648" s="7" t="str">
        <f ca="1">IFERROR(__xludf.DUMMYFUNCTION("IMPORTXML(E1648,""/html/body/main/div[3]/div[3]/div[2]/ul/li[7]/span[2]/span"")"),"Loading...")</f>
        <v>Loading...</v>
      </c>
      <c r="S1648" s="7" t="str">
        <f ca="1">IFERROR(__xludf.DUMMYFUNCTION("IMPORTXML(E1648,""/html/body/main/div[3]/div[3]/div[2]/ul/li[8]/span[2]/span"")"),"Loading...")</f>
        <v>Loading...</v>
      </c>
      <c r="T1648" s="4">
        <v>34.6</v>
      </c>
      <c r="U1648" s="4">
        <v>22.7</v>
      </c>
      <c r="V1648" s="4">
        <v>2.6</v>
      </c>
      <c r="W1648" s="4">
        <v>5.7</v>
      </c>
      <c r="X1648" s="4">
        <v>519.92999999999995</v>
      </c>
      <c r="Y1648" s="7" t="e">
        <f t="shared" ca="1" si="34"/>
        <v>#VALUE!</v>
      </c>
    </row>
    <row r="1649" spans="1:25" ht="15" x14ac:dyDescent="0.25">
      <c r="A1649" s="4">
        <v>1041</v>
      </c>
      <c r="C1649" s="12" t="s">
        <v>3751</v>
      </c>
      <c r="D1649" s="12" t="s">
        <v>3752</v>
      </c>
      <c r="E1649" s="5" t="str">
        <f t="shared" si="30"/>
        <v>https://www.screener.in/company/ACLGATI/consolidated/</v>
      </c>
      <c r="F1649" s="4">
        <v>443059</v>
      </c>
      <c r="G1649" s="4">
        <v>3832241897</v>
      </c>
      <c r="H1649" s="6">
        <f t="shared" ca="1" si="31"/>
        <v>23913.189437279998</v>
      </c>
      <c r="I1649" s="7" t="str">
        <f ca="1">IFERROR(__xludf.DUMMYFUNCTION("IMPORTXML(E1649,""/html/body/main/div[3]/div[3]/div[2]/ul/li[5]/span[2]/span"")"),"Loading...")</f>
        <v>Loading...</v>
      </c>
      <c r="J1649" s="7">
        <f ca="1">IFERROR(__xludf.DUMMYFUNCTION("GOOGLEFINANCE(""NSE:""&amp;D1649,""marketcap"")"),9177511424)</f>
        <v>9177511424</v>
      </c>
      <c r="K1649" s="7">
        <v>992.8</v>
      </c>
      <c r="L1649" s="8">
        <f ca="1">IFERROR(__xludf.DUMMYFUNCTION("GOOGLEFINANCE(""NSE:""&amp;D1649,""price"")"),62.4)</f>
        <v>62.4</v>
      </c>
      <c r="M1649" s="9">
        <f t="shared" ca="1" si="32"/>
        <v>-930.4</v>
      </c>
      <c r="N1649" s="10">
        <f t="shared" ca="1" si="33"/>
        <v>-93.714746172441579</v>
      </c>
      <c r="O1649" s="7" t="str">
        <f ca="1">IFERROR(__xludf.DUMMYFUNCTION("GOOGLEFINANCE(""NSE:""&amp;D1649,""pe"")"),"#N/A")</f>
        <v>#N/A</v>
      </c>
      <c r="P1649" s="7" t="str">
        <f ca="1">IFERROR(__xludf.DUMMYFUNCTION("GOOGLEFINANCE(""NSE:""&amp;D1649,""EPS"")"),"#N/A")</f>
        <v>#N/A</v>
      </c>
      <c r="Q1649" s="7">
        <v>13.5</v>
      </c>
      <c r="R1649" s="7" t="str">
        <f ca="1">IFERROR(__xludf.DUMMYFUNCTION("IMPORTXML(E1649,""/html/body/main/div[3]/div[3]/div[2]/ul/li[7]/span[2]/span"")"),"Loading...")</f>
        <v>Loading...</v>
      </c>
      <c r="S1649" s="7" t="str">
        <f ca="1">IFERROR(__xludf.DUMMYFUNCTION("IMPORTXML(E1649,""/html/body/main/div[3]/div[3]/div[2]/ul/li[8]/span[2]/span"")"),"Loading...")</f>
        <v>Loading...</v>
      </c>
      <c r="T1649" s="4">
        <v>34.6</v>
      </c>
      <c r="U1649" s="4">
        <v>22.7</v>
      </c>
      <c r="V1649" s="4">
        <v>2.6</v>
      </c>
      <c r="W1649" s="4">
        <v>5.7</v>
      </c>
      <c r="X1649" s="4">
        <v>519.92999999999995</v>
      </c>
      <c r="Y1649" s="7">
        <f t="shared" ca="1" si="34"/>
        <v>-457.53</v>
      </c>
    </row>
    <row r="1650" spans="1:25" ht="15" x14ac:dyDescent="0.25">
      <c r="A1650" s="4">
        <v>1042</v>
      </c>
      <c r="C1650" s="41" t="s">
        <v>3753</v>
      </c>
      <c r="D1650" s="42"/>
      <c r="E1650" s="5" t="str">
        <f t="shared" si="30"/>
        <v>https://www.screener.in/company//consolidated/</v>
      </c>
      <c r="F1650" s="4">
        <v>443059</v>
      </c>
      <c r="G1650" s="4">
        <v>3832241897</v>
      </c>
      <c r="H1650" s="6" t="e">
        <f t="shared" ca="1" si="31"/>
        <v>#VALUE!</v>
      </c>
      <c r="I1650" s="7" t="str">
        <f ca="1">IFERROR(__xludf.DUMMYFUNCTION("IMPORTXML(E1650,""/html/body/main/div[3]/div[3]/div[2]/ul/li[5]/span[2]/span"")"),"Loading...")</f>
        <v>Loading...</v>
      </c>
      <c r="J1650" s="7" t="str">
        <f ca="1">IFERROR(__xludf.DUMMYFUNCTION("GOOGLEFINANCE(""NSE:""&amp;D1650,""marketcap"")"),"#N/A")</f>
        <v>#N/A</v>
      </c>
      <c r="K1650" s="7">
        <v>992.8</v>
      </c>
      <c r="L1650" s="8" t="str">
        <f ca="1">IFERROR(__xludf.DUMMYFUNCTION("GOOGLEFINANCE(""NSE:""&amp;D1650,""price"")"),"#N/A")</f>
        <v>#N/A</v>
      </c>
      <c r="M1650" s="9" t="e">
        <f t="shared" ca="1" si="32"/>
        <v>#VALUE!</v>
      </c>
      <c r="N1650" s="10" t="e">
        <f t="shared" ca="1" si="33"/>
        <v>#VALUE!</v>
      </c>
      <c r="O1650" s="7" t="str">
        <f ca="1">IFERROR(__xludf.DUMMYFUNCTION("GOOGLEFINANCE(""NSE:""&amp;D1650,""pe"")"),"#N/A")</f>
        <v>#N/A</v>
      </c>
      <c r="P1650" s="7" t="str">
        <f ca="1">IFERROR(__xludf.DUMMYFUNCTION("GOOGLEFINANCE(""NSE:""&amp;D1650,""EPS"")"),"#N/A")</f>
        <v>#N/A</v>
      </c>
      <c r="Q1650" s="7">
        <v>13.5</v>
      </c>
      <c r="R1650" s="7" t="str">
        <f ca="1">IFERROR(__xludf.DUMMYFUNCTION("IMPORTXML(E1650,""/html/body/main/div[3]/div[3]/div[2]/ul/li[7]/span[2]/span"")"),"Loading...")</f>
        <v>Loading...</v>
      </c>
      <c r="S1650" s="7" t="str">
        <f ca="1">IFERROR(__xludf.DUMMYFUNCTION("IMPORTXML(E1650,""/html/body/main/div[3]/div[3]/div[2]/ul/li[8]/span[2]/span"")"),"Loading...")</f>
        <v>Loading...</v>
      </c>
      <c r="T1650" s="4">
        <v>34.6</v>
      </c>
      <c r="U1650" s="4">
        <v>22.7</v>
      </c>
      <c r="V1650" s="4">
        <v>2.6</v>
      </c>
      <c r="W1650" s="4">
        <v>5.7</v>
      </c>
      <c r="X1650" s="4">
        <v>519.92999999999995</v>
      </c>
      <c r="Y1650" s="7" t="e">
        <f t="shared" ca="1" si="34"/>
        <v>#VALUE!</v>
      </c>
    </row>
    <row r="1651" spans="1:25" ht="15" x14ac:dyDescent="0.25">
      <c r="A1651" s="4">
        <v>1061</v>
      </c>
      <c r="C1651" s="12" t="s">
        <v>3754</v>
      </c>
      <c r="D1651" s="12" t="s">
        <v>3755</v>
      </c>
      <c r="E1651" s="5" t="str">
        <f t="shared" si="30"/>
        <v>https://www.screener.in/company/VLEGOV/consolidated/</v>
      </c>
      <c r="F1651" s="4">
        <v>443059</v>
      </c>
      <c r="G1651" s="4">
        <v>3832241897</v>
      </c>
      <c r="H1651" s="6">
        <f t="shared" ca="1" si="31"/>
        <v>12328.322182649001</v>
      </c>
      <c r="I1651" s="7" t="str">
        <f ca="1">IFERROR(__xludf.DUMMYFUNCTION("IMPORTXML(E1651,""/html/body/main/div[3]/div[3]/div[2]/ul/li[5]/span[2]/span"")"),"Loading...")</f>
        <v>Loading...</v>
      </c>
      <c r="J1651" s="7">
        <f ca="1">IFERROR(__xludf.DUMMYFUNCTION("GOOGLEFINANCE(""NSE:""&amp;D1651,""marketcap"")"),3494336716)</f>
        <v>3494336716</v>
      </c>
      <c r="K1651" s="7">
        <v>992.8</v>
      </c>
      <c r="L1651" s="8">
        <f ca="1">IFERROR(__xludf.DUMMYFUNCTION("GOOGLEFINANCE(""NSE:""&amp;D1651,""price"")"),32.17)</f>
        <v>32.17</v>
      </c>
      <c r="M1651" s="9">
        <f t="shared" ca="1" si="32"/>
        <v>-960.63</v>
      </c>
      <c r="N1651" s="10">
        <f t="shared" ca="1" si="33"/>
        <v>-96.759669621273176</v>
      </c>
      <c r="O1651" s="7" t="str">
        <f ca="1">IFERROR(__xludf.DUMMYFUNCTION("GOOGLEFINANCE(""NSE:""&amp;D1651,""pe"")"),"#N/A")</f>
        <v>#N/A</v>
      </c>
      <c r="P1651" s="7">
        <f ca="1">IFERROR(__xludf.DUMMYFUNCTION("GOOGLEFINANCE(""NSE:""&amp;D1651,""EPS"")"),-232.08)</f>
        <v>-232.08</v>
      </c>
      <c r="Q1651" s="7">
        <v>13.5</v>
      </c>
      <c r="R1651" s="7" t="str">
        <f ca="1">IFERROR(__xludf.DUMMYFUNCTION("IMPORTXML(E1651,""/html/body/main/div[3]/div[3]/div[2]/ul/li[7]/span[2]/span"")"),"Loading...")</f>
        <v>Loading...</v>
      </c>
      <c r="S1651" s="7" t="str">
        <f ca="1">IFERROR(__xludf.DUMMYFUNCTION("IMPORTXML(E1651,""/html/body/main/div[3]/div[3]/div[2]/ul/li[8]/span[2]/span"")"),"#N/A")</f>
        <v>#N/A</v>
      </c>
      <c r="T1651" s="4">
        <v>34.6</v>
      </c>
      <c r="U1651" s="4">
        <v>22.7</v>
      </c>
      <c r="V1651" s="4">
        <v>2.6</v>
      </c>
      <c r="W1651" s="4">
        <v>5.7</v>
      </c>
      <c r="X1651" s="4">
        <v>519.92999999999995</v>
      </c>
      <c r="Y1651" s="7">
        <f t="shared" ca="1" si="34"/>
        <v>-487.75999999999993</v>
      </c>
    </row>
    <row r="1652" spans="1:25" ht="15" x14ac:dyDescent="0.25">
      <c r="A1652" s="4">
        <v>1063</v>
      </c>
      <c r="C1652" s="41" t="s">
        <v>3756</v>
      </c>
      <c r="D1652" s="42"/>
      <c r="E1652" s="5" t="str">
        <f t="shared" si="30"/>
        <v>https://www.screener.in/company//consolidated/</v>
      </c>
      <c r="F1652" s="4">
        <v>443059</v>
      </c>
      <c r="G1652" s="4">
        <v>3832241897</v>
      </c>
      <c r="H1652" s="6" t="e">
        <f t="shared" ca="1" si="31"/>
        <v>#VALUE!</v>
      </c>
      <c r="I1652" s="7" t="str">
        <f ca="1">IFERROR(__xludf.DUMMYFUNCTION("IMPORTXML(E1652,""/html/body/main/div[3]/div[3]/div[2]/ul/li[5]/span[2]/span"")"),"Loading...")</f>
        <v>Loading...</v>
      </c>
      <c r="J1652" s="7" t="str">
        <f ca="1">IFERROR(__xludf.DUMMYFUNCTION("GOOGLEFINANCE(""NSE:""&amp;D1652,""marketcap"")"),"#N/A")</f>
        <v>#N/A</v>
      </c>
      <c r="K1652" s="7">
        <v>992.8</v>
      </c>
      <c r="L1652" s="8" t="str">
        <f ca="1">IFERROR(__xludf.DUMMYFUNCTION("GOOGLEFINANCE(""NSE:""&amp;D1652,""price"")"),"#N/A")</f>
        <v>#N/A</v>
      </c>
      <c r="M1652" s="9" t="e">
        <f t="shared" ca="1" si="32"/>
        <v>#VALUE!</v>
      </c>
      <c r="N1652" s="10" t="e">
        <f t="shared" ca="1" si="33"/>
        <v>#VALUE!</v>
      </c>
      <c r="O1652" s="7" t="str">
        <f ca="1">IFERROR(__xludf.DUMMYFUNCTION("GOOGLEFINANCE(""NSE:""&amp;D1652,""pe"")"),"#N/A")</f>
        <v>#N/A</v>
      </c>
      <c r="P1652" s="7" t="str">
        <f ca="1">IFERROR(__xludf.DUMMYFUNCTION("GOOGLEFINANCE(""NSE:""&amp;D1652,""EPS"")"),"#N/A")</f>
        <v>#N/A</v>
      </c>
      <c r="Q1652" s="7">
        <v>13.5</v>
      </c>
      <c r="R1652" s="7" t="str">
        <f ca="1">IFERROR(__xludf.DUMMYFUNCTION("IMPORTXML(E1652,""/html/body/main/div[3]/div[3]/div[2]/ul/li[7]/span[2]/span"")"),"Loading...")</f>
        <v>Loading...</v>
      </c>
      <c r="S1652" s="7" t="str">
        <f ca="1">IFERROR(__xludf.DUMMYFUNCTION("IMPORTXML(E1652,""/html/body/main/div[3]/div[3]/div[2]/ul/li[8]/span[2]/span"")"),"Loading...")</f>
        <v>Loading...</v>
      </c>
      <c r="T1652" s="4">
        <v>34.6</v>
      </c>
      <c r="U1652" s="4">
        <v>22.7</v>
      </c>
      <c r="V1652" s="4">
        <v>2.6</v>
      </c>
      <c r="W1652" s="4">
        <v>5.7</v>
      </c>
      <c r="X1652" s="4">
        <v>519.92999999999995</v>
      </c>
      <c r="Y1652" s="7" t="e">
        <f t="shared" ca="1" si="34"/>
        <v>#VALUE!</v>
      </c>
    </row>
    <row r="1653" spans="1:25" ht="15" x14ac:dyDescent="0.25">
      <c r="A1653" s="4">
        <v>1065</v>
      </c>
      <c r="C1653" s="41" t="s">
        <v>3757</v>
      </c>
      <c r="D1653" s="42"/>
      <c r="E1653" s="5" t="str">
        <f t="shared" si="30"/>
        <v>https://www.screener.in/company//consolidated/</v>
      </c>
      <c r="F1653" s="4">
        <v>443059</v>
      </c>
      <c r="G1653" s="4">
        <v>3832241897</v>
      </c>
      <c r="H1653" s="6" t="e">
        <f t="shared" ca="1" si="31"/>
        <v>#VALUE!</v>
      </c>
      <c r="I1653" s="7" t="str">
        <f ca="1">IFERROR(__xludf.DUMMYFUNCTION("IMPORTXML(E1653,""/html/body/main/div[3]/div[3]/div[2]/ul/li[5]/span[2]/span"")"),"Loading...")</f>
        <v>Loading...</v>
      </c>
      <c r="J1653" s="7" t="str">
        <f ca="1">IFERROR(__xludf.DUMMYFUNCTION("GOOGLEFINANCE(""NSE:""&amp;D1653,""marketcap"")"),"#N/A")</f>
        <v>#N/A</v>
      </c>
      <c r="K1653" s="7">
        <v>992.8</v>
      </c>
      <c r="L1653" s="8" t="str">
        <f ca="1">IFERROR(__xludf.DUMMYFUNCTION("GOOGLEFINANCE(""NSE:""&amp;D1653,""price"")"),"#N/A")</f>
        <v>#N/A</v>
      </c>
      <c r="M1653" s="9" t="e">
        <f t="shared" ca="1" si="32"/>
        <v>#VALUE!</v>
      </c>
      <c r="N1653" s="10" t="e">
        <f t="shared" ca="1" si="33"/>
        <v>#VALUE!</v>
      </c>
      <c r="O1653" s="7" t="str">
        <f ca="1">IFERROR(__xludf.DUMMYFUNCTION("GOOGLEFINANCE(""NSE:""&amp;D1653,""pe"")"),"#N/A")</f>
        <v>#N/A</v>
      </c>
      <c r="P1653" s="7" t="str">
        <f ca="1">IFERROR(__xludf.DUMMYFUNCTION("GOOGLEFINANCE(""NSE:""&amp;D1653,""EPS"")"),"#N/A")</f>
        <v>#N/A</v>
      </c>
      <c r="Q1653" s="7">
        <v>13.5</v>
      </c>
      <c r="R1653" s="7" t="str">
        <f ca="1">IFERROR(__xludf.DUMMYFUNCTION("IMPORTXML(E1653,""/html/body/main/div[3]/div[3]/div[2]/ul/li[7]/span[2]/span"")"),"Loading...")</f>
        <v>Loading...</v>
      </c>
      <c r="S1653" s="7" t="str">
        <f ca="1">IFERROR(__xludf.DUMMYFUNCTION("IMPORTXML(E1653,""/html/body/main/div[3]/div[3]/div[2]/ul/li[8]/span[2]/span"")"),"Loading...")</f>
        <v>Loading...</v>
      </c>
      <c r="T1653" s="4">
        <v>34.6</v>
      </c>
      <c r="U1653" s="4">
        <v>22.7</v>
      </c>
      <c r="V1653" s="4">
        <v>2.6</v>
      </c>
      <c r="W1653" s="4">
        <v>5.7</v>
      </c>
      <c r="X1653" s="4">
        <v>519.92999999999995</v>
      </c>
      <c r="Y1653" s="7" t="e">
        <f t="shared" ca="1" si="34"/>
        <v>#VALUE!</v>
      </c>
    </row>
    <row r="1654" spans="1:25" ht="15" x14ac:dyDescent="0.25">
      <c r="A1654" s="4">
        <v>1067</v>
      </c>
      <c r="C1654" s="41" t="s">
        <v>3758</v>
      </c>
      <c r="D1654" s="42"/>
      <c r="E1654" s="5" t="str">
        <f t="shared" si="30"/>
        <v>https://www.screener.in/company//consolidated/</v>
      </c>
      <c r="F1654" s="4">
        <v>443059</v>
      </c>
      <c r="G1654" s="4">
        <v>3832241897</v>
      </c>
      <c r="H1654" s="6" t="e">
        <f t="shared" ca="1" si="31"/>
        <v>#VALUE!</v>
      </c>
      <c r="I1654" s="7" t="str">
        <f ca="1">IFERROR(__xludf.DUMMYFUNCTION("IMPORTXML(E1654,""/html/body/main/div[3]/div[3]/div[2]/ul/li[5]/span[2]/span"")"),"Loading...")</f>
        <v>Loading...</v>
      </c>
      <c r="J1654" s="7" t="str">
        <f ca="1">IFERROR(__xludf.DUMMYFUNCTION("GOOGLEFINANCE(""NSE:""&amp;D1654,""marketcap"")"),"#N/A")</f>
        <v>#N/A</v>
      </c>
      <c r="K1654" s="7">
        <v>992.8</v>
      </c>
      <c r="L1654" s="8" t="str">
        <f ca="1">IFERROR(__xludf.DUMMYFUNCTION("GOOGLEFINANCE(""NSE:""&amp;D1654,""price"")"),"#N/A")</f>
        <v>#N/A</v>
      </c>
      <c r="M1654" s="9" t="e">
        <f t="shared" ca="1" si="32"/>
        <v>#VALUE!</v>
      </c>
      <c r="N1654" s="10" t="e">
        <f t="shared" ca="1" si="33"/>
        <v>#VALUE!</v>
      </c>
      <c r="O1654" s="7" t="str">
        <f ca="1">IFERROR(__xludf.DUMMYFUNCTION("GOOGLEFINANCE(""NSE:""&amp;D1654,""pe"")"),"#N/A")</f>
        <v>#N/A</v>
      </c>
      <c r="P1654" s="7" t="str">
        <f ca="1">IFERROR(__xludf.DUMMYFUNCTION("GOOGLEFINANCE(""NSE:""&amp;D1654,""EPS"")"),"#N/A")</f>
        <v>#N/A</v>
      </c>
      <c r="Q1654" s="7">
        <v>13.5</v>
      </c>
      <c r="R1654" s="7" t="str">
        <f ca="1">IFERROR(__xludf.DUMMYFUNCTION("IMPORTXML(E1654,""/html/body/main/div[3]/div[3]/div[2]/ul/li[7]/span[2]/span"")"),"Loading...")</f>
        <v>Loading...</v>
      </c>
      <c r="S1654" s="7" t="str">
        <f ca="1">IFERROR(__xludf.DUMMYFUNCTION("IMPORTXML(E1654,""/html/body/main/div[3]/div[3]/div[2]/ul/li[8]/span[2]/span"")"),"Loading...")</f>
        <v>Loading...</v>
      </c>
      <c r="T1654" s="4">
        <v>34.6</v>
      </c>
      <c r="U1654" s="4">
        <v>22.7</v>
      </c>
      <c r="V1654" s="4">
        <v>2.6</v>
      </c>
      <c r="W1654" s="4">
        <v>5.7</v>
      </c>
      <c r="X1654" s="4">
        <v>519.92999999999995</v>
      </c>
      <c r="Y1654" s="7" t="e">
        <f t="shared" ca="1" si="34"/>
        <v>#VALUE!</v>
      </c>
    </row>
    <row r="1655" spans="1:25" ht="15" x14ac:dyDescent="0.25">
      <c r="A1655" s="4">
        <v>1069</v>
      </c>
      <c r="C1655" s="41" t="s">
        <v>3759</v>
      </c>
      <c r="D1655" s="42"/>
      <c r="E1655" s="5" t="str">
        <f t="shared" si="30"/>
        <v>https://www.screener.in/company//consolidated/</v>
      </c>
      <c r="F1655" s="4">
        <v>443059</v>
      </c>
      <c r="G1655" s="4">
        <v>3832241897</v>
      </c>
      <c r="H1655" s="6" t="e">
        <f t="shared" ca="1" si="31"/>
        <v>#VALUE!</v>
      </c>
      <c r="I1655" s="7" t="str">
        <f ca="1">IFERROR(__xludf.DUMMYFUNCTION("IMPORTXML(E1655,""/html/body/main/div[3]/div[3]/div[2]/ul/li[5]/span[2]/span"")"),"Loading...")</f>
        <v>Loading...</v>
      </c>
      <c r="J1655" s="7" t="str">
        <f ca="1">IFERROR(__xludf.DUMMYFUNCTION("GOOGLEFINANCE(""NSE:""&amp;D1655,""marketcap"")"),"#N/A")</f>
        <v>#N/A</v>
      </c>
      <c r="K1655" s="7">
        <v>992.8</v>
      </c>
      <c r="L1655" s="8" t="str">
        <f ca="1">IFERROR(__xludf.DUMMYFUNCTION("GOOGLEFINANCE(""NSE:""&amp;D1655,""price"")"),"#N/A")</f>
        <v>#N/A</v>
      </c>
      <c r="M1655" s="9" t="e">
        <f t="shared" ca="1" si="32"/>
        <v>#VALUE!</v>
      </c>
      <c r="N1655" s="10" t="e">
        <f t="shared" ca="1" si="33"/>
        <v>#VALUE!</v>
      </c>
      <c r="O1655" s="7" t="str">
        <f ca="1">IFERROR(__xludf.DUMMYFUNCTION("GOOGLEFINANCE(""NSE:""&amp;D1655,""pe"")"),"#N/A")</f>
        <v>#N/A</v>
      </c>
      <c r="P1655" s="7" t="str">
        <f ca="1">IFERROR(__xludf.DUMMYFUNCTION("GOOGLEFINANCE(""NSE:""&amp;D1655,""EPS"")"),"#N/A")</f>
        <v>#N/A</v>
      </c>
      <c r="Q1655" s="7">
        <v>13.5</v>
      </c>
      <c r="R1655" s="7" t="str">
        <f ca="1">IFERROR(__xludf.DUMMYFUNCTION("IMPORTXML(E1655,""/html/body/main/div[3]/div[3]/div[2]/ul/li[7]/span[2]/span"")"),"Loading...")</f>
        <v>Loading...</v>
      </c>
      <c r="S1655" s="7" t="str">
        <f ca="1">IFERROR(__xludf.DUMMYFUNCTION("IMPORTXML(E1655,""/html/body/main/div[3]/div[3]/div[2]/ul/li[8]/span[2]/span"")"),"Loading...")</f>
        <v>Loading...</v>
      </c>
      <c r="T1655" s="4">
        <v>34.6</v>
      </c>
      <c r="U1655" s="4">
        <v>22.7</v>
      </c>
      <c r="V1655" s="4">
        <v>2.6</v>
      </c>
      <c r="W1655" s="4">
        <v>5.7</v>
      </c>
      <c r="X1655" s="4">
        <v>519.92999999999995</v>
      </c>
      <c r="Y1655" s="7" t="e">
        <f t="shared" ca="1" si="34"/>
        <v>#VALUE!</v>
      </c>
    </row>
    <row r="1656" spans="1:25" ht="15" x14ac:dyDescent="0.25">
      <c r="A1656" s="4">
        <v>1072</v>
      </c>
      <c r="C1656" s="12" t="s">
        <v>3760</v>
      </c>
      <c r="D1656" s="12" t="s">
        <v>3761</v>
      </c>
      <c r="E1656" s="5" t="str">
        <f t="shared" si="30"/>
        <v>https://www.screener.in/company/ESTER/consolidated/</v>
      </c>
      <c r="F1656" s="4">
        <v>443059</v>
      </c>
      <c r="G1656" s="4">
        <v>3832241897</v>
      </c>
      <c r="H1656" s="6">
        <f t="shared" ca="1" si="31"/>
        <v>44553.644294522004</v>
      </c>
      <c r="I1656" s="7" t="str">
        <f ca="1">IFERROR(__xludf.DUMMYFUNCTION("IMPORTXML(E1656,""/html/body/main/div[3]/div[3]/div[2]/ul/li[5]/span[2]/span"")"),"Loading...")</f>
        <v>Loading...</v>
      </c>
      <c r="J1656" s="7">
        <f ca="1">IFERROR(__xludf.DUMMYFUNCTION("GOOGLEFINANCE(""NSE:""&amp;D1656,""marketcap"")"),11415630000)</f>
        <v>11415630000</v>
      </c>
      <c r="K1656" s="7">
        <v>992.8</v>
      </c>
      <c r="L1656" s="8">
        <f ca="1">IFERROR(__xludf.DUMMYFUNCTION("GOOGLEFINANCE(""NSE:""&amp;D1656,""price"")"),116.26)</f>
        <v>116.26</v>
      </c>
      <c r="M1656" s="9">
        <f t="shared" ca="1" si="32"/>
        <v>-876.54</v>
      </c>
      <c r="N1656" s="10">
        <f t="shared" ca="1" si="33"/>
        <v>-88.289685737308616</v>
      </c>
      <c r="O1656" s="7">
        <f ca="1">IFERROR(__xludf.DUMMYFUNCTION("GOOGLEFINANCE(""NSE:""&amp;D1656,""pe"")"),47.84)</f>
        <v>47.84</v>
      </c>
      <c r="P1656" s="7">
        <f ca="1">IFERROR(__xludf.DUMMYFUNCTION("GOOGLEFINANCE(""NSE:""&amp;D1656,""EPS"")"),2.43)</f>
        <v>2.4300000000000002</v>
      </c>
      <c r="Q1656" s="7">
        <v>13.5</v>
      </c>
      <c r="R1656" s="7" t="str">
        <f ca="1">IFERROR(__xludf.DUMMYFUNCTION("IMPORTXML(E1656,""/html/body/main/div[3]/div[3]/div[2]/ul/li[7]/span[2]/span"")"),"Loading...")</f>
        <v>Loading...</v>
      </c>
      <c r="S1656" s="7" t="str">
        <f ca="1">IFERROR(__xludf.DUMMYFUNCTION("IMPORTXML(E1656,""/html/body/main/div[3]/div[3]/div[2]/ul/li[8]/span[2]/span"")"),"Loading...")</f>
        <v>Loading...</v>
      </c>
      <c r="T1656" s="4">
        <v>34.6</v>
      </c>
      <c r="U1656" s="4">
        <v>22.7</v>
      </c>
      <c r="V1656" s="4">
        <v>2.6</v>
      </c>
      <c r="W1656" s="4">
        <v>5.7</v>
      </c>
      <c r="X1656" s="4">
        <v>519.92999999999995</v>
      </c>
      <c r="Y1656" s="7">
        <f t="shared" ca="1" si="34"/>
        <v>-403.66999999999996</v>
      </c>
    </row>
    <row r="1657" spans="1:25" ht="15" x14ac:dyDescent="0.25">
      <c r="A1657" s="4">
        <v>1073</v>
      </c>
      <c r="C1657" s="41" t="s">
        <v>3762</v>
      </c>
      <c r="D1657" s="42"/>
      <c r="E1657" s="5" t="str">
        <f t="shared" si="30"/>
        <v>https://www.screener.in/company//consolidated/</v>
      </c>
      <c r="F1657" s="4">
        <v>443059</v>
      </c>
      <c r="G1657" s="4">
        <v>3832241897</v>
      </c>
      <c r="H1657" s="6" t="e">
        <f t="shared" ca="1" si="31"/>
        <v>#VALUE!</v>
      </c>
      <c r="I1657" s="7" t="str">
        <f ca="1">IFERROR(__xludf.DUMMYFUNCTION("IMPORTXML(E1657,""/html/body/main/div[3]/div[3]/div[2]/ul/li[5]/span[2]/span"")"),"Loading...")</f>
        <v>Loading...</v>
      </c>
      <c r="J1657" s="7" t="str">
        <f ca="1">IFERROR(__xludf.DUMMYFUNCTION("GOOGLEFINANCE(""NSE:""&amp;D1657,""marketcap"")"),"#N/A")</f>
        <v>#N/A</v>
      </c>
      <c r="K1657" s="7">
        <v>992.8</v>
      </c>
      <c r="L1657" s="8" t="str">
        <f ca="1">IFERROR(__xludf.DUMMYFUNCTION("GOOGLEFINANCE(""NSE:""&amp;D1657,""price"")"),"#N/A")</f>
        <v>#N/A</v>
      </c>
      <c r="M1657" s="9" t="e">
        <f t="shared" ca="1" si="32"/>
        <v>#VALUE!</v>
      </c>
      <c r="N1657" s="10" t="e">
        <f t="shared" ca="1" si="33"/>
        <v>#VALUE!</v>
      </c>
      <c r="O1657" s="7" t="str">
        <f ca="1">IFERROR(__xludf.DUMMYFUNCTION("GOOGLEFINANCE(""NSE:""&amp;D1657,""pe"")"),"#N/A")</f>
        <v>#N/A</v>
      </c>
      <c r="P1657" s="7" t="str">
        <f ca="1">IFERROR(__xludf.DUMMYFUNCTION("GOOGLEFINANCE(""NSE:""&amp;D1657,""EPS"")"),"#N/A")</f>
        <v>#N/A</v>
      </c>
      <c r="Q1657" s="7">
        <v>13.5</v>
      </c>
      <c r="R1657" s="7" t="str">
        <f ca="1">IFERROR(__xludf.DUMMYFUNCTION("IMPORTXML(E1657,""/html/body/main/div[3]/div[3]/div[2]/ul/li[7]/span[2]/span"")"),"Loading...")</f>
        <v>Loading...</v>
      </c>
      <c r="S1657" s="7" t="str">
        <f ca="1">IFERROR(__xludf.DUMMYFUNCTION("IMPORTXML(E1657,""/html/body/main/div[3]/div[3]/div[2]/ul/li[8]/span[2]/span"")"),"Loading...")</f>
        <v>Loading...</v>
      </c>
      <c r="T1657" s="4">
        <v>34.6</v>
      </c>
      <c r="U1657" s="4">
        <v>22.7</v>
      </c>
      <c r="V1657" s="4">
        <v>2.6</v>
      </c>
      <c r="W1657" s="4">
        <v>5.7</v>
      </c>
      <c r="X1657" s="4">
        <v>519.92999999999995</v>
      </c>
      <c r="Y1657" s="7" t="e">
        <f t="shared" ca="1" si="34"/>
        <v>#VALUE!</v>
      </c>
    </row>
    <row r="1658" spans="1:25" ht="15" x14ac:dyDescent="0.25">
      <c r="A1658" s="4">
        <v>1074</v>
      </c>
      <c r="C1658" s="41" t="s">
        <v>3763</v>
      </c>
      <c r="D1658" s="42"/>
      <c r="E1658" s="5" t="str">
        <f t="shared" si="30"/>
        <v>https://www.screener.in/company//consolidated/</v>
      </c>
      <c r="F1658" s="4">
        <v>443059</v>
      </c>
      <c r="G1658" s="4">
        <v>3832241897</v>
      </c>
      <c r="H1658" s="6" t="e">
        <f t="shared" ca="1" si="31"/>
        <v>#VALUE!</v>
      </c>
      <c r="I1658" s="7" t="str">
        <f ca="1">IFERROR(__xludf.DUMMYFUNCTION("IMPORTXML(E1658,""/html/body/main/div[3]/div[3]/div[2]/ul/li[5]/span[2]/span"")"),"Loading...")</f>
        <v>Loading...</v>
      </c>
      <c r="J1658" s="7" t="str">
        <f ca="1">IFERROR(__xludf.DUMMYFUNCTION("GOOGLEFINANCE(""NSE:""&amp;D1658,""marketcap"")"),"#N/A")</f>
        <v>#N/A</v>
      </c>
      <c r="K1658" s="7">
        <v>992.8</v>
      </c>
      <c r="L1658" s="8" t="str">
        <f ca="1">IFERROR(__xludf.DUMMYFUNCTION("GOOGLEFINANCE(""NSE:""&amp;D1658,""price"")"),"#N/A")</f>
        <v>#N/A</v>
      </c>
      <c r="M1658" s="9" t="e">
        <f t="shared" ca="1" si="32"/>
        <v>#VALUE!</v>
      </c>
      <c r="N1658" s="10" t="e">
        <f t="shared" ca="1" si="33"/>
        <v>#VALUE!</v>
      </c>
      <c r="O1658" s="7" t="str">
        <f ca="1">IFERROR(__xludf.DUMMYFUNCTION("GOOGLEFINANCE(""NSE:""&amp;D1658,""pe"")"),"#N/A")</f>
        <v>#N/A</v>
      </c>
      <c r="P1658" s="7" t="str">
        <f ca="1">IFERROR(__xludf.DUMMYFUNCTION("GOOGLEFINANCE(""NSE:""&amp;D1658,""EPS"")"),"#N/A")</f>
        <v>#N/A</v>
      </c>
      <c r="Q1658" s="7">
        <v>13.5</v>
      </c>
      <c r="R1658" s="7" t="str">
        <f ca="1">IFERROR(__xludf.DUMMYFUNCTION("IMPORTXML(E1658,""/html/body/main/div[3]/div[3]/div[2]/ul/li[7]/span[2]/span"")"),"Loading...")</f>
        <v>Loading...</v>
      </c>
      <c r="S1658" s="7" t="str">
        <f ca="1">IFERROR(__xludf.DUMMYFUNCTION("IMPORTXML(E1658,""/html/body/main/div[3]/div[3]/div[2]/ul/li[8]/span[2]/span"")"),"Loading...")</f>
        <v>Loading...</v>
      </c>
      <c r="T1658" s="4">
        <v>34.6</v>
      </c>
      <c r="U1658" s="4">
        <v>22.7</v>
      </c>
      <c r="V1658" s="4">
        <v>2.6</v>
      </c>
      <c r="W1658" s="4">
        <v>5.7</v>
      </c>
      <c r="X1658" s="4">
        <v>519.92999999999995</v>
      </c>
      <c r="Y1658" s="7" t="e">
        <f t="shared" ca="1" si="34"/>
        <v>#VALUE!</v>
      </c>
    </row>
    <row r="1659" spans="1:25" ht="15" x14ac:dyDescent="0.25">
      <c r="A1659" s="4">
        <v>1075</v>
      </c>
      <c r="C1659" s="41" t="s">
        <v>3764</v>
      </c>
      <c r="D1659" s="42"/>
      <c r="E1659" s="5" t="str">
        <f t="shared" si="30"/>
        <v>https://www.screener.in/company//consolidated/</v>
      </c>
      <c r="F1659" s="4">
        <v>443059</v>
      </c>
      <c r="G1659" s="4">
        <v>3832241897</v>
      </c>
      <c r="H1659" s="6" t="e">
        <f t="shared" ca="1" si="31"/>
        <v>#VALUE!</v>
      </c>
      <c r="I1659" s="7" t="str">
        <f ca="1">IFERROR(__xludf.DUMMYFUNCTION("IMPORTXML(E1659,""/html/body/main/div[3]/div[3]/div[2]/ul/li[5]/span[2]/span"")"),"Loading...")</f>
        <v>Loading...</v>
      </c>
      <c r="J1659" s="7" t="str">
        <f ca="1">IFERROR(__xludf.DUMMYFUNCTION("GOOGLEFINANCE(""NSE:""&amp;D1659,""marketcap"")"),"#N/A")</f>
        <v>#N/A</v>
      </c>
      <c r="K1659" s="7">
        <v>992.8</v>
      </c>
      <c r="L1659" s="8" t="str">
        <f ca="1">IFERROR(__xludf.DUMMYFUNCTION("GOOGLEFINANCE(""NSE:""&amp;D1659,""price"")"),"#N/A")</f>
        <v>#N/A</v>
      </c>
      <c r="M1659" s="9" t="e">
        <f t="shared" ca="1" si="32"/>
        <v>#VALUE!</v>
      </c>
      <c r="N1659" s="10" t="e">
        <f t="shared" ca="1" si="33"/>
        <v>#VALUE!</v>
      </c>
      <c r="O1659" s="7" t="str">
        <f ca="1">IFERROR(__xludf.DUMMYFUNCTION("GOOGLEFINANCE(""NSE:""&amp;D1659,""pe"")"),"#N/A")</f>
        <v>#N/A</v>
      </c>
      <c r="P1659" s="7" t="str">
        <f ca="1">IFERROR(__xludf.DUMMYFUNCTION("GOOGLEFINANCE(""NSE:""&amp;D1659,""EPS"")"),"#N/A")</f>
        <v>#N/A</v>
      </c>
      <c r="Q1659" s="7">
        <v>13.5</v>
      </c>
      <c r="R1659" s="7" t="str">
        <f ca="1">IFERROR(__xludf.DUMMYFUNCTION("IMPORTXML(E1659,""/html/body/main/div[3]/div[3]/div[2]/ul/li[7]/span[2]/span"")"),"Loading...")</f>
        <v>Loading...</v>
      </c>
      <c r="S1659" s="7" t="str">
        <f ca="1">IFERROR(__xludf.DUMMYFUNCTION("IMPORTXML(E1659,""/html/body/main/div[3]/div[3]/div[2]/ul/li[8]/span[2]/span"")"),"Loading...")</f>
        <v>Loading...</v>
      </c>
      <c r="T1659" s="4">
        <v>34.6</v>
      </c>
      <c r="U1659" s="4">
        <v>22.7</v>
      </c>
      <c r="V1659" s="4">
        <v>2.6</v>
      </c>
      <c r="W1659" s="4">
        <v>5.7</v>
      </c>
      <c r="X1659" s="4">
        <v>519.92999999999995</v>
      </c>
      <c r="Y1659" s="7" t="e">
        <f t="shared" ca="1" si="34"/>
        <v>#VALUE!</v>
      </c>
    </row>
    <row r="1660" spans="1:25" ht="15" x14ac:dyDescent="0.25">
      <c r="A1660" s="4">
        <v>1076</v>
      </c>
      <c r="C1660" s="12" t="s">
        <v>3765</v>
      </c>
      <c r="D1660" s="12" t="s">
        <v>3766</v>
      </c>
      <c r="E1660" s="5" t="str">
        <f t="shared" si="30"/>
        <v>https://www.screener.in/company/WCIL/consolidated/</v>
      </c>
      <c r="F1660" s="4">
        <v>443059</v>
      </c>
      <c r="G1660" s="4">
        <v>3832241897</v>
      </c>
      <c r="H1660" s="6">
        <f t="shared" ca="1" si="31"/>
        <v>52923.260597569992</v>
      </c>
      <c r="I1660" s="7" t="str">
        <f ca="1">IFERROR(__xludf.DUMMYFUNCTION("IMPORTXML(E1660,""/html/body/main/div[3]/div[3]/div[2]/ul/li[5]/span[2]/span"")"),"Loading...")</f>
        <v>Loading...</v>
      </c>
      <c r="J1660" s="7">
        <f ca="1">IFERROR(__xludf.DUMMYFUNCTION("GOOGLEFINANCE(""NSE:""&amp;D1660,""marketcap"")"),14015481083)</f>
        <v>14015481083</v>
      </c>
      <c r="K1660" s="7">
        <v>992.8</v>
      </c>
      <c r="L1660" s="8">
        <f ca="1">IFERROR(__xludf.DUMMYFUNCTION("GOOGLEFINANCE(""NSE:""&amp;D1660,""price"")"),138.1)</f>
        <v>138.1</v>
      </c>
      <c r="M1660" s="9">
        <f t="shared" ca="1" si="32"/>
        <v>-854.69999999999993</v>
      </c>
      <c r="N1660" s="10">
        <f t="shared" ca="1" si="33"/>
        <v>-86.089846897663165</v>
      </c>
      <c r="O1660" s="7">
        <f ca="1">IFERROR(__xludf.DUMMYFUNCTION("GOOGLEFINANCE(""NSE:""&amp;D1660,""pe"")"),23.73)</f>
        <v>23.73</v>
      </c>
      <c r="P1660" s="7">
        <f ca="1">IFERROR(__xludf.DUMMYFUNCTION("GOOGLEFINANCE(""NSE:""&amp;D1660,""EPS"")"),5.82)</f>
        <v>5.82</v>
      </c>
      <c r="Q1660" s="7">
        <v>13.5</v>
      </c>
      <c r="R1660" s="7" t="str">
        <f ca="1">IFERROR(__xludf.DUMMYFUNCTION("IMPORTXML(E1660,""/html/body/main/div[3]/div[3]/div[2]/ul/li[7]/span[2]/span"")"),"Loading...")</f>
        <v>Loading...</v>
      </c>
      <c r="S1660" s="7" t="str">
        <f ca="1">IFERROR(__xludf.DUMMYFUNCTION("IMPORTXML(E1660,""/html/body/main/div[3]/div[3]/div[2]/ul/li[8]/span[2]/span"")"),"Loading...")</f>
        <v>Loading...</v>
      </c>
      <c r="T1660" s="4">
        <v>34.6</v>
      </c>
      <c r="U1660" s="4">
        <v>22.7</v>
      </c>
      <c r="V1660" s="4">
        <v>2.6</v>
      </c>
      <c r="W1660" s="4">
        <v>5.7</v>
      </c>
      <c r="X1660" s="4">
        <v>519.92999999999995</v>
      </c>
      <c r="Y1660" s="7">
        <f t="shared" ca="1" si="34"/>
        <v>-381.82999999999993</v>
      </c>
    </row>
    <row r="1661" spans="1:25" ht="15" x14ac:dyDescent="0.25">
      <c r="A1661" s="4">
        <v>1081</v>
      </c>
      <c r="C1661" s="41" t="s">
        <v>3767</v>
      </c>
      <c r="D1661" s="42"/>
      <c r="E1661" s="5" t="str">
        <f t="shared" si="30"/>
        <v>https://www.screener.in/company//consolidated/</v>
      </c>
      <c r="F1661" s="4">
        <v>443059</v>
      </c>
      <c r="G1661" s="4">
        <v>3832241897</v>
      </c>
      <c r="H1661" s="6" t="e">
        <f t="shared" ca="1" si="31"/>
        <v>#VALUE!</v>
      </c>
      <c r="I1661" s="7" t="str">
        <f ca="1">IFERROR(__xludf.DUMMYFUNCTION("IMPORTXML(E1661,""/html/body/main/div[3]/div[3]/div[2]/ul/li[5]/span[2]/span"")"),"Loading...")</f>
        <v>Loading...</v>
      </c>
      <c r="J1661" s="7" t="str">
        <f ca="1">IFERROR(__xludf.DUMMYFUNCTION("GOOGLEFINANCE(""NSE:""&amp;D1661,""marketcap"")"),"#N/A")</f>
        <v>#N/A</v>
      </c>
      <c r="K1661" s="7">
        <v>992.8</v>
      </c>
      <c r="L1661" s="8" t="str">
        <f ca="1">IFERROR(__xludf.DUMMYFUNCTION("GOOGLEFINANCE(""NSE:""&amp;D1661,""price"")"),"#N/A")</f>
        <v>#N/A</v>
      </c>
      <c r="M1661" s="9" t="e">
        <f t="shared" ca="1" si="32"/>
        <v>#VALUE!</v>
      </c>
      <c r="N1661" s="10" t="e">
        <f t="shared" ca="1" si="33"/>
        <v>#VALUE!</v>
      </c>
      <c r="O1661" s="7" t="str">
        <f ca="1">IFERROR(__xludf.DUMMYFUNCTION("GOOGLEFINANCE(""NSE:""&amp;D1661,""pe"")"),"#N/A")</f>
        <v>#N/A</v>
      </c>
      <c r="P1661" s="7" t="str">
        <f ca="1">IFERROR(__xludf.DUMMYFUNCTION("GOOGLEFINANCE(""NSE:""&amp;D1661,""EPS"")"),"#N/A")</f>
        <v>#N/A</v>
      </c>
      <c r="Q1661" s="7">
        <v>13.5</v>
      </c>
      <c r="R1661" s="7" t="str">
        <f ca="1">IFERROR(__xludf.DUMMYFUNCTION("IMPORTXML(E1661,""/html/body/main/div[3]/div[3]/div[2]/ul/li[7]/span[2]/span"")"),"Loading...")</f>
        <v>Loading...</v>
      </c>
      <c r="S1661" s="7" t="str">
        <f ca="1">IFERROR(__xludf.DUMMYFUNCTION("IMPORTXML(E1661,""/html/body/main/div[3]/div[3]/div[2]/ul/li[8]/span[2]/span"")"),"Loading...")</f>
        <v>Loading...</v>
      </c>
      <c r="T1661" s="4">
        <v>34.6</v>
      </c>
      <c r="U1661" s="4">
        <v>22.7</v>
      </c>
      <c r="V1661" s="4">
        <v>2.6</v>
      </c>
      <c r="W1661" s="4">
        <v>5.7</v>
      </c>
      <c r="X1661" s="4">
        <v>519.92999999999995</v>
      </c>
      <c r="Y1661" s="7" t="e">
        <f t="shared" ca="1" si="34"/>
        <v>#VALUE!</v>
      </c>
    </row>
    <row r="1662" spans="1:25" ht="15" x14ac:dyDescent="0.25">
      <c r="A1662" s="4">
        <v>1083</v>
      </c>
      <c r="C1662" s="12" t="s">
        <v>3768</v>
      </c>
      <c r="D1662" s="12" t="s">
        <v>3769</v>
      </c>
      <c r="E1662" s="5" t="str">
        <f t="shared" si="30"/>
        <v>https://www.screener.in/company/KROSS/consolidated/</v>
      </c>
      <c r="F1662" s="4">
        <v>443059</v>
      </c>
      <c r="G1662" s="4">
        <v>3832241897</v>
      </c>
      <c r="H1662" s="6">
        <f t="shared" ca="1" si="31"/>
        <v>86221.610440603006</v>
      </c>
      <c r="I1662" s="7" t="str">
        <f ca="1">IFERROR(__xludf.DUMMYFUNCTION("IMPORTXML(E1662,""/html/body/main/div[3]/div[3]/div[2]/ul/li[5]/span[2]/span"")"),"Loading...")</f>
        <v>Loading...</v>
      </c>
      <c r="J1662" s="7">
        <f ca="1">IFERROR(__xludf.DUMMYFUNCTION("GOOGLEFINANCE(""NSE:""&amp;D1662,""marketcap"")"),14559787416)</f>
        <v>14559787416</v>
      </c>
      <c r="K1662" s="7">
        <v>992.8</v>
      </c>
      <c r="L1662" s="8">
        <f ca="1">IFERROR(__xludf.DUMMYFUNCTION("GOOGLEFINANCE(""NSE:""&amp;D1662,""price"")"),224.99)</f>
        <v>224.99</v>
      </c>
      <c r="M1662" s="9">
        <f t="shared" ca="1" si="32"/>
        <v>-767.81</v>
      </c>
      <c r="N1662" s="10">
        <f t="shared" ca="1" si="33"/>
        <v>-77.337832393231267</v>
      </c>
      <c r="O1662" s="7">
        <f ca="1">IFERROR(__xludf.DUMMYFUNCTION("GOOGLEFINANCE(""NSE:""&amp;D1662,""pe"")"),28.42)</f>
        <v>28.42</v>
      </c>
      <c r="P1662" s="7">
        <f ca="1">IFERROR(__xludf.DUMMYFUNCTION("GOOGLEFINANCE(""NSE:""&amp;D1662,""EPS"")"),7.92)</f>
        <v>7.92</v>
      </c>
      <c r="Q1662" s="7">
        <v>13.5</v>
      </c>
      <c r="R1662" s="7" t="str">
        <f ca="1">IFERROR(__xludf.DUMMYFUNCTION("IMPORTXML(E1662,""/html/body/main/div[3]/div[3]/div[2]/ul/li[7]/span[2]/span"")"),"Loading...")</f>
        <v>Loading...</v>
      </c>
      <c r="S1662" s="7" t="str">
        <f ca="1">IFERROR(__xludf.DUMMYFUNCTION("IMPORTXML(E1662,""/html/body/main/div[3]/div[3]/div[2]/ul/li[8]/span[2]/span"")"),"Loading...")</f>
        <v>Loading...</v>
      </c>
      <c r="T1662" s="4">
        <v>34.6</v>
      </c>
      <c r="U1662" s="4">
        <v>22.7</v>
      </c>
      <c r="V1662" s="4">
        <v>2.6</v>
      </c>
      <c r="W1662" s="4">
        <v>5.7</v>
      </c>
      <c r="X1662" s="4">
        <v>519.92999999999995</v>
      </c>
      <c r="Y1662" s="7">
        <f t="shared" ca="1" si="34"/>
        <v>-294.93999999999994</v>
      </c>
    </row>
    <row r="1663" spans="1:25" ht="15" x14ac:dyDescent="0.25">
      <c r="A1663" s="4">
        <v>1084</v>
      </c>
      <c r="C1663" s="41" t="s">
        <v>3770</v>
      </c>
      <c r="D1663" s="42"/>
      <c r="E1663" s="5" t="str">
        <f t="shared" si="30"/>
        <v>https://www.screener.in/company//consolidated/</v>
      </c>
      <c r="F1663" s="4">
        <v>443059</v>
      </c>
      <c r="G1663" s="4">
        <v>3832241897</v>
      </c>
      <c r="H1663" s="6" t="e">
        <f t="shared" ca="1" si="31"/>
        <v>#VALUE!</v>
      </c>
      <c r="I1663" s="7" t="str">
        <f ca="1">IFERROR(__xludf.DUMMYFUNCTION("IMPORTXML(E1663,""/html/body/main/div[3]/div[3]/div[2]/ul/li[5]/span[2]/span"")"),"Loading...")</f>
        <v>Loading...</v>
      </c>
      <c r="J1663" s="7" t="str">
        <f ca="1">IFERROR(__xludf.DUMMYFUNCTION("GOOGLEFINANCE(""NSE:""&amp;D1663,""marketcap"")"),"#N/A")</f>
        <v>#N/A</v>
      </c>
      <c r="K1663" s="7">
        <v>992.8</v>
      </c>
      <c r="L1663" s="8" t="str">
        <f ca="1">IFERROR(__xludf.DUMMYFUNCTION("GOOGLEFINANCE(""NSE:""&amp;D1663,""price"")"),"#N/A")</f>
        <v>#N/A</v>
      </c>
      <c r="M1663" s="9" t="e">
        <f t="shared" ca="1" si="32"/>
        <v>#VALUE!</v>
      </c>
      <c r="N1663" s="10" t="e">
        <f t="shared" ca="1" si="33"/>
        <v>#VALUE!</v>
      </c>
      <c r="O1663" s="7" t="str">
        <f ca="1">IFERROR(__xludf.DUMMYFUNCTION("GOOGLEFINANCE(""NSE:""&amp;D1663,""pe"")"),"#N/A")</f>
        <v>#N/A</v>
      </c>
      <c r="P1663" s="7" t="str">
        <f ca="1">IFERROR(__xludf.DUMMYFUNCTION("GOOGLEFINANCE(""NSE:""&amp;D1663,""EPS"")"),"#N/A")</f>
        <v>#N/A</v>
      </c>
      <c r="Q1663" s="7">
        <v>13.5</v>
      </c>
      <c r="R1663" s="7" t="str">
        <f ca="1">IFERROR(__xludf.DUMMYFUNCTION("IMPORTXML(E1663,""/html/body/main/div[3]/div[3]/div[2]/ul/li[7]/span[2]/span"")"),"Loading...")</f>
        <v>Loading...</v>
      </c>
      <c r="S1663" s="7" t="str">
        <f ca="1">IFERROR(__xludf.DUMMYFUNCTION("IMPORTXML(E1663,""/html/body/main/div[3]/div[3]/div[2]/ul/li[8]/span[2]/span"")"),"Loading...")</f>
        <v>Loading...</v>
      </c>
      <c r="T1663" s="4">
        <v>34.6</v>
      </c>
      <c r="U1663" s="4">
        <v>22.7</v>
      </c>
      <c r="V1663" s="4">
        <v>2.6</v>
      </c>
      <c r="W1663" s="4">
        <v>5.7</v>
      </c>
      <c r="X1663" s="4">
        <v>519.92999999999995</v>
      </c>
      <c r="Y1663" s="7" t="e">
        <f t="shared" ca="1" si="34"/>
        <v>#VALUE!</v>
      </c>
    </row>
    <row r="1664" spans="1:25" ht="15" x14ac:dyDescent="0.25">
      <c r="A1664" s="4">
        <v>1085</v>
      </c>
      <c r="C1664" s="41" t="s">
        <v>3771</v>
      </c>
      <c r="D1664" s="42"/>
      <c r="E1664" s="5" t="str">
        <f t="shared" si="30"/>
        <v>https://www.screener.in/company//consolidated/</v>
      </c>
      <c r="F1664" s="4">
        <v>443059</v>
      </c>
      <c r="G1664" s="4">
        <v>3832241897</v>
      </c>
      <c r="H1664" s="6" t="e">
        <f t="shared" ca="1" si="31"/>
        <v>#VALUE!</v>
      </c>
      <c r="I1664" s="7" t="str">
        <f ca="1">IFERROR(__xludf.DUMMYFUNCTION("IMPORTXML(E1664,""/html/body/main/div[3]/div[3]/div[2]/ul/li[5]/span[2]/span"")"),"Loading...")</f>
        <v>Loading...</v>
      </c>
      <c r="J1664" s="7" t="str">
        <f ca="1">IFERROR(__xludf.DUMMYFUNCTION("GOOGLEFINANCE(""NSE:""&amp;D1664,""marketcap"")"),"#N/A")</f>
        <v>#N/A</v>
      </c>
      <c r="K1664" s="7">
        <v>992.8</v>
      </c>
      <c r="L1664" s="8" t="str">
        <f ca="1">IFERROR(__xludf.DUMMYFUNCTION("GOOGLEFINANCE(""NSE:""&amp;D1664,""price"")"),"#N/A")</f>
        <v>#N/A</v>
      </c>
      <c r="M1664" s="9" t="e">
        <f t="shared" ca="1" si="32"/>
        <v>#VALUE!</v>
      </c>
      <c r="N1664" s="10" t="e">
        <f t="shared" ca="1" si="33"/>
        <v>#VALUE!</v>
      </c>
      <c r="O1664" s="7" t="str">
        <f ca="1">IFERROR(__xludf.DUMMYFUNCTION("GOOGLEFINANCE(""NSE:""&amp;D1664,""pe"")"),"#N/A")</f>
        <v>#N/A</v>
      </c>
      <c r="P1664" s="7" t="str">
        <f ca="1">IFERROR(__xludf.DUMMYFUNCTION("GOOGLEFINANCE(""NSE:""&amp;D1664,""EPS"")"),"#N/A")</f>
        <v>#N/A</v>
      </c>
      <c r="Q1664" s="7">
        <v>13.5</v>
      </c>
      <c r="R1664" s="7" t="str">
        <f ca="1">IFERROR(__xludf.DUMMYFUNCTION("IMPORTXML(E1664,""/html/body/main/div[3]/div[3]/div[2]/ul/li[7]/span[2]/span"")"),"Loading...")</f>
        <v>Loading...</v>
      </c>
      <c r="S1664" s="7" t="str">
        <f ca="1">IFERROR(__xludf.DUMMYFUNCTION("IMPORTXML(E1664,""/html/body/main/div[3]/div[3]/div[2]/ul/li[8]/span[2]/span"")"),"Loading...")</f>
        <v>Loading...</v>
      </c>
      <c r="T1664" s="4">
        <v>34.6</v>
      </c>
      <c r="U1664" s="4">
        <v>22.7</v>
      </c>
      <c r="V1664" s="4">
        <v>2.6</v>
      </c>
      <c r="W1664" s="4">
        <v>5.7</v>
      </c>
      <c r="X1664" s="4">
        <v>519.92999999999995</v>
      </c>
      <c r="Y1664" s="7" t="e">
        <f t="shared" ca="1" si="34"/>
        <v>#VALUE!</v>
      </c>
    </row>
    <row r="1665" spans="1:25" ht="15" x14ac:dyDescent="0.25">
      <c r="A1665" s="4">
        <v>1086</v>
      </c>
      <c r="C1665" s="41" t="s">
        <v>3772</v>
      </c>
      <c r="D1665" s="42"/>
      <c r="E1665" s="5" t="str">
        <f t="shared" si="30"/>
        <v>https://www.screener.in/company//consolidated/</v>
      </c>
      <c r="F1665" s="4">
        <v>443059</v>
      </c>
      <c r="G1665" s="4">
        <v>3832241897</v>
      </c>
      <c r="H1665" s="6" t="e">
        <f t="shared" ca="1" si="31"/>
        <v>#VALUE!</v>
      </c>
      <c r="I1665" s="7" t="str">
        <f ca="1">IFERROR(__xludf.DUMMYFUNCTION("IMPORTXML(E1665,""/html/body/main/div[3]/div[3]/div[2]/ul/li[5]/span[2]/span"")"),"Loading...")</f>
        <v>Loading...</v>
      </c>
      <c r="J1665" s="7" t="str">
        <f ca="1">IFERROR(__xludf.DUMMYFUNCTION("GOOGLEFINANCE(""NSE:""&amp;D1665,""marketcap"")"),"#N/A")</f>
        <v>#N/A</v>
      </c>
      <c r="K1665" s="7">
        <v>992.8</v>
      </c>
      <c r="L1665" s="8" t="str">
        <f ca="1">IFERROR(__xludf.DUMMYFUNCTION("GOOGLEFINANCE(""NSE:""&amp;D1665,""price"")"),"#N/A")</f>
        <v>#N/A</v>
      </c>
      <c r="M1665" s="9" t="e">
        <f t="shared" ca="1" si="32"/>
        <v>#VALUE!</v>
      </c>
      <c r="N1665" s="10" t="e">
        <f t="shared" ca="1" si="33"/>
        <v>#VALUE!</v>
      </c>
      <c r="O1665" s="7" t="str">
        <f ca="1">IFERROR(__xludf.DUMMYFUNCTION("GOOGLEFINANCE(""NSE:""&amp;D1665,""pe"")"),"#N/A")</f>
        <v>#N/A</v>
      </c>
      <c r="P1665" s="7" t="str">
        <f ca="1">IFERROR(__xludf.DUMMYFUNCTION("GOOGLEFINANCE(""NSE:""&amp;D1665,""EPS"")"),"#N/A")</f>
        <v>#N/A</v>
      </c>
      <c r="Q1665" s="7">
        <v>13.5</v>
      </c>
      <c r="R1665" s="7" t="str">
        <f ca="1">IFERROR(__xludf.DUMMYFUNCTION("IMPORTXML(E1665,""/html/body/main/div[3]/div[3]/div[2]/ul/li[7]/span[2]/span"")"),"Loading...")</f>
        <v>Loading...</v>
      </c>
      <c r="S1665" s="7" t="str">
        <f ca="1">IFERROR(__xludf.DUMMYFUNCTION("IMPORTXML(E1665,""/html/body/main/div[3]/div[3]/div[2]/ul/li[8]/span[2]/span"")"),"Loading...")</f>
        <v>Loading...</v>
      </c>
      <c r="T1665" s="4">
        <v>34.6</v>
      </c>
      <c r="U1665" s="4">
        <v>22.7</v>
      </c>
      <c r="V1665" s="4">
        <v>2.6</v>
      </c>
      <c r="W1665" s="4">
        <v>5.7</v>
      </c>
      <c r="X1665" s="4">
        <v>519.92999999999995</v>
      </c>
      <c r="Y1665" s="7" t="e">
        <f t="shared" ca="1" si="34"/>
        <v>#VALUE!</v>
      </c>
    </row>
    <row r="1666" spans="1:25" ht="15" x14ac:dyDescent="0.25">
      <c r="A1666" s="4">
        <v>1090</v>
      </c>
      <c r="C1666" s="41" t="s">
        <v>3773</v>
      </c>
      <c r="D1666" s="42"/>
      <c r="E1666" s="5" t="str">
        <f t="shared" si="30"/>
        <v>https://www.screener.in/company//consolidated/</v>
      </c>
      <c r="F1666" s="4">
        <v>443059</v>
      </c>
      <c r="G1666" s="4">
        <v>3832241897</v>
      </c>
      <c r="H1666" s="6" t="e">
        <f t="shared" ca="1" si="31"/>
        <v>#VALUE!</v>
      </c>
      <c r="I1666" s="7" t="str">
        <f ca="1">IFERROR(__xludf.DUMMYFUNCTION("IMPORTXML(E1666,""/html/body/main/div[3]/div[3]/div[2]/ul/li[5]/span[2]/span"")"),"Loading...")</f>
        <v>Loading...</v>
      </c>
      <c r="J1666" s="7" t="str">
        <f ca="1">IFERROR(__xludf.DUMMYFUNCTION("GOOGLEFINANCE(""NSE:""&amp;D1666,""marketcap"")"),"#N/A")</f>
        <v>#N/A</v>
      </c>
      <c r="K1666" s="7">
        <v>992.8</v>
      </c>
      <c r="L1666" s="8" t="str">
        <f ca="1">IFERROR(__xludf.DUMMYFUNCTION("GOOGLEFINANCE(""NSE:""&amp;D1666,""price"")"),"#N/A")</f>
        <v>#N/A</v>
      </c>
      <c r="M1666" s="9" t="e">
        <f t="shared" ca="1" si="32"/>
        <v>#VALUE!</v>
      </c>
      <c r="N1666" s="10" t="e">
        <f t="shared" ca="1" si="33"/>
        <v>#VALUE!</v>
      </c>
      <c r="O1666" s="7" t="str">
        <f ca="1">IFERROR(__xludf.DUMMYFUNCTION("GOOGLEFINANCE(""NSE:""&amp;D1666,""pe"")"),"#N/A")</f>
        <v>#N/A</v>
      </c>
      <c r="P1666" s="7" t="str">
        <f ca="1">IFERROR(__xludf.DUMMYFUNCTION("GOOGLEFINANCE(""NSE:""&amp;D1666,""EPS"")"),"#N/A")</f>
        <v>#N/A</v>
      </c>
      <c r="Q1666" s="7">
        <v>13.5</v>
      </c>
      <c r="R1666" s="7" t="str">
        <f ca="1">IFERROR(__xludf.DUMMYFUNCTION("IMPORTXML(E1666,""/html/body/main/div[3]/div[3]/div[2]/ul/li[7]/span[2]/span"")"),"Loading...")</f>
        <v>Loading...</v>
      </c>
      <c r="S1666" s="7" t="str">
        <f ca="1">IFERROR(__xludf.DUMMYFUNCTION("IMPORTXML(E1666,""/html/body/main/div[3]/div[3]/div[2]/ul/li[8]/span[2]/span"")"),"Loading...")</f>
        <v>Loading...</v>
      </c>
      <c r="T1666" s="4">
        <v>34.6</v>
      </c>
      <c r="U1666" s="4">
        <v>22.7</v>
      </c>
      <c r="V1666" s="4">
        <v>2.6</v>
      </c>
      <c r="W1666" s="4">
        <v>5.7</v>
      </c>
      <c r="X1666" s="4">
        <v>519.92999999999995</v>
      </c>
      <c r="Y1666" s="7" t="e">
        <f t="shared" ca="1" si="34"/>
        <v>#VALUE!</v>
      </c>
    </row>
    <row r="1667" spans="1:25" ht="15" x14ac:dyDescent="0.25">
      <c r="A1667" s="4">
        <v>1094</v>
      </c>
      <c r="C1667" s="41" t="s">
        <v>3774</v>
      </c>
      <c r="D1667" s="42"/>
      <c r="E1667" s="5" t="str">
        <f t="shared" si="30"/>
        <v>https://www.screener.in/company//consolidated/</v>
      </c>
      <c r="F1667" s="4">
        <v>443059</v>
      </c>
      <c r="G1667" s="4">
        <v>3832241897</v>
      </c>
      <c r="H1667" s="6" t="e">
        <f t="shared" ca="1" si="31"/>
        <v>#VALUE!</v>
      </c>
      <c r="I1667" s="7" t="str">
        <f ca="1">IFERROR(__xludf.DUMMYFUNCTION("IMPORTXML(E1667,""/html/body/main/div[3]/div[3]/div[2]/ul/li[5]/span[2]/span"")"),"Loading...")</f>
        <v>Loading...</v>
      </c>
      <c r="J1667" s="7" t="str">
        <f ca="1">IFERROR(__xludf.DUMMYFUNCTION("GOOGLEFINANCE(""NSE:""&amp;D1667,""marketcap"")"),"#N/A")</f>
        <v>#N/A</v>
      </c>
      <c r="K1667" s="7">
        <v>992.8</v>
      </c>
      <c r="L1667" s="8" t="str">
        <f ca="1">IFERROR(__xludf.DUMMYFUNCTION("GOOGLEFINANCE(""NSE:""&amp;D1667,""price"")"),"#N/A")</f>
        <v>#N/A</v>
      </c>
      <c r="M1667" s="9" t="e">
        <f t="shared" ca="1" si="32"/>
        <v>#VALUE!</v>
      </c>
      <c r="N1667" s="10" t="e">
        <f t="shared" ca="1" si="33"/>
        <v>#VALUE!</v>
      </c>
      <c r="O1667" s="7" t="str">
        <f ca="1">IFERROR(__xludf.DUMMYFUNCTION("GOOGLEFINANCE(""NSE:""&amp;D1667,""pe"")"),"#N/A")</f>
        <v>#N/A</v>
      </c>
      <c r="P1667" s="7" t="str">
        <f ca="1">IFERROR(__xludf.DUMMYFUNCTION("GOOGLEFINANCE(""NSE:""&amp;D1667,""EPS"")"),"#N/A")</f>
        <v>#N/A</v>
      </c>
      <c r="Q1667" s="7">
        <v>13.5</v>
      </c>
      <c r="R1667" s="7" t="str">
        <f ca="1">IFERROR(__xludf.DUMMYFUNCTION("IMPORTXML(E1667,""/html/body/main/div[3]/div[3]/div[2]/ul/li[7]/span[2]/span"")"),"Loading...")</f>
        <v>Loading...</v>
      </c>
      <c r="S1667" s="7" t="str">
        <f ca="1">IFERROR(__xludf.DUMMYFUNCTION("IMPORTXML(E1667,""/html/body/main/div[3]/div[3]/div[2]/ul/li[8]/span[2]/span"")"),"Loading...")</f>
        <v>Loading...</v>
      </c>
      <c r="T1667" s="4">
        <v>34.6</v>
      </c>
      <c r="U1667" s="4">
        <v>22.7</v>
      </c>
      <c r="V1667" s="4">
        <v>2.6</v>
      </c>
      <c r="W1667" s="4">
        <v>5.7</v>
      </c>
      <c r="X1667" s="4">
        <v>519.92999999999995</v>
      </c>
      <c r="Y1667" s="7" t="e">
        <f t="shared" ca="1" si="34"/>
        <v>#VALUE!</v>
      </c>
    </row>
    <row r="1668" spans="1:25" ht="15" x14ac:dyDescent="0.25">
      <c r="A1668" s="4">
        <v>1097</v>
      </c>
      <c r="C1668" s="41" t="s">
        <v>3775</v>
      </c>
      <c r="D1668" s="42"/>
      <c r="E1668" s="5" t="str">
        <f t="shared" si="30"/>
        <v>https://www.screener.in/company//consolidated/</v>
      </c>
      <c r="F1668" s="4">
        <v>443059</v>
      </c>
      <c r="G1668" s="4">
        <v>3832241897</v>
      </c>
      <c r="H1668" s="6" t="e">
        <f t="shared" ca="1" si="31"/>
        <v>#VALUE!</v>
      </c>
      <c r="I1668" s="7" t="str">
        <f ca="1">IFERROR(__xludf.DUMMYFUNCTION("IMPORTXML(E1668,""/html/body/main/div[3]/div[3]/div[2]/ul/li[5]/span[2]/span"")"),"Loading...")</f>
        <v>Loading...</v>
      </c>
      <c r="J1668" s="7" t="str">
        <f ca="1">IFERROR(__xludf.DUMMYFUNCTION("GOOGLEFINANCE(""NSE:""&amp;D1668,""marketcap"")"),"#N/A")</f>
        <v>#N/A</v>
      </c>
      <c r="K1668" s="7">
        <v>992.8</v>
      </c>
      <c r="L1668" s="8" t="str">
        <f ca="1">IFERROR(__xludf.DUMMYFUNCTION("GOOGLEFINANCE(""NSE:""&amp;D1668,""price"")"),"#N/A")</f>
        <v>#N/A</v>
      </c>
      <c r="M1668" s="9" t="e">
        <f t="shared" ca="1" si="32"/>
        <v>#VALUE!</v>
      </c>
      <c r="N1668" s="10" t="e">
        <f t="shared" ca="1" si="33"/>
        <v>#VALUE!</v>
      </c>
      <c r="O1668" s="7" t="str">
        <f ca="1">IFERROR(__xludf.DUMMYFUNCTION("GOOGLEFINANCE(""NSE:""&amp;D1668,""pe"")"),"#N/A")</f>
        <v>#N/A</v>
      </c>
      <c r="P1668" s="7" t="str">
        <f ca="1">IFERROR(__xludf.DUMMYFUNCTION("GOOGLEFINANCE(""NSE:""&amp;D1668,""EPS"")"),"#N/A")</f>
        <v>#N/A</v>
      </c>
      <c r="Q1668" s="7">
        <v>13.5</v>
      </c>
      <c r="R1668" s="7" t="str">
        <f ca="1">IFERROR(__xludf.DUMMYFUNCTION("IMPORTXML(E1668,""/html/body/main/div[3]/div[3]/div[2]/ul/li[7]/span[2]/span"")"),"Loading...")</f>
        <v>Loading...</v>
      </c>
      <c r="S1668" s="7" t="str">
        <f ca="1">IFERROR(__xludf.DUMMYFUNCTION("IMPORTXML(E1668,""/html/body/main/div[3]/div[3]/div[2]/ul/li[8]/span[2]/span"")"),"Loading...")</f>
        <v>Loading...</v>
      </c>
      <c r="T1668" s="4">
        <v>34.6</v>
      </c>
      <c r="U1668" s="4">
        <v>22.7</v>
      </c>
      <c r="V1668" s="4">
        <v>2.6</v>
      </c>
      <c r="W1668" s="4">
        <v>5.7</v>
      </c>
      <c r="X1668" s="4">
        <v>519.92999999999995</v>
      </c>
      <c r="Y1668" s="7" t="e">
        <f t="shared" ca="1" si="34"/>
        <v>#VALUE!</v>
      </c>
    </row>
    <row r="1669" spans="1:25" ht="15" x14ac:dyDescent="0.25">
      <c r="A1669" s="4">
        <v>1100</v>
      </c>
      <c r="C1669" s="41" t="s">
        <v>3776</v>
      </c>
      <c r="D1669" s="42"/>
      <c r="E1669" s="5" t="str">
        <f t="shared" si="30"/>
        <v>https://www.screener.in/company//consolidated/</v>
      </c>
      <c r="F1669" s="4">
        <v>443059</v>
      </c>
      <c r="G1669" s="4">
        <v>3832241897</v>
      </c>
      <c r="H1669" s="6" t="e">
        <f t="shared" ca="1" si="31"/>
        <v>#VALUE!</v>
      </c>
      <c r="I1669" s="7" t="str">
        <f ca="1">IFERROR(__xludf.DUMMYFUNCTION("IMPORTXML(E1669,""/html/body/main/div[3]/div[3]/div[2]/ul/li[5]/span[2]/span"")"),"Loading...")</f>
        <v>Loading...</v>
      </c>
      <c r="J1669" s="7" t="str">
        <f ca="1">IFERROR(__xludf.DUMMYFUNCTION("GOOGLEFINANCE(""NSE:""&amp;D1669,""marketcap"")"),"#N/A")</f>
        <v>#N/A</v>
      </c>
      <c r="K1669" s="7">
        <v>992.8</v>
      </c>
      <c r="L1669" s="8" t="str">
        <f ca="1">IFERROR(__xludf.DUMMYFUNCTION("GOOGLEFINANCE(""NSE:""&amp;D1669,""price"")"),"#N/A")</f>
        <v>#N/A</v>
      </c>
      <c r="M1669" s="9" t="e">
        <f t="shared" ca="1" si="32"/>
        <v>#VALUE!</v>
      </c>
      <c r="N1669" s="10" t="e">
        <f t="shared" ca="1" si="33"/>
        <v>#VALUE!</v>
      </c>
      <c r="O1669" s="7" t="str">
        <f ca="1">IFERROR(__xludf.DUMMYFUNCTION("GOOGLEFINANCE(""NSE:""&amp;D1669,""pe"")"),"#N/A")</f>
        <v>#N/A</v>
      </c>
      <c r="P1669" s="7" t="str">
        <f ca="1">IFERROR(__xludf.DUMMYFUNCTION("GOOGLEFINANCE(""NSE:""&amp;D1669,""EPS"")"),"#N/A")</f>
        <v>#N/A</v>
      </c>
      <c r="Q1669" s="7">
        <v>13.5</v>
      </c>
      <c r="R1669" s="7" t="str">
        <f ca="1">IFERROR(__xludf.DUMMYFUNCTION("IMPORTXML(E1669,""/html/body/main/div[3]/div[3]/div[2]/ul/li[7]/span[2]/span"")"),"Loading...")</f>
        <v>Loading...</v>
      </c>
      <c r="S1669" s="7" t="str">
        <f ca="1">IFERROR(__xludf.DUMMYFUNCTION("IMPORTXML(E1669,""/html/body/main/div[3]/div[3]/div[2]/ul/li[8]/span[2]/span"")"),"Loading...")</f>
        <v>Loading...</v>
      </c>
      <c r="T1669" s="4">
        <v>34.6</v>
      </c>
      <c r="U1669" s="4">
        <v>22.7</v>
      </c>
      <c r="V1669" s="4">
        <v>2.6</v>
      </c>
      <c r="W1669" s="4">
        <v>5.7</v>
      </c>
      <c r="X1669" s="4">
        <v>519.92999999999995</v>
      </c>
      <c r="Y1669" s="7" t="e">
        <f t="shared" ca="1" si="34"/>
        <v>#VALUE!</v>
      </c>
    </row>
    <row r="1670" spans="1:25" ht="15" x14ac:dyDescent="0.25">
      <c r="A1670" s="4">
        <v>1101</v>
      </c>
      <c r="C1670" s="41" t="s">
        <v>3777</v>
      </c>
      <c r="D1670" s="42"/>
      <c r="E1670" s="5" t="str">
        <f t="shared" si="30"/>
        <v>https://www.screener.in/company//consolidated/</v>
      </c>
      <c r="F1670" s="4">
        <v>443059</v>
      </c>
      <c r="G1670" s="4">
        <v>3832241897</v>
      </c>
      <c r="H1670" s="6" t="e">
        <f t="shared" ca="1" si="31"/>
        <v>#VALUE!</v>
      </c>
      <c r="I1670" s="7" t="str">
        <f ca="1">IFERROR(__xludf.DUMMYFUNCTION("IMPORTXML(E1670,""/html/body/main/div[3]/div[3]/div[2]/ul/li[5]/span[2]/span"")"),"Loading...")</f>
        <v>Loading...</v>
      </c>
      <c r="J1670" s="7" t="str">
        <f ca="1">IFERROR(__xludf.DUMMYFUNCTION("GOOGLEFINANCE(""NSE:""&amp;D1670,""marketcap"")"),"#N/A")</f>
        <v>#N/A</v>
      </c>
      <c r="K1670" s="7">
        <v>992.8</v>
      </c>
      <c r="L1670" s="8" t="str">
        <f ca="1">IFERROR(__xludf.DUMMYFUNCTION("GOOGLEFINANCE(""NSE:""&amp;D1670,""price"")"),"#N/A")</f>
        <v>#N/A</v>
      </c>
      <c r="M1670" s="9" t="e">
        <f t="shared" ca="1" si="32"/>
        <v>#VALUE!</v>
      </c>
      <c r="N1670" s="10" t="e">
        <f t="shared" ca="1" si="33"/>
        <v>#VALUE!</v>
      </c>
      <c r="O1670" s="7" t="str">
        <f ca="1">IFERROR(__xludf.DUMMYFUNCTION("GOOGLEFINANCE(""NSE:""&amp;D1670,""pe"")"),"#N/A")</f>
        <v>#N/A</v>
      </c>
      <c r="P1670" s="7" t="str">
        <f ca="1">IFERROR(__xludf.DUMMYFUNCTION("GOOGLEFINANCE(""NSE:""&amp;D1670,""EPS"")"),"#N/A")</f>
        <v>#N/A</v>
      </c>
      <c r="Q1670" s="7">
        <v>13.5</v>
      </c>
      <c r="R1670" s="7" t="str">
        <f ca="1">IFERROR(__xludf.DUMMYFUNCTION("IMPORTXML(E1670,""/html/body/main/div[3]/div[3]/div[2]/ul/li[7]/span[2]/span"")"),"Loading...")</f>
        <v>Loading...</v>
      </c>
      <c r="S1670" s="7" t="str">
        <f ca="1">IFERROR(__xludf.DUMMYFUNCTION("IMPORTXML(E1670,""/html/body/main/div[3]/div[3]/div[2]/ul/li[8]/span[2]/span"")"),"Loading...")</f>
        <v>Loading...</v>
      </c>
      <c r="T1670" s="4">
        <v>34.6</v>
      </c>
      <c r="U1670" s="4">
        <v>22.7</v>
      </c>
      <c r="V1670" s="4">
        <v>2.6</v>
      </c>
      <c r="W1670" s="4">
        <v>5.7</v>
      </c>
      <c r="X1670" s="4">
        <v>519.92999999999995</v>
      </c>
      <c r="Y1670" s="7" t="e">
        <f t="shared" ca="1" si="34"/>
        <v>#VALUE!</v>
      </c>
    </row>
    <row r="1671" spans="1:25" ht="15" x14ac:dyDescent="0.25">
      <c r="A1671" s="4">
        <v>1104</v>
      </c>
      <c r="C1671" s="41" t="s">
        <v>3778</v>
      </c>
      <c r="D1671" s="42"/>
      <c r="E1671" s="5" t="str">
        <f t="shared" si="30"/>
        <v>https://www.screener.in/company//consolidated/</v>
      </c>
      <c r="F1671" s="4">
        <v>443059</v>
      </c>
      <c r="G1671" s="4">
        <v>3832241897</v>
      </c>
      <c r="H1671" s="6" t="e">
        <f t="shared" ca="1" si="31"/>
        <v>#VALUE!</v>
      </c>
      <c r="I1671" s="7" t="str">
        <f ca="1">IFERROR(__xludf.DUMMYFUNCTION("IMPORTXML(E1671,""/html/body/main/div[3]/div[3]/div[2]/ul/li[5]/span[2]/span"")"),"Loading...")</f>
        <v>Loading...</v>
      </c>
      <c r="J1671" s="7" t="str">
        <f ca="1">IFERROR(__xludf.DUMMYFUNCTION("GOOGLEFINANCE(""NSE:""&amp;D1671,""marketcap"")"),"#N/A")</f>
        <v>#N/A</v>
      </c>
      <c r="K1671" s="7">
        <v>992.8</v>
      </c>
      <c r="L1671" s="8" t="str">
        <f ca="1">IFERROR(__xludf.DUMMYFUNCTION("GOOGLEFINANCE(""NSE:""&amp;D1671,""price"")"),"#N/A")</f>
        <v>#N/A</v>
      </c>
      <c r="M1671" s="9" t="e">
        <f t="shared" ca="1" si="32"/>
        <v>#VALUE!</v>
      </c>
      <c r="N1671" s="10" t="e">
        <f t="shared" ca="1" si="33"/>
        <v>#VALUE!</v>
      </c>
      <c r="O1671" s="7" t="str">
        <f ca="1">IFERROR(__xludf.DUMMYFUNCTION("GOOGLEFINANCE(""NSE:""&amp;D1671,""pe"")"),"#N/A")</f>
        <v>#N/A</v>
      </c>
      <c r="P1671" s="7" t="str">
        <f ca="1">IFERROR(__xludf.DUMMYFUNCTION("GOOGLEFINANCE(""NSE:""&amp;D1671,""EPS"")"),"#N/A")</f>
        <v>#N/A</v>
      </c>
      <c r="Q1671" s="7">
        <v>13.5</v>
      </c>
      <c r="R1671" s="7" t="str">
        <f ca="1">IFERROR(__xludf.DUMMYFUNCTION("IMPORTXML(E1671,""/html/body/main/div[3]/div[3]/div[2]/ul/li[7]/span[2]/span"")"),"Loading...")</f>
        <v>Loading...</v>
      </c>
      <c r="S1671" s="7" t="str">
        <f ca="1">IFERROR(__xludf.DUMMYFUNCTION("IMPORTXML(E1671,""/html/body/main/div[3]/div[3]/div[2]/ul/li[8]/span[2]/span"")"),"Loading...")</f>
        <v>Loading...</v>
      </c>
      <c r="T1671" s="4">
        <v>34.6</v>
      </c>
      <c r="U1671" s="4">
        <v>22.7</v>
      </c>
      <c r="V1671" s="4">
        <v>2.6</v>
      </c>
      <c r="W1671" s="4">
        <v>5.7</v>
      </c>
      <c r="X1671" s="4">
        <v>519.92999999999995</v>
      </c>
      <c r="Y1671" s="7" t="e">
        <f t="shared" ca="1" si="34"/>
        <v>#VALUE!</v>
      </c>
    </row>
    <row r="1672" spans="1:25" ht="15" x14ac:dyDescent="0.25">
      <c r="A1672" s="4">
        <v>1105</v>
      </c>
      <c r="C1672" s="12" t="s">
        <v>3779</v>
      </c>
      <c r="D1672" s="12" t="s">
        <v>3780</v>
      </c>
      <c r="E1672" s="5" t="str">
        <f t="shared" si="30"/>
        <v>https://www.screener.in/company/RAJRILTD/consolidated/</v>
      </c>
      <c r="F1672" s="4">
        <v>443059</v>
      </c>
      <c r="G1672" s="4">
        <v>3832241897</v>
      </c>
      <c r="H1672" s="6">
        <f t="shared" ca="1" si="31"/>
        <v>10078.79618911</v>
      </c>
      <c r="I1672" s="7" t="str">
        <f ca="1">IFERROR(__xludf.DUMMYFUNCTION("IMPORTXML(E1672,""/html/body/main/div[3]/div[3]/div[2]/ul/li[5]/span[2]/span"")"),"Loading...")</f>
        <v>Loading...</v>
      </c>
      <c r="J1672" s="7">
        <f ca="1">IFERROR(__xludf.DUMMYFUNCTION("GOOGLEFINANCE(""NSE:""&amp;D1672,""marketcap"")"),14624971955)</f>
        <v>14624971955</v>
      </c>
      <c r="K1672" s="7">
        <v>992.8</v>
      </c>
      <c r="L1672" s="8">
        <f ca="1">IFERROR(__xludf.DUMMYFUNCTION("GOOGLEFINANCE(""NSE:""&amp;D1672,""price"")"),26.3)</f>
        <v>26.3</v>
      </c>
      <c r="M1672" s="9">
        <f t="shared" ca="1" si="32"/>
        <v>-966.5</v>
      </c>
      <c r="N1672" s="10">
        <f t="shared" ca="1" si="33"/>
        <v>-97.350926672038682</v>
      </c>
      <c r="O1672" s="7">
        <f ca="1">IFERROR(__xludf.DUMMYFUNCTION("GOOGLEFINANCE(""NSE:""&amp;D1672,""pe"")"),97.41)</f>
        <v>97.41</v>
      </c>
      <c r="P1672" s="7">
        <f ca="1">IFERROR(__xludf.DUMMYFUNCTION("GOOGLEFINANCE(""NSE:""&amp;D1672,""EPS"")"),0.27)</f>
        <v>0.27</v>
      </c>
      <c r="Q1672" s="7">
        <v>13.5</v>
      </c>
      <c r="R1672" s="7" t="str">
        <f ca="1">IFERROR(__xludf.DUMMYFUNCTION("IMPORTXML(E1672,""/html/body/main/div[3]/div[3]/div[2]/ul/li[7]/span[2]/span"")"),"Loading...")</f>
        <v>Loading...</v>
      </c>
      <c r="S1672" s="7" t="str">
        <f ca="1">IFERROR(__xludf.DUMMYFUNCTION("IMPORTXML(E1672,""/html/body/main/div[3]/div[3]/div[2]/ul/li[8]/span[2]/span"")"),"Loading...")</f>
        <v>Loading...</v>
      </c>
      <c r="T1672" s="4">
        <v>34.6</v>
      </c>
      <c r="U1672" s="4">
        <v>22.7</v>
      </c>
      <c r="V1672" s="4">
        <v>2.6</v>
      </c>
      <c r="W1672" s="4">
        <v>5.7</v>
      </c>
      <c r="X1672" s="4">
        <v>519.92999999999995</v>
      </c>
      <c r="Y1672" s="7">
        <f t="shared" ca="1" si="34"/>
        <v>-493.62999999999994</v>
      </c>
    </row>
    <row r="1673" spans="1:25" ht="15" x14ac:dyDescent="0.25">
      <c r="A1673" s="4">
        <v>1107</v>
      </c>
      <c r="C1673" s="41" t="s">
        <v>3781</v>
      </c>
      <c r="D1673" s="42"/>
      <c r="E1673" s="5" t="str">
        <f t="shared" si="30"/>
        <v>https://www.screener.in/company//consolidated/</v>
      </c>
      <c r="F1673" s="4">
        <v>443059</v>
      </c>
      <c r="G1673" s="4">
        <v>3832241897</v>
      </c>
      <c r="H1673" s="6" t="e">
        <f t="shared" ca="1" si="31"/>
        <v>#VALUE!</v>
      </c>
      <c r="I1673" s="7" t="str">
        <f ca="1">IFERROR(__xludf.DUMMYFUNCTION("IMPORTXML(E1673,""/html/body/main/div[3]/div[3]/div[2]/ul/li[5]/span[2]/span"")"),"Loading...")</f>
        <v>Loading...</v>
      </c>
      <c r="J1673" s="7" t="str">
        <f ca="1">IFERROR(__xludf.DUMMYFUNCTION("GOOGLEFINANCE(""NSE:""&amp;D1673,""marketcap"")"),"#N/A")</f>
        <v>#N/A</v>
      </c>
      <c r="K1673" s="7">
        <v>992.8</v>
      </c>
      <c r="L1673" s="8" t="str">
        <f ca="1">IFERROR(__xludf.DUMMYFUNCTION("GOOGLEFINANCE(""NSE:""&amp;D1673,""price"")"),"#N/A")</f>
        <v>#N/A</v>
      </c>
      <c r="M1673" s="9" t="e">
        <f t="shared" ca="1" si="32"/>
        <v>#VALUE!</v>
      </c>
      <c r="N1673" s="10" t="e">
        <f t="shared" ca="1" si="33"/>
        <v>#VALUE!</v>
      </c>
      <c r="O1673" s="7" t="str">
        <f ca="1">IFERROR(__xludf.DUMMYFUNCTION("GOOGLEFINANCE(""NSE:""&amp;D1673,""pe"")"),"#N/A")</f>
        <v>#N/A</v>
      </c>
      <c r="P1673" s="7" t="str">
        <f ca="1">IFERROR(__xludf.DUMMYFUNCTION("GOOGLEFINANCE(""NSE:""&amp;D1673,""EPS"")"),"#N/A")</f>
        <v>#N/A</v>
      </c>
      <c r="Q1673" s="7">
        <v>13.5</v>
      </c>
      <c r="R1673" s="7" t="str">
        <f ca="1">IFERROR(__xludf.DUMMYFUNCTION("IMPORTXML(E1673,""/html/body/main/div[3]/div[3]/div[2]/ul/li[7]/span[2]/span"")"),"Loading...")</f>
        <v>Loading...</v>
      </c>
      <c r="S1673" s="7" t="str">
        <f ca="1">IFERROR(__xludf.DUMMYFUNCTION("IMPORTXML(E1673,""/html/body/main/div[3]/div[3]/div[2]/ul/li[8]/span[2]/span"")"),"Loading...")</f>
        <v>Loading...</v>
      </c>
      <c r="T1673" s="4">
        <v>34.6</v>
      </c>
      <c r="U1673" s="4">
        <v>22.7</v>
      </c>
      <c r="V1673" s="4">
        <v>2.6</v>
      </c>
      <c r="W1673" s="4">
        <v>5.7</v>
      </c>
      <c r="X1673" s="4">
        <v>519.92999999999995</v>
      </c>
      <c r="Y1673" s="7" t="e">
        <f t="shared" ca="1" si="34"/>
        <v>#VALUE!</v>
      </c>
    </row>
    <row r="1674" spans="1:25" ht="15" x14ac:dyDescent="0.25">
      <c r="A1674" s="4">
        <v>1109</v>
      </c>
      <c r="C1674" s="12" t="s">
        <v>3782</v>
      </c>
      <c r="D1674" s="12" t="s">
        <v>3783</v>
      </c>
      <c r="E1674" s="5" t="str">
        <f t="shared" si="30"/>
        <v>https://www.screener.in/company/DWARKESH/consolidated/</v>
      </c>
      <c r="F1674" s="4">
        <v>443059</v>
      </c>
      <c r="G1674" s="4">
        <v>3832241897</v>
      </c>
      <c r="H1674" s="6">
        <f t="shared" ca="1" si="31"/>
        <v>17076.469893032001</v>
      </c>
      <c r="I1674" s="7" t="str">
        <f ca="1">IFERROR(__xludf.DUMMYFUNCTION("IMPORTXML(E1674,""/html/body/main/div[3]/div[3]/div[2]/ul/li[5]/span[2]/span"")"),"Loading...")</f>
        <v>Loading...</v>
      </c>
      <c r="J1674" s="7">
        <f ca="1">IFERROR(__xludf.DUMMYFUNCTION("GOOGLEFINANCE(""NSE:""&amp;D1674,""marketcap"")"),8255181000)</f>
        <v>8255181000</v>
      </c>
      <c r="K1674" s="7">
        <v>992.8</v>
      </c>
      <c r="L1674" s="8">
        <f ca="1">IFERROR(__xludf.DUMMYFUNCTION("GOOGLEFINANCE(""NSE:""&amp;D1674,""price"")"),44.56)</f>
        <v>44.56</v>
      </c>
      <c r="M1674" s="9">
        <f t="shared" ca="1" si="32"/>
        <v>-948.24</v>
      </c>
      <c r="N1674" s="10">
        <f t="shared" ca="1" si="33"/>
        <v>-95.511684125705074</v>
      </c>
      <c r="O1674" s="7">
        <f ca="1">IFERROR(__xludf.DUMMYFUNCTION("GOOGLEFINANCE(""NSE:""&amp;D1674,""pe"")"),34.89)</f>
        <v>34.89</v>
      </c>
      <c r="P1674" s="7">
        <f ca="1">IFERROR(__xludf.DUMMYFUNCTION("GOOGLEFINANCE(""NSE:""&amp;D1674,""EPS"")"),1.28)</f>
        <v>1.28</v>
      </c>
      <c r="Q1674" s="7">
        <v>13.5</v>
      </c>
      <c r="R1674" s="7" t="str">
        <f ca="1">IFERROR(__xludf.DUMMYFUNCTION("IMPORTXML(E1674,""/html/body/main/div[3]/div[3]/div[2]/ul/li[7]/span[2]/span"")"),"Loading...")</f>
        <v>Loading...</v>
      </c>
      <c r="S1674" s="7" t="str">
        <f ca="1">IFERROR(__xludf.DUMMYFUNCTION("IMPORTXML(E1674,""/html/body/main/div[3]/div[3]/div[2]/ul/li[8]/span[2]/span"")"),"Loading...")</f>
        <v>Loading...</v>
      </c>
      <c r="T1674" s="4">
        <v>34.6</v>
      </c>
      <c r="U1674" s="4">
        <v>22.7</v>
      </c>
      <c r="V1674" s="4">
        <v>2.6</v>
      </c>
      <c r="W1674" s="4">
        <v>5.7</v>
      </c>
      <c r="X1674" s="4">
        <v>519.92999999999995</v>
      </c>
      <c r="Y1674" s="7">
        <f t="shared" ca="1" si="34"/>
        <v>-475.36999999999995</v>
      </c>
    </row>
    <row r="1675" spans="1:25" ht="15" x14ac:dyDescent="0.25">
      <c r="A1675" s="4">
        <v>1114</v>
      </c>
      <c r="C1675" s="41" t="s">
        <v>3784</v>
      </c>
      <c r="D1675" s="42"/>
      <c r="E1675" s="5" t="str">
        <f t="shared" si="30"/>
        <v>https://www.screener.in/company//consolidated/</v>
      </c>
      <c r="F1675" s="4">
        <v>443059</v>
      </c>
      <c r="G1675" s="4">
        <v>3832241897</v>
      </c>
      <c r="H1675" s="6" t="e">
        <f t="shared" ca="1" si="31"/>
        <v>#VALUE!</v>
      </c>
      <c r="I1675" s="7" t="str">
        <f ca="1">IFERROR(__xludf.DUMMYFUNCTION("IMPORTXML(E1675,""/html/body/main/div[3]/div[3]/div[2]/ul/li[5]/span[2]/span"")"),"Loading...")</f>
        <v>Loading...</v>
      </c>
      <c r="J1675" s="7" t="str">
        <f ca="1">IFERROR(__xludf.DUMMYFUNCTION("GOOGLEFINANCE(""NSE:""&amp;D1675,""marketcap"")"),"#N/A")</f>
        <v>#N/A</v>
      </c>
      <c r="K1675" s="7">
        <v>992.8</v>
      </c>
      <c r="L1675" s="8" t="str">
        <f ca="1">IFERROR(__xludf.DUMMYFUNCTION("GOOGLEFINANCE(""NSE:""&amp;D1675,""price"")"),"#N/A")</f>
        <v>#N/A</v>
      </c>
      <c r="M1675" s="9" t="e">
        <f t="shared" ca="1" si="32"/>
        <v>#VALUE!</v>
      </c>
      <c r="N1675" s="10" t="e">
        <f t="shared" ca="1" si="33"/>
        <v>#VALUE!</v>
      </c>
      <c r="O1675" s="7" t="str">
        <f ca="1">IFERROR(__xludf.DUMMYFUNCTION("GOOGLEFINANCE(""NSE:""&amp;D1675,""pe"")"),"#N/A")</f>
        <v>#N/A</v>
      </c>
      <c r="P1675" s="7" t="str">
        <f ca="1">IFERROR(__xludf.DUMMYFUNCTION("GOOGLEFINANCE(""NSE:""&amp;D1675,""EPS"")"),"#N/A")</f>
        <v>#N/A</v>
      </c>
      <c r="Q1675" s="7">
        <v>13.5</v>
      </c>
      <c r="R1675" s="7" t="str">
        <f ca="1">IFERROR(__xludf.DUMMYFUNCTION("IMPORTXML(E1675,""/html/body/main/div[3]/div[3]/div[2]/ul/li[7]/span[2]/span"")"),"Loading...")</f>
        <v>Loading...</v>
      </c>
      <c r="S1675" s="7" t="str">
        <f ca="1">IFERROR(__xludf.DUMMYFUNCTION("IMPORTXML(E1675,""/html/body/main/div[3]/div[3]/div[2]/ul/li[8]/span[2]/span"")"),"Loading...")</f>
        <v>Loading...</v>
      </c>
      <c r="T1675" s="4">
        <v>34.6</v>
      </c>
      <c r="U1675" s="4">
        <v>22.7</v>
      </c>
      <c r="V1675" s="4">
        <v>2.6</v>
      </c>
      <c r="W1675" s="4">
        <v>5.7</v>
      </c>
      <c r="X1675" s="4">
        <v>519.92999999999995</v>
      </c>
      <c r="Y1675" s="7" t="e">
        <f t="shared" ca="1" si="34"/>
        <v>#VALUE!</v>
      </c>
    </row>
    <row r="1676" spans="1:25" ht="15" x14ac:dyDescent="0.25">
      <c r="A1676" s="4">
        <v>1115</v>
      </c>
      <c r="C1676" s="41" t="s">
        <v>3785</v>
      </c>
      <c r="D1676" s="42"/>
      <c r="E1676" s="5" t="str">
        <f t="shared" si="30"/>
        <v>https://www.screener.in/company//consolidated/</v>
      </c>
      <c r="F1676" s="4">
        <v>443059</v>
      </c>
      <c r="G1676" s="4">
        <v>3832241897</v>
      </c>
      <c r="H1676" s="6" t="e">
        <f t="shared" ca="1" si="31"/>
        <v>#VALUE!</v>
      </c>
      <c r="I1676" s="7" t="str">
        <f ca="1">IFERROR(__xludf.DUMMYFUNCTION("IMPORTXML(E1676,""/html/body/main/div[3]/div[3]/div[2]/ul/li[5]/span[2]/span"")"),"Loading...")</f>
        <v>Loading...</v>
      </c>
      <c r="J1676" s="7" t="str">
        <f ca="1">IFERROR(__xludf.DUMMYFUNCTION("GOOGLEFINANCE(""NSE:""&amp;D1676,""marketcap"")"),"#N/A")</f>
        <v>#N/A</v>
      </c>
      <c r="K1676" s="7">
        <v>992.8</v>
      </c>
      <c r="L1676" s="8" t="str">
        <f ca="1">IFERROR(__xludf.DUMMYFUNCTION("GOOGLEFINANCE(""NSE:""&amp;D1676,""price"")"),"#N/A")</f>
        <v>#N/A</v>
      </c>
      <c r="M1676" s="9" t="e">
        <f t="shared" ca="1" si="32"/>
        <v>#VALUE!</v>
      </c>
      <c r="N1676" s="10" t="e">
        <f t="shared" ca="1" si="33"/>
        <v>#VALUE!</v>
      </c>
      <c r="O1676" s="7" t="str">
        <f ca="1">IFERROR(__xludf.DUMMYFUNCTION("GOOGLEFINANCE(""NSE:""&amp;D1676,""pe"")"),"#N/A")</f>
        <v>#N/A</v>
      </c>
      <c r="P1676" s="7" t="str">
        <f ca="1">IFERROR(__xludf.DUMMYFUNCTION("GOOGLEFINANCE(""NSE:""&amp;D1676,""EPS"")"),"#N/A")</f>
        <v>#N/A</v>
      </c>
      <c r="Q1676" s="7">
        <v>13.5</v>
      </c>
      <c r="R1676" s="7" t="str">
        <f ca="1">IFERROR(__xludf.DUMMYFUNCTION("IMPORTXML(E1676,""/html/body/main/div[3]/div[3]/div[2]/ul/li[7]/span[2]/span"")"),"Loading...")</f>
        <v>Loading...</v>
      </c>
      <c r="S1676" s="7" t="str">
        <f ca="1">IFERROR(__xludf.DUMMYFUNCTION("IMPORTXML(E1676,""/html/body/main/div[3]/div[3]/div[2]/ul/li[8]/span[2]/span"")"),"Loading...")</f>
        <v>Loading...</v>
      </c>
      <c r="T1676" s="4">
        <v>34.6</v>
      </c>
      <c r="U1676" s="4">
        <v>22.7</v>
      </c>
      <c r="V1676" s="4">
        <v>2.6</v>
      </c>
      <c r="W1676" s="4">
        <v>5.7</v>
      </c>
      <c r="X1676" s="4">
        <v>519.92999999999995</v>
      </c>
      <c r="Y1676" s="7" t="e">
        <f t="shared" ca="1" si="34"/>
        <v>#VALUE!</v>
      </c>
    </row>
    <row r="1677" spans="1:25" ht="15" x14ac:dyDescent="0.25">
      <c r="A1677" s="4">
        <v>1118</v>
      </c>
      <c r="C1677" s="41" t="s">
        <v>3786</v>
      </c>
      <c r="D1677" s="42"/>
      <c r="E1677" s="5" t="str">
        <f t="shared" si="30"/>
        <v>https://www.screener.in/company//consolidated/</v>
      </c>
      <c r="F1677" s="4">
        <v>443059</v>
      </c>
      <c r="G1677" s="4">
        <v>3832241897</v>
      </c>
      <c r="H1677" s="6" t="e">
        <f t="shared" ca="1" si="31"/>
        <v>#VALUE!</v>
      </c>
      <c r="I1677" s="7" t="str">
        <f ca="1">IFERROR(__xludf.DUMMYFUNCTION("IMPORTXML(E1677,""/html/body/main/div[3]/div[3]/div[2]/ul/li[5]/span[2]/span"")"),"Loading...")</f>
        <v>Loading...</v>
      </c>
      <c r="J1677" s="7" t="str">
        <f ca="1">IFERROR(__xludf.DUMMYFUNCTION("GOOGLEFINANCE(""NSE:""&amp;D1677,""marketcap"")"),"#N/A")</f>
        <v>#N/A</v>
      </c>
      <c r="K1677" s="7">
        <v>992.8</v>
      </c>
      <c r="L1677" s="8" t="str">
        <f ca="1">IFERROR(__xludf.DUMMYFUNCTION("GOOGLEFINANCE(""NSE:""&amp;D1677,""price"")"),"#N/A")</f>
        <v>#N/A</v>
      </c>
      <c r="M1677" s="9" t="e">
        <f t="shared" ca="1" si="32"/>
        <v>#VALUE!</v>
      </c>
      <c r="N1677" s="10" t="e">
        <f t="shared" ca="1" si="33"/>
        <v>#VALUE!</v>
      </c>
      <c r="O1677" s="7" t="str">
        <f ca="1">IFERROR(__xludf.DUMMYFUNCTION("GOOGLEFINANCE(""NSE:""&amp;D1677,""pe"")"),"#N/A")</f>
        <v>#N/A</v>
      </c>
      <c r="P1677" s="7" t="str">
        <f ca="1">IFERROR(__xludf.DUMMYFUNCTION("GOOGLEFINANCE(""NSE:""&amp;D1677,""EPS"")"),"#N/A")</f>
        <v>#N/A</v>
      </c>
      <c r="Q1677" s="7">
        <v>13.5</v>
      </c>
      <c r="R1677" s="7" t="str">
        <f ca="1">IFERROR(__xludf.DUMMYFUNCTION("IMPORTXML(E1677,""/html/body/main/div[3]/div[3]/div[2]/ul/li[7]/span[2]/span"")"),"Loading...")</f>
        <v>Loading...</v>
      </c>
      <c r="S1677" s="7" t="str">
        <f ca="1">IFERROR(__xludf.DUMMYFUNCTION("IMPORTXML(E1677,""/html/body/main/div[3]/div[3]/div[2]/ul/li[8]/span[2]/span"")"),"Loading...")</f>
        <v>Loading...</v>
      </c>
      <c r="T1677" s="4">
        <v>34.6</v>
      </c>
      <c r="U1677" s="4">
        <v>22.7</v>
      </c>
      <c r="V1677" s="4">
        <v>2.6</v>
      </c>
      <c r="W1677" s="4">
        <v>5.7</v>
      </c>
      <c r="X1677" s="4">
        <v>519.92999999999995</v>
      </c>
      <c r="Y1677" s="7" t="e">
        <f t="shared" ca="1" si="34"/>
        <v>#VALUE!</v>
      </c>
    </row>
    <row r="1678" spans="1:25" ht="15" x14ac:dyDescent="0.25">
      <c r="A1678" s="4">
        <v>1121</v>
      </c>
      <c r="C1678" s="12" t="s">
        <v>3787</v>
      </c>
      <c r="D1678" s="12" t="s">
        <v>3788</v>
      </c>
      <c r="E1678" s="5" t="str">
        <f t="shared" si="30"/>
        <v>https://www.screener.in/company/AURUM/consolidated/</v>
      </c>
      <c r="F1678" s="4">
        <v>443059</v>
      </c>
      <c r="G1678" s="4">
        <v>3832241897</v>
      </c>
      <c r="H1678" s="6">
        <f t="shared" ca="1" si="31"/>
        <v>67830.681576899995</v>
      </c>
      <c r="I1678" s="7" t="str">
        <f ca="1">IFERROR(__xludf.DUMMYFUNCTION("IMPORTXML(E1678,""/html/body/main/div[3]/div[3]/div[2]/ul/li[5]/span[2]/span"")"),"Loading...")</f>
        <v>Loading...</v>
      </c>
      <c r="J1678" s="7">
        <f ca="1">IFERROR(__xludf.DUMMYFUNCTION("GOOGLEFINANCE(""NSE:""&amp;D1678,""marketcap"")"),18649974200)</f>
        <v>18649974200</v>
      </c>
      <c r="K1678" s="7">
        <v>992.8</v>
      </c>
      <c r="L1678" s="8">
        <f ca="1">IFERROR(__xludf.DUMMYFUNCTION("GOOGLEFINANCE(""NSE:""&amp;D1678,""price"")"),177)</f>
        <v>177</v>
      </c>
      <c r="M1678" s="9">
        <f t="shared" ca="1" si="32"/>
        <v>-815.8</v>
      </c>
      <c r="N1678" s="10">
        <f t="shared" ca="1" si="33"/>
        <v>-82.171635777598709</v>
      </c>
      <c r="O1678" s="7" t="str">
        <f ca="1">IFERROR(__xludf.DUMMYFUNCTION("GOOGLEFINANCE(""NSE:""&amp;D1678,""pe"")"),"#N/A")</f>
        <v>#N/A</v>
      </c>
      <c r="P1678" s="7">
        <f ca="1">IFERROR(__xludf.DUMMYFUNCTION("GOOGLEFINANCE(""NSE:""&amp;D1678,""EPS"")"),-5.05)</f>
        <v>-5.05</v>
      </c>
      <c r="Q1678" s="7">
        <v>13.5</v>
      </c>
      <c r="R1678" s="7" t="str">
        <f ca="1">IFERROR(__xludf.DUMMYFUNCTION("IMPORTXML(E1678,""/html/body/main/div[3]/div[3]/div[2]/ul/li[7]/span[2]/span"")"),"Loading...")</f>
        <v>Loading...</v>
      </c>
      <c r="S1678" s="7" t="str">
        <f ca="1">IFERROR(__xludf.DUMMYFUNCTION("IMPORTXML(E1678,""/html/body/main/div[3]/div[3]/div[2]/ul/li[8]/span[2]/span"")"),"Loading...")</f>
        <v>Loading...</v>
      </c>
      <c r="T1678" s="4">
        <v>34.6</v>
      </c>
      <c r="U1678" s="4">
        <v>22.7</v>
      </c>
      <c r="V1678" s="4">
        <v>2.6</v>
      </c>
      <c r="W1678" s="4">
        <v>5.7</v>
      </c>
      <c r="X1678" s="4">
        <v>519.92999999999995</v>
      </c>
      <c r="Y1678" s="7">
        <f t="shared" ca="1" si="34"/>
        <v>-342.92999999999995</v>
      </c>
    </row>
    <row r="1679" spans="1:25" ht="15" x14ac:dyDescent="0.25">
      <c r="A1679" s="4">
        <v>1124</v>
      </c>
      <c r="C1679" s="41" t="s">
        <v>3789</v>
      </c>
      <c r="D1679" s="42"/>
      <c r="E1679" s="5" t="str">
        <f t="shared" si="30"/>
        <v>https://www.screener.in/company//consolidated/</v>
      </c>
      <c r="F1679" s="4">
        <v>443059</v>
      </c>
      <c r="G1679" s="4">
        <v>3832241897</v>
      </c>
      <c r="H1679" s="6" t="e">
        <f t="shared" ca="1" si="31"/>
        <v>#VALUE!</v>
      </c>
      <c r="I1679" s="7" t="str">
        <f ca="1">IFERROR(__xludf.DUMMYFUNCTION("IMPORTXML(E1679,""/html/body/main/div[3]/div[3]/div[2]/ul/li[5]/span[2]/span"")"),"Loading...")</f>
        <v>Loading...</v>
      </c>
      <c r="J1679" s="7" t="str">
        <f ca="1">IFERROR(__xludf.DUMMYFUNCTION("GOOGLEFINANCE(""NSE:""&amp;D1679,""marketcap"")"),"#N/A")</f>
        <v>#N/A</v>
      </c>
      <c r="K1679" s="7">
        <v>992.8</v>
      </c>
      <c r="L1679" s="8" t="str">
        <f ca="1">IFERROR(__xludf.DUMMYFUNCTION("GOOGLEFINANCE(""NSE:""&amp;D1679,""price"")"),"#N/A")</f>
        <v>#N/A</v>
      </c>
      <c r="M1679" s="9" t="e">
        <f t="shared" ca="1" si="32"/>
        <v>#VALUE!</v>
      </c>
      <c r="N1679" s="10" t="e">
        <f t="shared" ca="1" si="33"/>
        <v>#VALUE!</v>
      </c>
      <c r="O1679" s="7" t="str">
        <f ca="1">IFERROR(__xludf.DUMMYFUNCTION("GOOGLEFINANCE(""NSE:""&amp;D1679,""pe"")"),"#N/A")</f>
        <v>#N/A</v>
      </c>
      <c r="P1679" s="7" t="str">
        <f ca="1">IFERROR(__xludf.DUMMYFUNCTION("GOOGLEFINANCE(""NSE:""&amp;D1679,""EPS"")"),"#N/A")</f>
        <v>#N/A</v>
      </c>
      <c r="Q1679" s="7">
        <v>13.5</v>
      </c>
      <c r="R1679" s="7" t="str">
        <f ca="1">IFERROR(__xludf.DUMMYFUNCTION("IMPORTXML(E1679,""/html/body/main/div[3]/div[3]/div[2]/ul/li[7]/span[2]/span"")"),"Loading...")</f>
        <v>Loading...</v>
      </c>
      <c r="S1679" s="7" t="str">
        <f ca="1">IFERROR(__xludf.DUMMYFUNCTION("IMPORTXML(E1679,""/html/body/main/div[3]/div[3]/div[2]/ul/li[8]/span[2]/span"")"),"Loading...")</f>
        <v>Loading...</v>
      </c>
      <c r="T1679" s="4">
        <v>34.6</v>
      </c>
      <c r="U1679" s="4">
        <v>22.7</v>
      </c>
      <c r="V1679" s="4">
        <v>2.6</v>
      </c>
      <c r="W1679" s="4">
        <v>5.7</v>
      </c>
      <c r="X1679" s="4">
        <v>519.92999999999995</v>
      </c>
      <c r="Y1679" s="7" t="e">
        <f t="shared" ca="1" si="34"/>
        <v>#VALUE!</v>
      </c>
    </row>
    <row r="1680" spans="1:25" ht="15" x14ac:dyDescent="0.25">
      <c r="A1680" s="4">
        <v>1130</v>
      </c>
      <c r="C1680" s="12" t="s">
        <v>3790</v>
      </c>
      <c r="D1680" s="12" t="s">
        <v>3791</v>
      </c>
      <c r="E1680" s="5" t="str">
        <f t="shared" si="30"/>
        <v>https://www.screener.in/company/GALAPREC/consolidated/</v>
      </c>
      <c r="F1680" s="4">
        <v>443059</v>
      </c>
      <c r="G1680" s="4">
        <v>3832241897</v>
      </c>
      <c r="H1680" s="6">
        <f t="shared" ca="1" si="31"/>
        <v>313477.38717459998</v>
      </c>
      <c r="I1680" s="7" t="str">
        <f ca="1">IFERROR(__xludf.DUMMYFUNCTION("IMPORTXML(E1680,""/html/body/main/div[3]/div[3]/div[2]/ul/li[5]/span[2]/span"")"),"Loading...")</f>
        <v>Loading...</v>
      </c>
      <c r="J1680" s="7">
        <f ca="1">IFERROR(__xludf.DUMMYFUNCTION("GOOGLEFINANCE(""NSE:""&amp;D1680,""marketcap"")"),10347373885)</f>
        <v>10347373885</v>
      </c>
      <c r="K1680" s="7">
        <v>992.8</v>
      </c>
      <c r="L1680" s="8">
        <f ca="1">IFERROR(__xludf.DUMMYFUNCTION("GOOGLEFINANCE(""NSE:""&amp;D1680,""price"")"),818)</f>
        <v>818</v>
      </c>
      <c r="M1680" s="9">
        <f t="shared" ca="1" si="32"/>
        <v>-174.79999999999995</v>
      </c>
      <c r="N1680" s="10">
        <f t="shared" ca="1" si="33"/>
        <v>-17.606768734891212</v>
      </c>
      <c r="O1680" s="7">
        <f ca="1">IFERROR(__xludf.DUMMYFUNCTION("GOOGLEFINANCE(""NSE:""&amp;D1680,""pe"")"),35.27)</f>
        <v>35.270000000000003</v>
      </c>
      <c r="P1680" s="7">
        <f ca="1">IFERROR(__xludf.DUMMYFUNCTION("GOOGLEFINANCE(""NSE:""&amp;D1680,""EPS"")"),23.19)</f>
        <v>23.19</v>
      </c>
      <c r="Q1680" s="7">
        <v>13.5</v>
      </c>
      <c r="R1680" s="7" t="str">
        <f ca="1">IFERROR(__xludf.DUMMYFUNCTION("IMPORTXML(E1680,""/html/body/main/div[3]/div[3]/div[2]/ul/li[7]/span[2]/span"")"),"Loading...")</f>
        <v>Loading...</v>
      </c>
      <c r="S1680" s="7">
        <f ca="1">IFERROR(__xludf.DUMMYFUNCTION("IMPORTXML(E1680,""/html/body/main/div[3]/div[3]/div[2]/ul/li[8]/span[2]/span"")"),15)</f>
        <v>15</v>
      </c>
      <c r="T1680" s="4">
        <v>34.6</v>
      </c>
      <c r="U1680" s="4">
        <v>22.7</v>
      </c>
      <c r="V1680" s="4">
        <v>2.6</v>
      </c>
      <c r="W1680" s="4">
        <v>5.7</v>
      </c>
      <c r="X1680" s="4">
        <v>519.92999999999995</v>
      </c>
      <c r="Y1680" s="7">
        <f t="shared" ca="1" si="34"/>
        <v>298.07000000000005</v>
      </c>
    </row>
    <row r="1681" spans="1:25" ht="15" x14ac:dyDescent="0.25">
      <c r="A1681" s="4">
        <v>1134</v>
      </c>
      <c r="C1681" s="41" t="s">
        <v>3792</v>
      </c>
      <c r="D1681" s="42"/>
      <c r="E1681" s="5" t="str">
        <f t="shared" si="30"/>
        <v>https://www.screener.in/company//consolidated/</v>
      </c>
      <c r="F1681" s="4">
        <v>443059</v>
      </c>
      <c r="G1681" s="4">
        <v>3832241897</v>
      </c>
      <c r="H1681" s="6" t="e">
        <f t="shared" ca="1" si="31"/>
        <v>#VALUE!</v>
      </c>
      <c r="I1681" s="7" t="str">
        <f ca="1">IFERROR(__xludf.DUMMYFUNCTION("IMPORTXML(E1681,""/html/body/main/div[3]/div[3]/div[2]/ul/li[5]/span[2]/span"")"),"Loading...")</f>
        <v>Loading...</v>
      </c>
      <c r="J1681" s="7" t="str">
        <f ca="1">IFERROR(__xludf.DUMMYFUNCTION("GOOGLEFINANCE(""NSE:""&amp;D1681,""marketcap"")"),"#N/A")</f>
        <v>#N/A</v>
      </c>
      <c r="K1681" s="7">
        <v>992.8</v>
      </c>
      <c r="L1681" s="8" t="str">
        <f ca="1">IFERROR(__xludf.DUMMYFUNCTION("GOOGLEFINANCE(""NSE:""&amp;D1681,""price"")"),"#N/A")</f>
        <v>#N/A</v>
      </c>
      <c r="M1681" s="9" t="e">
        <f t="shared" ca="1" si="32"/>
        <v>#VALUE!</v>
      </c>
      <c r="N1681" s="10" t="e">
        <f t="shared" ca="1" si="33"/>
        <v>#VALUE!</v>
      </c>
      <c r="O1681" s="7" t="str">
        <f ca="1">IFERROR(__xludf.DUMMYFUNCTION("GOOGLEFINANCE(""NSE:""&amp;D1681,""pe"")"),"#N/A")</f>
        <v>#N/A</v>
      </c>
      <c r="P1681" s="7" t="str">
        <f ca="1">IFERROR(__xludf.DUMMYFUNCTION("GOOGLEFINANCE(""NSE:""&amp;D1681,""EPS"")"),"#N/A")</f>
        <v>#N/A</v>
      </c>
      <c r="Q1681" s="7">
        <v>13.5</v>
      </c>
      <c r="R1681" s="7" t="str">
        <f ca="1">IFERROR(__xludf.DUMMYFUNCTION("IMPORTXML(E1681,""/html/body/main/div[3]/div[3]/div[2]/ul/li[7]/span[2]/span"")"),"Loading...")</f>
        <v>Loading...</v>
      </c>
      <c r="S1681" s="7" t="str">
        <f ca="1">IFERROR(__xludf.DUMMYFUNCTION("IMPORTXML(E1681,""/html/body/main/div[3]/div[3]/div[2]/ul/li[8]/span[2]/span"")"),"Loading...")</f>
        <v>Loading...</v>
      </c>
      <c r="T1681" s="4">
        <v>34.6</v>
      </c>
      <c r="U1681" s="4">
        <v>22.7</v>
      </c>
      <c r="V1681" s="4">
        <v>2.6</v>
      </c>
      <c r="W1681" s="4">
        <v>5.7</v>
      </c>
      <c r="X1681" s="4">
        <v>519.92999999999995</v>
      </c>
      <c r="Y1681" s="7" t="e">
        <f t="shared" ca="1" si="34"/>
        <v>#VALUE!</v>
      </c>
    </row>
    <row r="1682" spans="1:25" ht="15" x14ac:dyDescent="0.25">
      <c r="A1682" s="4">
        <v>1136</v>
      </c>
      <c r="C1682" s="12" t="s">
        <v>3793</v>
      </c>
      <c r="D1682" s="12" t="s">
        <v>3794</v>
      </c>
      <c r="E1682" s="5" t="str">
        <f t="shared" si="30"/>
        <v>https://www.screener.in/company/NDTV/consolidated/</v>
      </c>
      <c r="F1682" s="4">
        <v>443059</v>
      </c>
      <c r="G1682" s="4">
        <v>3832241897</v>
      </c>
      <c r="H1682" s="6">
        <f t="shared" ca="1" si="31"/>
        <v>54026.946263905993</v>
      </c>
      <c r="I1682" s="7" t="str">
        <f ca="1">IFERROR(__xludf.DUMMYFUNCTION("IMPORTXML(E1682,""/html/body/main/div[3]/div[3]/div[2]/ul/li[5]/span[2]/span"")"),"Loading...")</f>
        <v>Loading...</v>
      </c>
      <c r="J1682" s="7">
        <f ca="1">IFERROR(__xludf.DUMMYFUNCTION("GOOGLEFINANCE(""NSE:""&amp;D1682,""marketcap"")"),9014372000)</f>
        <v>9014372000</v>
      </c>
      <c r="K1682" s="7">
        <v>992.8</v>
      </c>
      <c r="L1682" s="8">
        <f ca="1">IFERROR(__xludf.DUMMYFUNCTION("GOOGLEFINANCE(""NSE:""&amp;D1682,""price"")"),140.98)</f>
        <v>140.97999999999999</v>
      </c>
      <c r="M1682" s="9">
        <f t="shared" ca="1" si="32"/>
        <v>-851.81999999999994</v>
      </c>
      <c r="N1682" s="10">
        <f t="shared" ca="1" si="33"/>
        <v>-85.799758259468177</v>
      </c>
      <c r="O1682" s="7" t="str">
        <f ca="1">IFERROR(__xludf.DUMMYFUNCTION("GOOGLEFINANCE(""NSE:""&amp;D1682,""pe"")"),"#N/A")</f>
        <v>#N/A</v>
      </c>
      <c r="P1682" s="7">
        <f ca="1">IFERROR(__xludf.DUMMYFUNCTION("GOOGLEFINANCE(""NSE:""&amp;D1682,""EPS"")"),-37.2)</f>
        <v>-37.200000000000003</v>
      </c>
      <c r="Q1682" s="7">
        <v>13.5</v>
      </c>
      <c r="R1682" s="7" t="str">
        <f ca="1">IFERROR(__xludf.DUMMYFUNCTION("IMPORTXML(E1682,""/html/body/main/div[3]/div[3]/div[2]/ul/li[7]/span[2]/span"")"),"Loading...")</f>
        <v>Loading...</v>
      </c>
      <c r="S1682" s="7" t="str">
        <f ca="1">IFERROR(__xludf.DUMMYFUNCTION("IMPORTXML(E1682,""/html/body/main/div[3]/div[3]/div[2]/ul/li[8]/span[2]/span"")"),"Loading...")</f>
        <v>Loading...</v>
      </c>
      <c r="T1682" s="4">
        <v>34.6</v>
      </c>
      <c r="U1682" s="4">
        <v>22.7</v>
      </c>
      <c r="V1682" s="4">
        <v>2.6</v>
      </c>
      <c r="W1682" s="4">
        <v>5.7</v>
      </c>
      <c r="X1682" s="4">
        <v>519.92999999999995</v>
      </c>
      <c r="Y1682" s="7">
        <f t="shared" ca="1" si="34"/>
        <v>-378.94999999999993</v>
      </c>
    </row>
    <row r="1683" spans="1:25" ht="15" x14ac:dyDescent="0.25">
      <c r="A1683" s="4">
        <v>1139</v>
      </c>
      <c r="C1683" s="41" t="s">
        <v>3795</v>
      </c>
      <c r="D1683" s="42"/>
      <c r="E1683" s="5" t="str">
        <f t="shared" si="30"/>
        <v>https://www.screener.in/company//consolidated/</v>
      </c>
      <c r="F1683" s="4">
        <v>443059</v>
      </c>
      <c r="G1683" s="4">
        <v>3832241897</v>
      </c>
      <c r="H1683" s="6" t="e">
        <f t="shared" ca="1" si="31"/>
        <v>#VALUE!</v>
      </c>
      <c r="I1683" s="7" t="str">
        <f ca="1">IFERROR(__xludf.DUMMYFUNCTION("IMPORTXML(E1683,""/html/body/main/div[3]/div[3]/div[2]/ul/li[5]/span[2]/span"")"),"Loading...")</f>
        <v>Loading...</v>
      </c>
      <c r="J1683" s="7" t="str">
        <f ca="1">IFERROR(__xludf.DUMMYFUNCTION("GOOGLEFINANCE(""NSE:""&amp;D1683,""marketcap"")"),"#N/A")</f>
        <v>#N/A</v>
      </c>
      <c r="K1683" s="7">
        <v>992.8</v>
      </c>
      <c r="L1683" s="8" t="str">
        <f ca="1">IFERROR(__xludf.DUMMYFUNCTION("GOOGLEFINANCE(""NSE:""&amp;D1683,""price"")"),"#N/A")</f>
        <v>#N/A</v>
      </c>
      <c r="M1683" s="9" t="e">
        <f t="shared" ca="1" si="32"/>
        <v>#VALUE!</v>
      </c>
      <c r="N1683" s="10" t="e">
        <f t="shared" ca="1" si="33"/>
        <v>#VALUE!</v>
      </c>
      <c r="O1683" s="7" t="str">
        <f ca="1">IFERROR(__xludf.DUMMYFUNCTION("GOOGLEFINANCE(""NSE:""&amp;D1683,""pe"")"),"#N/A")</f>
        <v>#N/A</v>
      </c>
      <c r="P1683" s="7" t="str">
        <f ca="1">IFERROR(__xludf.DUMMYFUNCTION("GOOGLEFINANCE(""NSE:""&amp;D1683,""EPS"")"),"#N/A")</f>
        <v>#N/A</v>
      </c>
      <c r="Q1683" s="7">
        <v>13.5</v>
      </c>
      <c r="R1683" s="7" t="str">
        <f ca="1">IFERROR(__xludf.DUMMYFUNCTION("IMPORTXML(E1683,""/html/body/main/div[3]/div[3]/div[2]/ul/li[7]/span[2]/span"")"),"Loading...")</f>
        <v>Loading...</v>
      </c>
      <c r="S1683" s="7" t="str">
        <f ca="1">IFERROR(__xludf.DUMMYFUNCTION("IMPORTXML(E1683,""/html/body/main/div[3]/div[3]/div[2]/ul/li[8]/span[2]/span"")"),"Loading...")</f>
        <v>Loading...</v>
      </c>
      <c r="T1683" s="4">
        <v>34.6</v>
      </c>
      <c r="U1683" s="4">
        <v>22.7</v>
      </c>
      <c r="V1683" s="4">
        <v>2.6</v>
      </c>
      <c r="W1683" s="4">
        <v>5.7</v>
      </c>
      <c r="X1683" s="4">
        <v>519.92999999999995</v>
      </c>
      <c r="Y1683" s="7" t="e">
        <f t="shared" ca="1" si="34"/>
        <v>#VALUE!</v>
      </c>
    </row>
    <row r="1684" spans="1:25" ht="15" x14ac:dyDescent="0.25">
      <c r="A1684" s="4">
        <v>1140</v>
      </c>
      <c r="C1684" s="41" t="s">
        <v>3796</v>
      </c>
      <c r="D1684" s="42"/>
      <c r="E1684" s="5" t="str">
        <f t="shared" si="30"/>
        <v>https://www.screener.in/company//consolidated/</v>
      </c>
      <c r="F1684" s="4">
        <v>443059</v>
      </c>
      <c r="G1684" s="4">
        <v>3832241897</v>
      </c>
      <c r="H1684" s="6" t="e">
        <f t="shared" ca="1" si="31"/>
        <v>#VALUE!</v>
      </c>
      <c r="I1684" s="7" t="str">
        <f ca="1">IFERROR(__xludf.DUMMYFUNCTION("IMPORTXML(E1684,""/html/body/main/div[3]/div[3]/div[2]/ul/li[5]/span[2]/span"")"),"Loading...")</f>
        <v>Loading...</v>
      </c>
      <c r="J1684" s="7" t="str">
        <f ca="1">IFERROR(__xludf.DUMMYFUNCTION("GOOGLEFINANCE(""NSE:""&amp;D1684,""marketcap"")"),"#N/A")</f>
        <v>#N/A</v>
      </c>
      <c r="K1684" s="7">
        <v>992.8</v>
      </c>
      <c r="L1684" s="8" t="str">
        <f ca="1">IFERROR(__xludf.DUMMYFUNCTION("GOOGLEFINANCE(""NSE:""&amp;D1684,""price"")"),"#N/A")</f>
        <v>#N/A</v>
      </c>
      <c r="M1684" s="9" t="e">
        <f t="shared" ca="1" si="32"/>
        <v>#VALUE!</v>
      </c>
      <c r="N1684" s="10" t="e">
        <f t="shared" ca="1" si="33"/>
        <v>#VALUE!</v>
      </c>
      <c r="O1684" s="7" t="str">
        <f ca="1">IFERROR(__xludf.DUMMYFUNCTION("GOOGLEFINANCE(""NSE:""&amp;D1684,""pe"")"),"#N/A")</f>
        <v>#N/A</v>
      </c>
      <c r="P1684" s="7" t="str">
        <f ca="1">IFERROR(__xludf.DUMMYFUNCTION("GOOGLEFINANCE(""NSE:""&amp;D1684,""EPS"")"),"#N/A")</f>
        <v>#N/A</v>
      </c>
      <c r="Q1684" s="7">
        <v>13.5</v>
      </c>
      <c r="R1684" s="7" t="str">
        <f ca="1">IFERROR(__xludf.DUMMYFUNCTION("IMPORTXML(E1684,""/html/body/main/div[3]/div[3]/div[2]/ul/li[7]/span[2]/span"")"),"Loading...")</f>
        <v>Loading...</v>
      </c>
      <c r="S1684" s="7" t="str">
        <f ca="1">IFERROR(__xludf.DUMMYFUNCTION("IMPORTXML(E1684,""/html/body/main/div[3]/div[3]/div[2]/ul/li[8]/span[2]/span"")"),"Loading...")</f>
        <v>Loading...</v>
      </c>
      <c r="T1684" s="4">
        <v>34.6</v>
      </c>
      <c r="U1684" s="4">
        <v>22.7</v>
      </c>
      <c r="V1684" s="4">
        <v>2.6</v>
      </c>
      <c r="W1684" s="4">
        <v>5.7</v>
      </c>
      <c r="X1684" s="4">
        <v>519.92999999999995</v>
      </c>
      <c r="Y1684" s="7" t="e">
        <f t="shared" ca="1" si="34"/>
        <v>#VALUE!</v>
      </c>
    </row>
    <row r="1685" spans="1:25" ht="15" x14ac:dyDescent="0.25">
      <c r="A1685" s="4">
        <v>1143</v>
      </c>
      <c r="C1685" s="41" t="s">
        <v>3797</v>
      </c>
      <c r="D1685" s="42"/>
      <c r="E1685" s="5" t="str">
        <f t="shared" si="30"/>
        <v>https://www.screener.in/company//consolidated/</v>
      </c>
      <c r="F1685" s="4">
        <v>443059</v>
      </c>
      <c r="G1685" s="4">
        <v>3832241897</v>
      </c>
      <c r="H1685" s="6" t="e">
        <f t="shared" ca="1" si="31"/>
        <v>#VALUE!</v>
      </c>
      <c r="I1685" s="7" t="str">
        <f ca="1">IFERROR(__xludf.DUMMYFUNCTION("IMPORTXML(E1685,""/html/body/main/div[3]/div[3]/div[2]/ul/li[5]/span[2]/span"")"),"Loading...")</f>
        <v>Loading...</v>
      </c>
      <c r="J1685" s="7" t="str">
        <f ca="1">IFERROR(__xludf.DUMMYFUNCTION("GOOGLEFINANCE(""NSE:""&amp;D1685,""marketcap"")"),"#N/A")</f>
        <v>#N/A</v>
      </c>
      <c r="K1685" s="7">
        <v>992.8</v>
      </c>
      <c r="L1685" s="8" t="str">
        <f ca="1">IFERROR(__xludf.DUMMYFUNCTION("GOOGLEFINANCE(""NSE:""&amp;D1685,""price"")"),"#N/A")</f>
        <v>#N/A</v>
      </c>
      <c r="M1685" s="9" t="e">
        <f t="shared" ca="1" si="32"/>
        <v>#VALUE!</v>
      </c>
      <c r="N1685" s="10" t="e">
        <f t="shared" ca="1" si="33"/>
        <v>#VALUE!</v>
      </c>
      <c r="O1685" s="7" t="str">
        <f ca="1">IFERROR(__xludf.DUMMYFUNCTION("GOOGLEFINANCE(""NSE:""&amp;D1685,""pe"")"),"#N/A")</f>
        <v>#N/A</v>
      </c>
      <c r="P1685" s="7" t="str">
        <f ca="1">IFERROR(__xludf.DUMMYFUNCTION("GOOGLEFINANCE(""NSE:""&amp;D1685,""EPS"")"),"#N/A")</f>
        <v>#N/A</v>
      </c>
      <c r="Q1685" s="7">
        <v>13.5</v>
      </c>
      <c r="R1685" s="7" t="str">
        <f ca="1">IFERROR(__xludf.DUMMYFUNCTION("IMPORTXML(E1685,""/html/body/main/div[3]/div[3]/div[2]/ul/li[7]/span[2]/span"")"),"Loading...")</f>
        <v>Loading...</v>
      </c>
      <c r="S1685" s="7" t="str">
        <f ca="1">IFERROR(__xludf.DUMMYFUNCTION("IMPORTXML(E1685,""/html/body/main/div[3]/div[3]/div[2]/ul/li[8]/span[2]/span"")"),"Loading...")</f>
        <v>Loading...</v>
      </c>
      <c r="T1685" s="4">
        <v>34.6</v>
      </c>
      <c r="U1685" s="4">
        <v>22.7</v>
      </c>
      <c r="V1685" s="4">
        <v>2.6</v>
      </c>
      <c r="W1685" s="4">
        <v>5.7</v>
      </c>
      <c r="X1685" s="4">
        <v>519.92999999999995</v>
      </c>
      <c r="Y1685" s="7" t="e">
        <f t="shared" ca="1" si="34"/>
        <v>#VALUE!</v>
      </c>
    </row>
    <row r="1686" spans="1:25" ht="15" x14ac:dyDescent="0.25">
      <c r="A1686" s="4">
        <v>1146</v>
      </c>
      <c r="C1686" s="12" t="s">
        <v>3798</v>
      </c>
      <c r="D1686" s="12" t="s">
        <v>3799</v>
      </c>
      <c r="E1686" s="5" t="str">
        <f t="shared" si="30"/>
        <v>https://www.screener.in/company/MAXIND/consolidated/</v>
      </c>
      <c r="F1686" s="4">
        <v>443059</v>
      </c>
      <c r="G1686" s="4">
        <v>3832241897</v>
      </c>
      <c r="H1686" s="6">
        <f t="shared" ca="1" si="31"/>
        <v>84692.545923700003</v>
      </c>
      <c r="I1686" s="7" t="str">
        <f ca="1">IFERROR(__xludf.DUMMYFUNCTION("IMPORTXML(E1686,""/html/body/main/div[3]/div[3]/div[2]/ul/li[5]/span[2]/span"")"),"Loading...")</f>
        <v>Loading...</v>
      </c>
      <c r="J1686" s="7">
        <f ca="1">IFERROR(__xludf.DUMMYFUNCTION("GOOGLEFINANCE(""NSE:""&amp;D1686,""marketcap"")"),11555379452)</f>
        <v>11555379452</v>
      </c>
      <c r="K1686" s="7">
        <v>992.8</v>
      </c>
      <c r="L1686" s="8">
        <f ca="1">IFERROR(__xludf.DUMMYFUNCTION("GOOGLEFINANCE(""NSE:""&amp;D1686,""price"")"),221)</f>
        <v>221</v>
      </c>
      <c r="M1686" s="9">
        <f t="shared" ca="1" si="32"/>
        <v>-771.8</v>
      </c>
      <c r="N1686" s="10">
        <f t="shared" ca="1" si="33"/>
        <v>-77.739726027397253</v>
      </c>
      <c r="O1686" s="7" t="str">
        <f ca="1">IFERROR(__xludf.DUMMYFUNCTION("GOOGLEFINANCE(""NSE:""&amp;D1686,""pe"")"),"#N/A")</f>
        <v>#N/A</v>
      </c>
      <c r="P1686" s="7">
        <f ca="1">IFERROR(__xludf.DUMMYFUNCTION("GOOGLEFINANCE(""NSE:""&amp;D1686,""EPS"")"),-30.24)</f>
        <v>-30.24</v>
      </c>
      <c r="Q1686" s="7">
        <v>13.5</v>
      </c>
      <c r="R1686" s="7" t="str">
        <f ca="1">IFERROR(__xludf.DUMMYFUNCTION("IMPORTXML(E1686,""/html/body/main/div[3]/div[3]/div[2]/ul/li[7]/span[2]/span"")"),"Loading...")</f>
        <v>Loading...</v>
      </c>
      <c r="S1686" s="7" t="str">
        <f ca="1">IFERROR(__xludf.DUMMYFUNCTION("IMPORTXML(E1686,""/html/body/main/div[3]/div[3]/div[2]/ul/li[8]/span[2]/span"")"),"Loading...")</f>
        <v>Loading...</v>
      </c>
      <c r="T1686" s="4">
        <v>34.6</v>
      </c>
      <c r="U1686" s="4">
        <v>22.7</v>
      </c>
      <c r="V1686" s="4">
        <v>2.6</v>
      </c>
      <c r="W1686" s="4">
        <v>5.7</v>
      </c>
      <c r="X1686" s="4">
        <v>519.92999999999995</v>
      </c>
      <c r="Y1686" s="7">
        <f t="shared" ca="1" si="34"/>
        <v>-298.92999999999995</v>
      </c>
    </row>
    <row r="1687" spans="1:25" ht="15" x14ac:dyDescent="0.25">
      <c r="A1687" s="4">
        <v>1151</v>
      </c>
      <c r="C1687" s="12" t="s">
        <v>3800</v>
      </c>
      <c r="D1687" s="12" t="s">
        <v>3801</v>
      </c>
      <c r="E1687" s="5" t="str">
        <f t="shared" si="30"/>
        <v>https://www.screener.in/company/INDORAMA/consolidated/</v>
      </c>
      <c r="F1687" s="4">
        <v>443059</v>
      </c>
      <c r="G1687" s="4">
        <v>3832241897</v>
      </c>
      <c r="H1687" s="6">
        <f t="shared" ca="1" si="31"/>
        <v>20080.947540279998</v>
      </c>
      <c r="I1687" s="7" t="str">
        <f ca="1">IFERROR(__xludf.DUMMYFUNCTION("IMPORTXML(E1687,""/html/body/main/div[3]/div[3]/div[2]/ul/li[5]/span[2]/span"")"),"Loading...")</f>
        <v>Loading...</v>
      </c>
      <c r="J1687" s="7">
        <f ca="1">IFERROR(__xludf.DUMMYFUNCTION("GOOGLEFINANCE(""NSE:""&amp;D1687,""marketcap"")"),13818529651)</f>
        <v>13818529651</v>
      </c>
      <c r="K1687" s="7">
        <v>992.8</v>
      </c>
      <c r="L1687" s="8">
        <f ca="1">IFERROR(__xludf.DUMMYFUNCTION("GOOGLEFINANCE(""NSE:""&amp;D1687,""price"")"),52.4)</f>
        <v>52.4</v>
      </c>
      <c r="M1687" s="9">
        <f t="shared" ca="1" si="32"/>
        <v>-940.4</v>
      </c>
      <c r="N1687" s="10">
        <f t="shared" ca="1" si="33"/>
        <v>-94.721998388396457</v>
      </c>
      <c r="O1687" s="7">
        <f ca="1">IFERROR(__xludf.DUMMYFUNCTION("GOOGLEFINANCE(""NSE:""&amp;D1687,""pe"")"),18.56)</f>
        <v>18.559999999999999</v>
      </c>
      <c r="P1687" s="7">
        <f ca="1">IFERROR(__xludf.DUMMYFUNCTION("GOOGLEFINANCE(""NSE:""&amp;D1687,""EPS"")"),2.82)</f>
        <v>2.82</v>
      </c>
      <c r="Q1687" s="7">
        <v>13.5</v>
      </c>
      <c r="R1687" s="7" t="str">
        <f ca="1">IFERROR(__xludf.DUMMYFUNCTION("IMPORTXML(E1687,""/html/body/main/div[3]/div[3]/div[2]/ul/li[7]/span[2]/span"")"),"Loading...")</f>
        <v>Loading...</v>
      </c>
      <c r="S1687" s="7" t="str">
        <f ca="1">IFERROR(__xludf.DUMMYFUNCTION("IMPORTXML(E1687,""/html/body/main/div[3]/div[3]/div[2]/ul/li[8]/span[2]/span"")"),"Loading...")</f>
        <v>Loading...</v>
      </c>
      <c r="T1687" s="4">
        <v>34.6</v>
      </c>
      <c r="U1687" s="4">
        <v>22.7</v>
      </c>
      <c r="V1687" s="4">
        <v>2.6</v>
      </c>
      <c r="W1687" s="4">
        <v>5.7</v>
      </c>
      <c r="X1687" s="4">
        <v>519.92999999999995</v>
      </c>
      <c r="Y1687" s="7">
        <f t="shared" ca="1" si="34"/>
        <v>-467.53</v>
      </c>
    </row>
    <row r="1688" spans="1:25" ht="15" x14ac:dyDescent="0.25">
      <c r="A1688" s="4">
        <v>1152</v>
      </c>
      <c r="C1688" s="41" t="s">
        <v>3802</v>
      </c>
      <c r="D1688" s="42"/>
      <c r="E1688" s="5" t="str">
        <f t="shared" si="30"/>
        <v>https://www.screener.in/company//consolidated/</v>
      </c>
      <c r="F1688" s="4">
        <v>443059</v>
      </c>
      <c r="G1688" s="4">
        <v>3832241897</v>
      </c>
      <c r="H1688" s="6" t="e">
        <f t="shared" ca="1" si="31"/>
        <v>#VALUE!</v>
      </c>
      <c r="I1688" s="7" t="str">
        <f ca="1">IFERROR(__xludf.DUMMYFUNCTION("IMPORTXML(E1688,""/html/body/main/div[3]/div[3]/div[2]/ul/li[5]/span[2]/span"")"),"Loading...")</f>
        <v>Loading...</v>
      </c>
      <c r="J1688" s="7" t="str">
        <f ca="1">IFERROR(__xludf.DUMMYFUNCTION("GOOGLEFINANCE(""NSE:""&amp;D1688,""marketcap"")"),"#N/A")</f>
        <v>#N/A</v>
      </c>
      <c r="K1688" s="7">
        <v>992.8</v>
      </c>
      <c r="L1688" s="8" t="str">
        <f ca="1">IFERROR(__xludf.DUMMYFUNCTION("GOOGLEFINANCE(""NSE:""&amp;D1688,""price"")"),"#N/A")</f>
        <v>#N/A</v>
      </c>
      <c r="M1688" s="9" t="e">
        <f t="shared" ca="1" si="32"/>
        <v>#VALUE!</v>
      </c>
      <c r="N1688" s="10" t="e">
        <f t="shared" ca="1" si="33"/>
        <v>#VALUE!</v>
      </c>
      <c r="O1688" s="7" t="str">
        <f ca="1">IFERROR(__xludf.DUMMYFUNCTION("GOOGLEFINANCE(""NSE:""&amp;D1688,""pe"")"),"#N/A")</f>
        <v>#N/A</v>
      </c>
      <c r="P1688" s="7" t="str">
        <f ca="1">IFERROR(__xludf.DUMMYFUNCTION("GOOGLEFINANCE(""NSE:""&amp;D1688,""EPS"")"),"#N/A")</f>
        <v>#N/A</v>
      </c>
      <c r="Q1688" s="7">
        <v>13.5</v>
      </c>
      <c r="R1688" s="7" t="str">
        <f ca="1">IFERROR(__xludf.DUMMYFUNCTION("IMPORTXML(E1688,""/html/body/main/div[3]/div[3]/div[2]/ul/li[7]/span[2]/span"")"),"Loading...")</f>
        <v>Loading...</v>
      </c>
      <c r="S1688" s="7" t="str">
        <f ca="1">IFERROR(__xludf.DUMMYFUNCTION("IMPORTXML(E1688,""/html/body/main/div[3]/div[3]/div[2]/ul/li[8]/span[2]/span"")"),"Loading...")</f>
        <v>Loading...</v>
      </c>
      <c r="T1688" s="4">
        <v>34.6</v>
      </c>
      <c r="U1688" s="4">
        <v>22.7</v>
      </c>
      <c r="V1688" s="4">
        <v>2.6</v>
      </c>
      <c r="W1688" s="4">
        <v>5.7</v>
      </c>
      <c r="X1688" s="4">
        <v>519.92999999999995</v>
      </c>
      <c r="Y1688" s="7" t="e">
        <f t="shared" ca="1" si="34"/>
        <v>#VALUE!</v>
      </c>
    </row>
    <row r="1689" spans="1:25" ht="15" x14ac:dyDescent="0.25">
      <c r="A1689" s="4">
        <v>1154</v>
      </c>
      <c r="C1689" s="12" t="s">
        <v>3803</v>
      </c>
      <c r="D1689" s="12" t="s">
        <v>3804</v>
      </c>
      <c r="E1689" s="5" t="str">
        <f t="shared" si="30"/>
        <v>https://www.screener.in/company/NACLIND/consolidated/</v>
      </c>
      <c r="F1689" s="4">
        <v>443059</v>
      </c>
      <c r="G1689" s="4">
        <v>3832241897</v>
      </c>
      <c r="H1689" s="6">
        <f t="shared" ca="1" si="31"/>
        <v>102282.53623093</v>
      </c>
      <c r="I1689" s="7" t="str">
        <f ca="1">IFERROR(__xludf.DUMMYFUNCTION("IMPORTXML(E1689,""/html/body/main/div[3]/div[3]/div[2]/ul/li[5]/span[2]/span"")"),"Loading...")</f>
        <v>Loading...</v>
      </c>
      <c r="J1689" s="7">
        <f ca="1">IFERROR(__xludf.DUMMYFUNCTION("GOOGLEFINANCE(""NSE:""&amp;D1689,""marketcap"")"),53196290000)</f>
        <v>53196290000</v>
      </c>
      <c r="K1689" s="7">
        <v>992.8</v>
      </c>
      <c r="L1689" s="8">
        <f ca="1">IFERROR(__xludf.DUMMYFUNCTION("GOOGLEFINANCE(""NSE:""&amp;D1689,""price"")"),266.9)</f>
        <v>266.89999999999998</v>
      </c>
      <c r="M1689" s="9">
        <f t="shared" ca="1" si="32"/>
        <v>-725.9</v>
      </c>
      <c r="N1689" s="10">
        <f t="shared" ca="1" si="33"/>
        <v>-73.11643835616438</v>
      </c>
      <c r="O1689" s="7" t="str">
        <f ca="1">IFERROR(__xludf.DUMMYFUNCTION("GOOGLEFINANCE(""NSE:""&amp;D1689,""pe"")"),"#N/A")</f>
        <v>#N/A</v>
      </c>
      <c r="P1689" s="7">
        <f ca="1">IFERROR(__xludf.DUMMYFUNCTION("GOOGLEFINANCE(""NSE:""&amp;D1689,""EPS"")"),-2.93)</f>
        <v>-2.93</v>
      </c>
      <c r="Q1689" s="7">
        <v>13.5</v>
      </c>
      <c r="R1689" s="7" t="str">
        <f ca="1">IFERROR(__xludf.DUMMYFUNCTION("IMPORTXML(E1689,""/html/body/main/div[3]/div[3]/div[2]/ul/li[7]/span[2]/span"")"),"Loading...")</f>
        <v>Loading...</v>
      </c>
      <c r="S1689" s="7" t="str">
        <f ca="1">IFERROR(__xludf.DUMMYFUNCTION("IMPORTXML(E1689,""/html/body/main/div[3]/div[3]/div[2]/ul/li[8]/span[2]/span"")"),"Loading...")</f>
        <v>Loading...</v>
      </c>
      <c r="T1689" s="4">
        <v>34.6</v>
      </c>
      <c r="U1689" s="4">
        <v>22.7</v>
      </c>
      <c r="V1689" s="4">
        <v>2.6</v>
      </c>
      <c r="W1689" s="4">
        <v>5.7</v>
      </c>
      <c r="X1689" s="4">
        <v>519.92999999999995</v>
      </c>
      <c r="Y1689" s="7">
        <f t="shared" ca="1" si="34"/>
        <v>-253.02999999999997</v>
      </c>
    </row>
    <row r="1690" spans="1:25" ht="15" x14ac:dyDescent="0.25">
      <c r="A1690" s="4">
        <v>1158</v>
      </c>
      <c r="C1690" s="41" t="s">
        <v>3805</v>
      </c>
      <c r="D1690" s="42"/>
      <c r="E1690" s="5" t="str">
        <f t="shared" si="30"/>
        <v>https://www.screener.in/company//consolidated/</v>
      </c>
      <c r="F1690" s="4">
        <v>443059</v>
      </c>
      <c r="G1690" s="4">
        <v>3832241897</v>
      </c>
      <c r="H1690" s="6" t="e">
        <f t="shared" ca="1" si="31"/>
        <v>#VALUE!</v>
      </c>
      <c r="I1690" s="7" t="str">
        <f ca="1">IFERROR(__xludf.DUMMYFUNCTION("IMPORTXML(E1690,""/html/body/main/div[3]/div[3]/div[2]/ul/li[5]/span[2]/span"")"),"Loading...")</f>
        <v>Loading...</v>
      </c>
      <c r="J1690" s="7" t="str">
        <f ca="1">IFERROR(__xludf.DUMMYFUNCTION("GOOGLEFINANCE(""NSE:""&amp;D1690,""marketcap"")"),"#N/A")</f>
        <v>#N/A</v>
      </c>
      <c r="K1690" s="7">
        <v>992.8</v>
      </c>
      <c r="L1690" s="8" t="str">
        <f ca="1">IFERROR(__xludf.DUMMYFUNCTION("GOOGLEFINANCE(""NSE:""&amp;D1690,""price"")"),"#N/A")</f>
        <v>#N/A</v>
      </c>
      <c r="M1690" s="9" t="e">
        <f t="shared" ca="1" si="32"/>
        <v>#VALUE!</v>
      </c>
      <c r="N1690" s="10" t="e">
        <f t="shared" ca="1" si="33"/>
        <v>#VALUE!</v>
      </c>
      <c r="O1690" s="7" t="str">
        <f ca="1">IFERROR(__xludf.DUMMYFUNCTION("GOOGLEFINANCE(""NSE:""&amp;D1690,""pe"")"),"#N/A")</f>
        <v>#N/A</v>
      </c>
      <c r="P1690" s="7" t="str">
        <f ca="1">IFERROR(__xludf.DUMMYFUNCTION("GOOGLEFINANCE(""NSE:""&amp;D1690,""EPS"")"),"#N/A")</f>
        <v>#N/A</v>
      </c>
      <c r="Q1690" s="7">
        <v>13.5</v>
      </c>
      <c r="R1690" s="7" t="str">
        <f ca="1">IFERROR(__xludf.DUMMYFUNCTION("IMPORTXML(E1690,""/html/body/main/div[3]/div[3]/div[2]/ul/li[7]/span[2]/span"")"),"Loading...")</f>
        <v>Loading...</v>
      </c>
      <c r="S1690" s="7" t="str">
        <f ca="1">IFERROR(__xludf.DUMMYFUNCTION("IMPORTXML(E1690,""/html/body/main/div[3]/div[3]/div[2]/ul/li[8]/span[2]/span"")"),"Loading...")</f>
        <v>Loading...</v>
      </c>
      <c r="T1690" s="4">
        <v>34.6</v>
      </c>
      <c r="U1690" s="4">
        <v>22.7</v>
      </c>
      <c r="V1690" s="4">
        <v>2.6</v>
      </c>
      <c r="W1690" s="4">
        <v>5.7</v>
      </c>
      <c r="X1690" s="4">
        <v>519.92999999999995</v>
      </c>
      <c r="Y1690" s="7" t="e">
        <f t="shared" ca="1" si="34"/>
        <v>#VALUE!</v>
      </c>
    </row>
    <row r="1691" spans="1:25" ht="15" x14ac:dyDescent="0.25">
      <c r="A1691" s="4">
        <v>1160</v>
      </c>
      <c r="C1691" s="12" t="s">
        <v>3806</v>
      </c>
      <c r="D1691" s="37"/>
      <c r="E1691" s="5" t="str">
        <f t="shared" si="30"/>
        <v>https://www.screener.in/company//consolidated/</v>
      </c>
      <c r="F1691" s="4">
        <v>443059</v>
      </c>
      <c r="G1691" s="4">
        <v>3832241897</v>
      </c>
      <c r="H1691" s="6" t="e">
        <f t="shared" ca="1" si="31"/>
        <v>#VALUE!</v>
      </c>
      <c r="I1691" s="7" t="str">
        <f ca="1">IFERROR(__xludf.DUMMYFUNCTION("IMPORTXML(E1691,""/html/body/main/div[3]/div[3]/div[2]/ul/li[5]/span[2]/span"")"),"Loading...")</f>
        <v>Loading...</v>
      </c>
      <c r="J1691" s="7" t="str">
        <f ca="1">IFERROR(__xludf.DUMMYFUNCTION("GOOGLEFINANCE(""NSE:""&amp;D1691,""marketcap"")"),"#N/A")</f>
        <v>#N/A</v>
      </c>
      <c r="K1691" s="7">
        <v>992.8</v>
      </c>
      <c r="L1691" s="8" t="str">
        <f ca="1">IFERROR(__xludf.DUMMYFUNCTION("GOOGLEFINANCE(""NSE:""&amp;D1691,""price"")"),"#N/A")</f>
        <v>#N/A</v>
      </c>
      <c r="M1691" s="9" t="e">
        <f t="shared" ca="1" si="32"/>
        <v>#VALUE!</v>
      </c>
      <c r="N1691" s="10" t="e">
        <f t="shared" ca="1" si="33"/>
        <v>#VALUE!</v>
      </c>
      <c r="O1691" s="7" t="str">
        <f ca="1">IFERROR(__xludf.DUMMYFUNCTION("GOOGLEFINANCE(""NSE:""&amp;D1691,""pe"")"),"#N/A")</f>
        <v>#N/A</v>
      </c>
      <c r="P1691" s="7" t="str">
        <f ca="1">IFERROR(__xludf.DUMMYFUNCTION("GOOGLEFINANCE(""NSE:""&amp;D1691,""EPS"")"),"#N/A")</f>
        <v>#N/A</v>
      </c>
      <c r="Q1691" s="7">
        <v>13.5</v>
      </c>
      <c r="R1691" s="7" t="str">
        <f ca="1">IFERROR(__xludf.DUMMYFUNCTION("IMPORTXML(E1691,""/html/body/main/div[3]/div[3]/div[2]/ul/li[7]/span[2]/span"")"),"Loading...")</f>
        <v>Loading...</v>
      </c>
      <c r="S1691" s="7" t="str">
        <f ca="1">IFERROR(__xludf.DUMMYFUNCTION("IMPORTXML(E1691,""/html/body/main/div[3]/div[3]/div[2]/ul/li[8]/span[2]/span"")"),"Loading...")</f>
        <v>Loading...</v>
      </c>
      <c r="T1691" s="4">
        <v>34.6</v>
      </c>
      <c r="U1691" s="4">
        <v>22.7</v>
      </c>
      <c r="V1691" s="4">
        <v>2.6</v>
      </c>
      <c r="W1691" s="4">
        <v>5.7</v>
      </c>
      <c r="X1691" s="4">
        <v>519.92999999999995</v>
      </c>
      <c r="Y1691" s="7" t="e">
        <f t="shared" ca="1" si="34"/>
        <v>#VALUE!</v>
      </c>
    </row>
    <row r="1692" spans="1:25" ht="15" x14ac:dyDescent="0.25">
      <c r="A1692" s="4">
        <v>1161</v>
      </c>
      <c r="C1692" s="41" t="s">
        <v>3807</v>
      </c>
      <c r="D1692" s="42"/>
      <c r="E1692" s="5" t="str">
        <f t="shared" si="30"/>
        <v>https://www.screener.in/company//consolidated/</v>
      </c>
      <c r="F1692" s="4">
        <v>443059</v>
      </c>
      <c r="G1692" s="4">
        <v>3832241897</v>
      </c>
      <c r="H1692" s="6" t="e">
        <f t="shared" ca="1" si="31"/>
        <v>#VALUE!</v>
      </c>
      <c r="I1692" s="7" t="str">
        <f ca="1">IFERROR(__xludf.DUMMYFUNCTION("IMPORTXML(E1692,""/html/body/main/div[3]/div[3]/div[2]/ul/li[5]/span[2]/span"")"),"Loading...")</f>
        <v>Loading...</v>
      </c>
      <c r="J1692" s="7" t="str">
        <f ca="1">IFERROR(__xludf.DUMMYFUNCTION("GOOGLEFINANCE(""NSE:""&amp;D1692,""marketcap"")"),"#N/A")</f>
        <v>#N/A</v>
      </c>
      <c r="K1692" s="7">
        <v>992.8</v>
      </c>
      <c r="L1692" s="8" t="str">
        <f ca="1">IFERROR(__xludf.DUMMYFUNCTION("GOOGLEFINANCE(""NSE:""&amp;D1692,""price"")"),"#N/A")</f>
        <v>#N/A</v>
      </c>
      <c r="M1692" s="9" t="e">
        <f t="shared" ca="1" si="32"/>
        <v>#VALUE!</v>
      </c>
      <c r="N1692" s="10" t="e">
        <f t="shared" ca="1" si="33"/>
        <v>#VALUE!</v>
      </c>
      <c r="O1692" s="7" t="str">
        <f ca="1">IFERROR(__xludf.DUMMYFUNCTION("GOOGLEFINANCE(""NSE:""&amp;D1692,""pe"")"),"#N/A")</f>
        <v>#N/A</v>
      </c>
      <c r="P1692" s="7" t="str">
        <f ca="1">IFERROR(__xludf.DUMMYFUNCTION("GOOGLEFINANCE(""NSE:""&amp;D1692,""EPS"")"),"#N/A")</f>
        <v>#N/A</v>
      </c>
      <c r="Q1692" s="7">
        <v>13.5</v>
      </c>
      <c r="R1692" s="7" t="str">
        <f ca="1">IFERROR(__xludf.DUMMYFUNCTION("IMPORTXML(E1692,""/html/body/main/div[3]/div[3]/div[2]/ul/li[7]/span[2]/span"")"),"Loading...")</f>
        <v>Loading...</v>
      </c>
      <c r="S1692" s="7" t="str">
        <f ca="1">IFERROR(__xludf.DUMMYFUNCTION("IMPORTXML(E1692,""/html/body/main/div[3]/div[3]/div[2]/ul/li[8]/span[2]/span"")"),"Loading...")</f>
        <v>Loading...</v>
      </c>
      <c r="T1692" s="4">
        <v>34.6</v>
      </c>
      <c r="U1692" s="4">
        <v>22.7</v>
      </c>
      <c r="V1692" s="4">
        <v>2.6</v>
      </c>
      <c r="W1692" s="4">
        <v>5.7</v>
      </c>
      <c r="X1692" s="4">
        <v>519.92999999999995</v>
      </c>
      <c r="Y1692" s="7" t="e">
        <f t="shared" ca="1" si="34"/>
        <v>#VALUE!</v>
      </c>
    </row>
    <row r="1693" spans="1:25" ht="15" x14ac:dyDescent="0.25">
      <c r="A1693" s="4">
        <v>1164</v>
      </c>
      <c r="C1693" s="12" t="s">
        <v>3808</v>
      </c>
      <c r="D1693" s="12" t="s">
        <v>3809</v>
      </c>
      <c r="E1693" s="5" t="str">
        <f t="shared" ref="E1693:E1947" si="35">"https://www.screener.in/company/"&amp; D1693&amp;"/consolidated/"</f>
        <v>https://www.screener.in/company/BAJAJHCARE/consolidated/</v>
      </c>
      <c r="F1693" s="4">
        <v>443059</v>
      </c>
      <c r="G1693" s="4">
        <v>3832241897</v>
      </c>
      <c r="H1693" s="6">
        <f t="shared" ref="H1693:H1947" ca="1" si="36">(G1693*L1693)/10^7</f>
        <v>163828.34109674999</v>
      </c>
      <c r="I1693" s="7" t="str">
        <f ca="1">IFERROR(__xludf.DUMMYFUNCTION("IMPORTXML(E1693,""/html/body/main/div[3]/div[3]/div[2]/ul/li[5]/span[2]/span"")"),"Loading...")</f>
        <v>Loading...</v>
      </c>
      <c r="J1693" s="7">
        <f ca="1">IFERROR(__xludf.DUMMYFUNCTION("GOOGLEFINANCE(""NSE:""&amp;D1693,""marketcap"")"),13610724897)</f>
        <v>13610724897</v>
      </c>
      <c r="K1693" s="7">
        <v>992.8</v>
      </c>
      <c r="L1693" s="8">
        <f ca="1">IFERROR(__xludf.DUMMYFUNCTION("GOOGLEFINANCE(""NSE:""&amp;D1693,""price"")"),427.5)</f>
        <v>427.5</v>
      </c>
      <c r="M1693" s="9">
        <f t="shared" ref="M1693:M1947" ca="1" si="37">L1693-K1693</f>
        <v>-565.29999999999995</v>
      </c>
      <c r="N1693" s="10">
        <f t="shared" ref="N1693:N1947" ca="1" si="38">(M1693/K1693)*100</f>
        <v>-56.93996776792909</v>
      </c>
      <c r="O1693" s="7">
        <f ca="1">IFERROR(__xludf.DUMMYFUNCTION("GOOGLEFINANCE(""NSE:""&amp;D1693,""pe"")"),30.32)</f>
        <v>30.32</v>
      </c>
      <c r="P1693" s="7">
        <f ca="1">IFERROR(__xludf.DUMMYFUNCTION("GOOGLEFINANCE(""NSE:""&amp;D1693,""EPS"")"),14.1)</f>
        <v>14.1</v>
      </c>
      <c r="Q1693" s="7">
        <v>13.5</v>
      </c>
      <c r="R1693" s="7" t="str">
        <f ca="1">IFERROR(__xludf.DUMMYFUNCTION("IMPORTXML(E1693,""/html/body/main/div[3]/div[3]/div[2]/ul/li[7]/span[2]/span"")"),"Loading...")</f>
        <v>Loading...</v>
      </c>
      <c r="S1693" s="7" t="str">
        <f ca="1">IFERROR(__xludf.DUMMYFUNCTION("IMPORTXML(E1693,""/html/body/main/div[3]/div[3]/div[2]/ul/li[8]/span[2]/span"")"),"Loading...")</f>
        <v>Loading...</v>
      </c>
      <c r="T1693" s="4">
        <v>34.6</v>
      </c>
      <c r="U1693" s="4">
        <v>22.7</v>
      </c>
      <c r="V1693" s="4">
        <v>2.6</v>
      </c>
      <c r="W1693" s="4">
        <v>5.7</v>
      </c>
      <c r="X1693" s="4">
        <v>519.92999999999995</v>
      </c>
      <c r="Y1693" s="7">
        <f t="shared" ref="Y1693:Y1947" ca="1" si="39">L1693-X1693</f>
        <v>-92.42999999999995</v>
      </c>
    </row>
    <row r="1694" spans="1:25" ht="15" x14ac:dyDescent="0.25">
      <c r="A1694" s="4">
        <v>1165</v>
      </c>
      <c r="C1694" s="41" t="s">
        <v>3810</v>
      </c>
      <c r="D1694" s="42"/>
      <c r="E1694" s="5" t="str">
        <f t="shared" si="35"/>
        <v>https://www.screener.in/company//consolidated/</v>
      </c>
      <c r="F1694" s="4">
        <v>443059</v>
      </c>
      <c r="G1694" s="4">
        <v>3832241897</v>
      </c>
      <c r="H1694" s="6" t="e">
        <f t="shared" ca="1" si="36"/>
        <v>#VALUE!</v>
      </c>
      <c r="I1694" s="7" t="str">
        <f ca="1">IFERROR(__xludf.DUMMYFUNCTION("IMPORTXML(E1694,""/html/body/main/div[3]/div[3]/div[2]/ul/li[5]/span[2]/span"")"),"Loading...")</f>
        <v>Loading...</v>
      </c>
      <c r="J1694" s="7" t="str">
        <f ca="1">IFERROR(__xludf.DUMMYFUNCTION("GOOGLEFINANCE(""NSE:""&amp;D1694,""marketcap"")"),"#N/A")</f>
        <v>#N/A</v>
      </c>
      <c r="K1694" s="7">
        <v>992.8</v>
      </c>
      <c r="L1694" s="8" t="str">
        <f ca="1">IFERROR(__xludf.DUMMYFUNCTION("GOOGLEFINANCE(""NSE:""&amp;D1694,""price"")"),"#N/A")</f>
        <v>#N/A</v>
      </c>
      <c r="M1694" s="9" t="e">
        <f t="shared" ca="1" si="37"/>
        <v>#VALUE!</v>
      </c>
      <c r="N1694" s="10" t="e">
        <f t="shared" ca="1" si="38"/>
        <v>#VALUE!</v>
      </c>
      <c r="O1694" s="7" t="str">
        <f ca="1">IFERROR(__xludf.DUMMYFUNCTION("GOOGLEFINANCE(""NSE:""&amp;D1694,""pe"")"),"#N/A")</f>
        <v>#N/A</v>
      </c>
      <c r="P1694" s="7" t="str">
        <f ca="1">IFERROR(__xludf.DUMMYFUNCTION("GOOGLEFINANCE(""NSE:""&amp;D1694,""EPS"")"),"#N/A")</f>
        <v>#N/A</v>
      </c>
      <c r="Q1694" s="7">
        <v>13.5</v>
      </c>
      <c r="R1694" s="7" t="str">
        <f ca="1">IFERROR(__xludf.DUMMYFUNCTION("IMPORTXML(E1694,""/html/body/main/div[3]/div[3]/div[2]/ul/li[7]/span[2]/span"")"),"Loading...")</f>
        <v>Loading...</v>
      </c>
      <c r="S1694" s="7" t="str">
        <f ca="1">IFERROR(__xludf.DUMMYFUNCTION("IMPORTXML(E1694,""/html/body/main/div[3]/div[3]/div[2]/ul/li[8]/span[2]/span"")"),"Loading...")</f>
        <v>Loading...</v>
      </c>
      <c r="T1694" s="4">
        <v>34.6</v>
      </c>
      <c r="U1694" s="4">
        <v>22.7</v>
      </c>
      <c r="V1694" s="4">
        <v>2.6</v>
      </c>
      <c r="W1694" s="4">
        <v>5.7</v>
      </c>
      <c r="X1694" s="4">
        <v>519.92999999999995</v>
      </c>
      <c r="Y1694" s="7" t="e">
        <f t="shared" ca="1" si="39"/>
        <v>#VALUE!</v>
      </c>
    </row>
    <row r="1695" spans="1:25" ht="15" x14ac:dyDescent="0.25">
      <c r="A1695" s="4">
        <v>1168</v>
      </c>
      <c r="C1695" s="12" t="s">
        <v>3811</v>
      </c>
      <c r="D1695" s="12" t="s">
        <v>3812</v>
      </c>
      <c r="E1695" s="5" t="str">
        <f t="shared" si="35"/>
        <v>https://www.screener.in/company/BLAL/consolidated/</v>
      </c>
      <c r="F1695" s="4">
        <v>443059</v>
      </c>
      <c r="G1695" s="4">
        <v>3832241897</v>
      </c>
      <c r="H1695" s="6">
        <f t="shared" ca="1" si="36"/>
        <v>86612.499114096994</v>
      </c>
      <c r="I1695" s="7" t="str">
        <f ca="1">IFERROR(__xludf.DUMMYFUNCTION("IMPORTXML(E1695,""/html/body/main/div[3]/div[3]/div[2]/ul/li[5]/span[2]/span"")"),"Loading...")</f>
        <v>Loading...</v>
      </c>
      <c r="J1695" s="7">
        <f ca="1">IFERROR(__xludf.DUMMYFUNCTION("GOOGLEFINANCE(""NSE:""&amp;D1695,""marketcap"")"),9419153000)</f>
        <v>9419153000</v>
      </c>
      <c r="K1695" s="7">
        <v>992.8</v>
      </c>
      <c r="L1695" s="8">
        <f ca="1">IFERROR(__xludf.DUMMYFUNCTION("GOOGLEFINANCE(""NSE:""&amp;D1695,""price"")"),226.01)</f>
        <v>226.01</v>
      </c>
      <c r="M1695" s="9">
        <f t="shared" ca="1" si="37"/>
        <v>-766.79</v>
      </c>
      <c r="N1695" s="10">
        <f t="shared" ca="1" si="38"/>
        <v>-77.235092667203858</v>
      </c>
      <c r="O1695" s="7" t="str">
        <f ca="1">IFERROR(__xludf.DUMMYFUNCTION("GOOGLEFINANCE(""NSE:""&amp;D1695,""pe"")"),"#N/A")</f>
        <v>#N/A</v>
      </c>
      <c r="P1695" s="7">
        <f ca="1">IFERROR(__xludf.DUMMYFUNCTION("GOOGLEFINANCE(""NSE:""&amp;D1695,""EPS"")"),-1.05)</f>
        <v>-1.05</v>
      </c>
      <c r="Q1695" s="7">
        <v>13.5</v>
      </c>
      <c r="R1695" s="7" t="str">
        <f ca="1">IFERROR(__xludf.DUMMYFUNCTION("IMPORTXML(E1695,""/html/body/main/div[3]/div[3]/div[2]/ul/li[7]/span[2]/span"")"),"Loading...")</f>
        <v>Loading...</v>
      </c>
      <c r="S1695" s="7" t="str">
        <f ca="1">IFERROR(__xludf.DUMMYFUNCTION("IMPORTXML(E1695,""/html/body/main/div[3]/div[3]/div[2]/ul/li[8]/span[2]/span"")"),"Loading...")</f>
        <v>Loading...</v>
      </c>
      <c r="T1695" s="4">
        <v>34.6</v>
      </c>
      <c r="U1695" s="4">
        <v>22.7</v>
      </c>
      <c r="V1695" s="4">
        <v>2.6</v>
      </c>
      <c r="W1695" s="4">
        <v>5.7</v>
      </c>
      <c r="X1695" s="4">
        <v>519.92999999999995</v>
      </c>
      <c r="Y1695" s="7">
        <f t="shared" ca="1" si="39"/>
        <v>-293.91999999999996</v>
      </c>
    </row>
    <row r="1696" spans="1:25" ht="15" x14ac:dyDescent="0.25">
      <c r="A1696" s="4">
        <v>1170</v>
      </c>
      <c r="C1696" s="12" t="s">
        <v>3813</v>
      </c>
      <c r="D1696" s="12" t="s">
        <v>3814</v>
      </c>
      <c r="E1696" s="5" t="str">
        <f t="shared" si="35"/>
        <v>https://www.screener.in/company/SHALPAINTS/consolidated/</v>
      </c>
      <c r="F1696" s="4">
        <v>443059</v>
      </c>
      <c r="G1696" s="4">
        <v>3832241897</v>
      </c>
      <c r="H1696" s="6">
        <f t="shared" ca="1" si="36"/>
        <v>27592.1416584</v>
      </c>
      <c r="I1696" s="7" t="str">
        <f ca="1">IFERROR(__xludf.DUMMYFUNCTION("IMPORTXML(E1696,""/html/body/main/div[3]/div[3]/div[2]/ul/li[5]/span[2]/span"")"),"Loading...")</f>
        <v>Loading...</v>
      </c>
      <c r="J1696" s="7">
        <f ca="1">IFERROR(__xludf.DUMMYFUNCTION("GOOGLEFINANCE(""NSE:""&amp;D1696,""marketcap"")"),6065090758)</f>
        <v>6065090758</v>
      </c>
      <c r="K1696" s="7">
        <v>992.8</v>
      </c>
      <c r="L1696" s="8">
        <f ca="1">IFERROR(__xludf.DUMMYFUNCTION("GOOGLEFINANCE(""NSE:""&amp;D1696,""price"")"),72)</f>
        <v>72</v>
      </c>
      <c r="M1696" s="9">
        <f t="shared" ca="1" si="37"/>
        <v>-920.8</v>
      </c>
      <c r="N1696" s="10">
        <f t="shared" ca="1" si="38"/>
        <v>-92.747784045124902</v>
      </c>
      <c r="O1696" s="7" t="str">
        <f ca="1">IFERROR(__xludf.DUMMYFUNCTION("GOOGLEFINANCE(""NSE:""&amp;D1696,""pe"")"),"#N/A")</f>
        <v>#N/A</v>
      </c>
      <c r="P1696" s="7">
        <f ca="1">IFERROR(__xludf.DUMMYFUNCTION("GOOGLEFINANCE(""NSE:""&amp;D1696,""EPS"")"),-8.33)</f>
        <v>-8.33</v>
      </c>
      <c r="Q1696" s="7">
        <v>13.5</v>
      </c>
      <c r="R1696" s="7" t="str">
        <f ca="1">IFERROR(__xludf.DUMMYFUNCTION("IMPORTXML(E1696,""/html/body/main/div[3]/div[3]/div[2]/ul/li[7]/span[2]/span"")"),"Loading...")</f>
        <v>Loading...</v>
      </c>
      <c r="S1696" s="7" t="str">
        <f ca="1">IFERROR(__xludf.DUMMYFUNCTION("IMPORTXML(E1696,""/html/body/main/div[3]/div[3]/div[2]/ul/li[8]/span[2]/span"")"),"Loading...")</f>
        <v>Loading...</v>
      </c>
      <c r="T1696" s="4">
        <v>34.6</v>
      </c>
      <c r="U1696" s="4">
        <v>22.7</v>
      </c>
      <c r="V1696" s="4">
        <v>2.6</v>
      </c>
      <c r="W1696" s="4">
        <v>5.7</v>
      </c>
      <c r="X1696" s="4">
        <v>519.92999999999995</v>
      </c>
      <c r="Y1696" s="7">
        <f t="shared" ca="1" si="39"/>
        <v>-447.92999999999995</v>
      </c>
    </row>
    <row r="1697" spans="1:25" ht="15" x14ac:dyDescent="0.25">
      <c r="A1697" s="4">
        <v>1172</v>
      </c>
      <c r="C1697" s="41" t="s">
        <v>3815</v>
      </c>
      <c r="D1697" s="42"/>
      <c r="E1697" s="5" t="str">
        <f t="shared" si="35"/>
        <v>https://www.screener.in/company//consolidated/</v>
      </c>
      <c r="F1697" s="4">
        <v>443059</v>
      </c>
      <c r="G1697" s="4">
        <v>3832241897</v>
      </c>
      <c r="H1697" s="6" t="e">
        <f t="shared" ca="1" si="36"/>
        <v>#VALUE!</v>
      </c>
      <c r="I1697" s="7" t="str">
        <f ca="1">IFERROR(__xludf.DUMMYFUNCTION("IMPORTXML(E1697,""/html/body/main/div[3]/div[3]/div[2]/ul/li[5]/span[2]/span"")"),"Loading...")</f>
        <v>Loading...</v>
      </c>
      <c r="J1697" s="7" t="str">
        <f ca="1">IFERROR(__xludf.DUMMYFUNCTION("GOOGLEFINANCE(""NSE:""&amp;D1697,""marketcap"")"),"#N/A")</f>
        <v>#N/A</v>
      </c>
      <c r="K1697" s="7">
        <v>992.8</v>
      </c>
      <c r="L1697" s="8" t="str">
        <f ca="1">IFERROR(__xludf.DUMMYFUNCTION("GOOGLEFINANCE(""NSE:""&amp;D1697,""price"")"),"#N/A")</f>
        <v>#N/A</v>
      </c>
      <c r="M1697" s="9" t="e">
        <f t="shared" ca="1" si="37"/>
        <v>#VALUE!</v>
      </c>
      <c r="N1697" s="10" t="e">
        <f t="shared" ca="1" si="38"/>
        <v>#VALUE!</v>
      </c>
      <c r="O1697" s="7" t="str">
        <f ca="1">IFERROR(__xludf.DUMMYFUNCTION("GOOGLEFINANCE(""NSE:""&amp;D1697,""pe"")"),"#N/A")</f>
        <v>#N/A</v>
      </c>
      <c r="P1697" s="7" t="str">
        <f ca="1">IFERROR(__xludf.DUMMYFUNCTION("GOOGLEFINANCE(""NSE:""&amp;D1697,""EPS"")"),"#N/A")</f>
        <v>#N/A</v>
      </c>
      <c r="Q1697" s="7">
        <v>13.5</v>
      </c>
      <c r="R1697" s="7" t="str">
        <f ca="1">IFERROR(__xludf.DUMMYFUNCTION("IMPORTXML(E1697,""/html/body/main/div[3]/div[3]/div[2]/ul/li[7]/span[2]/span"")"),"Loading...")</f>
        <v>Loading...</v>
      </c>
      <c r="S1697" s="7" t="str">
        <f ca="1">IFERROR(__xludf.DUMMYFUNCTION("IMPORTXML(E1697,""/html/body/main/div[3]/div[3]/div[2]/ul/li[8]/span[2]/span"")"),"Loading...")</f>
        <v>Loading...</v>
      </c>
      <c r="T1697" s="4">
        <v>34.6</v>
      </c>
      <c r="U1697" s="4">
        <v>22.7</v>
      </c>
      <c r="V1697" s="4">
        <v>2.6</v>
      </c>
      <c r="W1697" s="4">
        <v>5.7</v>
      </c>
      <c r="X1697" s="4">
        <v>519.92999999999995</v>
      </c>
      <c r="Y1697" s="7" t="e">
        <f t="shared" ca="1" si="39"/>
        <v>#VALUE!</v>
      </c>
    </row>
    <row r="1698" spans="1:25" ht="15" x14ac:dyDescent="0.25">
      <c r="A1698" s="4">
        <v>1174</v>
      </c>
      <c r="C1698" s="12" t="s">
        <v>3816</v>
      </c>
      <c r="D1698" s="12" t="s">
        <v>3817</v>
      </c>
      <c r="E1698" s="5" t="str">
        <f t="shared" si="35"/>
        <v>https://www.screener.in/company/AGSTRA/consolidated/</v>
      </c>
      <c r="F1698" s="4">
        <v>443059</v>
      </c>
      <c r="G1698" s="4">
        <v>3832241897</v>
      </c>
      <c r="H1698" s="6">
        <f t="shared" ca="1" si="36"/>
        <v>2011.926995925</v>
      </c>
      <c r="I1698" s="7" t="str">
        <f ca="1">IFERROR(__xludf.DUMMYFUNCTION("IMPORTXML(E1698,""/html/body/main/div[3]/div[3]/div[2]/ul/li[5]/span[2]/span"")"),"Loading...")</f>
        <v>Loading...</v>
      </c>
      <c r="J1698" s="7">
        <f ca="1">IFERROR(__xludf.DUMMYFUNCTION("GOOGLEFINANCE(""NSE:""&amp;D1698,""marketcap"")"),686648200)</f>
        <v>686648200</v>
      </c>
      <c r="K1698" s="7">
        <v>992.8</v>
      </c>
      <c r="L1698" s="8">
        <f ca="1">IFERROR(__xludf.DUMMYFUNCTION("GOOGLEFINANCE(""NSE:""&amp;D1698,""price"")"),5.25)</f>
        <v>5.25</v>
      </c>
      <c r="M1698" s="9">
        <f t="shared" ca="1" si="37"/>
        <v>-987.55</v>
      </c>
      <c r="N1698" s="10">
        <f t="shared" ca="1" si="38"/>
        <v>-99.471192586623687</v>
      </c>
      <c r="O1698" s="7" t="str">
        <f ca="1">IFERROR(__xludf.DUMMYFUNCTION("GOOGLEFINANCE(""NSE:""&amp;D1698,""pe"")"),"#N/A")</f>
        <v>#N/A</v>
      </c>
      <c r="P1698" s="7">
        <f ca="1">IFERROR(__xludf.DUMMYFUNCTION("GOOGLEFINANCE(""NSE:""&amp;D1698,""EPS"")"),-14)</f>
        <v>-14</v>
      </c>
      <c r="Q1698" s="7">
        <v>13.5</v>
      </c>
      <c r="R1698" s="7" t="str">
        <f ca="1">IFERROR(__xludf.DUMMYFUNCTION("IMPORTXML(E1698,""/html/body/main/div[3]/div[3]/div[2]/ul/li[7]/span[2]/span"")"),"Loading...")</f>
        <v>Loading...</v>
      </c>
      <c r="S1698" s="7" t="str">
        <f ca="1">IFERROR(__xludf.DUMMYFUNCTION("IMPORTXML(E1698,""/html/body/main/div[3]/div[3]/div[2]/ul/li[8]/span[2]/span"")"),"Loading...")</f>
        <v>Loading...</v>
      </c>
      <c r="T1698" s="4">
        <v>34.6</v>
      </c>
      <c r="U1698" s="4">
        <v>22.7</v>
      </c>
      <c r="V1698" s="4">
        <v>2.6</v>
      </c>
      <c r="W1698" s="4">
        <v>5.7</v>
      </c>
      <c r="X1698" s="4">
        <v>519.92999999999995</v>
      </c>
      <c r="Y1698" s="7">
        <f t="shared" ca="1" si="39"/>
        <v>-514.67999999999995</v>
      </c>
    </row>
    <row r="1699" spans="1:25" ht="15" x14ac:dyDescent="0.25">
      <c r="A1699" s="4">
        <v>1177</v>
      </c>
      <c r="C1699" s="12" t="s">
        <v>3818</v>
      </c>
      <c r="D1699" s="12" t="s">
        <v>3819</v>
      </c>
      <c r="E1699" s="5" t="str">
        <f t="shared" si="35"/>
        <v>https://www.screener.in/company/SUTLEJTEX/consolidated/</v>
      </c>
      <c r="F1699" s="4">
        <v>443059</v>
      </c>
      <c r="G1699" s="4">
        <v>3832241897</v>
      </c>
      <c r="H1699" s="6">
        <f t="shared" ca="1" si="36"/>
        <v>14562.519208600001</v>
      </c>
      <c r="I1699" s="7" t="str">
        <f ca="1">IFERROR(__xludf.DUMMYFUNCTION("IMPORTXML(E1699,""/html/body/main/div[3]/div[3]/div[2]/ul/li[5]/span[2]/span"")"),"Loading...")</f>
        <v>Loading...</v>
      </c>
      <c r="J1699" s="7">
        <f ca="1">IFERROR(__xludf.DUMMYFUNCTION("GOOGLEFINANCE(""NSE:""&amp;D1699,""marketcap"")"),6225486800)</f>
        <v>6225486800</v>
      </c>
      <c r="K1699" s="7">
        <v>992.8</v>
      </c>
      <c r="L1699" s="8">
        <f ca="1">IFERROR(__xludf.DUMMYFUNCTION("GOOGLEFINANCE(""NSE:""&amp;D1699,""price"")"),38)</f>
        <v>38</v>
      </c>
      <c r="M1699" s="9">
        <f t="shared" ca="1" si="37"/>
        <v>-954.8</v>
      </c>
      <c r="N1699" s="10">
        <f t="shared" ca="1" si="38"/>
        <v>-96.172441579371466</v>
      </c>
      <c r="O1699" s="7" t="str">
        <f ca="1">IFERROR(__xludf.DUMMYFUNCTION("GOOGLEFINANCE(""NSE:""&amp;D1699,""pe"")"),"#N/A")</f>
        <v>#N/A</v>
      </c>
      <c r="P1699" s="7">
        <f ca="1">IFERROR(__xludf.DUMMYFUNCTION("GOOGLEFINANCE(""NSE:""&amp;D1699,""EPS"")"),-5.32)</f>
        <v>-5.32</v>
      </c>
      <c r="Q1699" s="7">
        <v>13.5</v>
      </c>
      <c r="R1699" s="7" t="str">
        <f ca="1">IFERROR(__xludf.DUMMYFUNCTION("IMPORTXML(E1699,""/html/body/main/div[3]/div[3]/div[2]/ul/li[7]/span[2]/span"")"),"Loading...")</f>
        <v>Loading...</v>
      </c>
      <c r="S1699" s="7" t="str">
        <f ca="1">IFERROR(__xludf.DUMMYFUNCTION("IMPORTXML(E1699,""/html/body/main/div[3]/div[3]/div[2]/ul/li[8]/span[2]/span"")"),"Loading...")</f>
        <v>Loading...</v>
      </c>
      <c r="T1699" s="4">
        <v>34.6</v>
      </c>
      <c r="U1699" s="4">
        <v>22.7</v>
      </c>
      <c r="V1699" s="4">
        <v>2.6</v>
      </c>
      <c r="W1699" s="4">
        <v>5.7</v>
      </c>
      <c r="X1699" s="4">
        <v>519.92999999999995</v>
      </c>
      <c r="Y1699" s="7">
        <f t="shared" ca="1" si="39"/>
        <v>-481.92999999999995</v>
      </c>
    </row>
    <row r="1700" spans="1:25" ht="15" x14ac:dyDescent="0.25">
      <c r="A1700" s="4">
        <v>1179</v>
      </c>
      <c r="C1700" s="41" t="s">
        <v>3820</v>
      </c>
      <c r="D1700" s="42"/>
      <c r="E1700" s="5" t="str">
        <f t="shared" si="35"/>
        <v>https://www.screener.in/company//consolidated/</v>
      </c>
      <c r="F1700" s="4">
        <v>443059</v>
      </c>
      <c r="G1700" s="4">
        <v>3832241897</v>
      </c>
      <c r="H1700" s="6" t="e">
        <f t="shared" ca="1" si="36"/>
        <v>#VALUE!</v>
      </c>
      <c r="I1700" s="7" t="str">
        <f ca="1">IFERROR(__xludf.DUMMYFUNCTION("IMPORTXML(E1700,""/html/body/main/div[3]/div[3]/div[2]/ul/li[5]/span[2]/span"")"),"Loading...")</f>
        <v>Loading...</v>
      </c>
      <c r="J1700" s="7" t="str">
        <f ca="1">IFERROR(__xludf.DUMMYFUNCTION("GOOGLEFINANCE(""NSE:""&amp;D1700,""marketcap"")"),"#N/A")</f>
        <v>#N/A</v>
      </c>
      <c r="K1700" s="7">
        <v>992.8</v>
      </c>
      <c r="L1700" s="8" t="str">
        <f ca="1">IFERROR(__xludf.DUMMYFUNCTION("GOOGLEFINANCE(""NSE:""&amp;D1700,""price"")"),"#N/A")</f>
        <v>#N/A</v>
      </c>
      <c r="M1700" s="9" t="e">
        <f t="shared" ca="1" si="37"/>
        <v>#VALUE!</v>
      </c>
      <c r="N1700" s="10" t="e">
        <f t="shared" ca="1" si="38"/>
        <v>#VALUE!</v>
      </c>
      <c r="O1700" s="7" t="str">
        <f ca="1">IFERROR(__xludf.DUMMYFUNCTION("GOOGLEFINANCE(""NSE:""&amp;D1700,""pe"")"),"#N/A")</f>
        <v>#N/A</v>
      </c>
      <c r="P1700" s="7" t="str">
        <f ca="1">IFERROR(__xludf.DUMMYFUNCTION("GOOGLEFINANCE(""NSE:""&amp;D1700,""EPS"")"),"#N/A")</f>
        <v>#N/A</v>
      </c>
      <c r="Q1700" s="7">
        <v>13.5</v>
      </c>
      <c r="R1700" s="7" t="str">
        <f ca="1">IFERROR(__xludf.DUMMYFUNCTION("IMPORTXML(E1700,""/html/body/main/div[3]/div[3]/div[2]/ul/li[7]/span[2]/span"")"),"Loading...")</f>
        <v>Loading...</v>
      </c>
      <c r="S1700" s="7" t="str">
        <f ca="1">IFERROR(__xludf.DUMMYFUNCTION("IMPORTXML(E1700,""/html/body/main/div[3]/div[3]/div[2]/ul/li[8]/span[2]/span"")"),"Loading...")</f>
        <v>Loading...</v>
      </c>
      <c r="T1700" s="4">
        <v>34.6</v>
      </c>
      <c r="U1700" s="4">
        <v>22.7</v>
      </c>
      <c r="V1700" s="4">
        <v>2.6</v>
      </c>
      <c r="W1700" s="4">
        <v>5.7</v>
      </c>
      <c r="X1700" s="4">
        <v>519.92999999999995</v>
      </c>
      <c r="Y1700" s="7" t="e">
        <f t="shared" ca="1" si="39"/>
        <v>#VALUE!</v>
      </c>
    </row>
    <row r="1701" spans="1:25" ht="15" x14ac:dyDescent="0.25">
      <c r="A1701" s="4">
        <v>1180</v>
      </c>
      <c r="C1701" s="12" t="s">
        <v>3821</v>
      </c>
      <c r="D1701" s="12" t="s">
        <v>3822</v>
      </c>
      <c r="E1701" s="5" t="str">
        <f t="shared" si="35"/>
        <v>https://www.screener.in/company/NAHARSPING/consolidated/</v>
      </c>
      <c r="F1701" s="4">
        <v>443059</v>
      </c>
      <c r="G1701" s="4">
        <v>3832241897</v>
      </c>
      <c r="H1701" s="6">
        <f t="shared" ca="1" si="36"/>
        <v>81860.519161817007</v>
      </c>
      <c r="I1701" s="7" t="str">
        <f ca="1">IFERROR(__xludf.DUMMYFUNCTION("IMPORTXML(E1701,""/html/body/main/div[3]/div[3]/div[2]/ul/li[5]/span[2]/span"")"),"Loading...")</f>
        <v>Loading...</v>
      </c>
      <c r="J1701" s="7">
        <f ca="1">IFERROR(__xludf.DUMMYFUNCTION("GOOGLEFINANCE(""NSE:""&amp;D1701,""marketcap"")"),7708958000)</f>
        <v>7708958000</v>
      </c>
      <c r="K1701" s="7">
        <v>992.8</v>
      </c>
      <c r="L1701" s="8">
        <f ca="1">IFERROR(__xludf.DUMMYFUNCTION("GOOGLEFINANCE(""NSE:""&amp;D1701,""price"")"),213.61)</f>
        <v>213.61</v>
      </c>
      <c r="M1701" s="9">
        <f t="shared" ca="1" si="37"/>
        <v>-779.18999999999994</v>
      </c>
      <c r="N1701" s="10">
        <f t="shared" ca="1" si="38"/>
        <v>-78.484085414987916</v>
      </c>
      <c r="O1701" s="7">
        <f ca="1">IFERROR(__xludf.DUMMYFUNCTION("GOOGLEFINANCE(""NSE:""&amp;D1701,""pe"")"),35.52)</f>
        <v>35.520000000000003</v>
      </c>
      <c r="P1701" s="7">
        <f ca="1">IFERROR(__xludf.DUMMYFUNCTION("GOOGLEFINANCE(""NSE:""&amp;D1701,""EPS"")"),6.01)</f>
        <v>6.01</v>
      </c>
      <c r="Q1701" s="7">
        <v>13.5</v>
      </c>
      <c r="R1701" s="7" t="str">
        <f ca="1">IFERROR(__xludf.DUMMYFUNCTION("IMPORTXML(E1701,""/html/body/main/div[3]/div[3]/div[2]/ul/li[7]/span[2]/span"")"),"Loading...")</f>
        <v>Loading...</v>
      </c>
      <c r="S1701" s="7" t="str">
        <f ca="1">IFERROR(__xludf.DUMMYFUNCTION("IMPORTXML(E1701,""/html/body/main/div[3]/div[3]/div[2]/ul/li[8]/span[2]/span"")"),"Loading...")</f>
        <v>Loading...</v>
      </c>
      <c r="T1701" s="4">
        <v>34.6</v>
      </c>
      <c r="U1701" s="4">
        <v>22.7</v>
      </c>
      <c r="V1701" s="4">
        <v>2.6</v>
      </c>
      <c r="W1701" s="4">
        <v>5.7</v>
      </c>
      <c r="X1701" s="4">
        <v>519.92999999999995</v>
      </c>
      <c r="Y1701" s="7">
        <f t="shared" ca="1" si="39"/>
        <v>-306.31999999999994</v>
      </c>
    </row>
    <row r="1702" spans="1:25" ht="15" x14ac:dyDescent="0.25">
      <c r="A1702" s="4">
        <v>1181</v>
      </c>
      <c r="C1702" s="12" t="s">
        <v>3823</v>
      </c>
      <c r="D1702" s="12" t="s">
        <v>3824</v>
      </c>
      <c r="E1702" s="5" t="str">
        <f t="shared" si="35"/>
        <v>https://www.screener.in/company/VALIANTORG/consolidated/</v>
      </c>
      <c r="F1702" s="4">
        <v>443059</v>
      </c>
      <c r="G1702" s="4">
        <v>3832241897</v>
      </c>
      <c r="H1702" s="6">
        <f t="shared" ca="1" si="36"/>
        <v>136006.26492452997</v>
      </c>
      <c r="I1702" s="7" t="str">
        <f ca="1">IFERROR(__xludf.DUMMYFUNCTION("IMPORTXML(E1702,""/html/body/main/div[3]/div[3]/div[2]/ul/li[5]/span[2]/span"")"),"Loading...")</f>
        <v>Loading...</v>
      </c>
      <c r="J1702" s="7">
        <f ca="1">IFERROR(__xludf.DUMMYFUNCTION("GOOGLEFINANCE(""NSE:""&amp;D1702,""marketcap"")"),9938835918)</f>
        <v>9938835918</v>
      </c>
      <c r="K1702" s="7">
        <v>992.8</v>
      </c>
      <c r="L1702" s="8">
        <f ca="1">IFERROR(__xludf.DUMMYFUNCTION("GOOGLEFINANCE(""NSE:""&amp;D1702,""price"")"),354.9)</f>
        <v>354.9</v>
      </c>
      <c r="M1702" s="9">
        <f t="shared" ca="1" si="37"/>
        <v>-637.9</v>
      </c>
      <c r="N1702" s="10">
        <f t="shared" ca="1" si="38"/>
        <v>-64.252618855761483</v>
      </c>
      <c r="O1702" s="7">
        <f ca="1">IFERROR(__xludf.DUMMYFUNCTION("GOOGLEFINANCE(""NSE:""&amp;D1702,""pe"")"),183.68)</f>
        <v>183.68</v>
      </c>
      <c r="P1702" s="7">
        <f ca="1">IFERROR(__xludf.DUMMYFUNCTION("GOOGLEFINANCE(""NSE:""&amp;D1702,""EPS"")"),1.93)</f>
        <v>1.93</v>
      </c>
      <c r="Q1702" s="7">
        <v>13.5</v>
      </c>
      <c r="R1702" s="7" t="str">
        <f ca="1">IFERROR(__xludf.DUMMYFUNCTION("IMPORTXML(E1702,""/html/body/main/div[3]/div[3]/div[2]/ul/li[7]/span[2]/span"")"),"Loading...")</f>
        <v>Loading...</v>
      </c>
      <c r="S1702" s="7" t="str">
        <f ca="1">IFERROR(__xludf.DUMMYFUNCTION("IMPORTXML(E1702,""/html/body/main/div[3]/div[3]/div[2]/ul/li[8]/span[2]/span"")"),"Loading...")</f>
        <v>Loading...</v>
      </c>
      <c r="T1702" s="4">
        <v>34.6</v>
      </c>
      <c r="U1702" s="4">
        <v>22.7</v>
      </c>
      <c r="V1702" s="4">
        <v>2.6</v>
      </c>
      <c r="W1702" s="4">
        <v>5.7</v>
      </c>
      <c r="X1702" s="4">
        <v>519.92999999999995</v>
      </c>
      <c r="Y1702" s="7">
        <f t="shared" ca="1" si="39"/>
        <v>-165.02999999999997</v>
      </c>
    </row>
    <row r="1703" spans="1:25" ht="15" x14ac:dyDescent="0.25">
      <c r="A1703" s="4">
        <v>1182</v>
      </c>
      <c r="C1703" s="41" t="s">
        <v>3825</v>
      </c>
      <c r="D1703" s="42"/>
      <c r="E1703" s="5" t="str">
        <f t="shared" si="35"/>
        <v>https://www.screener.in/company//consolidated/</v>
      </c>
      <c r="F1703" s="4">
        <v>443059</v>
      </c>
      <c r="G1703" s="4">
        <v>3832241897</v>
      </c>
      <c r="H1703" s="6" t="e">
        <f t="shared" ca="1" si="36"/>
        <v>#VALUE!</v>
      </c>
      <c r="I1703" s="7" t="str">
        <f ca="1">IFERROR(__xludf.DUMMYFUNCTION("IMPORTXML(E1703,""/html/body/main/div[3]/div[3]/div[2]/ul/li[5]/span[2]/span"")"),"Loading...")</f>
        <v>Loading...</v>
      </c>
      <c r="J1703" s="7" t="str">
        <f ca="1">IFERROR(__xludf.DUMMYFUNCTION("GOOGLEFINANCE(""NSE:""&amp;D1703,""marketcap"")"),"#N/A")</f>
        <v>#N/A</v>
      </c>
      <c r="K1703" s="7">
        <v>992.8</v>
      </c>
      <c r="L1703" s="8" t="str">
        <f ca="1">IFERROR(__xludf.DUMMYFUNCTION("GOOGLEFINANCE(""NSE:""&amp;D1703,""price"")"),"#N/A")</f>
        <v>#N/A</v>
      </c>
      <c r="M1703" s="9" t="e">
        <f t="shared" ca="1" si="37"/>
        <v>#VALUE!</v>
      </c>
      <c r="N1703" s="10" t="e">
        <f t="shared" ca="1" si="38"/>
        <v>#VALUE!</v>
      </c>
      <c r="O1703" s="7" t="str">
        <f ca="1">IFERROR(__xludf.DUMMYFUNCTION("GOOGLEFINANCE(""NSE:""&amp;D1703,""pe"")"),"#N/A")</f>
        <v>#N/A</v>
      </c>
      <c r="P1703" s="7" t="str">
        <f ca="1">IFERROR(__xludf.DUMMYFUNCTION("GOOGLEFINANCE(""NSE:""&amp;D1703,""EPS"")"),"#N/A")</f>
        <v>#N/A</v>
      </c>
      <c r="Q1703" s="7">
        <v>13.5</v>
      </c>
      <c r="R1703" s="7" t="str">
        <f ca="1">IFERROR(__xludf.DUMMYFUNCTION("IMPORTXML(E1703,""/html/body/main/div[3]/div[3]/div[2]/ul/li[7]/span[2]/span"")"),"Loading...")</f>
        <v>Loading...</v>
      </c>
      <c r="S1703" s="7" t="str">
        <f ca="1">IFERROR(__xludf.DUMMYFUNCTION("IMPORTXML(E1703,""/html/body/main/div[3]/div[3]/div[2]/ul/li[8]/span[2]/span"")"),"Loading...")</f>
        <v>Loading...</v>
      </c>
      <c r="T1703" s="4">
        <v>34.6</v>
      </c>
      <c r="U1703" s="4">
        <v>22.7</v>
      </c>
      <c r="V1703" s="4">
        <v>2.6</v>
      </c>
      <c r="W1703" s="4">
        <v>5.7</v>
      </c>
      <c r="X1703" s="4">
        <v>519.92999999999995</v>
      </c>
      <c r="Y1703" s="7" t="e">
        <f t="shared" ca="1" si="39"/>
        <v>#VALUE!</v>
      </c>
    </row>
    <row r="1704" spans="1:25" ht="15" x14ac:dyDescent="0.25">
      <c r="A1704" s="4">
        <v>1183</v>
      </c>
      <c r="C1704" s="12" t="s">
        <v>3826</v>
      </c>
      <c r="D1704" s="12" t="s">
        <v>3827</v>
      </c>
      <c r="E1704" s="5" t="str">
        <f t="shared" si="35"/>
        <v>https://www.screener.in/company/ZEEMEDIA/consolidated/</v>
      </c>
      <c r="F1704" s="4">
        <v>443059</v>
      </c>
      <c r="G1704" s="4">
        <v>3832241897</v>
      </c>
      <c r="H1704" s="6">
        <f t="shared" ca="1" si="36"/>
        <v>4736.6509846919998</v>
      </c>
      <c r="I1704" s="7" t="str">
        <f ca="1">IFERROR(__xludf.DUMMYFUNCTION("IMPORTXML(E1704,""/html/body/main/div[3]/div[3]/div[2]/ul/li[5]/span[2]/span"")"),"Loading...")</f>
        <v>Loading...</v>
      </c>
      <c r="J1704" s="7">
        <f ca="1">IFERROR(__xludf.DUMMYFUNCTION("GOOGLEFINANCE(""NSE:""&amp;D1704,""marketcap"")"),7692721153)</f>
        <v>7692721153</v>
      </c>
      <c r="K1704" s="7">
        <v>992.8</v>
      </c>
      <c r="L1704" s="8">
        <f ca="1">IFERROR(__xludf.DUMMYFUNCTION("GOOGLEFINANCE(""NSE:""&amp;D1704,""price"")"),12.36)</f>
        <v>12.36</v>
      </c>
      <c r="M1704" s="9">
        <f t="shared" ca="1" si="37"/>
        <v>-980.43999999999994</v>
      </c>
      <c r="N1704" s="10">
        <f t="shared" ca="1" si="38"/>
        <v>-98.755036261079781</v>
      </c>
      <c r="O1704" s="7" t="str">
        <f ca="1">IFERROR(__xludf.DUMMYFUNCTION("GOOGLEFINANCE(""NSE:""&amp;D1704,""pe"")"),"#N/A")</f>
        <v>#N/A</v>
      </c>
      <c r="P1704" s="7">
        <f ca="1">IFERROR(__xludf.DUMMYFUNCTION("GOOGLEFINANCE(""NSE:""&amp;D1704,""EPS"")"),-1.89)</f>
        <v>-1.89</v>
      </c>
      <c r="Q1704" s="7">
        <v>13.5</v>
      </c>
      <c r="R1704" s="7" t="str">
        <f ca="1">IFERROR(__xludf.DUMMYFUNCTION("IMPORTXML(E1704,""/html/body/main/div[3]/div[3]/div[2]/ul/li[7]/span[2]/span"")"),"Loading...")</f>
        <v>Loading...</v>
      </c>
      <c r="S1704" s="7" t="str">
        <f ca="1">IFERROR(__xludf.DUMMYFUNCTION("IMPORTXML(E1704,""/html/body/main/div[3]/div[3]/div[2]/ul/li[8]/span[2]/span"")"),"Loading...")</f>
        <v>Loading...</v>
      </c>
      <c r="T1704" s="4">
        <v>34.6</v>
      </c>
      <c r="U1704" s="4">
        <v>22.7</v>
      </c>
      <c r="V1704" s="4">
        <v>2.6</v>
      </c>
      <c r="W1704" s="4">
        <v>5.7</v>
      </c>
      <c r="X1704" s="4">
        <v>519.92999999999995</v>
      </c>
      <c r="Y1704" s="7">
        <f t="shared" ca="1" si="39"/>
        <v>-507.56999999999994</v>
      </c>
    </row>
    <row r="1705" spans="1:25" ht="15" x14ac:dyDescent="0.25">
      <c r="A1705" s="4">
        <v>1184</v>
      </c>
      <c r="C1705" s="12" t="s">
        <v>3828</v>
      </c>
      <c r="D1705" s="12" t="s">
        <v>3829</v>
      </c>
      <c r="E1705" s="5" t="str">
        <f t="shared" si="35"/>
        <v>https://www.screener.in/company/ZUARIIND/consolidated/</v>
      </c>
      <c r="F1705" s="4">
        <v>443059</v>
      </c>
      <c r="G1705" s="4">
        <v>3832241897</v>
      </c>
      <c r="H1705" s="6">
        <f t="shared" ca="1" si="36"/>
        <v>115561.254404035</v>
      </c>
      <c r="I1705" s="7" t="str">
        <f ca="1">IFERROR(__xludf.DUMMYFUNCTION("IMPORTXML(E1705,""/html/body/main/div[3]/div[3]/div[2]/ul/li[5]/span[2]/span"")"),"Loading...")</f>
        <v>Loading...</v>
      </c>
      <c r="J1705" s="7">
        <f ca="1">IFERROR(__xludf.DUMMYFUNCTION("GOOGLEFINANCE(""NSE:""&amp;D1705,""marketcap"")"),8946268000)</f>
        <v>8946268000</v>
      </c>
      <c r="K1705" s="7">
        <v>992.8</v>
      </c>
      <c r="L1705" s="8">
        <f ca="1">IFERROR(__xludf.DUMMYFUNCTION("GOOGLEFINANCE(""NSE:""&amp;D1705,""price"")"),301.55)</f>
        <v>301.55</v>
      </c>
      <c r="M1705" s="9">
        <f t="shared" ca="1" si="37"/>
        <v>-691.25</v>
      </c>
      <c r="N1705" s="10">
        <f t="shared" ca="1" si="38"/>
        <v>-69.626309427880742</v>
      </c>
      <c r="O1705" s="7" t="str">
        <f ca="1">IFERROR(__xludf.DUMMYFUNCTION("GOOGLEFINANCE(""NSE:""&amp;D1705,""pe"")"),"#N/A")</f>
        <v>#N/A</v>
      </c>
      <c r="P1705" s="7" t="str">
        <f ca="1">IFERROR(__xludf.DUMMYFUNCTION("GOOGLEFINANCE(""NSE:""&amp;D1705,""EPS"")"),"#N/A")</f>
        <v>#N/A</v>
      </c>
      <c r="Q1705" s="7">
        <v>13.5</v>
      </c>
      <c r="R1705" s="7" t="str">
        <f ca="1">IFERROR(__xludf.DUMMYFUNCTION("IMPORTXML(E1705,""/html/body/main/div[3]/div[3]/div[2]/ul/li[7]/span[2]/span"")"),"Loading...")</f>
        <v>Loading...</v>
      </c>
      <c r="S1705" s="7" t="str">
        <f ca="1">IFERROR(__xludf.DUMMYFUNCTION("IMPORTXML(E1705,""/html/body/main/div[3]/div[3]/div[2]/ul/li[8]/span[2]/span"")"),"Loading...")</f>
        <v>Loading...</v>
      </c>
      <c r="T1705" s="4">
        <v>34.6</v>
      </c>
      <c r="U1705" s="4">
        <v>22.7</v>
      </c>
      <c r="V1705" s="4">
        <v>2.6</v>
      </c>
      <c r="W1705" s="4">
        <v>5.7</v>
      </c>
      <c r="X1705" s="4">
        <v>519.92999999999995</v>
      </c>
      <c r="Y1705" s="7">
        <f t="shared" ca="1" si="39"/>
        <v>-218.37999999999994</v>
      </c>
    </row>
    <row r="1706" spans="1:25" ht="15" x14ac:dyDescent="0.25">
      <c r="A1706" s="4">
        <v>1185</v>
      </c>
      <c r="C1706" s="41" t="s">
        <v>3830</v>
      </c>
      <c r="D1706" s="42"/>
      <c r="E1706" s="5" t="str">
        <f t="shared" si="35"/>
        <v>https://www.screener.in/company//consolidated/</v>
      </c>
      <c r="F1706" s="4">
        <v>443059</v>
      </c>
      <c r="G1706" s="4">
        <v>3832241897</v>
      </c>
      <c r="H1706" s="6" t="e">
        <f t="shared" ca="1" si="36"/>
        <v>#VALUE!</v>
      </c>
      <c r="I1706" s="7" t="str">
        <f ca="1">IFERROR(__xludf.DUMMYFUNCTION("IMPORTXML(E1706,""/html/body/main/div[3]/div[3]/div[2]/ul/li[5]/span[2]/span"")"),"Loading...")</f>
        <v>Loading...</v>
      </c>
      <c r="J1706" s="7" t="str">
        <f ca="1">IFERROR(__xludf.DUMMYFUNCTION("GOOGLEFINANCE(""NSE:""&amp;D1706,""marketcap"")"),"#N/A")</f>
        <v>#N/A</v>
      </c>
      <c r="K1706" s="7">
        <v>992.8</v>
      </c>
      <c r="L1706" s="8" t="str">
        <f ca="1">IFERROR(__xludf.DUMMYFUNCTION("GOOGLEFINANCE(""NSE:""&amp;D1706,""price"")"),"#N/A")</f>
        <v>#N/A</v>
      </c>
      <c r="M1706" s="9" t="e">
        <f t="shared" ca="1" si="37"/>
        <v>#VALUE!</v>
      </c>
      <c r="N1706" s="10" t="e">
        <f t="shared" ca="1" si="38"/>
        <v>#VALUE!</v>
      </c>
      <c r="O1706" s="7" t="str">
        <f ca="1">IFERROR(__xludf.DUMMYFUNCTION("GOOGLEFINANCE(""NSE:""&amp;D1706,""pe"")"),"#N/A")</f>
        <v>#N/A</v>
      </c>
      <c r="P1706" s="7" t="str">
        <f ca="1">IFERROR(__xludf.DUMMYFUNCTION("GOOGLEFINANCE(""NSE:""&amp;D1706,""EPS"")"),"#N/A")</f>
        <v>#N/A</v>
      </c>
      <c r="Q1706" s="7">
        <v>13.5</v>
      </c>
      <c r="R1706" s="7" t="str">
        <f ca="1">IFERROR(__xludf.DUMMYFUNCTION("IMPORTXML(E1706,""/html/body/main/div[3]/div[3]/div[2]/ul/li[7]/span[2]/span"")"),"Loading...")</f>
        <v>Loading...</v>
      </c>
      <c r="S1706" s="7" t="str">
        <f ca="1">IFERROR(__xludf.DUMMYFUNCTION("IMPORTXML(E1706,""/html/body/main/div[3]/div[3]/div[2]/ul/li[8]/span[2]/span"")"),"Loading...")</f>
        <v>Loading...</v>
      </c>
      <c r="T1706" s="4">
        <v>34.6</v>
      </c>
      <c r="U1706" s="4">
        <v>22.7</v>
      </c>
      <c r="V1706" s="4">
        <v>2.6</v>
      </c>
      <c r="W1706" s="4">
        <v>5.7</v>
      </c>
      <c r="X1706" s="4">
        <v>519.92999999999995</v>
      </c>
      <c r="Y1706" s="7" t="e">
        <f t="shared" ca="1" si="39"/>
        <v>#VALUE!</v>
      </c>
    </row>
    <row r="1707" spans="1:25" ht="15" x14ac:dyDescent="0.25">
      <c r="A1707" s="4">
        <v>1190</v>
      </c>
      <c r="C1707" s="41" t="s">
        <v>3831</v>
      </c>
      <c r="D1707" s="42"/>
      <c r="E1707" s="5" t="str">
        <f t="shared" si="35"/>
        <v>https://www.screener.in/company//consolidated/</v>
      </c>
      <c r="F1707" s="4">
        <v>443059</v>
      </c>
      <c r="G1707" s="4">
        <v>3832241897</v>
      </c>
      <c r="H1707" s="6" t="e">
        <f t="shared" ca="1" si="36"/>
        <v>#VALUE!</v>
      </c>
      <c r="I1707" s="7" t="str">
        <f ca="1">IFERROR(__xludf.DUMMYFUNCTION("IMPORTXML(E1707,""/html/body/main/div[3]/div[3]/div[2]/ul/li[5]/span[2]/span"")"),"Loading...")</f>
        <v>Loading...</v>
      </c>
      <c r="J1707" s="7" t="str">
        <f ca="1">IFERROR(__xludf.DUMMYFUNCTION("GOOGLEFINANCE(""NSE:""&amp;D1707,""marketcap"")"),"#N/A")</f>
        <v>#N/A</v>
      </c>
      <c r="K1707" s="7">
        <v>992.8</v>
      </c>
      <c r="L1707" s="8" t="str">
        <f ca="1">IFERROR(__xludf.DUMMYFUNCTION("GOOGLEFINANCE(""NSE:""&amp;D1707,""price"")"),"#N/A")</f>
        <v>#N/A</v>
      </c>
      <c r="M1707" s="9" t="e">
        <f t="shared" ca="1" si="37"/>
        <v>#VALUE!</v>
      </c>
      <c r="N1707" s="10" t="e">
        <f t="shared" ca="1" si="38"/>
        <v>#VALUE!</v>
      </c>
      <c r="O1707" s="7" t="str">
        <f ca="1">IFERROR(__xludf.DUMMYFUNCTION("GOOGLEFINANCE(""NSE:""&amp;D1707,""pe"")"),"#N/A")</f>
        <v>#N/A</v>
      </c>
      <c r="P1707" s="7" t="str">
        <f ca="1">IFERROR(__xludf.DUMMYFUNCTION("GOOGLEFINANCE(""NSE:""&amp;D1707,""EPS"")"),"#N/A")</f>
        <v>#N/A</v>
      </c>
      <c r="Q1707" s="7">
        <v>13.5</v>
      </c>
      <c r="R1707" s="7" t="str">
        <f ca="1">IFERROR(__xludf.DUMMYFUNCTION("IMPORTXML(E1707,""/html/body/main/div[3]/div[3]/div[2]/ul/li[7]/span[2]/span"")"),"Loading...")</f>
        <v>Loading...</v>
      </c>
      <c r="S1707" s="7" t="str">
        <f ca="1">IFERROR(__xludf.DUMMYFUNCTION("IMPORTXML(E1707,""/html/body/main/div[3]/div[3]/div[2]/ul/li[8]/span[2]/span"")"),"Loading...")</f>
        <v>Loading...</v>
      </c>
      <c r="T1707" s="4">
        <v>34.6</v>
      </c>
      <c r="U1707" s="4">
        <v>22.7</v>
      </c>
      <c r="V1707" s="4">
        <v>2.6</v>
      </c>
      <c r="W1707" s="4">
        <v>5.7</v>
      </c>
      <c r="X1707" s="4">
        <v>519.92999999999995</v>
      </c>
      <c r="Y1707" s="7" t="e">
        <f t="shared" ca="1" si="39"/>
        <v>#VALUE!</v>
      </c>
    </row>
    <row r="1708" spans="1:25" ht="15" x14ac:dyDescent="0.25">
      <c r="A1708" s="4">
        <v>1191</v>
      </c>
      <c r="C1708" s="41" t="s">
        <v>3832</v>
      </c>
      <c r="D1708" s="42"/>
      <c r="E1708" s="5" t="str">
        <f t="shared" si="35"/>
        <v>https://www.screener.in/company//consolidated/</v>
      </c>
      <c r="F1708" s="4">
        <v>443059</v>
      </c>
      <c r="G1708" s="4">
        <v>3832241897</v>
      </c>
      <c r="H1708" s="6" t="e">
        <f t="shared" ca="1" si="36"/>
        <v>#VALUE!</v>
      </c>
      <c r="I1708" s="7" t="str">
        <f ca="1">IFERROR(__xludf.DUMMYFUNCTION("IMPORTXML(E1708,""/html/body/main/div[3]/div[3]/div[2]/ul/li[5]/span[2]/span"")"),"Loading...")</f>
        <v>Loading...</v>
      </c>
      <c r="J1708" s="7" t="str">
        <f ca="1">IFERROR(__xludf.DUMMYFUNCTION("GOOGLEFINANCE(""NSE:""&amp;D1708,""marketcap"")"),"#N/A")</f>
        <v>#N/A</v>
      </c>
      <c r="K1708" s="7">
        <v>992.8</v>
      </c>
      <c r="L1708" s="8" t="str">
        <f ca="1">IFERROR(__xludf.DUMMYFUNCTION("GOOGLEFINANCE(""NSE:""&amp;D1708,""price"")"),"#N/A")</f>
        <v>#N/A</v>
      </c>
      <c r="M1708" s="9" t="e">
        <f t="shared" ca="1" si="37"/>
        <v>#VALUE!</v>
      </c>
      <c r="N1708" s="10" t="e">
        <f t="shared" ca="1" si="38"/>
        <v>#VALUE!</v>
      </c>
      <c r="O1708" s="7" t="str">
        <f ca="1">IFERROR(__xludf.DUMMYFUNCTION("GOOGLEFINANCE(""NSE:""&amp;D1708,""pe"")"),"#N/A")</f>
        <v>#N/A</v>
      </c>
      <c r="P1708" s="7" t="str">
        <f ca="1">IFERROR(__xludf.DUMMYFUNCTION("GOOGLEFINANCE(""NSE:""&amp;D1708,""EPS"")"),"#N/A")</f>
        <v>#N/A</v>
      </c>
      <c r="Q1708" s="7">
        <v>13.5</v>
      </c>
      <c r="R1708" s="7" t="str">
        <f ca="1">IFERROR(__xludf.DUMMYFUNCTION("IMPORTXML(E1708,""/html/body/main/div[3]/div[3]/div[2]/ul/li[7]/span[2]/span"")"),"Loading...")</f>
        <v>Loading...</v>
      </c>
      <c r="S1708" s="7" t="str">
        <f ca="1">IFERROR(__xludf.DUMMYFUNCTION("IMPORTXML(E1708,""/html/body/main/div[3]/div[3]/div[2]/ul/li[8]/span[2]/span"")"),"Loading...")</f>
        <v>Loading...</v>
      </c>
      <c r="T1708" s="4">
        <v>34.6</v>
      </c>
      <c r="U1708" s="4">
        <v>22.7</v>
      </c>
      <c r="V1708" s="4">
        <v>2.6</v>
      </c>
      <c r="W1708" s="4">
        <v>5.7</v>
      </c>
      <c r="X1708" s="4">
        <v>519.92999999999995</v>
      </c>
      <c r="Y1708" s="7" t="e">
        <f t="shared" ca="1" si="39"/>
        <v>#VALUE!</v>
      </c>
    </row>
    <row r="1709" spans="1:25" ht="15" x14ac:dyDescent="0.25">
      <c r="A1709" s="4">
        <v>1192</v>
      </c>
      <c r="C1709" s="41" t="s">
        <v>3833</v>
      </c>
      <c r="D1709" s="42"/>
      <c r="E1709" s="5" t="str">
        <f t="shared" si="35"/>
        <v>https://www.screener.in/company//consolidated/</v>
      </c>
      <c r="F1709" s="4">
        <v>443059</v>
      </c>
      <c r="G1709" s="4">
        <v>3832241897</v>
      </c>
      <c r="H1709" s="6" t="e">
        <f t="shared" ca="1" si="36"/>
        <v>#VALUE!</v>
      </c>
      <c r="I1709" s="7" t="str">
        <f ca="1">IFERROR(__xludf.DUMMYFUNCTION("IMPORTXML(E1709,""/html/body/main/div[3]/div[3]/div[2]/ul/li[5]/span[2]/span"")"),"Loading...")</f>
        <v>Loading...</v>
      </c>
      <c r="J1709" s="7" t="str">
        <f ca="1">IFERROR(__xludf.DUMMYFUNCTION("GOOGLEFINANCE(""NSE:""&amp;D1709,""marketcap"")"),"#N/A")</f>
        <v>#N/A</v>
      </c>
      <c r="K1709" s="7">
        <v>992.8</v>
      </c>
      <c r="L1709" s="8" t="str">
        <f ca="1">IFERROR(__xludf.DUMMYFUNCTION("GOOGLEFINANCE(""NSE:""&amp;D1709,""price"")"),"#N/A")</f>
        <v>#N/A</v>
      </c>
      <c r="M1709" s="9" t="e">
        <f t="shared" ca="1" si="37"/>
        <v>#VALUE!</v>
      </c>
      <c r="N1709" s="10" t="e">
        <f t="shared" ca="1" si="38"/>
        <v>#VALUE!</v>
      </c>
      <c r="O1709" s="7" t="str">
        <f ca="1">IFERROR(__xludf.DUMMYFUNCTION("GOOGLEFINANCE(""NSE:""&amp;D1709,""pe"")"),"#N/A")</f>
        <v>#N/A</v>
      </c>
      <c r="P1709" s="7" t="str">
        <f ca="1">IFERROR(__xludf.DUMMYFUNCTION("GOOGLEFINANCE(""NSE:""&amp;D1709,""EPS"")"),"#N/A")</f>
        <v>#N/A</v>
      </c>
      <c r="Q1709" s="7">
        <v>13.5</v>
      </c>
      <c r="R1709" s="7" t="str">
        <f ca="1">IFERROR(__xludf.DUMMYFUNCTION("IMPORTXML(E1709,""/html/body/main/div[3]/div[3]/div[2]/ul/li[7]/span[2]/span"")"),"Loading...")</f>
        <v>Loading...</v>
      </c>
      <c r="S1709" s="7" t="str">
        <f ca="1">IFERROR(__xludf.DUMMYFUNCTION("IMPORTXML(E1709,""/html/body/main/div[3]/div[3]/div[2]/ul/li[8]/span[2]/span"")"),"Loading...")</f>
        <v>Loading...</v>
      </c>
      <c r="T1709" s="4">
        <v>34.6</v>
      </c>
      <c r="U1709" s="4">
        <v>22.7</v>
      </c>
      <c r="V1709" s="4">
        <v>2.6</v>
      </c>
      <c r="W1709" s="4">
        <v>5.7</v>
      </c>
      <c r="X1709" s="4">
        <v>519.92999999999995</v>
      </c>
      <c r="Y1709" s="7" t="e">
        <f t="shared" ca="1" si="39"/>
        <v>#VALUE!</v>
      </c>
    </row>
    <row r="1710" spans="1:25" ht="15" x14ac:dyDescent="0.25">
      <c r="A1710" s="4">
        <v>1194</v>
      </c>
      <c r="C1710" s="41" t="s">
        <v>3834</v>
      </c>
      <c r="D1710" s="42"/>
      <c r="E1710" s="5" t="str">
        <f t="shared" si="35"/>
        <v>https://www.screener.in/company//consolidated/</v>
      </c>
      <c r="F1710" s="4">
        <v>443059</v>
      </c>
      <c r="G1710" s="4">
        <v>3832241897</v>
      </c>
      <c r="H1710" s="6" t="e">
        <f t="shared" ca="1" si="36"/>
        <v>#VALUE!</v>
      </c>
      <c r="I1710" s="7" t="str">
        <f ca="1">IFERROR(__xludf.DUMMYFUNCTION("IMPORTXML(E1710,""/html/body/main/div[3]/div[3]/div[2]/ul/li[5]/span[2]/span"")"),"Loading...")</f>
        <v>Loading...</v>
      </c>
      <c r="J1710" s="7" t="str">
        <f ca="1">IFERROR(__xludf.DUMMYFUNCTION("GOOGLEFINANCE(""NSE:""&amp;D1710,""marketcap"")"),"#N/A")</f>
        <v>#N/A</v>
      </c>
      <c r="K1710" s="7">
        <v>992.8</v>
      </c>
      <c r="L1710" s="8" t="str">
        <f ca="1">IFERROR(__xludf.DUMMYFUNCTION("GOOGLEFINANCE(""NSE:""&amp;D1710,""price"")"),"#N/A")</f>
        <v>#N/A</v>
      </c>
      <c r="M1710" s="9" t="e">
        <f t="shared" ca="1" si="37"/>
        <v>#VALUE!</v>
      </c>
      <c r="N1710" s="10" t="e">
        <f t="shared" ca="1" si="38"/>
        <v>#VALUE!</v>
      </c>
      <c r="O1710" s="7" t="str">
        <f ca="1">IFERROR(__xludf.DUMMYFUNCTION("GOOGLEFINANCE(""NSE:""&amp;D1710,""pe"")"),"#N/A")</f>
        <v>#N/A</v>
      </c>
      <c r="P1710" s="7" t="str">
        <f ca="1">IFERROR(__xludf.DUMMYFUNCTION("GOOGLEFINANCE(""NSE:""&amp;D1710,""EPS"")"),"#N/A")</f>
        <v>#N/A</v>
      </c>
      <c r="Q1710" s="7">
        <v>13.5</v>
      </c>
      <c r="R1710" s="7" t="str">
        <f ca="1">IFERROR(__xludf.DUMMYFUNCTION("IMPORTXML(E1710,""/html/body/main/div[3]/div[3]/div[2]/ul/li[7]/span[2]/span"")"),"Loading...")</f>
        <v>Loading...</v>
      </c>
      <c r="S1710" s="7" t="str">
        <f ca="1">IFERROR(__xludf.DUMMYFUNCTION("IMPORTXML(E1710,""/html/body/main/div[3]/div[3]/div[2]/ul/li[8]/span[2]/span"")"),"Loading...")</f>
        <v>Loading...</v>
      </c>
      <c r="T1710" s="4">
        <v>34.6</v>
      </c>
      <c r="U1710" s="4">
        <v>22.7</v>
      </c>
      <c r="V1710" s="4">
        <v>2.6</v>
      </c>
      <c r="W1710" s="4">
        <v>5.7</v>
      </c>
      <c r="X1710" s="4">
        <v>519.92999999999995</v>
      </c>
      <c r="Y1710" s="7" t="e">
        <f t="shared" ca="1" si="39"/>
        <v>#VALUE!</v>
      </c>
    </row>
    <row r="1711" spans="1:25" ht="15" x14ac:dyDescent="0.25">
      <c r="A1711" s="4">
        <v>1196</v>
      </c>
      <c r="C1711" s="12" t="s">
        <v>3835</v>
      </c>
      <c r="D1711" s="12" t="s">
        <v>3836</v>
      </c>
      <c r="E1711" s="5" t="str">
        <f t="shared" si="35"/>
        <v>https://www.screener.in/company/SASTASUNDR/consolidated/</v>
      </c>
      <c r="F1711" s="4">
        <v>443059</v>
      </c>
      <c r="G1711" s="4">
        <v>3832241897</v>
      </c>
      <c r="H1711" s="6">
        <f t="shared" ca="1" si="36"/>
        <v>105769.8763572</v>
      </c>
      <c r="I1711" s="7" t="str">
        <f ca="1">IFERROR(__xludf.DUMMYFUNCTION("IMPORTXML(E1711,""/html/body/main/div[3]/div[3]/div[2]/ul/li[5]/span[2]/span"")"),"Loading...")</f>
        <v>Loading...</v>
      </c>
      <c r="J1711" s="7">
        <f ca="1">IFERROR(__xludf.DUMMYFUNCTION("GOOGLEFINANCE(""NSE:""&amp;D1711,""marketcap"")"),8779698000)</f>
        <v>8779698000</v>
      </c>
      <c r="K1711" s="7">
        <v>992.8</v>
      </c>
      <c r="L1711" s="8">
        <f ca="1">IFERROR(__xludf.DUMMYFUNCTION("GOOGLEFINANCE(""NSE:""&amp;D1711,""price"")"),276)</f>
        <v>276</v>
      </c>
      <c r="M1711" s="9">
        <f t="shared" ca="1" si="37"/>
        <v>-716.8</v>
      </c>
      <c r="N1711" s="10">
        <f t="shared" ca="1" si="38"/>
        <v>-72.199838839645452</v>
      </c>
      <c r="O1711" s="7" t="str">
        <f ca="1">IFERROR(__xludf.DUMMYFUNCTION("GOOGLEFINANCE(""NSE:""&amp;D1711,""pe"")"),"#N/A")</f>
        <v>#N/A</v>
      </c>
      <c r="P1711" s="7">
        <f ca="1">IFERROR(__xludf.DUMMYFUNCTION("GOOGLEFINANCE(""NSE:""&amp;D1711,""EPS"")"),-31.05)</f>
        <v>-31.05</v>
      </c>
      <c r="Q1711" s="7">
        <v>13.5</v>
      </c>
      <c r="R1711" s="7" t="str">
        <f ca="1">IFERROR(__xludf.DUMMYFUNCTION("IMPORTXML(E1711,""/html/body/main/div[3]/div[3]/div[2]/ul/li[7]/span[2]/span"")"),"Loading...")</f>
        <v>Loading...</v>
      </c>
      <c r="S1711" s="7" t="str">
        <f ca="1">IFERROR(__xludf.DUMMYFUNCTION("IMPORTXML(E1711,""/html/body/main/div[3]/div[3]/div[2]/ul/li[8]/span[2]/span"")"),"Loading...")</f>
        <v>Loading...</v>
      </c>
      <c r="T1711" s="4">
        <v>34.6</v>
      </c>
      <c r="U1711" s="4">
        <v>22.7</v>
      </c>
      <c r="V1711" s="4">
        <v>2.6</v>
      </c>
      <c r="W1711" s="4">
        <v>5.7</v>
      </c>
      <c r="X1711" s="4">
        <v>519.92999999999995</v>
      </c>
      <c r="Y1711" s="7">
        <f t="shared" ca="1" si="39"/>
        <v>-243.92999999999995</v>
      </c>
    </row>
    <row r="1712" spans="1:25" ht="15" x14ac:dyDescent="0.25">
      <c r="A1712" s="4">
        <v>1198</v>
      </c>
      <c r="C1712" s="41" t="s">
        <v>3837</v>
      </c>
      <c r="D1712" s="42"/>
      <c r="E1712" s="5" t="str">
        <f t="shared" si="35"/>
        <v>https://www.screener.in/company//consolidated/</v>
      </c>
      <c r="F1712" s="4">
        <v>443059</v>
      </c>
      <c r="G1712" s="4">
        <v>3832241897</v>
      </c>
      <c r="H1712" s="6" t="e">
        <f t="shared" ca="1" si="36"/>
        <v>#VALUE!</v>
      </c>
      <c r="I1712" s="7" t="str">
        <f ca="1">IFERROR(__xludf.DUMMYFUNCTION("IMPORTXML(E1712,""/html/body/main/div[3]/div[3]/div[2]/ul/li[5]/span[2]/span"")"),"Loading...")</f>
        <v>Loading...</v>
      </c>
      <c r="J1712" s="7" t="str">
        <f ca="1">IFERROR(__xludf.DUMMYFUNCTION("GOOGLEFINANCE(""NSE:""&amp;D1712,""marketcap"")"),"#N/A")</f>
        <v>#N/A</v>
      </c>
      <c r="K1712" s="7">
        <v>992.8</v>
      </c>
      <c r="L1712" s="8" t="str">
        <f ca="1">IFERROR(__xludf.DUMMYFUNCTION("GOOGLEFINANCE(""NSE:""&amp;D1712,""price"")"),"#N/A")</f>
        <v>#N/A</v>
      </c>
      <c r="M1712" s="9" t="e">
        <f t="shared" ca="1" si="37"/>
        <v>#VALUE!</v>
      </c>
      <c r="N1712" s="10" t="e">
        <f t="shared" ca="1" si="38"/>
        <v>#VALUE!</v>
      </c>
      <c r="O1712" s="7" t="str">
        <f ca="1">IFERROR(__xludf.DUMMYFUNCTION("GOOGLEFINANCE(""NSE:""&amp;D1712,""pe"")"),"#N/A")</f>
        <v>#N/A</v>
      </c>
      <c r="P1712" s="7" t="str">
        <f ca="1">IFERROR(__xludf.DUMMYFUNCTION("GOOGLEFINANCE(""NSE:""&amp;D1712,""EPS"")"),"#N/A")</f>
        <v>#N/A</v>
      </c>
      <c r="Q1712" s="7">
        <v>13.5</v>
      </c>
      <c r="R1712" s="7" t="str">
        <f ca="1">IFERROR(__xludf.DUMMYFUNCTION("IMPORTXML(E1712,""/html/body/main/div[3]/div[3]/div[2]/ul/li[7]/span[2]/span"")"),"Loading...")</f>
        <v>Loading...</v>
      </c>
      <c r="S1712" s="7" t="str">
        <f ca="1">IFERROR(__xludf.DUMMYFUNCTION("IMPORTXML(E1712,""/html/body/main/div[3]/div[3]/div[2]/ul/li[8]/span[2]/span"")"),"Loading...")</f>
        <v>Loading...</v>
      </c>
      <c r="T1712" s="4">
        <v>34.6</v>
      </c>
      <c r="U1712" s="4">
        <v>22.7</v>
      </c>
      <c r="V1712" s="4">
        <v>2.6</v>
      </c>
      <c r="W1712" s="4">
        <v>5.7</v>
      </c>
      <c r="X1712" s="4">
        <v>519.92999999999995</v>
      </c>
      <c r="Y1712" s="7" t="e">
        <f t="shared" ca="1" si="39"/>
        <v>#VALUE!</v>
      </c>
    </row>
    <row r="1713" spans="1:25" ht="15" x14ac:dyDescent="0.25">
      <c r="A1713" s="4">
        <v>1204</v>
      </c>
      <c r="C1713" s="41" t="s">
        <v>3838</v>
      </c>
      <c r="D1713" s="42"/>
      <c r="E1713" s="5" t="str">
        <f t="shared" si="35"/>
        <v>https://www.screener.in/company//consolidated/</v>
      </c>
      <c r="F1713" s="4">
        <v>443059</v>
      </c>
      <c r="G1713" s="4">
        <v>3832241897</v>
      </c>
      <c r="H1713" s="6" t="e">
        <f t="shared" ca="1" si="36"/>
        <v>#VALUE!</v>
      </c>
      <c r="I1713" s="7" t="str">
        <f ca="1">IFERROR(__xludf.DUMMYFUNCTION("IMPORTXML(E1713,""/html/body/main/div[3]/div[3]/div[2]/ul/li[5]/span[2]/span"")"),"Loading...")</f>
        <v>Loading...</v>
      </c>
      <c r="J1713" s="7" t="str">
        <f ca="1">IFERROR(__xludf.DUMMYFUNCTION("GOOGLEFINANCE(""NSE:""&amp;D1713,""marketcap"")"),"#N/A")</f>
        <v>#N/A</v>
      </c>
      <c r="K1713" s="7">
        <v>992.8</v>
      </c>
      <c r="L1713" s="8" t="str">
        <f ca="1">IFERROR(__xludf.DUMMYFUNCTION("GOOGLEFINANCE(""NSE:""&amp;D1713,""price"")"),"#N/A")</f>
        <v>#N/A</v>
      </c>
      <c r="M1713" s="9" t="e">
        <f t="shared" ca="1" si="37"/>
        <v>#VALUE!</v>
      </c>
      <c r="N1713" s="10" t="e">
        <f t="shared" ca="1" si="38"/>
        <v>#VALUE!</v>
      </c>
      <c r="O1713" s="7" t="str">
        <f ca="1">IFERROR(__xludf.DUMMYFUNCTION("GOOGLEFINANCE(""NSE:""&amp;D1713,""pe"")"),"#N/A")</f>
        <v>#N/A</v>
      </c>
      <c r="P1713" s="7" t="str">
        <f ca="1">IFERROR(__xludf.DUMMYFUNCTION("GOOGLEFINANCE(""NSE:""&amp;D1713,""EPS"")"),"#N/A")</f>
        <v>#N/A</v>
      </c>
      <c r="Q1713" s="7">
        <v>13.5</v>
      </c>
      <c r="R1713" s="7" t="str">
        <f ca="1">IFERROR(__xludf.DUMMYFUNCTION("IMPORTXML(E1713,""/html/body/main/div[3]/div[3]/div[2]/ul/li[7]/span[2]/span"")"),"Loading...")</f>
        <v>Loading...</v>
      </c>
      <c r="S1713" s="7" t="str">
        <f ca="1">IFERROR(__xludf.DUMMYFUNCTION("IMPORTXML(E1713,""/html/body/main/div[3]/div[3]/div[2]/ul/li[8]/span[2]/span"")"),"Loading...")</f>
        <v>Loading...</v>
      </c>
      <c r="T1713" s="4">
        <v>34.6</v>
      </c>
      <c r="U1713" s="4">
        <v>22.7</v>
      </c>
      <c r="V1713" s="4">
        <v>2.6</v>
      </c>
      <c r="W1713" s="4">
        <v>5.7</v>
      </c>
      <c r="X1713" s="4">
        <v>519.92999999999995</v>
      </c>
      <c r="Y1713" s="7" t="e">
        <f t="shared" ca="1" si="39"/>
        <v>#VALUE!</v>
      </c>
    </row>
    <row r="1714" spans="1:25" ht="15" x14ac:dyDescent="0.25">
      <c r="A1714" s="4">
        <v>1206</v>
      </c>
      <c r="C1714" s="12" t="s">
        <v>3839</v>
      </c>
      <c r="D1714" s="12" t="s">
        <v>3840</v>
      </c>
      <c r="E1714" s="5" t="str">
        <f t="shared" si="35"/>
        <v>https://www.screener.in/company/SICALLOG/consolidated/</v>
      </c>
      <c r="F1714" s="4">
        <v>443059</v>
      </c>
      <c r="G1714" s="4">
        <v>3832241897</v>
      </c>
      <c r="H1714" s="6">
        <f t="shared" ca="1" si="36"/>
        <v>35314.109080855007</v>
      </c>
      <c r="I1714" s="7" t="str">
        <f ca="1">IFERROR(__xludf.DUMMYFUNCTION("IMPORTXML(E1714,""/html/body/main/div[3]/div[3]/div[2]/ul/li[5]/span[2]/span"")"),"Loading...")</f>
        <v>Loading...</v>
      </c>
      <c r="J1714" s="7">
        <f ca="1">IFERROR(__xludf.DUMMYFUNCTION("GOOGLEFINANCE(""NSE:""&amp;D1714,""marketcap"")"),6012702821)</f>
        <v>6012702821</v>
      </c>
      <c r="K1714" s="7">
        <v>992.8</v>
      </c>
      <c r="L1714" s="8">
        <f ca="1">IFERROR(__xludf.DUMMYFUNCTION("GOOGLEFINANCE(""NSE:""&amp;D1714,""price"")"),92.15)</f>
        <v>92.15</v>
      </c>
      <c r="M1714" s="9">
        <f t="shared" ca="1" si="37"/>
        <v>-900.65</v>
      </c>
      <c r="N1714" s="10">
        <f t="shared" ca="1" si="38"/>
        <v>-90.718170829975833</v>
      </c>
      <c r="O1714" s="7" t="str">
        <f ca="1">IFERROR(__xludf.DUMMYFUNCTION("GOOGLEFINANCE(""NSE:""&amp;D1714,""pe"")"),"#N/A")</f>
        <v>#N/A</v>
      </c>
      <c r="P1714" s="7">
        <f ca="1">IFERROR(__xludf.DUMMYFUNCTION("GOOGLEFINANCE(""NSE:""&amp;D1714,""EPS"")"),-1.84)</f>
        <v>-1.84</v>
      </c>
      <c r="Q1714" s="7">
        <v>13.5</v>
      </c>
      <c r="R1714" s="7" t="str">
        <f ca="1">IFERROR(__xludf.DUMMYFUNCTION("IMPORTXML(E1714,""/html/body/main/div[3]/div[3]/div[2]/ul/li[7]/span[2]/span"")"),"Loading...")</f>
        <v>Loading...</v>
      </c>
      <c r="S1714" s="7" t="str">
        <f ca="1">IFERROR(__xludf.DUMMYFUNCTION("IMPORTXML(E1714,""/html/body/main/div[3]/div[3]/div[2]/ul/li[8]/span[2]/span"")"),"Loading...")</f>
        <v>Loading...</v>
      </c>
      <c r="T1714" s="4">
        <v>34.6</v>
      </c>
      <c r="U1714" s="4">
        <v>22.7</v>
      </c>
      <c r="V1714" s="4">
        <v>2.6</v>
      </c>
      <c r="W1714" s="4">
        <v>5.7</v>
      </c>
      <c r="X1714" s="4">
        <v>519.92999999999995</v>
      </c>
      <c r="Y1714" s="7">
        <f t="shared" ca="1" si="39"/>
        <v>-427.78</v>
      </c>
    </row>
    <row r="1715" spans="1:25" ht="15" x14ac:dyDescent="0.25">
      <c r="A1715" s="4">
        <v>1208</v>
      </c>
      <c r="C1715" s="12" t="s">
        <v>3841</v>
      </c>
      <c r="D1715" s="12" t="s">
        <v>3842</v>
      </c>
      <c r="E1715" s="5" t="str">
        <f t="shared" si="35"/>
        <v>https://www.screener.in/company/RSWM/consolidated/</v>
      </c>
      <c r="F1715" s="4">
        <v>443059</v>
      </c>
      <c r="G1715" s="4">
        <v>3832241897</v>
      </c>
      <c r="H1715" s="6">
        <f t="shared" ca="1" si="36"/>
        <v>59246.459727619993</v>
      </c>
      <c r="I1715" s="7" t="str">
        <f ca="1">IFERROR(__xludf.DUMMYFUNCTION("IMPORTXML(E1715,""/html/body/main/div[3]/div[3]/div[2]/ul/li[5]/span[2]/span"")"),"Loading...")</f>
        <v>Loading...</v>
      </c>
      <c r="J1715" s="7">
        <f ca="1">IFERROR(__xludf.DUMMYFUNCTION("GOOGLEFINANCE(""NSE:""&amp;D1715,""marketcap"")"),7282372329)</f>
        <v>7282372329</v>
      </c>
      <c r="K1715" s="7">
        <v>992.8</v>
      </c>
      <c r="L1715" s="8">
        <f ca="1">IFERROR(__xludf.DUMMYFUNCTION("GOOGLEFINANCE(""NSE:""&amp;D1715,""price"")"),154.6)</f>
        <v>154.6</v>
      </c>
      <c r="M1715" s="9">
        <f t="shared" ca="1" si="37"/>
        <v>-838.19999999999993</v>
      </c>
      <c r="N1715" s="10">
        <f t="shared" ca="1" si="38"/>
        <v>-84.427880741337617</v>
      </c>
      <c r="O1715" s="7" t="str">
        <f ca="1">IFERROR(__xludf.DUMMYFUNCTION("GOOGLEFINANCE(""NSE:""&amp;D1715,""pe"")"),"#N/A")</f>
        <v>#N/A</v>
      </c>
      <c r="P1715" s="7">
        <f ca="1">IFERROR(__xludf.DUMMYFUNCTION("GOOGLEFINANCE(""NSE:""&amp;D1715,""EPS"")"),-3.58)</f>
        <v>-3.58</v>
      </c>
      <c r="Q1715" s="7">
        <v>13.5</v>
      </c>
      <c r="R1715" s="7" t="str">
        <f ca="1">IFERROR(__xludf.DUMMYFUNCTION("IMPORTXML(E1715,""/html/body/main/div[3]/div[3]/div[2]/ul/li[7]/span[2]/span"")"),"Loading...")</f>
        <v>Loading...</v>
      </c>
      <c r="S1715" s="7" t="str">
        <f ca="1">IFERROR(__xludf.DUMMYFUNCTION("IMPORTXML(E1715,""/html/body/main/div[3]/div[3]/div[2]/ul/li[8]/span[2]/span"")"),"Loading...")</f>
        <v>Loading...</v>
      </c>
      <c r="T1715" s="4">
        <v>34.6</v>
      </c>
      <c r="U1715" s="4">
        <v>22.7</v>
      </c>
      <c r="V1715" s="4">
        <v>2.6</v>
      </c>
      <c r="W1715" s="4">
        <v>5.7</v>
      </c>
      <c r="X1715" s="4">
        <v>519.92999999999995</v>
      </c>
      <c r="Y1715" s="7">
        <f t="shared" ca="1" si="39"/>
        <v>-365.32999999999993</v>
      </c>
    </row>
    <row r="1716" spans="1:25" ht="15" x14ac:dyDescent="0.25">
      <c r="A1716" s="4">
        <v>1210</v>
      </c>
      <c r="C1716" s="12" t="s">
        <v>3843</v>
      </c>
      <c r="D1716" s="12" t="s">
        <v>3844</v>
      </c>
      <c r="E1716" s="5" t="str">
        <f t="shared" si="35"/>
        <v>https://www.screener.in/company/ORIENTPPR/consolidated/</v>
      </c>
      <c r="F1716" s="4">
        <v>443059</v>
      </c>
      <c r="G1716" s="4">
        <v>3832241897</v>
      </c>
      <c r="H1716" s="6">
        <f t="shared" ca="1" si="36"/>
        <v>10768.599730570002</v>
      </c>
      <c r="I1716" s="7">
        <f ca="1">IFERROR(__xludf.DUMMYFUNCTION("IMPORTXML(E1716,""/html/body/main/div[3]/div[3]/div[2]/ul/li[5]/span[2]/span"")"),38.8)</f>
        <v>38.799999999999997</v>
      </c>
      <c r="J1716" s="7">
        <f ca="1">IFERROR(__xludf.DUMMYFUNCTION("GOOGLEFINANCE(""NSE:""&amp;D1716,""marketcap"")"),5947560000)</f>
        <v>5947560000</v>
      </c>
      <c r="K1716" s="7">
        <v>992.8</v>
      </c>
      <c r="L1716" s="8">
        <f ca="1">IFERROR(__xludf.DUMMYFUNCTION("GOOGLEFINANCE(""NSE:""&amp;D1716,""price"")"),28.1)</f>
        <v>28.1</v>
      </c>
      <c r="M1716" s="9">
        <f t="shared" ca="1" si="37"/>
        <v>-964.69999999999993</v>
      </c>
      <c r="N1716" s="10">
        <f t="shared" ca="1" si="38"/>
        <v>-97.169621273166797</v>
      </c>
      <c r="O1716" s="7" t="str">
        <f ca="1">IFERROR(__xludf.DUMMYFUNCTION("GOOGLEFINANCE(""NSE:""&amp;D1716,""pe"")"),"#N/A")</f>
        <v>#N/A</v>
      </c>
      <c r="P1716" s="7">
        <f ca="1">IFERROR(__xludf.DUMMYFUNCTION("GOOGLEFINANCE(""NSE:""&amp;D1716,""EPS"")"),-0.68)</f>
        <v>-0.68</v>
      </c>
      <c r="Q1716" s="7">
        <v>13.5</v>
      </c>
      <c r="R1716" s="7" t="str">
        <f ca="1">IFERROR(__xludf.DUMMYFUNCTION("IMPORTXML(E1716,""/html/body/main/div[3]/div[3]/div[2]/ul/li[7]/span[2]/span"")"),"Loading...")</f>
        <v>Loading...</v>
      </c>
      <c r="S1716" s="7" t="str">
        <f ca="1">IFERROR(__xludf.DUMMYFUNCTION("IMPORTXML(E1716,""/html/body/main/div[3]/div[3]/div[2]/ul/li[8]/span[2]/span"")"),"Loading...")</f>
        <v>Loading...</v>
      </c>
      <c r="T1716" s="4">
        <v>34.6</v>
      </c>
      <c r="U1716" s="4">
        <v>22.7</v>
      </c>
      <c r="V1716" s="4">
        <v>2.6</v>
      </c>
      <c r="W1716" s="4">
        <v>5.7</v>
      </c>
      <c r="X1716" s="4">
        <v>519.92999999999995</v>
      </c>
      <c r="Y1716" s="7">
        <f t="shared" ca="1" si="39"/>
        <v>-491.82999999999993</v>
      </c>
    </row>
    <row r="1717" spans="1:25" ht="15" x14ac:dyDescent="0.25">
      <c r="A1717" s="4">
        <v>1215</v>
      </c>
      <c r="C1717" s="41" t="s">
        <v>3845</v>
      </c>
      <c r="D1717" s="42"/>
      <c r="E1717" s="5" t="str">
        <f t="shared" si="35"/>
        <v>https://www.screener.in/company//consolidated/</v>
      </c>
      <c r="F1717" s="4">
        <v>443059</v>
      </c>
      <c r="G1717" s="4">
        <v>3832241897</v>
      </c>
      <c r="H1717" s="6" t="e">
        <f t="shared" ca="1" si="36"/>
        <v>#VALUE!</v>
      </c>
      <c r="I1717" s="7" t="str">
        <f ca="1">IFERROR(__xludf.DUMMYFUNCTION("IMPORTXML(E1717,""/html/body/main/div[3]/div[3]/div[2]/ul/li[5]/span[2]/span"")"),"Loading...")</f>
        <v>Loading...</v>
      </c>
      <c r="J1717" s="7" t="str">
        <f ca="1">IFERROR(__xludf.DUMMYFUNCTION("GOOGLEFINANCE(""NSE:""&amp;D1717,""marketcap"")"),"#N/A")</f>
        <v>#N/A</v>
      </c>
      <c r="K1717" s="7">
        <v>992.8</v>
      </c>
      <c r="L1717" s="8" t="str">
        <f ca="1">IFERROR(__xludf.DUMMYFUNCTION("GOOGLEFINANCE(""NSE:""&amp;D1717,""price"")"),"#N/A")</f>
        <v>#N/A</v>
      </c>
      <c r="M1717" s="9" t="e">
        <f t="shared" ca="1" si="37"/>
        <v>#VALUE!</v>
      </c>
      <c r="N1717" s="10" t="e">
        <f t="shared" ca="1" si="38"/>
        <v>#VALUE!</v>
      </c>
      <c r="O1717" s="7" t="str">
        <f ca="1">IFERROR(__xludf.DUMMYFUNCTION("GOOGLEFINANCE(""NSE:""&amp;D1717,""pe"")"),"#N/A")</f>
        <v>#N/A</v>
      </c>
      <c r="P1717" s="7" t="str">
        <f ca="1">IFERROR(__xludf.DUMMYFUNCTION("GOOGLEFINANCE(""NSE:""&amp;D1717,""EPS"")"),"#N/A")</f>
        <v>#N/A</v>
      </c>
      <c r="Q1717" s="7">
        <v>13.5</v>
      </c>
      <c r="R1717" s="7" t="str">
        <f ca="1">IFERROR(__xludf.DUMMYFUNCTION("IMPORTXML(E1717,""/html/body/main/div[3]/div[3]/div[2]/ul/li[7]/span[2]/span"")"),"Loading...")</f>
        <v>Loading...</v>
      </c>
      <c r="S1717" s="7" t="str">
        <f ca="1">IFERROR(__xludf.DUMMYFUNCTION("IMPORTXML(E1717,""/html/body/main/div[3]/div[3]/div[2]/ul/li[8]/span[2]/span"")"),"Loading...")</f>
        <v>Loading...</v>
      </c>
      <c r="T1717" s="4">
        <v>34.6</v>
      </c>
      <c r="U1717" s="4">
        <v>22.7</v>
      </c>
      <c r="V1717" s="4">
        <v>2.6</v>
      </c>
      <c r="W1717" s="4">
        <v>5.7</v>
      </c>
      <c r="X1717" s="4">
        <v>519.92999999999995</v>
      </c>
      <c r="Y1717" s="7" t="e">
        <f t="shared" ca="1" si="39"/>
        <v>#VALUE!</v>
      </c>
    </row>
    <row r="1718" spans="1:25" ht="15" x14ac:dyDescent="0.25">
      <c r="A1718" s="4">
        <v>1216</v>
      </c>
      <c r="C1718" s="41" t="s">
        <v>3846</v>
      </c>
      <c r="D1718" s="42"/>
      <c r="E1718" s="5" t="str">
        <f t="shared" si="35"/>
        <v>https://www.screener.in/company//consolidated/</v>
      </c>
      <c r="F1718" s="4">
        <v>443059</v>
      </c>
      <c r="G1718" s="4">
        <v>3832241897</v>
      </c>
      <c r="H1718" s="6" t="e">
        <f t="shared" ca="1" si="36"/>
        <v>#VALUE!</v>
      </c>
      <c r="I1718" s="7" t="str">
        <f ca="1">IFERROR(__xludf.DUMMYFUNCTION("IMPORTXML(E1718,""/html/body/main/div[3]/div[3]/div[2]/ul/li[5]/span[2]/span"")"),"Loading...")</f>
        <v>Loading...</v>
      </c>
      <c r="J1718" s="7" t="str">
        <f ca="1">IFERROR(__xludf.DUMMYFUNCTION("GOOGLEFINANCE(""NSE:""&amp;D1718,""marketcap"")"),"#N/A")</f>
        <v>#N/A</v>
      </c>
      <c r="K1718" s="7">
        <v>992.8</v>
      </c>
      <c r="L1718" s="8" t="str">
        <f ca="1">IFERROR(__xludf.DUMMYFUNCTION("GOOGLEFINANCE(""NSE:""&amp;D1718,""price"")"),"#N/A")</f>
        <v>#N/A</v>
      </c>
      <c r="M1718" s="9" t="e">
        <f t="shared" ca="1" si="37"/>
        <v>#VALUE!</v>
      </c>
      <c r="N1718" s="10" t="e">
        <f t="shared" ca="1" si="38"/>
        <v>#VALUE!</v>
      </c>
      <c r="O1718" s="7" t="str">
        <f ca="1">IFERROR(__xludf.DUMMYFUNCTION("GOOGLEFINANCE(""NSE:""&amp;D1718,""pe"")"),"#N/A")</f>
        <v>#N/A</v>
      </c>
      <c r="P1718" s="7" t="str">
        <f ca="1">IFERROR(__xludf.DUMMYFUNCTION("GOOGLEFINANCE(""NSE:""&amp;D1718,""EPS"")"),"#N/A")</f>
        <v>#N/A</v>
      </c>
      <c r="Q1718" s="7">
        <v>13.5</v>
      </c>
      <c r="R1718" s="7" t="str">
        <f ca="1">IFERROR(__xludf.DUMMYFUNCTION("IMPORTXML(E1718,""/html/body/main/div[3]/div[3]/div[2]/ul/li[7]/span[2]/span"")"),"Loading...")</f>
        <v>Loading...</v>
      </c>
      <c r="S1718" s="7" t="str">
        <f ca="1">IFERROR(__xludf.DUMMYFUNCTION("IMPORTXML(E1718,""/html/body/main/div[3]/div[3]/div[2]/ul/li[8]/span[2]/span"")"),"Loading...")</f>
        <v>Loading...</v>
      </c>
      <c r="T1718" s="4">
        <v>34.6</v>
      </c>
      <c r="U1718" s="4">
        <v>22.7</v>
      </c>
      <c r="V1718" s="4">
        <v>2.6</v>
      </c>
      <c r="W1718" s="4">
        <v>5.7</v>
      </c>
      <c r="X1718" s="4">
        <v>519.92999999999995</v>
      </c>
      <c r="Y1718" s="7" t="e">
        <f t="shared" ca="1" si="39"/>
        <v>#VALUE!</v>
      </c>
    </row>
    <row r="1719" spans="1:25" ht="15" x14ac:dyDescent="0.25">
      <c r="A1719" s="4">
        <v>1217</v>
      </c>
      <c r="C1719" s="41" t="s">
        <v>3847</v>
      </c>
      <c r="D1719" s="42"/>
      <c r="E1719" s="5" t="str">
        <f t="shared" si="35"/>
        <v>https://www.screener.in/company//consolidated/</v>
      </c>
      <c r="F1719" s="4">
        <v>443059</v>
      </c>
      <c r="G1719" s="4">
        <v>3832241897</v>
      </c>
      <c r="H1719" s="6" t="e">
        <f t="shared" ca="1" si="36"/>
        <v>#VALUE!</v>
      </c>
      <c r="I1719" s="7" t="str">
        <f ca="1">IFERROR(__xludf.DUMMYFUNCTION("IMPORTXML(E1719,""/html/body/main/div[3]/div[3]/div[2]/ul/li[5]/span[2]/span"")"),"Loading...")</f>
        <v>Loading...</v>
      </c>
      <c r="J1719" s="7" t="str">
        <f ca="1">IFERROR(__xludf.DUMMYFUNCTION("GOOGLEFINANCE(""NSE:""&amp;D1719,""marketcap"")"),"#N/A")</f>
        <v>#N/A</v>
      </c>
      <c r="K1719" s="7">
        <v>992.8</v>
      </c>
      <c r="L1719" s="8" t="str">
        <f ca="1">IFERROR(__xludf.DUMMYFUNCTION("GOOGLEFINANCE(""NSE:""&amp;D1719,""price"")"),"#N/A")</f>
        <v>#N/A</v>
      </c>
      <c r="M1719" s="9" t="e">
        <f t="shared" ca="1" si="37"/>
        <v>#VALUE!</v>
      </c>
      <c r="N1719" s="10" t="e">
        <f t="shared" ca="1" si="38"/>
        <v>#VALUE!</v>
      </c>
      <c r="O1719" s="7" t="str">
        <f ca="1">IFERROR(__xludf.DUMMYFUNCTION("GOOGLEFINANCE(""NSE:""&amp;D1719,""pe"")"),"#N/A")</f>
        <v>#N/A</v>
      </c>
      <c r="P1719" s="7" t="str">
        <f ca="1">IFERROR(__xludf.DUMMYFUNCTION("GOOGLEFINANCE(""NSE:""&amp;D1719,""EPS"")"),"#N/A")</f>
        <v>#N/A</v>
      </c>
      <c r="Q1719" s="7">
        <v>13.5</v>
      </c>
      <c r="R1719" s="7" t="str">
        <f ca="1">IFERROR(__xludf.DUMMYFUNCTION("IMPORTXML(E1719,""/html/body/main/div[3]/div[3]/div[2]/ul/li[7]/span[2]/span"")"),"Loading...")</f>
        <v>Loading...</v>
      </c>
      <c r="S1719" s="7" t="str">
        <f ca="1">IFERROR(__xludf.DUMMYFUNCTION("IMPORTXML(E1719,""/html/body/main/div[3]/div[3]/div[2]/ul/li[8]/span[2]/span"")"),"Loading...")</f>
        <v>Loading...</v>
      </c>
      <c r="T1719" s="4">
        <v>34.6</v>
      </c>
      <c r="U1719" s="4">
        <v>22.7</v>
      </c>
      <c r="V1719" s="4">
        <v>2.6</v>
      </c>
      <c r="W1719" s="4">
        <v>5.7</v>
      </c>
      <c r="X1719" s="4">
        <v>519.92999999999995</v>
      </c>
      <c r="Y1719" s="7" t="e">
        <f t="shared" ca="1" si="39"/>
        <v>#VALUE!</v>
      </c>
    </row>
    <row r="1720" spans="1:25" ht="15" x14ac:dyDescent="0.25">
      <c r="A1720" s="4">
        <v>1220</v>
      </c>
      <c r="C1720" s="41" t="s">
        <v>3848</v>
      </c>
      <c r="D1720" s="42"/>
      <c r="E1720" s="5" t="str">
        <f t="shared" si="35"/>
        <v>https://www.screener.in/company//consolidated/</v>
      </c>
      <c r="F1720" s="4">
        <v>443059</v>
      </c>
      <c r="G1720" s="4">
        <v>3832241897</v>
      </c>
      <c r="H1720" s="6" t="e">
        <f t="shared" ca="1" si="36"/>
        <v>#VALUE!</v>
      </c>
      <c r="I1720" s="7" t="str">
        <f ca="1">IFERROR(__xludf.DUMMYFUNCTION("IMPORTXML(E1720,""/html/body/main/div[3]/div[3]/div[2]/ul/li[5]/span[2]/span"")"),"Loading...")</f>
        <v>Loading...</v>
      </c>
      <c r="J1720" s="7" t="str">
        <f ca="1">IFERROR(__xludf.DUMMYFUNCTION("GOOGLEFINANCE(""NSE:""&amp;D1720,""marketcap"")"),"#N/A")</f>
        <v>#N/A</v>
      </c>
      <c r="K1720" s="7">
        <v>992.8</v>
      </c>
      <c r="L1720" s="8" t="str">
        <f ca="1">IFERROR(__xludf.DUMMYFUNCTION("GOOGLEFINANCE(""NSE:""&amp;D1720,""price"")"),"#N/A")</f>
        <v>#N/A</v>
      </c>
      <c r="M1720" s="9" t="e">
        <f t="shared" ca="1" si="37"/>
        <v>#VALUE!</v>
      </c>
      <c r="N1720" s="10" t="e">
        <f t="shared" ca="1" si="38"/>
        <v>#VALUE!</v>
      </c>
      <c r="O1720" s="7" t="str">
        <f ca="1">IFERROR(__xludf.DUMMYFUNCTION("GOOGLEFINANCE(""NSE:""&amp;D1720,""pe"")"),"#N/A")</f>
        <v>#N/A</v>
      </c>
      <c r="P1720" s="7" t="str">
        <f ca="1">IFERROR(__xludf.DUMMYFUNCTION("GOOGLEFINANCE(""NSE:""&amp;D1720,""EPS"")"),"#N/A")</f>
        <v>#N/A</v>
      </c>
      <c r="Q1720" s="7">
        <v>13.5</v>
      </c>
      <c r="R1720" s="7" t="str">
        <f ca="1">IFERROR(__xludf.DUMMYFUNCTION("IMPORTXML(E1720,""/html/body/main/div[3]/div[3]/div[2]/ul/li[7]/span[2]/span"")"),"Loading...")</f>
        <v>Loading...</v>
      </c>
      <c r="S1720" s="7" t="str">
        <f ca="1">IFERROR(__xludf.DUMMYFUNCTION("IMPORTXML(E1720,""/html/body/main/div[3]/div[3]/div[2]/ul/li[8]/span[2]/span"")"),"Loading...")</f>
        <v>Loading...</v>
      </c>
      <c r="T1720" s="4">
        <v>34.6</v>
      </c>
      <c r="U1720" s="4">
        <v>22.7</v>
      </c>
      <c r="V1720" s="4">
        <v>2.6</v>
      </c>
      <c r="W1720" s="4">
        <v>5.7</v>
      </c>
      <c r="X1720" s="4">
        <v>519.92999999999995</v>
      </c>
      <c r="Y1720" s="7" t="e">
        <f t="shared" ca="1" si="39"/>
        <v>#VALUE!</v>
      </c>
    </row>
    <row r="1721" spans="1:25" ht="15" x14ac:dyDescent="0.25">
      <c r="A1721" s="4">
        <v>1224</v>
      </c>
      <c r="C1721" s="41" t="s">
        <v>3849</v>
      </c>
      <c r="D1721" s="42"/>
      <c r="E1721" s="5" t="str">
        <f t="shared" si="35"/>
        <v>https://www.screener.in/company//consolidated/</v>
      </c>
      <c r="F1721" s="4">
        <v>443059</v>
      </c>
      <c r="G1721" s="4">
        <v>3832241897</v>
      </c>
      <c r="H1721" s="6" t="e">
        <f t="shared" ca="1" si="36"/>
        <v>#VALUE!</v>
      </c>
      <c r="I1721" s="7" t="str">
        <f ca="1">IFERROR(__xludf.DUMMYFUNCTION("IMPORTXML(E1721,""/html/body/main/div[3]/div[3]/div[2]/ul/li[5]/span[2]/span"")"),"Loading...")</f>
        <v>Loading...</v>
      </c>
      <c r="J1721" s="7" t="str">
        <f ca="1">IFERROR(__xludf.DUMMYFUNCTION("GOOGLEFINANCE(""NSE:""&amp;D1721,""marketcap"")"),"#N/A")</f>
        <v>#N/A</v>
      </c>
      <c r="K1721" s="7">
        <v>992.8</v>
      </c>
      <c r="L1721" s="8" t="str">
        <f ca="1">IFERROR(__xludf.DUMMYFUNCTION("GOOGLEFINANCE(""NSE:""&amp;D1721,""price"")"),"#N/A")</f>
        <v>#N/A</v>
      </c>
      <c r="M1721" s="9" t="e">
        <f t="shared" ca="1" si="37"/>
        <v>#VALUE!</v>
      </c>
      <c r="N1721" s="10" t="e">
        <f t="shared" ca="1" si="38"/>
        <v>#VALUE!</v>
      </c>
      <c r="O1721" s="7" t="str">
        <f ca="1">IFERROR(__xludf.DUMMYFUNCTION("GOOGLEFINANCE(""NSE:""&amp;D1721,""pe"")"),"#N/A")</f>
        <v>#N/A</v>
      </c>
      <c r="P1721" s="7" t="str">
        <f ca="1">IFERROR(__xludf.DUMMYFUNCTION("GOOGLEFINANCE(""NSE:""&amp;D1721,""EPS"")"),"#N/A")</f>
        <v>#N/A</v>
      </c>
      <c r="Q1721" s="7">
        <v>13.5</v>
      </c>
      <c r="R1721" s="7" t="str">
        <f ca="1">IFERROR(__xludf.DUMMYFUNCTION("IMPORTXML(E1721,""/html/body/main/div[3]/div[3]/div[2]/ul/li[7]/span[2]/span"")"),"Loading...")</f>
        <v>Loading...</v>
      </c>
      <c r="S1721" s="7" t="str">
        <f ca="1">IFERROR(__xludf.DUMMYFUNCTION("IMPORTXML(E1721,""/html/body/main/div[3]/div[3]/div[2]/ul/li[8]/span[2]/span"")"),"Loading...")</f>
        <v>Loading...</v>
      </c>
      <c r="T1721" s="4">
        <v>34.6</v>
      </c>
      <c r="U1721" s="4">
        <v>22.7</v>
      </c>
      <c r="V1721" s="4">
        <v>2.6</v>
      </c>
      <c r="W1721" s="4">
        <v>5.7</v>
      </c>
      <c r="X1721" s="4">
        <v>519.92999999999995</v>
      </c>
      <c r="Y1721" s="7" t="e">
        <f t="shared" ca="1" si="39"/>
        <v>#VALUE!</v>
      </c>
    </row>
    <row r="1722" spans="1:25" ht="15" x14ac:dyDescent="0.25">
      <c r="A1722" s="4">
        <v>1225</v>
      </c>
      <c r="C1722" s="41" t="s">
        <v>3850</v>
      </c>
      <c r="D1722" s="42"/>
      <c r="E1722" s="5" t="str">
        <f t="shared" si="35"/>
        <v>https://www.screener.in/company//consolidated/</v>
      </c>
      <c r="F1722" s="4">
        <v>443059</v>
      </c>
      <c r="G1722" s="4">
        <v>3832241897</v>
      </c>
      <c r="H1722" s="6" t="e">
        <f t="shared" ca="1" si="36"/>
        <v>#VALUE!</v>
      </c>
      <c r="I1722" s="7" t="str">
        <f ca="1">IFERROR(__xludf.DUMMYFUNCTION("IMPORTXML(E1722,""/html/body/main/div[3]/div[3]/div[2]/ul/li[5]/span[2]/span"")"),"Loading...")</f>
        <v>Loading...</v>
      </c>
      <c r="J1722" s="7" t="str">
        <f ca="1">IFERROR(__xludf.DUMMYFUNCTION("GOOGLEFINANCE(""NSE:""&amp;D1722,""marketcap"")"),"#N/A")</f>
        <v>#N/A</v>
      </c>
      <c r="K1722" s="7">
        <v>992.8</v>
      </c>
      <c r="L1722" s="8" t="str">
        <f ca="1">IFERROR(__xludf.DUMMYFUNCTION("GOOGLEFINANCE(""NSE:""&amp;D1722,""price"")"),"#N/A")</f>
        <v>#N/A</v>
      </c>
      <c r="M1722" s="9" t="e">
        <f t="shared" ca="1" si="37"/>
        <v>#VALUE!</v>
      </c>
      <c r="N1722" s="10" t="e">
        <f t="shared" ca="1" si="38"/>
        <v>#VALUE!</v>
      </c>
      <c r="O1722" s="7" t="str">
        <f ca="1">IFERROR(__xludf.DUMMYFUNCTION("GOOGLEFINANCE(""NSE:""&amp;D1722,""pe"")"),"#N/A")</f>
        <v>#N/A</v>
      </c>
      <c r="P1722" s="7" t="str">
        <f ca="1">IFERROR(__xludf.DUMMYFUNCTION("GOOGLEFINANCE(""NSE:""&amp;D1722,""EPS"")"),"#N/A")</f>
        <v>#N/A</v>
      </c>
      <c r="Q1722" s="7">
        <v>13.5</v>
      </c>
      <c r="R1722" s="7" t="str">
        <f ca="1">IFERROR(__xludf.DUMMYFUNCTION("IMPORTXML(E1722,""/html/body/main/div[3]/div[3]/div[2]/ul/li[7]/span[2]/span"")"),"Loading...")</f>
        <v>Loading...</v>
      </c>
      <c r="S1722" s="7" t="str">
        <f ca="1">IFERROR(__xludf.DUMMYFUNCTION("IMPORTXML(E1722,""/html/body/main/div[3]/div[3]/div[2]/ul/li[8]/span[2]/span"")"),"Loading...")</f>
        <v>Loading...</v>
      </c>
      <c r="T1722" s="4">
        <v>34.6</v>
      </c>
      <c r="U1722" s="4">
        <v>22.7</v>
      </c>
      <c r="V1722" s="4">
        <v>2.6</v>
      </c>
      <c r="W1722" s="4">
        <v>5.7</v>
      </c>
      <c r="X1722" s="4">
        <v>519.92999999999995</v>
      </c>
      <c r="Y1722" s="7" t="e">
        <f t="shared" ca="1" si="39"/>
        <v>#VALUE!</v>
      </c>
    </row>
    <row r="1723" spans="1:25" ht="15" x14ac:dyDescent="0.25">
      <c r="A1723" s="4">
        <v>1232</v>
      </c>
      <c r="C1723" s="41" t="s">
        <v>3851</v>
      </c>
      <c r="D1723" s="42"/>
      <c r="E1723" s="5" t="str">
        <f t="shared" si="35"/>
        <v>https://www.screener.in/company//consolidated/</v>
      </c>
      <c r="F1723" s="4">
        <v>443059</v>
      </c>
      <c r="G1723" s="4">
        <v>3832241897</v>
      </c>
      <c r="H1723" s="6" t="e">
        <f t="shared" ca="1" si="36"/>
        <v>#VALUE!</v>
      </c>
      <c r="I1723" s="7" t="str">
        <f ca="1">IFERROR(__xludf.DUMMYFUNCTION("IMPORTXML(E1723,""/html/body/main/div[3]/div[3]/div[2]/ul/li[5]/span[2]/span"")"),"Loading...")</f>
        <v>Loading...</v>
      </c>
      <c r="J1723" s="7" t="str">
        <f ca="1">IFERROR(__xludf.DUMMYFUNCTION("GOOGLEFINANCE(""NSE:""&amp;D1723,""marketcap"")"),"#N/A")</f>
        <v>#N/A</v>
      </c>
      <c r="K1723" s="7">
        <v>992.8</v>
      </c>
      <c r="L1723" s="8" t="str">
        <f ca="1">IFERROR(__xludf.DUMMYFUNCTION("GOOGLEFINANCE(""NSE:""&amp;D1723,""price"")"),"#N/A")</f>
        <v>#N/A</v>
      </c>
      <c r="M1723" s="9" t="e">
        <f t="shared" ca="1" si="37"/>
        <v>#VALUE!</v>
      </c>
      <c r="N1723" s="10" t="e">
        <f t="shared" ca="1" si="38"/>
        <v>#VALUE!</v>
      </c>
      <c r="O1723" s="7" t="str">
        <f ca="1">IFERROR(__xludf.DUMMYFUNCTION("GOOGLEFINANCE(""NSE:""&amp;D1723,""pe"")"),"#N/A")</f>
        <v>#N/A</v>
      </c>
      <c r="P1723" s="7" t="str">
        <f ca="1">IFERROR(__xludf.DUMMYFUNCTION("GOOGLEFINANCE(""NSE:""&amp;D1723,""EPS"")"),"#N/A")</f>
        <v>#N/A</v>
      </c>
      <c r="Q1723" s="7">
        <v>13.5</v>
      </c>
      <c r="R1723" s="7" t="str">
        <f ca="1">IFERROR(__xludf.DUMMYFUNCTION("IMPORTXML(E1723,""/html/body/main/div[3]/div[3]/div[2]/ul/li[7]/span[2]/span"")"),"Loading...")</f>
        <v>Loading...</v>
      </c>
      <c r="S1723" s="7" t="str">
        <f ca="1">IFERROR(__xludf.DUMMYFUNCTION("IMPORTXML(E1723,""/html/body/main/div[3]/div[3]/div[2]/ul/li[8]/span[2]/span"")"),"Loading...")</f>
        <v>Loading...</v>
      </c>
      <c r="T1723" s="4">
        <v>34.6</v>
      </c>
      <c r="U1723" s="4">
        <v>22.7</v>
      </c>
      <c r="V1723" s="4">
        <v>2.6</v>
      </c>
      <c r="W1723" s="4">
        <v>5.7</v>
      </c>
      <c r="X1723" s="4">
        <v>519.92999999999995</v>
      </c>
      <c r="Y1723" s="7" t="e">
        <f t="shared" ca="1" si="39"/>
        <v>#VALUE!</v>
      </c>
    </row>
    <row r="1724" spans="1:25" ht="15" x14ac:dyDescent="0.25">
      <c r="A1724" s="4">
        <v>1235</v>
      </c>
      <c r="C1724" s="41" t="s">
        <v>3852</v>
      </c>
      <c r="D1724" s="42"/>
      <c r="E1724" s="5" t="str">
        <f t="shared" si="35"/>
        <v>https://www.screener.in/company//consolidated/</v>
      </c>
      <c r="F1724" s="4">
        <v>443059</v>
      </c>
      <c r="G1724" s="4">
        <v>3832241897</v>
      </c>
      <c r="H1724" s="6" t="e">
        <f t="shared" ca="1" si="36"/>
        <v>#VALUE!</v>
      </c>
      <c r="I1724" s="7" t="str">
        <f ca="1">IFERROR(__xludf.DUMMYFUNCTION("IMPORTXML(E1724,""/html/body/main/div[3]/div[3]/div[2]/ul/li[5]/span[2]/span"")"),"Loading...")</f>
        <v>Loading...</v>
      </c>
      <c r="J1724" s="7" t="str">
        <f ca="1">IFERROR(__xludf.DUMMYFUNCTION("GOOGLEFINANCE(""NSE:""&amp;D1724,""marketcap"")"),"#N/A")</f>
        <v>#N/A</v>
      </c>
      <c r="K1724" s="7">
        <v>992.8</v>
      </c>
      <c r="L1724" s="8" t="str">
        <f ca="1">IFERROR(__xludf.DUMMYFUNCTION("GOOGLEFINANCE(""NSE:""&amp;D1724,""price"")"),"#N/A")</f>
        <v>#N/A</v>
      </c>
      <c r="M1724" s="9" t="e">
        <f t="shared" ca="1" si="37"/>
        <v>#VALUE!</v>
      </c>
      <c r="N1724" s="10" t="e">
        <f t="shared" ca="1" si="38"/>
        <v>#VALUE!</v>
      </c>
      <c r="O1724" s="7" t="str">
        <f ca="1">IFERROR(__xludf.DUMMYFUNCTION("GOOGLEFINANCE(""NSE:""&amp;D1724,""pe"")"),"#N/A")</f>
        <v>#N/A</v>
      </c>
      <c r="P1724" s="7" t="str">
        <f ca="1">IFERROR(__xludf.DUMMYFUNCTION("GOOGLEFINANCE(""NSE:""&amp;D1724,""EPS"")"),"#N/A")</f>
        <v>#N/A</v>
      </c>
      <c r="Q1724" s="7">
        <v>13.5</v>
      </c>
      <c r="R1724" s="7" t="str">
        <f ca="1">IFERROR(__xludf.DUMMYFUNCTION("IMPORTXML(E1724,""/html/body/main/div[3]/div[3]/div[2]/ul/li[7]/span[2]/span"")"),"Loading...")</f>
        <v>Loading...</v>
      </c>
      <c r="S1724" s="7" t="str">
        <f ca="1">IFERROR(__xludf.DUMMYFUNCTION("IMPORTXML(E1724,""/html/body/main/div[3]/div[3]/div[2]/ul/li[8]/span[2]/span"")"),"Loading...")</f>
        <v>Loading...</v>
      </c>
      <c r="T1724" s="4">
        <v>34.6</v>
      </c>
      <c r="U1724" s="4">
        <v>22.7</v>
      </c>
      <c r="V1724" s="4">
        <v>2.6</v>
      </c>
      <c r="W1724" s="4">
        <v>5.7</v>
      </c>
      <c r="X1724" s="4">
        <v>519.92999999999995</v>
      </c>
      <c r="Y1724" s="7" t="e">
        <f t="shared" ca="1" si="39"/>
        <v>#VALUE!</v>
      </c>
    </row>
    <row r="1725" spans="1:25" ht="15" x14ac:dyDescent="0.25">
      <c r="A1725" s="4">
        <v>1236</v>
      </c>
      <c r="C1725" s="41" t="s">
        <v>3853</v>
      </c>
      <c r="D1725" s="42"/>
      <c r="E1725" s="5" t="str">
        <f t="shared" si="35"/>
        <v>https://www.screener.in/company//consolidated/</v>
      </c>
      <c r="F1725" s="4">
        <v>443059</v>
      </c>
      <c r="G1725" s="4">
        <v>3832241897</v>
      </c>
      <c r="H1725" s="6" t="e">
        <f t="shared" ca="1" si="36"/>
        <v>#VALUE!</v>
      </c>
      <c r="I1725" s="7" t="str">
        <f ca="1">IFERROR(__xludf.DUMMYFUNCTION("IMPORTXML(E1725,""/html/body/main/div[3]/div[3]/div[2]/ul/li[5]/span[2]/span"")"),"Loading...")</f>
        <v>Loading...</v>
      </c>
      <c r="J1725" s="7" t="str">
        <f ca="1">IFERROR(__xludf.DUMMYFUNCTION("GOOGLEFINANCE(""NSE:""&amp;D1725,""marketcap"")"),"#N/A")</f>
        <v>#N/A</v>
      </c>
      <c r="K1725" s="7">
        <v>992.8</v>
      </c>
      <c r="L1725" s="8" t="str">
        <f ca="1">IFERROR(__xludf.DUMMYFUNCTION("GOOGLEFINANCE(""NSE:""&amp;D1725,""price"")"),"#N/A")</f>
        <v>#N/A</v>
      </c>
      <c r="M1725" s="9" t="e">
        <f t="shared" ca="1" si="37"/>
        <v>#VALUE!</v>
      </c>
      <c r="N1725" s="10" t="e">
        <f t="shared" ca="1" si="38"/>
        <v>#VALUE!</v>
      </c>
      <c r="O1725" s="7" t="str">
        <f ca="1">IFERROR(__xludf.DUMMYFUNCTION("GOOGLEFINANCE(""NSE:""&amp;D1725,""pe"")"),"#N/A")</f>
        <v>#N/A</v>
      </c>
      <c r="P1725" s="7" t="str">
        <f ca="1">IFERROR(__xludf.DUMMYFUNCTION("GOOGLEFINANCE(""NSE:""&amp;D1725,""EPS"")"),"#N/A")</f>
        <v>#N/A</v>
      </c>
      <c r="Q1725" s="7">
        <v>13.5</v>
      </c>
      <c r="R1725" s="7" t="str">
        <f ca="1">IFERROR(__xludf.DUMMYFUNCTION("IMPORTXML(E1725,""/html/body/main/div[3]/div[3]/div[2]/ul/li[7]/span[2]/span"")"),"Loading...")</f>
        <v>Loading...</v>
      </c>
      <c r="S1725" s="7" t="str">
        <f ca="1">IFERROR(__xludf.DUMMYFUNCTION("IMPORTXML(E1725,""/html/body/main/div[3]/div[3]/div[2]/ul/li[8]/span[2]/span"")"),"Loading...")</f>
        <v>Loading...</v>
      </c>
      <c r="T1725" s="4">
        <v>34.6</v>
      </c>
      <c r="U1725" s="4">
        <v>22.7</v>
      </c>
      <c r="V1725" s="4">
        <v>2.6</v>
      </c>
      <c r="W1725" s="4">
        <v>5.7</v>
      </c>
      <c r="X1725" s="4">
        <v>519.92999999999995</v>
      </c>
      <c r="Y1725" s="7" t="e">
        <f t="shared" ca="1" si="39"/>
        <v>#VALUE!</v>
      </c>
    </row>
    <row r="1726" spans="1:25" ht="15" x14ac:dyDescent="0.25">
      <c r="A1726" s="4">
        <v>1239</v>
      </c>
      <c r="C1726" s="41" t="s">
        <v>3854</v>
      </c>
      <c r="D1726" s="42"/>
      <c r="E1726" s="5" t="str">
        <f t="shared" si="35"/>
        <v>https://www.screener.in/company//consolidated/</v>
      </c>
      <c r="F1726" s="4">
        <v>443059</v>
      </c>
      <c r="G1726" s="4">
        <v>3832241897</v>
      </c>
      <c r="H1726" s="6" t="e">
        <f t="shared" ca="1" si="36"/>
        <v>#VALUE!</v>
      </c>
      <c r="I1726" s="7" t="str">
        <f ca="1">IFERROR(__xludf.DUMMYFUNCTION("IMPORTXML(E1726,""/html/body/main/div[3]/div[3]/div[2]/ul/li[5]/span[2]/span"")"),"Loading...")</f>
        <v>Loading...</v>
      </c>
      <c r="J1726" s="7" t="str">
        <f ca="1">IFERROR(__xludf.DUMMYFUNCTION("GOOGLEFINANCE(""NSE:""&amp;D1726,""marketcap"")"),"#N/A")</f>
        <v>#N/A</v>
      </c>
      <c r="K1726" s="7">
        <v>992.8</v>
      </c>
      <c r="L1726" s="8" t="str">
        <f ca="1">IFERROR(__xludf.DUMMYFUNCTION("GOOGLEFINANCE(""NSE:""&amp;D1726,""price"")"),"#N/A")</f>
        <v>#N/A</v>
      </c>
      <c r="M1726" s="9" t="e">
        <f t="shared" ca="1" si="37"/>
        <v>#VALUE!</v>
      </c>
      <c r="N1726" s="10" t="e">
        <f t="shared" ca="1" si="38"/>
        <v>#VALUE!</v>
      </c>
      <c r="O1726" s="7" t="str">
        <f ca="1">IFERROR(__xludf.DUMMYFUNCTION("GOOGLEFINANCE(""NSE:""&amp;D1726,""pe"")"),"#N/A")</f>
        <v>#N/A</v>
      </c>
      <c r="P1726" s="7" t="str">
        <f ca="1">IFERROR(__xludf.DUMMYFUNCTION("GOOGLEFINANCE(""NSE:""&amp;D1726,""EPS"")"),"#N/A")</f>
        <v>#N/A</v>
      </c>
      <c r="Q1726" s="7">
        <v>13.5</v>
      </c>
      <c r="R1726" s="7" t="str">
        <f ca="1">IFERROR(__xludf.DUMMYFUNCTION("IMPORTXML(E1726,""/html/body/main/div[3]/div[3]/div[2]/ul/li[7]/span[2]/span"")"),"Loading...")</f>
        <v>Loading...</v>
      </c>
      <c r="S1726" s="7" t="str">
        <f ca="1">IFERROR(__xludf.DUMMYFUNCTION("IMPORTXML(E1726,""/html/body/main/div[3]/div[3]/div[2]/ul/li[8]/span[2]/span"")"),"Loading...")</f>
        <v>Loading...</v>
      </c>
      <c r="T1726" s="4">
        <v>34.6</v>
      </c>
      <c r="U1726" s="4">
        <v>22.7</v>
      </c>
      <c r="V1726" s="4">
        <v>2.6</v>
      </c>
      <c r="W1726" s="4">
        <v>5.7</v>
      </c>
      <c r="X1726" s="4">
        <v>519.92999999999995</v>
      </c>
      <c r="Y1726" s="7" t="e">
        <f t="shared" ca="1" si="39"/>
        <v>#VALUE!</v>
      </c>
    </row>
    <row r="1727" spans="1:25" ht="15" x14ac:dyDescent="0.25">
      <c r="A1727" s="4">
        <v>1240</v>
      </c>
      <c r="C1727" s="12" t="s">
        <v>3855</v>
      </c>
      <c r="D1727" s="12" t="s">
        <v>3856</v>
      </c>
      <c r="E1727" s="5" t="str">
        <f t="shared" si="35"/>
        <v>https://www.screener.in/company/SARVESHWAR/consolidated/</v>
      </c>
      <c r="F1727" s="4">
        <v>443059</v>
      </c>
      <c r="G1727" s="4">
        <v>3832241897</v>
      </c>
      <c r="H1727" s="6">
        <f t="shared" ca="1" si="36"/>
        <v>2889.510390338</v>
      </c>
      <c r="I1727" s="7" t="str">
        <f ca="1">IFERROR(__xludf.DUMMYFUNCTION("IMPORTXML(E1727,""/html/body/main/div[3]/div[3]/div[2]/ul/li[5]/span[2]/span"")"),"Loading...")</f>
        <v>Loading...</v>
      </c>
      <c r="J1727" s="7">
        <f ca="1">IFERROR(__xludf.DUMMYFUNCTION("GOOGLEFINANCE(""NSE:""&amp;D1727,""marketcap"")"),9264513168)</f>
        <v>9264513168</v>
      </c>
      <c r="K1727" s="7">
        <v>992.8</v>
      </c>
      <c r="L1727" s="8">
        <f ca="1">IFERROR(__xludf.DUMMYFUNCTION("GOOGLEFINANCE(""NSE:""&amp;D1727,""price"")"),7.54)</f>
        <v>7.54</v>
      </c>
      <c r="M1727" s="9">
        <f t="shared" ca="1" si="37"/>
        <v>-985.26</v>
      </c>
      <c r="N1727" s="10">
        <f t="shared" ca="1" si="38"/>
        <v>-99.240531829170038</v>
      </c>
      <c r="O1727" s="7" t="str">
        <f ca="1">IFERROR(__xludf.DUMMYFUNCTION("GOOGLEFINANCE(""NSE:""&amp;D1727,""pe"")"),"#N/A")</f>
        <v>#N/A</v>
      </c>
      <c r="P1727" s="7" t="str">
        <f ca="1">IFERROR(__xludf.DUMMYFUNCTION("GOOGLEFINANCE(""NSE:""&amp;D1727,""EPS"")"),"#N/A")</f>
        <v>#N/A</v>
      </c>
      <c r="Q1727" s="7">
        <v>13.5</v>
      </c>
      <c r="R1727" s="7" t="str">
        <f ca="1">IFERROR(__xludf.DUMMYFUNCTION("IMPORTXML(E1727,""/html/body/main/div[3]/div[3]/div[2]/ul/li[7]/span[2]/span"")"),"Loading...")</f>
        <v>Loading...</v>
      </c>
      <c r="S1727" s="7" t="str">
        <f ca="1">IFERROR(__xludf.DUMMYFUNCTION("IMPORTXML(E1727,""/html/body/main/div[3]/div[3]/div[2]/ul/li[8]/span[2]/span"")"),"Loading...")</f>
        <v>Loading...</v>
      </c>
      <c r="T1727" s="4">
        <v>34.6</v>
      </c>
      <c r="U1727" s="4">
        <v>22.7</v>
      </c>
      <c r="V1727" s="4">
        <v>2.6</v>
      </c>
      <c r="W1727" s="4">
        <v>5.7</v>
      </c>
      <c r="X1727" s="4">
        <v>519.92999999999995</v>
      </c>
      <c r="Y1727" s="7">
        <f t="shared" ca="1" si="39"/>
        <v>-512.39</v>
      </c>
    </row>
    <row r="1728" spans="1:25" ht="15" x14ac:dyDescent="0.25">
      <c r="A1728" s="4">
        <v>1242</v>
      </c>
      <c r="C1728" s="41" t="s">
        <v>3857</v>
      </c>
      <c r="D1728" s="42"/>
      <c r="E1728" s="5" t="str">
        <f t="shared" si="35"/>
        <v>https://www.screener.in/company//consolidated/</v>
      </c>
      <c r="F1728" s="4">
        <v>443059</v>
      </c>
      <c r="G1728" s="4">
        <v>3832241897</v>
      </c>
      <c r="H1728" s="6" t="e">
        <f t="shared" ca="1" si="36"/>
        <v>#VALUE!</v>
      </c>
      <c r="I1728" s="7" t="str">
        <f ca="1">IFERROR(__xludf.DUMMYFUNCTION("IMPORTXML(E1728,""/html/body/main/div[3]/div[3]/div[2]/ul/li[5]/span[2]/span"")"),"Loading...")</f>
        <v>Loading...</v>
      </c>
      <c r="J1728" s="7" t="str">
        <f ca="1">IFERROR(__xludf.DUMMYFUNCTION("GOOGLEFINANCE(""NSE:""&amp;D1728,""marketcap"")"),"#N/A")</f>
        <v>#N/A</v>
      </c>
      <c r="K1728" s="7">
        <v>992.8</v>
      </c>
      <c r="L1728" s="8" t="str">
        <f ca="1">IFERROR(__xludf.DUMMYFUNCTION("GOOGLEFINANCE(""NSE:""&amp;D1728,""price"")"),"#N/A")</f>
        <v>#N/A</v>
      </c>
      <c r="M1728" s="9" t="e">
        <f t="shared" ca="1" si="37"/>
        <v>#VALUE!</v>
      </c>
      <c r="N1728" s="10" t="e">
        <f t="shared" ca="1" si="38"/>
        <v>#VALUE!</v>
      </c>
      <c r="O1728" s="7" t="str">
        <f ca="1">IFERROR(__xludf.DUMMYFUNCTION("GOOGLEFINANCE(""NSE:""&amp;D1728,""pe"")"),"#N/A")</f>
        <v>#N/A</v>
      </c>
      <c r="P1728" s="7" t="str">
        <f ca="1">IFERROR(__xludf.DUMMYFUNCTION("GOOGLEFINANCE(""NSE:""&amp;D1728,""EPS"")"),"#N/A")</f>
        <v>#N/A</v>
      </c>
      <c r="Q1728" s="7">
        <v>13.5</v>
      </c>
      <c r="R1728" s="7" t="str">
        <f ca="1">IFERROR(__xludf.DUMMYFUNCTION("IMPORTXML(E1728,""/html/body/main/div[3]/div[3]/div[2]/ul/li[7]/span[2]/span"")"),"Loading...")</f>
        <v>Loading...</v>
      </c>
      <c r="S1728" s="7" t="str">
        <f ca="1">IFERROR(__xludf.DUMMYFUNCTION("IMPORTXML(E1728,""/html/body/main/div[3]/div[3]/div[2]/ul/li[8]/span[2]/span"")"),"Loading...")</f>
        <v>Loading...</v>
      </c>
      <c r="T1728" s="4">
        <v>34.6</v>
      </c>
      <c r="U1728" s="4">
        <v>22.7</v>
      </c>
      <c r="V1728" s="4">
        <v>2.6</v>
      </c>
      <c r="W1728" s="4">
        <v>5.7</v>
      </c>
      <c r="X1728" s="4">
        <v>519.92999999999995</v>
      </c>
      <c r="Y1728" s="7" t="e">
        <f t="shared" ca="1" si="39"/>
        <v>#VALUE!</v>
      </c>
    </row>
    <row r="1729" spans="1:25" ht="15" x14ac:dyDescent="0.25">
      <c r="A1729" s="4">
        <v>1246</v>
      </c>
      <c r="C1729" s="12" t="s">
        <v>3858</v>
      </c>
      <c r="D1729" s="12" t="s">
        <v>3859</v>
      </c>
      <c r="E1729" s="5" t="str">
        <f t="shared" si="35"/>
        <v>https://www.screener.in/company/TRACXN/consolidated/</v>
      </c>
      <c r="F1729" s="4">
        <v>443059</v>
      </c>
      <c r="G1729" s="4">
        <v>3832241897</v>
      </c>
      <c r="H1729" s="6">
        <f t="shared" ca="1" si="36"/>
        <v>19253.183290527999</v>
      </c>
      <c r="I1729" s="7" t="str">
        <f ca="1">IFERROR(__xludf.DUMMYFUNCTION("IMPORTXML(E1729,""/html/body/main/div[3]/div[3]/div[2]/ul/li[5]/span[2]/span"")"),"Loading...")</f>
        <v>Loading...</v>
      </c>
      <c r="J1729" s="7">
        <f ca="1">IFERROR(__xludf.DUMMYFUNCTION("GOOGLEFINANCE(""NSE:""&amp;D1729,""marketcap"")"),5389848192)</f>
        <v>5389848192</v>
      </c>
      <c r="K1729" s="7">
        <v>992.8</v>
      </c>
      <c r="L1729" s="8">
        <f ca="1">IFERROR(__xludf.DUMMYFUNCTION("GOOGLEFINANCE(""NSE:""&amp;D1729,""price"")"),50.24)</f>
        <v>50.24</v>
      </c>
      <c r="M1729" s="9">
        <f t="shared" ca="1" si="37"/>
        <v>-942.56</v>
      </c>
      <c r="N1729" s="10">
        <f t="shared" ca="1" si="38"/>
        <v>-94.939564867042705</v>
      </c>
      <c r="O1729" s="7" t="str">
        <f ca="1">IFERROR(__xludf.DUMMYFUNCTION("GOOGLEFINANCE(""NSE:""&amp;D1729,""pe"")"),"#N/A")</f>
        <v>#N/A</v>
      </c>
      <c r="P1729" s="7">
        <f ca="1">IFERROR(__xludf.DUMMYFUNCTION("GOOGLEFINANCE(""NSE:""&amp;D1729,""EPS"")"),-0.91)</f>
        <v>-0.91</v>
      </c>
      <c r="Q1729" s="7">
        <v>13.5</v>
      </c>
      <c r="R1729" s="7" t="str">
        <f ca="1">IFERROR(__xludf.DUMMYFUNCTION("IMPORTXML(E1729,""/html/body/main/div[3]/div[3]/div[2]/ul/li[7]/span[2]/span"")"),"Loading...")</f>
        <v>Loading...</v>
      </c>
      <c r="S1729" s="7" t="str">
        <f ca="1">IFERROR(__xludf.DUMMYFUNCTION("IMPORTXML(E1729,""/html/body/main/div[3]/div[3]/div[2]/ul/li[8]/span[2]/span"")"),"Loading...")</f>
        <v>Loading...</v>
      </c>
      <c r="T1729" s="4">
        <v>34.6</v>
      </c>
      <c r="U1729" s="4">
        <v>22.7</v>
      </c>
      <c r="V1729" s="4">
        <v>2.6</v>
      </c>
      <c r="W1729" s="4">
        <v>5.7</v>
      </c>
      <c r="X1729" s="4">
        <v>519.92999999999995</v>
      </c>
      <c r="Y1729" s="7">
        <f t="shared" ca="1" si="39"/>
        <v>-469.68999999999994</v>
      </c>
    </row>
    <row r="1730" spans="1:25" ht="15" x14ac:dyDescent="0.25">
      <c r="A1730" s="4">
        <v>1250</v>
      </c>
      <c r="C1730" s="12" t="s">
        <v>3860</v>
      </c>
      <c r="D1730" s="12" t="s">
        <v>3861</v>
      </c>
      <c r="E1730" s="5" t="str">
        <f t="shared" si="35"/>
        <v>https://www.screener.in/company/GARUDA/consolidated/</v>
      </c>
      <c r="F1730" s="4">
        <v>443059</v>
      </c>
      <c r="G1730" s="4">
        <v>3832241897</v>
      </c>
      <c r="H1730" s="6">
        <f t="shared" ca="1" si="36"/>
        <v>78101.089860860011</v>
      </c>
      <c r="I1730" s="7" t="str">
        <f ca="1">IFERROR(__xludf.DUMMYFUNCTION("IMPORTXML(E1730,""/html/body/main/div[3]/div[3]/div[2]/ul/li[5]/span[2]/span"")"),"Loading...")</f>
        <v>Loading...</v>
      </c>
      <c r="J1730" s="7">
        <f ca="1">IFERROR(__xludf.DUMMYFUNCTION("GOOGLEFINANCE(""NSE:""&amp;D1730,""marketcap"")"),18862894389)</f>
        <v>18862894389</v>
      </c>
      <c r="K1730" s="7">
        <v>992.8</v>
      </c>
      <c r="L1730" s="8">
        <f ca="1">IFERROR(__xludf.DUMMYFUNCTION("GOOGLEFINANCE(""NSE:""&amp;D1730,""price"")"),203.8)</f>
        <v>203.8</v>
      </c>
      <c r="M1730" s="9">
        <f t="shared" ca="1" si="37"/>
        <v>-789</v>
      </c>
      <c r="N1730" s="10">
        <f t="shared" ca="1" si="38"/>
        <v>-79.472199838839657</v>
      </c>
      <c r="O1730" s="7">
        <f ca="1">IFERROR(__xludf.DUMMYFUNCTION("GOOGLEFINANCE(""NSE:""&amp;D1730,""pe"")"),27.24)</f>
        <v>27.24</v>
      </c>
      <c r="P1730" s="7">
        <f ca="1">IFERROR(__xludf.DUMMYFUNCTION("GOOGLEFINANCE(""NSE:""&amp;D1730,""EPS"")"),7.48)</f>
        <v>7.48</v>
      </c>
      <c r="Q1730" s="7">
        <v>13.5</v>
      </c>
      <c r="R1730" s="7" t="str">
        <f ca="1">IFERROR(__xludf.DUMMYFUNCTION("IMPORTXML(E1730,""/html/body/main/div[3]/div[3]/div[2]/ul/li[7]/span[2]/span"")"),"Loading...")</f>
        <v>Loading...</v>
      </c>
      <c r="S1730" s="7" t="str">
        <f ca="1">IFERROR(__xludf.DUMMYFUNCTION("IMPORTXML(E1730,""/html/body/main/div[3]/div[3]/div[2]/ul/li[8]/span[2]/span"")"),"Loading...")</f>
        <v>Loading...</v>
      </c>
      <c r="T1730" s="4">
        <v>34.6</v>
      </c>
      <c r="U1730" s="4">
        <v>22.7</v>
      </c>
      <c r="V1730" s="4">
        <v>2.6</v>
      </c>
      <c r="W1730" s="4">
        <v>5.7</v>
      </c>
      <c r="X1730" s="4">
        <v>519.92999999999995</v>
      </c>
      <c r="Y1730" s="7">
        <f t="shared" ca="1" si="39"/>
        <v>-316.12999999999994</v>
      </c>
    </row>
    <row r="1731" spans="1:25" ht="15" x14ac:dyDescent="0.25">
      <c r="A1731" s="4">
        <v>1251</v>
      </c>
      <c r="C1731" s="12" t="s">
        <v>3862</v>
      </c>
      <c r="D1731" s="12" t="s">
        <v>3863</v>
      </c>
      <c r="E1731" s="5" t="str">
        <f t="shared" si="35"/>
        <v>https://www.screener.in/company/VISAKAIND/consolidated/</v>
      </c>
      <c r="F1731" s="4">
        <v>443059</v>
      </c>
      <c r="G1731" s="4">
        <v>3832241897</v>
      </c>
      <c r="H1731" s="6">
        <f t="shared" ca="1" si="36"/>
        <v>32179.335209108998</v>
      </c>
      <c r="I1731" s="7" t="str">
        <f ca="1">IFERROR(__xludf.DUMMYFUNCTION("IMPORTXML(E1731,""/html/body/main/div[3]/div[3]/div[2]/ul/li[5]/span[2]/span"")"),"Loading...")</f>
        <v>Loading...</v>
      </c>
      <c r="J1731" s="7">
        <f ca="1">IFERROR(__xludf.DUMMYFUNCTION("GOOGLEFINANCE(""NSE:""&amp;D1731,""marketcap"")"),7279594360)</f>
        <v>7279594360</v>
      </c>
      <c r="K1731" s="7">
        <v>992.8</v>
      </c>
      <c r="L1731" s="8">
        <f ca="1">IFERROR(__xludf.DUMMYFUNCTION("GOOGLEFINANCE(""NSE:""&amp;D1731,""price"")"),83.97)</f>
        <v>83.97</v>
      </c>
      <c r="M1731" s="9">
        <f t="shared" ca="1" si="37"/>
        <v>-908.82999999999993</v>
      </c>
      <c r="N1731" s="10">
        <f t="shared" ca="1" si="38"/>
        <v>-91.542103142626914</v>
      </c>
      <c r="O1731" s="7">
        <f ca="1">IFERROR(__xludf.DUMMYFUNCTION("GOOGLEFINANCE(""NSE:""&amp;D1731,""pe"")"),18.5)</f>
        <v>18.5</v>
      </c>
      <c r="P1731" s="7">
        <f ca="1">IFERROR(__xludf.DUMMYFUNCTION("GOOGLEFINANCE(""NSE:""&amp;D1731,""EPS"")"),4.54)</f>
        <v>4.54</v>
      </c>
      <c r="Q1731" s="7">
        <v>13.5</v>
      </c>
      <c r="R1731" s="7" t="str">
        <f ca="1">IFERROR(__xludf.DUMMYFUNCTION("IMPORTXML(E1731,""/html/body/main/div[3]/div[3]/div[2]/ul/li[7]/span[2]/span"")"),"Loading...")</f>
        <v>Loading...</v>
      </c>
      <c r="S1731" s="7" t="str">
        <f ca="1">IFERROR(__xludf.DUMMYFUNCTION("IMPORTXML(E1731,""/html/body/main/div[3]/div[3]/div[2]/ul/li[8]/span[2]/span"")"),"Loading...")</f>
        <v>Loading...</v>
      </c>
      <c r="T1731" s="4">
        <v>34.6</v>
      </c>
      <c r="U1731" s="4">
        <v>22.7</v>
      </c>
      <c r="V1731" s="4">
        <v>2.6</v>
      </c>
      <c r="W1731" s="4">
        <v>5.7</v>
      </c>
      <c r="X1731" s="4">
        <v>519.92999999999995</v>
      </c>
      <c r="Y1731" s="7">
        <f t="shared" ca="1" si="39"/>
        <v>-435.95999999999992</v>
      </c>
    </row>
    <row r="1732" spans="1:25" ht="15" x14ac:dyDescent="0.25">
      <c r="A1732" s="4">
        <v>1252</v>
      </c>
      <c r="C1732" s="41" t="s">
        <v>3864</v>
      </c>
      <c r="D1732" s="42"/>
      <c r="E1732" s="5" t="str">
        <f t="shared" si="35"/>
        <v>https://www.screener.in/company//consolidated/</v>
      </c>
      <c r="F1732" s="4">
        <v>443059</v>
      </c>
      <c r="G1732" s="4">
        <v>3832241897</v>
      </c>
      <c r="H1732" s="6" t="e">
        <f t="shared" ca="1" si="36"/>
        <v>#VALUE!</v>
      </c>
      <c r="I1732" s="7" t="str">
        <f ca="1">IFERROR(__xludf.DUMMYFUNCTION("IMPORTXML(E1732,""/html/body/main/div[3]/div[3]/div[2]/ul/li[5]/span[2]/span"")"),"Loading...")</f>
        <v>Loading...</v>
      </c>
      <c r="J1732" s="7" t="str">
        <f ca="1">IFERROR(__xludf.DUMMYFUNCTION("GOOGLEFINANCE(""NSE:""&amp;D1732,""marketcap"")"),"#N/A")</f>
        <v>#N/A</v>
      </c>
      <c r="K1732" s="7">
        <v>992.8</v>
      </c>
      <c r="L1732" s="8" t="str">
        <f ca="1">IFERROR(__xludf.DUMMYFUNCTION("GOOGLEFINANCE(""NSE:""&amp;D1732,""price"")"),"#N/A")</f>
        <v>#N/A</v>
      </c>
      <c r="M1732" s="9" t="e">
        <f t="shared" ca="1" si="37"/>
        <v>#VALUE!</v>
      </c>
      <c r="N1732" s="10" t="e">
        <f t="shared" ca="1" si="38"/>
        <v>#VALUE!</v>
      </c>
      <c r="O1732" s="7" t="str">
        <f ca="1">IFERROR(__xludf.DUMMYFUNCTION("GOOGLEFINANCE(""NSE:""&amp;D1732,""pe"")"),"#N/A")</f>
        <v>#N/A</v>
      </c>
      <c r="P1732" s="7" t="str">
        <f ca="1">IFERROR(__xludf.DUMMYFUNCTION("GOOGLEFINANCE(""NSE:""&amp;D1732,""EPS"")"),"#N/A")</f>
        <v>#N/A</v>
      </c>
      <c r="Q1732" s="7">
        <v>13.5</v>
      </c>
      <c r="R1732" s="7" t="str">
        <f ca="1">IFERROR(__xludf.DUMMYFUNCTION("IMPORTXML(E1732,""/html/body/main/div[3]/div[3]/div[2]/ul/li[7]/span[2]/span"")"),"Loading...")</f>
        <v>Loading...</v>
      </c>
      <c r="S1732" s="7" t="str">
        <f ca="1">IFERROR(__xludf.DUMMYFUNCTION("IMPORTXML(E1732,""/html/body/main/div[3]/div[3]/div[2]/ul/li[8]/span[2]/span"")"),"Loading...")</f>
        <v>Loading...</v>
      </c>
      <c r="T1732" s="4">
        <v>34.6</v>
      </c>
      <c r="U1732" s="4">
        <v>22.7</v>
      </c>
      <c r="V1732" s="4">
        <v>2.6</v>
      </c>
      <c r="W1732" s="4">
        <v>5.7</v>
      </c>
      <c r="X1732" s="4">
        <v>519.92999999999995</v>
      </c>
      <c r="Y1732" s="7" t="e">
        <f t="shared" ca="1" si="39"/>
        <v>#VALUE!</v>
      </c>
    </row>
    <row r="1733" spans="1:25" ht="15" x14ac:dyDescent="0.25">
      <c r="A1733" s="4">
        <v>1253</v>
      </c>
      <c r="C1733" s="41" t="s">
        <v>3865</v>
      </c>
      <c r="D1733" s="42"/>
      <c r="E1733" s="5" t="str">
        <f t="shared" si="35"/>
        <v>https://www.screener.in/company//consolidated/</v>
      </c>
      <c r="F1733" s="4">
        <v>443059</v>
      </c>
      <c r="G1733" s="4">
        <v>3832241897</v>
      </c>
      <c r="H1733" s="6" t="e">
        <f t="shared" ca="1" si="36"/>
        <v>#VALUE!</v>
      </c>
      <c r="I1733" s="7" t="str">
        <f ca="1">IFERROR(__xludf.DUMMYFUNCTION("IMPORTXML(E1733,""/html/body/main/div[3]/div[3]/div[2]/ul/li[5]/span[2]/span"")"),"Loading...")</f>
        <v>Loading...</v>
      </c>
      <c r="J1733" s="7" t="str">
        <f ca="1">IFERROR(__xludf.DUMMYFUNCTION("GOOGLEFINANCE(""NSE:""&amp;D1733,""marketcap"")"),"#N/A")</f>
        <v>#N/A</v>
      </c>
      <c r="K1733" s="7">
        <v>992.8</v>
      </c>
      <c r="L1733" s="8" t="str">
        <f ca="1">IFERROR(__xludf.DUMMYFUNCTION("GOOGLEFINANCE(""NSE:""&amp;D1733,""price"")"),"#N/A")</f>
        <v>#N/A</v>
      </c>
      <c r="M1733" s="9" t="e">
        <f t="shared" ca="1" si="37"/>
        <v>#VALUE!</v>
      </c>
      <c r="N1733" s="10" t="e">
        <f t="shared" ca="1" si="38"/>
        <v>#VALUE!</v>
      </c>
      <c r="O1733" s="7" t="str">
        <f ca="1">IFERROR(__xludf.DUMMYFUNCTION("GOOGLEFINANCE(""NSE:""&amp;D1733,""pe"")"),"#N/A")</f>
        <v>#N/A</v>
      </c>
      <c r="P1733" s="7" t="str">
        <f ca="1">IFERROR(__xludf.DUMMYFUNCTION("GOOGLEFINANCE(""NSE:""&amp;D1733,""EPS"")"),"#N/A")</f>
        <v>#N/A</v>
      </c>
      <c r="Q1733" s="7">
        <v>13.5</v>
      </c>
      <c r="R1733" s="7" t="str">
        <f ca="1">IFERROR(__xludf.DUMMYFUNCTION("IMPORTXML(E1733,""/html/body/main/div[3]/div[3]/div[2]/ul/li[7]/span[2]/span"")"),"Loading...")</f>
        <v>Loading...</v>
      </c>
      <c r="S1733" s="7" t="str">
        <f ca="1">IFERROR(__xludf.DUMMYFUNCTION("IMPORTXML(E1733,""/html/body/main/div[3]/div[3]/div[2]/ul/li[8]/span[2]/span"")"),"Loading...")</f>
        <v>Loading...</v>
      </c>
      <c r="T1733" s="4">
        <v>34.6</v>
      </c>
      <c r="U1733" s="4">
        <v>22.7</v>
      </c>
      <c r="V1733" s="4">
        <v>2.6</v>
      </c>
      <c r="W1733" s="4">
        <v>5.7</v>
      </c>
      <c r="X1733" s="4">
        <v>519.92999999999995</v>
      </c>
      <c r="Y1733" s="7" t="e">
        <f t="shared" ca="1" si="39"/>
        <v>#VALUE!</v>
      </c>
    </row>
    <row r="1734" spans="1:25" ht="15" x14ac:dyDescent="0.25">
      <c r="A1734" s="4">
        <v>1256</v>
      </c>
      <c r="C1734" s="12" t="s">
        <v>3866</v>
      </c>
      <c r="D1734" s="12" t="s">
        <v>3867</v>
      </c>
      <c r="E1734" s="5" t="str">
        <f t="shared" si="35"/>
        <v>https://www.screener.in/company/UGARSUGAR/consolidated/</v>
      </c>
      <c r="F1734" s="4">
        <v>443059</v>
      </c>
      <c r="G1734" s="4">
        <v>3832241897</v>
      </c>
      <c r="H1734" s="6">
        <f t="shared" ca="1" si="36"/>
        <v>17340.894583925001</v>
      </c>
      <c r="I1734" s="7" t="str">
        <f ca="1">IFERROR(__xludf.DUMMYFUNCTION("IMPORTXML(E1734,""/html/body/main/div[3]/div[3]/div[2]/ul/li[5]/span[2]/span"")"),"Loading...")</f>
        <v>Loading...</v>
      </c>
      <c r="J1734" s="7">
        <f ca="1">IFERROR(__xludf.DUMMYFUNCTION("GOOGLEFINANCE(""NSE:""&amp;D1734,""marketcap"")"),5090625000)</f>
        <v>5090625000</v>
      </c>
      <c r="K1734" s="7">
        <v>992.8</v>
      </c>
      <c r="L1734" s="8">
        <f ca="1">IFERROR(__xludf.DUMMYFUNCTION("GOOGLEFINANCE(""NSE:""&amp;D1734,""price"")"),45.25)</f>
        <v>45.25</v>
      </c>
      <c r="M1734" s="9">
        <f t="shared" ca="1" si="37"/>
        <v>-947.55</v>
      </c>
      <c r="N1734" s="10">
        <f t="shared" ca="1" si="38"/>
        <v>-95.442183722804188</v>
      </c>
      <c r="O1734" s="7" t="str">
        <f ca="1">IFERROR(__xludf.DUMMYFUNCTION("GOOGLEFINANCE(""NSE:""&amp;D1734,""pe"")"),"#N/A")</f>
        <v>#N/A</v>
      </c>
      <c r="P1734" s="7">
        <f ca="1">IFERROR(__xludf.DUMMYFUNCTION("GOOGLEFINANCE(""NSE:""&amp;D1734,""EPS"")"),-1.63)</f>
        <v>-1.63</v>
      </c>
      <c r="Q1734" s="7">
        <v>13.5</v>
      </c>
      <c r="R1734" s="7" t="str">
        <f ca="1">IFERROR(__xludf.DUMMYFUNCTION("IMPORTXML(E1734,""/html/body/main/div[3]/div[3]/div[2]/ul/li[7]/span[2]/span"")"),"Loading...")</f>
        <v>Loading...</v>
      </c>
      <c r="S1734" s="7" t="str">
        <f ca="1">IFERROR(__xludf.DUMMYFUNCTION("IMPORTXML(E1734,""/html/body/main/div[3]/div[3]/div[2]/ul/li[8]/span[2]/span"")"),"Loading...")</f>
        <v>Loading...</v>
      </c>
      <c r="T1734" s="4">
        <v>34.6</v>
      </c>
      <c r="U1734" s="4">
        <v>22.7</v>
      </c>
      <c r="V1734" s="4">
        <v>2.6</v>
      </c>
      <c r="W1734" s="4">
        <v>5.7</v>
      </c>
      <c r="X1734" s="4">
        <v>519.92999999999995</v>
      </c>
      <c r="Y1734" s="7">
        <f t="shared" ca="1" si="39"/>
        <v>-474.67999999999995</v>
      </c>
    </row>
    <row r="1735" spans="1:25" ht="15" x14ac:dyDescent="0.25">
      <c r="A1735" s="4">
        <v>1263</v>
      </c>
      <c r="C1735" s="41" t="s">
        <v>3868</v>
      </c>
      <c r="D1735" s="42"/>
      <c r="E1735" s="5" t="str">
        <f t="shared" si="35"/>
        <v>https://www.screener.in/company//consolidated/</v>
      </c>
      <c r="F1735" s="4">
        <v>443059</v>
      </c>
      <c r="G1735" s="4">
        <v>3832241897</v>
      </c>
      <c r="H1735" s="6" t="e">
        <f t="shared" ca="1" si="36"/>
        <v>#VALUE!</v>
      </c>
      <c r="I1735" s="7" t="str">
        <f ca="1">IFERROR(__xludf.DUMMYFUNCTION("IMPORTXML(E1735,""/html/body/main/div[3]/div[3]/div[2]/ul/li[5]/span[2]/span"")"),"Loading...")</f>
        <v>Loading...</v>
      </c>
      <c r="J1735" s="7" t="str">
        <f ca="1">IFERROR(__xludf.DUMMYFUNCTION("GOOGLEFINANCE(""NSE:""&amp;D1735,""marketcap"")"),"#N/A")</f>
        <v>#N/A</v>
      </c>
      <c r="K1735" s="7">
        <v>992.8</v>
      </c>
      <c r="L1735" s="8" t="str">
        <f ca="1">IFERROR(__xludf.DUMMYFUNCTION("GOOGLEFINANCE(""NSE:""&amp;D1735,""price"")"),"#N/A")</f>
        <v>#N/A</v>
      </c>
      <c r="M1735" s="9" t="e">
        <f t="shared" ca="1" si="37"/>
        <v>#VALUE!</v>
      </c>
      <c r="N1735" s="10" t="e">
        <f t="shared" ca="1" si="38"/>
        <v>#VALUE!</v>
      </c>
      <c r="O1735" s="7" t="str">
        <f ca="1">IFERROR(__xludf.DUMMYFUNCTION("GOOGLEFINANCE(""NSE:""&amp;D1735,""pe"")"),"#N/A")</f>
        <v>#N/A</v>
      </c>
      <c r="P1735" s="7" t="str">
        <f ca="1">IFERROR(__xludf.DUMMYFUNCTION("GOOGLEFINANCE(""NSE:""&amp;D1735,""EPS"")"),"#N/A")</f>
        <v>#N/A</v>
      </c>
      <c r="Q1735" s="7">
        <v>13.5</v>
      </c>
      <c r="R1735" s="7" t="str">
        <f ca="1">IFERROR(__xludf.DUMMYFUNCTION("IMPORTXML(E1735,""/html/body/main/div[3]/div[3]/div[2]/ul/li[7]/span[2]/span"")"),"Loading...")</f>
        <v>Loading...</v>
      </c>
      <c r="S1735" s="7" t="str">
        <f ca="1">IFERROR(__xludf.DUMMYFUNCTION("IMPORTXML(E1735,""/html/body/main/div[3]/div[3]/div[2]/ul/li[8]/span[2]/span"")"),"Loading...")</f>
        <v>Loading...</v>
      </c>
      <c r="T1735" s="4">
        <v>34.6</v>
      </c>
      <c r="U1735" s="4">
        <v>22.7</v>
      </c>
      <c r="V1735" s="4">
        <v>2.6</v>
      </c>
      <c r="W1735" s="4">
        <v>5.7</v>
      </c>
      <c r="X1735" s="4">
        <v>519.92999999999995</v>
      </c>
      <c r="Y1735" s="7" t="e">
        <f t="shared" ca="1" si="39"/>
        <v>#VALUE!</v>
      </c>
    </row>
    <row r="1736" spans="1:25" ht="15" x14ac:dyDescent="0.25">
      <c r="A1736" s="4">
        <v>1269</v>
      </c>
      <c r="C1736" s="41" t="s">
        <v>3869</v>
      </c>
      <c r="D1736" s="42"/>
      <c r="E1736" s="5" t="str">
        <f t="shared" si="35"/>
        <v>https://www.screener.in/company//consolidated/</v>
      </c>
      <c r="F1736" s="4">
        <v>443059</v>
      </c>
      <c r="G1736" s="4">
        <v>3832241897</v>
      </c>
      <c r="H1736" s="6" t="e">
        <f t="shared" ca="1" si="36"/>
        <v>#VALUE!</v>
      </c>
      <c r="I1736" s="7" t="str">
        <f ca="1">IFERROR(__xludf.DUMMYFUNCTION("IMPORTXML(E1736,""/html/body/main/div[3]/div[3]/div[2]/ul/li[5]/span[2]/span"")"),"Loading...")</f>
        <v>Loading...</v>
      </c>
      <c r="J1736" s="7" t="str">
        <f ca="1">IFERROR(__xludf.DUMMYFUNCTION("GOOGLEFINANCE(""NSE:""&amp;D1736,""marketcap"")"),"#N/A")</f>
        <v>#N/A</v>
      </c>
      <c r="K1736" s="7">
        <v>992.8</v>
      </c>
      <c r="L1736" s="8" t="str">
        <f ca="1">IFERROR(__xludf.DUMMYFUNCTION("GOOGLEFINANCE(""NSE:""&amp;D1736,""price"")"),"#N/A")</f>
        <v>#N/A</v>
      </c>
      <c r="M1736" s="9" t="e">
        <f t="shared" ca="1" si="37"/>
        <v>#VALUE!</v>
      </c>
      <c r="N1736" s="10" t="e">
        <f t="shared" ca="1" si="38"/>
        <v>#VALUE!</v>
      </c>
      <c r="O1736" s="7" t="str">
        <f ca="1">IFERROR(__xludf.DUMMYFUNCTION("GOOGLEFINANCE(""NSE:""&amp;D1736,""pe"")"),"#N/A")</f>
        <v>#N/A</v>
      </c>
      <c r="P1736" s="7" t="str">
        <f ca="1">IFERROR(__xludf.DUMMYFUNCTION("GOOGLEFINANCE(""NSE:""&amp;D1736,""EPS"")"),"#N/A")</f>
        <v>#N/A</v>
      </c>
      <c r="Q1736" s="7">
        <v>13.5</v>
      </c>
      <c r="R1736" s="7" t="str">
        <f ca="1">IFERROR(__xludf.DUMMYFUNCTION("IMPORTXML(E1736,""/html/body/main/div[3]/div[3]/div[2]/ul/li[7]/span[2]/span"")"),"Loading...")</f>
        <v>Loading...</v>
      </c>
      <c r="S1736" s="7" t="str">
        <f ca="1">IFERROR(__xludf.DUMMYFUNCTION("IMPORTXML(E1736,""/html/body/main/div[3]/div[3]/div[2]/ul/li[8]/span[2]/span"")"),"Loading...")</f>
        <v>Loading...</v>
      </c>
      <c r="T1736" s="4">
        <v>34.6</v>
      </c>
      <c r="U1736" s="4">
        <v>22.7</v>
      </c>
      <c r="V1736" s="4">
        <v>2.6</v>
      </c>
      <c r="W1736" s="4">
        <v>5.7</v>
      </c>
      <c r="X1736" s="4">
        <v>519.92999999999995</v>
      </c>
      <c r="Y1736" s="7" t="e">
        <f t="shared" ca="1" si="39"/>
        <v>#VALUE!</v>
      </c>
    </row>
    <row r="1737" spans="1:25" ht="15" x14ac:dyDescent="0.25">
      <c r="A1737" s="4">
        <v>1270</v>
      </c>
      <c r="C1737" s="41" t="s">
        <v>3870</v>
      </c>
      <c r="D1737" s="42"/>
      <c r="E1737" s="5" t="str">
        <f t="shared" si="35"/>
        <v>https://www.screener.in/company//consolidated/</v>
      </c>
      <c r="F1737" s="4">
        <v>443059</v>
      </c>
      <c r="G1737" s="4">
        <v>3832241897</v>
      </c>
      <c r="H1737" s="6" t="e">
        <f t="shared" ca="1" si="36"/>
        <v>#VALUE!</v>
      </c>
      <c r="I1737" s="7" t="str">
        <f ca="1">IFERROR(__xludf.DUMMYFUNCTION("IMPORTXML(E1737,""/html/body/main/div[3]/div[3]/div[2]/ul/li[5]/span[2]/span"")"),"Loading...")</f>
        <v>Loading...</v>
      </c>
      <c r="J1737" s="7" t="str">
        <f ca="1">IFERROR(__xludf.DUMMYFUNCTION("GOOGLEFINANCE(""NSE:""&amp;D1737,""marketcap"")"),"#N/A")</f>
        <v>#N/A</v>
      </c>
      <c r="K1737" s="7">
        <v>992.8</v>
      </c>
      <c r="L1737" s="8" t="str">
        <f ca="1">IFERROR(__xludf.DUMMYFUNCTION("GOOGLEFINANCE(""NSE:""&amp;D1737,""price"")"),"#N/A")</f>
        <v>#N/A</v>
      </c>
      <c r="M1737" s="9" t="e">
        <f t="shared" ca="1" si="37"/>
        <v>#VALUE!</v>
      </c>
      <c r="N1737" s="10" t="e">
        <f t="shared" ca="1" si="38"/>
        <v>#VALUE!</v>
      </c>
      <c r="O1737" s="7" t="str">
        <f ca="1">IFERROR(__xludf.DUMMYFUNCTION("GOOGLEFINANCE(""NSE:""&amp;D1737,""pe"")"),"#N/A")</f>
        <v>#N/A</v>
      </c>
      <c r="P1737" s="7" t="str">
        <f ca="1">IFERROR(__xludf.DUMMYFUNCTION("GOOGLEFINANCE(""NSE:""&amp;D1737,""EPS"")"),"#N/A")</f>
        <v>#N/A</v>
      </c>
      <c r="Q1737" s="7">
        <v>13.5</v>
      </c>
      <c r="R1737" s="7" t="str">
        <f ca="1">IFERROR(__xludf.DUMMYFUNCTION("IMPORTXML(E1737,""/html/body/main/div[3]/div[3]/div[2]/ul/li[7]/span[2]/span"")"),"Loading...")</f>
        <v>Loading...</v>
      </c>
      <c r="S1737" s="7" t="str">
        <f ca="1">IFERROR(__xludf.DUMMYFUNCTION("IMPORTXML(E1737,""/html/body/main/div[3]/div[3]/div[2]/ul/li[8]/span[2]/span"")"),"Loading...")</f>
        <v>Loading...</v>
      </c>
      <c r="T1737" s="4">
        <v>34.6</v>
      </c>
      <c r="U1737" s="4">
        <v>22.7</v>
      </c>
      <c r="V1737" s="4">
        <v>2.6</v>
      </c>
      <c r="W1737" s="4">
        <v>5.7</v>
      </c>
      <c r="X1737" s="4">
        <v>519.92999999999995</v>
      </c>
      <c r="Y1737" s="7" t="e">
        <f t="shared" ca="1" si="39"/>
        <v>#VALUE!</v>
      </c>
    </row>
    <row r="1738" spans="1:25" ht="15" x14ac:dyDescent="0.25">
      <c r="A1738" s="4">
        <v>1271</v>
      </c>
      <c r="C1738" s="41" t="s">
        <v>3871</v>
      </c>
      <c r="D1738" s="42"/>
      <c r="E1738" s="5" t="str">
        <f t="shared" si="35"/>
        <v>https://www.screener.in/company//consolidated/</v>
      </c>
      <c r="F1738" s="4">
        <v>443059</v>
      </c>
      <c r="G1738" s="4">
        <v>3832241897</v>
      </c>
      <c r="H1738" s="6" t="e">
        <f t="shared" ca="1" si="36"/>
        <v>#VALUE!</v>
      </c>
      <c r="I1738" s="7" t="str">
        <f ca="1">IFERROR(__xludf.DUMMYFUNCTION("IMPORTXML(E1738,""/html/body/main/div[3]/div[3]/div[2]/ul/li[5]/span[2]/span"")"),"Loading...")</f>
        <v>Loading...</v>
      </c>
      <c r="J1738" s="7" t="str">
        <f ca="1">IFERROR(__xludf.DUMMYFUNCTION("GOOGLEFINANCE(""NSE:""&amp;D1738,""marketcap"")"),"#N/A")</f>
        <v>#N/A</v>
      </c>
      <c r="K1738" s="7">
        <v>992.8</v>
      </c>
      <c r="L1738" s="8" t="str">
        <f ca="1">IFERROR(__xludf.DUMMYFUNCTION("GOOGLEFINANCE(""NSE:""&amp;D1738,""price"")"),"#N/A")</f>
        <v>#N/A</v>
      </c>
      <c r="M1738" s="9" t="e">
        <f t="shared" ca="1" si="37"/>
        <v>#VALUE!</v>
      </c>
      <c r="N1738" s="10" t="e">
        <f t="shared" ca="1" si="38"/>
        <v>#VALUE!</v>
      </c>
      <c r="O1738" s="7" t="str">
        <f ca="1">IFERROR(__xludf.DUMMYFUNCTION("GOOGLEFINANCE(""NSE:""&amp;D1738,""pe"")"),"#N/A")</f>
        <v>#N/A</v>
      </c>
      <c r="P1738" s="7" t="str">
        <f ca="1">IFERROR(__xludf.DUMMYFUNCTION("GOOGLEFINANCE(""NSE:""&amp;D1738,""EPS"")"),"#N/A")</f>
        <v>#N/A</v>
      </c>
      <c r="Q1738" s="7">
        <v>13.5</v>
      </c>
      <c r="R1738" s="7" t="str">
        <f ca="1">IFERROR(__xludf.DUMMYFUNCTION("IMPORTXML(E1738,""/html/body/main/div[3]/div[3]/div[2]/ul/li[7]/span[2]/span"")"),"Loading...")</f>
        <v>Loading...</v>
      </c>
      <c r="S1738" s="7" t="str">
        <f ca="1">IFERROR(__xludf.DUMMYFUNCTION("IMPORTXML(E1738,""/html/body/main/div[3]/div[3]/div[2]/ul/li[8]/span[2]/span"")"),"Loading...")</f>
        <v>Loading...</v>
      </c>
      <c r="T1738" s="4">
        <v>34.6</v>
      </c>
      <c r="U1738" s="4">
        <v>22.7</v>
      </c>
      <c r="V1738" s="4">
        <v>2.6</v>
      </c>
      <c r="W1738" s="4">
        <v>5.7</v>
      </c>
      <c r="X1738" s="4">
        <v>519.92999999999995</v>
      </c>
      <c r="Y1738" s="7" t="e">
        <f t="shared" ca="1" si="39"/>
        <v>#VALUE!</v>
      </c>
    </row>
    <row r="1739" spans="1:25" ht="15" x14ac:dyDescent="0.25">
      <c r="A1739" s="4">
        <v>1272</v>
      </c>
      <c r="C1739" s="41" t="s">
        <v>3872</v>
      </c>
      <c r="D1739" s="42"/>
      <c r="E1739" s="5" t="str">
        <f t="shared" si="35"/>
        <v>https://www.screener.in/company//consolidated/</v>
      </c>
      <c r="F1739" s="4">
        <v>443059</v>
      </c>
      <c r="G1739" s="4">
        <v>3832241897</v>
      </c>
      <c r="H1739" s="6" t="e">
        <f t="shared" ca="1" si="36"/>
        <v>#VALUE!</v>
      </c>
      <c r="I1739" s="7" t="str">
        <f ca="1">IFERROR(__xludf.DUMMYFUNCTION("IMPORTXML(E1739,""/html/body/main/div[3]/div[3]/div[2]/ul/li[5]/span[2]/span"")"),"Loading...")</f>
        <v>Loading...</v>
      </c>
      <c r="J1739" s="7" t="str">
        <f ca="1">IFERROR(__xludf.DUMMYFUNCTION("GOOGLEFINANCE(""NSE:""&amp;D1739,""marketcap"")"),"#N/A")</f>
        <v>#N/A</v>
      </c>
      <c r="K1739" s="7">
        <v>992.8</v>
      </c>
      <c r="L1739" s="8" t="str">
        <f ca="1">IFERROR(__xludf.DUMMYFUNCTION("GOOGLEFINANCE(""NSE:""&amp;D1739,""price"")"),"#N/A")</f>
        <v>#N/A</v>
      </c>
      <c r="M1739" s="9" t="e">
        <f t="shared" ca="1" si="37"/>
        <v>#VALUE!</v>
      </c>
      <c r="N1739" s="10" t="e">
        <f t="shared" ca="1" si="38"/>
        <v>#VALUE!</v>
      </c>
      <c r="O1739" s="7" t="str">
        <f ca="1">IFERROR(__xludf.DUMMYFUNCTION("GOOGLEFINANCE(""NSE:""&amp;D1739,""pe"")"),"#N/A")</f>
        <v>#N/A</v>
      </c>
      <c r="P1739" s="7" t="str">
        <f ca="1">IFERROR(__xludf.DUMMYFUNCTION("GOOGLEFINANCE(""NSE:""&amp;D1739,""EPS"")"),"#N/A")</f>
        <v>#N/A</v>
      </c>
      <c r="Q1739" s="7">
        <v>13.5</v>
      </c>
      <c r="R1739" s="7" t="str">
        <f ca="1">IFERROR(__xludf.DUMMYFUNCTION("IMPORTXML(E1739,""/html/body/main/div[3]/div[3]/div[2]/ul/li[7]/span[2]/span"")"),"Loading...")</f>
        <v>Loading...</v>
      </c>
      <c r="S1739" s="7" t="str">
        <f ca="1">IFERROR(__xludf.DUMMYFUNCTION("IMPORTXML(E1739,""/html/body/main/div[3]/div[3]/div[2]/ul/li[8]/span[2]/span"")"),"Loading...")</f>
        <v>Loading...</v>
      </c>
      <c r="T1739" s="4">
        <v>34.6</v>
      </c>
      <c r="U1739" s="4">
        <v>22.7</v>
      </c>
      <c r="V1739" s="4">
        <v>2.6</v>
      </c>
      <c r="W1739" s="4">
        <v>5.7</v>
      </c>
      <c r="X1739" s="4">
        <v>519.92999999999995</v>
      </c>
      <c r="Y1739" s="7" t="e">
        <f t="shared" ca="1" si="39"/>
        <v>#VALUE!</v>
      </c>
    </row>
    <row r="1740" spans="1:25" ht="15" x14ac:dyDescent="0.25">
      <c r="A1740" s="4">
        <v>1273</v>
      </c>
      <c r="C1740" s="41" t="s">
        <v>3873</v>
      </c>
      <c r="D1740" s="42"/>
      <c r="E1740" s="5" t="str">
        <f t="shared" si="35"/>
        <v>https://www.screener.in/company//consolidated/</v>
      </c>
      <c r="F1740" s="4">
        <v>443059</v>
      </c>
      <c r="G1740" s="4">
        <v>3832241897</v>
      </c>
      <c r="H1740" s="6" t="e">
        <f t="shared" ca="1" si="36"/>
        <v>#VALUE!</v>
      </c>
      <c r="I1740" s="7" t="str">
        <f ca="1">IFERROR(__xludf.DUMMYFUNCTION("IMPORTXML(E1740,""/html/body/main/div[3]/div[3]/div[2]/ul/li[5]/span[2]/span"")"),"Loading...")</f>
        <v>Loading...</v>
      </c>
      <c r="J1740" s="7" t="str">
        <f ca="1">IFERROR(__xludf.DUMMYFUNCTION("GOOGLEFINANCE(""NSE:""&amp;D1740,""marketcap"")"),"#N/A")</f>
        <v>#N/A</v>
      </c>
      <c r="K1740" s="7">
        <v>992.8</v>
      </c>
      <c r="L1740" s="8" t="str">
        <f ca="1">IFERROR(__xludf.DUMMYFUNCTION("GOOGLEFINANCE(""NSE:""&amp;D1740,""price"")"),"#N/A")</f>
        <v>#N/A</v>
      </c>
      <c r="M1740" s="9" t="e">
        <f t="shared" ca="1" si="37"/>
        <v>#VALUE!</v>
      </c>
      <c r="N1740" s="10" t="e">
        <f t="shared" ca="1" si="38"/>
        <v>#VALUE!</v>
      </c>
      <c r="O1740" s="7" t="str">
        <f ca="1">IFERROR(__xludf.DUMMYFUNCTION("GOOGLEFINANCE(""NSE:""&amp;D1740,""pe"")"),"#N/A")</f>
        <v>#N/A</v>
      </c>
      <c r="P1740" s="7" t="str">
        <f ca="1">IFERROR(__xludf.DUMMYFUNCTION("GOOGLEFINANCE(""NSE:""&amp;D1740,""EPS"")"),"#N/A")</f>
        <v>#N/A</v>
      </c>
      <c r="Q1740" s="7">
        <v>13.5</v>
      </c>
      <c r="R1740" s="7" t="str">
        <f ca="1">IFERROR(__xludf.DUMMYFUNCTION("IMPORTXML(E1740,""/html/body/main/div[3]/div[3]/div[2]/ul/li[7]/span[2]/span"")"),"Loading...")</f>
        <v>Loading...</v>
      </c>
      <c r="S1740" s="7" t="str">
        <f ca="1">IFERROR(__xludf.DUMMYFUNCTION("IMPORTXML(E1740,""/html/body/main/div[3]/div[3]/div[2]/ul/li[8]/span[2]/span"")"),"Loading...")</f>
        <v>Loading...</v>
      </c>
      <c r="T1740" s="4">
        <v>34.6</v>
      </c>
      <c r="U1740" s="4">
        <v>22.7</v>
      </c>
      <c r="V1740" s="4">
        <v>2.6</v>
      </c>
      <c r="W1740" s="4">
        <v>5.7</v>
      </c>
      <c r="X1740" s="4">
        <v>519.92999999999995</v>
      </c>
      <c r="Y1740" s="7" t="e">
        <f t="shared" ca="1" si="39"/>
        <v>#VALUE!</v>
      </c>
    </row>
    <row r="1741" spans="1:25" ht="15" x14ac:dyDescent="0.25">
      <c r="A1741" s="4">
        <v>1274</v>
      </c>
      <c r="C1741" s="41" t="s">
        <v>3874</v>
      </c>
      <c r="D1741" s="42"/>
      <c r="E1741" s="5" t="str">
        <f t="shared" si="35"/>
        <v>https://www.screener.in/company//consolidated/</v>
      </c>
      <c r="F1741" s="4">
        <v>443059</v>
      </c>
      <c r="G1741" s="4">
        <v>3832241897</v>
      </c>
      <c r="H1741" s="6" t="e">
        <f t="shared" ca="1" si="36"/>
        <v>#VALUE!</v>
      </c>
      <c r="I1741" s="7" t="str">
        <f ca="1">IFERROR(__xludf.DUMMYFUNCTION("IMPORTXML(E1741,""/html/body/main/div[3]/div[3]/div[2]/ul/li[5]/span[2]/span"")"),"Loading...")</f>
        <v>Loading...</v>
      </c>
      <c r="J1741" s="7" t="str">
        <f ca="1">IFERROR(__xludf.DUMMYFUNCTION("GOOGLEFINANCE(""NSE:""&amp;D1741,""marketcap"")"),"#N/A")</f>
        <v>#N/A</v>
      </c>
      <c r="K1741" s="7">
        <v>992.8</v>
      </c>
      <c r="L1741" s="8" t="str">
        <f ca="1">IFERROR(__xludf.DUMMYFUNCTION("GOOGLEFINANCE(""NSE:""&amp;D1741,""price"")"),"#N/A")</f>
        <v>#N/A</v>
      </c>
      <c r="M1741" s="9" t="e">
        <f t="shared" ca="1" si="37"/>
        <v>#VALUE!</v>
      </c>
      <c r="N1741" s="10" t="e">
        <f t="shared" ca="1" si="38"/>
        <v>#VALUE!</v>
      </c>
      <c r="O1741" s="7" t="str">
        <f ca="1">IFERROR(__xludf.DUMMYFUNCTION("GOOGLEFINANCE(""NSE:""&amp;D1741,""pe"")"),"#N/A")</f>
        <v>#N/A</v>
      </c>
      <c r="P1741" s="7" t="str">
        <f ca="1">IFERROR(__xludf.DUMMYFUNCTION("GOOGLEFINANCE(""NSE:""&amp;D1741,""EPS"")"),"#N/A")</f>
        <v>#N/A</v>
      </c>
      <c r="Q1741" s="7">
        <v>13.5</v>
      </c>
      <c r="R1741" s="7" t="str">
        <f ca="1">IFERROR(__xludf.DUMMYFUNCTION("IMPORTXML(E1741,""/html/body/main/div[3]/div[3]/div[2]/ul/li[7]/span[2]/span"")"),"Loading...")</f>
        <v>Loading...</v>
      </c>
      <c r="S1741" s="7" t="str">
        <f ca="1">IFERROR(__xludf.DUMMYFUNCTION("IMPORTXML(E1741,""/html/body/main/div[3]/div[3]/div[2]/ul/li[8]/span[2]/span"")"),"Loading...")</f>
        <v>Loading...</v>
      </c>
      <c r="T1741" s="4">
        <v>34.6</v>
      </c>
      <c r="U1741" s="4">
        <v>22.7</v>
      </c>
      <c r="V1741" s="4">
        <v>2.6</v>
      </c>
      <c r="W1741" s="4">
        <v>5.7</v>
      </c>
      <c r="X1741" s="4">
        <v>519.92999999999995</v>
      </c>
      <c r="Y1741" s="7" t="e">
        <f t="shared" ca="1" si="39"/>
        <v>#VALUE!</v>
      </c>
    </row>
    <row r="1742" spans="1:25" ht="15" x14ac:dyDescent="0.25">
      <c r="A1742" s="4">
        <v>1275</v>
      </c>
      <c r="C1742" s="41" t="s">
        <v>3875</v>
      </c>
      <c r="D1742" s="42"/>
      <c r="E1742" s="5" t="str">
        <f t="shared" si="35"/>
        <v>https://www.screener.in/company//consolidated/</v>
      </c>
      <c r="F1742" s="4">
        <v>443059</v>
      </c>
      <c r="G1742" s="4">
        <v>3832241897</v>
      </c>
      <c r="H1742" s="6" t="e">
        <f t="shared" ca="1" si="36"/>
        <v>#VALUE!</v>
      </c>
      <c r="I1742" s="7" t="str">
        <f ca="1">IFERROR(__xludf.DUMMYFUNCTION("IMPORTXML(E1742,""/html/body/main/div[3]/div[3]/div[2]/ul/li[5]/span[2]/span"")"),"Loading...")</f>
        <v>Loading...</v>
      </c>
      <c r="J1742" s="7" t="str">
        <f ca="1">IFERROR(__xludf.DUMMYFUNCTION("GOOGLEFINANCE(""NSE:""&amp;D1742,""marketcap"")"),"#N/A")</f>
        <v>#N/A</v>
      </c>
      <c r="K1742" s="7">
        <v>992.8</v>
      </c>
      <c r="L1742" s="8" t="str">
        <f ca="1">IFERROR(__xludf.DUMMYFUNCTION("GOOGLEFINANCE(""NSE:""&amp;D1742,""price"")"),"#N/A")</f>
        <v>#N/A</v>
      </c>
      <c r="M1742" s="9" t="e">
        <f t="shared" ca="1" si="37"/>
        <v>#VALUE!</v>
      </c>
      <c r="N1742" s="10" t="e">
        <f t="shared" ca="1" si="38"/>
        <v>#VALUE!</v>
      </c>
      <c r="O1742" s="7" t="str">
        <f ca="1">IFERROR(__xludf.DUMMYFUNCTION("GOOGLEFINANCE(""NSE:""&amp;D1742,""pe"")"),"#N/A")</f>
        <v>#N/A</v>
      </c>
      <c r="P1742" s="7" t="str">
        <f ca="1">IFERROR(__xludf.DUMMYFUNCTION("GOOGLEFINANCE(""NSE:""&amp;D1742,""EPS"")"),"#N/A")</f>
        <v>#N/A</v>
      </c>
      <c r="Q1742" s="7">
        <v>13.5</v>
      </c>
      <c r="R1742" s="7" t="str">
        <f ca="1">IFERROR(__xludf.DUMMYFUNCTION("IMPORTXML(E1742,""/html/body/main/div[3]/div[3]/div[2]/ul/li[7]/span[2]/span"")"),"Loading...")</f>
        <v>Loading...</v>
      </c>
      <c r="S1742" s="7" t="str">
        <f ca="1">IFERROR(__xludf.DUMMYFUNCTION("IMPORTXML(E1742,""/html/body/main/div[3]/div[3]/div[2]/ul/li[8]/span[2]/span"")"),"Loading...")</f>
        <v>Loading...</v>
      </c>
      <c r="T1742" s="4">
        <v>34.6</v>
      </c>
      <c r="U1742" s="4">
        <v>22.7</v>
      </c>
      <c r="V1742" s="4">
        <v>2.6</v>
      </c>
      <c r="W1742" s="4">
        <v>5.7</v>
      </c>
      <c r="X1742" s="4">
        <v>519.92999999999995</v>
      </c>
      <c r="Y1742" s="7" t="e">
        <f t="shared" ca="1" si="39"/>
        <v>#VALUE!</v>
      </c>
    </row>
    <row r="1743" spans="1:25" ht="15" x14ac:dyDescent="0.25">
      <c r="A1743" s="4">
        <v>1277</v>
      </c>
      <c r="C1743" s="41" t="s">
        <v>3876</v>
      </c>
      <c r="D1743" s="42"/>
      <c r="E1743" s="5" t="str">
        <f t="shared" si="35"/>
        <v>https://www.screener.in/company//consolidated/</v>
      </c>
      <c r="F1743" s="4">
        <v>443059</v>
      </c>
      <c r="G1743" s="4">
        <v>3832241897</v>
      </c>
      <c r="H1743" s="6" t="e">
        <f t="shared" ca="1" si="36"/>
        <v>#VALUE!</v>
      </c>
      <c r="I1743" s="7" t="str">
        <f ca="1">IFERROR(__xludf.DUMMYFUNCTION("IMPORTXML(E1743,""/html/body/main/div[3]/div[3]/div[2]/ul/li[5]/span[2]/span"")"),"Loading...")</f>
        <v>Loading...</v>
      </c>
      <c r="J1743" s="7" t="str">
        <f ca="1">IFERROR(__xludf.DUMMYFUNCTION("GOOGLEFINANCE(""NSE:""&amp;D1743,""marketcap"")"),"#N/A")</f>
        <v>#N/A</v>
      </c>
      <c r="K1743" s="7">
        <v>992.8</v>
      </c>
      <c r="L1743" s="8" t="str">
        <f ca="1">IFERROR(__xludf.DUMMYFUNCTION("GOOGLEFINANCE(""NSE:""&amp;D1743,""price"")"),"#N/A")</f>
        <v>#N/A</v>
      </c>
      <c r="M1743" s="9" t="e">
        <f t="shared" ca="1" si="37"/>
        <v>#VALUE!</v>
      </c>
      <c r="N1743" s="10" t="e">
        <f t="shared" ca="1" si="38"/>
        <v>#VALUE!</v>
      </c>
      <c r="O1743" s="7" t="str">
        <f ca="1">IFERROR(__xludf.DUMMYFUNCTION("GOOGLEFINANCE(""NSE:""&amp;D1743,""pe"")"),"#N/A")</f>
        <v>#N/A</v>
      </c>
      <c r="P1743" s="7" t="str">
        <f ca="1">IFERROR(__xludf.DUMMYFUNCTION("GOOGLEFINANCE(""NSE:""&amp;D1743,""EPS"")"),"#N/A")</f>
        <v>#N/A</v>
      </c>
      <c r="Q1743" s="7">
        <v>13.5</v>
      </c>
      <c r="R1743" s="7" t="str">
        <f ca="1">IFERROR(__xludf.DUMMYFUNCTION("IMPORTXML(E1743,""/html/body/main/div[3]/div[3]/div[2]/ul/li[7]/span[2]/span"")"),"Loading...")</f>
        <v>Loading...</v>
      </c>
      <c r="S1743" s="7" t="str">
        <f ca="1">IFERROR(__xludf.DUMMYFUNCTION("IMPORTXML(E1743,""/html/body/main/div[3]/div[3]/div[2]/ul/li[8]/span[2]/span"")"),"Loading...")</f>
        <v>Loading...</v>
      </c>
      <c r="T1743" s="4">
        <v>34.6</v>
      </c>
      <c r="U1743" s="4">
        <v>22.7</v>
      </c>
      <c r="V1743" s="4">
        <v>2.6</v>
      </c>
      <c r="W1743" s="4">
        <v>5.7</v>
      </c>
      <c r="X1743" s="4">
        <v>519.92999999999995</v>
      </c>
      <c r="Y1743" s="7" t="e">
        <f t="shared" ca="1" si="39"/>
        <v>#VALUE!</v>
      </c>
    </row>
    <row r="1744" spans="1:25" ht="15" x14ac:dyDescent="0.25">
      <c r="A1744" s="4">
        <v>1278</v>
      </c>
      <c r="C1744" s="41" t="s">
        <v>3877</v>
      </c>
      <c r="D1744" s="42"/>
      <c r="E1744" s="5" t="str">
        <f t="shared" si="35"/>
        <v>https://www.screener.in/company//consolidated/</v>
      </c>
      <c r="F1744" s="4">
        <v>443059</v>
      </c>
      <c r="G1744" s="4">
        <v>3832241897</v>
      </c>
      <c r="H1744" s="6" t="e">
        <f t="shared" ca="1" si="36"/>
        <v>#VALUE!</v>
      </c>
      <c r="I1744" s="7" t="str">
        <f ca="1">IFERROR(__xludf.DUMMYFUNCTION("IMPORTXML(E1744,""/html/body/main/div[3]/div[3]/div[2]/ul/li[5]/span[2]/span"")"),"Loading...")</f>
        <v>Loading...</v>
      </c>
      <c r="J1744" s="7" t="str">
        <f ca="1">IFERROR(__xludf.DUMMYFUNCTION("GOOGLEFINANCE(""NSE:""&amp;D1744,""marketcap"")"),"#N/A")</f>
        <v>#N/A</v>
      </c>
      <c r="K1744" s="7">
        <v>992.8</v>
      </c>
      <c r="L1744" s="8" t="str">
        <f ca="1">IFERROR(__xludf.DUMMYFUNCTION("GOOGLEFINANCE(""NSE:""&amp;D1744,""price"")"),"#N/A")</f>
        <v>#N/A</v>
      </c>
      <c r="M1744" s="9" t="e">
        <f t="shared" ca="1" si="37"/>
        <v>#VALUE!</v>
      </c>
      <c r="N1744" s="10" t="e">
        <f t="shared" ca="1" si="38"/>
        <v>#VALUE!</v>
      </c>
      <c r="O1744" s="7" t="str">
        <f ca="1">IFERROR(__xludf.DUMMYFUNCTION("GOOGLEFINANCE(""NSE:""&amp;D1744,""pe"")"),"#N/A")</f>
        <v>#N/A</v>
      </c>
      <c r="P1744" s="7" t="str">
        <f ca="1">IFERROR(__xludf.DUMMYFUNCTION("GOOGLEFINANCE(""NSE:""&amp;D1744,""EPS"")"),"#N/A")</f>
        <v>#N/A</v>
      </c>
      <c r="Q1744" s="7">
        <v>13.5</v>
      </c>
      <c r="R1744" s="7" t="str">
        <f ca="1">IFERROR(__xludf.DUMMYFUNCTION("IMPORTXML(E1744,""/html/body/main/div[3]/div[3]/div[2]/ul/li[7]/span[2]/span"")"),"Loading...")</f>
        <v>Loading...</v>
      </c>
      <c r="S1744" s="7" t="str">
        <f ca="1">IFERROR(__xludf.DUMMYFUNCTION("IMPORTXML(E1744,""/html/body/main/div[3]/div[3]/div[2]/ul/li[8]/span[2]/span"")"),"Loading...")</f>
        <v>Loading...</v>
      </c>
      <c r="T1744" s="4">
        <v>34.6</v>
      </c>
      <c r="U1744" s="4">
        <v>22.7</v>
      </c>
      <c r="V1744" s="4">
        <v>2.6</v>
      </c>
      <c r="W1744" s="4">
        <v>5.7</v>
      </c>
      <c r="X1744" s="4">
        <v>519.92999999999995</v>
      </c>
      <c r="Y1744" s="7" t="e">
        <f t="shared" ca="1" si="39"/>
        <v>#VALUE!</v>
      </c>
    </row>
    <row r="1745" spans="1:25" ht="15" x14ac:dyDescent="0.25">
      <c r="A1745" s="4">
        <v>1281</v>
      </c>
      <c r="C1745" s="41" t="s">
        <v>3878</v>
      </c>
      <c r="D1745" s="42"/>
      <c r="E1745" s="5" t="str">
        <f t="shared" si="35"/>
        <v>https://www.screener.in/company//consolidated/</v>
      </c>
      <c r="F1745" s="4">
        <v>443059</v>
      </c>
      <c r="G1745" s="4">
        <v>3832241897</v>
      </c>
      <c r="H1745" s="6" t="e">
        <f t="shared" ca="1" si="36"/>
        <v>#VALUE!</v>
      </c>
      <c r="I1745" s="7" t="str">
        <f ca="1">IFERROR(__xludf.DUMMYFUNCTION("IMPORTXML(E1745,""/html/body/main/div[3]/div[3]/div[2]/ul/li[5]/span[2]/span"")"),"Loading...")</f>
        <v>Loading...</v>
      </c>
      <c r="J1745" s="7" t="str">
        <f ca="1">IFERROR(__xludf.DUMMYFUNCTION("GOOGLEFINANCE(""NSE:""&amp;D1745,""marketcap"")"),"#N/A")</f>
        <v>#N/A</v>
      </c>
      <c r="K1745" s="7">
        <v>992.8</v>
      </c>
      <c r="L1745" s="8" t="str">
        <f ca="1">IFERROR(__xludf.DUMMYFUNCTION("GOOGLEFINANCE(""NSE:""&amp;D1745,""price"")"),"#N/A")</f>
        <v>#N/A</v>
      </c>
      <c r="M1745" s="9" t="e">
        <f t="shared" ca="1" si="37"/>
        <v>#VALUE!</v>
      </c>
      <c r="N1745" s="10" t="e">
        <f t="shared" ca="1" si="38"/>
        <v>#VALUE!</v>
      </c>
      <c r="O1745" s="7" t="str">
        <f ca="1">IFERROR(__xludf.DUMMYFUNCTION("GOOGLEFINANCE(""NSE:""&amp;D1745,""pe"")"),"#N/A")</f>
        <v>#N/A</v>
      </c>
      <c r="P1745" s="7" t="str">
        <f ca="1">IFERROR(__xludf.DUMMYFUNCTION("GOOGLEFINANCE(""NSE:""&amp;D1745,""EPS"")"),"#N/A")</f>
        <v>#N/A</v>
      </c>
      <c r="Q1745" s="7">
        <v>13.5</v>
      </c>
      <c r="R1745" s="7" t="str">
        <f ca="1">IFERROR(__xludf.DUMMYFUNCTION("IMPORTXML(E1745,""/html/body/main/div[3]/div[3]/div[2]/ul/li[7]/span[2]/span"")"),"Loading...")</f>
        <v>Loading...</v>
      </c>
      <c r="S1745" s="7" t="str">
        <f ca="1">IFERROR(__xludf.DUMMYFUNCTION("IMPORTXML(E1745,""/html/body/main/div[3]/div[3]/div[2]/ul/li[8]/span[2]/span"")"),"Loading...")</f>
        <v>Loading...</v>
      </c>
      <c r="T1745" s="4">
        <v>34.6</v>
      </c>
      <c r="U1745" s="4">
        <v>22.7</v>
      </c>
      <c r="V1745" s="4">
        <v>2.6</v>
      </c>
      <c r="W1745" s="4">
        <v>5.7</v>
      </c>
      <c r="X1745" s="4">
        <v>519.92999999999995</v>
      </c>
      <c r="Y1745" s="7" t="e">
        <f t="shared" ca="1" si="39"/>
        <v>#VALUE!</v>
      </c>
    </row>
    <row r="1746" spans="1:25" ht="15" x14ac:dyDescent="0.25">
      <c r="A1746" s="4">
        <v>1282</v>
      </c>
      <c r="C1746" s="12" t="s">
        <v>3879</v>
      </c>
      <c r="D1746" s="12" t="s">
        <v>3880</v>
      </c>
      <c r="E1746" s="5" t="str">
        <f t="shared" si="35"/>
        <v>https://www.screener.in/company/ONMOBILE/consolidated/</v>
      </c>
      <c r="F1746" s="4">
        <v>443059</v>
      </c>
      <c r="G1746" s="4">
        <v>3832241897</v>
      </c>
      <c r="H1746" s="6">
        <f t="shared" ca="1" si="36"/>
        <v>20241.901699954</v>
      </c>
      <c r="I1746" s="7" t="str">
        <f ca="1">IFERROR(__xludf.DUMMYFUNCTION("IMPORTXML(E1746,""/html/body/main/div[3]/div[3]/div[2]/ul/li[5]/span[2]/span"")"),"Loading...")</f>
        <v>Loading...</v>
      </c>
      <c r="J1746" s="7">
        <f ca="1">IFERROR(__xludf.DUMMYFUNCTION("GOOGLEFINANCE(""NSE:""&amp;D1746,""marketcap"")"),5632924800)</f>
        <v>5632924800</v>
      </c>
      <c r="K1746" s="7">
        <v>992.8</v>
      </c>
      <c r="L1746" s="8">
        <f ca="1">IFERROR(__xludf.DUMMYFUNCTION("GOOGLEFINANCE(""NSE:""&amp;D1746,""price"")"),52.82)</f>
        <v>52.82</v>
      </c>
      <c r="M1746" s="9">
        <f t="shared" ca="1" si="37"/>
        <v>-939.9799999999999</v>
      </c>
      <c r="N1746" s="10">
        <f t="shared" ca="1" si="38"/>
        <v>-94.679693795326344</v>
      </c>
      <c r="O1746" s="7" t="str">
        <f ca="1">IFERROR(__xludf.DUMMYFUNCTION("GOOGLEFINANCE(""NSE:""&amp;D1746,""pe"")"),"#N/A")</f>
        <v>#N/A</v>
      </c>
      <c r="P1746" s="7">
        <f ca="1">IFERROR(__xludf.DUMMYFUNCTION("GOOGLEFINANCE(""NSE:""&amp;D1746,""EPS"")"),-0.89)</f>
        <v>-0.89</v>
      </c>
      <c r="Q1746" s="7">
        <v>13.5</v>
      </c>
      <c r="R1746" s="7" t="str">
        <f ca="1">IFERROR(__xludf.DUMMYFUNCTION("IMPORTXML(E1746,""/html/body/main/div[3]/div[3]/div[2]/ul/li[7]/span[2]/span"")"),"Loading...")</f>
        <v>Loading...</v>
      </c>
      <c r="S1746" s="7" t="str">
        <f ca="1">IFERROR(__xludf.DUMMYFUNCTION("IMPORTXML(E1746,""/html/body/main/div[3]/div[3]/div[2]/ul/li[8]/span[2]/span"")"),"Loading...")</f>
        <v>Loading...</v>
      </c>
      <c r="T1746" s="4">
        <v>34.6</v>
      </c>
      <c r="U1746" s="4">
        <v>22.7</v>
      </c>
      <c r="V1746" s="4">
        <v>2.6</v>
      </c>
      <c r="W1746" s="4">
        <v>5.7</v>
      </c>
      <c r="X1746" s="4">
        <v>519.92999999999995</v>
      </c>
      <c r="Y1746" s="7">
        <f t="shared" ca="1" si="39"/>
        <v>-467.10999999999996</v>
      </c>
    </row>
    <row r="1747" spans="1:25" ht="15" x14ac:dyDescent="0.25">
      <c r="A1747" s="4">
        <v>1283</v>
      </c>
      <c r="C1747" s="12" t="s">
        <v>3881</v>
      </c>
      <c r="D1747" s="12" t="s">
        <v>3882</v>
      </c>
      <c r="E1747" s="5" t="str">
        <f t="shared" si="35"/>
        <v>https://www.screener.in/company/REPRO/consolidated/</v>
      </c>
      <c r="F1747" s="4">
        <v>443059</v>
      </c>
      <c r="G1747" s="4">
        <v>3832241897</v>
      </c>
      <c r="H1747" s="6">
        <f t="shared" ca="1" si="36"/>
        <v>178065.11974410497</v>
      </c>
      <c r="I1747" s="7" t="str">
        <f ca="1">IFERROR(__xludf.DUMMYFUNCTION("IMPORTXML(E1747,""/html/body/main/div[3]/div[3]/div[2]/ul/li[5]/span[2]/span"")"),"Loading...")</f>
        <v>Loading...</v>
      </c>
      <c r="J1747" s="7">
        <f ca="1">IFERROR(__xludf.DUMMYFUNCTION("GOOGLEFINANCE(""NSE:""&amp;D1747,""marketcap"")"),6599547000)</f>
        <v>6599547000</v>
      </c>
      <c r="K1747" s="7">
        <v>992.8</v>
      </c>
      <c r="L1747" s="8">
        <f ca="1">IFERROR(__xludf.DUMMYFUNCTION("GOOGLEFINANCE(""NSE:""&amp;D1747,""price"")"),464.65)</f>
        <v>464.65</v>
      </c>
      <c r="M1747" s="9">
        <f t="shared" ca="1" si="37"/>
        <v>-528.15</v>
      </c>
      <c r="N1747" s="10">
        <f t="shared" ca="1" si="38"/>
        <v>-53.198025785656732</v>
      </c>
      <c r="O1747" s="7" t="str">
        <f ca="1">IFERROR(__xludf.DUMMYFUNCTION("GOOGLEFINANCE(""NSE:""&amp;D1747,""pe"")"),"#N/A")</f>
        <v>#N/A</v>
      </c>
      <c r="P1747" s="7">
        <f ca="1">IFERROR(__xludf.DUMMYFUNCTION("GOOGLEFINANCE(""NSE:""&amp;D1747,""EPS"")"),-3.45)</f>
        <v>-3.45</v>
      </c>
      <c r="Q1747" s="7">
        <v>13.5</v>
      </c>
      <c r="R1747" s="7" t="str">
        <f ca="1">IFERROR(__xludf.DUMMYFUNCTION("IMPORTXML(E1747,""/html/body/main/div[3]/div[3]/div[2]/ul/li[7]/span[2]/span"")"),"Loading...")</f>
        <v>Loading...</v>
      </c>
      <c r="S1747" s="7" t="str">
        <f ca="1">IFERROR(__xludf.DUMMYFUNCTION("IMPORTXML(E1747,""/html/body/main/div[3]/div[3]/div[2]/ul/li[8]/span[2]/span"")"),"Loading...")</f>
        <v>Loading...</v>
      </c>
      <c r="T1747" s="4">
        <v>34.6</v>
      </c>
      <c r="U1747" s="4">
        <v>22.7</v>
      </c>
      <c r="V1747" s="4">
        <v>2.6</v>
      </c>
      <c r="W1747" s="4">
        <v>5.7</v>
      </c>
      <c r="X1747" s="4">
        <v>519.92999999999995</v>
      </c>
      <c r="Y1747" s="7">
        <f t="shared" ca="1" si="39"/>
        <v>-55.279999999999973</v>
      </c>
    </row>
    <row r="1748" spans="1:25" ht="15" x14ac:dyDescent="0.25">
      <c r="A1748" s="4">
        <v>1285</v>
      </c>
      <c r="C1748" s="41" t="s">
        <v>3883</v>
      </c>
      <c r="D1748" s="42"/>
      <c r="E1748" s="5" t="str">
        <f t="shared" si="35"/>
        <v>https://www.screener.in/company//consolidated/</v>
      </c>
      <c r="F1748" s="4">
        <v>443059</v>
      </c>
      <c r="G1748" s="4">
        <v>3832241897</v>
      </c>
      <c r="H1748" s="6" t="e">
        <f t="shared" ca="1" si="36"/>
        <v>#VALUE!</v>
      </c>
      <c r="I1748" s="7" t="str">
        <f ca="1">IFERROR(__xludf.DUMMYFUNCTION("IMPORTXML(E1748,""/html/body/main/div[3]/div[3]/div[2]/ul/li[5]/span[2]/span"")"),"Loading...")</f>
        <v>Loading...</v>
      </c>
      <c r="J1748" s="7" t="str">
        <f ca="1">IFERROR(__xludf.DUMMYFUNCTION("GOOGLEFINANCE(""NSE:""&amp;D1748,""marketcap"")"),"#N/A")</f>
        <v>#N/A</v>
      </c>
      <c r="K1748" s="7">
        <v>992.8</v>
      </c>
      <c r="L1748" s="8" t="str">
        <f ca="1">IFERROR(__xludf.DUMMYFUNCTION("GOOGLEFINANCE(""NSE:""&amp;D1748,""price"")"),"#N/A")</f>
        <v>#N/A</v>
      </c>
      <c r="M1748" s="9" t="e">
        <f t="shared" ca="1" si="37"/>
        <v>#VALUE!</v>
      </c>
      <c r="N1748" s="10" t="e">
        <f t="shared" ca="1" si="38"/>
        <v>#VALUE!</v>
      </c>
      <c r="O1748" s="7" t="str">
        <f ca="1">IFERROR(__xludf.DUMMYFUNCTION("GOOGLEFINANCE(""NSE:""&amp;D1748,""pe"")"),"#N/A")</f>
        <v>#N/A</v>
      </c>
      <c r="P1748" s="7" t="str">
        <f ca="1">IFERROR(__xludf.DUMMYFUNCTION("GOOGLEFINANCE(""NSE:""&amp;D1748,""EPS"")"),"#N/A")</f>
        <v>#N/A</v>
      </c>
      <c r="Q1748" s="7">
        <v>13.5</v>
      </c>
      <c r="R1748" s="7" t="str">
        <f ca="1">IFERROR(__xludf.DUMMYFUNCTION("IMPORTXML(E1748,""/html/body/main/div[3]/div[3]/div[2]/ul/li[7]/span[2]/span"")"),"Loading...")</f>
        <v>Loading...</v>
      </c>
      <c r="S1748" s="7" t="str">
        <f ca="1">IFERROR(__xludf.DUMMYFUNCTION("IMPORTXML(E1748,""/html/body/main/div[3]/div[3]/div[2]/ul/li[8]/span[2]/span"")"),"Loading...")</f>
        <v>Loading...</v>
      </c>
      <c r="T1748" s="4">
        <v>34.6</v>
      </c>
      <c r="U1748" s="4">
        <v>22.7</v>
      </c>
      <c r="V1748" s="4">
        <v>2.6</v>
      </c>
      <c r="W1748" s="4">
        <v>5.7</v>
      </c>
      <c r="X1748" s="4">
        <v>519.92999999999995</v>
      </c>
      <c r="Y1748" s="7" t="e">
        <f t="shared" ca="1" si="39"/>
        <v>#VALUE!</v>
      </c>
    </row>
    <row r="1749" spans="1:25" ht="15" x14ac:dyDescent="0.25">
      <c r="A1749" s="4">
        <v>1286</v>
      </c>
      <c r="C1749" s="41" t="s">
        <v>3884</v>
      </c>
      <c r="D1749" s="42"/>
      <c r="E1749" s="5" t="str">
        <f t="shared" si="35"/>
        <v>https://www.screener.in/company//consolidated/</v>
      </c>
      <c r="F1749" s="4">
        <v>443059</v>
      </c>
      <c r="G1749" s="4">
        <v>3832241897</v>
      </c>
      <c r="H1749" s="6" t="e">
        <f t="shared" ca="1" si="36"/>
        <v>#VALUE!</v>
      </c>
      <c r="I1749" s="7" t="str">
        <f ca="1">IFERROR(__xludf.DUMMYFUNCTION("IMPORTXML(E1749,""/html/body/main/div[3]/div[3]/div[2]/ul/li[5]/span[2]/span"")"),"Loading...")</f>
        <v>Loading...</v>
      </c>
      <c r="J1749" s="7" t="str">
        <f ca="1">IFERROR(__xludf.DUMMYFUNCTION("GOOGLEFINANCE(""NSE:""&amp;D1749,""marketcap"")"),"#N/A")</f>
        <v>#N/A</v>
      </c>
      <c r="K1749" s="7">
        <v>992.8</v>
      </c>
      <c r="L1749" s="8" t="str">
        <f ca="1">IFERROR(__xludf.DUMMYFUNCTION("GOOGLEFINANCE(""NSE:""&amp;D1749,""price"")"),"#N/A")</f>
        <v>#N/A</v>
      </c>
      <c r="M1749" s="9" t="e">
        <f t="shared" ca="1" si="37"/>
        <v>#VALUE!</v>
      </c>
      <c r="N1749" s="10" t="e">
        <f t="shared" ca="1" si="38"/>
        <v>#VALUE!</v>
      </c>
      <c r="O1749" s="7" t="str">
        <f ca="1">IFERROR(__xludf.DUMMYFUNCTION("GOOGLEFINANCE(""NSE:""&amp;D1749,""pe"")"),"#N/A")</f>
        <v>#N/A</v>
      </c>
      <c r="P1749" s="7" t="str">
        <f ca="1">IFERROR(__xludf.DUMMYFUNCTION("GOOGLEFINANCE(""NSE:""&amp;D1749,""EPS"")"),"#N/A")</f>
        <v>#N/A</v>
      </c>
      <c r="Q1749" s="7">
        <v>13.5</v>
      </c>
      <c r="R1749" s="7" t="str">
        <f ca="1">IFERROR(__xludf.DUMMYFUNCTION("IMPORTXML(E1749,""/html/body/main/div[3]/div[3]/div[2]/ul/li[7]/span[2]/span"")"),"Loading...")</f>
        <v>Loading...</v>
      </c>
      <c r="S1749" s="7" t="str">
        <f ca="1">IFERROR(__xludf.DUMMYFUNCTION("IMPORTXML(E1749,""/html/body/main/div[3]/div[3]/div[2]/ul/li[8]/span[2]/span"")"),"Loading...")</f>
        <v>Loading...</v>
      </c>
      <c r="T1749" s="4">
        <v>34.6</v>
      </c>
      <c r="U1749" s="4">
        <v>22.7</v>
      </c>
      <c r="V1749" s="4">
        <v>2.6</v>
      </c>
      <c r="W1749" s="4">
        <v>5.7</v>
      </c>
      <c r="X1749" s="4">
        <v>519.92999999999995</v>
      </c>
      <c r="Y1749" s="7" t="e">
        <f t="shared" ca="1" si="39"/>
        <v>#VALUE!</v>
      </c>
    </row>
    <row r="1750" spans="1:25" ht="15" x14ac:dyDescent="0.25">
      <c r="A1750" s="4">
        <v>1287</v>
      </c>
      <c r="C1750" s="41" t="s">
        <v>3885</v>
      </c>
      <c r="D1750" s="42"/>
      <c r="E1750" s="5" t="str">
        <f t="shared" si="35"/>
        <v>https://www.screener.in/company//consolidated/</v>
      </c>
      <c r="F1750" s="4">
        <v>443059</v>
      </c>
      <c r="G1750" s="4">
        <v>3832241897</v>
      </c>
      <c r="H1750" s="6" t="e">
        <f t="shared" ca="1" si="36"/>
        <v>#VALUE!</v>
      </c>
      <c r="I1750" s="7" t="str">
        <f ca="1">IFERROR(__xludf.DUMMYFUNCTION("IMPORTXML(E1750,""/html/body/main/div[3]/div[3]/div[2]/ul/li[5]/span[2]/span"")"),"Loading...")</f>
        <v>Loading...</v>
      </c>
      <c r="J1750" s="7" t="str">
        <f ca="1">IFERROR(__xludf.DUMMYFUNCTION("GOOGLEFINANCE(""NSE:""&amp;D1750,""marketcap"")"),"#N/A")</f>
        <v>#N/A</v>
      </c>
      <c r="K1750" s="7">
        <v>992.8</v>
      </c>
      <c r="L1750" s="8" t="str">
        <f ca="1">IFERROR(__xludf.DUMMYFUNCTION("GOOGLEFINANCE(""NSE:""&amp;D1750,""price"")"),"#N/A")</f>
        <v>#N/A</v>
      </c>
      <c r="M1750" s="9" t="e">
        <f t="shared" ca="1" si="37"/>
        <v>#VALUE!</v>
      </c>
      <c r="N1750" s="10" t="e">
        <f t="shared" ca="1" si="38"/>
        <v>#VALUE!</v>
      </c>
      <c r="O1750" s="7" t="str">
        <f ca="1">IFERROR(__xludf.DUMMYFUNCTION("GOOGLEFINANCE(""NSE:""&amp;D1750,""pe"")"),"#N/A")</f>
        <v>#N/A</v>
      </c>
      <c r="P1750" s="7" t="str">
        <f ca="1">IFERROR(__xludf.DUMMYFUNCTION("GOOGLEFINANCE(""NSE:""&amp;D1750,""EPS"")"),"#N/A")</f>
        <v>#N/A</v>
      </c>
      <c r="Q1750" s="7">
        <v>13.5</v>
      </c>
      <c r="R1750" s="7" t="str">
        <f ca="1">IFERROR(__xludf.DUMMYFUNCTION("IMPORTXML(E1750,""/html/body/main/div[3]/div[3]/div[2]/ul/li[7]/span[2]/span"")"),"Loading...")</f>
        <v>Loading...</v>
      </c>
      <c r="S1750" s="7" t="str">
        <f ca="1">IFERROR(__xludf.DUMMYFUNCTION("IMPORTXML(E1750,""/html/body/main/div[3]/div[3]/div[2]/ul/li[8]/span[2]/span"")"),"Loading...")</f>
        <v>Loading...</v>
      </c>
      <c r="T1750" s="4">
        <v>34.6</v>
      </c>
      <c r="U1750" s="4">
        <v>22.7</v>
      </c>
      <c r="V1750" s="4">
        <v>2.6</v>
      </c>
      <c r="W1750" s="4">
        <v>5.7</v>
      </c>
      <c r="X1750" s="4">
        <v>519.92999999999995</v>
      </c>
      <c r="Y1750" s="7" t="e">
        <f t="shared" ca="1" si="39"/>
        <v>#VALUE!</v>
      </c>
    </row>
    <row r="1751" spans="1:25" ht="15" x14ac:dyDescent="0.25">
      <c r="A1751" s="4">
        <v>1289</v>
      </c>
      <c r="C1751" s="12" t="s">
        <v>3886</v>
      </c>
      <c r="D1751" s="12" t="s">
        <v>3887</v>
      </c>
      <c r="E1751" s="5" t="str">
        <f t="shared" si="35"/>
        <v>https://www.screener.in/company/GSLSU/consolidated/</v>
      </c>
      <c r="F1751" s="4">
        <v>443059</v>
      </c>
      <c r="G1751" s="4">
        <v>3832241897</v>
      </c>
      <c r="H1751" s="6">
        <f t="shared" ca="1" si="36"/>
        <v>40368.836142998007</v>
      </c>
      <c r="I1751" s="7" t="str">
        <f ca="1">IFERROR(__xludf.DUMMYFUNCTION("IMPORTXML(E1751,""/html/body/main/div[3]/div[3]/div[2]/ul/li[5]/span[2]/span"")"),"Loading...")</f>
        <v>Loading...</v>
      </c>
      <c r="J1751" s="7">
        <f ca="1">IFERROR(__xludf.DUMMYFUNCTION("GOOGLEFINANCE(""NSE:""&amp;D1751,""marketcap"")"),4464500763)</f>
        <v>4464500763</v>
      </c>
      <c r="K1751" s="7">
        <v>992.8</v>
      </c>
      <c r="L1751" s="8">
        <f ca="1">IFERROR(__xludf.DUMMYFUNCTION("GOOGLEFINANCE(""NSE:""&amp;D1751,""price"")"),105.34)</f>
        <v>105.34</v>
      </c>
      <c r="M1751" s="9">
        <f t="shared" ca="1" si="37"/>
        <v>-887.45999999999992</v>
      </c>
      <c r="N1751" s="10">
        <f t="shared" ca="1" si="38"/>
        <v>-89.389605157131342</v>
      </c>
      <c r="O1751" s="7" t="str">
        <f ca="1">IFERROR(__xludf.DUMMYFUNCTION("GOOGLEFINANCE(""NSE:""&amp;D1751,""pe"")"),"#N/A")</f>
        <v>#N/A</v>
      </c>
      <c r="P1751" s="7">
        <f ca="1">IFERROR(__xludf.DUMMYFUNCTION("GOOGLEFINANCE(""NSE:""&amp;D1751,""EPS"")"),-6.53)</f>
        <v>-6.53</v>
      </c>
      <c r="Q1751" s="7">
        <v>13.5</v>
      </c>
      <c r="R1751" s="7" t="str">
        <f ca="1">IFERROR(__xludf.DUMMYFUNCTION("IMPORTXML(E1751,""/html/body/main/div[3]/div[3]/div[2]/ul/li[7]/span[2]/span"")"),"Loading...")</f>
        <v>Loading...</v>
      </c>
      <c r="S1751" s="7" t="str">
        <f ca="1">IFERROR(__xludf.DUMMYFUNCTION("IMPORTXML(E1751,""/html/body/main/div[3]/div[3]/div[2]/ul/li[8]/span[2]/span"")"),"Loading...")</f>
        <v>Loading...</v>
      </c>
      <c r="T1751" s="4">
        <v>34.6</v>
      </c>
      <c r="U1751" s="4">
        <v>22.7</v>
      </c>
      <c r="V1751" s="4">
        <v>2.6</v>
      </c>
      <c r="W1751" s="4">
        <v>5.7</v>
      </c>
      <c r="X1751" s="4">
        <v>519.92999999999995</v>
      </c>
      <c r="Y1751" s="7">
        <f t="shared" ca="1" si="39"/>
        <v>-414.58999999999992</v>
      </c>
    </row>
    <row r="1752" spans="1:25" ht="15" x14ac:dyDescent="0.25">
      <c r="A1752" s="4">
        <v>1291</v>
      </c>
      <c r="C1752" s="41" t="s">
        <v>3888</v>
      </c>
      <c r="D1752" s="42"/>
      <c r="E1752" s="5" t="str">
        <f t="shared" si="35"/>
        <v>https://www.screener.in/company//consolidated/</v>
      </c>
      <c r="F1752" s="4">
        <v>443059</v>
      </c>
      <c r="G1752" s="4">
        <v>3832241897</v>
      </c>
      <c r="H1752" s="6" t="e">
        <f t="shared" ca="1" si="36"/>
        <v>#VALUE!</v>
      </c>
      <c r="I1752" s="7" t="str">
        <f ca="1">IFERROR(__xludf.DUMMYFUNCTION("IMPORTXML(E1752,""/html/body/main/div[3]/div[3]/div[2]/ul/li[5]/span[2]/span"")"),"Loading...")</f>
        <v>Loading...</v>
      </c>
      <c r="J1752" s="7" t="str">
        <f ca="1">IFERROR(__xludf.DUMMYFUNCTION("GOOGLEFINANCE(""NSE:""&amp;D1752,""marketcap"")"),"#N/A")</f>
        <v>#N/A</v>
      </c>
      <c r="K1752" s="7">
        <v>992.8</v>
      </c>
      <c r="L1752" s="8" t="str">
        <f ca="1">IFERROR(__xludf.DUMMYFUNCTION("GOOGLEFINANCE(""NSE:""&amp;D1752,""price"")"),"#N/A")</f>
        <v>#N/A</v>
      </c>
      <c r="M1752" s="9" t="e">
        <f t="shared" ca="1" si="37"/>
        <v>#VALUE!</v>
      </c>
      <c r="N1752" s="10" t="e">
        <f t="shared" ca="1" si="38"/>
        <v>#VALUE!</v>
      </c>
      <c r="O1752" s="7" t="str">
        <f ca="1">IFERROR(__xludf.DUMMYFUNCTION("GOOGLEFINANCE(""NSE:""&amp;D1752,""pe"")"),"#N/A")</f>
        <v>#N/A</v>
      </c>
      <c r="P1752" s="7" t="str">
        <f ca="1">IFERROR(__xludf.DUMMYFUNCTION("GOOGLEFINANCE(""NSE:""&amp;D1752,""EPS"")"),"#N/A")</f>
        <v>#N/A</v>
      </c>
      <c r="Q1752" s="7">
        <v>13.5</v>
      </c>
      <c r="R1752" s="7" t="str">
        <f ca="1">IFERROR(__xludf.DUMMYFUNCTION("IMPORTXML(E1752,""/html/body/main/div[3]/div[3]/div[2]/ul/li[7]/span[2]/span"")"),"Loading...")</f>
        <v>Loading...</v>
      </c>
      <c r="S1752" s="7" t="str">
        <f ca="1">IFERROR(__xludf.DUMMYFUNCTION("IMPORTXML(E1752,""/html/body/main/div[3]/div[3]/div[2]/ul/li[8]/span[2]/span"")"),"Loading...")</f>
        <v>Loading...</v>
      </c>
      <c r="T1752" s="4">
        <v>34.6</v>
      </c>
      <c r="U1752" s="4">
        <v>22.7</v>
      </c>
      <c r="V1752" s="4">
        <v>2.6</v>
      </c>
      <c r="W1752" s="4">
        <v>5.7</v>
      </c>
      <c r="X1752" s="4">
        <v>519.92999999999995</v>
      </c>
      <c r="Y1752" s="7" t="e">
        <f t="shared" ca="1" si="39"/>
        <v>#VALUE!</v>
      </c>
    </row>
    <row r="1753" spans="1:25" ht="15" x14ac:dyDescent="0.25">
      <c r="A1753" s="4">
        <v>1294</v>
      </c>
      <c r="C1753" s="12" t="s">
        <v>3889</v>
      </c>
      <c r="D1753" s="12" t="s">
        <v>3890</v>
      </c>
      <c r="E1753" s="5" t="str">
        <f t="shared" si="35"/>
        <v>https://www.screener.in/company/GLOSTERLTD/consolidated/</v>
      </c>
      <c r="F1753" s="4">
        <v>443059</v>
      </c>
      <c r="G1753" s="4">
        <v>3832241897</v>
      </c>
      <c r="H1753" s="6">
        <f t="shared" ca="1" si="36"/>
        <v>252947.12641148496</v>
      </c>
      <c r="I1753" s="7" t="str">
        <f ca="1">IFERROR(__xludf.DUMMYFUNCTION("IMPORTXML(E1753,""/html/body/main/div[3]/div[3]/div[2]/ul/li[5]/span[2]/span"")"),"Loading...")</f>
        <v>Loading...</v>
      </c>
      <c r="J1753" s="7">
        <f ca="1">IFERROR(__xludf.DUMMYFUNCTION("GOOGLEFINANCE(""NSE:""&amp;D1753,""marketcap"")"),7223092028)</f>
        <v>7223092028</v>
      </c>
      <c r="K1753" s="7">
        <v>992.8</v>
      </c>
      <c r="L1753" s="8">
        <f ca="1">IFERROR(__xludf.DUMMYFUNCTION("GOOGLEFINANCE(""NSE:""&amp;D1753,""price"")"),660.05)</f>
        <v>660.05</v>
      </c>
      <c r="M1753" s="9">
        <f t="shared" ca="1" si="37"/>
        <v>-332.75</v>
      </c>
      <c r="N1753" s="10">
        <f t="shared" ca="1" si="38"/>
        <v>-33.516317485898469</v>
      </c>
      <c r="O1753" s="7" t="str">
        <f ca="1">IFERROR(__xludf.DUMMYFUNCTION("GOOGLEFINANCE(""NSE:""&amp;D1753,""pe"")"),"#N/A")</f>
        <v>#N/A</v>
      </c>
      <c r="P1753" s="7">
        <f ca="1">IFERROR(__xludf.DUMMYFUNCTION("GOOGLEFINANCE(""NSE:""&amp;D1753,""EPS"")"),-1.73)</f>
        <v>-1.73</v>
      </c>
      <c r="Q1753" s="7">
        <v>13.5</v>
      </c>
      <c r="R1753" s="7" t="str">
        <f ca="1">IFERROR(__xludf.DUMMYFUNCTION("IMPORTXML(E1753,""/html/body/main/div[3]/div[3]/div[2]/ul/li[7]/span[2]/span"")"),"Loading...")</f>
        <v>Loading...</v>
      </c>
      <c r="S1753" s="7" t="str">
        <f ca="1">IFERROR(__xludf.DUMMYFUNCTION("IMPORTXML(E1753,""/html/body/main/div[3]/div[3]/div[2]/ul/li[8]/span[2]/span"")"),"Loading...")</f>
        <v>Loading...</v>
      </c>
      <c r="T1753" s="4">
        <v>34.6</v>
      </c>
      <c r="U1753" s="4">
        <v>22.7</v>
      </c>
      <c r="V1753" s="4">
        <v>2.6</v>
      </c>
      <c r="W1753" s="4">
        <v>5.7</v>
      </c>
      <c r="X1753" s="4">
        <v>519.92999999999995</v>
      </c>
      <c r="Y1753" s="7">
        <f t="shared" ca="1" si="39"/>
        <v>140.12</v>
      </c>
    </row>
    <row r="1754" spans="1:25" ht="15" x14ac:dyDescent="0.25">
      <c r="A1754" s="4">
        <v>1298</v>
      </c>
      <c r="C1754" s="41" t="s">
        <v>3891</v>
      </c>
      <c r="D1754" s="42"/>
      <c r="E1754" s="5" t="str">
        <f t="shared" si="35"/>
        <v>https://www.screener.in/company//consolidated/</v>
      </c>
      <c r="F1754" s="4">
        <v>443059</v>
      </c>
      <c r="G1754" s="4">
        <v>3832241897</v>
      </c>
      <c r="H1754" s="6" t="e">
        <f t="shared" ca="1" si="36"/>
        <v>#VALUE!</v>
      </c>
      <c r="I1754" s="7" t="str">
        <f ca="1">IFERROR(__xludf.DUMMYFUNCTION("IMPORTXML(E1754,""/html/body/main/div[3]/div[3]/div[2]/ul/li[5]/span[2]/span"")"),"Loading...")</f>
        <v>Loading...</v>
      </c>
      <c r="J1754" s="7" t="str">
        <f ca="1">IFERROR(__xludf.DUMMYFUNCTION("GOOGLEFINANCE(""NSE:""&amp;D1754,""marketcap"")"),"#N/A")</f>
        <v>#N/A</v>
      </c>
      <c r="K1754" s="7">
        <v>992.8</v>
      </c>
      <c r="L1754" s="8" t="str">
        <f ca="1">IFERROR(__xludf.DUMMYFUNCTION("GOOGLEFINANCE(""NSE:""&amp;D1754,""price"")"),"#N/A")</f>
        <v>#N/A</v>
      </c>
      <c r="M1754" s="9" t="e">
        <f t="shared" ca="1" si="37"/>
        <v>#VALUE!</v>
      </c>
      <c r="N1754" s="10" t="e">
        <f t="shared" ca="1" si="38"/>
        <v>#VALUE!</v>
      </c>
      <c r="O1754" s="7" t="str">
        <f ca="1">IFERROR(__xludf.DUMMYFUNCTION("GOOGLEFINANCE(""NSE:""&amp;D1754,""pe"")"),"#N/A")</f>
        <v>#N/A</v>
      </c>
      <c r="P1754" s="7" t="str">
        <f ca="1">IFERROR(__xludf.DUMMYFUNCTION("GOOGLEFINANCE(""NSE:""&amp;D1754,""EPS"")"),"#N/A")</f>
        <v>#N/A</v>
      </c>
      <c r="Q1754" s="7">
        <v>13.5</v>
      </c>
      <c r="R1754" s="7" t="str">
        <f ca="1">IFERROR(__xludf.DUMMYFUNCTION("IMPORTXML(E1754,""/html/body/main/div[3]/div[3]/div[2]/ul/li[7]/span[2]/span"")"),"Loading...")</f>
        <v>Loading...</v>
      </c>
      <c r="S1754" s="7" t="str">
        <f ca="1">IFERROR(__xludf.DUMMYFUNCTION("IMPORTXML(E1754,""/html/body/main/div[3]/div[3]/div[2]/ul/li[8]/span[2]/span"")"),"Loading...")</f>
        <v>Loading...</v>
      </c>
      <c r="T1754" s="4">
        <v>34.6</v>
      </c>
      <c r="U1754" s="4">
        <v>22.7</v>
      </c>
      <c r="V1754" s="4">
        <v>2.6</v>
      </c>
      <c r="W1754" s="4">
        <v>5.7</v>
      </c>
      <c r="X1754" s="4">
        <v>519.92999999999995</v>
      </c>
      <c r="Y1754" s="7" t="e">
        <f t="shared" ca="1" si="39"/>
        <v>#VALUE!</v>
      </c>
    </row>
    <row r="1755" spans="1:25" ht="15" x14ac:dyDescent="0.25">
      <c r="A1755" s="4">
        <v>1299</v>
      </c>
      <c r="C1755" s="12" t="s">
        <v>3892</v>
      </c>
      <c r="D1755" s="12" t="s">
        <v>3893</v>
      </c>
      <c r="E1755" s="5" t="str">
        <f t="shared" si="35"/>
        <v>https://www.screener.in/company/SPENCERS/consolidated/</v>
      </c>
      <c r="F1755" s="4">
        <v>443059</v>
      </c>
      <c r="G1755" s="4">
        <v>3832241897</v>
      </c>
      <c r="H1755" s="6">
        <f t="shared" ca="1" si="36"/>
        <v>22464.602000213999</v>
      </c>
      <c r="I1755" s="7" t="str">
        <f ca="1">IFERROR(__xludf.DUMMYFUNCTION("IMPORTXML(E1755,""/html/body/main/div[3]/div[3]/div[2]/ul/li[5]/span[2]/span"")"),"Loading...")</f>
        <v>Loading...</v>
      </c>
      <c r="J1755" s="7">
        <f ca="1">IFERROR(__xludf.DUMMYFUNCTION("GOOGLEFINANCE(""NSE:""&amp;D1755,""marketcap"")"),5276503343)</f>
        <v>5276503343</v>
      </c>
      <c r="K1755" s="7">
        <v>992.8</v>
      </c>
      <c r="L1755" s="8">
        <f ca="1">IFERROR(__xludf.DUMMYFUNCTION("GOOGLEFINANCE(""NSE:""&amp;D1755,""price"")"),58.62)</f>
        <v>58.62</v>
      </c>
      <c r="M1755" s="9">
        <f t="shared" ca="1" si="37"/>
        <v>-934.18</v>
      </c>
      <c r="N1755" s="10">
        <f t="shared" ca="1" si="38"/>
        <v>-94.095487510072516</v>
      </c>
      <c r="O1755" s="7" t="str">
        <f ca="1">IFERROR(__xludf.DUMMYFUNCTION("GOOGLEFINANCE(""NSE:""&amp;D1755,""pe"")"),"#N/A")</f>
        <v>#N/A</v>
      </c>
      <c r="P1755" s="7">
        <f ca="1">IFERROR(__xludf.DUMMYFUNCTION("GOOGLEFINANCE(""NSE:""&amp;D1755,""EPS"")"),-29.35)</f>
        <v>-29.35</v>
      </c>
      <c r="Q1755" s="7">
        <v>13.5</v>
      </c>
      <c r="R1755" s="7" t="str">
        <f ca="1">IFERROR(__xludf.DUMMYFUNCTION("IMPORTXML(E1755,""/html/body/main/div[3]/div[3]/div[2]/ul/li[7]/span[2]/span"")"),"Loading...")</f>
        <v>Loading...</v>
      </c>
      <c r="S1755" s="7" t="str">
        <f ca="1">IFERROR(__xludf.DUMMYFUNCTION("IMPORTXML(E1755,""/html/body/main/div[3]/div[3]/div[2]/ul/li[8]/span[2]/span"")"),"Loading...")</f>
        <v>Loading...</v>
      </c>
      <c r="T1755" s="4">
        <v>34.6</v>
      </c>
      <c r="U1755" s="4">
        <v>22.7</v>
      </c>
      <c r="V1755" s="4">
        <v>2.6</v>
      </c>
      <c r="W1755" s="4">
        <v>5.7</v>
      </c>
      <c r="X1755" s="4">
        <v>519.92999999999995</v>
      </c>
      <c r="Y1755" s="7">
        <f t="shared" ca="1" si="39"/>
        <v>-461.30999999999995</v>
      </c>
    </row>
    <row r="1756" spans="1:25" ht="15" x14ac:dyDescent="0.25">
      <c r="A1756" s="4">
        <v>1301</v>
      </c>
      <c r="C1756" s="12" t="s">
        <v>3894</v>
      </c>
      <c r="D1756" s="12" t="s">
        <v>3895</v>
      </c>
      <c r="E1756" s="5" t="str">
        <f t="shared" si="35"/>
        <v>https://www.screener.in/company/ACL/consolidated/</v>
      </c>
      <c r="F1756" s="4">
        <v>443059</v>
      </c>
      <c r="G1756" s="4">
        <v>3832241897</v>
      </c>
      <c r="H1756" s="6">
        <f t="shared" ca="1" si="36"/>
        <v>40146.566112972003</v>
      </c>
      <c r="I1756" s="7" t="str">
        <f ca="1">IFERROR(__xludf.DUMMYFUNCTION("IMPORTXML(E1756,""/html/body/main/div[3]/div[3]/div[2]/ul/li[5]/span[2]/span"")"),"Loading...")</f>
        <v>Loading...</v>
      </c>
      <c r="J1756" s="7">
        <f ca="1">IFERROR(__xludf.DUMMYFUNCTION("GOOGLEFINANCE(""NSE:""&amp;D1756,""marketcap"")"),9655953583)</f>
        <v>9655953583</v>
      </c>
      <c r="K1756" s="7">
        <v>992.8</v>
      </c>
      <c r="L1756" s="8">
        <f ca="1">IFERROR(__xludf.DUMMYFUNCTION("GOOGLEFINANCE(""NSE:""&amp;D1756,""price"")"),104.76)</f>
        <v>104.76</v>
      </c>
      <c r="M1756" s="9">
        <f t="shared" ca="1" si="37"/>
        <v>-888.04</v>
      </c>
      <c r="N1756" s="10">
        <f t="shared" ca="1" si="38"/>
        <v>-89.448025785656725</v>
      </c>
      <c r="O1756" s="7" t="str">
        <f ca="1">IFERROR(__xludf.DUMMYFUNCTION("GOOGLEFINANCE(""NSE:""&amp;D1756,""pe"")"),"#N/A")</f>
        <v>#N/A</v>
      </c>
      <c r="P1756" s="7">
        <f ca="1">IFERROR(__xludf.DUMMYFUNCTION("GOOGLEFINANCE(""NSE:""&amp;D1756,""EPS"")"),-17.14)</f>
        <v>-17.14</v>
      </c>
      <c r="Q1756" s="7">
        <v>13.5</v>
      </c>
      <c r="R1756" s="7" t="str">
        <f ca="1">IFERROR(__xludf.DUMMYFUNCTION("IMPORTXML(E1756,""/html/body/main/div[3]/div[3]/div[2]/ul/li[7]/span[2]/span"")"),"Loading...")</f>
        <v>Loading...</v>
      </c>
      <c r="S1756" s="7" t="str">
        <f ca="1">IFERROR(__xludf.DUMMYFUNCTION("IMPORTXML(E1756,""/html/body/main/div[3]/div[3]/div[2]/ul/li[8]/span[2]/span"")"),"Loading...")</f>
        <v>Loading...</v>
      </c>
      <c r="T1756" s="4">
        <v>34.6</v>
      </c>
      <c r="U1756" s="4">
        <v>22.7</v>
      </c>
      <c r="V1756" s="4">
        <v>2.6</v>
      </c>
      <c r="W1756" s="4">
        <v>5.7</v>
      </c>
      <c r="X1756" s="4">
        <v>519.92999999999995</v>
      </c>
      <c r="Y1756" s="7">
        <f t="shared" ca="1" si="39"/>
        <v>-415.16999999999996</v>
      </c>
    </row>
    <row r="1757" spans="1:25" ht="15" x14ac:dyDescent="0.25">
      <c r="A1757" s="4">
        <v>1305</v>
      </c>
      <c r="C1757" s="41" t="s">
        <v>3896</v>
      </c>
      <c r="D1757" s="42"/>
      <c r="E1757" s="5" t="str">
        <f t="shared" si="35"/>
        <v>https://www.screener.in/company//consolidated/</v>
      </c>
      <c r="F1757" s="4">
        <v>443059</v>
      </c>
      <c r="G1757" s="4">
        <v>3832241897</v>
      </c>
      <c r="H1757" s="6" t="e">
        <f t="shared" ca="1" si="36"/>
        <v>#VALUE!</v>
      </c>
      <c r="I1757" s="7" t="str">
        <f ca="1">IFERROR(__xludf.DUMMYFUNCTION("IMPORTXML(E1757,""/html/body/main/div[3]/div[3]/div[2]/ul/li[5]/span[2]/span"")"),"Loading...")</f>
        <v>Loading...</v>
      </c>
      <c r="J1757" s="7" t="str">
        <f ca="1">IFERROR(__xludf.DUMMYFUNCTION("GOOGLEFINANCE(""NSE:""&amp;D1757,""marketcap"")"),"#N/A")</f>
        <v>#N/A</v>
      </c>
      <c r="K1757" s="7">
        <v>992.8</v>
      </c>
      <c r="L1757" s="8" t="str">
        <f ca="1">IFERROR(__xludf.DUMMYFUNCTION("GOOGLEFINANCE(""NSE:""&amp;D1757,""price"")"),"#N/A")</f>
        <v>#N/A</v>
      </c>
      <c r="M1757" s="9" t="e">
        <f t="shared" ca="1" si="37"/>
        <v>#VALUE!</v>
      </c>
      <c r="N1757" s="10" t="e">
        <f t="shared" ca="1" si="38"/>
        <v>#VALUE!</v>
      </c>
      <c r="O1757" s="7" t="str">
        <f ca="1">IFERROR(__xludf.DUMMYFUNCTION("GOOGLEFINANCE(""NSE:""&amp;D1757,""pe"")"),"#N/A")</f>
        <v>#N/A</v>
      </c>
      <c r="P1757" s="7" t="str">
        <f ca="1">IFERROR(__xludf.DUMMYFUNCTION("GOOGLEFINANCE(""NSE:""&amp;D1757,""EPS"")"),"#N/A")</f>
        <v>#N/A</v>
      </c>
      <c r="Q1757" s="7">
        <v>13.5</v>
      </c>
      <c r="R1757" s="7" t="str">
        <f ca="1">IFERROR(__xludf.DUMMYFUNCTION("IMPORTXML(E1757,""/html/body/main/div[3]/div[3]/div[2]/ul/li[7]/span[2]/span"")"),"Loading...")</f>
        <v>Loading...</v>
      </c>
      <c r="S1757" s="7" t="str">
        <f ca="1">IFERROR(__xludf.DUMMYFUNCTION("IMPORTXML(E1757,""/html/body/main/div[3]/div[3]/div[2]/ul/li[8]/span[2]/span"")"),"Loading...")</f>
        <v>Loading...</v>
      </c>
      <c r="T1757" s="4">
        <v>34.6</v>
      </c>
      <c r="U1757" s="4">
        <v>22.7</v>
      </c>
      <c r="V1757" s="4">
        <v>2.6</v>
      </c>
      <c r="W1757" s="4">
        <v>5.7</v>
      </c>
      <c r="X1757" s="4">
        <v>519.92999999999995</v>
      </c>
      <c r="Y1757" s="7" t="e">
        <f t="shared" ca="1" si="39"/>
        <v>#VALUE!</v>
      </c>
    </row>
    <row r="1758" spans="1:25" ht="15" x14ac:dyDescent="0.25">
      <c r="A1758" s="4">
        <v>1307</v>
      </c>
      <c r="C1758" s="12" t="s">
        <v>3897</v>
      </c>
      <c r="D1758" s="12" t="s">
        <v>3898</v>
      </c>
      <c r="E1758" s="5" t="str">
        <f t="shared" si="35"/>
        <v>https://www.screener.in/company/TRANSWORLD/consolidated/</v>
      </c>
      <c r="F1758" s="4">
        <v>443059</v>
      </c>
      <c r="G1758" s="4">
        <v>3832241897</v>
      </c>
      <c r="H1758" s="6">
        <f t="shared" ca="1" si="36"/>
        <v>103470.531219</v>
      </c>
      <c r="I1758" s="7" t="str">
        <f ca="1">IFERROR(__xludf.DUMMYFUNCTION("IMPORTXML(E1758,""/html/body/main/div[3]/div[3]/div[2]/ul/li[5]/span[2]/span"")"),"Loading...")</f>
        <v>Loading...</v>
      </c>
      <c r="J1758" s="7">
        <f ca="1">IFERROR(__xludf.DUMMYFUNCTION("GOOGLEFINANCE(""NSE:""&amp;D1758,""marketcap"")"),5949174000)</f>
        <v>5949174000</v>
      </c>
      <c r="K1758" s="7">
        <v>992.8</v>
      </c>
      <c r="L1758" s="8">
        <f ca="1">IFERROR(__xludf.DUMMYFUNCTION("GOOGLEFINANCE(""NSE:""&amp;D1758,""price"")"),270)</f>
        <v>270</v>
      </c>
      <c r="M1758" s="9">
        <f t="shared" ca="1" si="37"/>
        <v>-722.8</v>
      </c>
      <c r="N1758" s="10">
        <f t="shared" ca="1" si="38"/>
        <v>-72.804190169218373</v>
      </c>
      <c r="O1758" s="7" t="str">
        <f ca="1">IFERROR(__xludf.DUMMYFUNCTION("GOOGLEFINANCE(""NSE:""&amp;D1758,""pe"")"),"#N/A")</f>
        <v>#N/A</v>
      </c>
      <c r="P1758" s="7">
        <f ca="1">IFERROR(__xludf.DUMMYFUNCTION("GOOGLEFINANCE(""NSE:""&amp;D1758,""EPS"")"),-22.93)</f>
        <v>-22.93</v>
      </c>
      <c r="Q1758" s="7">
        <v>13.5</v>
      </c>
      <c r="R1758" s="7" t="str">
        <f ca="1">IFERROR(__xludf.DUMMYFUNCTION("IMPORTXML(E1758,""/html/body/main/div[3]/div[3]/div[2]/ul/li[7]/span[2]/span"")"),"Loading...")</f>
        <v>Loading...</v>
      </c>
      <c r="S1758" s="7" t="str">
        <f ca="1">IFERROR(__xludf.DUMMYFUNCTION("IMPORTXML(E1758,""/html/body/main/div[3]/div[3]/div[2]/ul/li[8]/span[2]/span"")"),"Loading...")</f>
        <v>Loading...</v>
      </c>
      <c r="T1758" s="4">
        <v>34.6</v>
      </c>
      <c r="U1758" s="4">
        <v>22.7</v>
      </c>
      <c r="V1758" s="4">
        <v>2.6</v>
      </c>
      <c r="W1758" s="4">
        <v>5.7</v>
      </c>
      <c r="X1758" s="4">
        <v>519.92999999999995</v>
      </c>
      <c r="Y1758" s="7">
        <f t="shared" ca="1" si="39"/>
        <v>-249.92999999999995</v>
      </c>
    </row>
    <row r="1759" spans="1:25" ht="15" x14ac:dyDescent="0.25">
      <c r="A1759" s="4">
        <v>1310</v>
      </c>
      <c r="C1759" s="41" t="s">
        <v>3899</v>
      </c>
      <c r="D1759" s="42"/>
      <c r="E1759" s="5" t="str">
        <f t="shared" si="35"/>
        <v>https://www.screener.in/company//consolidated/</v>
      </c>
      <c r="F1759" s="4">
        <v>443059</v>
      </c>
      <c r="G1759" s="4">
        <v>3832241897</v>
      </c>
      <c r="H1759" s="6" t="e">
        <f t="shared" ca="1" si="36"/>
        <v>#VALUE!</v>
      </c>
      <c r="I1759" s="7" t="str">
        <f ca="1">IFERROR(__xludf.DUMMYFUNCTION("IMPORTXML(E1759,""/html/body/main/div[3]/div[3]/div[2]/ul/li[5]/span[2]/span"")"),"Loading...")</f>
        <v>Loading...</v>
      </c>
      <c r="J1759" s="7" t="str">
        <f ca="1">IFERROR(__xludf.DUMMYFUNCTION("GOOGLEFINANCE(""NSE:""&amp;D1759,""marketcap"")"),"#N/A")</f>
        <v>#N/A</v>
      </c>
      <c r="K1759" s="7">
        <v>992.8</v>
      </c>
      <c r="L1759" s="8" t="str">
        <f ca="1">IFERROR(__xludf.DUMMYFUNCTION("GOOGLEFINANCE(""NSE:""&amp;D1759,""price"")"),"#N/A")</f>
        <v>#N/A</v>
      </c>
      <c r="M1759" s="9" t="e">
        <f t="shared" ca="1" si="37"/>
        <v>#VALUE!</v>
      </c>
      <c r="N1759" s="10" t="e">
        <f t="shared" ca="1" si="38"/>
        <v>#VALUE!</v>
      </c>
      <c r="O1759" s="7" t="str">
        <f ca="1">IFERROR(__xludf.DUMMYFUNCTION("GOOGLEFINANCE(""NSE:""&amp;D1759,""pe"")"),"#N/A")</f>
        <v>#N/A</v>
      </c>
      <c r="P1759" s="7" t="str">
        <f ca="1">IFERROR(__xludf.DUMMYFUNCTION("GOOGLEFINANCE(""NSE:""&amp;D1759,""EPS"")"),"#N/A")</f>
        <v>#N/A</v>
      </c>
      <c r="Q1759" s="7">
        <v>13.5</v>
      </c>
      <c r="R1759" s="7" t="str">
        <f ca="1">IFERROR(__xludf.DUMMYFUNCTION("IMPORTXML(E1759,""/html/body/main/div[3]/div[3]/div[2]/ul/li[7]/span[2]/span"")"),"Loading...")</f>
        <v>Loading...</v>
      </c>
      <c r="S1759" s="7" t="str">
        <f ca="1">IFERROR(__xludf.DUMMYFUNCTION("IMPORTXML(E1759,""/html/body/main/div[3]/div[3]/div[2]/ul/li[8]/span[2]/span"")"),"Loading...")</f>
        <v>Loading...</v>
      </c>
      <c r="T1759" s="4">
        <v>34.6</v>
      </c>
      <c r="U1759" s="4">
        <v>22.7</v>
      </c>
      <c r="V1759" s="4">
        <v>2.6</v>
      </c>
      <c r="W1759" s="4">
        <v>5.7</v>
      </c>
      <c r="X1759" s="4">
        <v>519.92999999999995</v>
      </c>
      <c r="Y1759" s="7" t="e">
        <f t="shared" ca="1" si="39"/>
        <v>#VALUE!</v>
      </c>
    </row>
    <row r="1760" spans="1:25" ht="15" x14ac:dyDescent="0.25">
      <c r="A1760" s="4">
        <v>1312</v>
      </c>
      <c r="C1760" s="12" t="s">
        <v>3900</v>
      </c>
      <c r="D1760" s="37"/>
      <c r="E1760" s="5" t="str">
        <f t="shared" si="35"/>
        <v>https://www.screener.in/company//consolidated/</v>
      </c>
      <c r="F1760" s="4">
        <v>443059</v>
      </c>
      <c r="G1760" s="4">
        <v>3832241897</v>
      </c>
      <c r="H1760" s="6" t="e">
        <f t="shared" ca="1" si="36"/>
        <v>#VALUE!</v>
      </c>
      <c r="I1760" s="7" t="str">
        <f ca="1">IFERROR(__xludf.DUMMYFUNCTION("IMPORTXML(E1760,""/html/body/main/div[3]/div[3]/div[2]/ul/li[5]/span[2]/span"")"),"Loading...")</f>
        <v>Loading...</v>
      </c>
      <c r="J1760" s="7" t="str">
        <f ca="1">IFERROR(__xludf.DUMMYFUNCTION("GOOGLEFINANCE(""NSE:""&amp;D1760,""marketcap"")"),"#N/A")</f>
        <v>#N/A</v>
      </c>
      <c r="K1760" s="7">
        <v>992.8</v>
      </c>
      <c r="L1760" s="8" t="str">
        <f ca="1">IFERROR(__xludf.DUMMYFUNCTION("GOOGLEFINANCE(""NSE:""&amp;D1760,""price"")"),"#N/A")</f>
        <v>#N/A</v>
      </c>
      <c r="M1760" s="9" t="e">
        <f t="shared" ca="1" si="37"/>
        <v>#VALUE!</v>
      </c>
      <c r="N1760" s="10" t="e">
        <f t="shared" ca="1" si="38"/>
        <v>#VALUE!</v>
      </c>
      <c r="O1760" s="7" t="str">
        <f ca="1">IFERROR(__xludf.DUMMYFUNCTION("GOOGLEFINANCE(""NSE:""&amp;D1760,""pe"")"),"#N/A")</f>
        <v>#N/A</v>
      </c>
      <c r="P1760" s="7" t="str">
        <f ca="1">IFERROR(__xludf.DUMMYFUNCTION("GOOGLEFINANCE(""NSE:""&amp;D1760,""EPS"")"),"#N/A")</f>
        <v>#N/A</v>
      </c>
      <c r="Q1760" s="7">
        <v>13.5</v>
      </c>
      <c r="R1760" s="7" t="str">
        <f ca="1">IFERROR(__xludf.DUMMYFUNCTION("IMPORTXML(E1760,""/html/body/main/div[3]/div[3]/div[2]/ul/li[7]/span[2]/span"")"),"Loading...")</f>
        <v>Loading...</v>
      </c>
      <c r="S1760" s="7" t="str">
        <f ca="1">IFERROR(__xludf.DUMMYFUNCTION("IMPORTXML(E1760,""/html/body/main/div[3]/div[3]/div[2]/ul/li[8]/span[2]/span"")"),"Loading...")</f>
        <v>Loading...</v>
      </c>
      <c r="T1760" s="4">
        <v>34.6</v>
      </c>
      <c r="U1760" s="4">
        <v>22.7</v>
      </c>
      <c r="V1760" s="4">
        <v>2.6</v>
      </c>
      <c r="W1760" s="4">
        <v>5.7</v>
      </c>
      <c r="X1760" s="4">
        <v>519.92999999999995</v>
      </c>
      <c r="Y1760" s="7" t="e">
        <f t="shared" ca="1" si="39"/>
        <v>#VALUE!</v>
      </c>
    </row>
    <row r="1761" spans="1:25" ht="15" x14ac:dyDescent="0.25">
      <c r="A1761" s="4">
        <v>1314</v>
      </c>
      <c r="C1761" s="41" t="s">
        <v>3901</v>
      </c>
      <c r="D1761" s="42"/>
      <c r="E1761" s="5" t="str">
        <f t="shared" si="35"/>
        <v>https://www.screener.in/company//consolidated/</v>
      </c>
      <c r="F1761" s="4">
        <v>443059</v>
      </c>
      <c r="G1761" s="4">
        <v>3832241897</v>
      </c>
      <c r="H1761" s="6" t="e">
        <f t="shared" ca="1" si="36"/>
        <v>#VALUE!</v>
      </c>
      <c r="I1761" s="7" t="str">
        <f ca="1">IFERROR(__xludf.DUMMYFUNCTION("IMPORTXML(E1761,""/html/body/main/div[3]/div[3]/div[2]/ul/li[5]/span[2]/span"")"),"Loading...")</f>
        <v>Loading...</v>
      </c>
      <c r="J1761" s="7" t="str">
        <f ca="1">IFERROR(__xludf.DUMMYFUNCTION("GOOGLEFINANCE(""NSE:""&amp;D1761,""marketcap"")"),"#N/A")</f>
        <v>#N/A</v>
      </c>
      <c r="K1761" s="7">
        <v>992.8</v>
      </c>
      <c r="L1761" s="8" t="str">
        <f ca="1">IFERROR(__xludf.DUMMYFUNCTION("GOOGLEFINANCE(""NSE:""&amp;D1761,""price"")"),"#N/A")</f>
        <v>#N/A</v>
      </c>
      <c r="M1761" s="9" t="e">
        <f t="shared" ca="1" si="37"/>
        <v>#VALUE!</v>
      </c>
      <c r="N1761" s="10" t="e">
        <f t="shared" ca="1" si="38"/>
        <v>#VALUE!</v>
      </c>
      <c r="O1761" s="7" t="str">
        <f ca="1">IFERROR(__xludf.DUMMYFUNCTION("GOOGLEFINANCE(""NSE:""&amp;D1761,""pe"")"),"#N/A")</f>
        <v>#N/A</v>
      </c>
      <c r="P1761" s="7" t="str">
        <f ca="1">IFERROR(__xludf.DUMMYFUNCTION("GOOGLEFINANCE(""NSE:""&amp;D1761,""EPS"")"),"#N/A")</f>
        <v>#N/A</v>
      </c>
      <c r="Q1761" s="7">
        <v>13.5</v>
      </c>
      <c r="R1761" s="7" t="str">
        <f ca="1">IFERROR(__xludf.DUMMYFUNCTION("IMPORTXML(E1761,""/html/body/main/div[3]/div[3]/div[2]/ul/li[7]/span[2]/span"")"),"Loading...")</f>
        <v>Loading...</v>
      </c>
      <c r="S1761" s="7" t="str">
        <f ca="1">IFERROR(__xludf.DUMMYFUNCTION("IMPORTXML(E1761,""/html/body/main/div[3]/div[3]/div[2]/ul/li[8]/span[2]/span"")"),"Loading...")</f>
        <v>Loading...</v>
      </c>
      <c r="T1761" s="4">
        <v>34.6</v>
      </c>
      <c r="U1761" s="4">
        <v>22.7</v>
      </c>
      <c r="V1761" s="4">
        <v>2.6</v>
      </c>
      <c r="W1761" s="4">
        <v>5.7</v>
      </c>
      <c r="X1761" s="4">
        <v>519.92999999999995</v>
      </c>
      <c r="Y1761" s="7" t="e">
        <f t="shared" ca="1" si="39"/>
        <v>#VALUE!</v>
      </c>
    </row>
    <row r="1762" spans="1:25" ht="15" x14ac:dyDescent="0.25">
      <c r="A1762" s="4">
        <v>1317</v>
      </c>
      <c r="C1762" s="12" t="s">
        <v>3902</v>
      </c>
      <c r="D1762" s="12" t="s">
        <v>3903</v>
      </c>
      <c r="E1762" s="5" t="str">
        <f t="shared" si="35"/>
        <v>https://www.screener.in/company/DBEIL/consolidated/</v>
      </c>
      <c r="F1762" s="4">
        <v>443059</v>
      </c>
      <c r="G1762" s="4">
        <v>3832241897</v>
      </c>
      <c r="H1762" s="6">
        <f t="shared" ca="1" si="36"/>
        <v>53383.12962521</v>
      </c>
      <c r="I1762" s="7" t="str">
        <f ca="1">IFERROR(__xludf.DUMMYFUNCTION("IMPORTXML(E1762,""/html/body/main/div[3]/div[3]/div[2]/ul/li[5]/span[2]/span"")"),"Loading...")</f>
        <v>Loading...</v>
      </c>
      <c r="J1762" s="7">
        <f ca="1">IFERROR(__xludf.DUMMYFUNCTION("GOOGLEFINANCE(""NSE:""&amp;D1762,""marketcap"")"),6488712547)</f>
        <v>6488712547</v>
      </c>
      <c r="K1762" s="7">
        <v>992.8</v>
      </c>
      <c r="L1762" s="8">
        <f ca="1">IFERROR(__xludf.DUMMYFUNCTION("GOOGLEFINANCE(""NSE:""&amp;D1762,""price"")"),139.3)</f>
        <v>139.30000000000001</v>
      </c>
      <c r="M1762" s="9">
        <f t="shared" ca="1" si="37"/>
        <v>-853.5</v>
      </c>
      <c r="N1762" s="10">
        <f t="shared" ca="1" si="38"/>
        <v>-85.968976631748589</v>
      </c>
      <c r="O1762" s="7">
        <f ca="1">IFERROR(__xludf.DUMMYFUNCTION("GOOGLEFINANCE(""NSE:""&amp;D1762,""pe"")"),11.06)</f>
        <v>11.06</v>
      </c>
      <c r="P1762" s="7">
        <f ca="1">IFERROR(__xludf.DUMMYFUNCTION("GOOGLEFINANCE(""NSE:""&amp;D1762,""EPS"")"),12.6)</f>
        <v>12.6</v>
      </c>
      <c r="Q1762" s="7">
        <v>13.5</v>
      </c>
      <c r="R1762" s="7" t="str">
        <f ca="1">IFERROR(__xludf.DUMMYFUNCTION("IMPORTXML(E1762,""/html/body/main/div[3]/div[3]/div[2]/ul/li[7]/span[2]/span"")"),"Loading...")</f>
        <v>Loading...</v>
      </c>
      <c r="S1762" s="7" t="str">
        <f ca="1">IFERROR(__xludf.DUMMYFUNCTION("IMPORTXML(E1762,""/html/body/main/div[3]/div[3]/div[2]/ul/li[8]/span[2]/span"")"),"Loading...")</f>
        <v>Loading...</v>
      </c>
      <c r="T1762" s="4">
        <v>34.6</v>
      </c>
      <c r="U1762" s="4">
        <v>22.7</v>
      </c>
      <c r="V1762" s="4">
        <v>2.6</v>
      </c>
      <c r="W1762" s="4">
        <v>5.7</v>
      </c>
      <c r="X1762" s="4">
        <v>519.92999999999995</v>
      </c>
      <c r="Y1762" s="7">
        <f t="shared" ca="1" si="39"/>
        <v>-380.62999999999994</v>
      </c>
    </row>
    <row r="1763" spans="1:25" ht="15" x14ac:dyDescent="0.25">
      <c r="A1763" s="4">
        <v>1318</v>
      </c>
      <c r="C1763" s="41" t="s">
        <v>3904</v>
      </c>
      <c r="D1763" s="42"/>
      <c r="E1763" s="5" t="str">
        <f t="shared" si="35"/>
        <v>https://www.screener.in/company//consolidated/</v>
      </c>
      <c r="F1763" s="4">
        <v>443059</v>
      </c>
      <c r="G1763" s="4">
        <v>3832241897</v>
      </c>
      <c r="H1763" s="6" t="e">
        <f t="shared" ca="1" si="36"/>
        <v>#VALUE!</v>
      </c>
      <c r="I1763" s="7" t="str">
        <f ca="1">IFERROR(__xludf.DUMMYFUNCTION("IMPORTXML(E1763,""/html/body/main/div[3]/div[3]/div[2]/ul/li[5]/span[2]/span"")"),"Loading...")</f>
        <v>Loading...</v>
      </c>
      <c r="J1763" s="7" t="str">
        <f ca="1">IFERROR(__xludf.DUMMYFUNCTION("GOOGLEFINANCE(""NSE:""&amp;D1763,""marketcap"")"),"#N/A")</f>
        <v>#N/A</v>
      </c>
      <c r="K1763" s="7">
        <v>992.8</v>
      </c>
      <c r="L1763" s="8" t="str">
        <f ca="1">IFERROR(__xludf.DUMMYFUNCTION("GOOGLEFINANCE(""NSE:""&amp;D1763,""price"")"),"#N/A")</f>
        <v>#N/A</v>
      </c>
      <c r="M1763" s="9" t="e">
        <f t="shared" ca="1" si="37"/>
        <v>#VALUE!</v>
      </c>
      <c r="N1763" s="10" t="e">
        <f t="shared" ca="1" si="38"/>
        <v>#VALUE!</v>
      </c>
      <c r="O1763" s="7" t="str">
        <f ca="1">IFERROR(__xludf.DUMMYFUNCTION("GOOGLEFINANCE(""NSE:""&amp;D1763,""pe"")"),"#N/A")</f>
        <v>#N/A</v>
      </c>
      <c r="P1763" s="7" t="str">
        <f ca="1">IFERROR(__xludf.DUMMYFUNCTION("GOOGLEFINANCE(""NSE:""&amp;D1763,""EPS"")"),"#N/A")</f>
        <v>#N/A</v>
      </c>
      <c r="Q1763" s="7">
        <v>13.5</v>
      </c>
      <c r="R1763" s="7" t="str">
        <f ca="1">IFERROR(__xludf.DUMMYFUNCTION("IMPORTXML(E1763,""/html/body/main/div[3]/div[3]/div[2]/ul/li[7]/span[2]/span"")"),"Loading...")</f>
        <v>Loading...</v>
      </c>
      <c r="S1763" s="7" t="str">
        <f ca="1">IFERROR(__xludf.DUMMYFUNCTION("IMPORTXML(E1763,""/html/body/main/div[3]/div[3]/div[2]/ul/li[8]/span[2]/span"")"),"Loading...")</f>
        <v>Loading...</v>
      </c>
      <c r="T1763" s="4">
        <v>34.6</v>
      </c>
      <c r="U1763" s="4">
        <v>22.7</v>
      </c>
      <c r="V1763" s="4">
        <v>2.6</v>
      </c>
      <c r="W1763" s="4">
        <v>5.7</v>
      </c>
      <c r="X1763" s="4">
        <v>519.92999999999995</v>
      </c>
      <c r="Y1763" s="7" t="e">
        <f t="shared" ca="1" si="39"/>
        <v>#VALUE!</v>
      </c>
    </row>
    <row r="1764" spans="1:25" ht="15" x14ac:dyDescent="0.25">
      <c r="A1764" s="4">
        <v>1319</v>
      </c>
      <c r="C1764" s="41" t="s">
        <v>3905</v>
      </c>
      <c r="D1764" s="42"/>
      <c r="E1764" s="5" t="str">
        <f t="shared" si="35"/>
        <v>https://www.screener.in/company//consolidated/</v>
      </c>
      <c r="F1764" s="4">
        <v>443059</v>
      </c>
      <c r="G1764" s="4">
        <v>3832241897</v>
      </c>
      <c r="H1764" s="6" t="e">
        <f t="shared" ca="1" si="36"/>
        <v>#VALUE!</v>
      </c>
      <c r="I1764" s="7" t="str">
        <f ca="1">IFERROR(__xludf.DUMMYFUNCTION("IMPORTXML(E1764,""/html/body/main/div[3]/div[3]/div[2]/ul/li[5]/span[2]/span"")"),"Loading...")</f>
        <v>Loading...</v>
      </c>
      <c r="J1764" s="7" t="str">
        <f ca="1">IFERROR(__xludf.DUMMYFUNCTION("GOOGLEFINANCE(""NSE:""&amp;D1764,""marketcap"")"),"#N/A")</f>
        <v>#N/A</v>
      </c>
      <c r="K1764" s="7">
        <v>992.8</v>
      </c>
      <c r="L1764" s="8" t="str">
        <f ca="1">IFERROR(__xludf.DUMMYFUNCTION("GOOGLEFINANCE(""NSE:""&amp;D1764,""price"")"),"#N/A")</f>
        <v>#N/A</v>
      </c>
      <c r="M1764" s="9" t="e">
        <f t="shared" ca="1" si="37"/>
        <v>#VALUE!</v>
      </c>
      <c r="N1764" s="10" t="e">
        <f t="shared" ca="1" si="38"/>
        <v>#VALUE!</v>
      </c>
      <c r="O1764" s="7" t="str">
        <f ca="1">IFERROR(__xludf.DUMMYFUNCTION("GOOGLEFINANCE(""NSE:""&amp;D1764,""pe"")"),"#N/A")</f>
        <v>#N/A</v>
      </c>
      <c r="P1764" s="7" t="str">
        <f ca="1">IFERROR(__xludf.DUMMYFUNCTION("GOOGLEFINANCE(""NSE:""&amp;D1764,""EPS"")"),"#N/A")</f>
        <v>#N/A</v>
      </c>
      <c r="Q1764" s="7">
        <v>13.5</v>
      </c>
      <c r="R1764" s="7" t="str">
        <f ca="1">IFERROR(__xludf.DUMMYFUNCTION("IMPORTXML(E1764,""/html/body/main/div[3]/div[3]/div[2]/ul/li[7]/span[2]/span"")"),"Loading...")</f>
        <v>Loading...</v>
      </c>
      <c r="S1764" s="7" t="str">
        <f ca="1">IFERROR(__xludf.DUMMYFUNCTION("IMPORTXML(E1764,""/html/body/main/div[3]/div[3]/div[2]/ul/li[8]/span[2]/span"")"),"Loading...")</f>
        <v>Loading...</v>
      </c>
      <c r="T1764" s="4">
        <v>34.6</v>
      </c>
      <c r="U1764" s="4">
        <v>22.7</v>
      </c>
      <c r="V1764" s="4">
        <v>2.6</v>
      </c>
      <c r="W1764" s="4">
        <v>5.7</v>
      </c>
      <c r="X1764" s="4">
        <v>519.92999999999995</v>
      </c>
      <c r="Y1764" s="7" t="e">
        <f t="shared" ca="1" si="39"/>
        <v>#VALUE!</v>
      </c>
    </row>
    <row r="1765" spans="1:25" ht="15" x14ac:dyDescent="0.25">
      <c r="A1765" s="4">
        <v>1321</v>
      </c>
      <c r="C1765" s="12" t="s">
        <v>3906</v>
      </c>
      <c r="D1765" s="12" t="s">
        <v>3907</v>
      </c>
      <c r="E1765" s="5" t="str">
        <f t="shared" si="35"/>
        <v>https://www.screener.in/company/COFFEEDAY/consolidated/</v>
      </c>
      <c r="F1765" s="4">
        <v>443059</v>
      </c>
      <c r="G1765" s="4">
        <v>3832241897</v>
      </c>
      <c r="H1765" s="6">
        <f t="shared" ca="1" si="36"/>
        <v>17130.121279590003</v>
      </c>
      <c r="I1765" s="7" t="str">
        <f ca="1">IFERROR(__xludf.DUMMYFUNCTION("IMPORTXML(E1765,""/html/body/main/div[3]/div[3]/div[2]/ul/li[5]/span[2]/span"")"),"Loading...")</f>
        <v>Loading...</v>
      </c>
      <c r="J1765" s="7">
        <f ca="1">IFERROR(__xludf.DUMMYFUNCTION("GOOGLEFINANCE(""NSE:""&amp;D1765,""marketcap"")"),9437947027)</f>
        <v>9437947027</v>
      </c>
      <c r="K1765" s="7">
        <v>992.8</v>
      </c>
      <c r="L1765" s="8">
        <f ca="1">IFERROR(__xludf.DUMMYFUNCTION("GOOGLEFINANCE(""NSE:""&amp;D1765,""price"")"),44.7)</f>
        <v>44.7</v>
      </c>
      <c r="M1765" s="9">
        <f t="shared" ca="1" si="37"/>
        <v>-948.09999999999991</v>
      </c>
      <c r="N1765" s="10">
        <f t="shared" ca="1" si="38"/>
        <v>-95.497582594681703</v>
      </c>
      <c r="O1765" s="7" t="str">
        <f ca="1">IFERROR(__xludf.DUMMYFUNCTION("GOOGLEFINANCE(""NSE:""&amp;D1765,""pe"")"),"#N/A")</f>
        <v>#N/A</v>
      </c>
      <c r="P1765" s="7">
        <f ca="1">IFERROR(__xludf.DUMMYFUNCTION("GOOGLEFINANCE(""NSE:""&amp;D1765,""EPS"")"),-0.9)</f>
        <v>-0.9</v>
      </c>
      <c r="Q1765" s="7">
        <v>13.5</v>
      </c>
      <c r="R1765" s="7" t="str">
        <f ca="1">IFERROR(__xludf.DUMMYFUNCTION("IMPORTXML(E1765,""/html/body/main/div[3]/div[3]/div[2]/ul/li[7]/span[2]/span"")"),"Loading...")</f>
        <v>Loading...</v>
      </c>
      <c r="S1765" s="7" t="str">
        <f ca="1">IFERROR(__xludf.DUMMYFUNCTION("IMPORTXML(E1765,""/html/body/main/div[3]/div[3]/div[2]/ul/li[8]/span[2]/span"")"),"Loading...")</f>
        <v>Loading...</v>
      </c>
      <c r="T1765" s="4">
        <v>34.6</v>
      </c>
      <c r="U1765" s="4">
        <v>22.7</v>
      </c>
      <c r="V1765" s="4">
        <v>2.6</v>
      </c>
      <c r="W1765" s="4">
        <v>5.7</v>
      </c>
      <c r="X1765" s="4">
        <v>519.92999999999995</v>
      </c>
      <c r="Y1765" s="7">
        <f t="shared" ca="1" si="39"/>
        <v>-475.22999999999996</v>
      </c>
    </row>
    <row r="1766" spans="1:25" ht="15" x14ac:dyDescent="0.25">
      <c r="A1766" s="4">
        <v>1323</v>
      </c>
      <c r="C1766" s="41" t="s">
        <v>3908</v>
      </c>
      <c r="D1766" s="42"/>
      <c r="E1766" s="5" t="str">
        <f t="shared" si="35"/>
        <v>https://www.screener.in/company//consolidated/</v>
      </c>
      <c r="F1766" s="4">
        <v>443059</v>
      </c>
      <c r="G1766" s="4">
        <v>3832241897</v>
      </c>
      <c r="H1766" s="6" t="e">
        <f t="shared" ca="1" si="36"/>
        <v>#VALUE!</v>
      </c>
      <c r="I1766" s="7" t="str">
        <f ca="1">IFERROR(__xludf.DUMMYFUNCTION("IMPORTXML(E1766,""/html/body/main/div[3]/div[3]/div[2]/ul/li[5]/span[2]/span"")"),"Loading...")</f>
        <v>Loading...</v>
      </c>
      <c r="J1766" s="7" t="str">
        <f ca="1">IFERROR(__xludf.DUMMYFUNCTION("GOOGLEFINANCE(""NSE:""&amp;D1766,""marketcap"")"),"#N/A")</f>
        <v>#N/A</v>
      </c>
      <c r="K1766" s="7">
        <v>992.8</v>
      </c>
      <c r="L1766" s="8" t="str">
        <f ca="1">IFERROR(__xludf.DUMMYFUNCTION("GOOGLEFINANCE(""NSE:""&amp;D1766,""price"")"),"#N/A")</f>
        <v>#N/A</v>
      </c>
      <c r="M1766" s="9" t="e">
        <f t="shared" ca="1" si="37"/>
        <v>#VALUE!</v>
      </c>
      <c r="N1766" s="10" t="e">
        <f t="shared" ca="1" si="38"/>
        <v>#VALUE!</v>
      </c>
      <c r="O1766" s="7" t="str">
        <f ca="1">IFERROR(__xludf.DUMMYFUNCTION("GOOGLEFINANCE(""NSE:""&amp;D1766,""pe"")"),"#N/A")</f>
        <v>#N/A</v>
      </c>
      <c r="P1766" s="7" t="str">
        <f ca="1">IFERROR(__xludf.DUMMYFUNCTION("GOOGLEFINANCE(""NSE:""&amp;D1766,""EPS"")"),"#N/A")</f>
        <v>#N/A</v>
      </c>
      <c r="Q1766" s="7">
        <v>13.5</v>
      </c>
      <c r="R1766" s="7" t="str">
        <f ca="1">IFERROR(__xludf.DUMMYFUNCTION("IMPORTXML(E1766,""/html/body/main/div[3]/div[3]/div[2]/ul/li[7]/span[2]/span"")"),"Loading...")</f>
        <v>Loading...</v>
      </c>
      <c r="S1766" s="7" t="str">
        <f ca="1">IFERROR(__xludf.DUMMYFUNCTION("IMPORTXML(E1766,""/html/body/main/div[3]/div[3]/div[2]/ul/li[8]/span[2]/span"")"),"Loading...")</f>
        <v>Loading...</v>
      </c>
      <c r="T1766" s="4">
        <v>34.6</v>
      </c>
      <c r="U1766" s="4">
        <v>22.7</v>
      </c>
      <c r="V1766" s="4">
        <v>2.6</v>
      </c>
      <c r="W1766" s="4">
        <v>5.7</v>
      </c>
      <c r="X1766" s="4">
        <v>519.92999999999995</v>
      </c>
      <c r="Y1766" s="7" t="e">
        <f t="shared" ca="1" si="39"/>
        <v>#VALUE!</v>
      </c>
    </row>
    <row r="1767" spans="1:25" ht="15" x14ac:dyDescent="0.25">
      <c r="A1767" s="4">
        <v>1324</v>
      </c>
      <c r="C1767" s="12" t="s">
        <v>3909</v>
      </c>
      <c r="D1767" s="12" t="s">
        <v>3910</v>
      </c>
      <c r="E1767" s="5" t="str">
        <f t="shared" si="35"/>
        <v>https://www.screener.in/company/VIKASLIFE/consolidated/</v>
      </c>
      <c r="F1767" s="4">
        <v>443059</v>
      </c>
      <c r="G1767" s="4">
        <v>3832241897</v>
      </c>
      <c r="H1767" s="6">
        <f t="shared" ca="1" si="36"/>
        <v>866.0866687219999</v>
      </c>
      <c r="I1767" s="7" t="str">
        <f ca="1">IFERROR(__xludf.DUMMYFUNCTION("IMPORTXML(E1767,""/html/body/main/div[3]/div[3]/div[2]/ul/li[5]/span[2]/span"")"),"Loading...")</f>
        <v>Loading...</v>
      </c>
      <c r="J1767" s="7">
        <f ca="1">IFERROR(__xludf.DUMMYFUNCTION("GOOGLEFINANCE(""NSE:""&amp;D1767,""marketcap"")"),4198329662)</f>
        <v>4198329662</v>
      </c>
      <c r="K1767" s="7">
        <v>992.8</v>
      </c>
      <c r="L1767" s="8">
        <f ca="1">IFERROR(__xludf.DUMMYFUNCTION("GOOGLEFINANCE(""NSE:""&amp;D1767,""price"")"),2.26)</f>
        <v>2.2599999999999998</v>
      </c>
      <c r="M1767" s="9">
        <f t="shared" ca="1" si="37"/>
        <v>-990.54</v>
      </c>
      <c r="N1767" s="10">
        <f t="shared" ca="1" si="38"/>
        <v>-99.772360999194206</v>
      </c>
      <c r="O1767" s="7" t="str">
        <f ca="1">IFERROR(__xludf.DUMMYFUNCTION("GOOGLEFINANCE(""NSE:""&amp;D1767,""pe"")"),"#N/A")</f>
        <v>#N/A</v>
      </c>
      <c r="P1767" s="7">
        <f ca="1">IFERROR(__xludf.DUMMYFUNCTION("GOOGLEFINANCE(""NSE:""&amp;D1767,""EPS"")"),-0.05)</f>
        <v>-0.05</v>
      </c>
      <c r="Q1767" s="7">
        <v>13.5</v>
      </c>
      <c r="R1767" s="7" t="str">
        <f ca="1">IFERROR(__xludf.DUMMYFUNCTION("IMPORTXML(E1767,""/html/body/main/div[3]/div[3]/div[2]/ul/li[7]/span[2]/span"")"),"Loading...")</f>
        <v>Loading...</v>
      </c>
      <c r="S1767" s="7" t="str">
        <f ca="1">IFERROR(__xludf.DUMMYFUNCTION("IMPORTXML(E1767,""/html/body/main/div[3]/div[3]/div[2]/ul/li[8]/span[2]/span"")"),"Loading...")</f>
        <v>Loading...</v>
      </c>
      <c r="T1767" s="4">
        <v>34.6</v>
      </c>
      <c r="U1767" s="4">
        <v>22.7</v>
      </c>
      <c r="V1767" s="4">
        <v>2.6</v>
      </c>
      <c r="W1767" s="4">
        <v>5.7</v>
      </c>
      <c r="X1767" s="4">
        <v>519.92999999999995</v>
      </c>
      <c r="Y1767" s="7">
        <f t="shared" ca="1" si="39"/>
        <v>-517.66999999999996</v>
      </c>
    </row>
    <row r="1768" spans="1:25" ht="15" x14ac:dyDescent="0.25">
      <c r="A1768" s="4">
        <v>1325</v>
      </c>
      <c r="C1768" s="41" t="s">
        <v>3911</v>
      </c>
      <c r="D1768" s="42"/>
      <c r="E1768" s="5" t="str">
        <f t="shared" si="35"/>
        <v>https://www.screener.in/company//consolidated/</v>
      </c>
      <c r="F1768" s="4">
        <v>443059</v>
      </c>
      <c r="G1768" s="4">
        <v>3832241897</v>
      </c>
      <c r="H1768" s="6" t="e">
        <f t="shared" ca="1" si="36"/>
        <v>#VALUE!</v>
      </c>
      <c r="I1768" s="7" t="str">
        <f ca="1">IFERROR(__xludf.DUMMYFUNCTION("IMPORTXML(E1768,""/html/body/main/div[3]/div[3]/div[2]/ul/li[5]/span[2]/span"")"),"Loading...")</f>
        <v>Loading...</v>
      </c>
      <c r="J1768" s="7" t="str">
        <f ca="1">IFERROR(__xludf.DUMMYFUNCTION("GOOGLEFINANCE(""NSE:""&amp;D1768,""marketcap"")"),"#N/A")</f>
        <v>#N/A</v>
      </c>
      <c r="K1768" s="7">
        <v>992.8</v>
      </c>
      <c r="L1768" s="8" t="str">
        <f ca="1">IFERROR(__xludf.DUMMYFUNCTION("GOOGLEFINANCE(""NSE:""&amp;D1768,""price"")"),"#N/A")</f>
        <v>#N/A</v>
      </c>
      <c r="M1768" s="9" t="e">
        <f t="shared" ca="1" si="37"/>
        <v>#VALUE!</v>
      </c>
      <c r="N1768" s="10" t="e">
        <f t="shared" ca="1" si="38"/>
        <v>#VALUE!</v>
      </c>
      <c r="O1768" s="7" t="str">
        <f ca="1">IFERROR(__xludf.DUMMYFUNCTION("GOOGLEFINANCE(""NSE:""&amp;D1768,""pe"")"),"#N/A")</f>
        <v>#N/A</v>
      </c>
      <c r="P1768" s="7" t="str">
        <f ca="1">IFERROR(__xludf.DUMMYFUNCTION("GOOGLEFINANCE(""NSE:""&amp;D1768,""EPS"")"),"#N/A")</f>
        <v>#N/A</v>
      </c>
      <c r="Q1768" s="7">
        <v>13.5</v>
      </c>
      <c r="R1768" s="7" t="str">
        <f ca="1">IFERROR(__xludf.DUMMYFUNCTION("IMPORTXML(E1768,""/html/body/main/div[3]/div[3]/div[2]/ul/li[7]/span[2]/span"")"),"Loading...")</f>
        <v>Loading...</v>
      </c>
      <c r="S1768" s="7" t="str">
        <f ca="1">IFERROR(__xludf.DUMMYFUNCTION("IMPORTXML(E1768,""/html/body/main/div[3]/div[3]/div[2]/ul/li[8]/span[2]/span"")"),"Loading...")</f>
        <v>Loading...</v>
      </c>
      <c r="T1768" s="4">
        <v>34.6</v>
      </c>
      <c r="U1768" s="4">
        <v>22.7</v>
      </c>
      <c r="V1768" s="4">
        <v>2.6</v>
      </c>
      <c r="W1768" s="4">
        <v>5.7</v>
      </c>
      <c r="X1768" s="4">
        <v>519.92999999999995</v>
      </c>
      <c r="Y1768" s="7" t="e">
        <f t="shared" ca="1" si="39"/>
        <v>#VALUE!</v>
      </c>
    </row>
    <row r="1769" spans="1:25" ht="15" x14ac:dyDescent="0.25">
      <c r="A1769" s="4">
        <v>1328</v>
      </c>
      <c r="C1769" s="41" t="s">
        <v>3912</v>
      </c>
      <c r="D1769" s="42"/>
      <c r="E1769" s="5" t="str">
        <f t="shared" si="35"/>
        <v>https://www.screener.in/company//consolidated/</v>
      </c>
      <c r="F1769" s="4">
        <v>443059</v>
      </c>
      <c r="G1769" s="4">
        <v>3832241897</v>
      </c>
      <c r="H1769" s="6" t="e">
        <f t="shared" ca="1" si="36"/>
        <v>#VALUE!</v>
      </c>
      <c r="I1769" s="7" t="str">
        <f ca="1">IFERROR(__xludf.DUMMYFUNCTION("IMPORTXML(E1769,""/html/body/main/div[3]/div[3]/div[2]/ul/li[5]/span[2]/span"")"),"Loading...")</f>
        <v>Loading...</v>
      </c>
      <c r="J1769" s="7" t="str">
        <f ca="1">IFERROR(__xludf.DUMMYFUNCTION("GOOGLEFINANCE(""NSE:""&amp;D1769,""marketcap"")"),"#N/A")</f>
        <v>#N/A</v>
      </c>
      <c r="K1769" s="7">
        <v>992.8</v>
      </c>
      <c r="L1769" s="8" t="str">
        <f ca="1">IFERROR(__xludf.DUMMYFUNCTION("GOOGLEFINANCE(""NSE:""&amp;D1769,""price"")"),"#N/A")</f>
        <v>#N/A</v>
      </c>
      <c r="M1769" s="9" t="e">
        <f t="shared" ca="1" si="37"/>
        <v>#VALUE!</v>
      </c>
      <c r="N1769" s="10" t="e">
        <f t="shared" ca="1" si="38"/>
        <v>#VALUE!</v>
      </c>
      <c r="O1769" s="7" t="str">
        <f ca="1">IFERROR(__xludf.DUMMYFUNCTION("GOOGLEFINANCE(""NSE:""&amp;D1769,""pe"")"),"#N/A")</f>
        <v>#N/A</v>
      </c>
      <c r="P1769" s="7" t="str">
        <f ca="1">IFERROR(__xludf.DUMMYFUNCTION("GOOGLEFINANCE(""NSE:""&amp;D1769,""EPS"")"),"#N/A")</f>
        <v>#N/A</v>
      </c>
      <c r="Q1769" s="7">
        <v>13.5</v>
      </c>
      <c r="R1769" s="7" t="str">
        <f ca="1">IFERROR(__xludf.DUMMYFUNCTION("IMPORTXML(E1769,""/html/body/main/div[3]/div[3]/div[2]/ul/li[7]/span[2]/span"")"),"Loading...")</f>
        <v>Loading...</v>
      </c>
      <c r="S1769" s="7" t="str">
        <f ca="1">IFERROR(__xludf.DUMMYFUNCTION("IMPORTXML(E1769,""/html/body/main/div[3]/div[3]/div[2]/ul/li[8]/span[2]/span"")"),"Loading...")</f>
        <v>Loading...</v>
      </c>
      <c r="T1769" s="4">
        <v>34.6</v>
      </c>
      <c r="U1769" s="4">
        <v>22.7</v>
      </c>
      <c r="V1769" s="4">
        <v>2.6</v>
      </c>
      <c r="W1769" s="4">
        <v>5.7</v>
      </c>
      <c r="X1769" s="4">
        <v>519.92999999999995</v>
      </c>
      <c r="Y1769" s="7" t="e">
        <f t="shared" ca="1" si="39"/>
        <v>#VALUE!</v>
      </c>
    </row>
    <row r="1770" spans="1:25" ht="15" x14ac:dyDescent="0.25">
      <c r="A1770" s="4">
        <v>1329</v>
      </c>
      <c r="C1770" s="41" t="s">
        <v>3913</v>
      </c>
      <c r="D1770" s="42"/>
      <c r="E1770" s="5" t="str">
        <f t="shared" si="35"/>
        <v>https://www.screener.in/company//consolidated/</v>
      </c>
      <c r="F1770" s="4">
        <v>443059</v>
      </c>
      <c r="G1770" s="4">
        <v>3832241897</v>
      </c>
      <c r="H1770" s="6" t="e">
        <f t="shared" ca="1" si="36"/>
        <v>#VALUE!</v>
      </c>
      <c r="I1770" s="7" t="str">
        <f ca="1">IFERROR(__xludf.DUMMYFUNCTION("IMPORTXML(E1770,""/html/body/main/div[3]/div[3]/div[2]/ul/li[5]/span[2]/span"")"),"Loading...")</f>
        <v>Loading...</v>
      </c>
      <c r="J1770" s="7" t="str">
        <f ca="1">IFERROR(__xludf.DUMMYFUNCTION("GOOGLEFINANCE(""NSE:""&amp;D1770,""marketcap"")"),"#N/A")</f>
        <v>#N/A</v>
      </c>
      <c r="K1770" s="7">
        <v>992.8</v>
      </c>
      <c r="L1770" s="8" t="str">
        <f ca="1">IFERROR(__xludf.DUMMYFUNCTION("GOOGLEFINANCE(""NSE:""&amp;D1770,""price"")"),"#N/A")</f>
        <v>#N/A</v>
      </c>
      <c r="M1770" s="9" t="e">
        <f t="shared" ca="1" si="37"/>
        <v>#VALUE!</v>
      </c>
      <c r="N1770" s="10" t="e">
        <f t="shared" ca="1" si="38"/>
        <v>#VALUE!</v>
      </c>
      <c r="O1770" s="7" t="str">
        <f ca="1">IFERROR(__xludf.DUMMYFUNCTION("GOOGLEFINANCE(""NSE:""&amp;D1770,""pe"")"),"#N/A")</f>
        <v>#N/A</v>
      </c>
      <c r="P1770" s="7" t="str">
        <f ca="1">IFERROR(__xludf.DUMMYFUNCTION("GOOGLEFINANCE(""NSE:""&amp;D1770,""EPS"")"),"#N/A")</f>
        <v>#N/A</v>
      </c>
      <c r="Q1770" s="7">
        <v>13.5</v>
      </c>
      <c r="R1770" s="7" t="str">
        <f ca="1">IFERROR(__xludf.DUMMYFUNCTION("IMPORTXML(E1770,""/html/body/main/div[3]/div[3]/div[2]/ul/li[7]/span[2]/span"")"),"Loading...")</f>
        <v>Loading...</v>
      </c>
      <c r="S1770" s="7" t="str">
        <f ca="1">IFERROR(__xludf.DUMMYFUNCTION("IMPORTXML(E1770,""/html/body/main/div[3]/div[3]/div[2]/ul/li[8]/span[2]/span"")"),"Loading...")</f>
        <v>Loading...</v>
      </c>
      <c r="T1770" s="4">
        <v>34.6</v>
      </c>
      <c r="U1770" s="4">
        <v>22.7</v>
      </c>
      <c r="V1770" s="4">
        <v>2.6</v>
      </c>
      <c r="W1770" s="4">
        <v>5.7</v>
      </c>
      <c r="X1770" s="4">
        <v>519.92999999999995</v>
      </c>
      <c r="Y1770" s="7" t="e">
        <f t="shared" ca="1" si="39"/>
        <v>#VALUE!</v>
      </c>
    </row>
    <row r="1771" spans="1:25" ht="15" x14ac:dyDescent="0.25">
      <c r="A1771" s="4">
        <v>1332</v>
      </c>
      <c r="C1771" s="41" t="s">
        <v>3914</v>
      </c>
      <c r="D1771" s="42"/>
      <c r="E1771" s="5" t="str">
        <f t="shared" si="35"/>
        <v>https://www.screener.in/company//consolidated/</v>
      </c>
      <c r="F1771" s="4">
        <v>443059</v>
      </c>
      <c r="G1771" s="4">
        <v>3832241897</v>
      </c>
      <c r="H1771" s="6" t="e">
        <f t="shared" ca="1" si="36"/>
        <v>#VALUE!</v>
      </c>
      <c r="I1771" s="7" t="str">
        <f ca="1">IFERROR(__xludf.DUMMYFUNCTION("IMPORTXML(E1771,""/html/body/main/div[3]/div[3]/div[2]/ul/li[5]/span[2]/span"")"),"Loading...")</f>
        <v>Loading...</v>
      </c>
      <c r="J1771" s="7" t="str">
        <f ca="1">IFERROR(__xludf.DUMMYFUNCTION("GOOGLEFINANCE(""NSE:""&amp;D1771,""marketcap"")"),"#N/A")</f>
        <v>#N/A</v>
      </c>
      <c r="K1771" s="7">
        <v>992.8</v>
      </c>
      <c r="L1771" s="8" t="str">
        <f ca="1">IFERROR(__xludf.DUMMYFUNCTION("GOOGLEFINANCE(""NSE:""&amp;D1771,""price"")"),"#N/A")</f>
        <v>#N/A</v>
      </c>
      <c r="M1771" s="9" t="e">
        <f t="shared" ca="1" si="37"/>
        <v>#VALUE!</v>
      </c>
      <c r="N1771" s="10" t="e">
        <f t="shared" ca="1" si="38"/>
        <v>#VALUE!</v>
      </c>
      <c r="O1771" s="7" t="str">
        <f ca="1">IFERROR(__xludf.DUMMYFUNCTION("GOOGLEFINANCE(""NSE:""&amp;D1771,""pe"")"),"#N/A")</f>
        <v>#N/A</v>
      </c>
      <c r="P1771" s="7" t="str">
        <f ca="1">IFERROR(__xludf.DUMMYFUNCTION("GOOGLEFINANCE(""NSE:""&amp;D1771,""EPS"")"),"#N/A")</f>
        <v>#N/A</v>
      </c>
      <c r="Q1771" s="7">
        <v>13.5</v>
      </c>
      <c r="R1771" s="7" t="str">
        <f ca="1">IFERROR(__xludf.DUMMYFUNCTION("IMPORTXML(E1771,""/html/body/main/div[3]/div[3]/div[2]/ul/li[7]/span[2]/span"")"),"Loading...")</f>
        <v>Loading...</v>
      </c>
      <c r="S1771" s="7" t="str">
        <f ca="1">IFERROR(__xludf.DUMMYFUNCTION("IMPORTXML(E1771,""/html/body/main/div[3]/div[3]/div[2]/ul/li[8]/span[2]/span"")"),"Loading...")</f>
        <v>Loading...</v>
      </c>
      <c r="T1771" s="4">
        <v>34.6</v>
      </c>
      <c r="U1771" s="4">
        <v>22.7</v>
      </c>
      <c r="V1771" s="4">
        <v>2.6</v>
      </c>
      <c r="W1771" s="4">
        <v>5.7</v>
      </c>
      <c r="X1771" s="4">
        <v>519.92999999999995</v>
      </c>
      <c r="Y1771" s="7" t="e">
        <f t="shared" ca="1" si="39"/>
        <v>#VALUE!</v>
      </c>
    </row>
    <row r="1772" spans="1:25" ht="15" x14ac:dyDescent="0.25">
      <c r="A1772" s="4">
        <v>1334</v>
      </c>
      <c r="C1772" s="41" t="s">
        <v>3915</v>
      </c>
      <c r="D1772" s="42"/>
      <c r="E1772" s="5" t="str">
        <f t="shared" si="35"/>
        <v>https://www.screener.in/company//consolidated/</v>
      </c>
      <c r="F1772" s="4">
        <v>443059</v>
      </c>
      <c r="G1772" s="4">
        <v>3832241897</v>
      </c>
      <c r="H1772" s="6" t="e">
        <f t="shared" ca="1" si="36"/>
        <v>#VALUE!</v>
      </c>
      <c r="I1772" s="7" t="str">
        <f ca="1">IFERROR(__xludf.DUMMYFUNCTION("IMPORTXML(E1772,""/html/body/main/div[3]/div[3]/div[2]/ul/li[5]/span[2]/span"")"),"Loading...")</f>
        <v>Loading...</v>
      </c>
      <c r="J1772" s="7" t="str">
        <f ca="1">IFERROR(__xludf.DUMMYFUNCTION("GOOGLEFINANCE(""NSE:""&amp;D1772,""marketcap"")"),"#N/A")</f>
        <v>#N/A</v>
      </c>
      <c r="K1772" s="7">
        <v>992.8</v>
      </c>
      <c r="L1772" s="8" t="str">
        <f ca="1">IFERROR(__xludf.DUMMYFUNCTION("GOOGLEFINANCE(""NSE:""&amp;D1772,""price"")"),"#N/A")</f>
        <v>#N/A</v>
      </c>
      <c r="M1772" s="9" t="e">
        <f t="shared" ca="1" si="37"/>
        <v>#VALUE!</v>
      </c>
      <c r="N1772" s="10" t="e">
        <f t="shared" ca="1" si="38"/>
        <v>#VALUE!</v>
      </c>
      <c r="O1772" s="7" t="str">
        <f ca="1">IFERROR(__xludf.DUMMYFUNCTION("GOOGLEFINANCE(""NSE:""&amp;D1772,""pe"")"),"#N/A")</f>
        <v>#N/A</v>
      </c>
      <c r="P1772" s="7" t="str">
        <f ca="1">IFERROR(__xludf.DUMMYFUNCTION("GOOGLEFINANCE(""NSE:""&amp;D1772,""EPS"")"),"#N/A")</f>
        <v>#N/A</v>
      </c>
      <c r="Q1772" s="7">
        <v>13.5</v>
      </c>
      <c r="R1772" s="7" t="str">
        <f ca="1">IFERROR(__xludf.DUMMYFUNCTION("IMPORTXML(E1772,""/html/body/main/div[3]/div[3]/div[2]/ul/li[7]/span[2]/span"")"),"Loading...")</f>
        <v>Loading...</v>
      </c>
      <c r="S1772" s="7" t="str">
        <f ca="1">IFERROR(__xludf.DUMMYFUNCTION("IMPORTXML(E1772,""/html/body/main/div[3]/div[3]/div[2]/ul/li[8]/span[2]/span"")"),"Loading...")</f>
        <v>Loading...</v>
      </c>
      <c r="T1772" s="4">
        <v>34.6</v>
      </c>
      <c r="U1772" s="4">
        <v>22.7</v>
      </c>
      <c r="V1772" s="4">
        <v>2.6</v>
      </c>
      <c r="W1772" s="4">
        <v>5.7</v>
      </c>
      <c r="X1772" s="4">
        <v>519.92999999999995</v>
      </c>
      <c r="Y1772" s="7" t="e">
        <f t="shared" ca="1" si="39"/>
        <v>#VALUE!</v>
      </c>
    </row>
    <row r="1773" spans="1:25" ht="15" x14ac:dyDescent="0.25">
      <c r="A1773" s="4">
        <v>1335</v>
      </c>
      <c r="C1773" s="12" t="s">
        <v>3916</v>
      </c>
      <c r="D1773" s="12" t="s">
        <v>3917</v>
      </c>
      <c r="E1773" s="5" t="str">
        <f t="shared" si="35"/>
        <v>https://www.screener.in/company/PARSVNATH/consolidated/</v>
      </c>
      <c r="F1773" s="4">
        <v>443059</v>
      </c>
      <c r="G1773" s="4">
        <v>3832241897</v>
      </c>
      <c r="H1773" s="6">
        <f t="shared" ca="1" si="36"/>
        <v>5748.3628454999998</v>
      </c>
      <c r="I1773" s="7" t="str">
        <f ca="1">IFERROR(__xludf.DUMMYFUNCTION("IMPORTXML(E1773,""/html/body/main/div[3]/div[3]/div[2]/ul/li[5]/span[2]/span"")"),"Loading...")</f>
        <v>Loading...</v>
      </c>
      <c r="J1773" s="7">
        <f ca="1">IFERROR(__xludf.DUMMYFUNCTION("GOOGLEFINANCE(""NSE:""&amp;D1773,""marketcap"")"),6536421000)</f>
        <v>6536421000</v>
      </c>
      <c r="K1773" s="7">
        <v>992.8</v>
      </c>
      <c r="L1773" s="8">
        <f ca="1">IFERROR(__xludf.DUMMYFUNCTION("GOOGLEFINANCE(""NSE:""&amp;D1773,""price"")"),15)</f>
        <v>15</v>
      </c>
      <c r="M1773" s="9">
        <f t="shared" ca="1" si="37"/>
        <v>-977.8</v>
      </c>
      <c r="N1773" s="10">
        <f t="shared" ca="1" si="38"/>
        <v>-98.489121676067697</v>
      </c>
      <c r="O1773" s="7" t="str">
        <f ca="1">IFERROR(__xludf.DUMMYFUNCTION("GOOGLEFINANCE(""NSE:""&amp;D1773,""pe"")"),"#N/A")</f>
        <v>#N/A</v>
      </c>
      <c r="P1773" s="7">
        <f ca="1">IFERROR(__xludf.DUMMYFUNCTION("GOOGLEFINANCE(""NSE:""&amp;D1773,""EPS"")"),-13.07)</f>
        <v>-13.07</v>
      </c>
      <c r="Q1773" s="7">
        <v>13.5</v>
      </c>
      <c r="R1773" s="7" t="str">
        <f ca="1">IFERROR(__xludf.DUMMYFUNCTION("IMPORTXML(E1773,""/html/body/main/div[3]/div[3]/div[2]/ul/li[7]/span[2]/span"")"),"Loading...")</f>
        <v>Loading...</v>
      </c>
      <c r="S1773" s="7" t="str">
        <f ca="1">IFERROR(__xludf.DUMMYFUNCTION("IMPORTXML(E1773,""/html/body/main/div[3]/div[3]/div[2]/ul/li[8]/span[2]/span"")"),"Loading...")</f>
        <v>Loading...</v>
      </c>
      <c r="T1773" s="4">
        <v>34.6</v>
      </c>
      <c r="U1773" s="4">
        <v>22.7</v>
      </c>
      <c r="V1773" s="4">
        <v>2.6</v>
      </c>
      <c r="W1773" s="4">
        <v>5.7</v>
      </c>
      <c r="X1773" s="4">
        <v>519.92999999999995</v>
      </c>
      <c r="Y1773" s="7">
        <f t="shared" ca="1" si="39"/>
        <v>-504.92999999999995</v>
      </c>
    </row>
    <row r="1774" spans="1:25" ht="15" x14ac:dyDescent="0.25">
      <c r="A1774" s="4">
        <v>1336</v>
      </c>
      <c r="C1774" s="41" t="s">
        <v>3918</v>
      </c>
      <c r="D1774" s="42"/>
      <c r="E1774" s="5" t="str">
        <f t="shared" si="35"/>
        <v>https://www.screener.in/company//consolidated/</v>
      </c>
      <c r="F1774" s="4">
        <v>443059</v>
      </c>
      <c r="G1774" s="4">
        <v>3832241897</v>
      </c>
      <c r="H1774" s="6" t="e">
        <f t="shared" ca="1" si="36"/>
        <v>#VALUE!</v>
      </c>
      <c r="I1774" s="7" t="str">
        <f ca="1">IFERROR(__xludf.DUMMYFUNCTION("IMPORTXML(E1774,""/html/body/main/div[3]/div[3]/div[2]/ul/li[5]/span[2]/span"")"),"Loading...")</f>
        <v>Loading...</v>
      </c>
      <c r="J1774" s="7" t="str">
        <f ca="1">IFERROR(__xludf.DUMMYFUNCTION("GOOGLEFINANCE(""NSE:""&amp;D1774,""marketcap"")"),"#N/A")</f>
        <v>#N/A</v>
      </c>
      <c r="K1774" s="7">
        <v>992.8</v>
      </c>
      <c r="L1774" s="8" t="str">
        <f ca="1">IFERROR(__xludf.DUMMYFUNCTION("GOOGLEFINANCE(""NSE:""&amp;D1774,""price"")"),"#N/A")</f>
        <v>#N/A</v>
      </c>
      <c r="M1774" s="9" t="e">
        <f t="shared" ca="1" si="37"/>
        <v>#VALUE!</v>
      </c>
      <c r="N1774" s="10" t="e">
        <f t="shared" ca="1" si="38"/>
        <v>#VALUE!</v>
      </c>
      <c r="O1774" s="7" t="str">
        <f ca="1">IFERROR(__xludf.DUMMYFUNCTION("GOOGLEFINANCE(""NSE:""&amp;D1774,""pe"")"),"#N/A")</f>
        <v>#N/A</v>
      </c>
      <c r="P1774" s="7" t="str">
        <f ca="1">IFERROR(__xludf.DUMMYFUNCTION("GOOGLEFINANCE(""NSE:""&amp;D1774,""EPS"")"),"#N/A")</f>
        <v>#N/A</v>
      </c>
      <c r="Q1774" s="7">
        <v>13.5</v>
      </c>
      <c r="R1774" s="7" t="str">
        <f ca="1">IFERROR(__xludf.DUMMYFUNCTION("IMPORTXML(E1774,""/html/body/main/div[3]/div[3]/div[2]/ul/li[7]/span[2]/span"")"),"Loading...")</f>
        <v>Loading...</v>
      </c>
      <c r="S1774" s="7" t="str">
        <f ca="1">IFERROR(__xludf.DUMMYFUNCTION("IMPORTXML(E1774,""/html/body/main/div[3]/div[3]/div[2]/ul/li[8]/span[2]/span"")"),"Loading...")</f>
        <v>Loading...</v>
      </c>
      <c r="T1774" s="4">
        <v>34.6</v>
      </c>
      <c r="U1774" s="4">
        <v>22.7</v>
      </c>
      <c r="V1774" s="4">
        <v>2.6</v>
      </c>
      <c r="W1774" s="4">
        <v>5.7</v>
      </c>
      <c r="X1774" s="4">
        <v>519.92999999999995</v>
      </c>
      <c r="Y1774" s="7" t="e">
        <f t="shared" ca="1" si="39"/>
        <v>#VALUE!</v>
      </c>
    </row>
    <row r="1775" spans="1:25" ht="15" x14ac:dyDescent="0.25">
      <c r="A1775" s="4">
        <v>1339</v>
      </c>
      <c r="C1775" s="41" t="s">
        <v>3919</v>
      </c>
      <c r="D1775" s="42"/>
      <c r="E1775" s="5" t="str">
        <f t="shared" si="35"/>
        <v>https://www.screener.in/company//consolidated/</v>
      </c>
      <c r="F1775" s="4">
        <v>443059</v>
      </c>
      <c r="G1775" s="4">
        <v>3832241897</v>
      </c>
      <c r="H1775" s="6" t="e">
        <f t="shared" ca="1" si="36"/>
        <v>#VALUE!</v>
      </c>
      <c r="I1775" s="7" t="str">
        <f ca="1">IFERROR(__xludf.DUMMYFUNCTION("IMPORTXML(E1775,""/html/body/main/div[3]/div[3]/div[2]/ul/li[5]/span[2]/span"")"),"Loading...")</f>
        <v>Loading...</v>
      </c>
      <c r="J1775" s="7" t="str">
        <f ca="1">IFERROR(__xludf.DUMMYFUNCTION("GOOGLEFINANCE(""NSE:""&amp;D1775,""marketcap"")"),"#N/A")</f>
        <v>#N/A</v>
      </c>
      <c r="K1775" s="7">
        <v>992.8</v>
      </c>
      <c r="L1775" s="8" t="str">
        <f ca="1">IFERROR(__xludf.DUMMYFUNCTION("GOOGLEFINANCE(""NSE:""&amp;D1775,""price"")"),"#N/A")</f>
        <v>#N/A</v>
      </c>
      <c r="M1775" s="9" t="e">
        <f t="shared" ca="1" si="37"/>
        <v>#VALUE!</v>
      </c>
      <c r="N1775" s="10" t="e">
        <f t="shared" ca="1" si="38"/>
        <v>#VALUE!</v>
      </c>
      <c r="O1775" s="7" t="str">
        <f ca="1">IFERROR(__xludf.DUMMYFUNCTION("GOOGLEFINANCE(""NSE:""&amp;D1775,""pe"")"),"#N/A")</f>
        <v>#N/A</v>
      </c>
      <c r="P1775" s="7" t="str">
        <f ca="1">IFERROR(__xludf.DUMMYFUNCTION("GOOGLEFINANCE(""NSE:""&amp;D1775,""EPS"")"),"#N/A")</f>
        <v>#N/A</v>
      </c>
      <c r="Q1775" s="7">
        <v>13.5</v>
      </c>
      <c r="R1775" s="7" t="str">
        <f ca="1">IFERROR(__xludf.DUMMYFUNCTION("IMPORTXML(E1775,""/html/body/main/div[3]/div[3]/div[2]/ul/li[7]/span[2]/span"")"),"Loading...")</f>
        <v>Loading...</v>
      </c>
      <c r="S1775" s="7" t="str">
        <f ca="1">IFERROR(__xludf.DUMMYFUNCTION("IMPORTXML(E1775,""/html/body/main/div[3]/div[3]/div[2]/ul/li[8]/span[2]/span"")"),"Loading...")</f>
        <v>Loading...</v>
      </c>
      <c r="T1775" s="4">
        <v>34.6</v>
      </c>
      <c r="U1775" s="4">
        <v>22.7</v>
      </c>
      <c r="V1775" s="4">
        <v>2.6</v>
      </c>
      <c r="W1775" s="4">
        <v>5.7</v>
      </c>
      <c r="X1775" s="4">
        <v>519.92999999999995</v>
      </c>
      <c r="Y1775" s="7" t="e">
        <f t="shared" ca="1" si="39"/>
        <v>#VALUE!</v>
      </c>
    </row>
    <row r="1776" spans="1:25" ht="15" x14ac:dyDescent="0.25">
      <c r="A1776" s="4">
        <v>1342</v>
      </c>
      <c r="C1776" s="41" t="s">
        <v>3920</v>
      </c>
      <c r="D1776" s="42"/>
      <c r="E1776" s="5" t="str">
        <f t="shared" si="35"/>
        <v>https://www.screener.in/company//consolidated/</v>
      </c>
      <c r="F1776" s="4">
        <v>443059</v>
      </c>
      <c r="G1776" s="4">
        <v>3832241897</v>
      </c>
      <c r="H1776" s="6" t="e">
        <f t="shared" ca="1" si="36"/>
        <v>#VALUE!</v>
      </c>
      <c r="I1776" s="7" t="str">
        <f ca="1">IFERROR(__xludf.DUMMYFUNCTION("IMPORTXML(E1776,""/html/body/main/div[3]/div[3]/div[2]/ul/li[5]/span[2]/span"")"),"Loading...")</f>
        <v>Loading...</v>
      </c>
      <c r="J1776" s="7" t="str">
        <f ca="1">IFERROR(__xludf.DUMMYFUNCTION("GOOGLEFINANCE(""NSE:""&amp;D1776,""marketcap"")"),"#N/A")</f>
        <v>#N/A</v>
      </c>
      <c r="K1776" s="7">
        <v>992.8</v>
      </c>
      <c r="L1776" s="8" t="str">
        <f ca="1">IFERROR(__xludf.DUMMYFUNCTION("GOOGLEFINANCE(""NSE:""&amp;D1776,""price"")"),"#N/A")</f>
        <v>#N/A</v>
      </c>
      <c r="M1776" s="9" t="e">
        <f t="shared" ca="1" si="37"/>
        <v>#VALUE!</v>
      </c>
      <c r="N1776" s="10" t="e">
        <f t="shared" ca="1" si="38"/>
        <v>#VALUE!</v>
      </c>
      <c r="O1776" s="7" t="str">
        <f ca="1">IFERROR(__xludf.DUMMYFUNCTION("GOOGLEFINANCE(""NSE:""&amp;D1776,""pe"")"),"#N/A")</f>
        <v>#N/A</v>
      </c>
      <c r="P1776" s="7" t="str">
        <f ca="1">IFERROR(__xludf.DUMMYFUNCTION("GOOGLEFINANCE(""NSE:""&amp;D1776,""EPS"")"),"#N/A")</f>
        <v>#N/A</v>
      </c>
      <c r="Q1776" s="7">
        <v>13.5</v>
      </c>
      <c r="R1776" s="7" t="str">
        <f ca="1">IFERROR(__xludf.DUMMYFUNCTION("IMPORTXML(E1776,""/html/body/main/div[3]/div[3]/div[2]/ul/li[7]/span[2]/span"")"),"Loading...")</f>
        <v>Loading...</v>
      </c>
      <c r="S1776" s="7" t="str">
        <f ca="1">IFERROR(__xludf.DUMMYFUNCTION("IMPORTXML(E1776,""/html/body/main/div[3]/div[3]/div[2]/ul/li[8]/span[2]/span"")"),"Loading...")</f>
        <v>Loading...</v>
      </c>
      <c r="T1776" s="4">
        <v>34.6</v>
      </c>
      <c r="U1776" s="4">
        <v>22.7</v>
      </c>
      <c r="V1776" s="4">
        <v>2.6</v>
      </c>
      <c r="W1776" s="4">
        <v>5.7</v>
      </c>
      <c r="X1776" s="4">
        <v>519.92999999999995</v>
      </c>
      <c r="Y1776" s="7" t="e">
        <f t="shared" ca="1" si="39"/>
        <v>#VALUE!</v>
      </c>
    </row>
    <row r="1777" spans="1:25" ht="15" x14ac:dyDescent="0.25">
      <c r="A1777" s="4">
        <v>1346</v>
      </c>
      <c r="C1777" s="12" t="s">
        <v>3921</v>
      </c>
      <c r="D1777" s="12" t="s">
        <v>3922</v>
      </c>
      <c r="E1777" s="5" t="str">
        <f t="shared" si="35"/>
        <v>https://www.screener.in/company/KHAICHEM/consolidated/</v>
      </c>
      <c r="F1777" s="4">
        <v>443059</v>
      </c>
      <c r="G1777" s="4">
        <v>3832241897</v>
      </c>
      <c r="H1777" s="6">
        <f t="shared" ca="1" si="36"/>
        <v>47910.688196294002</v>
      </c>
      <c r="I1777" s="7" t="str">
        <f ca="1">IFERROR(__xludf.DUMMYFUNCTION("IMPORTXML(E1777,""/html/body/main/div[3]/div[3]/div[2]/ul/li[5]/span[2]/span"")"),"Loading...")</f>
        <v>Loading...</v>
      </c>
      <c r="J1777" s="7">
        <f ca="1">IFERROR(__xludf.DUMMYFUNCTION("GOOGLEFINANCE(""NSE:""&amp;D1777,""marketcap"")"),12125589458)</f>
        <v>12125589458</v>
      </c>
      <c r="K1777" s="7">
        <v>992.8</v>
      </c>
      <c r="L1777" s="8">
        <f ca="1">IFERROR(__xludf.DUMMYFUNCTION("GOOGLEFINANCE(""NSE:""&amp;D1777,""price"")"),125.02)</f>
        <v>125.02</v>
      </c>
      <c r="M1777" s="9">
        <f t="shared" ca="1" si="37"/>
        <v>-867.78</v>
      </c>
      <c r="N1777" s="10">
        <f t="shared" ca="1" si="38"/>
        <v>-87.407332796132152</v>
      </c>
      <c r="O1777" s="7">
        <f ca="1">IFERROR(__xludf.DUMMYFUNCTION("GOOGLEFINANCE(""NSE:""&amp;D1777,""pe"")"),30.85)</f>
        <v>30.85</v>
      </c>
      <c r="P1777" s="7">
        <f ca="1">IFERROR(__xludf.DUMMYFUNCTION("GOOGLEFINANCE(""NSE:""&amp;D1777,""EPS"")"),4.05)</f>
        <v>4.05</v>
      </c>
      <c r="Q1777" s="7">
        <v>13.5</v>
      </c>
      <c r="R1777" s="7" t="str">
        <f ca="1">IFERROR(__xludf.DUMMYFUNCTION("IMPORTXML(E1777,""/html/body/main/div[3]/div[3]/div[2]/ul/li[7]/span[2]/span"")"),"Loading...")</f>
        <v>Loading...</v>
      </c>
      <c r="S1777" s="7" t="str">
        <f ca="1">IFERROR(__xludf.DUMMYFUNCTION("IMPORTXML(E1777,""/html/body/main/div[3]/div[3]/div[2]/ul/li[8]/span[2]/span"")"),"Loading...")</f>
        <v>Loading...</v>
      </c>
      <c r="T1777" s="4">
        <v>34.6</v>
      </c>
      <c r="U1777" s="4">
        <v>22.7</v>
      </c>
      <c r="V1777" s="4">
        <v>2.6</v>
      </c>
      <c r="W1777" s="4">
        <v>5.7</v>
      </c>
      <c r="X1777" s="4">
        <v>519.92999999999995</v>
      </c>
      <c r="Y1777" s="7">
        <f t="shared" ca="1" si="39"/>
        <v>-394.90999999999997</v>
      </c>
    </row>
    <row r="1778" spans="1:25" ht="15" x14ac:dyDescent="0.25">
      <c r="A1778" s="4">
        <v>1347</v>
      </c>
      <c r="C1778" s="41" t="s">
        <v>3923</v>
      </c>
      <c r="D1778" s="42"/>
      <c r="E1778" s="5" t="str">
        <f t="shared" si="35"/>
        <v>https://www.screener.in/company//consolidated/</v>
      </c>
      <c r="F1778" s="4">
        <v>443059</v>
      </c>
      <c r="G1778" s="4">
        <v>3832241897</v>
      </c>
      <c r="H1778" s="6" t="e">
        <f t="shared" ca="1" si="36"/>
        <v>#VALUE!</v>
      </c>
      <c r="I1778" s="7" t="str">
        <f ca="1">IFERROR(__xludf.DUMMYFUNCTION("IMPORTXML(E1778,""/html/body/main/div[3]/div[3]/div[2]/ul/li[5]/span[2]/span"")"),"Loading...")</f>
        <v>Loading...</v>
      </c>
      <c r="J1778" s="7" t="str">
        <f ca="1">IFERROR(__xludf.DUMMYFUNCTION("GOOGLEFINANCE(""NSE:""&amp;D1778,""marketcap"")"),"#N/A")</f>
        <v>#N/A</v>
      </c>
      <c r="K1778" s="7">
        <v>992.8</v>
      </c>
      <c r="L1778" s="8" t="str">
        <f ca="1">IFERROR(__xludf.DUMMYFUNCTION("GOOGLEFINANCE(""NSE:""&amp;D1778,""price"")"),"#N/A")</f>
        <v>#N/A</v>
      </c>
      <c r="M1778" s="9" t="e">
        <f t="shared" ca="1" si="37"/>
        <v>#VALUE!</v>
      </c>
      <c r="N1778" s="10" t="e">
        <f t="shared" ca="1" si="38"/>
        <v>#VALUE!</v>
      </c>
      <c r="O1778" s="7" t="str">
        <f ca="1">IFERROR(__xludf.DUMMYFUNCTION("GOOGLEFINANCE(""NSE:""&amp;D1778,""pe"")"),"#N/A")</f>
        <v>#N/A</v>
      </c>
      <c r="P1778" s="7" t="str">
        <f ca="1">IFERROR(__xludf.DUMMYFUNCTION("GOOGLEFINANCE(""NSE:""&amp;D1778,""EPS"")"),"#N/A")</f>
        <v>#N/A</v>
      </c>
      <c r="Q1778" s="7">
        <v>13.5</v>
      </c>
      <c r="R1778" s="7" t="str">
        <f ca="1">IFERROR(__xludf.DUMMYFUNCTION("IMPORTXML(E1778,""/html/body/main/div[3]/div[3]/div[2]/ul/li[7]/span[2]/span"")"),"Loading...")</f>
        <v>Loading...</v>
      </c>
      <c r="S1778" s="7" t="str">
        <f ca="1">IFERROR(__xludf.DUMMYFUNCTION("IMPORTXML(E1778,""/html/body/main/div[3]/div[3]/div[2]/ul/li[8]/span[2]/span"")"),"Loading...")</f>
        <v>Loading...</v>
      </c>
      <c r="T1778" s="4">
        <v>34.6</v>
      </c>
      <c r="U1778" s="4">
        <v>22.7</v>
      </c>
      <c r="V1778" s="4">
        <v>2.6</v>
      </c>
      <c r="W1778" s="4">
        <v>5.7</v>
      </c>
      <c r="X1778" s="4">
        <v>519.92999999999995</v>
      </c>
      <c r="Y1778" s="7" t="e">
        <f t="shared" ca="1" si="39"/>
        <v>#VALUE!</v>
      </c>
    </row>
    <row r="1779" spans="1:25" ht="15" x14ac:dyDescent="0.25">
      <c r="A1779" s="4">
        <v>1349</v>
      </c>
      <c r="C1779" s="41" t="s">
        <v>3924</v>
      </c>
      <c r="D1779" s="42"/>
      <c r="E1779" s="5" t="str">
        <f t="shared" si="35"/>
        <v>https://www.screener.in/company//consolidated/</v>
      </c>
      <c r="F1779" s="4">
        <v>443059</v>
      </c>
      <c r="G1779" s="4">
        <v>3832241897</v>
      </c>
      <c r="H1779" s="6" t="e">
        <f t="shared" ca="1" si="36"/>
        <v>#VALUE!</v>
      </c>
      <c r="I1779" s="7" t="str">
        <f ca="1">IFERROR(__xludf.DUMMYFUNCTION("IMPORTXML(E1779,""/html/body/main/div[3]/div[3]/div[2]/ul/li[5]/span[2]/span"")"),"Loading...")</f>
        <v>Loading...</v>
      </c>
      <c r="J1779" s="7" t="str">
        <f ca="1">IFERROR(__xludf.DUMMYFUNCTION("GOOGLEFINANCE(""NSE:""&amp;D1779,""marketcap"")"),"#N/A")</f>
        <v>#N/A</v>
      </c>
      <c r="K1779" s="7">
        <v>992.8</v>
      </c>
      <c r="L1779" s="8" t="str">
        <f ca="1">IFERROR(__xludf.DUMMYFUNCTION("GOOGLEFINANCE(""NSE:""&amp;D1779,""price"")"),"#N/A")</f>
        <v>#N/A</v>
      </c>
      <c r="M1779" s="9" t="e">
        <f t="shared" ca="1" si="37"/>
        <v>#VALUE!</v>
      </c>
      <c r="N1779" s="10" t="e">
        <f t="shared" ca="1" si="38"/>
        <v>#VALUE!</v>
      </c>
      <c r="O1779" s="7" t="str">
        <f ca="1">IFERROR(__xludf.DUMMYFUNCTION("GOOGLEFINANCE(""NSE:""&amp;D1779,""pe"")"),"#N/A")</f>
        <v>#N/A</v>
      </c>
      <c r="P1779" s="7" t="str">
        <f ca="1">IFERROR(__xludf.DUMMYFUNCTION("GOOGLEFINANCE(""NSE:""&amp;D1779,""EPS"")"),"#N/A")</f>
        <v>#N/A</v>
      </c>
      <c r="Q1779" s="7">
        <v>13.5</v>
      </c>
      <c r="R1779" s="7" t="str">
        <f ca="1">IFERROR(__xludf.DUMMYFUNCTION("IMPORTXML(E1779,""/html/body/main/div[3]/div[3]/div[2]/ul/li[7]/span[2]/span"")"),"Loading...")</f>
        <v>Loading...</v>
      </c>
      <c r="S1779" s="7" t="str">
        <f ca="1">IFERROR(__xludf.DUMMYFUNCTION("IMPORTXML(E1779,""/html/body/main/div[3]/div[3]/div[2]/ul/li[8]/span[2]/span"")"),"Loading...")</f>
        <v>Loading...</v>
      </c>
      <c r="T1779" s="4">
        <v>34.6</v>
      </c>
      <c r="U1779" s="4">
        <v>22.7</v>
      </c>
      <c r="V1779" s="4">
        <v>2.6</v>
      </c>
      <c r="W1779" s="4">
        <v>5.7</v>
      </c>
      <c r="X1779" s="4">
        <v>519.92999999999995</v>
      </c>
      <c r="Y1779" s="7" t="e">
        <f t="shared" ca="1" si="39"/>
        <v>#VALUE!</v>
      </c>
    </row>
    <row r="1780" spans="1:25" ht="15" x14ac:dyDescent="0.25">
      <c r="A1780" s="4">
        <v>1350</v>
      </c>
      <c r="C1780" s="41" t="s">
        <v>3925</v>
      </c>
      <c r="D1780" s="42"/>
      <c r="E1780" s="5" t="str">
        <f t="shared" si="35"/>
        <v>https://www.screener.in/company//consolidated/</v>
      </c>
      <c r="F1780" s="4">
        <v>443059</v>
      </c>
      <c r="G1780" s="4">
        <v>3832241897</v>
      </c>
      <c r="H1780" s="6" t="e">
        <f t="shared" ca="1" si="36"/>
        <v>#VALUE!</v>
      </c>
      <c r="I1780" s="7" t="str">
        <f ca="1">IFERROR(__xludf.DUMMYFUNCTION("IMPORTXML(E1780,""/html/body/main/div[3]/div[3]/div[2]/ul/li[5]/span[2]/span"")"),"Loading...")</f>
        <v>Loading...</v>
      </c>
      <c r="J1780" s="7" t="str">
        <f ca="1">IFERROR(__xludf.DUMMYFUNCTION("GOOGLEFINANCE(""NSE:""&amp;D1780,""marketcap"")"),"#N/A")</f>
        <v>#N/A</v>
      </c>
      <c r="K1780" s="7">
        <v>992.8</v>
      </c>
      <c r="L1780" s="8" t="str">
        <f ca="1">IFERROR(__xludf.DUMMYFUNCTION("GOOGLEFINANCE(""NSE:""&amp;D1780,""price"")"),"#N/A")</f>
        <v>#N/A</v>
      </c>
      <c r="M1780" s="9" t="e">
        <f t="shared" ca="1" si="37"/>
        <v>#VALUE!</v>
      </c>
      <c r="N1780" s="10" t="e">
        <f t="shared" ca="1" si="38"/>
        <v>#VALUE!</v>
      </c>
      <c r="O1780" s="7" t="str">
        <f ca="1">IFERROR(__xludf.DUMMYFUNCTION("GOOGLEFINANCE(""NSE:""&amp;D1780,""pe"")"),"#N/A")</f>
        <v>#N/A</v>
      </c>
      <c r="P1780" s="7" t="str">
        <f ca="1">IFERROR(__xludf.DUMMYFUNCTION("GOOGLEFINANCE(""NSE:""&amp;D1780,""EPS"")"),"#N/A")</f>
        <v>#N/A</v>
      </c>
      <c r="Q1780" s="7">
        <v>13.5</v>
      </c>
      <c r="R1780" s="7" t="str">
        <f ca="1">IFERROR(__xludf.DUMMYFUNCTION("IMPORTXML(E1780,""/html/body/main/div[3]/div[3]/div[2]/ul/li[7]/span[2]/span"")"),"Loading...")</f>
        <v>Loading...</v>
      </c>
      <c r="S1780" s="7" t="str">
        <f ca="1">IFERROR(__xludf.DUMMYFUNCTION("IMPORTXML(E1780,""/html/body/main/div[3]/div[3]/div[2]/ul/li[8]/span[2]/span"")"),"Loading...")</f>
        <v>Loading...</v>
      </c>
      <c r="T1780" s="4">
        <v>34.6</v>
      </c>
      <c r="U1780" s="4">
        <v>22.7</v>
      </c>
      <c r="V1780" s="4">
        <v>2.6</v>
      </c>
      <c r="W1780" s="4">
        <v>5.7</v>
      </c>
      <c r="X1780" s="4">
        <v>519.92999999999995</v>
      </c>
      <c r="Y1780" s="7" t="e">
        <f t="shared" ca="1" si="39"/>
        <v>#VALUE!</v>
      </c>
    </row>
    <row r="1781" spans="1:25" ht="15" x14ac:dyDescent="0.25">
      <c r="A1781" s="4">
        <v>1351</v>
      </c>
      <c r="C1781" s="41" t="s">
        <v>3926</v>
      </c>
      <c r="D1781" s="42"/>
      <c r="E1781" s="5" t="str">
        <f t="shared" si="35"/>
        <v>https://www.screener.in/company//consolidated/</v>
      </c>
      <c r="F1781" s="4">
        <v>443059</v>
      </c>
      <c r="G1781" s="4">
        <v>3832241897</v>
      </c>
      <c r="H1781" s="6" t="e">
        <f t="shared" ca="1" si="36"/>
        <v>#VALUE!</v>
      </c>
      <c r="I1781" s="7" t="str">
        <f ca="1">IFERROR(__xludf.DUMMYFUNCTION("IMPORTXML(E1781,""/html/body/main/div[3]/div[3]/div[2]/ul/li[5]/span[2]/span"")"),"Loading...")</f>
        <v>Loading...</v>
      </c>
      <c r="J1781" s="7" t="str">
        <f ca="1">IFERROR(__xludf.DUMMYFUNCTION("GOOGLEFINANCE(""NSE:""&amp;D1781,""marketcap"")"),"#N/A")</f>
        <v>#N/A</v>
      </c>
      <c r="K1781" s="7">
        <v>992.8</v>
      </c>
      <c r="L1781" s="8" t="str">
        <f ca="1">IFERROR(__xludf.DUMMYFUNCTION("GOOGLEFINANCE(""NSE:""&amp;D1781,""price"")"),"#N/A")</f>
        <v>#N/A</v>
      </c>
      <c r="M1781" s="9" t="e">
        <f t="shared" ca="1" si="37"/>
        <v>#VALUE!</v>
      </c>
      <c r="N1781" s="10" t="e">
        <f t="shared" ca="1" si="38"/>
        <v>#VALUE!</v>
      </c>
      <c r="O1781" s="7" t="str">
        <f ca="1">IFERROR(__xludf.DUMMYFUNCTION("GOOGLEFINANCE(""NSE:""&amp;D1781,""pe"")"),"#N/A")</f>
        <v>#N/A</v>
      </c>
      <c r="P1781" s="7" t="str">
        <f ca="1">IFERROR(__xludf.DUMMYFUNCTION("GOOGLEFINANCE(""NSE:""&amp;D1781,""EPS"")"),"#N/A")</f>
        <v>#N/A</v>
      </c>
      <c r="Q1781" s="7">
        <v>13.5</v>
      </c>
      <c r="R1781" s="7" t="str">
        <f ca="1">IFERROR(__xludf.DUMMYFUNCTION("IMPORTXML(E1781,""/html/body/main/div[3]/div[3]/div[2]/ul/li[7]/span[2]/span"")"),"Loading...")</f>
        <v>Loading...</v>
      </c>
      <c r="S1781" s="7" t="str">
        <f ca="1">IFERROR(__xludf.DUMMYFUNCTION("IMPORTXML(E1781,""/html/body/main/div[3]/div[3]/div[2]/ul/li[8]/span[2]/span"")"),"Loading...")</f>
        <v>Loading...</v>
      </c>
      <c r="T1781" s="4">
        <v>34.6</v>
      </c>
      <c r="U1781" s="4">
        <v>22.7</v>
      </c>
      <c r="V1781" s="4">
        <v>2.6</v>
      </c>
      <c r="W1781" s="4">
        <v>5.7</v>
      </c>
      <c r="X1781" s="4">
        <v>519.92999999999995</v>
      </c>
      <c r="Y1781" s="7" t="e">
        <f t="shared" ca="1" si="39"/>
        <v>#VALUE!</v>
      </c>
    </row>
    <row r="1782" spans="1:25" ht="15" x14ac:dyDescent="0.25">
      <c r="A1782" s="4">
        <v>1353</v>
      </c>
      <c r="C1782" s="41" t="s">
        <v>3927</v>
      </c>
      <c r="D1782" s="42"/>
      <c r="E1782" s="5" t="str">
        <f t="shared" si="35"/>
        <v>https://www.screener.in/company//consolidated/</v>
      </c>
      <c r="F1782" s="4">
        <v>443059</v>
      </c>
      <c r="G1782" s="4">
        <v>3832241897</v>
      </c>
      <c r="H1782" s="6" t="e">
        <f t="shared" ca="1" si="36"/>
        <v>#VALUE!</v>
      </c>
      <c r="I1782" s="7" t="str">
        <f ca="1">IFERROR(__xludf.DUMMYFUNCTION("IMPORTXML(E1782,""/html/body/main/div[3]/div[3]/div[2]/ul/li[5]/span[2]/span"")"),"Loading...")</f>
        <v>Loading...</v>
      </c>
      <c r="J1782" s="7" t="str">
        <f ca="1">IFERROR(__xludf.DUMMYFUNCTION("GOOGLEFINANCE(""NSE:""&amp;D1782,""marketcap"")"),"#N/A")</f>
        <v>#N/A</v>
      </c>
      <c r="K1782" s="7">
        <v>992.8</v>
      </c>
      <c r="L1782" s="8" t="str">
        <f ca="1">IFERROR(__xludf.DUMMYFUNCTION("GOOGLEFINANCE(""NSE:""&amp;D1782,""price"")"),"#N/A")</f>
        <v>#N/A</v>
      </c>
      <c r="M1782" s="9" t="e">
        <f t="shared" ca="1" si="37"/>
        <v>#VALUE!</v>
      </c>
      <c r="N1782" s="10" t="e">
        <f t="shared" ca="1" si="38"/>
        <v>#VALUE!</v>
      </c>
      <c r="O1782" s="7" t="str">
        <f ca="1">IFERROR(__xludf.DUMMYFUNCTION("GOOGLEFINANCE(""NSE:""&amp;D1782,""pe"")"),"#N/A")</f>
        <v>#N/A</v>
      </c>
      <c r="P1782" s="7" t="str">
        <f ca="1">IFERROR(__xludf.DUMMYFUNCTION("GOOGLEFINANCE(""NSE:""&amp;D1782,""EPS"")"),"#N/A")</f>
        <v>#N/A</v>
      </c>
      <c r="Q1782" s="7">
        <v>13.5</v>
      </c>
      <c r="R1782" s="7" t="str">
        <f ca="1">IFERROR(__xludf.DUMMYFUNCTION("IMPORTXML(E1782,""/html/body/main/div[3]/div[3]/div[2]/ul/li[7]/span[2]/span"")"),"Loading...")</f>
        <v>Loading...</v>
      </c>
      <c r="S1782" s="7" t="str">
        <f ca="1">IFERROR(__xludf.DUMMYFUNCTION("IMPORTXML(E1782,""/html/body/main/div[3]/div[3]/div[2]/ul/li[8]/span[2]/span"")"),"Loading...")</f>
        <v>Loading...</v>
      </c>
      <c r="T1782" s="4">
        <v>34.6</v>
      </c>
      <c r="U1782" s="4">
        <v>22.7</v>
      </c>
      <c r="V1782" s="4">
        <v>2.6</v>
      </c>
      <c r="W1782" s="4">
        <v>5.7</v>
      </c>
      <c r="X1782" s="4">
        <v>519.92999999999995</v>
      </c>
      <c r="Y1782" s="7" t="e">
        <f t="shared" ca="1" si="39"/>
        <v>#VALUE!</v>
      </c>
    </row>
    <row r="1783" spans="1:25" ht="15" x14ac:dyDescent="0.25">
      <c r="A1783" s="4">
        <v>1356</v>
      </c>
      <c r="C1783" s="41" t="s">
        <v>3928</v>
      </c>
      <c r="D1783" s="42"/>
      <c r="E1783" s="5" t="str">
        <f t="shared" si="35"/>
        <v>https://www.screener.in/company//consolidated/</v>
      </c>
      <c r="F1783" s="4">
        <v>443059</v>
      </c>
      <c r="G1783" s="4">
        <v>3832241897</v>
      </c>
      <c r="H1783" s="6" t="e">
        <f t="shared" ca="1" si="36"/>
        <v>#VALUE!</v>
      </c>
      <c r="I1783" s="7" t="str">
        <f ca="1">IFERROR(__xludf.DUMMYFUNCTION("IMPORTXML(E1783,""/html/body/main/div[3]/div[3]/div[2]/ul/li[5]/span[2]/span"")"),"Loading...")</f>
        <v>Loading...</v>
      </c>
      <c r="J1783" s="7" t="str">
        <f ca="1">IFERROR(__xludf.DUMMYFUNCTION("GOOGLEFINANCE(""NSE:""&amp;D1783,""marketcap"")"),"#N/A")</f>
        <v>#N/A</v>
      </c>
      <c r="K1783" s="7">
        <v>992.8</v>
      </c>
      <c r="L1783" s="8" t="str">
        <f ca="1">IFERROR(__xludf.DUMMYFUNCTION("GOOGLEFINANCE(""NSE:""&amp;D1783,""price"")"),"#N/A")</f>
        <v>#N/A</v>
      </c>
      <c r="M1783" s="9" t="e">
        <f t="shared" ca="1" si="37"/>
        <v>#VALUE!</v>
      </c>
      <c r="N1783" s="10" t="e">
        <f t="shared" ca="1" si="38"/>
        <v>#VALUE!</v>
      </c>
      <c r="O1783" s="7" t="str">
        <f ca="1">IFERROR(__xludf.DUMMYFUNCTION("GOOGLEFINANCE(""NSE:""&amp;D1783,""pe"")"),"#N/A")</f>
        <v>#N/A</v>
      </c>
      <c r="P1783" s="7" t="str">
        <f ca="1">IFERROR(__xludf.DUMMYFUNCTION("GOOGLEFINANCE(""NSE:""&amp;D1783,""EPS"")"),"#N/A")</f>
        <v>#N/A</v>
      </c>
      <c r="Q1783" s="7">
        <v>13.5</v>
      </c>
      <c r="R1783" s="7" t="str">
        <f ca="1">IFERROR(__xludf.DUMMYFUNCTION("IMPORTXML(E1783,""/html/body/main/div[3]/div[3]/div[2]/ul/li[7]/span[2]/span"")"),"Loading...")</f>
        <v>Loading...</v>
      </c>
      <c r="S1783" s="7" t="str">
        <f ca="1">IFERROR(__xludf.DUMMYFUNCTION("IMPORTXML(E1783,""/html/body/main/div[3]/div[3]/div[2]/ul/li[8]/span[2]/span"")"),"Loading...")</f>
        <v>Loading...</v>
      </c>
      <c r="T1783" s="4">
        <v>34.6</v>
      </c>
      <c r="U1783" s="4">
        <v>22.7</v>
      </c>
      <c r="V1783" s="4">
        <v>2.6</v>
      </c>
      <c r="W1783" s="4">
        <v>5.7</v>
      </c>
      <c r="X1783" s="4">
        <v>519.92999999999995</v>
      </c>
      <c r="Y1783" s="7" t="e">
        <f t="shared" ca="1" si="39"/>
        <v>#VALUE!</v>
      </c>
    </row>
    <row r="1784" spans="1:25" ht="15" x14ac:dyDescent="0.25">
      <c r="A1784" s="4">
        <v>1358</v>
      </c>
      <c r="C1784" s="41" t="s">
        <v>3929</v>
      </c>
      <c r="D1784" s="42"/>
      <c r="E1784" s="5" t="str">
        <f t="shared" si="35"/>
        <v>https://www.screener.in/company//consolidated/</v>
      </c>
      <c r="F1784" s="4">
        <v>443059</v>
      </c>
      <c r="G1784" s="4">
        <v>3832241897</v>
      </c>
      <c r="H1784" s="6" t="e">
        <f t="shared" ca="1" si="36"/>
        <v>#VALUE!</v>
      </c>
      <c r="I1784" s="7" t="str">
        <f ca="1">IFERROR(__xludf.DUMMYFUNCTION("IMPORTXML(E1784,""/html/body/main/div[3]/div[3]/div[2]/ul/li[5]/span[2]/span"")"),"Loading...")</f>
        <v>Loading...</v>
      </c>
      <c r="J1784" s="7" t="str">
        <f ca="1">IFERROR(__xludf.DUMMYFUNCTION("GOOGLEFINANCE(""NSE:""&amp;D1784,""marketcap"")"),"#N/A")</f>
        <v>#N/A</v>
      </c>
      <c r="K1784" s="7">
        <v>992.8</v>
      </c>
      <c r="L1784" s="8" t="str">
        <f ca="1">IFERROR(__xludf.DUMMYFUNCTION("GOOGLEFINANCE(""NSE:""&amp;D1784,""price"")"),"#N/A")</f>
        <v>#N/A</v>
      </c>
      <c r="M1784" s="9" t="e">
        <f t="shared" ca="1" si="37"/>
        <v>#VALUE!</v>
      </c>
      <c r="N1784" s="10" t="e">
        <f t="shared" ca="1" si="38"/>
        <v>#VALUE!</v>
      </c>
      <c r="O1784" s="7" t="str">
        <f ca="1">IFERROR(__xludf.DUMMYFUNCTION("GOOGLEFINANCE(""NSE:""&amp;D1784,""pe"")"),"#N/A")</f>
        <v>#N/A</v>
      </c>
      <c r="P1784" s="7" t="str">
        <f ca="1">IFERROR(__xludf.DUMMYFUNCTION("GOOGLEFINANCE(""NSE:""&amp;D1784,""EPS"")"),"#N/A")</f>
        <v>#N/A</v>
      </c>
      <c r="Q1784" s="7">
        <v>13.5</v>
      </c>
      <c r="R1784" s="7" t="str">
        <f ca="1">IFERROR(__xludf.DUMMYFUNCTION("IMPORTXML(E1784,""/html/body/main/div[3]/div[3]/div[2]/ul/li[7]/span[2]/span"")"),"Loading...")</f>
        <v>Loading...</v>
      </c>
      <c r="S1784" s="7" t="str">
        <f ca="1">IFERROR(__xludf.DUMMYFUNCTION("IMPORTXML(E1784,""/html/body/main/div[3]/div[3]/div[2]/ul/li[8]/span[2]/span"")"),"Loading...")</f>
        <v>Loading...</v>
      </c>
      <c r="T1784" s="4">
        <v>34.6</v>
      </c>
      <c r="U1784" s="4">
        <v>22.7</v>
      </c>
      <c r="V1784" s="4">
        <v>2.6</v>
      </c>
      <c r="W1784" s="4">
        <v>5.7</v>
      </c>
      <c r="X1784" s="4">
        <v>519.92999999999995</v>
      </c>
      <c r="Y1784" s="7" t="e">
        <f t="shared" ca="1" si="39"/>
        <v>#VALUE!</v>
      </c>
    </row>
    <row r="1785" spans="1:25" ht="15" x14ac:dyDescent="0.25">
      <c r="A1785" s="4">
        <v>1359</v>
      </c>
      <c r="C1785" s="41" t="s">
        <v>3930</v>
      </c>
      <c r="D1785" s="42"/>
      <c r="E1785" s="5" t="str">
        <f t="shared" si="35"/>
        <v>https://www.screener.in/company//consolidated/</v>
      </c>
      <c r="F1785" s="4">
        <v>443059</v>
      </c>
      <c r="G1785" s="4">
        <v>3832241897</v>
      </c>
      <c r="H1785" s="6" t="e">
        <f t="shared" ca="1" si="36"/>
        <v>#VALUE!</v>
      </c>
      <c r="I1785" s="7" t="str">
        <f ca="1">IFERROR(__xludf.DUMMYFUNCTION("IMPORTXML(E1785,""/html/body/main/div[3]/div[3]/div[2]/ul/li[5]/span[2]/span"")"),"Loading...")</f>
        <v>Loading...</v>
      </c>
      <c r="J1785" s="7" t="str">
        <f ca="1">IFERROR(__xludf.DUMMYFUNCTION("GOOGLEFINANCE(""NSE:""&amp;D1785,""marketcap"")"),"#N/A")</f>
        <v>#N/A</v>
      </c>
      <c r="K1785" s="7">
        <v>992.8</v>
      </c>
      <c r="L1785" s="8" t="str">
        <f ca="1">IFERROR(__xludf.DUMMYFUNCTION("GOOGLEFINANCE(""NSE:""&amp;D1785,""price"")"),"#N/A")</f>
        <v>#N/A</v>
      </c>
      <c r="M1785" s="9" t="e">
        <f t="shared" ca="1" si="37"/>
        <v>#VALUE!</v>
      </c>
      <c r="N1785" s="10" t="e">
        <f t="shared" ca="1" si="38"/>
        <v>#VALUE!</v>
      </c>
      <c r="O1785" s="7" t="str">
        <f ca="1">IFERROR(__xludf.DUMMYFUNCTION("GOOGLEFINANCE(""NSE:""&amp;D1785,""pe"")"),"#N/A")</f>
        <v>#N/A</v>
      </c>
      <c r="P1785" s="7" t="str">
        <f ca="1">IFERROR(__xludf.DUMMYFUNCTION("GOOGLEFINANCE(""NSE:""&amp;D1785,""EPS"")"),"#N/A")</f>
        <v>#N/A</v>
      </c>
      <c r="Q1785" s="7">
        <v>13.5</v>
      </c>
      <c r="R1785" s="7" t="str">
        <f ca="1">IFERROR(__xludf.DUMMYFUNCTION("IMPORTXML(E1785,""/html/body/main/div[3]/div[3]/div[2]/ul/li[7]/span[2]/span"")"),"Loading...")</f>
        <v>Loading...</v>
      </c>
      <c r="S1785" s="7" t="str">
        <f ca="1">IFERROR(__xludf.DUMMYFUNCTION("IMPORTXML(E1785,""/html/body/main/div[3]/div[3]/div[2]/ul/li[8]/span[2]/span"")"),"Loading...")</f>
        <v>Loading...</v>
      </c>
      <c r="T1785" s="4">
        <v>34.6</v>
      </c>
      <c r="U1785" s="4">
        <v>22.7</v>
      </c>
      <c r="V1785" s="4">
        <v>2.6</v>
      </c>
      <c r="W1785" s="4">
        <v>5.7</v>
      </c>
      <c r="X1785" s="4">
        <v>519.92999999999995</v>
      </c>
      <c r="Y1785" s="7" t="e">
        <f t="shared" ca="1" si="39"/>
        <v>#VALUE!</v>
      </c>
    </row>
    <row r="1786" spans="1:25" ht="15" x14ac:dyDescent="0.25">
      <c r="A1786" s="4">
        <v>1363</v>
      </c>
      <c r="C1786" s="41" t="s">
        <v>3931</v>
      </c>
      <c r="D1786" s="42"/>
      <c r="E1786" s="5" t="str">
        <f t="shared" si="35"/>
        <v>https://www.screener.in/company//consolidated/</v>
      </c>
      <c r="F1786" s="4">
        <v>443059</v>
      </c>
      <c r="G1786" s="4">
        <v>3832241897</v>
      </c>
      <c r="H1786" s="6" t="e">
        <f t="shared" ca="1" si="36"/>
        <v>#VALUE!</v>
      </c>
      <c r="I1786" s="7" t="str">
        <f ca="1">IFERROR(__xludf.DUMMYFUNCTION("IMPORTXML(E1786,""/html/body/main/div[3]/div[3]/div[2]/ul/li[5]/span[2]/span"")"),"Loading...")</f>
        <v>Loading...</v>
      </c>
      <c r="J1786" s="7" t="str">
        <f ca="1">IFERROR(__xludf.DUMMYFUNCTION("GOOGLEFINANCE(""NSE:""&amp;D1786,""marketcap"")"),"#N/A")</f>
        <v>#N/A</v>
      </c>
      <c r="K1786" s="7">
        <v>992.8</v>
      </c>
      <c r="L1786" s="8" t="str">
        <f ca="1">IFERROR(__xludf.DUMMYFUNCTION("GOOGLEFINANCE(""NSE:""&amp;D1786,""price"")"),"#N/A")</f>
        <v>#N/A</v>
      </c>
      <c r="M1786" s="9" t="e">
        <f t="shared" ca="1" si="37"/>
        <v>#VALUE!</v>
      </c>
      <c r="N1786" s="10" t="e">
        <f t="shared" ca="1" si="38"/>
        <v>#VALUE!</v>
      </c>
      <c r="O1786" s="7" t="str">
        <f ca="1">IFERROR(__xludf.DUMMYFUNCTION("GOOGLEFINANCE(""NSE:""&amp;D1786,""pe"")"),"#N/A")</f>
        <v>#N/A</v>
      </c>
      <c r="P1786" s="7" t="str">
        <f ca="1">IFERROR(__xludf.DUMMYFUNCTION("GOOGLEFINANCE(""NSE:""&amp;D1786,""EPS"")"),"#N/A")</f>
        <v>#N/A</v>
      </c>
      <c r="Q1786" s="7">
        <v>13.5</v>
      </c>
      <c r="R1786" s="7" t="str">
        <f ca="1">IFERROR(__xludf.DUMMYFUNCTION("IMPORTXML(E1786,""/html/body/main/div[3]/div[3]/div[2]/ul/li[7]/span[2]/span"")"),"Loading...")</f>
        <v>Loading...</v>
      </c>
      <c r="S1786" s="7" t="str">
        <f ca="1">IFERROR(__xludf.DUMMYFUNCTION("IMPORTXML(E1786,""/html/body/main/div[3]/div[3]/div[2]/ul/li[8]/span[2]/span"")"),"Loading...")</f>
        <v>Loading...</v>
      </c>
      <c r="T1786" s="4">
        <v>34.6</v>
      </c>
      <c r="U1786" s="4">
        <v>22.7</v>
      </c>
      <c r="V1786" s="4">
        <v>2.6</v>
      </c>
      <c r="W1786" s="4">
        <v>5.7</v>
      </c>
      <c r="X1786" s="4">
        <v>519.92999999999995</v>
      </c>
      <c r="Y1786" s="7" t="e">
        <f t="shared" ca="1" si="39"/>
        <v>#VALUE!</v>
      </c>
    </row>
    <row r="1787" spans="1:25" ht="15" x14ac:dyDescent="0.25">
      <c r="A1787" s="4">
        <v>1364</v>
      </c>
      <c r="C1787" s="41" t="s">
        <v>3932</v>
      </c>
      <c r="D1787" s="42"/>
      <c r="E1787" s="5" t="str">
        <f t="shared" si="35"/>
        <v>https://www.screener.in/company//consolidated/</v>
      </c>
      <c r="F1787" s="4">
        <v>443059</v>
      </c>
      <c r="G1787" s="4">
        <v>3832241897</v>
      </c>
      <c r="H1787" s="6" t="e">
        <f t="shared" ca="1" si="36"/>
        <v>#VALUE!</v>
      </c>
      <c r="I1787" s="7" t="str">
        <f ca="1">IFERROR(__xludf.DUMMYFUNCTION("IMPORTXML(E1787,""/html/body/main/div[3]/div[3]/div[2]/ul/li[5]/span[2]/span"")"),"Loading...")</f>
        <v>Loading...</v>
      </c>
      <c r="J1787" s="7" t="str">
        <f ca="1">IFERROR(__xludf.DUMMYFUNCTION("GOOGLEFINANCE(""NSE:""&amp;D1787,""marketcap"")"),"#N/A")</f>
        <v>#N/A</v>
      </c>
      <c r="K1787" s="7">
        <v>992.8</v>
      </c>
      <c r="L1787" s="8" t="str">
        <f ca="1">IFERROR(__xludf.DUMMYFUNCTION("GOOGLEFINANCE(""NSE:""&amp;D1787,""price"")"),"#N/A")</f>
        <v>#N/A</v>
      </c>
      <c r="M1787" s="9" t="e">
        <f t="shared" ca="1" si="37"/>
        <v>#VALUE!</v>
      </c>
      <c r="N1787" s="10" t="e">
        <f t="shared" ca="1" si="38"/>
        <v>#VALUE!</v>
      </c>
      <c r="O1787" s="7" t="str">
        <f ca="1">IFERROR(__xludf.DUMMYFUNCTION("GOOGLEFINANCE(""NSE:""&amp;D1787,""pe"")"),"#N/A")</f>
        <v>#N/A</v>
      </c>
      <c r="P1787" s="7" t="str">
        <f ca="1">IFERROR(__xludf.DUMMYFUNCTION("GOOGLEFINANCE(""NSE:""&amp;D1787,""EPS"")"),"#N/A")</f>
        <v>#N/A</v>
      </c>
      <c r="Q1787" s="7">
        <v>13.5</v>
      </c>
      <c r="R1787" s="7" t="str">
        <f ca="1">IFERROR(__xludf.DUMMYFUNCTION("IMPORTXML(E1787,""/html/body/main/div[3]/div[3]/div[2]/ul/li[7]/span[2]/span"")"),"Loading...")</f>
        <v>Loading...</v>
      </c>
      <c r="S1787" s="7" t="str">
        <f ca="1">IFERROR(__xludf.DUMMYFUNCTION("IMPORTXML(E1787,""/html/body/main/div[3]/div[3]/div[2]/ul/li[8]/span[2]/span"")"),"Loading...")</f>
        <v>Loading...</v>
      </c>
      <c r="T1787" s="4">
        <v>34.6</v>
      </c>
      <c r="U1787" s="4">
        <v>22.7</v>
      </c>
      <c r="V1787" s="4">
        <v>2.6</v>
      </c>
      <c r="W1787" s="4">
        <v>5.7</v>
      </c>
      <c r="X1787" s="4">
        <v>519.92999999999995</v>
      </c>
      <c r="Y1787" s="7" t="e">
        <f t="shared" ca="1" si="39"/>
        <v>#VALUE!</v>
      </c>
    </row>
    <row r="1788" spans="1:25" ht="15" x14ac:dyDescent="0.25">
      <c r="A1788" s="4">
        <v>1366</v>
      </c>
      <c r="C1788" s="41" t="s">
        <v>3933</v>
      </c>
      <c r="D1788" s="42"/>
      <c r="E1788" s="5" t="str">
        <f t="shared" si="35"/>
        <v>https://www.screener.in/company//consolidated/</v>
      </c>
      <c r="F1788" s="4">
        <v>443059</v>
      </c>
      <c r="G1788" s="4">
        <v>3832241897</v>
      </c>
      <c r="H1788" s="6" t="e">
        <f t="shared" ca="1" si="36"/>
        <v>#VALUE!</v>
      </c>
      <c r="I1788" s="7" t="str">
        <f ca="1">IFERROR(__xludf.DUMMYFUNCTION("IMPORTXML(E1788,""/html/body/main/div[3]/div[3]/div[2]/ul/li[5]/span[2]/span"")"),"Loading...")</f>
        <v>Loading...</v>
      </c>
      <c r="J1788" s="7" t="str">
        <f ca="1">IFERROR(__xludf.DUMMYFUNCTION("GOOGLEFINANCE(""NSE:""&amp;D1788,""marketcap"")"),"#N/A")</f>
        <v>#N/A</v>
      </c>
      <c r="K1788" s="7">
        <v>992.8</v>
      </c>
      <c r="L1788" s="8" t="str">
        <f ca="1">IFERROR(__xludf.DUMMYFUNCTION("GOOGLEFINANCE(""NSE:""&amp;D1788,""price"")"),"#N/A")</f>
        <v>#N/A</v>
      </c>
      <c r="M1788" s="9" t="e">
        <f t="shared" ca="1" si="37"/>
        <v>#VALUE!</v>
      </c>
      <c r="N1788" s="10" t="e">
        <f t="shared" ca="1" si="38"/>
        <v>#VALUE!</v>
      </c>
      <c r="O1788" s="7" t="str">
        <f ca="1">IFERROR(__xludf.DUMMYFUNCTION("GOOGLEFINANCE(""NSE:""&amp;D1788,""pe"")"),"#N/A")</f>
        <v>#N/A</v>
      </c>
      <c r="P1788" s="7" t="str">
        <f ca="1">IFERROR(__xludf.DUMMYFUNCTION("GOOGLEFINANCE(""NSE:""&amp;D1788,""EPS"")"),"#N/A")</f>
        <v>#N/A</v>
      </c>
      <c r="Q1788" s="7">
        <v>13.5</v>
      </c>
      <c r="R1788" s="7" t="str">
        <f ca="1">IFERROR(__xludf.DUMMYFUNCTION("IMPORTXML(E1788,""/html/body/main/div[3]/div[3]/div[2]/ul/li[7]/span[2]/span"")"),"Loading...")</f>
        <v>Loading...</v>
      </c>
      <c r="S1788" s="7" t="str">
        <f ca="1">IFERROR(__xludf.DUMMYFUNCTION("IMPORTXML(E1788,""/html/body/main/div[3]/div[3]/div[2]/ul/li[8]/span[2]/span"")"),"Loading...")</f>
        <v>Loading...</v>
      </c>
      <c r="T1788" s="4">
        <v>34.6</v>
      </c>
      <c r="U1788" s="4">
        <v>22.7</v>
      </c>
      <c r="V1788" s="4">
        <v>2.6</v>
      </c>
      <c r="W1788" s="4">
        <v>5.7</v>
      </c>
      <c r="X1788" s="4">
        <v>519.92999999999995</v>
      </c>
      <c r="Y1788" s="7" t="e">
        <f t="shared" ca="1" si="39"/>
        <v>#VALUE!</v>
      </c>
    </row>
    <row r="1789" spans="1:25" ht="15" x14ac:dyDescent="0.25">
      <c r="A1789" s="4">
        <v>1368</v>
      </c>
      <c r="C1789" s="12" t="s">
        <v>3934</v>
      </c>
      <c r="D1789" s="12" t="s">
        <v>3935</v>
      </c>
      <c r="E1789" s="5" t="str">
        <f t="shared" si="35"/>
        <v>https://www.screener.in/company/TVSELECT/consolidated/</v>
      </c>
      <c r="F1789" s="4">
        <v>443059</v>
      </c>
      <c r="G1789" s="4">
        <v>3832241897</v>
      </c>
      <c r="H1789" s="6">
        <f t="shared" ca="1" si="36"/>
        <v>154822.57263879999</v>
      </c>
      <c r="I1789" s="7" t="str">
        <f ca="1">IFERROR(__xludf.DUMMYFUNCTION("IMPORTXML(E1789,""/html/body/main/div[3]/div[3]/div[2]/ul/li[5]/span[2]/span"")"),"Loading...")</f>
        <v>Loading...</v>
      </c>
      <c r="J1789" s="7">
        <f ca="1">IFERROR(__xludf.DUMMYFUNCTION("GOOGLEFINANCE(""NSE:""&amp;D1789,""marketcap"")"),7523538000)</f>
        <v>7523538000</v>
      </c>
      <c r="K1789" s="7">
        <v>992.8</v>
      </c>
      <c r="L1789" s="8">
        <f ca="1">IFERROR(__xludf.DUMMYFUNCTION("GOOGLEFINANCE(""NSE:""&amp;D1789,""price"")"),404)</f>
        <v>404</v>
      </c>
      <c r="M1789" s="9">
        <f t="shared" ca="1" si="37"/>
        <v>-588.79999999999995</v>
      </c>
      <c r="N1789" s="10">
        <f t="shared" ca="1" si="38"/>
        <v>-59.307010475423041</v>
      </c>
      <c r="O1789" s="7" t="str">
        <f ca="1">IFERROR(__xludf.DUMMYFUNCTION("GOOGLEFINANCE(""NSE:""&amp;D1789,""pe"")"),"#N/A")</f>
        <v>#N/A</v>
      </c>
      <c r="P1789" s="7">
        <f ca="1">IFERROR(__xludf.DUMMYFUNCTION("GOOGLEFINANCE(""NSE:""&amp;D1789,""EPS"")"),-3.26)</f>
        <v>-3.26</v>
      </c>
      <c r="Q1789" s="7">
        <v>13.5</v>
      </c>
      <c r="R1789" s="7" t="str">
        <f ca="1">IFERROR(__xludf.DUMMYFUNCTION("IMPORTXML(E1789,""/html/body/main/div[3]/div[3]/div[2]/ul/li[7]/span[2]/span"")"),"Loading...")</f>
        <v>Loading...</v>
      </c>
      <c r="S1789" s="7" t="str">
        <f ca="1">IFERROR(__xludf.DUMMYFUNCTION("IMPORTXML(E1789,""/html/body/main/div[3]/div[3]/div[2]/ul/li[8]/span[2]/span"")"),"Loading...")</f>
        <v>Loading...</v>
      </c>
      <c r="T1789" s="4">
        <v>34.6</v>
      </c>
      <c r="U1789" s="4">
        <v>22.7</v>
      </c>
      <c r="V1789" s="4">
        <v>2.6</v>
      </c>
      <c r="W1789" s="4">
        <v>5.7</v>
      </c>
      <c r="X1789" s="4">
        <v>519.92999999999995</v>
      </c>
      <c r="Y1789" s="7">
        <f t="shared" ca="1" si="39"/>
        <v>-115.92999999999995</v>
      </c>
    </row>
    <row r="1790" spans="1:25" ht="15" x14ac:dyDescent="0.25">
      <c r="A1790" s="4">
        <v>1369</v>
      </c>
      <c r="C1790" s="41" t="s">
        <v>3936</v>
      </c>
      <c r="D1790" s="42"/>
      <c r="E1790" s="5" t="str">
        <f t="shared" si="35"/>
        <v>https://www.screener.in/company//consolidated/</v>
      </c>
      <c r="F1790" s="4">
        <v>443059</v>
      </c>
      <c r="G1790" s="4">
        <v>3832241897</v>
      </c>
      <c r="H1790" s="6" t="e">
        <f t="shared" ca="1" si="36"/>
        <v>#VALUE!</v>
      </c>
      <c r="I1790" s="7" t="str">
        <f ca="1">IFERROR(__xludf.DUMMYFUNCTION("IMPORTXML(E1790,""/html/body/main/div[3]/div[3]/div[2]/ul/li[5]/span[2]/span"")"),"Loading...")</f>
        <v>Loading...</v>
      </c>
      <c r="J1790" s="7" t="str">
        <f ca="1">IFERROR(__xludf.DUMMYFUNCTION("GOOGLEFINANCE(""NSE:""&amp;D1790,""marketcap"")"),"#N/A")</f>
        <v>#N/A</v>
      </c>
      <c r="K1790" s="7">
        <v>992.8</v>
      </c>
      <c r="L1790" s="8" t="str">
        <f ca="1">IFERROR(__xludf.DUMMYFUNCTION("GOOGLEFINANCE(""NSE:""&amp;D1790,""price"")"),"#N/A")</f>
        <v>#N/A</v>
      </c>
      <c r="M1790" s="9" t="e">
        <f t="shared" ca="1" si="37"/>
        <v>#VALUE!</v>
      </c>
      <c r="N1790" s="10" t="e">
        <f t="shared" ca="1" si="38"/>
        <v>#VALUE!</v>
      </c>
      <c r="O1790" s="7" t="str">
        <f ca="1">IFERROR(__xludf.DUMMYFUNCTION("GOOGLEFINANCE(""NSE:""&amp;D1790,""pe"")"),"#N/A")</f>
        <v>#N/A</v>
      </c>
      <c r="P1790" s="7" t="str">
        <f ca="1">IFERROR(__xludf.DUMMYFUNCTION("GOOGLEFINANCE(""NSE:""&amp;D1790,""EPS"")"),"#N/A")</f>
        <v>#N/A</v>
      </c>
      <c r="Q1790" s="7">
        <v>13.5</v>
      </c>
      <c r="R1790" s="7" t="str">
        <f ca="1">IFERROR(__xludf.DUMMYFUNCTION("IMPORTXML(E1790,""/html/body/main/div[3]/div[3]/div[2]/ul/li[7]/span[2]/span"")"),"Loading...")</f>
        <v>Loading...</v>
      </c>
      <c r="S1790" s="7" t="str">
        <f ca="1">IFERROR(__xludf.DUMMYFUNCTION("IMPORTXML(E1790,""/html/body/main/div[3]/div[3]/div[2]/ul/li[8]/span[2]/span"")"),"Loading...")</f>
        <v>Loading...</v>
      </c>
      <c r="T1790" s="4">
        <v>34.6</v>
      </c>
      <c r="U1790" s="4">
        <v>22.7</v>
      </c>
      <c r="V1790" s="4">
        <v>2.6</v>
      </c>
      <c r="W1790" s="4">
        <v>5.7</v>
      </c>
      <c r="X1790" s="4">
        <v>519.92999999999995</v>
      </c>
      <c r="Y1790" s="7" t="e">
        <f t="shared" ca="1" si="39"/>
        <v>#VALUE!</v>
      </c>
    </row>
    <row r="1791" spans="1:25" ht="15" x14ac:dyDescent="0.25">
      <c r="A1791" s="4">
        <v>1370</v>
      </c>
      <c r="C1791" s="41" t="s">
        <v>3937</v>
      </c>
      <c r="D1791" s="42"/>
      <c r="E1791" s="5" t="str">
        <f t="shared" si="35"/>
        <v>https://www.screener.in/company//consolidated/</v>
      </c>
      <c r="F1791" s="4">
        <v>443059</v>
      </c>
      <c r="G1791" s="4">
        <v>3832241897</v>
      </c>
      <c r="H1791" s="6" t="e">
        <f t="shared" ca="1" si="36"/>
        <v>#VALUE!</v>
      </c>
      <c r="I1791" s="7" t="str">
        <f ca="1">IFERROR(__xludf.DUMMYFUNCTION("IMPORTXML(E1791,""/html/body/main/div[3]/div[3]/div[2]/ul/li[5]/span[2]/span"")"),"Loading...")</f>
        <v>Loading...</v>
      </c>
      <c r="J1791" s="7" t="str">
        <f ca="1">IFERROR(__xludf.DUMMYFUNCTION("GOOGLEFINANCE(""NSE:""&amp;D1791,""marketcap"")"),"#N/A")</f>
        <v>#N/A</v>
      </c>
      <c r="K1791" s="7">
        <v>992.8</v>
      </c>
      <c r="L1791" s="8" t="str">
        <f ca="1">IFERROR(__xludf.DUMMYFUNCTION("GOOGLEFINANCE(""NSE:""&amp;D1791,""price"")"),"#N/A")</f>
        <v>#N/A</v>
      </c>
      <c r="M1791" s="9" t="e">
        <f t="shared" ca="1" si="37"/>
        <v>#VALUE!</v>
      </c>
      <c r="N1791" s="10" t="e">
        <f t="shared" ca="1" si="38"/>
        <v>#VALUE!</v>
      </c>
      <c r="O1791" s="7" t="str">
        <f ca="1">IFERROR(__xludf.DUMMYFUNCTION("GOOGLEFINANCE(""NSE:""&amp;D1791,""pe"")"),"#N/A")</f>
        <v>#N/A</v>
      </c>
      <c r="P1791" s="7" t="str">
        <f ca="1">IFERROR(__xludf.DUMMYFUNCTION("GOOGLEFINANCE(""NSE:""&amp;D1791,""EPS"")"),"#N/A")</f>
        <v>#N/A</v>
      </c>
      <c r="Q1791" s="7">
        <v>13.5</v>
      </c>
      <c r="R1791" s="7" t="str">
        <f ca="1">IFERROR(__xludf.DUMMYFUNCTION("IMPORTXML(E1791,""/html/body/main/div[3]/div[3]/div[2]/ul/li[7]/span[2]/span"")"),"Loading...")</f>
        <v>Loading...</v>
      </c>
      <c r="S1791" s="7" t="str">
        <f ca="1">IFERROR(__xludf.DUMMYFUNCTION("IMPORTXML(E1791,""/html/body/main/div[3]/div[3]/div[2]/ul/li[8]/span[2]/span"")"),"Loading...")</f>
        <v>Loading...</v>
      </c>
      <c r="T1791" s="4">
        <v>34.6</v>
      </c>
      <c r="U1791" s="4">
        <v>22.7</v>
      </c>
      <c r="V1791" s="4">
        <v>2.6</v>
      </c>
      <c r="W1791" s="4">
        <v>5.7</v>
      </c>
      <c r="X1791" s="4">
        <v>519.92999999999995</v>
      </c>
      <c r="Y1791" s="7" t="e">
        <f t="shared" ca="1" si="39"/>
        <v>#VALUE!</v>
      </c>
    </row>
    <row r="1792" spans="1:25" ht="15" x14ac:dyDescent="0.25">
      <c r="A1792" s="4">
        <v>1372</v>
      </c>
      <c r="C1792" s="41" t="s">
        <v>3938</v>
      </c>
      <c r="D1792" s="42"/>
      <c r="E1792" s="5" t="str">
        <f t="shared" si="35"/>
        <v>https://www.screener.in/company//consolidated/</v>
      </c>
      <c r="F1792" s="4">
        <v>443059</v>
      </c>
      <c r="G1792" s="4">
        <v>3832241897</v>
      </c>
      <c r="H1792" s="6" t="e">
        <f t="shared" ca="1" si="36"/>
        <v>#VALUE!</v>
      </c>
      <c r="I1792" s="7" t="str">
        <f ca="1">IFERROR(__xludf.DUMMYFUNCTION("IMPORTXML(E1792,""/html/body/main/div[3]/div[3]/div[2]/ul/li[5]/span[2]/span"")"),"Loading...")</f>
        <v>Loading...</v>
      </c>
      <c r="J1792" s="7" t="str">
        <f ca="1">IFERROR(__xludf.DUMMYFUNCTION("GOOGLEFINANCE(""NSE:""&amp;D1792,""marketcap"")"),"#N/A")</f>
        <v>#N/A</v>
      </c>
      <c r="K1792" s="7">
        <v>992.8</v>
      </c>
      <c r="L1792" s="8" t="str">
        <f ca="1">IFERROR(__xludf.DUMMYFUNCTION("GOOGLEFINANCE(""NSE:""&amp;D1792,""price"")"),"#N/A")</f>
        <v>#N/A</v>
      </c>
      <c r="M1792" s="9" t="e">
        <f t="shared" ca="1" si="37"/>
        <v>#VALUE!</v>
      </c>
      <c r="N1792" s="10" t="e">
        <f t="shared" ca="1" si="38"/>
        <v>#VALUE!</v>
      </c>
      <c r="O1792" s="7" t="str">
        <f ca="1">IFERROR(__xludf.DUMMYFUNCTION("GOOGLEFINANCE(""NSE:""&amp;D1792,""pe"")"),"#N/A")</f>
        <v>#N/A</v>
      </c>
      <c r="P1792" s="7" t="str">
        <f ca="1">IFERROR(__xludf.DUMMYFUNCTION("GOOGLEFINANCE(""NSE:""&amp;D1792,""EPS"")"),"#N/A")</f>
        <v>#N/A</v>
      </c>
      <c r="Q1792" s="7">
        <v>13.5</v>
      </c>
      <c r="R1792" s="7" t="str">
        <f ca="1">IFERROR(__xludf.DUMMYFUNCTION("IMPORTXML(E1792,""/html/body/main/div[3]/div[3]/div[2]/ul/li[7]/span[2]/span"")"),"Loading...")</f>
        <v>Loading...</v>
      </c>
      <c r="S1792" s="7" t="str">
        <f ca="1">IFERROR(__xludf.DUMMYFUNCTION("IMPORTXML(E1792,""/html/body/main/div[3]/div[3]/div[2]/ul/li[8]/span[2]/span"")"),"Loading...")</f>
        <v>Loading...</v>
      </c>
      <c r="T1792" s="4">
        <v>34.6</v>
      </c>
      <c r="U1792" s="4">
        <v>22.7</v>
      </c>
      <c r="V1792" s="4">
        <v>2.6</v>
      </c>
      <c r="W1792" s="4">
        <v>5.7</v>
      </c>
      <c r="X1792" s="4">
        <v>519.92999999999995</v>
      </c>
      <c r="Y1792" s="7" t="e">
        <f t="shared" ca="1" si="39"/>
        <v>#VALUE!</v>
      </c>
    </row>
    <row r="1793" spans="1:25" ht="15" x14ac:dyDescent="0.25">
      <c r="A1793" s="4">
        <v>1373</v>
      </c>
      <c r="C1793" s="12" t="s">
        <v>3939</v>
      </c>
      <c r="D1793" s="12" t="s">
        <v>3940</v>
      </c>
      <c r="E1793" s="5" t="str">
        <f t="shared" si="35"/>
        <v>https://www.screener.in/company/NITCO/consolidated/</v>
      </c>
      <c r="F1793" s="4">
        <v>443059</v>
      </c>
      <c r="G1793" s="4">
        <v>3832241897</v>
      </c>
      <c r="H1793" s="6">
        <f t="shared" ca="1" si="36"/>
        <v>45527.033736359997</v>
      </c>
      <c r="I1793" s="7" t="str">
        <f ca="1">IFERROR(__xludf.DUMMYFUNCTION("IMPORTXML(E1793,""/html/body/main/div[3]/div[3]/div[2]/ul/li[5]/span[2]/span"")"),"Loading...")</f>
        <v>Loading...</v>
      </c>
      <c r="J1793" s="7">
        <f ca="1">IFERROR(__xludf.DUMMYFUNCTION("GOOGLEFINANCE(""NSE:""&amp;D1793,""marketcap"")"),27189430000)</f>
        <v>27189430000</v>
      </c>
      <c r="K1793" s="7">
        <v>992.8</v>
      </c>
      <c r="L1793" s="8">
        <f ca="1">IFERROR(__xludf.DUMMYFUNCTION("GOOGLEFINANCE(""NSE:""&amp;D1793,""price"")"),118.8)</f>
        <v>118.8</v>
      </c>
      <c r="M1793" s="9">
        <f t="shared" ca="1" si="37"/>
        <v>-874</v>
      </c>
      <c r="N1793" s="10">
        <f t="shared" ca="1" si="38"/>
        <v>-88.033843674456094</v>
      </c>
      <c r="O1793" s="7" t="str">
        <f ca="1">IFERROR(__xludf.DUMMYFUNCTION("GOOGLEFINANCE(""NSE:""&amp;D1793,""pe"")"),"#N/A")</f>
        <v>#N/A</v>
      </c>
      <c r="P1793" s="7">
        <f ca="1">IFERROR(__xludf.DUMMYFUNCTION("GOOGLEFINANCE(""NSE:""&amp;D1793,""EPS"")"),-94.98)</f>
        <v>-94.98</v>
      </c>
      <c r="Q1793" s="7">
        <v>13.5</v>
      </c>
      <c r="R1793" s="7" t="str">
        <f ca="1">IFERROR(__xludf.DUMMYFUNCTION("IMPORTXML(E1793,""/html/body/main/div[3]/div[3]/div[2]/ul/li[7]/span[2]/span"")"),"Loading...")</f>
        <v>Loading...</v>
      </c>
      <c r="S1793" s="7" t="str">
        <f ca="1">IFERROR(__xludf.DUMMYFUNCTION("IMPORTXML(E1793,""/html/body/main/div[3]/div[3]/div[2]/ul/li[8]/span[2]/span"")"),"Loading...")</f>
        <v>Loading...</v>
      </c>
      <c r="T1793" s="4">
        <v>34.6</v>
      </c>
      <c r="U1793" s="4">
        <v>22.7</v>
      </c>
      <c r="V1793" s="4">
        <v>2.6</v>
      </c>
      <c r="W1793" s="4">
        <v>5.7</v>
      </c>
      <c r="X1793" s="4">
        <v>519.92999999999995</v>
      </c>
      <c r="Y1793" s="7">
        <f t="shared" ca="1" si="39"/>
        <v>-401.12999999999994</v>
      </c>
    </row>
    <row r="1794" spans="1:25" ht="15" x14ac:dyDescent="0.25">
      <c r="A1794" s="4">
        <v>1376</v>
      </c>
      <c r="C1794" s="41" t="s">
        <v>3941</v>
      </c>
      <c r="D1794" s="42"/>
      <c r="E1794" s="5" t="str">
        <f t="shared" si="35"/>
        <v>https://www.screener.in/company//consolidated/</v>
      </c>
      <c r="F1794" s="4">
        <v>443059</v>
      </c>
      <c r="G1794" s="4">
        <v>3832241897</v>
      </c>
      <c r="H1794" s="6" t="e">
        <f t="shared" ca="1" si="36"/>
        <v>#VALUE!</v>
      </c>
      <c r="I1794" s="7" t="str">
        <f ca="1">IFERROR(__xludf.DUMMYFUNCTION("IMPORTXML(E1794,""/html/body/main/div[3]/div[3]/div[2]/ul/li[5]/span[2]/span"")"),"Loading...")</f>
        <v>Loading...</v>
      </c>
      <c r="J1794" s="7" t="str">
        <f ca="1">IFERROR(__xludf.DUMMYFUNCTION("GOOGLEFINANCE(""NSE:""&amp;D1794,""marketcap"")"),"#N/A")</f>
        <v>#N/A</v>
      </c>
      <c r="K1794" s="7">
        <v>992.8</v>
      </c>
      <c r="L1794" s="8" t="str">
        <f ca="1">IFERROR(__xludf.DUMMYFUNCTION("GOOGLEFINANCE(""NSE:""&amp;D1794,""price"")"),"#N/A")</f>
        <v>#N/A</v>
      </c>
      <c r="M1794" s="9" t="e">
        <f t="shared" ca="1" si="37"/>
        <v>#VALUE!</v>
      </c>
      <c r="N1794" s="10" t="e">
        <f t="shared" ca="1" si="38"/>
        <v>#VALUE!</v>
      </c>
      <c r="O1794" s="7" t="str">
        <f ca="1">IFERROR(__xludf.DUMMYFUNCTION("GOOGLEFINANCE(""NSE:""&amp;D1794,""pe"")"),"#N/A")</f>
        <v>#N/A</v>
      </c>
      <c r="P1794" s="7" t="str">
        <f ca="1">IFERROR(__xludf.DUMMYFUNCTION("GOOGLEFINANCE(""NSE:""&amp;D1794,""EPS"")"),"#N/A")</f>
        <v>#N/A</v>
      </c>
      <c r="Q1794" s="7">
        <v>13.5</v>
      </c>
      <c r="R1794" s="7" t="str">
        <f ca="1">IFERROR(__xludf.DUMMYFUNCTION("IMPORTXML(E1794,""/html/body/main/div[3]/div[3]/div[2]/ul/li[7]/span[2]/span"")"),"Loading...")</f>
        <v>Loading...</v>
      </c>
      <c r="S1794" s="7" t="str">
        <f ca="1">IFERROR(__xludf.DUMMYFUNCTION("IMPORTXML(E1794,""/html/body/main/div[3]/div[3]/div[2]/ul/li[8]/span[2]/span"")"),"Loading...")</f>
        <v>Loading...</v>
      </c>
      <c r="T1794" s="4">
        <v>34.6</v>
      </c>
      <c r="U1794" s="4">
        <v>22.7</v>
      </c>
      <c r="V1794" s="4">
        <v>2.6</v>
      </c>
      <c r="W1794" s="4">
        <v>5.7</v>
      </c>
      <c r="X1794" s="4">
        <v>519.92999999999995</v>
      </c>
      <c r="Y1794" s="7" t="e">
        <f t="shared" ca="1" si="39"/>
        <v>#VALUE!</v>
      </c>
    </row>
    <row r="1795" spans="1:25" ht="15" x14ac:dyDescent="0.25">
      <c r="A1795" s="4">
        <v>1377</v>
      </c>
      <c r="C1795" s="41" t="s">
        <v>3942</v>
      </c>
      <c r="D1795" s="42"/>
      <c r="E1795" s="5" t="str">
        <f t="shared" si="35"/>
        <v>https://www.screener.in/company//consolidated/</v>
      </c>
      <c r="F1795" s="4">
        <v>443059</v>
      </c>
      <c r="G1795" s="4">
        <v>3832241897</v>
      </c>
      <c r="H1795" s="6" t="e">
        <f t="shared" ca="1" si="36"/>
        <v>#VALUE!</v>
      </c>
      <c r="I1795" s="7" t="str">
        <f ca="1">IFERROR(__xludf.DUMMYFUNCTION("IMPORTXML(E1795,""/html/body/main/div[3]/div[3]/div[2]/ul/li[5]/span[2]/span"")"),"Loading...")</f>
        <v>Loading...</v>
      </c>
      <c r="J1795" s="7" t="str">
        <f ca="1">IFERROR(__xludf.DUMMYFUNCTION("GOOGLEFINANCE(""NSE:""&amp;D1795,""marketcap"")"),"#N/A")</f>
        <v>#N/A</v>
      </c>
      <c r="K1795" s="7">
        <v>992.8</v>
      </c>
      <c r="L1795" s="8" t="str">
        <f ca="1">IFERROR(__xludf.DUMMYFUNCTION("GOOGLEFINANCE(""NSE:""&amp;D1795,""price"")"),"#N/A")</f>
        <v>#N/A</v>
      </c>
      <c r="M1795" s="9" t="e">
        <f t="shared" ca="1" si="37"/>
        <v>#VALUE!</v>
      </c>
      <c r="N1795" s="10" t="e">
        <f t="shared" ca="1" si="38"/>
        <v>#VALUE!</v>
      </c>
      <c r="O1795" s="7" t="str">
        <f ca="1">IFERROR(__xludf.DUMMYFUNCTION("GOOGLEFINANCE(""NSE:""&amp;D1795,""pe"")"),"#N/A")</f>
        <v>#N/A</v>
      </c>
      <c r="P1795" s="7" t="str">
        <f ca="1">IFERROR(__xludf.DUMMYFUNCTION("GOOGLEFINANCE(""NSE:""&amp;D1795,""EPS"")"),"#N/A")</f>
        <v>#N/A</v>
      </c>
      <c r="Q1795" s="7">
        <v>13.5</v>
      </c>
      <c r="R1795" s="7" t="str">
        <f ca="1">IFERROR(__xludf.DUMMYFUNCTION("IMPORTXML(E1795,""/html/body/main/div[3]/div[3]/div[2]/ul/li[7]/span[2]/span"")"),"Loading...")</f>
        <v>Loading...</v>
      </c>
      <c r="S1795" s="7" t="str">
        <f ca="1">IFERROR(__xludf.DUMMYFUNCTION("IMPORTXML(E1795,""/html/body/main/div[3]/div[3]/div[2]/ul/li[8]/span[2]/span"")"),"Loading...")</f>
        <v>Loading...</v>
      </c>
      <c r="T1795" s="4">
        <v>34.6</v>
      </c>
      <c r="U1795" s="4">
        <v>22.7</v>
      </c>
      <c r="V1795" s="4">
        <v>2.6</v>
      </c>
      <c r="W1795" s="4">
        <v>5.7</v>
      </c>
      <c r="X1795" s="4">
        <v>519.92999999999995</v>
      </c>
      <c r="Y1795" s="7" t="e">
        <f t="shared" ca="1" si="39"/>
        <v>#VALUE!</v>
      </c>
    </row>
    <row r="1796" spans="1:25" ht="15" x14ac:dyDescent="0.25">
      <c r="A1796" s="4">
        <v>1379</v>
      </c>
      <c r="C1796" s="41" t="s">
        <v>3943</v>
      </c>
      <c r="D1796" s="42"/>
      <c r="E1796" s="5" t="str">
        <f t="shared" si="35"/>
        <v>https://www.screener.in/company//consolidated/</v>
      </c>
      <c r="F1796" s="4">
        <v>443059</v>
      </c>
      <c r="G1796" s="4">
        <v>3832241897</v>
      </c>
      <c r="H1796" s="6" t="e">
        <f t="shared" ca="1" si="36"/>
        <v>#VALUE!</v>
      </c>
      <c r="I1796" s="7" t="str">
        <f ca="1">IFERROR(__xludf.DUMMYFUNCTION("IMPORTXML(E1796,""/html/body/main/div[3]/div[3]/div[2]/ul/li[5]/span[2]/span"")"),"Loading...")</f>
        <v>Loading...</v>
      </c>
      <c r="J1796" s="7" t="str">
        <f ca="1">IFERROR(__xludf.DUMMYFUNCTION("GOOGLEFINANCE(""NSE:""&amp;D1796,""marketcap"")"),"#N/A")</f>
        <v>#N/A</v>
      </c>
      <c r="K1796" s="7">
        <v>992.8</v>
      </c>
      <c r="L1796" s="8" t="str">
        <f ca="1">IFERROR(__xludf.DUMMYFUNCTION("GOOGLEFINANCE(""NSE:""&amp;D1796,""price"")"),"#N/A")</f>
        <v>#N/A</v>
      </c>
      <c r="M1796" s="9" t="e">
        <f t="shared" ca="1" si="37"/>
        <v>#VALUE!</v>
      </c>
      <c r="N1796" s="10" t="e">
        <f t="shared" ca="1" si="38"/>
        <v>#VALUE!</v>
      </c>
      <c r="O1796" s="7" t="str">
        <f ca="1">IFERROR(__xludf.DUMMYFUNCTION("GOOGLEFINANCE(""NSE:""&amp;D1796,""pe"")"),"#N/A")</f>
        <v>#N/A</v>
      </c>
      <c r="P1796" s="7" t="str">
        <f ca="1">IFERROR(__xludf.DUMMYFUNCTION("GOOGLEFINANCE(""NSE:""&amp;D1796,""EPS"")"),"#N/A")</f>
        <v>#N/A</v>
      </c>
      <c r="Q1796" s="7">
        <v>13.5</v>
      </c>
      <c r="R1796" s="7" t="str">
        <f ca="1">IFERROR(__xludf.DUMMYFUNCTION("IMPORTXML(E1796,""/html/body/main/div[3]/div[3]/div[2]/ul/li[7]/span[2]/span"")"),"Loading...")</f>
        <v>Loading...</v>
      </c>
      <c r="S1796" s="7" t="str">
        <f ca="1">IFERROR(__xludf.DUMMYFUNCTION("IMPORTXML(E1796,""/html/body/main/div[3]/div[3]/div[2]/ul/li[8]/span[2]/span"")"),"Loading...")</f>
        <v>Loading...</v>
      </c>
      <c r="T1796" s="4">
        <v>34.6</v>
      </c>
      <c r="U1796" s="4">
        <v>22.7</v>
      </c>
      <c r="V1796" s="4">
        <v>2.6</v>
      </c>
      <c r="W1796" s="4">
        <v>5.7</v>
      </c>
      <c r="X1796" s="4">
        <v>519.92999999999995</v>
      </c>
      <c r="Y1796" s="7" t="e">
        <f t="shared" ca="1" si="39"/>
        <v>#VALUE!</v>
      </c>
    </row>
    <row r="1797" spans="1:25" ht="15" x14ac:dyDescent="0.25">
      <c r="A1797" s="4">
        <v>1380</v>
      </c>
      <c r="C1797" s="41" t="s">
        <v>3944</v>
      </c>
      <c r="D1797" s="42"/>
      <c r="E1797" s="5" t="str">
        <f t="shared" si="35"/>
        <v>https://www.screener.in/company//consolidated/</v>
      </c>
      <c r="F1797" s="4">
        <v>443059</v>
      </c>
      <c r="G1797" s="4">
        <v>3832241897</v>
      </c>
      <c r="H1797" s="6" t="e">
        <f t="shared" ca="1" si="36"/>
        <v>#VALUE!</v>
      </c>
      <c r="I1797" s="7" t="str">
        <f ca="1">IFERROR(__xludf.DUMMYFUNCTION("IMPORTXML(E1797,""/html/body/main/div[3]/div[3]/div[2]/ul/li[5]/span[2]/span"")"),"Loading...")</f>
        <v>Loading...</v>
      </c>
      <c r="J1797" s="7" t="str">
        <f ca="1">IFERROR(__xludf.DUMMYFUNCTION("GOOGLEFINANCE(""NSE:""&amp;D1797,""marketcap"")"),"#N/A")</f>
        <v>#N/A</v>
      </c>
      <c r="K1797" s="7">
        <v>992.8</v>
      </c>
      <c r="L1797" s="8" t="str">
        <f ca="1">IFERROR(__xludf.DUMMYFUNCTION("GOOGLEFINANCE(""NSE:""&amp;D1797,""price"")"),"#N/A")</f>
        <v>#N/A</v>
      </c>
      <c r="M1797" s="9" t="e">
        <f t="shared" ca="1" si="37"/>
        <v>#VALUE!</v>
      </c>
      <c r="N1797" s="10" t="e">
        <f t="shared" ca="1" si="38"/>
        <v>#VALUE!</v>
      </c>
      <c r="O1797" s="7" t="str">
        <f ca="1">IFERROR(__xludf.DUMMYFUNCTION("GOOGLEFINANCE(""NSE:""&amp;D1797,""pe"")"),"#N/A")</f>
        <v>#N/A</v>
      </c>
      <c r="P1797" s="7" t="str">
        <f ca="1">IFERROR(__xludf.DUMMYFUNCTION("GOOGLEFINANCE(""NSE:""&amp;D1797,""EPS"")"),"#N/A")</f>
        <v>#N/A</v>
      </c>
      <c r="Q1797" s="7">
        <v>13.5</v>
      </c>
      <c r="R1797" s="7" t="str">
        <f ca="1">IFERROR(__xludf.DUMMYFUNCTION("IMPORTXML(E1797,""/html/body/main/div[3]/div[3]/div[2]/ul/li[7]/span[2]/span"")"),"Loading...")</f>
        <v>Loading...</v>
      </c>
      <c r="S1797" s="7" t="str">
        <f ca="1">IFERROR(__xludf.DUMMYFUNCTION("IMPORTXML(E1797,""/html/body/main/div[3]/div[3]/div[2]/ul/li[8]/span[2]/span"")"),"Loading...")</f>
        <v>Loading...</v>
      </c>
      <c r="T1797" s="4">
        <v>34.6</v>
      </c>
      <c r="U1797" s="4">
        <v>22.7</v>
      </c>
      <c r="V1797" s="4">
        <v>2.6</v>
      </c>
      <c r="W1797" s="4">
        <v>5.7</v>
      </c>
      <c r="X1797" s="4">
        <v>519.92999999999995</v>
      </c>
      <c r="Y1797" s="7" t="e">
        <f t="shared" ca="1" si="39"/>
        <v>#VALUE!</v>
      </c>
    </row>
    <row r="1798" spans="1:25" ht="15" x14ac:dyDescent="0.25">
      <c r="A1798" s="4">
        <v>1382</v>
      </c>
      <c r="C1798" s="12" t="s">
        <v>3945</v>
      </c>
      <c r="D1798" s="12" t="s">
        <v>3946</v>
      </c>
      <c r="E1798" s="5" t="str">
        <f t="shared" si="35"/>
        <v>https://www.screener.in/company/BALAJITELE/consolidated/</v>
      </c>
      <c r="F1798" s="4">
        <v>443059</v>
      </c>
      <c r="G1798" s="4">
        <v>3832241897</v>
      </c>
      <c r="H1798" s="6">
        <f t="shared" ca="1" si="36"/>
        <v>42921.109246400003</v>
      </c>
      <c r="I1798" s="7" t="str">
        <f ca="1">IFERROR(__xludf.DUMMYFUNCTION("IMPORTXML(E1798,""/html/body/main/div[3]/div[3]/div[2]/ul/li[5]/span[2]/span"")"),"Loading...")</f>
        <v>Loading...</v>
      </c>
      <c r="J1798" s="7">
        <f ca="1">IFERROR(__xludf.DUMMYFUNCTION("GOOGLEFINANCE(""NSE:""&amp;D1798,""marketcap"")"),13091380000)</f>
        <v>13091380000</v>
      </c>
      <c r="K1798" s="7">
        <v>992.8</v>
      </c>
      <c r="L1798" s="8">
        <f ca="1">IFERROR(__xludf.DUMMYFUNCTION("GOOGLEFINANCE(""NSE:""&amp;D1798,""price"")"),112)</f>
        <v>112</v>
      </c>
      <c r="M1798" s="9">
        <f t="shared" ca="1" si="37"/>
        <v>-880.8</v>
      </c>
      <c r="N1798" s="10">
        <f t="shared" ca="1" si="38"/>
        <v>-88.718775181305404</v>
      </c>
      <c r="O1798" s="7">
        <f ca="1">IFERROR(__xludf.DUMMYFUNCTION("GOOGLEFINANCE(""NSE:""&amp;D1798,""pe"")"),14.14)</f>
        <v>14.14</v>
      </c>
      <c r="P1798" s="7">
        <f ca="1">IFERROR(__xludf.DUMMYFUNCTION("GOOGLEFINANCE(""NSE:""&amp;D1798,""EPS"")"),7.92)</f>
        <v>7.92</v>
      </c>
      <c r="Q1798" s="7">
        <v>13.5</v>
      </c>
      <c r="R1798" s="7" t="str">
        <f ca="1">IFERROR(__xludf.DUMMYFUNCTION("IMPORTXML(E1798,""/html/body/main/div[3]/div[3]/div[2]/ul/li[7]/span[2]/span"")"),"Loading...")</f>
        <v>Loading...</v>
      </c>
      <c r="S1798" s="7" t="str">
        <f ca="1">IFERROR(__xludf.DUMMYFUNCTION("IMPORTXML(E1798,""/html/body/main/div[3]/div[3]/div[2]/ul/li[8]/span[2]/span"")"),"Loading...")</f>
        <v>Loading...</v>
      </c>
      <c r="T1798" s="4">
        <v>34.6</v>
      </c>
      <c r="U1798" s="4">
        <v>22.7</v>
      </c>
      <c r="V1798" s="4">
        <v>2.6</v>
      </c>
      <c r="W1798" s="4">
        <v>5.7</v>
      </c>
      <c r="X1798" s="4">
        <v>519.92999999999995</v>
      </c>
      <c r="Y1798" s="7">
        <f t="shared" ca="1" si="39"/>
        <v>-407.92999999999995</v>
      </c>
    </row>
    <row r="1799" spans="1:25" ht="15" x14ac:dyDescent="0.25">
      <c r="A1799" s="4">
        <v>1383</v>
      </c>
      <c r="C1799" s="41" t="s">
        <v>3947</v>
      </c>
      <c r="D1799" s="42"/>
      <c r="E1799" s="5" t="str">
        <f t="shared" si="35"/>
        <v>https://www.screener.in/company//consolidated/</v>
      </c>
      <c r="F1799" s="4">
        <v>443059</v>
      </c>
      <c r="G1799" s="4">
        <v>3832241897</v>
      </c>
      <c r="H1799" s="6" t="e">
        <f t="shared" ca="1" si="36"/>
        <v>#VALUE!</v>
      </c>
      <c r="I1799" s="7" t="str">
        <f ca="1">IFERROR(__xludf.DUMMYFUNCTION("IMPORTXML(E1799,""/html/body/main/div[3]/div[3]/div[2]/ul/li[5]/span[2]/span"")"),"Loading...")</f>
        <v>Loading...</v>
      </c>
      <c r="J1799" s="7" t="str">
        <f ca="1">IFERROR(__xludf.DUMMYFUNCTION("GOOGLEFINANCE(""NSE:""&amp;D1799,""marketcap"")"),"#N/A")</f>
        <v>#N/A</v>
      </c>
      <c r="K1799" s="7">
        <v>992.8</v>
      </c>
      <c r="L1799" s="8" t="str">
        <f ca="1">IFERROR(__xludf.DUMMYFUNCTION("GOOGLEFINANCE(""NSE:""&amp;D1799,""price"")"),"#N/A")</f>
        <v>#N/A</v>
      </c>
      <c r="M1799" s="9" t="e">
        <f t="shared" ca="1" si="37"/>
        <v>#VALUE!</v>
      </c>
      <c r="N1799" s="10" t="e">
        <f t="shared" ca="1" si="38"/>
        <v>#VALUE!</v>
      </c>
      <c r="O1799" s="7" t="str">
        <f ca="1">IFERROR(__xludf.DUMMYFUNCTION("GOOGLEFINANCE(""NSE:""&amp;D1799,""pe"")"),"#N/A")</f>
        <v>#N/A</v>
      </c>
      <c r="P1799" s="7" t="str">
        <f ca="1">IFERROR(__xludf.DUMMYFUNCTION("GOOGLEFINANCE(""NSE:""&amp;D1799,""EPS"")"),"#N/A")</f>
        <v>#N/A</v>
      </c>
      <c r="Q1799" s="7">
        <v>13.5</v>
      </c>
      <c r="R1799" s="7" t="str">
        <f ca="1">IFERROR(__xludf.DUMMYFUNCTION("IMPORTXML(E1799,""/html/body/main/div[3]/div[3]/div[2]/ul/li[7]/span[2]/span"")"),"Loading...")</f>
        <v>Loading...</v>
      </c>
      <c r="S1799" s="7" t="str">
        <f ca="1">IFERROR(__xludf.DUMMYFUNCTION("IMPORTXML(E1799,""/html/body/main/div[3]/div[3]/div[2]/ul/li[8]/span[2]/span"")"),"Loading...")</f>
        <v>Loading...</v>
      </c>
      <c r="T1799" s="4">
        <v>34.6</v>
      </c>
      <c r="U1799" s="4">
        <v>22.7</v>
      </c>
      <c r="V1799" s="4">
        <v>2.6</v>
      </c>
      <c r="W1799" s="4">
        <v>5.7</v>
      </c>
      <c r="X1799" s="4">
        <v>519.92999999999995</v>
      </c>
      <c r="Y1799" s="7" t="e">
        <f t="shared" ca="1" si="39"/>
        <v>#VALUE!</v>
      </c>
    </row>
    <row r="1800" spans="1:25" ht="15" x14ac:dyDescent="0.25">
      <c r="A1800" s="4">
        <v>1387</v>
      </c>
      <c r="C1800" s="41" t="s">
        <v>3948</v>
      </c>
      <c r="D1800" s="42"/>
      <c r="E1800" s="5" t="str">
        <f t="shared" si="35"/>
        <v>https://www.screener.in/company//consolidated/</v>
      </c>
      <c r="F1800" s="4">
        <v>443059</v>
      </c>
      <c r="G1800" s="4">
        <v>3832241897</v>
      </c>
      <c r="H1800" s="6" t="e">
        <f t="shared" ca="1" si="36"/>
        <v>#VALUE!</v>
      </c>
      <c r="I1800" s="7" t="str">
        <f ca="1">IFERROR(__xludf.DUMMYFUNCTION("IMPORTXML(E1800,""/html/body/main/div[3]/div[3]/div[2]/ul/li[5]/span[2]/span"")"),"Loading...")</f>
        <v>Loading...</v>
      </c>
      <c r="J1800" s="7" t="str">
        <f ca="1">IFERROR(__xludf.DUMMYFUNCTION("GOOGLEFINANCE(""NSE:""&amp;D1800,""marketcap"")"),"#N/A")</f>
        <v>#N/A</v>
      </c>
      <c r="K1800" s="7">
        <v>992.8</v>
      </c>
      <c r="L1800" s="8" t="str">
        <f ca="1">IFERROR(__xludf.DUMMYFUNCTION("GOOGLEFINANCE(""NSE:""&amp;D1800,""price"")"),"#N/A")</f>
        <v>#N/A</v>
      </c>
      <c r="M1800" s="9" t="e">
        <f t="shared" ca="1" si="37"/>
        <v>#VALUE!</v>
      </c>
      <c r="N1800" s="10" t="e">
        <f t="shared" ca="1" si="38"/>
        <v>#VALUE!</v>
      </c>
      <c r="O1800" s="7" t="str">
        <f ca="1">IFERROR(__xludf.DUMMYFUNCTION("GOOGLEFINANCE(""NSE:""&amp;D1800,""pe"")"),"#N/A")</f>
        <v>#N/A</v>
      </c>
      <c r="P1800" s="7" t="str">
        <f ca="1">IFERROR(__xludf.DUMMYFUNCTION("GOOGLEFINANCE(""NSE:""&amp;D1800,""EPS"")"),"#N/A")</f>
        <v>#N/A</v>
      </c>
      <c r="Q1800" s="7">
        <v>13.5</v>
      </c>
      <c r="R1800" s="7" t="str">
        <f ca="1">IFERROR(__xludf.DUMMYFUNCTION("IMPORTXML(E1800,""/html/body/main/div[3]/div[3]/div[2]/ul/li[7]/span[2]/span"")"),"Loading...")</f>
        <v>Loading...</v>
      </c>
      <c r="S1800" s="7" t="str">
        <f ca="1">IFERROR(__xludf.DUMMYFUNCTION("IMPORTXML(E1800,""/html/body/main/div[3]/div[3]/div[2]/ul/li[8]/span[2]/span"")"),"Loading...")</f>
        <v>Loading...</v>
      </c>
      <c r="T1800" s="4">
        <v>34.6</v>
      </c>
      <c r="U1800" s="4">
        <v>22.7</v>
      </c>
      <c r="V1800" s="4">
        <v>2.6</v>
      </c>
      <c r="W1800" s="4">
        <v>5.7</v>
      </c>
      <c r="X1800" s="4">
        <v>519.92999999999995</v>
      </c>
      <c r="Y1800" s="7" t="e">
        <f t="shared" ca="1" si="39"/>
        <v>#VALUE!</v>
      </c>
    </row>
    <row r="1801" spans="1:25" ht="15" x14ac:dyDescent="0.25">
      <c r="A1801" s="4">
        <v>1390</v>
      </c>
      <c r="C1801" s="12" t="s">
        <v>3949</v>
      </c>
      <c r="D1801" s="12" t="s">
        <v>3950</v>
      </c>
      <c r="E1801" s="5" t="str">
        <f t="shared" si="35"/>
        <v>https://www.screener.in/company/LGHL/consolidated/</v>
      </c>
      <c r="F1801" s="4">
        <v>443059</v>
      </c>
      <c r="G1801" s="4">
        <v>3832241897</v>
      </c>
      <c r="H1801" s="6">
        <f t="shared" ca="1" si="36"/>
        <v>318095.23866048496</v>
      </c>
      <c r="I1801" s="7" t="str">
        <f ca="1">IFERROR(__xludf.DUMMYFUNCTION("IMPORTXML(E1801,""/html/body/main/div[3]/div[3]/div[2]/ul/li[5]/span[2]/span"")"),"Loading...")</f>
        <v>Loading...</v>
      </c>
      <c r="J1801" s="7">
        <f ca="1">IFERROR(__xludf.DUMMYFUNCTION("GOOGLEFINANCE(""NSE:""&amp;D1801,""marketcap"")"),17324720340)</f>
        <v>17324720340</v>
      </c>
      <c r="K1801" s="7">
        <v>992.8</v>
      </c>
      <c r="L1801" s="8">
        <f ca="1">IFERROR(__xludf.DUMMYFUNCTION("GOOGLEFINANCE(""NSE:""&amp;D1801,""price"")"),830.05)</f>
        <v>830.05</v>
      </c>
      <c r="M1801" s="9">
        <f t="shared" ca="1" si="37"/>
        <v>-162.75</v>
      </c>
      <c r="N1801" s="10">
        <f t="shared" ca="1" si="38"/>
        <v>-16.393029814665596</v>
      </c>
      <c r="O1801" s="7">
        <f ca="1">IFERROR(__xludf.DUMMYFUNCTION("GOOGLEFINANCE(""NSE:""&amp;D1801,""pe"")"),165.02)</f>
        <v>165.02</v>
      </c>
      <c r="P1801" s="7">
        <f ca="1">IFERROR(__xludf.DUMMYFUNCTION("GOOGLEFINANCE(""NSE:""&amp;D1801,""EPS"")"),5.03)</f>
        <v>5.03</v>
      </c>
      <c r="Q1801" s="7">
        <v>13.5</v>
      </c>
      <c r="R1801" s="7" t="str">
        <f ca="1">IFERROR(__xludf.DUMMYFUNCTION("IMPORTXML(E1801,""/html/body/main/div[3]/div[3]/div[2]/ul/li[7]/span[2]/span"")"),"Loading...")</f>
        <v>Loading...</v>
      </c>
      <c r="S1801" s="7" t="str">
        <f ca="1">IFERROR(__xludf.DUMMYFUNCTION("IMPORTXML(E1801,""/html/body/main/div[3]/div[3]/div[2]/ul/li[8]/span[2]/span"")"),"Loading...")</f>
        <v>Loading...</v>
      </c>
      <c r="T1801" s="4">
        <v>34.6</v>
      </c>
      <c r="U1801" s="4">
        <v>22.7</v>
      </c>
      <c r="V1801" s="4">
        <v>2.6</v>
      </c>
      <c r="W1801" s="4">
        <v>5.7</v>
      </c>
      <c r="X1801" s="4">
        <v>519.92999999999995</v>
      </c>
      <c r="Y1801" s="7">
        <f t="shared" ca="1" si="39"/>
        <v>310.12</v>
      </c>
    </row>
    <row r="1802" spans="1:25" ht="15" x14ac:dyDescent="0.25">
      <c r="A1802" s="4">
        <v>1391</v>
      </c>
      <c r="C1802" s="12" t="s">
        <v>3951</v>
      </c>
      <c r="D1802" s="12" t="s">
        <v>3952</v>
      </c>
      <c r="E1802" s="5" t="str">
        <f t="shared" si="35"/>
        <v>https://www.screener.in/company/GOACARBON/consolidated/</v>
      </c>
      <c r="F1802" s="4">
        <v>443059</v>
      </c>
      <c r="G1802" s="4">
        <v>3832241897</v>
      </c>
      <c r="H1802" s="6">
        <f t="shared" ca="1" si="36"/>
        <v>175516.67888260001</v>
      </c>
      <c r="I1802" s="7" t="str">
        <f ca="1">IFERROR(__xludf.DUMMYFUNCTION("IMPORTXML(E1802,""/html/body/main/div[3]/div[3]/div[2]/ul/li[5]/span[2]/span"")"),"Loading...")</f>
        <v>Loading...</v>
      </c>
      <c r="J1802" s="7">
        <f ca="1">IFERROR(__xludf.DUMMYFUNCTION("GOOGLEFINANCE(""NSE:""&amp;D1802,""marketcap"")"),4185676710)</f>
        <v>4185676710</v>
      </c>
      <c r="K1802" s="7">
        <v>992.8</v>
      </c>
      <c r="L1802" s="8">
        <f ca="1">IFERROR(__xludf.DUMMYFUNCTION("GOOGLEFINANCE(""NSE:""&amp;D1802,""price"")"),458)</f>
        <v>458</v>
      </c>
      <c r="M1802" s="9">
        <f t="shared" ca="1" si="37"/>
        <v>-534.79999999999995</v>
      </c>
      <c r="N1802" s="10">
        <f t="shared" ca="1" si="38"/>
        <v>-53.867848509266715</v>
      </c>
      <c r="O1802" s="7" t="str">
        <f ca="1">IFERROR(__xludf.DUMMYFUNCTION("GOOGLEFINANCE(""NSE:""&amp;D1802,""pe"")"),"#N/A")</f>
        <v>#N/A</v>
      </c>
      <c r="P1802" s="7">
        <f ca="1">IFERROR(__xludf.DUMMYFUNCTION("GOOGLEFINANCE(""NSE:""&amp;D1802,""EPS"")"),-36.03)</f>
        <v>-36.03</v>
      </c>
      <c r="Q1802" s="7">
        <v>13.5</v>
      </c>
      <c r="R1802" s="7" t="str">
        <f ca="1">IFERROR(__xludf.DUMMYFUNCTION("IMPORTXML(E1802,""/html/body/main/div[3]/div[3]/div[2]/ul/li[7]/span[2]/span"")"),"Loading...")</f>
        <v>Loading...</v>
      </c>
      <c r="S1802" s="7" t="str">
        <f ca="1">IFERROR(__xludf.DUMMYFUNCTION("IMPORTXML(E1802,""/html/body/main/div[3]/div[3]/div[2]/ul/li[8]/span[2]/span"")"),"Loading...")</f>
        <v>Loading...</v>
      </c>
      <c r="T1802" s="4">
        <v>34.6</v>
      </c>
      <c r="U1802" s="4">
        <v>22.7</v>
      </c>
      <c r="V1802" s="4">
        <v>2.6</v>
      </c>
      <c r="W1802" s="4">
        <v>5.7</v>
      </c>
      <c r="X1802" s="4">
        <v>519.92999999999995</v>
      </c>
      <c r="Y1802" s="7">
        <f t="shared" ca="1" si="39"/>
        <v>-61.92999999999995</v>
      </c>
    </row>
    <row r="1803" spans="1:25" ht="15" x14ac:dyDescent="0.25">
      <c r="A1803" s="4">
        <v>1393</v>
      </c>
      <c r="C1803" s="41" t="s">
        <v>3953</v>
      </c>
      <c r="D1803" s="42"/>
      <c r="E1803" s="5" t="str">
        <f t="shared" si="35"/>
        <v>https://www.screener.in/company//consolidated/</v>
      </c>
      <c r="F1803" s="4">
        <v>443059</v>
      </c>
      <c r="G1803" s="4">
        <v>3832241897</v>
      </c>
      <c r="H1803" s="6" t="e">
        <f t="shared" ca="1" si="36"/>
        <v>#VALUE!</v>
      </c>
      <c r="I1803" s="7" t="str">
        <f ca="1">IFERROR(__xludf.DUMMYFUNCTION("IMPORTXML(E1803,""/html/body/main/div[3]/div[3]/div[2]/ul/li[5]/span[2]/span"")"),"Loading...")</f>
        <v>Loading...</v>
      </c>
      <c r="J1803" s="7" t="str">
        <f ca="1">IFERROR(__xludf.DUMMYFUNCTION("GOOGLEFINANCE(""NSE:""&amp;D1803,""marketcap"")"),"#N/A")</f>
        <v>#N/A</v>
      </c>
      <c r="K1803" s="7">
        <v>992.8</v>
      </c>
      <c r="L1803" s="8" t="str">
        <f ca="1">IFERROR(__xludf.DUMMYFUNCTION("GOOGLEFINANCE(""NSE:""&amp;D1803,""price"")"),"#N/A")</f>
        <v>#N/A</v>
      </c>
      <c r="M1803" s="9" t="e">
        <f t="shared" ca="1" si="37"/>
        <v>#VALUE!</v>
      </c>
      <c r="N1803" s="10" t="e">
        <f t="shared" ca="1" si="38"/>
        <v>#VALUE!</v>
      </c>
      <c r="O1803" s="7" t="str">
        <f ca="1">IFERROR(__xludf.DUMMYFUNCTION("GOOGLEFINANCE(""NSE:""&amp;D1803,""pe"")"),"#N/A")</f>
        <v>#N/A</v>
      </c>
      <c r="P1803" s="7" t="str">
        <f ca="1">IFERROR(__xludf.DUMMYFUNCTION("GOOGLEFINANCE(""NSE:""&amp;D1803,""EPS"")"),"#N/A")</f>
        <v>#N/A</v>
      </c>
      <c r="Q1803" s="7">
        <v>13.5</v>
      </c>
      <c r="R1803" s="7" t="str">
        <f ca="1">IFERROR(__xludf.DUMMYFUNCTION("IMPORTXML(E1803,""/html/body/main/div[3]/div[3]/div[2]/ul/li[7]/span[2]/span"")"),"Loading...")</f>
        <v>Loading...</v>
      </c>
      <c r="S1803" s="7" t="str">
        <f ca="1">IFERROR(__xludf.DUMMYFUNCTION("IMPORTXML(E1803,""/html/body/main/div[3]/div[3]/div[2]/ul/li[8]/span[2]/span"")"),"Loading...")</f>
        <v>Loading...</v>
      </c>
      <c r="T1803" s="4">
        <v>34.6</v>
      </c>
      <c r="U1803" s="4">
        <v>22.7</v>
      </c>
      <c r="V1803" s="4">
        <v>2.6</v>
      </c>
      <c r="W1803" s="4">
        <v>5.7</v>
      </c>
      <c r="X1803" s="4">
        <v>519.92999999999995</v>
      </c>
      <c r="Y1803" s="7" t="e">
        <f t="shared" ca="1" si="39"/>
        <v>#VALUE!</v>
      </c>
    </row>
    <row r="1804" spans="1:25" ht="15" x14ac:dyDescent="0.25">
      <c r="A1804" s="4">
        <v>1395</v>
      </c>
      <c r="C1804" s="41" t="s">
        <v>3954</v>
      </c>
      <c r="D1804" s="42"/>
      <c r="E1804" s="5" t="str">
        <f t="shared" si="35"/>
        <v>https://www.screener.in/company//consolidated/</v>
      </c>
      <c r="F1804" s="4">
        <v>443059</v>
      </c>
      <c r="G1804" s="4">
        <v>3832241897</v>
      </c>
      <c r="H1804" s="6" t="e">
        <f t="shared" ca="1" si="36"/>
        <v>#VALUE!</v>
      </c>
      <c r="I1804" s="7" t="str">
        <f ca="1">IFERROR(__xludf.DUMMYFUNCTION("IMPORTXML(E1804,""/html/body/main/div[3]/div[3]/div[2]/ul/li[5]/span[2]/span"")"),"Loading...")</f>
        <v>Loading...</v>
      </c>
      <c r="J1804" s="7" t="str">
        <f ca="1">IFERROR(__xludf.DUMMYFUNCTION("GOOGLEFINANCE(""NSE:""&amp;D1804,""marketcap"")"),"#N/A")</f>
        <v>#N/A</v>
      </c>
      <c r="K1804" s="7">
        <v>992.8</v>
      </c>
      <c r="L1804" s="8" t="str">
        <f ca="1">IFERROR(__xludf.DUMMYFUNCTION("GOOGLEFINANCE(""NSE:""&amp;D1804,""price"")"),"#N/A")</f>
        <v>#N/A</v>
      </c>
      <c r="M1804" s="9" t="e">
        <f t="shared" ca="1" si="37"/>
        <v>#VALUE!</v>
      </c>
      <c r="N1804" s="10" t="e">
        <f t="shared" ca="1" si="38"/>
        <v>#VALUE!</v>
      </c>
      <c r="O1804" s="7" t="str">
        <f ca="1">IFERROR(__xludf.DUMMYFUNCTION("GOOGLEFINANCE(""NSE:""&amp;D1804,""pe"")"),"#N/A")</f>
        <v>#N/A</v>
      </c>
      <c r="P1804" s="7" t="str">
        <f ca="1">IFERROR(__xludf.DUMMYFUNCTION("GOOGLEFINANCE(""NSE:""&amp;D1804,""EPS"")"),"#N/A")</f>
        <v>#N/A</v>
      </c>
      <c r="Q1804" s="7">
        <v>13.5</v>
      </c>
      <c r="R1804" s="7" t="str">
        <f ca="1">IFERROR(__xludf.DUMMYFUNCTION("IMPORTXML(E1804,""/html/body/main/div[3]/div[3]/div[2]/ul/li[7]/span[2]/span"")"),"Loading...")</f>
        <v>Loading...</v>
      </c>
      <c r="S1804" s="7" t="str">
        <f ca="1">IFERROR(__xludf.DUMMYFUNCTION("IMPORTXML(E1804,""/html/body/main/div[3]/div[3]/div[2]/ul/li[8]/span[2]/span"")"),"Loading...")</f>
        <v>Loading...</v>
      </c>
      <c r="T1804" s="4">
        <v>34.6</v>
      </c>
      <c r="U1804" s="4">
        <v>22.7</v>
      </c>
      <c r="V1804" s="4">
        <v>2.6</v>
      </c>
      <c r="W1804" s="4">
        <v>5.7</v>
      </c>
      <c r="X1804" s="4">
        <v>519.92999999999995</v>
      </c>
      <c r="Y1804" s="7" t="e">
        <f t="shared" ca="1" si="39"/>
        <v>#VALUE!</v>
      </c>
    </row>
    <row r="1805" spans="1:25" ht="15" x14ac:dyDescent="0.25">
      <c r="A1805" s="4">
        <v>1399</v>
      </c>
      <c r="C1805" s="41" t="s">
        <v>3955</v>
      </c>
      <c r="D1805" s="42"/>
      <c r="E1805" s="5" t="str">
        <f t="shared" si="35"/>
        <v>https://www.screener.in/company//consolidated/</v>
      </c>
      <c r="F1805" s="4">
        <v>443059</v>
      </c>
      <c r="G1805" s="4">
        <v>3832241897</v>
      </c>
      <c r="H1805" s="6" t="e">
        <f t="shared" ca="1" si="36"/>
        <v>#VALUE!</v>
      </c>
      <c r="I1805" s="7" t="str">
        <f ca="1">IFERROR(__xludf.DUMMYFUNCTION("IMPORTXML(E1805,""/html/body/main/div[3]/div[3]/div[2]/ul/li[5]/span[2]/span"")"),"Loading...")</f>
        <v>Loading...</v>
      </c>
      <c r="J1805" s="7" t="str">
        <f ca="1">IFERROR(__xludf.DUMMYFUNCTION("GOOGLEFINANCE(""NSE:""&amp;D1805,""marketcap"")"),"#N/A")</f>
        <v>#N/A</v>
      </c>
      <c r="K1805" s="7">
        <v>992.8</v>
      </c>
      <c r="L1805" s="8" t="str">
        <f ca="1">IFERROR(__xludf.DUMMYFUNCTION("GOOGLEFINANCE(""NSE:""&amp;D1805,""price"")"),"#N/A")</f>
        <v>#N/A</v>
      </c>
      <c r="M1805" s="9" t="e">
        <f t="shared" ca="1" si="37"/>
        <v>#VALUE!</v>
      </c>
      <c r="N1805" s="10" t="e">
        <f t="shared" ca="1" si="38"/>
        <v>#VALUE!</v>
      </c>
      <c r="O1805" s="7" t="str">
        <f ca="1">IFERROR(__xludf.DUMMYFUNCTION("GOOGLEFINANCE(""NSE:""&amp;D1805,""pe"")"),"#N/A")</f>
        <v>#N/A</v>
      </c>
      <c r="P1805" s="7" t="str">
        <f ca="1">IFERROR(__xludf.DUMMYFUNCTION("GOOGLEFINANCE(""NSE:""&amp;D1805,""EPS"")"),"#N/A")</f>
        <v>#N/A</v>
      </c>
      <c r="Q1805" s="7">
        <v>13.5</v>
      </c>
      <c r="R1805" s="7" t="str">
        <f ca="1">IFERROR(__xludf.DUMMYFUNCTION("IMPORTXML(E1805,""/html/body/main/div[3]/div[3]/div[2]/ul/li[7]/span[2]/span"")"),"Loading...")</f>
        <v>Loading...</v>
      </c>
      <c r="S1805" s="7" t="str">
        <f ca="1">IFERROR(__xludf.DUMMYFUNCTION("IMPORTXML(E1805,""/html/body/main/div[3]/div[3]/div[2]/ul/li[8]/span[2]/span"")"),"Loading...")</f>
        <v>Loading...</v>
      </c>
      <c r="T1805" s="4">
        <v>34.6</v>
      </c>
      <c r="U1805" s="4">
        <v>22.7</v>
      </c>
      <c r="V1805" s="4">
        <v>2.6</v>
      </c>
      <c r="W1805" s="4">
        <v>5.7</v>
      </c>
      <c r="X1805" s="4">
        <v>519.92999999999995</v>
      </c>
      <c r="Y1805" s="7" t="e">
        <f t="shared" ca="1" si="39"/>
        <v>#VALUE!</v>
      </c>
    </row>
    <row r="1806" spans="1:25" ht="15" x14ac:dyDescent="0.25">
      <c r="A1806" s="4">
        <v>1406</v>
      </c>
      <c r="C1806" s="12" t="s">
        <v>3956</v>
      </c>
      <c r="D1806" s="12" t="s">
        <v>3957</v>
      </c>
      <c r="E1806" s="5" t="str">
        <f t="shared" si="35"/>
        <v>https://www.screener.in/company/TCLCONS/consolidated/</v>
      </c>
      <c r="F1806" s="4">
        <v>443059</v>
      </c>
      <c r="G1806" s="4">
        <v>3832241897</v>
      </c>
      <c r="H1806" s="6" t="e">
        <f t="shared" ca="1" si="36"/>
        <v>#VALUE!</v>
      </c>
      <c r="I1806" s="7" t="str">
        <f ca="1">IFERROR(__xludf.DUMMYFUNCTION("IMPORTXML(E1806,""/html/body/main/div[3]/div[3]/div[2]/ul/li[5]/span[2]/span"")"),"Loading...")</f>
        <v>Loading...</v>
      </c>
      <c r="J1806" s="7" t="str">
        <f ca="1">IFERROR(__xludf.DUMMYFUNCTION("GOOGLEFINANCE(""NSE:""&amp;D1806,""marketcap"")"),"#N/A")</f>
        <v>#N/A</v>
      </c>
      <c r="K1806" s="7">
        <v>992.8</v>
      </c>
      <c r="L1806" s="8" t="str">
        <f ca="1">IFERROR(__xludf.DUMMYFUNCTION("GOOGLEFINANCE(""NSE:""&amp;D1806,""price"")"),"#N/A")</f>
        <v>#N/A</v>
      </c>
      <c r="M1806" s="9" t="e">
        <f t="shared" ca="1" si="37"/>
        <v>#VALUE!</v>
      </c>
      <c r="N1806" s="10" t="e">
        <f t="shared" ca="1" si="38"/>
        <v>#VALUE!</v>
      </c>
      <c r="O1806" s="7" t="str">
        <f ca="1">IFERROR(__xludf.DUMMYFUNCTION("GOOGLEFINANCE(""NSE:""&amp;D1806,""pe"")"),"#N/A")</f>
        <v>#N/A</v>
      </c>
      <c r="P1806" s="7" t="str">
        <f ca="1">IFERROR(__xludf.DUMMYFUNCTION("GOOGLEFINANCE(""NSE:""&amp;D1806,""EPS"")"),"#N/A")</f>
        <v>#N/A</v>
      </c>
      <c r="Q1806" s="7">
        <v>13.5</v>
      </c>
      <c r="R1806" s="7" t="str">
        <f ca="1">IFERROR(__xludf.DUMMYFUNCTION("IMPORTXML(E1806,""/html/body/main/div[3]/div[3]/div[2]/ul/li[7]/span[2]/span"")"),"Loading...")</f>
        <v>Loading...</v>
      </c>
      <c r="S1806" s="7" t="str">
        <f ca="1">IFERROR(__xludf.DUMMYFUNCTION("IMPORTXML(E1806,""/html/body/main/div[3]/div[3]/div[2]/ul/li[8]/span[2]/span"")"),"Loading...")</f>
        <v>Loading...</v>
      </c>
      <c r="T1806" s="4">
        <v>34.6</v>
      </c>
      <c r="U1806" s="4">
        <v>22.7</v>
      </c>
      <c r="V1806" s="4">
        <v>2.6</v>
      </c>
      <c r="W1806" s="4">
        <v>5.7</v>
      </c>
      <c r="X1806" s="4">
        <v>519.92999999999995</v>
      </c>
      <c r="Y1806" s="7" t="e">
        <f t="shared" ca="1" si="39"/>
        <v>#VALUE!</v>
      </c>
    </row>
    <row r="1807" spans="1:25" ht="15" x14ac:dyDescent="0.25">
      <c r="A1807" s="4">
        <v>1408</v>
      </c>
      <c r="C1807" s="41" t="s">
        <v>3958</v>
      </c>
      <c r="D1807" s="42"/>
      <c r="E1807" s="5" t="str">
        <f t="shared" si="35"/>
        <v>https://www.screener.in/company//consolidated/</v>
      </c>
      <c r="F1807" s="4">
        <v>443059</v>
      </c>
      <c r="G1807" s="4">
        <v>3832241897</v>
      </c>
      <c r="H1807" s="6" t="e">
        <f t="shared" ca="1" si="36"/>
        <v>#VALUE!</v>
      </c>
      <c r="I1807" s="7" t="str">
        <f ca="1">IFERROR(__xludf.DUMMYFUNCTION("IMPORTXML(E1807,""/html/body/main/div[3]/div[3]/div[2]/ul/li[5]/span[2]/span"")"),"Loading...")</f>
        <v>Loading...</v>
      </c>
      <c r="J1807" s="7" t="str">
        <f ca="1">IFERROR(__xludf.DUMMYFUNCTION("GOOGLEFINANCE(""NSE:""&amp;D1807,""marketcap"")"),"#N/A")</f>
        <v>#N/A</v>
      </c>
      <c r="K1807" s="7">
        <v>992.8</v>
      </c>
      <c r="L1807" s="8" t="str">
        <f ca="1">IFERROR(__xludf.DUMMYFUNCTION("GOOGLEFINANCE(""NSE:""&amp;D1807,""price"")"),"#N/A")</f>
        <v>#N/A</v>
      </c>
      <c r="M1807" s="9" t="e">
        <f t="shared" ca="1" si="37"/>
        <v>#VALUE!</v>
      </c>
      <c r="N1807" s="10" t="e">
        <f t="shared" ca="1" si="38"/>
        <v>#VALUE!</v>
      </c>
      <c r="O1807" s="7" t="str">
        <f ca="1">IFERROR(__xludf.DUMMYFUNCTION("GOOGLEFINANCE(""NSE:""&amp;D1807,""pe"")"),"#N/A")</f>
        <v>#N/A</v>
      </c>
      <c r="P1807" s="7" t="str">
        <f ca="1">IFERROR(__xludf.DUMMYFUNCTION("GOOGLEFINANCE(""NSE:""&amp;D1807,""EPS"")"),"#N/A")</f>
        <v>#N/A</v>
      </c>
      <c r="Q1807" s="7">
        <v>13.5</v>
      </c>
      <c r="R1807" s="7" t="str">
        <f ca="1">IFERROR(__xludf.DUMMYFUNCTION("IMPORTXML(E1807,""/html/body/main/div[3]/div[3]/div[2]/ul/li[7]/span[2]/span"")"),"Loading...")</f>
        <v>Loading...</v>
      </c>
      <c r="S1807" s="7" t="str">
        <f ca="1">IFERROR(__xludf.DUMMYFUNCTION("IMPORTXML(E1807,""/html/body/main/div[3]/div[3]/div[2]/ul/li[8]/span[2]/span"")"),"Loading...")</f>
        <v>Loading...</v>
      </c>
      <c r="T1807" s="4">
        <v>34.6</v>
      </c>
      <c r="U1807" s="4">
        <v>22.7</v>
      </c>
      <c r="V1807" s="4">
        <v>2.6</v>
      </c>
      <c r="W1807" s="4">
        <v>5.7</v>
      </c>
      <c r="X1807" s="4">
        <v>519.92999999999995</v>
      </c>
      <c r="Y1807" s="7" t="e">
        <f t="shared" ca="1" si="39"/>
        <v>#VALUE!</v>
      </c>
    </row>
    <row r="1808" spans="1:25" ht="15" x14ac:dyDescent="0.25">
      <c r="A1808" s="4">
        <v>1409</v>
      </c>
      <c r="C1808" s="41" t="s">
        <v>3959</v>
      </c>
      <c r="D1808" s="42"/>
      <c r="E1808" s="5" t="str">
        <f t="shared" si="35"/>
        <v>https://www.screener.in/company//consolidated/</v>
      </c>
      <c r="F1808" s="4">
        <v>443059</v>
      </c>
      <c r="G1808" s="4">
        <v>3832241897</v>
      </c>
      <c r="H1808" s="6" t="e">
        <f t="shared" ca="1" si="36"/>
        <v>#VALUE!</v>
      </c>
      <c r="I1808" s="7" t="str">
        <f ca="1">IFERROR(__xludf.DUMMYFUNCTION("IMPORTXML(E1808,""/html/body/main/div[3]/div[3]/div[2]/ul/li[5]/span[2]/span"")"),"Loading...")</f>
        <v>Loading...</v>
      </c>
      <c r="J1808" s="7" t="str">
        <f ca="1">IFERROR(__xludf.DUMMYFUNCTION("GOOGLEFINANCE(""NSE:""&amp;D1808,""marketcap"")"),"#N/A")</f>
        <v>#N/A</v>
      </c>
      <c r="K1808" s="7">
        <v>992.8</v>
      </c>
      <c r="L1808" s="8" t="str">
        <f ca="1">IFERROR(__xludf.DUMMYFUNCTION("GOOGLEFINANCE(""NSE:""&amp;D1808,""price"")"),"#N/A")</f>
        <v>#N/A</v>
      </c>
      <c r="M1808" s="9" t="e">
        <f t="shared" ca="1" si="37"/>
        <v>#VALUE!</v>
      </c>
      <c r="N1808" s="10" t="e">
        <f t="shared" ca="1" si="38"/>
        <v>#VALUE!</v>
      </c>
      <c r="O1808" s="7" t="str">
        <f ca="1">IFERROR(__xludf.DUMMYFUNCTION("GOOGLEFINANCE(""NSE:""&amp;D1808,""pe"")"),"#N/A")</f>
        <v>#N/A</v>
      </c>
      <c r="P1808" s="7" t="str">
        <f ca="1">IFERROR(__xludf.DUMMYFUNCTION("GOOGLEFINANCE(""NSE:""&amp;D1808,""EPS"")"),"#N/A")</f>
        <v>#N/A</v>
      </c>
      <c r="Q1808" s="7">
        <v>13.5</v>
      </c>
      <c r="R1808" s="7" t="str">
        <f ca="1">IFERROR(__xludf.DUMMYFUNCTION("IMPORTXML(E1808,""/html/body/main/div[3]/div[3]/div[2]/ul/li[7]/span[2]/span"")"),"Loading...")</f>
        <v>Loading...</v>
      </c>
      <c r="S1808" s="7" t="str">
        <f ca="1">IFERROR(__xludf.DUMMYFUNCTION("IMPORTXML(E1808,""/html/body/main/div[3]/div[3]/div[2]/ul/li[8]/span[2]/span"")"),"Loading...")</f>
        <v>Loading...</v>
      </c>
      <c r="T1808" s="4">
        <v>34.6</v>
      </c>
      <c r="U1808" s="4">
        <v>22.7</v>
      </c>
      <c r="V1808" s="4">
        <v>2.6</v>
      </c>
      <c r="W1808" s="4">
        <v>5.7</v>
      </c>
      <c r="X1808" s="4">
        <v>519.92999999999995</v>
      </c>
      <c r="Y1808" s="7" t="e">
        <f t="shared" ca="1" si="39"/>
        <v>#VALUE!</v>
      </c>
    </row>
    <row r="1809" spans="1:25" ht="15" x14ac:dyDescent="0.25">
      <c r="A1809" s="4">
        <v>1410</v>
      </c>
      <c r="C1809" s="41" t="s">
        <v>3960</v>
      </c>
      <c r="D1809" s="42"/>
      <c r="E1809" s="5" t="str">
        <f t="shared" si="35"/>
        <v>https://www.screener.in/company//consolidated/</v>
      </c>
      <c r="F1809" s="4">
        <v>443059</v>
      </c>
      <c r="G1809" s="4">
        <v>3832241897</v>
      </c>
      <c r="H1809" s="6" t="e">
        <f t="shared" ca="1" si="36"/>
        <v>#VALUE!</v>
      </c>
      <c r="I1809" s="7" t="str">
        <f ca="1">IFERROR(__xludf.DUMMYFUNCTION("IMPORTXML(E1809,""/html/body/main/div[3]/div[3]/div[2]/ul/li[5]/span[2]/span"")"),"Loading...")</f>
        <v>Loading...</v>
      </c>
      <c r="J1809" s="7" t="str">
        <f ca="1">IFERROR(__xludf.DUMMYFUNCTION("GOOGLEFINANCE(""NSE:""&amp;D1809,""marketcap"")"),"#N/A")</f>
        <v>#N/A</v>
      </c>
      <c r="K1809" s="7">
        <v>992.8</v>
      </c>
      <c r="L1809" s="8" t="str">
        <f ca="1">IFERROR(__xludf.DUMMYFUNCTION("GOOGLEFINANCE(""NSE:""&amp;D1809,""price"")"),"#N/A")</f>
        <v>#N/A</v>
      </c>
      <c r="M1809" s="9" t="e">
        <f t="shared" ca="1" si="37"/>
        <v>#VALUE!</v>
      </c>
      <c r="N1809" s="10" t="e">
        <f t="shared" ca="1" si="38"/>
        <v>#VALUE!</v>
      </c>
      <c r="O1809" s="7" t="str">
        <f ca="1">IFERROR(__xludf.DUMMYFUNCTION("GOOGLEFINANCE(""NSE:""&amp;D1809,""pe"")"),"#N/A")</f>
        <v>#N/A</v>
      </c>
      <c r="P1809" s="7" t="str">
        <f ca="1">IFERROR(__xludf.DUMMYFUNCTION("GOOGLEFINANCE(""NSE:""&amp;D1809,""EPS"")"),"#N/A")</f>
        <v>#N/A</v>
      </c>
      <c r="Q1809" s="7">
        <v>13.5</v>
      </c>
      <c r="R1809" s="7" t="str">
        <f ca="1">IFERROR(__xludf.DUMMYFUNCTION("IMPORTXML(E1809,""/html/body/main/div[3]/div[3]/div[2]/ul/li[7]/span[2]/span"")"),"Loading...")</f>
        <v>Loading...</v>
      </c>
      <c r="S1809" s="7" t="str">
        <f ca="1">IFERROR(__xludf.DUMMYFUNCTION("IMPORTXML(E1809,""/html/body/main/div[3]/div[3]/div[2]/ul/li[8]/span[2]/span"")"),"Loading...")</f>
        <v>Loading...</v>
      </c>
      <c r="T1809" s="4">
        <v>34.6</v>
      </c>
      <c r="U1809" s="4">
        <v>22.7</v>
      </c>
      <c r="V1809" s="4">
        <v>2.6</v>
      </c>
      <c r="W1809" s="4">
        <v>5.7</v>
      </c>
      <c r="X1809" s="4">
        <v>519.92999999999995</v>
      </c>
      <c r="Y1809" s="7" t="e">
        <f t="shared" ca="1" si="39"/>
        <v>#VALUE!</v>
      </c>
    </row>
    <row r="1810" spans="1:25" ht="15" x14ac:dyDescent="0.25">
      <c r="A1810" s="4">
        <v>1411</v>
      </c>
      <c r="C1810" s="41" t="s">
        <v>3961</v>
      </c>
      <c r="D1810" s="42"/>
      <c r="E1810" s="5" t="str">
        <f t="shared" si="35"/>
        <v>https://www.screener.in/company//consolidated/</v>
      </c>
      <c r="F1810" s="4">
        <v>443059</v>
      </c>
      <c r="G1810" s="4">
        <v>3832241897</v>
      </c>
      <c r="H1810" s="6" t="e">
        <f t="shared" ca="1" si="36"/>
        <v>#VALUE!</v>
      </c>
      <c r="I1810" s="7" t="str">
        <f ca="1">IFERROR(__xludf.DUMMYFUNCTION("IMPORTXML(E1810,""/html/body/main/div[3]/div[3]/div[2]/ul/li[5]/span[2]/span"")"),"Loading...")</f>
        <v>Loading...</v>
      </c>
      <c r="J1810" s="7" t="str">
        <f ca="1">IFERROR(__xludf.DUMMYFUNCTION("GOOGLEFINANCE(""NSE:""&amp;D1810,""marketcap"")"),"#N/A")</f>
        <v>#N/A</v>
      </c>
      <c r="K1810" s="7">
        <v>992.8</v>
      </c>
      <c r="L1810" s="8" t="str">
        <f ca="1">IFERROR(__xludf.DUMMYFUNCTION("GOOGLEFINANCE(""NSE:""&amp;D1810,""price"")"),"#N/A")</f>
        <v>#N/A</v>
      </c>
      <c r="M1810" s="9" t="e">
        <f t="shared" ca="1" si="37"/>
        <v>#VALUE!</v>
      </c>
      <c r="N1810" s="10" t="e">
        <f t="shared" ca="1" si="38"/>
        <v>#VALUE!</v>
      </c>
      <c r="O1810" s="7" t="str">
        <f ca="1">IFERROR(__xludf.DUMMYFUNCTION("GOOGLEFINANCE(""NSE:""&amp;D1810,""pe"")"),"#N/A")</f>
        <v>#N/A</v>
      </c>
      <c r="P1810" s="7" t="str">
        <f ca="1">IFERROR(__xludf.DUMMYFUNCTION("GOOGLEFINANCE(""NSE:""&amp;D1810,""EPS"")"),"#N/A")</f>
        <v>#N/A</v>
      </c>
      <c r="Q1810" s="7">
        <v>13.5</v>
      </c>
      <c r="R1810" s="7" t="str">
        <f ca="1">IFERROR(__xludf.DUMMYFUNCTION("IMPORTXML(E1810,""/html/body/main/div[3]/div[3]/div[2]/ul/li[7]/span[2]/span"")"),"Loading...")</f>
        <v>Loading...</v>
      </c>
      <c r="S1810" s="7" t="str">
        <f ca="1">IFERROR(__xludf.DUMMYFUNCTION("IMPORTXML(E1810,""/html/body/main/div[3]/div[3]/div[2]/ul/li[8]/span[2]/span"")"),"Loading...")</f>
        <v>Loading...</v>
      </c>
      <c r="T1810" s="4">
        <v>34.6</v>
      </c>
      <c r="U1810" s="4">
        <v>22.7</v>
      </c>
      <c r="V1810" s="4">
        <v>2.6</v>
      </c>
      <c r="W1810" s="4">
        <v>5.7</v>
      </c>
      <c r="X1810" s="4">
        <v>519.92999999999995</v>
      </c>
      <c r="Y1810" s="7" t="e">
        <f t="shared" ca="1" si="39"/>
        <v>#VALUE!</v>
      </c>
    </row>
    <row r="1811" spans="1:25" ht="15" x14ac:dyDescent="0.25">
      <c r="A1811" s="4">
        <v>1412</v>
      </c>
      <c r="C1811" s="41" t="s">
        <v>3962</v>
      </c>
      <c r="D1811" s="42"/>
      <c r="E1811" s="5" t="str">
        <f t="shared" si="35"/>
        <v>https://www.screener.in/company//consolidated/</v>
      </c>
      <c r="F1811" s="4">
        <v>443059</v>
      </c>
      <c r="G1811" s="4">
        <v>3832241897</v>
      </c>
      <c r="H1811" s="6" t="e">
        <f t="shared" ca="1" si="36"/>
        <v>#VALUE!</v>
      </c>
      <c r="I1811" s="7" t="str">
        <f ca="1">IFERROR(__xludf.DUMMYFUNCTION("IMPORTXML(E1811,""/html/body/main/div[3]/div[3]/div[2]/ul/li[5]/span[2]/span"")"),"Loading...")</f>
        <v>Loading...</v>
      </c>
      <c r="J1811" s="7" t="str">
        <f ca="1">IFERROR(__xludf.DUMMYFUNCTION("GOOGLEFINANCE(""NSE:""&amp;D1811,""marketcap"")"),"#N/A")</f>
        <v>#N/A</v>
      </c>
      <c r="K1811" s="7">
        <v>992.8</v>
      </c>
      <c r="L1811" s="8" t="str">
        <f ca="1">IFERROR(__xludf.DUMMYFUNCTION("GOOGLEFINANCE(""NSE:""&amp;D1811,""price"")"),"#N/A")</f>
        <v>#N/A</v>
      </c>
      <c r="M1811" s="9" t="e">
        <f t="shared" ca="1" si="37"/>
        <v>#VALUE!</v>
      </c>
      <c r="N1811" s="10" t="e">
        <f t="shared" ca="1" si="38"/>
        <v>#VALUE!</v>
      </c>
      <c r="O1811" s="7" t="str">
        <f ca="1">IFERROR(__xludf.DUMMYFUNCTION("GOOGLEFINANCE(""NSE:""&amp;D1811,""pe"")"),"#N/A")</f>
        <v>#N/A</v>
      </c>
      <c r="P1811" s="7" t="str">
        <f ca="1">IFERROR(__xludf.DUMMYFUNCTION("GOOGLEFINANCE(""NSE:""&amp;D1811,""EPS"")"),"#N/A")</f>
        <v>#N/A</v>
      </c>
      <c r="Q1811" s="7">
        <v>13.5</v>
      </c>
      <c r="R1811" s="7" t="str">
        <f ca="1">IFERROR(__xludf.DUMMYFUNCTION("IMPORTXML(E1811,""/html/body/main/div[3]/div[3]/div[2]/ul/li[7]/span[2]/span"")"),"Loading...")</f>
        <v>Loading...</v>
      </c>
      <c r="S1811" s="7" t="str">
        <f ca="1">IFERROR(__xludf.DUMMYFUNCTION("IMPORTXML(E1811,""/html/body/main/div[3]/div[3]/div[2]/ul/li[8]/span[2]/span"")"),"Loading...")</f>
        <v>Loading...</v>
      </c>
      <c r="T1811" s="4">
        <v>34.6</v>
      </c>
      <c r="U1811" s="4">
        <v>22.7</v>
      </c>
      <c r="V1811" s="4">
        <v>2.6</v>
      </c>
      <c r="W1811" s="4">
        <v>5.7</v>
      </c>
      <c r="X1811" s="4">
        <v>519.92999999999995</v>
      </c>
      <c r="Y1811" s="7" t="e">
        <f t="shared" ca="1" si="39"/>
        <v>#VALUE!</v>
      </c>
    </row>
    <row r="1812" spans="1:25" ht="15" x14ac:dyDescent="0.25">
      <c r="A1812" s="4">
        <v>1414</v>
      </c>
      <c r="C1812" s="41" t="s">
        <v>3963</v>
      </c>
      <c r="D1812" s="42"/>
      <c r="E1812" s="5" t="str">
        <f t="shared" si="35"/>
        <v>https://www.screener.in/company//consolidated/</v>
      </c>
      <c r="F1812" s="4">
        <v>443059</v>
      </c>
      <c r="G1812" s="4">
        <v>3832241897</v>
      </c>
      <c r="H1812" s="6" t="e">
        <f t="shared" ca="1" si="36"/>
        <v>#VALUE!</v>
      </c>
      <c r="I1812" s="7" t="str">
        <f ca="1">IFERROR(__xludf.DUMMYFUNCTION("IMPORTXML(E1812,""/html/body/main/div[3]/div[3]/div[2]/ul/li[5]/span[2]/span"")"),"Loading...")</f>
        <v>Loading...</v>
      </c>
      <c r="J1812" s="7" t="str">
        <f ca="1">IFERROR(__xludf.DUMMYFUNCTION("GOOGLEFINANCE(""NSE:""&amp;D1812,""marketcap"")"),"#N/A")</f>
        <v>#N/A</v>
      </c>
      <c r="K1812" s="7">
        <v>992.8</v>
      </c>
      <c r="L1812" s="8" t="str">
        <f ca="1">IFERROR(__xludf.DUMMYFUNCTION("GOOGLEFINANCE(""NSE:""&amp;D1812,""price"")"),"#N/A")</f>
        <v>#N/A</v>
      </c>
      <c r="M1812" s="9" t="e">
        <f t="shared" ca="1" si="37"/>
        <v>#VALUE!</v>
      </c>
      <c r="N1812" s="10" t="e">
        <f t="shared" ca="1" si="38"/>
        <v>#VALUE!</v>
      </c>
      <c r="O1812" s="7" t="str">
        <f ca="1">IFERROR(__xludf.DUMMYFUNCTION("GOOGLEFINANCE(""NSE:""&amp;D1812,""pe"")"),"#N/A")</f>
        <v>#N/A</v>
      </c>
      <c r="P1812" s="7" t="str">
        <f ca="1">IFERROR(__xludf.DUMMYFUNCTION("GOOGLEFINANCE(""NSE:""&amp;D1812,""EPS"")"),"#N/A")</f>
        <v>#N/A</v>
      </c>
      <c r="Q1812" s="7">
        <v>13.5</v>
      </c>
      <c r="R1812" s="7" t="str">
        <f ca="1">IFERROR(__xludf.DUMMYFUNCTION("IMPORTXML(E1812,""/html/body/main/div[3]/div[3]/div[2]/ul/li[7]/span[2]/span"")"),"Loading...")</f>
        <v>Loading...</v>
      </c>
      <c r="S1812" s="7" t="str">
        <f ca="1">IFERROR(__xludf.DUMMYFUNCTION("IMPORTXML(E1812,""/html/body/main/div[3]/div[3]/div[2]/ul/li[8]/span[2]/span"")"),"Loading...")</f>
        <v>Loading...</v>
      </c>
      <c r="T1812" s="4">
        <v>34.6</v>
      </c>
      <c r="U1812" s="4">
        <v>22.7</v>
      </c>
      <c r="V1812" s="4">
        <v>2.6</v>
      </c>
      <c r="W1812" s="4">
        <v>5.7</v>
      </c>
      <c r="X1812" s="4">
        <v>519.92999999999995</v>
      </c>
      <c r="Y1812" s="7" t="e">
        <f t="shared" ca="1" si="39"/>
        <v>#VALUE!</v>
      </c>
    </row>
    <row r="1813" spans="1:25" ht="15" x14ac:dyDescent="0.25">
      <c r="A1813" s="4">
        <v>1417</v>
      </c>
      <c r="C1813" s="41" t="s">
        <v>3964</v>
      </c>
      <c r="D1813" s="42"/>
      <c r="E1813" s="5" t="str">
        <f t="shared" si="35"/>
        <v>https://www.screener.in/company//consolidated/</v>
      </c>
      <c r="F1813" s="4">
        <v>443059</v>
      </c>
      <c r="G1813" s="4">
        <v>3832241897</v>
      </c>
      <c r="H1813" s="6" t="e">
        <f t="shared" ca="1" si="36"/>
        <v>#VALUE!</v>
      </c>
      <c r="I1813" s="7" t="str">
        <f ca="1">IFERROR(__xludf.DUMMYFUNCTION("IMPORTXML(E1813,""/html/body/main/div[3]/div[3]/div[2]/ul/li[5]/span[2]/span"")"),"Loading...")</f>
        <v>Loading...</v>
      </c>
      <c r="J1813" s="7" t="str">
        <f ca="1">IFERROR(__xludf.DUMMYFUNCTION("GOOGLEFINANCE(""NSE:""&amp;D1813,""marketcap"")"),"#N/A")</f>
        <v>#N/A</v>
      </c>
      <c r="K1813" s="7">
        <v>992.8</v>
      </c>
      <c r="L1813" s="8" t="str">
        <f ca="1">IFERROR(__xludf.DUMMYFUNCTION("GOOGLEFINANCE(""NSE:""&amp;D1813,""price"")"),"#N/A")</f>
        <v>#N/A</v>
      </c>
      <c r="M1813" s="9" t="e">
        <f t="shared" ca="1" si="37"/>
        <v>#VALUE!</v>
      </c>
      <c r="N1813" s="10" t="e">
        <f t="shared" ca="1" si="38"/>
        <v>#VALUE!</v>
      </c>
      <c r="O1813" s="7" t="str">
        <f ca="1">IFERROR(__xludf.DUMMYFUNCTION("GOOGLEFINANCE(""NSE:""&amp;D1813,""pe"")"),"#N/A")</f>
        <v>#N/A</v>
      </c>
      <c r="P1813" s="7" t="str">
        <f ca="1">IFERROR(__xludf.DUMMYFUNCTION("GOOGLEFINANCE(""NSE:""&amp;D1813,""EPS"")"),"#N/A")</f>
        <v>#N/A</v>
      </c>
      <c r="Q1813" s="7">
        <v>13.5</v>
      </c>
      <c r="R1813" s="7" t="str">
        <f ca="1">IFERROR(__xludf.DUMMYFUNCTION("IMPORTXML(E1813,""/html/body/main/div[3]/div[3]/div[2]/ul/li[7]/span[2]/span"")"),"Loading...")</f>
        <v>Loading...</v>
      </c>
      <c r="S1813" s="7" t="str">
        <f ca="1">IFERROR(__xludf.DUMMYFUNCTION("IMPORTXML(E1813,""/html/body/main/div[3]/div[3]/div[2]/ul/li[8]/span[2]/span"")"),"Loading...")</f>
        <v>Loading...</v>
      </c>
      <c r="T1813" s="4">
        <v>34.6</v>
      </c>
      <c r="U1813" s="4">
        <v>22.7</v>
      </c>
      <c r="V1813" s="4">
        <v>2.6</v>
      </c>
      <c r="W1813" s="4">
        <v>5.7</v>
      </c>
      <c r="X1813" s="4">
        <v>519.92999999999995</v>
      </c>
      <c r="Y1813" s="7" t="e">
        <f t="shared" ca="1" si="39"/>
        <v>#VALUE!</v>
      </c>
    </row>
    <row r="1814" spans="1:25" ht="15" x14ac:dyDescent="0.25">
      <c r="A1814" s="4">
        <v>1418</v>
      </c>
      <c r="C1814" s="41" t="s">
        <v>3965</v>
      </c>
      <c r="D1814" s="42"/>
      <c r="E1814" s="5" t="str">
        <f t="shared" si="35"/>
        <v>https://www.screener.in/company//consolidated/</v>
      </c>
      <c r="F1814" s="4">
        <v>443059</v>
      </c>
      <c r="G1814" s="4">
        <v>3832241897</v>
      </c>
      <c r="H1814" s="6" t="e">
        <f t="shared" ca="1" si="36"/>
        <v>#VALUE!</v>
      </c>
      <c r="I1814" s="7" t="str">
        <f ca="1">IFERROR(__xludf.DUMMYFUNCTION("IMPORTXML(E1814,""/html/body/main/div[3]/div[3]/div[2]/ul/li[5]/span[2]/span"")"),"Loading...")</f>
        <v>Loading...</v>
      </c>
      <c r="J1814" s="7" t="str">
        <f ca="1">IFERROR(__xludf.DUMMYFUNCTION("GOOGLEFINANCE(""NSE:""&amp;D1814,""marketcap"")"),"#N/A")</f>
        <v>#N/A</v>
      </c>
      <c r="K1814" s="7">
        <v>992.8</v>
      </c>
      <c r="L1814" s="8" t="str">
        <f ca="1">IFERROR(__xludf.DUMMYFUNCTION("GOOGLEFINANCE(""NSE:""&amp;D1814,""price"")"),"#N/A")</f>
        <v>#N/A</v>
      </c>
      <c r="M1814" s="9" t="e">
        <f t="shared" ca="1" si="37"/>
        <v>#VALUE!</v>
      </c>
      <c r="N1814" s="10" t="e">
        <f t="shared" ca="1" si="38"/>
        <v>#VALUE!</v>
      </c>
      <c r="O1814" s="7" t="str">
        <f ca="1">IFERROR(__xludf.DUMMYFUNCTION("GOOGLEFINANCE(""NSE:""&amp;D1814,""pe"")"),"#N/A")</f>
        <v>#N/A</v>
      </c>
      <c r="P1814" s="7" t="str">
        <f ca="1">IFERROR(__xludf.DUMMYFUNCTION("GOOGLEFINANCE(""NSE:""&amp;D1814,""EPS"")"),"#N/A")</f>
        <v>#N/A</v>
      </c>
      <c r="Q1814" s="7">
        <v>13.5</v>
      </c>
      <c r="R1814" s="7" t="str">
        <f ca="1">IFERROR(__xludf.DUMMYFUNCTION("IMPORTXML(E1814,""/html/body/main/div[3]/div[3]/div[2]/ul/li[7]/span[2]/span"")"),"Loading...")</f>
        <v>Loading...</v>
      </c>
      <c r="S1814" s="7" t="str">
        <f ca="1">IFERROR(__xludf.DUMMYFUNCTION("IMPORTXML(E1814,""/html/body/main/div[3]/div[3]/div[2]/ul/li[8]/span[2]/span"")"),"Loading...")</f>
        <v>Loading...</v>
      </c>
      <c r="T1814" s="4">
        <v>34.6</v>
      </c>
      <c r="U1814" s="4">
        <v>22.7</v>
      </c>
      <c r="V1814" s="4">
        <v>2.6</v>
      </c>
      <c r="W1814" s="4">
        <v>5.7</v>
      </c>
      <c r="X1814" s="4">
        <v>519.92999999999995</v>
      </c>
      <c r="Y1814" s="7" t="e">
        <f t="shared" ca="1" si="39"/>
        <v>#VALUE!</v>
      </c>
    </row>
    <row r="1815" spans="1:25" ht="15" x14ac:dyDescent="0.25">
      <c r="A1815" s="4">
        <v>1421</v>
      </c>
      <c r="C1815" s="12" t="s">
        <v>3966</v>
      </c>
      <c r="D1815" s="37"/>
      <c r="E1815" s="5" t="str">
        <f t="shared" si="35"/>
        <v>https://www.screener.in/company//consolidated/</v>
      </c>
      <c r="F1815" s="4">
        <v>443059</v>
      </c>
      <c r="G1815" s="4">
        <v>3832241897</v>
      </c>
      <c r="H1815" s="6" t="e">
        <f t="shared" ca="1" si="36"/>
        <v>#VALUE!</v>
      </c>
      <c r="I1815" s="7" t="str">
        <f ca="1">IFERROR(__xludf.DUMMYFUNCTION("IMPORTXML(E1815,""/html/body/main/div[3]/div[3]/div[2]/ul/li[5]/span[2]/span"")"),"Loading...")</f>
        <v>Loading...</v>
      </c>
      <c r="J1815" s="7" t="str">
        <f ca="1">IFERROR(__xludf.DUMMYFUNCTION("GOOGLEFINANCE(""NSE:""&amp;D1815,""marketcap"")"),"#N/A")</f>
        <v>#N/A</v>
      </c>
      <c r="K1815" s="7">
        <v>992.8</v>
      </c>
      <c r="L1815" s="8" t="str">
        <f ca="1">IFERROR(__xludf.DUMMYFUNCTION("GOOGLEFINANCE(""NSE:""&amp;D1815,""price"")"),"#N/A")</f>
        <v>#N/A</v>
      </c>
      <c r="M1815" s="9" t="e">
        <f t="shared" ca="1" si="37"/>
        <v>#VALUE!</v>
      </c>
      <c r="N1815" s="10" t="e">
        <f t="shared" ca="1" si="38"/>
        <v>#VALUE!</v>
      </c>
      <c r="O1815" s="7" t="str">
        <f ca="1">IFERROR(__xludf.DUMMYFUNCTION("GOOGLEFINANCE(""NSE:""&amp;D1815,""pe"")"),"#N/A")</f>
        <v>#N/A</v>
      </c>
      <c r="P1815" s="7" t="str">
        <f ca="1">IFERROR(__xludf.DUMMYFUNCTION("GOOGLEFINANCE(""NSE:""&amp;D1815,""EPS"")"),"#N/A")</f>
        <v>#N/A</v>
      </c>
      <c r="Q1815" s="7">
        <v>13.5</v>
      </c>
      <c r="R1815" s="7" t="str">
        <f ca="1">IFERROR(__xludf.DUMMYFUNCTION("IMPORTXML(E1815,""/html/body/main/div[3]/div[3]/div[2]/ul/li[7]/span[2]/span"")"),"Loading...")</f>
        <v>Loading...</v>
      </c>
      <c r="S1815" s="7" t="str">
        <f ca="1">IFERROR(__xludf.DUMMYFUNCTION("IMPORTXML(E1815,""/html/body/main/div[3]/div[3]/div[2]/ul/li[8]/span[2]/span"")"),"Loading...")</f>
        <v>Loading...</v>
      </c>
      <c r="T1815" s="4">
        <v>34.6</v>
      </c>
      <c r="U1815" s="4">
        <v>22.7</v>
      </c>
      <c r="V1815" s="4">
        <v>2.6</v>
      </c>
      <c r="W1815" s="4">
        <v>5.7</v>
      </c>
      <c r="X1815" s="4">
        <v>519.92999999999995</v>
      </c>
      <c r="Y1815" s="7" t="e">
        <f t="shared" ca="1" si="39"/>
        <v>#VALUE!</v>
      </c>
    </row>
    <row r="1816" spans="1:25" ht="15" x14ac:dyDescent="0.25">
      <c r="A1816" s="4">
        <v>1428</v>
      </c>
      <c r="C1816" s="41" t="s">
        <v>3967</v>
      </c>
      <c r="D1816" s="42"/>
      <c r="E1816" s="5" t="str">
        <f t="shared" si="35"/>
        <v>https://www.screener.in/company//consolidated/</v>
      </c>
      <c r="F1816" s="4">
        <v>443059</v>
      </c>
      <c r="G1816" s="4">
        <v>3832241897</v>
      </c>
      <c r="H1816" s="6" t="e">
        <f t="shared" ca="1" si="36"/>
        <v>#VALUE!</v>
      </c>
      <c r="I1816" s="7" t="str">
        <f ca="1">IFERROR(__xludf.DUMMYFUNCTION("IMPORTXML(E1816,""/html/body/main/div[3]/div[3]/div[2]/ul/li[5]/span[2]/span"")"),"Loading...")</f>
        <v>Loading...</v>
      </c>
      <c r="J1816" s="7" t="str">
        <f ca="1">IFERROR(__xludf.DUMMYFUNCTION("GOOGLEFINANCE(""NSE:""&amp;D1816,""marketcap"")"),"#N/A")</f>
        <v>#N/A</v>
      </c>
      <c r="K1816" s="7">
        <v>992.8</v>
      </c>
      <c r="L1816" s="8" t="str">
        <f ca="1">IFERROR(__xludf.DUMMYFUNCTION("GOOGLEFINANCE(""NSE:""&amp;D1816,""price"")"),"#N/A")</f>
        <v>#N/A</v>
      </c>
      <c r="M1816" s="9" t="e">
        <f t="shared" ca="1" si="37"/>
        <v>#VALUE!</v>
      </c>
      <c r="N1816" s="10" t="e">
        <f t="shared" ca="1" si="38"/>
        <v>#VALUE!</v>
      </c>
      <c r="O1816" s="7" t="str">
        <f ca="1">IFERROR(__xludf.DUMMYFUNCTION("GOOGLEFINANCE(""NSE:""&amp;D1816,""pe"")"),"#N/A")</f>
        <v>#N/A</v>
      </c>
      <c r="P1816" s="7" t="str">
        <f ca="1">IFERROR(__xludf.DUMMYFUNCTION("GOOGLEFINANCE(""NSE:""&amp;D1816,""EPS"")"),"#N/A")</f>
        <v>#N/A</v>
      </c>
      <c r="Q1816" s="7">
        <v>13.5</v>
      </c>
      <c r="R1816" s="7" t="str">
        <f ca="1">IFERROR(__xludf.DUMMYFUNCTION("IMPORTXML(E1816,""/html/body/main/div[3]/div[3]/div[2]/ul/li[7]/span[2]/span"")"),"Loading...")</f>
        <v>Loading...</v>
      </c>
      <c r="S1816" s="7" t="str">
        <f ca="1">IFERROR(__xludf.DUMMYFUNCTION("IMPORTXML(E1816,""/html/body/main/div[3]/div[3]/div[2]/ul/li[8]/span[2]/span"")"),"Loading...")</f>
        <v>Loading...</v>
      </c>
      <c r="T1816" s="4">
        <v>34.6</v>
      </c>
      <c r="U1816" s="4">
        <v>22.7</v>
      </c>
      <c r="V1816" s="4">
        <v>2.6</v>
      </c>
      <c r="W1816" s="4">
        <v>5.7</v>
      </c>
      <c r="X1816" s="4">
        <v>519.92999999999995</v>
      </c>
      <c r="Y1816" s="7" t="e">
        <f t="shared" ca="1" si="39"/>
        <v>#VALUE!</v>
      </c>
    </row>
    <row r="1817" spans="1:25" ht="15" x14ac:dyDescent="0.25">
      <c r="A1817" s="4">
        <v>1429</v>
      </c>
      <c r="C1817" s="41" t="s">
        <v>3968</v>
      </c>
      <c r="D1817" s="42"/>
      <c r="E1817" s="5" t="str">
        <f t="shared" si="35"/>
        <v>https://www.screener.in/company//consolidated/</v>
      </c>
      <c r="F1817" s="4">
        <v>443059</v>
      </c>
      <c r="G1817" s="4">
        <v>3832241897</v>
      </c>
      <c r="H1817" s="6" t="e">
        <f t="shared" ca="1" si="36"/>
        <v>#VALUE!</v>
      </c>
      <c r="I1817" s="7" t="str">
        <f ca="1">IFERROR(__xludf.DUMMYFUNCTION("IMPORTXML(E1817,""/html/body/main/div[3]/div[3]/div[2]/ul/li[5]/span[2]/span"")"),"Loading...")</f>
        <v>Loading...</v>
      </c>
      <c r="J1817" s="7" t="str">
        <f ca="1">IFERROR(__xludf.DUMMYFUNCTION("GOOGLEFINANCE(""NSE:""&amp;D1817,""marketcap"")"),"#N/A")</f>
        <v>#N/A</v>
      </c>
      <c r="K1817" s="7">
        <v>992.8</v>
      </c>
      <c r="L1817" s="8" t="str">
        <f ca="1">IFERROR(__xludf.DUMMYFUNCTION("GOOGLEFINANCE(""NSE:""&amp;D1817,""price"")"),"#N/A")</f>
        <v>#N/A</v>
      </c>
      <c r="M1817" s="9" t="e">
        <f t="shared" ca="1" si="37"/>
        <v>#VALUE!</v>
      </c>
      <c r="N1817" s="10" t="e">
        <f t="shared" ca="1" si="38"/>
        <v>#VALUE!</v>
      </c>
      <c r="O1817" s="7" t="str">
        <f ca="1">IFERROR(__xludf.DUMMYFUNCTION("GOOGLEFINANCE(""NSE:""&amp;D1817,""pe"")"),"#N/A")</f>
        <v>#N/A</v>
      </c>
      <c r="P1817" s="7" t="str">
        <f ca="1">IFERROR(__xludf.DUMMYFUNCTION("GOOGLEFINANCE(""NSE:""&amp;D1817,""EPS"")"),"#N/A")</f>
        <v>#N/A</v>
      </c>
      <c r="Q1817" s="7">
        <v>13.5</v>
      </c>
      <c r="R1817" s="7" t="str">
        <f ca="1">IFERROR(__xludf.DUMMYFUNCTION("IMPORTXML(E1817,""/html/body/main/div[3]/div[3]/div[2]/ul/li[7]/span[2]/span"")"),"Loading...")</f>
        <v>Loading...</v>
      </c>
      <c r="S1817" s="7" t="str">
        <f ca="1">IFERROR(__xludf.DUMMYFUNCTION("IMPORTXML(E1817,""/html/body/main/div[3]/div[3]/div[2]/ul/li[8]/span[2]/span"")"),"Loading...")</f>
        <v>Loading...</v>
      </c>
      <c r="T1817" s="4">
        <v>34.6</v>
      </c>
      <c r="U1817" s="4">
        <v>22.7</v>
      </c>
      <c r="V1817" s="4">
        <v>2.6</v>
      </c>
      <c r="W1817" s="4">
        <v>5.7</v>
      </c>
      <c r="X1817" s="4">
        <v>519.92999999999995</v>
      </c>
      <c r="Y1817" s="7" t="e">
        <f t="shared" ca="1" si="39"/>
        <v>#VALUE!</v>
      </c>
    </row>
    <row r="1818" spans="1:25" ht="15" x14ac:dyDescent="0.25">
      <c r="A1818" s="4">
        <v>1435</v>
      </c>
      <c r="C1818" s="41" t="s">
        <v>3969</v>
      </c>
      <c r="D1818" s="42"/>
      <c r="E1818" s="5" t="str">
        <f t="shared" si="35"/>
        <v>https://www.screener.in/company//consolidated/</v>
      </c>
      <c r="F1818" s="4">
        <v>443059</v>
      </c>
      <c r="G1818" s="4">
        <v>3832241897</v>
      </c>
      <c r="H1818" s="6" t="e">
        <f t="shared" ca="1" si="36"/>
        <v>#VALUE!</v>
      </c>
      <c r="I1818" s="7" t="str">
        <f ca="1">IFERROR(__xludf.DUMMYFUNCTION("IMPORTXML(E1818,""/html/body/main/div[3]/div[3]/div[2]/ul/li[5]/span[2]/span"")"),"Loading...")</f>
        <v>Loading...</v>
      </c>
      <c r="J1818" s="7" t="str">
        <f ca="1">IFERROR(__xludf.DUMMYFUNCTION("GOOGLEFINANCE(""NSE:""&amp;D1818,""marketcap"")"),"#N/A")</f>
        <v>#N/A</v>
      </c>
      <c r="K1818" s="7">
        <v>992.8</v>
      </c>
      <c r="L1818" s="8" t="str">
        <f ca="1">IFERROR(__xludf.DUMMYFUNCTION("GOOGLEFINANCE(""NSE:""&amp;D1818,""price"")"),"#N/A")</f>
        <v>#N/A</v>
      </c>
      <c r="M1818" s="9" t="e">
        <f t="shared" ca="1" si="37"/>
        <v>#VALUE!</v>
      </c>
      <c r="N1818" s="10" t="e">
        <f t="shared" ca="1" si="38"/>
        <v>#VALUE!</v>
      </c>
      <c r="O1818" s="7" t="str">
        <f ca="1">IFERROR(__xludf.DUMMYFUNCTION("GOOGLEFINANCE(""NSE:""&amp;D1818,""pe"")"),"#N/A")</f>
        <v>#N/A</v>
      </c>
      <c r="P1818" s="7" t="str">
        <f ca="1">IFERROR(__xludf.DUMMYFUNCTION("GOOGLEFINANCE(""NSE:""&amp;D1818,""EPS"")"),"#N/A")</f>
        <v>#N/A</v>
      </c>
      <c r="Q1818" s="7">
        <v>13.5</v>
      </c>
      <c r="R1818" s="7" t="str">
        <f ca="1">IFERROR(__xludf.DUMMYFUNCTION("IMPORTXML(E1818,""/html/body/main/div[3]/div[3]/div[2]/ul/li[7]/span[2]/span"")"),"Loading...")</f>
        <v>Loading...</v>
      </c>
      <c r="S1818" s="7" t="str">
        <f ca="1">IFERROR(__xludf.DUMMYFUNCTION("IMPORTXML(E1818,""/html/body/main/div[3]/div[3]/div[2]/ul/li[8]/span[2]/span"")"),"Loading...")</f>
        <v>Loading...</v>
      </c>
      <c r="T1818" s="4">
        <v>34.6</v>
      </c>
      <c r="U1818" s="4">
        <v>22.7</v>
      </c>
      <c r="V1818" s="4">
        <v>2.6</v>
      </c>
      <c r="W1818" s="4">
        <v>5.7</v>
      </c>
      <c r="X1818" s="4">
        <v>519.92999999999995</v>
      </c>
      <c r="Y1818" s="7" t="e">
        <f t="shared" ca="1" si="39"/>
        <v>#VALUE!</v>
      </c>
    </row>
    <row r="1819" spans="1:25" ht="15" x14ac:dyDescent="0.25">
      <c r="A1819" s="4">
        <v>1440</v>
      </c>
      <c r="C1819" s="41" t="s">
        <v>3970</v>
      </c>
      <c r="D1819" s="42"/>
      <c r="E1819" s="5" t="str">
        <f t="shared" si="35"/>
        <v>https://www.screener.in/company//consolidated/</v>
      </c>
      <c r="F1819" s="4">
        <v>443059</v>
      </c>
      <c r="G1819" s="4">
        <v>3832241897</v>
      </c>
      <c r="H1819" s="6" t="e">
        <f t="shared" ca="1" si="36"/>
        <v>#VALUE!</v>
      </c>
      <c r="I1819" s="7" t="str">
        <f ca="1">IFERROR(__xludf.DUMMYFUNCTION("IMPORTXML(E1819,""/html/body/main/div[3]/div[3]/div[2]/ul/li[5]/span[2]/span"")"),"Loading...")</f>
        <v>Loading...</v>
      </c>
      <c r="J1819" s="7" t="str">
        <f ca="1">IFERROR(__xludf.DUMMYFUNCTION("GOOGLEFINANCE(""NSE:""&amp;D1819,""marketcap"")"),"#N/A")</f>
        <v>#N/A</v>
      </c>
      <c r="K1819" s="7">
        <v>992.8</v>
      </c>
      <c r="L1819" s="8" t="str">
        <f ca="1">IFERROR(__xludf.DUMMYFUNCTION("GOOGLEFINANCE(""NSE:""&amp;D1819,""price"")"),"#N/A")</f>
        <v>#N/A</v>
      </c>
      <c r="M1819" s="9" t="e">
        <f t="shared" ca="1" si="37"/>
        <v>#VALUE!</v>
      </c>
      <c r="N1819" s="10" t="e">
        <f t="shared" ca="1" si="38"/>
        <v>#VALUE!</v>
      </c>
      <c r="O1819" s="7" t="str">
        <f ca="1">IFERROR(__xludf.DUMMYFUNCTION("GOOGLEFINANCE(""NSE:""&amp;D1819,""pe"")"),"#N/A")</f>
        <v>#N/A</v>
      </c>
      <c r="P1819" s="7" t="str">
        <f ca="1">IFERROR(__xludf.DUMMYFUNCTION("GOOGLEFINANCE(""NSE:""&amp;D1819,""EPS"")"),"#N/A")</f>
        <v>#N/A</v>
      </c>
      <c r="Q1819" s="7">
        <v>13.5</v>
      </c>
      <c r="R1819" s="7" t="str">
        <f ca="1">IFERROR(__xludf.DUMMYFUNCTION("IMPORTXML(E1819,""/html/body/main/div[3]/div[3]/div[2]/ul/li[7]/span[2]/span"")"),"Loading...")</f>
        <v>Loading...</v>
      </c>
      <c r="S1819" s="7" t="str">
        <f ca="1">IFERROR(__xludf.DUMMYFUNCTION("IMPORTXML(E1819,""/html/body/main/div[3]/div[3]/div[2]/ul/li[8]/span[2]/span"")"),"Loading...")</f>
        <v>Loading...</v>
      </c>
      <c r="T1819" s="4">
        <v>34.6</v>
      </c>
      <c r="U1819" s="4">
        <v>22.7</v>
      </c>
      <c r="V1819" s="4">
        <v>2.6</v>
      </c>
      <c r="W1819" s="4">
        <v>5.7</v>
      </c>
      <c r="X1819" s="4">
        <v>519.92999999999995</v>
      </c>
      <c r="Y1819" s="7" t="e">
        <f t="shared" ca="1" si="39"/>
        <v>#VALUE!</v>
      </c>
    </row>
    <row r="1820" spans="1:25" ht="15" x14ac:dyDescent="0.25">
      <c r="A1820" s="4">
        <v>1441</v>
      </c>
      <c r="C1820" s="41" t="s">
        <v>3971</v>
      </c>
      <c r="D1820" s="42"/>
      <c r="E1820" s="5" t="str">
        <f t="shared" si="35"/>
        <v>https://www.screener.in/company//consolidated/</v>
      </c>
      <c r="F1820" s="4">
        <v>443059</v>
      </c>
      <c r="G1820" s="4">
        <v>3832241897</v>
      </c>
      <c r="H1820" s="6" t="e">
        <f t="shared" ca="1" si="36"/>
        <v>#VALUE!</v>
      </c>
      <c r="I1820" s="7" t="str">
        <f ca="1">IFERROR(__xludf.DUMMYFUNCTION("IMPORTXML(E1820,""/html/body/main/div[3]/div[3]/div[2]/ul/li[5]/span[2]/span"")"),"Loading...")</f>
        <v>Loading...</v>
      </c>
      <c r="J1820" s="7" t="str">
        <f ca="1">IFERROR(__xludf.DUMMYFUNCTION("GOOGLEFINANCE(""NSE:""&amp;D1820,""marketcap"")"),"#N/A")</f>
        <v>#N/A</v>
      </c>
      <c r="K1820" s="7">
        <v>992.8</v>
      </c>
      <c r="L1820" s="8" t="str">
        <f ca="1">IFERROR(__xludf.DUMMYFUNCTION("GOOGLEFINANCE(""NSE:""&amp;D1820,""price"")"),"#N/A")</f>
        <v>#N/A</v>
      </c>
      <c r="M1820" s="9" t="e">
        <f t="shared" ca="1" si="37"/>
        <v>#VALUE!</v>
      </c>
      <c r="N1820" s="10" t="e">
        <f t="shared" ca="1" si="38"/>
        <v>#VALUE!</v>
      </c>
      <c r="O1820" s="7" t="str">
        <f ca="1">IFERROR(__xludf.DUMMYFUNCTION("GOOGLEFINANCE(""NSE:""&amp;D1820,""pe"")"),"#N/A")</f>
        <v>#N/A</v>
      </c>
      <c r="P1820" s="7" t="str">
        <f ca="1">IFERROR(__xludf.DUMMYFUNCTION("GOOGLEFINANCE(""NSE:""&amp;D1820,""EPS"")"),"#N/A")</f>
        <v>#N/A</v>
      </c>
      <c r="Q1820" s="7">
        <v>13.5</v>
      </c>
      <c r="R1820" s="7" t="str">
        <f ca="1">IFERROR(__xludf.DUMMYFUNCTION("IMPORTXML(E1820,""/html/body/main/div[3]/div[3]/div[2]/ul/li[7]/span[2]/span"")"),"Loading...")</f>
        <v>Loading...</v>
      </c>
      <c r="S1820" s="7" t="str">
        <f ca="1">IFERROR(__xludf.DUMMYFUNCTION("IMPORTXML(E1820,""/html/body/main/div[3]/div[3]/div[2]/ul/li[8]/span[2]/span"")"),"Loading...")</f>
        <v>Loading...</v>
      </c>
      <c r="T1820" s="4">
        <v>34.6</v>
      </c>
      <c r="U1820" s="4">
        <v>22.7</v>
      </c>
      <c r="V1820" s="4">
        <v>2.6</v>
      </c>
      <c r="W1820" s="4">
        <v>5.7</v>
      </c>
      <c r="X1820" s="4">
        <v>519.92999999999995</v>
      </c>
      <c r="Y1820" s="7" t="e">
        <f t="shared" ca="1" si="39"/>
        <v>#VALUE!</v>
      </c>
    </row>
    <row r="1821" spans="1:25" ht="15" x14ac:dyDescent="0.25">
      <c r="A1821" s="4">
        <v>1445</v>
      </c>
      <c r="C1821" s="41" t="s">
        <v>3972</v>
      </c>
      <c r="D1821" s="42"/>
      <c r="E1821" s="5" t="str">
        <f t="shared" si="35"/>
        <v>https://www.screener.in/company//consolidated/</v>
      </c>
      <c r="F1821" s="4">
        <v>443059</v>
      </c>
      <c r="G1821" s="4">
        <v>3832241897</v>
      </c>
      <c r="H1821" s="6" t="e">
        <f t="shared" ca="1" si="36"/>
        <v>#VALUE!</v>
      </c>
      <c r="I1821" s="7" t="str">
        <f ca="1">IFERROR(__xludf.DUMMYFUNCTION("IMPORTXML(E1821,""/html/body/main/div[3]/div[3]/div[2]/ul/li[5]/span[2]/span"")"),"Loading...")</f>
        <v>Loading...</v>
      </c>
      <c r="J1821" s="7" t="str">
        <f ca="1">IFERROR(__xludf.DUMMYFUNCTION("GOOGLEFINANCE(""NSE:""&amp;D1821,""marketcap"")"),"#N/A")</f>
        <v>#N/A</v>
      </c>
      <c r="K1821" s="7">
        <v>992.8</v>
      </c>
      <c r="L1821" s="8" t="str">
        <f ca="1">IFERROR(__xludf.DUMMYFUNCTION("GOOGLEFINANCE(""NSE:""&amp;D1821,""price"")"),"#N/A")</f>
        <v>#N/A</v>
      </c>
      <c r="M1821" s="9" t="e">
        <f t="shared" ca="1" si="37"/>
        <v>#VALUE!</v>
      </c>
      <c r="N1821" s="10" t="e">
        <f t="shared" ca="1" si="38"/>
        <v>#VALUE!</v>
      </c>
      <c r="O1821" s="7" t="str">
        <f ca="1">IFERROR(__xludf.DUMMYFUNCTION("GOOGLEFINANCE(""NSE:""&amp;D1821,""pe"")"),"#N/A")</f>
        <v>#N/A</v>
      </c>
      <c r="P1821" s="7" t="str">
        <f ca="1">IFERROR(__xludf.DUMMYFUNCTION("GOOGLEFINANCE(""NSE:""&amp;D1821,""EPS"")"),"#N/A")</f>
        <v>#N/A</v>
      </c>
      <c r="Q1821" s="7">
        <v>13.5</v>
      </c>
      <c r="R1821" s="7" t="str">
        <f ca="1">IFERROR(__xludf.DUMMYFUNCTION("IMPORTXML(E1821,""/html/body/main/div[3]/div[3]/div[2]/ul/li[7]/span[2]/span"")"),"Loading...")</f>
        <v>Loading...</v>
      </c>
      <c r="S1821" s="7" t="str">
        <f ca="1">IFERROR(__xludf.DUMMYFUNCTION("IMPORTXML(E1821,""/html/body/main/div[3]/div[3]/div[2]/ul/li[8]/span[2]/span"")"),"Loading...")</f>
        <v>Loading...</v>
      </c>
      <c r="T1821" s="4">
        <v>34.6</v>
      </c>
      <c r="U1821" s="4">
        <v>22.7</v>
      </c>
      <c r="V1821" s="4">
        <v>2.6</v>
      </c>
      <c r="W1821" s="4">
        <v>5.7</v>
      </c>
      <c r="X1821" s="4">
        <v>519.92999999999995</v>
      </c>
      <c r="Y1821" s="7" t="e">
        <f t="shared" ca="1" si="39"/>
        <v>#VALUE!</v>
      </c>
    </row>
    <row r="1822" spans="1:25" ht="15" x14ac:dyDescent="0.25">
      <c r="A1822" s="4">
        <v>1448</v>
      </c>
      <c r="C1822" s="41" t="s">
        <v>3973</v>
      </c>
      <c r="D1822" s="42"/>
      <c r="E1822" s="5" t="str">
        <f t="shared" si="35"/>
        <v>https://www.screener.in/company//consolidated/</v>
      </c>
      <c r="F1822" s="4">
        <v>443059</v>
      </c>
      <c r="G1822" s="4">
        <v>3832241897</v>
      </c>
      <c r="H1822" s="6" t="e">
        <f t="shared" ca="1" si="36"/>
        <v>#VALUE!</v>
      </c>
      <c r="I1822" s="7" t="str">
        <f ca="1">IFERROR(__xludf.DUMMYFUNCTION("IMPORTXML(E1822,""/html/body/main/div[3]/div[3]/div[2]/ul/li[5]/span[2]/span"")"),"Loading...")</f>
        <v>Loading...</v>
      </c>
      <c r="J1822" s="7" t="str">
        <f ca="1">IFERROR(__xludf.DUMMYFUNCTION("GOOGLEFINANCE(""NSE:""&amp;D1822,""marketcap"")"),"#N/A")</f>
        <v>#N/A</v>
      </c>
      <c r="K1822" s="7">
        <v>992.8</v>
      </c>
      <c r="L1822" s="8" t="str">
        <f ca="1">IFERROR(__xludf.DUMMYFUNCTION("GOOGLEFINANCE(""NSE:""&amp;D1822,""price"")"),"#N/A")</f>
        <v>#N/A</v>
      </c>
      <c r="M1822" s="9" t="e">
        <f t="shared" ca="1" si="37"/>
        <v>#VALUE!</v>
      </c>
      <c r="N1822" s="10" t="e">
        <f t="shared" ca="1" si="38"/>
        <v>#VALUE!</v>
      </c>
      <c r="O1822" s="7" t="str">
        <f ca="1">IFERROR(__xludf.DUMMYFUNCTION("GOOGLEFINANCE(""NSE:""&amp;D1822,""pe"")"),"#N/A")</f>
        <v>#N/A</v>
      </c>
      <c r="P1822" s="7" t="str">
        <f ca="1">IFERROR(__xludf.DUMMYFUNCTION("GOOGLEFINANCE(""NSE:""&amp;D1822,""EPS"")"),"#N/A")</f>
        <v>#N/A</v>
      </c>
      <c r="Q1822" s="7">
        <v>13.5</v>
      </c>
      <c r="R1822" s="7" t="str">
        <f ca="1">IFERROR(__xludf.DUMMYFUNCTION("IMPORTXML(E1822,""/html/body/main/div[3]/div[3]/div[2]/ul/li[7]/span[2]/span"")"),"Loading...")</f>
        <v>Loading...</v>
      </c>
      <c r="S1822" s="7" t="str">
        <f ca="1">IFERROR(__xludf.DUMMYFUNCTION("IMPORTXML(E1822,""/html/body/main/div[3]/div[3]/div[2]/ul/li[8]/span[2]/span"")"),"Loading...")</f>
        <v>Loading...</v>
      </c>
      <c r="T1822" s="4">
        <v>34.6</v>
      </c>
      <c r="U1822" s="4">
        <v>22.7</v>
      </c>
      <c r="V1822" s="4">
        <v>2.6</v>
      </c>
      <c r="W1822" s="4">
        <v>5.7</v>
      </c>
      <c r="X1822" s="4">
        <v>519.92999999999995</v>
      </c>
      <c r="Y1822" s="7" t="e">
        <f t="shared" ca="1" si="39"/>
        <v>#VALUE!</v>
      </c>
    </row>
    <row r="1823" spans="1:25" ht="15" x14ac:dyDescent="0.25">
      <c r="A1823" s="4">
        <v>1449</v>
      </c>
      <c r="C1823" s="41" t="s">
        <v>3974</v>
      </c>
      <c r="D1823" s="42"/>
      <c r="E1823" s="5" t="str">
        <f t="shared" si="35"/>
        <v>https://www.screener.in/company//consolidated/</v>
      </c>
      <c r="F1823" s="4">
        <v>443059</v>
      </c>
      <c r="G1823" s="4">
        <v>3832241897</v>
      </c>
      <c r="H1823" s="6" t="e">
        <f t="shared" ca="1" si="36"/>
        <v>#VALUE!</v>
      </c>
      <c r="I1823" s="7" t="str">
        <f ca="1">IFERROR(__xludf.DUMMYFUNCTION("IMPORTXML(E1823,""/html/body/main/div[3]/div[3]/div[2]/ul/li[5]/span[2]/span"")"),"Loading...")</f>
        <v>Loading...</v>
      </c>
      <c r="J1823" s="7" t="str">
        <f ca="1">IFERROR(__xludf.DUMMYFUNCTION("GOOGLEFINANCE(""NSE:""&amp;D1823,""marketcap"")"),"#N/A")</f>
        <v>#N/A</v>
      </c>
      <c r="K1823" s="7">
        <v>992.8</v>
      </c>
      <c r="L1823" s="8" t="str">
        <f ca="1">IFERROR(__xludf.DUMMYFUNCTION("GOOGLEFINANCE(""NSE:""&amp;D1823,""price"")"),"#N/A")</f>
        <v>#N/A</v>
      </c>
      <c r="M1823" s="9" t="e">
        <f t="shared" ca="1" si="37"/>
        <v>#VALUE!</v>
      </c>
      <c r="N1823" s="10" t="e">
        <f t="shared" ca="1" si="38"/>
        <v>#VALUE!</v>
      </c>
      <c r="O1823" s="7" t="str">
        <f ca="1">IFERROR(__xludf.DUMMYFUNCTION("GOOGLEFINANCE(""NSE:""&amp;D1823,""pe"")"),"#N/A")</f>
        <v>#N/A</v>
      </c>
      <c r="P1823" s="7" t="str">
        <f ca="1">IFERROR(__xludf.DUMMYFUNCTION("GOOGLEFINANCE(""NSE:""&amp;D1823,""EPS"")"),"#N/A")</f>
        <v>#N/A</v>
      </c>
      <c r="Q1823" s="7">
        <v>13.5</v>
      </c>
      <c r="R1823" s="7" t="str">
        <f ca="1">IFERROR(__xludf.DUMMYFUNCTION("IMPORTXML(E1823,""/html/body/main/div[3]/div[3]/div[2]/ul/li[7]/span[2]/span"")"),"Loading...")</f>
        <v>Loading...</v>
      </c>
      <c r="S1823" s="7" t="str">
        <f ca="1">IFERROR(__xludf.DUMMYFUNCTION("IMPORTXML(E1823,""/html/body/main/div[3]/div[3]/div[2]/ul/li[8]/span[2]/span"")"),"Loading...")</f>
        <v>Loading...</v>
      </c>
      <c r="T1823" s="4">
        <v>34.6</v>
      </c>
      <c r="U1823" s="4">
        <v>22.7</v>
      </c>
      <c r="V1823" s="4">
        <v>2.6</v>
      </c>
      <c r="W1823" s="4">
        <v>5.7</v>
      </c>
      <c r="X1823" s="4">
        <v>519.92999999999995</v>
      </c>
      <c r="Y1823" s="7" t="e">
        <f t="shared" ca="1" si="39"/>
        <v>#VALUE!</v>
      </c>
    </row>
    <row r="1824" spans="1:25" ht="15" x14ac:dyDescent="0.25">
      <c r="A1824" s="4">
        <v>1452</v>
      </c>
      <c r="C1824" s="41" t="s">
        <v>3975</v>
      </c>
      <c r="D1824" s="42"/>
      <c r="E1824" s="5" t="str">
        <f t="shared" si="35"/>
        <v>https://www.screener.in/company//consolidated/</v>
      </c>
      <c r="F1824" s="4">
        <v>443059</v>
      </c>
      <c r="G1824" s="4">
        <v>3832241897</v>
      </c>
      <c r="H1824" s="6" t="e">
        <f t="shared" ca="1" si="36"/>
        <v>#VALUE!</v>
      </c>
      <c r="I1824" s="7" t="str">
        <f ca="1">IFERROR(__xludf.DUMMYFUNCTION("IMPORTXML(E1824,""/html/body/main/div[3]/div[3]/div[2]/ul/li[5]/span[2]/span"")"),"Loading...")</f>
        <v>Loading...</v>
      </c>
      <c r="J1824" s="7" t="str">
        <f ca="1">IFERROR(__xludf.DUMMYFUNCTION("GOOGLEFINANCE(""NSE:""&amp;D1824,""marketcap"")"),"#N/A")</f>
        <v>#N/A</v>
      </c>
      <c r="K1824" s="7">
        <v>992.8</v>
      </c>
      <c r="L1824" s="8" t="str">
        <f ca="1">IFERROR(__xludf.DUMMYFUNCTION("GOOGLEFINANCE(""NSE:""&amp;D1824,""price"")"),"#N/A")</f>
        <v>#N/A</v>
      </c>
      <c r="M1824" s="9" t="e">
        <f t="shared" ca="1" si="37"/>
        <v>#VALUE!</v>
      </c>
      <c r="N1824" s="10" t="e">
        <f t="shared" ca="1" si="38"/>
        <v>#VALUE!</v>
      </c>
      <c r="O1824" s="7" t="str">
        <f ca="1">IFERROR(__xludf.DUMMYFUNCTION("GOOGLEFINANCE(""NSE:""&amp;D1824,""pe"")"),"#N/A")</f>
        <v>#N/A</v>
      </c>
      <c r="P1824" s="7" t="str">
        <f ca="1">IFERROR(__xludf.DUMMYFUNCTION("GOOGLEFINANCE(""NSE:""&amp;D1824,""EPS"")"),"#N/A")</f>
        <v>#N/A</v>
      </c>
      <c r="Q1824" s="7">
        <v>13.5</v>
      </c>
      <c r="R1824" s="7" t="str">
        <f ca="1">IFERROR(__xludf.DUMMYFUNCTION("IMPORTXML(E1824,""/html/body/main/div[3]/div[3]/div[2]/ul/li[7]/span[2]/span"")"),"Loading...")</f>
        <v>Loading...</v>
      </c>
      <c r="S1824" s="7" t="str">
        <f ca="1">IFERROR(__xludf.DUMMYFUNCTION("IMPORTXML(E1824,""/html/body/main/div[3]/div[3]/div[2]/ul/li[8]/span[2]/span"")"),"Loading...")</f>
        <v>Loading...</v>
      </c>
      <c r="T1824" s="4">
        <v>34.6</v>
      </c>
      <c r="U1824" s="4">
        <v>22.7</v>
      </c>
      <c r="V1824" s="4">
        <v>2.6</v>
      </c>
      <c r="W1824" s="4">
        <v>5.7</v>
      </c>
      <c r="X1824" s="4">
        <v>519.92999999999995</v>
      </c>
      <c r="Y1824" s="7" t="e">
        <f t="shared" ca="1" si="39"/>
        <v>#VALUE!</v>
      </c>
    </row>
    <row r="1825" spans="1:25" ht="15" x14ac:dyDescent="0.25">
      <c r="A1825" s="4">
        <v>1453</v>
      </c>
      <c r="C1825" s="41" t="s">
        <v>3976</v>
      </c>
      <c r="D1825" s="42"/>
      <c r="E1825" s="5" t="str">
        <f t="shared" si="35"/>
        <v>https://www.screener.in/company//consolidated/</v>
      </c>
      <c r="F1825" s="4">
        <v>443059</v>
      </c>
      <c r="G1825" s="4">
        <v>3832241897</v>
      </c>
      <c r="H1825" s="6" t="e">
        <f t="shared" ca="1" si="36"/>
        <v>#VALUE!</v>
      </c>
      <c r="I1825" s="7" t="str">
        <f ca="1">IFERROR(__xludf.DUMMYFUNCTION("IMPORTXML(E1825,""/html/body/main/div[3]/div[3]/div[2]/ul/li[5]/span[2]/span"")"),"Loading...")</f>
        <v>Loading...</v>
      </c>
      <c r="J1825" s="7" t="str">
        <f ca="1">IFERROR(__xludf.DUMMYFUNCTION("GOOGLEFINANCE(""NSE:""&amp;D1825,""marketcap"")"),"#N/A")</f>
        <v>#N/A</v>
      </c>
      <c r="K1825" s="7">
        <v>992.8</v>
      </c>
      <c r="L1825" s="8" t="str">
        <f ca="1">IFERROR(__xludf.DUMMYFUNCTION("GOOGLEFINANCE(""NSE:""&amp;D1825,""price"")"),"#N/A")</f>
        <v>#N/A</v>
      </c>
      <c r="M1825" s="9" t="e">
        <f t="shared" ca="1" si="37"/>
        <v>#VALUE!</v>
      </c>
      <c r="N1825" s="10" t="e">
        <f t="shared" ca="1" si="38"/>
        <v>#VALUE!</v>
      </c>
      <c r="O1825" s="7" t="str">
        <f ca="1">IFERROR(__xludf.DUMMYFUNCTION("GOOGLEFINANCE(""NSE:""&amp;D1825,""pe"")"),"#N/A")</f>
        <v>#N/A</v>
      </c>
      <c r="P1825" s="7" t="str">
        <f ca="1">IFERROR(__xludf.DUMMYFUNCTION("GOOGLEFINANCE(""NSE:""&amp;D1825,""EPS"")"),"#N/A")</f>
        <v>#N/A</v>
      </c>
      <c r="Q1825" s="7">
        <v>13.5</v>
      </c>
      <c r="R1825" s="7" t="str">
        <f ca="1">IFERROR(__xludf.DUMMYFUNCTION("IMPORTXML(E1825,""/html/body/main/div[3]/div[3]/div[2]/ul/li[7]/span[2]/span"")"),"Loading...")</f>
        <v>Loading...</v>
      </c>
      <c r="S1825" s="7" t="str">
        <f ca="1">IFERROR(__xludf.DUMMYFUNCTION("IMPORTXML(E1825,""/html/body/main/div[3]/div[3]/div[2]/ul/li[8]/span[2]/span"")"),"Loading...")</f>
        <v>Loading...</v>
      </c>
      <c r="T1825" s="4">
        <v>34.6</v>
      </c>
      <c r="U1825" s="4">
        <v>22.7</v>
      </c>
      <c r="V1825" s="4">
        <v>2.6</v>
      </c>
      <c r="W1825" s="4">
        <v>5.7</v>
      </c>
      <c r="X1825" s="4">
        <v>519.92999999999995</v>
      </c>
      <c r="Y1825" s="7" t="e">
        <f t="shared" ca="1" si="39"/>
        <v>#VALUE!</v>
      </c>
    </row>
    <row r="1826" spans="1:25" ht="15" x14ac:dyDescent="0.25">
      <c r="A1826" s="4">
        <v>1455</v>
      </c>
      <c r="C1826" s="41" t="s">
        <v>3977</v>
      </c>
      <c r="D1826" s="42"/>
      <c r="E1826" s="5" t="str">
        <f t="shared" si="35"/>
        <v>https://www.screener.in/company//consolidated/</v>
      </c>
      <c r="F1826" s="4">
        <v>443059</v>
      </c>
      <c r="G1826" s="4">
        <v>3832241897</v>
      </c>
      <c r="H1826" s="6" t="e">
        <f t="shared" ca="1" si="36"/>
        <v>#VALUE!</v>
      </c>
      <c r="I1826" s="7" t="str">
        <f ca="1">IFERROR(__xludf.DUMMYFUNCTION("IMPORTXML(E1826,""/html/body/main/div[3]/div[3]/div[2]/ul/li[5]/span[2]/span"")"),"Loading...")</f>
        <v>Loading...</v>
      </c>
      <c r="J1826" s="7" t="str">
        <f ca="1">IFERROR(__xludf.DUMMYFUNCTION("GOOGLEFINANCE(""NSE:""&amp;D1826,""marketcap"")"),"#N/A")</f>
        <v>#N/A</v>
      </c>
      <c r="K1826" s="7">
        <v>992.8</v>
      </c>
      <c r="L1826" s="8" t="str">
        <f ca="1">IFERROR(__xludf.DUMMYFUNCTION("GOOGLEFINANCE(""NSE:""&amp;D1826,""price"")"),"#N/A")</f>
        <v>#N/A</v>
      </c>
      <c r="M1826" s="9" t="e">
        <f t="shared" ca="1" si="37"/>
        <v>#VALUE!</v>
      </c>
      <c r="N1826" s="10" t="e">
        <f t="shared" ca="1" si="38"/>
        <v>#VALUE!</v>
      </c>
      <c r="O1826" s="7" t="str">
        <f ca="1">IFERROR(__xludf.DUMMYFUNCTION("GOOGLEFINANCE(""NSE:""&amp;D1826,""pe"")"),"#N/A")</f>
        <v>#N/A</v>
      </c>
      <c r="P1826" s="7" t="str">
        <f ca="1">IFERROR(__xludf.DUMMYFUNCTION("GOOGLEFINANCE(""NSE:""&amp;D1826,""EPS"")"),"#N/A")</f>
        <v>#N/A</v>
      </c>
      <c r="Q1826" s="7">
        <v>13.5</v>
      </c>
      <c r="R1826" s="7" t="str">
        <f ca="1">IFERROR(__xludf.DUMMYFUNCTION("IMPORTXML(E1826,""/html/body/main/div[3]/div[3]/div[2]/ul/li[7]/span[2]/span"")"),"Loading...")</f>
        <v>Loading...</v>
      </c>
      <c r="S1826" s="7" t="str">
        <f ca="1">IFERROR(__xludf.DUMMYFUNCTION("IMPORTXML(E1826,""/html/body/main/div[3]/div[3]/div[2]/ul/li[8]/span[2]/span"")"),"Loading...")</f>
        <v>Loading...</v>
      </c>
      <c r="T1826" s="4">
        <v>34.6</v>
      </c>
      <c r="U1826" s="4">
        <v>22.7</v>
      </c>
      <c r="V1826" s="4">
        <v>2.6</v>
      </c>
      <c r="W1826" s="4">
        <v>5.7</v>
      </c>
      <c r="X1826" s="4">
        <v>519.92999999999995</v>
      </c>
      <c r="Y1826" s="7" t="e">
        <f t="shared" ca="1" si="39"/>
        <v>#VALUE!</v>
      </c>
    </row>
    <row r="1827" spans="1:25" ht="15" x14ac:dyDescent="0.25">
      <c r="A1827" s="4">
        <v>1456</v>
      </c>
      <c r="C1827" s="41" t="s">
        <v>3978</v>
      </c>
      <c r="D1827" s="42"/>
      <c r="E1827" s="5" t="str">
        <f t="shared" si="35"/>
        <v>https://www.screener.in/company//consolidated/</v>
      </c>
      <c r="F1827" s="4">
        <v>443059</v>
      </c>
      <c r="G1827" s="4">
        <v>3832241897</v>
      </c>
      <c r="H1827" s="6" t="e">
        <f t="shared" ca="1" si="36"/>
        <v>#VALUE!</v>
      </c>
      <c r="I1827" s="7" t="str">
        <f ca="1">IFERROR(__xludf.DUMMYFUNCTION("IMPORTXML(E1827,""/html/body/main/div[3]/div[3]/div[2]/ul/li[5]/span[2]/span"")"),"Loading...")</f>
        <v>Loading...</v>
      </c>
      <c r="J1827" s="7" t="str">
        <f ca="1">IFERROR(__xludf.DUMMYFUNCTION("GOOGLEFINANCE(""NSE:""&amp;D1827,""marketcap"")"),"#N/A")</f>
        <v>#N/A</v>
      </c>
      <c r="K1827" s="7">
        <v>992.8</v>
      </c>
      <c r="L1827" s="8" t="str">
        <f ca="1">IFERROR(__xludf.DUMMYFUNCTION("GOOGLEFINANCE(""NSE:""&amp;D1827,""price"")"),"#N/A")</f>
        <v>#N/A</v>
      </c>
      <c r="M1827" s="9" t="e">
        <f t="shared" ca="1" si="37"/>
        <v>#VALUE!</v>
      </c>
      <c r="N1827" s="10" t="e">
        <f t="shared" ca="1" si="38"/>
        <v>#VALUE!</v>
      </c>
      <c r="O1827" s="7" t="str">
        <f ca="1">IFERROR(__xludf.DUMMYFUNCTION("GOOGLEFINANCE(""NSE:""&amp;D1827,""pe"")"),"#N/A")</f>
        <v>#N/A</v>
      </c>
      <c r="P1827" s="7" t="str">
        <f ca="1">IFERROR(__xludf.DUMMYFUNCTION("GOOGLEFINANCE(""NSE:""&amp;D1827,""EPS"")"),"#N/A")</f>
        <v>#N/A</v>
      </c>
      <c r="Q1827" s="7">
        <v>13.5</v>
      </c>
      <c r="R1827" s="7" t="str">
        <f ca="1">IFERROR(__xludf.DUMMYFUNCTION("IMPORTXML(E1827,""/html/body/main/div[3]/div[3]/div[2]/ul/li[7]/span[2]/span"")"),"Loading...")</f>
        <v>Loading...</v>
      </c>
      <c r="S1827" s="7" t="str">
        <f ca="1">IFERROR(__xludf.DUMMYFUNCTION("IMPORTXML(E1827,""/html/body/main/div[3]/div[3]/div[2]/ul/li[8]/span[2]/span"")"),"Loading...")</f>
        <v>Loading...</v>
      </c>
      <c r="T1827" s="4">
        <v>34.6</v>
      </c>
      <c r="U1827" s="4">
        <v>22.7</v>
      </c>
      <c r="V1827" s="4">
        <v>2.6</v>
      </c>
      <c r="W1827" s="4">
        <v>5.7</v>
      </c>
      <c r="X1827" s="4">
        <v>519.92999999999995</v>
      </c>
      <c r="Y1827" s="7" t="e">
        <f t="shared" ca="1" si="39"/>
        <v>#VALUE!</v>
      </c>
    </row>
    <row r="1828" spans="1:25" ht="15" x14ac:dyDescent="0.25">
      <c r="A1828" s="4">
        <v>1458</v>
      </c>
      <c r="C1828" s="41" t="s">
        <v>3979</v>
      </c>
      <c r="D1828" s="42"/>
      <c r="E1828" s="5" t="str">
        <f t="shared" si="35"/>
        <v>https://www.screener.in/company//consolidated/</v>
      </c>
      <c r="F1828" s="4">
        <v>443059</v>
      </c>
      <c r="G1828" s="4">
        <v>3832241897</v>
      </c>
      <c r="H1828" s="6" t="e">
        <f t="shared" ca="1" si="36"/>
        <v>#VALUE!</v>
      </c>
      <c r="I1828" s="7" t="str">
        <f ca="1">IFERROR(__xludf.DUMMYFUNCTION("IMPORTXML(E1828,""/html/body/main/div[3]/div[3]/div[2]/ul/li[5]/span[2]/span"")"),"Loading...")</f>
        <v>Loading...</v>
      </c>
      <c r="J1828" s="7" t="str">
        <f ca="1">IFERROR(__xludf.DUMMYFUNCTION("GOOGLEFINANCE(""NSE:""&amp;D1828,""marketcap"")"),"#N/A")</f>
        <v>#N/A</v>
      </c>
      <c r="K1828" s="7">
        <v>992.8</v>
      </c>
      <c r="L1828" s="8" t="str">
        <f ca="1">IFERROR(__xludf.DUMMYFUNCTION("GOOGLEFINANCE(""NSE:""&amp;D1828,""price"")"),"#N/A")</f>
        <v>#N/A</v>
      </c>
      <c r="M1828" s="9" t="e">
        <f t="shared" ca="1" si="37"/>
        <v>#VALUE!</v>
      </c>
      <c r="N1828" s="10" t="e">
        <f t="shared" ca="1" si="38"/>
        <v>#VALUE!</v>
      </c>
      <c r="O1828" s="7" t="str">
        <f ca="1">IFERROR(__xludf.DUMMYFUNCTION("GOOGLEFINANCE(""NSE:""&amp;D1828,""pe"")"),"#N/A")</f>
        <v>#N/A</v>
      </c>
      <c r="P1828" s="7" t="str">
        <f ca="1">IFERROR(__xludf.DUMMYFUNCTION("GOOGLEFINANCE(""NSE:""&amp;D1828,""EPS"")"),"#N/A")</f>
        <v>#N/A</v>
      </c>
      <c r="Q1828" s="7">
        <v>13.5</v>
      </c>
      <c r="R1828" s="7" t="str">
        <f ca="1">IFERROR(__xludf.DUMMYFUNCTION("IMPORTXML(E1828,""/html/body/main/div[3]/div[3]/div[2]/ul/li[7]/span[2]/span"")"),"Loading...")</f>
        <v>Loading...</v>
      </c>
      <c r="S1828" s="7" t="str">
        <f ca="1">IFERROR(__xludf.DUMMYFUNCTION("IMPORTXML(E1828,""/html/body/main/div[3]/div[3]/div[2]/ul/li[8]/span[2]/span"")"),"Loading...")</f>
        <v>Loading...</v>
      </c>
      <c r="T1828" s="4">
        <v>34.6</v>
      </c>
      <c r="U1828" s="4">
        <v>22.7</v>
      </c>
      <c r="V1828" s="4">
        <v>2.6</v>
      </c>
      <c r="W1828" s="4">
        <v>5.7</v>
      </c>
      <c r="X1828" s="4">
        <v>519.92999999999995</v>
      </c>
      <c r="Y1828" s="7" t="e">
        <f t="shared" ca="1" si="39"/>
        <v>#VALUE!</v>
      </c>
    </row>
    <row r="1829" spans="1:25" ht="15" x14ac:dyDescent="0.25">
      <c r="A1829" s="4">
        <v>1459</v>
      </c>
      <c r="C1829" s="41" t="s">
        <v>3980</v>
      </c>
      <c r="D1829" s="42"/>
      <c r="E1829" s="5" t="str">
        <f t="shared" si="35"/>
        <v>https://www.screener.in/company//consolidated/</v>
      </c>
      <c r="F1829" s="4">
        <v>443059</v>
      </c>
      <c r="G1829" s="4">
        <v>3832241897</v>
      </c>
      <c r="H1829" s="6" t="e">
        <f t="shared" ca="1" si="36"/>
        <v>#VALUE!</v>
      </c>
      <c r="I1829" s="7" t="str">
        <f ca="1">IFERROR(__xludf.DUMMYFUNCTION("IMPORTXML(E1829,""/html/body/main/div[3]/div[3]/div[2]/ul/li[5]/span[2]/span"")"),"Loading...")</f>
        <v>Loading...</v>
      </c>
      <c r="J1829" s="7" t="str">
        <f ca="1">IFERROR(__xludf.DUMMYFUNCTION("GOOGLEFINANCE(""NSE:""&amp;D1829,""marketcap"")"),"#N/A")</f>
        <v>#N/A</v>
      </c>
      <c r="K1829" s="7">
        <v>992.8</v>
      </c>
      <c r="L1829" s="8" t="str">
        <f ca="1">IFERROR(__xludf.DUMMYFUNCTION("GOOGLEFINANCE(""NSE:""&amp;D1829,""price"")"),"#N/A")</f>
        <v>#N/A</v>
      </c>
      <c r="M1829" s="9" t="e">
        <f t="shared" ca="1" si="37"/>
        <v>#VALUE!</v>
      </c>
      <c r="N1829" s="10" t="e">
        <f t="shared" ca="1" si="38"/>
        <v>#VALUE!</v>
      </c>
      <c r="O1829" s="7" t="str">
        <f ca="1">IFERROR(__xludf.DUMMYFUNCTION("GOOGLEFINANCE(""NSE:""&amp;D1829,""pe"")"),"#N/A")</f>
        <v>#N/A</v>
      </c>
      <c r="P1829" s="7" t="str">
        <f ca="1">IFERROR(__xludf.DUMMYFUNCTION("GOOGLEFINANCE(""NSE:""&amp;D1829,""EPS"")"),"#N/A")</f>
        <v>#N/A</v>
      </c>
      <c r="Q1829" s="7">
        <v>13.5</v>
      </c>
      <c r="R1829" s="7" t="str">
        <f ca="1">IFERROR(__xludf.DUMMYFUNCTION("IMPORTXML(E1829,""/html/body/main/div[3]/div[3]/div[2]/ul/li[7]/span[2]/span"")"),"Loading...")</f>
        <v>Loading...</v>
      </c>
      <c r="S1829" s="7" t="str">
        <f ca="1">IFERROR(__xludf.DUMMYFUNCTION("IMPORTXML(E1829,""/html/body/main/div[3]/div[3]/div[2]/ul/li[8]/span[2]/span"")"),"Loading...")</f>
        <v>Loading...</v>
      </c>
      <c r="T1829" s="4">
        <v>34.6</v>
      </c>
      <c r="U1829" s="4">
        <v>22.7</v>
      </c>
      <c r="V1829" s="4">
        <v>2.6</v>
      </c>
      <c r="W1829" s="4">
        <v>5.7</v>
      </c>
      <c r="X1829" s="4">
        <v>519.92999999999995</v>
      </c>
      <c r="Y1829" s="7" t="e">
        <f t="shared" ca="1" si="39"/>
        <v>#VALUE!</v>
      </c>
    </row>
    <row r="1830" spans="1:25" ht="15" x14ac:dyDescent="0.25">
      <c r="A1830" s="4">
        <v>1460</v>
      </c>
      <c r="C1830" s="41" t="s">
        <v>3981</v>
      </c>
      <c r="D1830" s="42"/>
      <c r="E1830" s="5" t="str">
        <f t="shared" si="35"/>
        <v>https://www.screener.in/company//consolidated/</v>
      </c>
      <c r="F1830" s="4">
        <v>443059</v>
      </c>
      <c r="G1830" s="4">
        <v>3832241897</v>
      </c>
      <c r="H1830" s="6" t="e">
        <f t="shared" ca="1" si="36"/>
        <v>#VALUE!</v>
      </c>
      <c r="I1830" s="7" t="str">
        <f ca="1">IFERROR(__xludf.DUMMYFUNCTION("IMPORTXML(E1830,""/html/body/main/div[3]/div[3]/div[2]/ul/li[5]/span[2]/span"")"),"Loading...")</f>
        <v>Loading...</v>
      </c>
      <c r="J1830" s="7" t="str">
        <f ca="1">IFERROR(__xludf.DUMMYFUNCTION("GOOGLEFINANCE(""NSE:""&amp;D1830,""marketcap"")"),"#N/A")</f>
        <v>#N/A</v>
      </c>
      <c r="K1830" s="7">
        <v>992.8</v>
      </c>
      <c r="L1830" s="8" t="str">
        <f ca="1">IFERROR(__xludf.DUMMYFUNCTION("GOOGLEFINANCE(""NSE:""&amp;D1830,""price"")"),"#N/A")</f>
        <v>#N/A</v>
      </c>
      <c r="M1830" s="9" t="e">
        <f t="shared" ca="1" si="37"/>
        <v>#VALUE!</v>
      </c>
      <c r="N1830" s="10" t="e">
        <f t="shared" ca="1" si="38"/>
        <v>#VALUE!</v>
      </c>
      <c r="O1830" s="7" t="str">
        <f ca="1">IFERROR(__xludf.DUMMYFUNCTION("GOOGLEFINANCE(""NSE:""&amp;D1830,""pe"")"),"#N/A")</f>
        <v>#N/A</v>
      </c>
      <c r="P1830" s="7" t="str">
        <f ca="1">IFERROR(__xludf.DUMMYFUNCTION("GOOGLEFINANCE(""NSE:""&amp;D1830,""EPS"")"),"#N/A")</f>
        <v>#N/A</v>
      </c>
      <c r="Q1830" s="7">
        <v>13.5</v>
      </c>
      <c r="R1830" s="7" t="str">
        <f ca="1">IFERROR(__xludf.DUMMYFUNCTION("IMPORTXML(E1830,""/html/body/main/div[3]/div[3]/div[2]/ul/li[7]/span[2]/span"")"),"Loading...")</f>
        <v>Loading...</v>
      </c>
      <c r="S1830" s="7" t="str">
        <f ca="1">IFERROR(__xludf.DUMMYFUNCTION("IMPORTXML(E1830,""/html/body/main/div[3]/div[3]/div[2]/ul/li[8]/span[2]/span"")"),"Loading...")</f>
        <v>Loading...</v>
      </c>
      <c r="T1830" s="4">
        <v>34.6</v>
      </c>
      <c r="U1830" s="4">
        <v>22.7</v>
      </c>
      <c r="V1830" s="4">
        <v>2.6</v>
      </c>
      <c r="W1830" s="4">
        <v>5.7</v>
      </c>
      <c r="X1830" s="4">
        <v>519.92999999999995</v>
      </c>
      <c r="Y1830" s="7" t="e">
        <f t="shared" ca="1" si="39"/>
        <v>#VALUE!</v>
      </c>
    </row>
    <row r="1831" spans="1:25" ht="15" x14ac:dyDescent="0.25">
      <c r="A1831" s="4">
        <v>1462</v>
      </c>
      <c r="C1831" s="12" t="s">
        <v>3982</v>
      </c>
      <c r="D1831" s="12" t="s">
        <v>3983</v>
      </c>
      <c r="E1831" s="5" t="str">
        <f t="shared" si="35"/>
        <v>https://www.screener.in/company/KAYA/consolidated/</v>
      </c>
      <c r="F1831" s="4">
        <v>443059</v>
      </c>
      <c r="G1831" s="4">
        <v>3832241897</v>
      </c>
      <c r="H1831" s="6">
        <f t="shared" ca="1" si="36"/>
        <v>158865.58784013501</v>
      </c>
      <c r="I1831" s="7" t="str">
        <f ca="1">IFERROR(__xludf.DUMMYFUNCTION("IMPORTXML(E1831,""/html/body/main/div[3]/div[3]/div[2]/ul/li[5]/span[2]/span"")"),"Loading...")</f>
        <v>Loading...</v>
      </c>
      <c r="J1831" s="7">
        <f ca="1">IFERROR(__xludf.DUMMYFUNCTION("GOOGLEFINANCE(""NSE:""&amp;D1831,""marketcap"")"),6296023000)</f>
        <v>6296023000</v>
      </c>
      <c r="K1831" s="7">
        <v>992.8</v>
      </c>
      <c r="L1831" s="8">
        <f ca="1">IFERROR(__xludf.DUMMYFUNCTION("GOOGLEFINANCE(""NSE:""&amp;D1831,""price"")"),414.55)</f>
        <v>414.55</v>
      </c>
      <c r="M1831" s="9">
        <f t="shared" ca="1" si="37"/>
        <v>-578.25</v>
      </c>
      <c r="N1831" s="10">
        <f t="shared" ca="1" si="38"/>
        <v>-58.244359387590663</v>
      </c>
      <c r="O1831" s="7" t="str">
        <f ca="1">IFERROR(__xludf.DUMMYFUNCTION("GOOGLEFINANCE(""NSE:""&amp;D1831,""pe"")"),"#N/A")</f>
        <v>#N/A</v>
      </c>
      <c r="P1831" s="7">
        <f ca="1">IFERROR(__xludf.DUMMYFUNCTION("GOOGLEFINANCE(""NSE:""&amp;D1831,""EPS"")"),-25.28)</f>
        <v>-25.28</v>
      </c>
      <c r="Q1831" s="7">
        <v>13.5</v>
      </c>
      <c r="R1831" s="7" t="str">
        <f ca="1">IFERROR(__xludf.DUMMYFUNCTION("IMPORTXML(E1831,""/html/body/main/div[3]/div[3]/div[2]/ul/li[7]/span[2]/span"")"),"Loading...")</f>
        <v>Loading...</v>
      </c>
      <c r="S1831" s="7" t="str">
        <f ca="1">IFERROR(__xludf.DUMMYFUNCTION("IMPORTXML(E1831,""/html/body/main/div[3]/div[3]/div[2]/ul/li[8]/span[2]/span"")"),"Loading...")</f>
        <v>Loading...</v>
      </c>
      <c r="T1831" s="4">
        <v>34.6</v>
      </c>
      <c r="U1831" s="4">
        <v>22.7</v>
      </c>
      <c r="V1831" s="4">
        <v>2.6</v>
      </c>
      <c r="W1831" s="4">
        <v>5.7</v>
      </c>
      <c r="X1831" s="4">
        <v>519.92999999999995</v>
      </c>
      <c r="Y1831" s="7">
        <f t="shared" ca="1" si="39"/>
        <v>-105.37999999999994</v>
      </c>
    </row>
    <row r="1832" spans="1:25" ht="15" x14ac:dyDescent="0.25">
      <c r="A1832" s="4">
        <v>1464</v>
      </c>
      <c r="C1832" s="41" t="s">
        <v>3984</v>
      </c>
      <c r="D1832" s="42"/>
      <c r="E1832" s="5" t="str">
        <f t="shared" si="35"/>
        <v>https://www.screener.in/company//consolidated/</v>
      </c>
      <c r="F1832" s="4">
        <v>443059</v>
      </c>
      <c r="G1832" s="4">
        <v>3832241897</v>
      </c>
      <c r="H1832" s="6" t="e">
        <f t="shared" ca="1" si="36"/>
        <v>#VALUE!</v>
      </c>
      <c r="I1832" s="7" t="str">
        <f ca="1">IFERROR(__xludf.DUMMYFUNCTION("IMPORTXML(E1832,""/html/body/main/div[3]/div[3]/div[2]/ul/li[5]/span[2]/span"")"),"Loading...")</f>
        <v>Loading...</v>
      </c>
      <c r="J1832" s="7" t="str">
        <f ca="1">IFERROR(__xludf.DUMMYFUNCTION("GOOGLEFINANCE(""NSE:""&amp;D1832,""marketcap"")"),"#N/A")</f>
        <v>#N/A</v>
      </c>
      <c r="K1832" s="7">
        <v>992.8</v>
      </c>
      <c r="L1832" s="8" t="str">
        <f ca="1">IFERROR(__xludf.DUMMYFUNCTION("GOOGLEFINANCE(""NSE:""&amp;D1832,""price"")"),"#N/A")</f>
        <v>#N/A</v>
      </c>
      <c r="M1832" s="9" t="e">
        <f t="shared" ca="1" si="37"/>
        <v>#VALUE!</v>
      </c>
      <c r="N1832" s="10" t="e">
        <f t="shared" ca="1" si="38"/>
        <v>#VALUE!</v>
      </c>
      <c r="O1832" s="7" t="str">
        <f ca="1">IFERROR(__xludf.DUMMYFUNCTION("GOOGLEFINANCE(""NSE:""&amp;D1832,""pe"")"),"#N/A")</f>
        <v>#N/A</v>
      </c>
      <c r="P1832" s="7" t="str">
        <f ca="1">IFERROR(__xludf.DUMMYFUNCTION("GOOGLEFINANCE(""NSE:""&amp;D1832,""EPS"")"),"#N/A")</f>
        <v>#N/A</v>
      </c>
      <c r="Q1832" s="7">
        <v>13.5</v>
      </c>
      <c r="R1832" s="7" t="str">
        <f ca="1">IFERROR(__xludf.DUMMYFUNCTION("IMPORTXML(E1832,""/html/body/main/div[3]/div[3]/div[2]/ul/li[7]/span[2]/span"")"),"Loading...")</f>
        <v>Loading...</v>
      </c>
      <c r="S1832" s="7" t="str">
        <f ca="1">IFERROR(__xludf.DUMMYFUNCTION("IMPORTXML(E1832,""/html/body/main/div[3]/div[3]/div[2]/ul/li[8]/span[2]/span"")"),"Loading...")</f>
        <v>Loading...</v>
      </c>
      <c r="T1832" s="4">
        <v>34.6</v>
      </c>
      <c r="U1832" s="4">
        <v>22.7</v>
      </c>
      <c r="V1832" s="4">
        <v>2.6</v>
      </c>
      <c r="W1832" s="4">
        <v>5.7</v>
      </c>
      <c r="X1832" s="4">
        <v>519.92999999999995</v>
      </c>
      <c r="Y1832" s="7" t="e">
        <f t="shared" ca="1" si="39"/>
        <v>#VALUE!</v>
      </c>
    </row>
    <row r="1833" spans="1:25" ht="15" x14ac:dyDescent="0.25">
      <c r="A1833" s="4">
        <v>1465</v>
      </c>
      <c r="C1833" s="12" t="s">
        <v>3985</v>
      </c>
      <c r="D1833" s="12" t="s">
        <v>3986</v>
      </c>
      <c r="E1833" s="5" t="str">
        <f t="shared" si="35"/>
        <v>https://www.screener.in/company/ORIENTCER/consolidated/</v>
      </c>
      <c r="F1833" s="4">
        <v>443059</v>
      </c>
      <c r="G1833" s="4">
        <v>3832241897</v>
      </c>
      <c r="H1833" s="6">
        <f t="shared" ca="1" si="36"/>
        <v>14888.259769845001</v>
      </c>
      <c r="I1833" s="7" t="str">
        <f ca="1">IFERROR(__xludf.DUMMYFUNCTION("IMPORTXML(E1833,""/html/body/main/div[3]/div[3]/div[2]/ul/li[5]/span[2]/span"")"),"Loading...")</f>
        <v>Loading...</v>
      </c>
      <c r="J1833" s="7">
        <f ca="1">IFERROR(__xludf.DUMMYFUNCTION("GOOGLEFINANCE(""NSE:""&amp;D1833,""marketcap"")"),4620466000)</f>
        <v>4620466000</v>
      </c>
      <c r="K1833" s="7">
        <v>992.8</v>
      </c>
      <c r="L1833" s="8">
        <f ca="1">IFERROR(__xludf.DUMMYFUNCTION("GOOGLEFINANCE(""NSE:""&amp;D1833,""price"")"),38.85)</f>
        <v>38.85</v>
      </c>
      <c r="M1833" s="9">
        <f t="shared" ca="1" si="37"/>
        <v>-953.94999999999993</v>
      </c>
      <c r="N1833" s="10">
        <f t="shared" ca="1" si="38"/>
        <v>-96.086825141015311</v>
      </c>
      <c r="O1833" s="7" t="str">
        <f ca="1">IFERROR(__xludf.DUMMYFUNCTION("GOOGLEFINANCE(""NSE:""&amp;D1833,""pe"")"),"#N/A")</f>
        <v>#N/A</v>
      </c>
      <c r="P1833" s="7" t="str">
        <f ca="1">IFERROR(__xludf.DUMMYFUNCTION("GOOGLEFINANCE(""NSE:""&amp;D1833,""EPS"")"),"#N/A")</f>
        <v>#N/A</v>
      </c>
      <c r="Q1833" s="7">
        <v>13.5</v>
      </c>
      <c r="R1833" s="7" t="str">
        <f ca="1">IFERROR(__xludf.DUMMYFUNCTION("IMPORTXML(E1833,""/html/body/main/div[3]/div[3]/div[2]/ul/li[7]/span[2]/span"")"),"Loading...")</f>
        <v>Loading...</v>
      </c>
      <c r="S1833" s="7" t="str">
        <f ca="1">IFERROR(__xludf.DUMMYFUNCTION("IMPORTXML(E1833,""/html/body/main/div[3]/div[3]/div[2]/ul/li[8]/span[2]/span"")"),"Loading...")</f>
        <v>Loading...</v>
      </c>
      <c r="T1833" s="4">
        <v>34.6</v>
      </c>
      <c r="U1833" s="4">
        <v>22.7</v>
      </c>
      <c r="V1833" s="4">
        <v>2.6</v>
      </c>
      <c r="W1833" s="4">
        <v>5.7</v>
      </c>
      <c r="X1833" s="4">
        <v>519.92999999999995</v>
      </c>
      <c r="Y1833" s="7">
        <f t="shared" ca="1" si="39"/>
        <v>-481.07999999999993</v>
      </c>
    </row>
    <row r="1834" spans="1:25" ht="15" x14ac:dyDescent="0.25">
      <c r="A1834" s="4">
        <v>1466</v>
      </c>
      <c r="C1834" s="41" t="s">
        <v>3987</v>
      </c>
      <c r="D1834" s="42"/>
      <c r="E1834" s="5" t="str">
        <f t="shared" si="35"/>
        <v>https://www.screener.in/company//consolidated/</v>
      </c>
      <c r="F1834" s="4">
        <v>443059</v>
      </c>
      <c r="G1834" s="4">
        <v>3832241897</v>
      </c>
      <c r="H1834" s="6" t="e">
        <f t="shared" ca="1" si="36"/>
        <v>#VALUE!</v>
      </c>
      <c r="I1834" s="7" t="str">
        <f ca="1">IFERROR(__xludf.DUMMYFUNCTION("IMPORTXML(E1834,""/html/body/main/div[3]/div[3]/div[2]/ul/li[5]/span[2]/span"")"),"Loading...")</f>
        <v>Loading...</v>
      </c>
      <c r="J1834" s="7" t="str">
        <f ca="1">IFERROR(__xludf.DUMMYFUNCTION("GOOGLEFINANCE(""NSE:""&amp;D1834,""marketcap"")"),"#N/A")</f>
        <v>#N/A</v>
      </c>
      <c r="K1834" s="7">
        <v>992.8</v>
      </c>
      <c r="L1834" s="8" t="str">
        <f ca="1">IFERROR(__xludf.DUMMYFUNCTION("GOOGLEFINANCE(""NSE:""&amp;D1834,""price"")"),"#N/A")</f>
        <v>#N/A</v>
      </c>
      <c r="M1834" s="9" t="e">
        <f t="shared" ca="1" si="37"/>
        <v>#VALUE!</v>
      </c>
      <c r="N1834" s="10" t="e">
        <f t="shared" ca="1" si="38"/>
        <v>#VALUE!</v>
      </c>
      <c r="O1834" s="7" t="str">
        <f ca="1">IFERROR(__xludf.DUMMYFUNCTION("GOOGLEFINANCE(""NSE:""&amp;D1834,""pe"")"),"#N/A")</f>
        <v>#N/A</v>
      </c>
      <c r="P1834" s="7" t="str">
        <f ca="1">IFERROR(__xludf.DUMMYFUNCTION("GOOGLEFINANCE(""NSE:""&amp;D1834,""EPS"")"),"#N/A")</f>
        <v>#N/A</v>
      </c>
      <c r="Q1834" s="7">
        <v>13.5</v>
      </c>
      <c r="R1834" s="7" t="str">
        <f ca="1">IFERROR(__xludf.DUMMYFUNCTION("IMPORTXML(E1834,""/html/body/main/div[3]/div[3]/div[2]/ul/li[7]/span[2]/span"")"),"Loading...")</f>
        <v>Loading...</v>
      </c>
      <c r="S1834" s="7" t="str">
        <f ca="1">IFERROR(__xludf.DUMMYFUNCTION("IMPORTXML(E1834,""/html/body/main/div[3]/div[3]/div[2]/ul/li[8]/span[2]/span"")"),"Loading...")</f>
        <v>Loading...</v>
      </c>
      <c r="T1834" s="4">
        <v>34.6</v>
      </c>
      <c r="U1834" s="4">
        <v>22.7</v>
      </c>
      <c r="V1834" s="4">
        <v>2.6</v>
      </c>
      <c r="W1834" s="4">
        <v>5.7</v>
      </c>
      <c r="X1834" s="4">
        <v>519.92999999999995</v>
      </c>
      <c r="Y1834" s="7" t="e">
        <f t="shared" ca="1" si="39"/>
        <v>#VALUE!</v>
      </c>
    </row>
    <row r="1835" spans="1:25" ht="15" x14ac:dyDescent="0.25">
      <c r="A1835" s="4">
        <v>1468</v>
      </c>
      <c r="C1835" s="41" t="s">
        <v>3988</v>
      </c>
      <c r="D1835" s="42"/>
      <c r="E1835" s="5" t="str">
        <f t="shared" si="35"/>
        <v>https://www.screener.in/company//consolidated/</v>
      </c>
      <c r="F1835" s="4">
        <v>443059</v>
      </c>
      <c r="G1835" s="4">
        <v>3832241897</v>
      </c>
      <c r="H1835" s="6" t="e">
        <f t="shared" ca="1" si="36"/>
        <v>#VALUE!</v>
      </c>
      <c r="I1835" s="7" t="str">
        <f ca="1">IFERROR(__xludf.DUMMYFUNCTION("IMPORTXML(E1835,""/html/body/main/div[3]/div[3]/div[2]/ul/li[5]/span[2]/span"")"),"Loading...")</f>
        <v>Loading...</v>
      </c>
      <c r="J1835" s="7" t="str">
        <f ca="1">IFERROR(__xludf.DUMMYFUNCTION("GOOGLEFINANCE(""NSE:""&amp;D1835,""marketcap"")"),"#N/A")</f>
        <v>#N/A</v>
      </c>
      <c r="K1835" s="7">
        <v>992.8</v>
      </c>
      <c r="L1835" s="8" t="str">
        <f ca="1">IFERROR(__xludf.DUMMYFUNCTION("GOOGLEFINANCE(""NSE:""&amp;D1835,""price"")"),"#N/A")</f>
        <v>#N/A</v>
      </c>
      <c r="M1835" s="9" t="e">
        <f t="shared" ca="1" si="37"/>
        <v>#VALUE!</v>
      </c>
      <c r="N1835" s="10" t="e">
        <f t="shared" ca="1" si="38"/>
        <v>#VALUE!</v>
      </c>
      <c r="O1835" s="7" t="str">
        <f ca="1">IFERROR(__xludf.DUMMYFUNCTION("GOOGLEFINANCE(""NSE:""&amp;D1835,""pe"")"),"#N/A")</f>
        <v>#N/A</v>
      </c>
      <c r="P1835" s="7" t="str">
        <f ca="1">IFERROR(__xludf.DUMMYFUNCTION("GOOGLEFINANCE(""NSE:""&amp;D1835,""EPS"")"),"#N/A")</f>
        <v>#N/A</v>
      </c>
      <c r="Q1835" s="7">
        <v>13.5</v>
      </c>
      <c r="R1835" s="7" t="str">
        <f ca="1">IFERROR(__xludf.DUMMYFUNCTION("IMPORTXML(E1835,""/html/body/main/div[3]/div[3]/div[2]/ul/li[7]/span[2]/span"")"),"Loading...")</f>
        <v>Loading...</v>
      </c>
      <c r="S1835" s="7" t="str">
        <f ca="1">IFERROR(__xludf.DUMMYFUNCTION("IMPORTXML(E1835,""/html/body/main/div[3]/div[3]/div[2]/ul/li[8]/span[2]/span"")"),"Loading...")</f>
        <v>Loading...</v>
      </c>
      <c r="T1835" s="4">
        <v>34.6</v>
      </c>
      <c r="U1835" s="4">
        <v>22.7</v>
      </c>
      <c r="V1835" s="4">
        <v>2.6</v>
      </c>
      <c r="W1835" s="4">
        <v>5.7</v>
      </c>
      <c r="X1835" s="4">
        <v>519.92999999999995</v>
      </c>
      <c r="Y1835" s="7" t="e">
        <f t="shared" ca="1" si="39"/>
        <v>#VALUE!</v>
      </c>
    </row>
    <row r="1836" spans="1:25" ht="15" x14ac:dyDescent="0.25">
      <c r="A1836" s="4">
        <v>1469</v>
      </c>
      <c r="C1836" s="41" t="s">
        <v>3989</v>
      </c>
      <c r="D1836" s="42"/>
      <c r="E1836" s="5" t="str">
        <f t="shared" si="35"/>
        <v>https://www.screener.in/company//consolidated/</v>
      </c>
      <c r="F1836" s="4">
        <v>443059</v>
      </c>
      <c r="G1836" s="4">
        <v>3832241897</v>
      </c>
      <c r="H1836" s="6" t="e">
        <f t="shared" ca="1" si="36"/>
        <v>#VALUE!</v>
      </c>
      <c r="I1836" s="7" t="str">
        <f ca="1">IFERROR(__xludf.DUMMYFUNCTION("IMPORTXML(E1836,""/html/body/main/div[3]/div[3]/div[2]/ul/li[5]/span[2]/span"")"),"Loading...")</f>
        <v>Loading...</v>
      </c>
      <c r="J1836" s="7" t="str">
        <f ca="1">IFERROR(__xludf.DUMMYFUNCTION("GOOGLEFINANCE(""NSE:""&amp;D1836,""marketcap"")"),"#N/A")</f>
        <v>#N/A</v>
      </c>
      <c r="K1836" s="7">
        <v>992.8</v>
      </c>
      <c r="L1836" s="8" t="str">
        <f ca="1">IFERROR(__xludf.DUMMYFUNCTION("GOOGLEFINANCE(""NSE:""&amp;D1836,""price"")"),"#N/A")</f>
        <v>#N/A</v>
      </c>
      <c r="M1836" s="9" t="e">
        <f t="shared" ca="1" si="37"/>
        <v>#VALUE!</v>
      </c>
      <c r="N1836" s="10" t="e">
        <f t="shared" ca="1" si="38"/>
        <v>#VALUE!</v>
      </c>
      <c r="O1836" s="7" t="str">
        <f ca="1">IFERROR(__xludf.DUMMYFUNCTION("GOOGLEFINANCE(""NSE:""&amp;D1836,""pe"")"),"#N/A")</f>
        <v>#N/A</v>
      </c>
      <c r="P1836" s="7" t="str">
        <f ca="1">IFERROR(__xludf.DUMMYFUNCTION("GOOGLEFINANCE(""NSE:""&amp;D1836,""EPS"")"),"#N/A")</f>
        <v>#N/A</v>
      </c>
      <c r="Q1836" s="7">
        <v>13.5</v>
      </c>
      <c r="R1836" s="7" t="str">
        <f ca="1">IFERROR(__xludf.DUMMYFUNCTION("IMPORTXML(E1836,""/html/body/main/div[3]/div[3]/div[2]/ul/li[7]/span[2]/span"")"),"Loading...")</f>
        <v>Loading...</v>
      </c>
      <c r="S1836" s="7" t="str">
        <f ca="1">IFERROR(__xludf.DUMMYFUNCTION("IMPORTXML(E1836,""/html/body/main/div[3]/div[3]/div[2]/ul/li[8]/span[2]/span"")"),"Loading...")</f>
        <v>Loading...</v>
      </c>
      <c r="T1836" s="4">
        <v>34.6</v>
      </c>
      <c r="U1836" s="4">
        <v>22.7</v>
      </c>
      <c r="V1836" s="4">
        <v>2.6</v>
      </c>
      <c r="W1836" s="4">
        <v>5.7</v>
      </c>
      <c r="X1836" s="4">
        <v>519.92999999999995</v>
      </c>
      <c r="Y1836" s="7" t="e">
        <f t="shared" ca="1" si="39"/>
        <v>#VALUE!</v>
      </c>
    </row>
    <row r="1837" spans="1:25" ht="15" x14ac:dyDescent="0.25">
      <c r="A1837" s="4">
        <v>1474</v>
      </c>
      <c r="C1837" s="41" t="s">
        <v>3990</v>
      </c>
      <c r="D1837" s="42"/>
      <c r="E1837" s="5" t="str">
        <f t="shared" si="35"/>
        <v>https://www.screener.in/company//consolidated/</v>
      </c>
      <c r="F1837" s="4">
        <v>443059</v>
      </c>
      <c r="G1837" s="4">
        <v>3832241897</v>
      </c>
      <c r="H1837" s="6" t="e">
        <f t="shared" ca="1" si="36"/>
        <v>#VALUE!</v>
      </c>
      <c r="I1837" s="7" t="str">
        <f ca="1">IFERROR(__xludf.DUMMYFUNCTION("IMPORTXML(E1837,""/html/body/main/div[3]/div[3]/div[2]/ul/li[5]/span[2]/span"")"),"Loading...")</f>
        <v>Loading...</v>
      </c>
      <c r="J1837" s="7" t="str">
        <f ca="1">IFERROR(__xludf.DUMMYFUNCTION("GOOGLEFINANCE(""NSE:""&amp;D1837,""marketcap"")"),"#N/A")</f>
        <v>#N/A</v>
      </c>
      <c r="K1837" s="7">
        <v>992.8</v>
      </c>
      <c r="L1837" s="8" t="str">
        <f ca="1">IFERROR(__xludf.DUMMYFUNCTION("GOOGLEFINANCE(""NSE:""&amp;D1837,""price"")"),"#N/A")</f>
        <v>#N/A</v>
      </c>
      <c r="M1837" s="9" t="e">
        <f t="shared" ca="1" si="37"/>
        <v>#VALUE!</v>
      </c>
      <c r="N1837" s="10" t="e">
        <f t="shared" ca="1" si="38"/>
        <v>#VALUE!</v>
      </c>
      <c r="O1837" s="7" t="str">
        <f ca="1">IFERROR(__xludf.DUMMYFUNCTION("GOOGLEFINANCE(""NSE:""&amp;D1837,""pe"")"),"#N/A")</f>
        <v>#N/A</v>
      </c>
      <c r="P1837" s="7" t="str">
        <f ca="1">IFERROR(__xludf.DUMMYFUNCTION("GOOGLEFINANCE(""NSE:""&amp;D1837,""EPS"")"),"#N/A")</f>
        <v>#N/A</v>
      </c>
      <c r="Q1837" s="7">
        <v>13.5</v>
      </c>
      <c r="R1837" s="7" t="str">
        <f ca="1">IFERROR(__xludf.DUMMYFUNCTION("IMPORTXML(E1837,""/html/body/main/div[3]/div[3]/div[2]/ul/li[7]/span[2]/span"")"),"Loading...")</f>
        <v>Loading...</v>
      </c>
      <c r="S1837" s="7" t="str">
        <f ca="1">IFERROR(__xludf.DUMMYFUNCTION("IMPORTXML(E1837,""/html/body/main/div[3]/div[3]/div[2]/ul/li[8]/span[2]/span"")"),"Loading...")</f>
        <v>Loading...</v>
      </c>
      <c r="T1837" s="4">
        <v>34.6</v>
      </c>
      <c r="U1837" s="4">
        <v>22.7</v>
      </c>
      <c r="V1837" s="4">
        <v>2.6</v>
      </c>
      <c r="W1837" s="4">
        <v>5.7</v>
      </c>
      <c r="X1837" s="4">
        <v>519.92999999999995</v>
      </c>
      <c r="Y1837" s="7" t="e">
        <f t="shared" ca="1" si="39"/>
        <v>#VALUE!</v>
      </c>
    </row>
    <row r="1838" spans="1:25" ht="15" x14ac:dyDescent="0.25">
      <c r="A1838" s="4">
        <v>1477</v>
      </c>
      <c r="C1838" s="12" t="s">
        <v>3991</v>
      </c>
      <c r="D1838" s="12" t="s">
        <v>3992</v>
      </c>
      <c r="E1838" s="5" t="str">
        <f t="shared" si="35"/>
        <v>https://www.screener.in/company/HTMEDIA/consolidated/</v>
      </c>
      <c r="F1838" s="4">
        <v>443059</v>
      </c>
      <c r="G1838" s="4">
        <v>3832241897</v>
      </c>
      <c r="H1838" s="6">
        <f t="shared" ca="1" si="36"/>
        <v>9963.8289322000001</v>
      </c>
      <c r="I1838" s="7" t="str">
        <f ca="1">IFERROR(__xludf.DUMMYFUNCTION("IMPORTXML(E1838,""/html/body/main/div[3]/div[3]/div[2]/ul/li[5]/span[2]/span"")"),"Loading...")</f>
        <v>Loading...</v>
      </c>
      <c r="J1838" s="7">
        <f ca="1">IFERROR(__xludf.DUMMYFUNCTION("GOOGLEFINANCE(""NSE:""&amp;D1838,""marketcap"")"),6051493888)</f>
        <v>6051493888</v>
      </c>
      <c r="K1838" s="7">
        <v>992.8</v>
      </c>
      <c r="L1838" s="8">
        <f ca="1">IFERROR(__xludf.DUMMYFUNCTION("GOOGLEFINANCE(""NSE:""&amp;D1838,""price"")"),26)</f>
        <v>26</v>
      </c>
      <c r="M1838" s="9">
        <f t="shared" ca="1" si="37"/>
        <v>-966.8</v>
      </c>
      <c r="N1838" s="10">
        <f t="shared" ca="1" si="38"/>
        <v>-97.381144238517322</v>
      </c>
      <c r="O1838" s="7">
        <f ca="1">IFERROR(__xludf.DUMMYFUNCTION("GOOGLEFINANCE(""NSE:""&amp;D1838,""pe"")"),43.33)</f>
        <v>43.33</v>
      </c>
      <c r="P1838" s="7">
        <f ca="1">IFERROR(__xludf.DUMMYFUNCTION("GOOGLEFINANCE(""NSE:""&amp;D1838,""EPS"")"),0.6)</f>
        <v>0.6</v>
      </c>
      <c r="Q1838" s="7">
        <v>13.5</v>
      </c>
      <c r="R1838" s="7" t="str">
        <f ca="1">IFERROR(__xludf.DUMMYFUNCTION("IMPORTXML(E1838,""/html/body/main/div[3]/div[3]/div[2]/ul/li[7]/span[2]/span"")"),"Loading...")</f>
        <v>Loading...</v>
      </c>
      <c r="S1838" s="7" t="str">
        <f ca="1">IFERROR(__xludf.DUMMYFUNCTION("IMPORTXML(E1838,""/html/body/main/div[3]/div[3]/div[2]/ul/li[8]/span[2]/span"")"),"Loading...")</f>
        <v>Loading...</v>
      </c>
      <c r="T1838" s="4">
        <v>34.6</v>
      </c>
      <c r="U1838" s="4">
        <v>22.7</v>
      </c>
      <c r="V1838" s="4">
        <v>2.6</v>
      </c>
      <c r="W1838" s="4">
        <v>5.7</v>
      </c>
      <c r="X1838" s="4">
        <v>519.92999999999995</v>
      </c>
      <c r="Y1838" s="7">
        <f t="shared" ca="1" si="39"/>
        <v>-493.92999999999995</v>
      </c>
    </row>
    <row r="1839" spans="1:25" ht="15" x14ac:dyDescent="0.25">
      <c r="A1839" s="4">
        <v>1479</v>
      </c>
      <c r="C1839" s="41" t="s">
        <v>3993</v>
      </c>
      <c r="D1839" s="42"/>
      <c r="E1839" s="5" t="str">
        <f t="shared" si="35"/>
        <v>https://www.screener.in/company//consolidated/</v>
      </c>
      <c r="F1839" s="4">
        <v>443059</v>
      </c>
      <c r="G1839" s="4">
        <v>3832241897</v>
      </c>
      <c r="H1839" s="6" t="e">
        <f t="shared" ca="1" si="36"/>
        <v>#VALUE!</v>
      </c>
      <c r="I1839" s="7" t="str">
        <f ca="1">IFERROR(__xludf.DUMMYFUNCTION("IMPORTXML(E1839,""/html/body/main/div[3]/div[3]/div[2]/ul/li[5]/span[2]/span"")"),"Loading...")</f>
        <v>Loading...</v>
      </c>
      <c r="J1839" s="7" t="str">
        <f ca="1">IFERROR(__xludf.DUMMYFUNCTION("GOOGLEFINANCE(""NSE:""&amp;D1839,""marketcap"")"),"#N/A")</f>
        <v>#N/A</v>
      </c>
      <c r="K1839" s="7">
        <v>992.8</v>
      </c>
      <c r="L1839" s="8" t="str">
        <f ca="1">IFERROR(__xludf.DUMMYFUNCTION("GOOGLEFINANCE(""NSE:""&amp;D1839,""price"")"),"#N/A")</f>
        <v>#N/A</v>
      </c>
      <c r="M1839" s="9" t="e">
        <f t="shared" ca="1" si="37"/>
        <v>#VALUE!</v>
      </c>
      <c r="N1839" s="10" t="e">
        <f t="shared" ca="1" si="38"/>
        <v>#VALUE!</v>
      </c>
      <c r="O1839" s="7" t="str">
        <f ca="1">IFERROR(__xludf.DUMMYFUNCTION("GOOGLEFINANCE(""NSE:""&amp;D1839,""pe"")"),"#N/A")</f>
        <v>#N/A</v>
      </c>
      <c r="P1839" s="7" t="str">
        <f ca="1">IFERROR(__xludf.DUMMYFUNCTION("GOOGLEFINANCE(""NSE:""&amp;D1839,""EPS"")"),"#N/A")</f>
        <v>#N/A</v>
      </c>
      <c r="Q1839" s="7">
        <v>13.5</v>
      </c>
      <c r="R1839" s="7" t="str">
        <f ca="1">IFERROR(__xludf.DUMMYFUNCTION("IMPORTXML(E1839,""/html/body/main/div[3]/div[3]/div[2]/ul/li[7]/span[2]/span"")"),"Loading...")</f>
        <v>Loading...</v>
      </c>
      <c r="S1839" s="7" t="str">
        <f ca="1">IFERROR(__xludf.DUMMYFUNCTION("IMPORTXML(E1839,""/html/body/main/div[3]/div[3]/div[2]/ul/li[8]/span[2]/span"")"),"Loading...")</f>
        <v>Loading...</v>
      </c>
      <c r="T1839" s="4">
        <v>34.6</v>
      </c>
      <c r="U1839" s="4">
        <v>22.7</v>
      </c>
      <c r="V1839" s="4">
        <v>2.6</v>
      </c>
      <c r="W1839" s="4">
        <v>5.7</v>
      </c>
      <c r="X1839" s="4">
        <v>519.92999999999995</v>
      </c>
      <c r="Y1839" s="7" t="e">
        <f t="shared" ca="1" si="39"/>
        <v>#VALUE!</v>
      </c>
    </row>
    <row r="1840" spans="1:25" ht="15" x14ac:dyDescent="0.25">
      <c r="A1840" s="4">
        <v>1482</v>
      </c>
      <c r="C1840" s="12" t="s">
        <v>3994</v>
      </c>
      <c r="D1840" s="12" t="s">
        <v>3995</v>
      </c>
      <c r="E1840" s="5" t="str">
        <f t="shared" si="35"/>
        <v>https://www.screener.in/company/RCOM/consolidated/</v>
      </c>
      <c r="F1840" s="4">
        <v>443059</v>
      </c>
      <c r="G1840" s="4">
        <v>3832241897</v>
      </c>
      <c r="H1840" s="6">
        <f t="shared" ca="1" si="36"/>
        <v>544.17834937399994</v>
      </c>
      <c r="I1840" s="7" t="str">
        <f ca="1">IFERROR(__xludf.DUMMYFUNCTION("IMPORTXML(E1840,""/html/body/main/div[3]/div[3]/div[2]/ul/li[5]/span[2]/span"")"),"Loading...")</f>
        <v>Loading...</v>
      </c>
      <c r="J1840" s="7">
        <f ca="1">IFERROR(__xludf.DUMMYFUNCTION("GOOGLEFINANCE(""NSE:""&amp;D1840,""marketcap"")"),3787070291)</f>
        <v>3787070291</v>
      </c>
      <c r="K1840" s="7">
        <v>992.8</v>
      </c>
      <c r="L1840" s="8">
        <f ca="1">IFERROR(__xludf.DUMMYFUNCTION("GOOGLEFINANCE(""NSE:""&amp;D1840,""price"")"),1.42)</f>
        <v>1.42</v>
      </c>
      <c r="M1840" s="9">
        <f t="shared" ca="1" si="37"/>
        <v>-991.38</v>
      </c>
      <c r="N1840" s="10">
        <f t="shared" ca="1" si="38"/>
        <v>-99.856970185334418</v>
      </c>
      <c r="O1840" s="7" t="str">
        <f ca="1">IFERROR(__xludf.DUMMYFUNCTION("GOOGLEFINANCE(""NSE:""&amp;D1840,""pe"")"),"#N/A")</f>
        <v>#N/A</v>
      </c>
      <c r="P1840" s="7">
        <f ca="1">IFERROR(__xludf.DUMMYFUNCTION("GOOGLEFINANCE(""NSE:""&amp;D1840,""EPS"")"),-35.45)</f>
        <v>-35.450000000000003</v>
      </c>
      <c r="Q1840" s="7">
        <v>13.5</v>
      </c>
      <c r="R1840" s="7" t="str">
        <f ca="1">IFERROR(__xludf.DUMMYFUNCTION("IMPORTXML(E1840,""/html/body/main/div[3]/div[3]/div[2]/ul/li[7]/span[2]/span"")"),"Loading...")</f>
        <v>Loading...</v>
      </c>
      <c r="S1840" s="7" t="str">
        <f ca="1">IFERROR(__xludf.DUMMYFUNCTION("IMPORTXML(E1840,""/html/body/main/div[3]/div[3]/div[2]/ul/li[8]/span[2]/span"")"),"Loading...")</f>
        <v>Loading...</v>
      </c>
      <c r="T1840" s="4">
        <v>34.6</v>
      </c>
      <c r="U1840" s="4">
        <v>22.7</v>
      </c>
      <c r="V1840" s="4">
        <v>2.6</v>
      </c>
      <c r="W1840" s="4">
        <v>5.7</v>
      </c>
      <c r="X1840" s="4">
        <v>519.92999999999995</v>
      </c>
      <c r="Y1840" s="7">
        <f t="shared" ca="1" si="39"/>
        <v>-518.51</v>
      </c>
    </row>
    <row r="1841" spans="1:25" ht="15" x14ac:dyDescent="0.25">
      <c r="A1841" s="4">
        <v>1484</v>
      </c>
      <c r="C1841" s="41" t="s">
        <v>3996</v>
      </c>
      <c r="D1841" s="42"/>
      <c r="E1841" s="5" t="str">
        <f t="shared" si="35"/>
        <v>https://www.screener.in/company//consolidated/</v>
      </c>
      <c r="F1841" s="4">
        <v>443059</v>
      </c>
      <c r="G1841" s="4">
        <v>3832241897</v>
      </c>
      <c r="H1841" s="6" t="e">
        <f t="shared" ca="1" si="36"/>
        <v>#VALUE!</v>
      </c>
      <c r="I1841" s="7" t="str">
        <f ca="1">IFERROR(__xludf.DUMMYFUNCTION("IMPORTXML(E1841,""/html/body/main/div[3]/div[3]/div[2]/ul/li[5]/span[2]/span"")"),"Loading...")</f>
        <v>Loading...</v>
      </c>
      <c r="J1841" s="7" t="str">
        <f ca="1">IFERROR(__xludf.DUMMYFUNCTION("GOOGLEFINANCE(""NSE:""&amp;D1841,""marketcap"")"),"#N/A")</f>
        <v>#N/A</v>
      </c>
      <c r="K1841" s="7">
        <v>992.8</v>
      </c>
      <c r="L1841" s="8" t="str">
        <f ca="1">IFERROR(__xludf.DUMMYFUNCTION("GOOGLEFINANCE(""NSE:""&amp;D1841,""price"")"),"#N/A")</f>
        <v>#N/A</v>
      </c>
      <c r="M1841" s="9" t="e">
        <f t="shared" ca="1" si="37"/>
        <v>#VALUE!</v>
      </c>
      <c r="N1841" s="10" t="e">
        <f t="shared" ca="1" si="38"/>
        <v>#VALUE!</v>
      </c>
      <c r="O1841" s="7" t="str">
        <f ca="1">IFERROR(__xludf.DUMMYFUNCTION("GOOGLEFINANCE(""NSE:""&amp;D1841,""pe"")"),"#N/A")</f>
        <v>#N/A</v>
      </c>
      <c r="P1841" s="7" t="str">
        <f ca="1">IFERROR(__xludf.DUMMYFUNCTION("GOOGLEFINANCE(""NSE:""&amp;D1841,""EPS"")"),"#N/A")</f>
        <v>#N/A</v>
      </c>
      <c r="Q1841" s="7">
        <v>13.5</v>
      </c>
      <c r="R1841" s="7" t="str">
        <f ca="1">IFERROR(__xludf.DUMMYFUNCTION("IMPORTXML(E1841,""/html/body/main/div[3]/div[3]/div[2]/ul/li[7]/span[2]/span"")"),"Loading...")</f>
        <v>Loading...</v>
      </c>
      <c r="S1841" s="7" t="str">
        <f ca="1">IFERROR(__xludf.DUMMYFUNCTION("IMPORTXML(E1841,""/html/body/main/div[3]/div[3]/div[2]/ul/li[8]/span[2]/span"")"),"Loading...")</f>
        <v>Loading...</v>
      </c>
      <c r="T1841" s="4">
        <v>34.6</v>
      </c>
      <c r="U1841" s="4">
        <v>22.7</v>
      </c>
      <c r="V1841" s="4">
        <v>2.6</v>
      </c>
      <c r="W1841" s="4">
        <v>5.7</v>
      </c>
      <c r="X1841" s="4">
        <v>519.92999999999995</v>
      </c>
      <c r="Y1841" s="7" t="e">
        <f t="shared" ca="1" si="39"/>
        <v>#VALUE!</v>
      </c>
    </row>
    <row r="1842" spans="1:25" ht="15" x14ac:dyDescent="0.25">
      <c r="A1842" s="4">
        <v>1487</v>
      </c>
      <c r="C1842" s="12" t="s">
        <v>3997</v>
      </c>
      <c r="D1842" s="12" t="s">
        <v>3998</v>
      </c>
      <c r="E1842" s="5" t="str">
        <f t="shared" si="35"/>
        <v>https://www.screener.in/company/HCL-INSYS/consolidated/</v>
      </c>
      <c r="F1842" s="4">
        <v>443059</v>
      </c>
      <c r="G1842" s="4">
        <v>3832241897</v>
      </c>
      <c r="H1842" s="6">
        <f t="shared" ca="1" si="36"/>
        <v>6100.929100024</v>
      </c>
      <c r="I1842" s="7" t="str">
        <f ca="1">IFERROR(__xludf.DUMMYFUNCTION("IMPORTXML(E1842,""/html/body/main/div[3]/div[3]/div[2]/ul/li[5]/span[2]/span"")"),"Loading...")</f>
        <v>Loading...</v>
      </c>
      <c r="J1842" s="7">
        <f ca="1">IFERROR(__xludf.DUMMYFUNCTION("GOOGLEFINANCE(""NSE:""&amp;D1842,""marketcap"")"),5307824000)</f>
        <v>5307824000</v>
      </c>
      <c r="K1842" s="7">
        <v>992.8</v>
      </c>
      <c r="L1842" s="8">
        <f ca="1">IFERROR(__xludf.DUMMYFUNCTION("GOOGLEFINANCE(""NSE:""&amp;D1842,""price"")"),15.92)</f>
        <v>15.92</v>
      </c>
      <c r="M1842" s="9">
        <f t="shared" ca="1" si="37"/>
        <v>-976.88</v>
      </c>
      <c r="N1842" s="10">
        <f t="shared" ca="1" si="38"/>
        <v>-98.396454472199849</v>
      </c>
      <c r="O1842" s="7" t="str">
        <f ca="1">IFERROR(__xludf.DUMMYFUNCTION("GOOGLEFINANCE(""NSE:""&amp;D1842,""pe"")"),"#N/A")</f>
        <v>#N/A</v>
      </c>
      <c r="P1842" s="7">
        <f ca="1">IFERROR(__xludf.DUMMYFUNCTION("GOOGLEFINANCE(""NSE:""&amp;D1842,""EPS"")"),-0.66)</f>
        <v>-0.66</v>
      </c>
      <c r="Q1842" s="7">
        <v>13.5</v>
      </c>
      <c r="R1842" s="7" t="str">
        <f ca="1">IFERROR(__xludf.DUMMYFUNCTION("IMPORTXML(E1842,""/html/body/main/div[3]/div[3]/div[2]/ul/li[7]/span[2]/span"")"),"Loading...")</f>
        <v>Loading...</v>
      </c>
      <c r="S1842" s="7" t="str">
        <f ca="1">IFERROR(__xludf.DUMMYFUNCTION("IMPORTXML(E1842,""/html/body/main/div[3]/div[3]/div[2]/ul/li[8]/span[2]/span"")"),"Loading...")</f>
        <v>Loading...</v>
      </c>
      <c r="T1842" s="4">
        <v>34.6</v>
      </c>
      <c r="U1842" s="4">
        <v>22.7</v>
      </c>
      <c r="V1842" s="4">
        <v>2.6</v>
      </c>
      <c r="W1842" s="4">
        <v>5.7</v>
      </c>
      <c r="X1842" s="4">
        <v>519.92999999999995</v>
      </c>
      <c r="Y1842" s="7">
        <f t="shared" ca="1" si="39"/>
        <v>-504.00999999999993</v>
      </c>
    </row>
    <row r="1843" spans="1:25" ht="15" x14ac:dyDescent="0.25">
      <c r="A1843" s="4">
        <v>1488</v>
      </c>
      <c r="C1843" s="41" t="s">
        <v>3999</v>
      </c>
      <c r="D1843" s="42"/>
      <c r="E1843" s="5" t="str">
        <f t="shared" si="35"/>
        <v>https://www.screener.in/company//consolidated/</v>
      </c>
      <c r="F1843" s="4">
        <v>443059</v>
      </c>
      <c r="G1843" s="4">
        <v>3832241897</v>
      </c>
      <c r="H1843" s="6" t="e">
        <f t="shared" ca="1" si="36"/>
        <v>#VALUE!</v>
      </c>
      <c r="I1843" s="7" t="str">
        <f ca="1">IFERROR(__xludf.DUMMYFUNCTION("IMPORTXML(E1843,""/html/body/main/div[3]/div[3]/div[2]/ul/li[5]/span[2]/span"")"),"Loading...")</f>
        <v>Loading...</v>
      </c>
      <c r="J1843" s="7" t="str">
        <f ca="1">IFERROR(__xludf.DUMMYFUNCTION("GOOGLEFINANCE(""NSE:""&amp;D1843,""marketcap"")"),"#N/A")</f>
        <v>#N/A</v>
      </c>
      <c r="K1843" s="7">
        <v>992.8</v>
      </c>
      <c r="L1843" s="8" t="str">
        <f ca="1">IFERROR(__xludf.DUMMYFUNCTION("GOOGLEFINANCE(""NSE:""&amp;D1843,""price"")"),"#N/A")</f>
        <v>#N/A</v>
      </c>
      <c r="M1843" s="9" t="e">
        <f t="shared" ca="1" si="37"/>
        <v>#VALUE!</v>
      </c>
      <c r="N1843" s="10" t="e">
        <f t="shared" ca="1" si="38"/>
        <v>#VALUE!</v>
      </c>
      <c r="O1843" s="7" t="str">
        <f ca="1">IFERROR(__xludf.DUMMYFUNCTION("GOOGLEFINANCE(""NSE:""&amp;D1843,""pe"")"),"#N/A")</f>
        <v>#N/A</v>
      </c>
      <c r="P1843" s="7" t="str">
        <f ca="1">IFERROR(__xludf.DUMMYFUNCTION("GOOGLEFINANCE(""NSE:""&amp;D1843,""EPS"")"),"#N/A")</f>
        <v>#N/A</v>
      </c>
      <c r="Q1843" s="7">
        <v>13.5</v>
      </c>
      <c r="R1843" s="7" t="str">
        <f ca="1">IFERROR(__xludf.DUMMYFUNCTION("IMPORTXML(E1843,""/html/body/main/div[3]/div[3]/div[2]/ul/li[7]/span[2]/span"")"),"Loading...")</f>
        <v>Loading...</v>
      </c>
      <c r="S1843" s="7" t="str">
        <f ca="1">IFERROR(__xludf.DUMMYFUNCTION("IMPORTXML(E1843,""/html/body/main/div[3]/div[3]/div[2]/ul/li[8]/span[2]/span"")"),"Loading...")</f>
        <v>Loading...</v>
      </c>
      <c r="T1843" s="4">
        <v>34.6</v>
      </c>
      <c r="U1843" s="4">
        <v>22.7</v>
      </c>
      <c r="V1843" s="4">
        <v>2.6</v>
      </c>
      <c r="W1843" s="4">
        <v>5.7</v>
      </c>
      <c r="X1843" s="4">
        <v>519.92999999999995</v>
      </c>
      <c r="Y1843" s="7" t="e">
        <f t="shared" ca="1" si="39"/>
        <v>#VALUE!</v>
      </c>
    </row>
    <row r="1844" spans="1:25" ht="15" x14ac:dyDescent="0.25">
      <c r="A1844" s="4">
        <v>1490</v>
      </c>
      <c r="C1844" s="41" t="s">
        <v>4000</v>
      </c>
      <c r="D1844" s="42"/>
      <c r="E1844" s="5" t="str">
        <f t="shared" si="35"/>
        <v>https://www.screener.in/company//consolidated/</v>
      </c>
      <c r="F1844" s="4">
        <v>443059</v>
      </c>
      <c r="G1844" s="4">
        <v>3832241897</v>
      </c>
      <c r="H1844" s="6" t="e">
        <f t="shared" ca="1" si="36"/>
        <v>#VALUE!</v>
      </c>
      <c r="I1844" s="7" t="str">
        <f ca="1">IFERROR(__xludf.DUMMYFUNCTION("IMPORTXML(E1844,""/html/body/main/div[3]/div[3]/div[2]/ul/li[5]/span[2]/span"")"),"Loading...")</f>
        <v>Loading...</v>
      </c>
      <c r="J1844" s="7" t="str">
        <f ca="1">IFERROR(__xludf.DUMMYFUNCTION("GOOGLEFINANCE(""NSE:""&amp;D1844,""marketcap"")"),"#N/A")</f>
        <v>#N/A</v>
      </c>
      <c r="K1844" s="7">
        <v>992.8</v>
      </c>
      <c r="L1844" s="8" t="str">
        <f ca="1">IFERROR(__xludf.DUMMYFUNCTION("GOOGLEFINANCE(""NSE:""&amp;D1844,""price"")"),"#N/A")</f>
        <v>#N/A</v>
      </c>
      <c r="M1844" s="9" t="e">
        <f t="shared" ca="1" si="37"/>
        <v>#VALUE!</v>
      </c>
      <c r="N1844" s="10" t="e">
        <f t="shared" ca="1" si="38"/>
        <v>#VALUE!</v>
      </c>
      <c r="O1844" s="7" t="str">
        <f ca="1">IFERROR(__xludf.DUMMYFUNCTION("GOOGLEFINANCE(""NSE:""&amp;D1844,""pe"")"),"#N/A")</f>
        <v>#N/A</v>
      </c>
      <c r="P1844" s="7" t="str">
        <f ca="1">IFERROR(__xludf.DUMMYFUNCTION("GOOGLEFINANCE(""NSE:""&amp;D1844,""EPS"")"),"#N/A")</f>
        <v>#N/A</v>
      </c>
      <c r="Q1844" s="7">
        <v>13.5</v>
      </c>
      <c r="R1844" s="7" t="str">
        <f ca="1">IFERROR(__xludf.DUMMYFUNCTION("IMPORTXML(E1844,""/html/body/main/div[3]/div[3]/div[2]/ul/li[7]/span[2]/span"")"),"Loading...")</f>
        <v>Loading...</v>
      </c>
      <c r="S1844" s="7" t="str">
        <f ca="1">IFERROR(__xludf.DUMMYFUNCTION("IMPORTXML(E1844,""/html/body/main/div[3]/div[3]/div[2]/ul/li[8]/span[2]/span"")"),"Loading...")</f>
        <v>Loading...</v>
      </c>
      <c r="T1844" s="4">
        <v>34.6</v>
      </c>
      <c r="U1844" s="4">
        <v>22.7</v>
      </c>
      <c r="V1844" s="4">
        <v>2.6</v>
      </c>
      <c r="W1844" s="4">
        <v>5.7</v>
      </c>
      <c r="X1844" s="4">
        <v>519.92999999999995</v>
      </c>
      <c r="Y1844" s="7" t="e">
        <f t="shared" ca="1" si="39"/>
        <v>#VALUE!</v>
      </c>
    </row>
    <row r="1845" spans="1:25" ht="15" x14ac:dyDescent="0.25">
      <c r="A1845" s="4">
        <v>1491</v>
      </c>
      <c r="C1845" s="41" t="s">
        <v>4001</v>
      </c>
      <c r="D1845" s="42"/>
      <c r="E1845" s="5" t="str">
        <f t="shared" si="35"/>
        <v>https://www.screener.in/company//consolidated/</v>
      </c>
      <c r="F1845" s="4">
        <v>443059</v>
      </c>
      <c r="G1845" s="4">
        <v>3832241897</v>
      </c>
      <c r="H1845" s="6" t="e">
        <f t="shared" ca="1" si="36"/>
        <v>#VALUE!</v>
      </c>
      <c r="I1845" s="7" t="str">
        <f ca="1">IFERROR(__xludf.DUMMYFUNCTION("IMPORTXML(E1845,""/html/body/main/div[3]/div[3]/div[2]/ul/li[5]/span[2]/span"")"),"Loading...")</f>
        <v>Loading...</v>
      </c>
      <c r="J1845" s="7" t="str">
        <f ca="1">IFERROR(__xludf.DUMMYFUNCTION("GOOGLEFINANCE(""NSE:""&amp;D1845,""marketcap"")"),"#N/A")</f>
        <v>#N/A</v>
      </c>
      <c r="K1845" s="7">
        <v>992.8</v>
      </c>
      <c r="L1845" s="8" t="str">
        <f ca="1">IFERROR(__xludf.DUMMYFUNCTION("GOOGLEFINANCE(""NSE:""&amp;D1845,""price"")"),"#N/A")</f>
        <v>#N/A</v>
      </c>
      <c r="M1845" s="9" t="e">
        <f t="shared" ca="1" si="37"/>
        <v>#VALUE!</v>
      </c>
      <c r="N1845" s="10" t="e">
        <f t="shared" ca="1" si="38"/>
        <v>#VALUE!</v>
      </c>
      <c r="O1845" s="7" t="str">
        <f ca="1">IFERROR(__xludf.DUMMYFUNCTION("GOOGLEFINANCE(""NSE:""&amp;D1845,""pe"")"),"#N/A")</f>
        <v>#N/A</v>
      </c>
      <c r="P1845" s="7" t="str">
        <f ca="1">IFERROR(__xludf.DUMMYFUNCTION("GOOGLEFINANCE(""NSE:""&amp;D1845,""EPS"")"),"#N/A")</f>
        <v>#N/A</v>
      </c>
      <c r="Q1845" s="7">
        <v>13.5</v>
      </c>
      <c r="R1845" s="7" t="str">
        <f ca="1">IFERROR(__xludf.DUMMYFUNCTION("IMPORTXML(E1845,""/html/body/main/div[3]/div[3]/div[2]/ul/li[7]/span[2]/span"")"),"Loading...")</f>
        <v>Loading...</v>
      </c>
      <c r="S1845" s="7" t="str">
        <f ca="1">IFERROR(__xludf.DUMMYFUNCTION("IMPORTXML(E1845,""/html/body/main/div[3]/div[3]/div[2]/ul/li[8]/span[2]/span"")"),"Loading...")</f>
        <v>Loading...</v>
      </c>
      <c r="T1845" s="4">
        <v>34.6</v>
      </c>
      <c r="U1845" s="4">
        <v>22.7</v>
      </c>
      <c r="V1845" s="4">
        <v>2.6</v>
      </c>
      <c r="W1845" s="4">
        <v>5.7</v>
      </c>
      <c r="X1845" s="4">
        <v>519.92999999999995</v>
      </c>
      <c r="Y1845" s="7" t="e">
        <f t="shared" ca="1" si="39"/>
        <v>#VALUE!</v>
      </c>
    </row>
    <row r="1846" spans="1:25" ht="15" x14ac:dyDescent="0.25">
      <c r="A1846" s="4">
        <v>1493</v>
      </c>
      <c r="C1846" s="41" t="s">
        <v>4002</v>
      </c>
      <c r="D1846" s="42"/>
      <c r="E1846" s="5" t="str">
        <f t="shared" si="35"/>
        <v>https://www.screener.in/company//consolidated/</v>
      </c>
      <c r="F1846" s="4">
        <v>443059</v>
      </c>
      <c r="G1846" s="4">
        <v>3832241897</v>
      </c>
      <c r="H1846" s="6" t="e">
        <f t="shared" ca="1" si="36"/>
        <v>#VALUE!</v>
      </c>
      <c r="I1846" s="7" t="str">
        <f ca="1">IFERROR(__xludf.DUMMYFUNCTION("IMPORTXML(E1846,""/html/body/main/div[3]/div[3]/div[2]/ul/li[5]/span[2]/span"")"),"Loading...")</f>
        <v>Loading...</v>
      </c>
      <c r="J1846" s="7" t="str">
        <f ca="1">IFERROR(__xludf.DUMMYFUNCTION("GOOGLEFINANCE(""NSE:""&amp;D1846,""marketcap"")"),"#N/A")</f>
        <v>#N/A</v>
      </c>
      <c r="K1846" s="7">
        <v>992.8</v>
      </c>
      <c r="L1846" s="8" t="str">
        <f ca="1">IFERROR(__xludf.DUMMYFUNCTION("GOOGLEFINANCE(""NSE:""&amp;D1846,""price"")"),"#N/A")</f>
        <v>#N/A</v>
      </c>
      <c r="M1846" s="9" t="e">
        <f t="shared" ca="1" si="37"/>
        <v>#VALUE!</v>
      </c>
      <c r="N1846" s="10" t="e">
        <f t="shared" ca="1" si="38"/>
        <v>#VALUE!</v>
      </c>
      <c r="O1846" s="7" t="str">
        <f ca="1">IFERROR(__xludf.DUMMYFUNCTION("GOOGLEFINANCE(""NSE:""&amp;D1846,""pe"")"),"#N/A")</f>
        <v>#N/A</v>
      </c>
      <c r="P1846" s="7" t="str">
        <f ca="1">IFERROR(__xludf.DUMMYFUNCTION("GOOGLEFINANCE(""NSE:""&amp;D1846,""EPS"")"),"#N/A")</f>
        <v>#N/A</v>
      </c>
      <c r="Q1846" s="7">
        <v>13.5</v>
      </c>
      <c r="R1846" s="7" t="str">
        <f ca="1">IFERROR(__xludf.DUMMYFUNCTION("IMPORTXML(E1846,""/html/body/main/div[3]/div[3]/div[2]/ul/li[7]/span[2]/span"")"),"Loading...")</f>
        <v>Loading...</v>
      </c>
      <c r="S1846" s="7" t="str">
        <f ca="1">IFERROR(__xludf.DUMMYFUNCTION("IMPORTXML(E1846,""/html/body/main/div[3]/div[3]/div[2]/ul/li[8]/span[2]/span"")"),"Loading...")</f>
        <v>Loading...</v>
      </c>
      <c r="T1846" s="4">
        <v>34.6</v>
      </c>
      <c r="U1846" s="4">
        <v>22.7</v>
      </c>
      <c r="V1846" s="4">
        <v>2.6</v>
      </c>
      <c r="W1846" s="4">
        <v>5.7</v>
      </c>
      <c r="X1846" s="4">
        <v>519.92999999999995</v>
      </c>
      <c r="Y1846" s="7" t="e">
        <f t="shared" ca="1" si="39"/>
        <v>#VALUE!</v>
      </c>
    </row>
    <row r="1847" spans="1:25" ht="15" x14ac:dyDescent="0.25">
      <c r="A1847" s="4">
        <v>1494</v>
      </c>
      <c r="C1847" s="12" t="s">
        <v>4003</v>
      </c>
      <c r="D1847" s="12" t="s">
        <v>4004</v>
      </c>
      <c r="E1847" s="5" t="str">
        <f t="shared" si="35"/>
        <v>https://www.screener.in/company/KANORICHEM/consolidated/</v>
      </c>
      <c r="F1847" s="4">
        <v>443059</v>
      </c>
      <c r="G1847" s="4">
        <v>3832241897</v>
      </c>
      <c r="H1847" s="6">
        <f t="shared" ca="1" si="36"/>
        <v>31807.607745099998</v>
      </c>
      <c r="I1847" s="7" t="str">
        <f ca="1">IFERROR(__xludf.DUMMYFUNCTION("IMPORTXML(E1847,""/html/body/main/div[3]/div[3]/div[2]/ul/li[5]/span[2]/span"")"),"Loading...")</f>
        <v>Loading...</v>
      </c>
      <c r="J1847" s="7">
        <f ca="1">IFERROR(__xludf.DUMMYFUNCTION("GOOGLEFINANCE(""NSE:""&amp;D1847,""marketcap"")"),3627420000)</f>
        <v>3627420000</v>
      </c>
      <c r="K1847" s="7">
        <v>992.8</v>
      </c>
      <c r="L1847" s="8">
        <f ca="1">IFERROR(__xludf.DUMMYFUNCTION("GOOGLEFINANCE(""NSE:""&amp;D1847,""price"")"),83)</f>
        <v>83</v>
      </c>
      <c r="M1847" s="9">
        <f t="shared" ca="1" si="37"/>
        <v>-909.8</v>
      </c>
      <c r="N1847" s="10">
        <f t="shared" ca="1" si="38"/>
        <v>-91.639806607574542</v>
      </c>
      <c r="O1847" s="7" t="str">
        <f ca="1">IFERROR(__xludf.DUMMYFUNCTION("GOOGLEFINANCE(""NSE:""&amp;D1847,""pe"")"),"#N/A")</f>
        <v>#N/A</v>
      </c>
      <c r="P1847" s="7">
        <f ca="1">IFERROR(__xludf.DUMMYFUNCTION("GOOGLEFINANCE(""NSE:""&amp;D1847,""EPS"")"),-17.11)</f>
        <v>-17.11</v>
      </c>
      <c r="Q1847" s="7">
        <v>13.5</v>
      </c>
      <c r="R1847" s="7" t="str">
        <f ca="1">IFERROR(__xludf.DUMMYFUNCTION("IMPORTXML(E1847,""/html/body/main/div[3]/div[3]/div[2]/ul/li[7]/span[2]/span"")"),"Loading...")</f>
        <v>Loading...</v>
      </c>
      <c r="S1847" s="7" t="str">
        <f ca="1">IFERROR(__xludf.DUMMYFUNCTION("IMPORTXML(E1847,""/html/body/main/div[3]/div[3]/div[2]/ul/li[8]/span[2]/span"")"),"Loading...")</f>
        <v>Loading...</v>
      </c>
      <c r="T1847" s="4">
        <v>34.6</v>
      </c>
      <c r="U1847" s="4">
        <v>22.7</v>
      </c>
      <c r="V1847" s="4">
        <v>2.6</v>
      </c>
      <c r="W1847" s="4">
        <v>5.7</v>
      </c>
      <c r="X1847" s="4">
        <v>519.92999999999995</v>
      </c>
      <c r="Y1847" s="7">
        <f t="shared" ca="1" si="39"/>
        <v>-436.92999999999995</v>
      </c>
    </row>
    <row r="1848" spans="1:25" ht="15" x14ac:dyDescent="0.25">
      <c r="A1848" s="4">
        <v>1496</v>
      </c>
      <c r="C1848" s="41" t="s">
        <v>4005</v>
      </c>
      <c r="D1848" s="42"/>
      <c r="E1848" s="5" t="str">
        <f t="shared" si="35"/>
        <v>https://www.screener.in/company//consolidated/</v>
      </c>
      <c r="F1848" s="4">
        <v>443059</v>
      </c>
      <c r="G1848" s="4">
        <v>3832241897</v>
      </c>
      <c r="H1848" s="6" t="e">
        <f t="shared" ca="1" si="36"/>
        <v>#VALUE!</v>
      </c>
      <c r="I1848" s="7" t="str">
        <f ca="1">IFERROR(__xludf.DUMMYFUNCTION("IMPORTXML(E1848,""/html/body/main/div[3]/div[3]/div[2]/ul/li[5]/span[2]/span"")"),"Loading...")</f>
        <v>Loading...</v>
      </c>
      <c r="J1848" s="7" t="str">
        <f ca="1">IFERROR(__xludf.DUMMYFUNCTION("GOOGLEFINANCE(""NSE:""&amp;D1848,""marketcap"")"),"#N/A")</f>
        <v>#N/A</v>
      </c>
      <c r="K1848" s="7">
        <v>992.8</v>
      </c>
      <c r="L1848" s="8" t="str">
        <f ca="1">IFERROR(__xludf.DUMMYFUNCTION("GOOGLEFINANCE(""NSE:""&amp;D1848,""price"")"),"#N/A")</f>
        <v>#N/A</v>
      </c>
      <c r="M1848" s="9" t="e">
        <f t="shared" ca="1" si="37"/>
        <v>#VALUE!</v>
      </c>
      <c r="N1848" s="10" t="e">
        <f t="shared" ca="1" si="38"/>
        <v>#VALUE!</v>
      </c>
      <c r="O1848" s="7" t="str">
        <f ca="1">IFERROR(__xludf.DUMMYFUNCTION("GOOGLEFINANCE(""NSE:""&amp;D1848,""pe"")"),"#N/A")</f>
        <v>#N/A</v>
      </c>
      <c r="P1848" s="7" t="str">
        <f ca="1">IFERROR(__xludf.DUMMYFUNCTION("GOOGLEFINANCE(""NSE:""&amp;D1848,""EPS"")"),"#N/A")</f>
        <v>#N/A</v>
      </c>
      <c r="Q1848" s="7">
        <v>13.5</v>
      </c>
      <c r="R1848" s="7" t="str">
        <f ca="1">IFERROR(__xludf.DUMMYFUNCTION("IMPORTXML(E1848,""/html/body/main/div[3]/div[3]/div[2]/ul/li[7]/span[2]/span"")"),"Loading...")</f>
        <v>Loading...</v>
      </c>
      <c r="S1848" s="7" t="str">
        <f ca="1">IFERROR(__xludf.DUMMYFUNCTION("IMPORTXML(E1848,""/html/body/main/div[3]/div[3]/div[2]/ul/li[8]/span[2]/span"")"),"Loading...")</f>
        <v>Loading...</v>
      </c>
      <c r="T1848" s="4">
        <v>34.6</v>
      </c>
      <c r="U1848" s="4">
        <v>22.7</v>
      </c>
      <c r="V1848" s="4">
        <v>2.6</v>
      </c>
      <c r="W1848" s="4">
        <v>5.7</v>
      </c>
      <c r="X1848" s="4">
        <v>519.92999999999995</v>
      </c>
      <c r="Y1848" s="7" t="e">
        <f t="shared" ca="1" si="39"/>
        <v>#VALUE!</v>
      </c>
    </row>
    <row r="1849" spans="1:25" ht="15" x14ac:dyDescent="0.25">
      <c r="A1849" s="4">
        <v>1497</v>
      </c>
      <c r="C1849" s="41" t="s">
        <v>4006</v>
      </c>
      <c r="D1849" s="42"/>
      <c r="E1849" s="5" t="str">
        <f t="shared" si="35"/>
        <v>https://www.screener.in/company//consolidated/</v>
      </c>
      <c r="F1849" s="4">
        <v>443059</v>
      </c>
      <c r="G1849" s="4">
        <v>3832241897</v>
      </c>
      <c r="H1849" s="6" t="e">
        <f t="shared" ca="1" si="36"/>
        <v>#VALUE!</v>
      </c>
      <c r="I1849" s="7" t="str">
        <f ca="1">IFERROR(__xludf.DUMMYFUNCTION("IMPORTXML(E1849,""/html/body/main/div[3]/div[3]/div[2]/ul/li[5]/span[2]/span"")"),"Loading...")</f>
        <v>Loading...</v>
      </c>
      <c r="J1849" s="7" t="str">
        <f ca="1">IFERROR(__xludf.DUMMYFUNCTION("GOOGLEFINANCE(""NSE:""&amp;D1849,""marketcap"")"),"#N/A")</f>
        <v>#N/A</v>
      </c>
      <c r="K1849" s="7">
        <v>992.8</v>
      </c>
      <c r="L1849" s="8" t="str">
        <f ca="1">IFERROR(__xludf.DUMMYFUNCTION("GOOGLEFINANCE(""NSE:""&amp;D1849,""price"")"),"#N/A")</f>
        <v>#N/A</v>
      </c>
      <c r="M1849" s="9" t="e">
        <f t="shared" ca="1" si="37"/>
        <v>#VALUE!</v>
      </c>
      <c r="N1849" s="10" t="e">
        <f t="shared" ca="1" si="38"/>
        <v>#VALUE!</v>
      </c>
      <c r="O1849" s="7" t="str">
        <f ca="1">IFERROR(__xludf.DUMMYFUNCTION("GOOGLEFINANCE(""NSE:""&amp;D1849,""pe"")"),"#N/A")</f>
        <v>#N/A</v>
      </c>
      <c r="P1849" s="7" t="str">
        <f ca="1">IFERROR(__xludf.DUMMYFUNCTION("GOOGLEFINANCE(""NSE:""&amp;D1849,""EPS"")"),"#N/A")</f>
        <v>#N/A</v>
      </c>
      <c r="Q1849" s="7">
        <v>13.5</v>
      </c>
      <c r="R1849" s="7" t="str">
        <f ca="1">IFERROR(__xludf.DUMMYFUNCTION("IMPORTXML(E1849,""/html/body/main/div[3]/div[3]/div[2]/ul/li[7]/span[2]/span"")"),"Loading...")</f>
        <v>Loading...</v>
      </c>
      <c r="S1849" s="7" t="str">
        <f ca="1">IFERROR(__xludf.DUMMYFUNCTION("IMPORTXML(E1849,""/html/body/main/div[3]/div[3]/div[2]/ul/li[8]/span[2]/span"")"),"Loading...")</f>
        <v>Loading...</v>
      </c>
      <c r="T1849" s="4">
        <v>34.6</v>
      </c>
      <c r="U1849" s="4">
        <v>22.7</v>
      </c>
      <c r="V1849" s="4">
        <v>2.6</v>
      </c>
      <c r="W1849" s="4">
        <v>5.7</v>
      </c>
      <c r="X1849" s="4">
        <v>519.92999999999995</v>
      </c>
      <c r="Y1849" s="7" t="e">
        <f t="shared" ca="1" si="39"/>
        <v>#VALUE!</v>
      </c>
    </row>
    <row r="1850" spans="1:25" ht="15" x14ac:dyDescent="0.25">
      <c r="A1850" s="4">
        <v>1498</v>
      </c>
      <c r="C1850" s="12" t="s">
        <v>4007</v>
      </c>
      <c r="D1850" s="12" t="s">
        <v>4008</v>
      </c>
      <c r="E1850" s="5" t="str">
        <f t="shared" si="35"/>
        <v>https://www.screener.in/company/SHIVAMAUTO/consolidated/</v>
      </c>
      <c r="F1850" s="4">
        <v>443059</v>
      </c>
      <c r="G1850" s="4">
        <v>3832241897</v>
      </c>
      <c r="H1850" s="6">
        <f t="shared" ca="1" si="36"/>
        <v>10998.534244389999</v>
      </c>
      <c r="I1850" s="7" t="str">
        <f ca="1">IFERROR(__xludf.DUMMYFUNCTION("IMPORTXML(E1850,""/html/body/main/div[3]/div[3]/div[2]/ul/li[5]/span[2]/span"")"),"Loading...")</f>
        <v>Loading...</v>
      </c>
      <c r="J1850" s="7">
        <f ca="1">IFERROR(__xludf.DUMMYFUNCTION("GOOGLEFINANCE(""NSE:""&amp;D1850,""marketcap"")"),3729204000)</f>
        <v>3729204000</v>
      </c>
      <c r="K1850" s="7">
        <v>992.8</v>
      </c>
      <c r="L1850" s="8">
        <f ca="1">IFERROR(__xludf.DUMMYFUNCTION("GOOGLEFINANCE(""NSE:""&amp;D1850,""price"")"),28.7)</f>
        <v>28.7</v>
      </c>
      <c r="M1850" s="9">
        <f t="shared" ca="1" si="37"/>
        <v>-964.09999999999991</v>
      </c>
      <c r="N1850" s="10">
        <f t="shared" ca="1" si="38"/>
        <v>-97.109186140209502</v>
      </c>
      <c r="O1850" s="7" t="str">
        <f ca="1">IFERROR(__xludf.DUMMYFUNCTION("GOOGLEFINANCE(""NSE:""&amp;D1850,""pe"")"),"#N/A")</f>
        <v>#N/A</v>
      </c>
      <c r="P1850" s="7">
        <f ca="1">IFERROR(__xludf.DUMMYFUNCTION("GOOGLEFINANCE(""NSE:""&amp;D1850,""EPS"")"),-4.38)</f>
        <v>-4.38</v>
      </c>
      <c r="Q1850" s="7">
        <v>13.5</v>
      </c>
      <c r="R1850" s="7" t="str">
        <f ca="1">IFERROR(__xludf.DUMMYFUNCTION("IMPORTXML(E1850,""/html/body/main/div[3]/div[3]/div[2]/ul/li[7]/span[2]/span"")"),"Loading...")</f>
        <v>Loading...</v>
      </c>
      <c r="S1850" s="7" t="str">
        <f ca="1">IFERROR(__xludf.DUMMYFUNCTION("IMPORTXML(E1850,""/html/body/main/div[3]/div[3]/div[2]/ul/li[8]/span[2]/span"")"),"Loading...")</f>
        <v>Loading...</v>
      </c>
      <c r="T1850" s="4">
        <v>34.6</v>
      </c>
      <c r="U1850" s="4">
        <v>22.7</v>
      </c>
      <c r="V1850" s="4">
        <v>2.6</v>
      </c>
      <c r="W1850" s="4">
        <v>5.7</v>
      </c>
      <c r="X1850" s="4">
        <v>519.92999999999995</v>
      </c>
      <c r="Y1850" s="7">
        <f t="shared" ca="1" si="39"/>
        <v>-491.22999999999996</v>
      </c>
    </row>
    <row r="1851" spans="1:25" ht="15" x14ac:dyDescent="0.25">
      <c r="A1851" s="4">
        <v>1499</v>
      </c>
      <c r="C1851" s="41" t="s">
        <v>4009</v>
      </c>
      <c r="D1851" s="42"/>
      <c r="E1851" s="5" t="str">
        <f t="shared" si="35"/>
        <v>https://www.screener.in/company//consolidated/</v>
      </c>
      <c r="F1851" s="4">
        <v>443059</v>
      </c>
      <c r="G1851" s="4">
        <v>3832241897</v>
      </c>
      <c r="H1851" s="6" t="e">
        <f t="shared" ca="1" si="36"/>
        <v>#VALUE!</v>
      </c>
      <c r="I1851" s="7" t="str">
        <f ca="1">IFERROR(__xludf.DUMMYFUNCTION("IMPORTXML(E1851,""/html/body/main/div[3]/div[3]/div[2]/ul/li[5]/span[2]/span"")"),"Loading...")</f>
        <v>Loading...</v>
      </c>
      <c r="J1851" s="7" t="str">
        <f ca="1">IFERROR(__xludf.DUMMYFUNCTION("GOOGLEFINANCE(""NSE:""&amp;D1851,""marketcap"")"),"#N/A")</f>
        <v>#N/A</v>
      </c>
      <c r="K1851" s="7">
        <v>992.8</v>
      </c>
      <c r="L1851" s="8" t="str">
        <f ca="1">IFERROR(__xludf.DUMMYFUNCTION("GOOGLEFINANCE(""NSE:""&amp;D1851,""price"")"),"#N/A")</f>
        <v>#N/A</v>
      </c>
      <c r="M1851" s="9" t="e">
        <f t="shared" ca="1" si="37"/>
        <v>#VALUE!</v>
      </c>
      <c r="N1851" s="10" t="e">
        <f t="shared" ca="1" si="38"/>
        <v>#VALUE!</v>
      </c>
      <c r="O1851" s="7" t="str">
        <f ca="1">IFERROR(__xludf.DUMMYFUNCTION("GOOGLEFINANCE(""NSE:""&amp;D1851,""pe"")"),"#N/A")</f>
        <v>#N/A</v>
      </c>
      <c r="P1851" s="7" t="str">
        <f ca="1">IFERROR(__xludf.DUMMYFUNCTION("GOOGLEFINANCE(""NSE:""&amp;D1851,""EPS"")"),"#N/A")</f>
        <v>#N/A</v>
      </c>
      <c r="Q1851" s="7">
        <v>13.5</v>
      </c>
      <c r="R1851" s="7" t="str">
        <f ca="1">IFERROR(__xludf.DUMMYFUNCTION("IMPORTXML(E1851,""/html/body/main/div[3]/div[3]/div[2]/ul/li[7]/span[2]/span"")"),"Loading...")</f>
        <v>Loading...</v>
      </c>
      <c r="S1851" s="7" t="str">
        <f ca="1">IFERROR(__xludf.DUMMYFUNCTION("IMPORTXML(E1851,""/html/body/main/div[3]/div[3]/div[2]/ul/li[8]/span[2]/span"")"),"Loading...")</f>
        <v>Loading...</v>
      </c>
      <c r="T1851" s="4">
        <v>34.6</v>
      </c>
      <c r="U1851" s="4">
        <v>22.7</v>
      </c>
      <c r="V1851" s="4">
        <v>2.6</v>
      </c>
      <c r="W1851" s="4">
        <v>5.7</v>
      </c>
      <c r="X1851" s="4">
        <v>519.92999999999995</v>
      </c>
      <c r="Y1851" s="7" t="e">
        <f t="shared" ca="1" si="39"/>
        <v>#VALUE!</v>
      </c>
    </row>
    <row r="1852" spans="1:25" ht="15" x14ac:dyDescent="0.25">
      <c r="A1852" s="4">
        <v>1504</v>
      </c>
      <c r="C1852" s="12" t="s">
        <v>4010</v>
      </c>
      <c r="D1852" s="12" t="s">
        <v>4011</v>
      </c>
      <c r="E1852" s="5" t="str">
        <f t="shared" si="35"/>
        <v>https://www.screener.in/company/3IINFOLTD/consolidated/</v>
      </c>
      <c r="F1852" s="4">
        <v>443059</v>
      </c>
      <c r="G1852" s="4">
        <v>3832241897</v>
      </c>
      <c r="H1852" s="6">
        <f t="shared" ca="1" si="36"/>
        <v>8929.1236200100011</v>
      </c>
      <c r="I1852" s="7" t="str">
        <f ca="1">IFERROR(__xludf.DUMMYFUNCTION("IMPORTXML(E1852,""/html/body/main/div[3]/div[3]/div[2]/ul/li[5]/span[2]/span"")"),"Loading...")</f>
        <v>Loading...</v>
      </c>
      <c r="J1852" s="7">
        <f ca="1">IFERROR(__xludf.DUMMYFUNCTION("GOOGLEFINANCE(""NSE:""&amp;D1852,""marketcap"")"),3952313630)</f>
        <v>3952313630</v>
      </c>
      <c r="K1852" s="7">
        <v>992.8</v>
      </c>
      <c r="L1852" s="8">
        <f ca="1">IFERROR(__xludf.DUMMYFUNCTION("GOOGLEFINANCE(""NSE:""&amp;D1852,""price"")"),23.3)</f>
        <v>23.3</v>
      </c>
      <c r="M1852" s="9">
        <f t="shared" ca="1" si="37"/>
        <v>-969.5</v>
      </c>
      <c r="N1852" s="10">
        <f t="shared" ca="1" si="38"/>
        <v>-97.653102336825143</v>
      </c>
      <c r="O1852" s="7">
        <f ca="1">IFERROR(__xludf.DUMMYFUNCTION("GOOGLEFINANCE(""NSE:""&amp;D1852,""pe"")"),9.56)</f>
        <v>9.56</v>
      </c>
      <c r="P1852" s="7">
        <f ca="1">IFERROR(__xludf.DUMMYFUNCTION("GOOGLEFINANCE(""NSE:""&amp;D1852,""EPS"")"),2.44)</f>
        <v>2.44</v>
      </c>
      <c r="Q1852" s="7">
        <v>13.5</v>
      </c>
      <c r="R1852" s="7" t="str">
        <f ca="1">IFERROR(__xludf.DUMMYFUNCTION("IMPORTXML(E1852,""/html/body/main/div[3]/div[3]/div[2]/ul/li[7]/span[2]/span"")"),"Loading...")</f>
        <v>Loading...</v>
      </c>
      <c r="S1852" s="7">
        <f ca="1">IFERROR(__xludf.DUMMYFUNCTION("IMPORTXML(E1852,""/html/body/main/div[3]/div[3]/div[2]/ul/li[8]/span[2]/span"")"),8.28)</f>
        <v>8.2799999999999994</v>
      </c>
      <c r="T1852" s="4">
        <v>34.6</v>
      </c>
      <c r="U1852" s="4">
        <v>22.7</v>
      </c>
      <c r="V1852" s="4">
        <v>2.6</v>
      </c>
      <c r="W1852" s="4">
        <v>5.7</v>
      </c>
      <c r="X1852" s="4">
        <v>519.92999999999995</v>
      </c>
      <c r="Y1852" s="7">
        <f t="shared" ca="1" si="39"/>
        <v>-496.62999999999994</v>
      </c>
    </row>
    <row r="1853" spans="1:25" ht="15" x14ac:dyDescent="0.25">
      <c r="A1853" s="4">
        <v>1505</v>
      </c>
      <c r="C1853" s="41" t="s">
        <v>4012</v>
      </c>
      <c r="D1853" s="42"/>
      <c r="E1853" s="5" t="str">
        <f t="shared" si="35"/>
        <v>https://www.screener.in/company//consolidated/</v>
      </c>
      <c r="F1853" s="4">
        <v>443059</v>
      </c>
      <c r="G1853" s="4">
        <v>3832241897</v>
      </c>
      <c r="H1853" s="6" t="e">
        <f t="shared" ca="1" si="36"/>
        <v>#VALUE!</v>
      </c>
      <c r="I1853" s="7" t="str">
        <f ca="1">IFERROR(__xludf.DUMMYFUNCTION("IMPORTXML(E1853,""/html/body/main/div[3]/div[3]/div[2]/ul/li[5]/span[2]/span"")"),"Loading...")</f>
        <v>Loading...</v>
      </c>
      <c r="J1853" s="7" t="str">
        <f ca="1">IFERROR(__xludf.DUMMYFUNCTION("GOOGLEFINANCE(""NSE:""&amp;D1853,""marketcap"")"),"#N/A")</f>
        <v>#N/A</v>
      </c>
      <c r="K1853" s="7">
        <v>992.8</v>
      </c>
      <c r="L1853" s="8" t="str">
        <f ca="1">IFERROR(__xludf.DUMMYFUNCTION("GOOGLEFINANCE(""NSE:""&amp;D1853,""price"")"),"#N/A")</f>
        <v>#N/A</v>
      </c>
      <c r="M1853" s="9" t="e">
        <f t="shared" ca="1" si="37"/>
        <v>#VALUE!</v>
      </c>
      <c r="N1853" s="10" t="e">
        <f t="shared" ca="1" si="38"/>
        <v>#VALUE!</v>
      </c>
      <c r="O1853" s="7" t="str">
        <f ca="1">IFERROR(__xludf.DUMMYFUNCTION("GOOGLEFINANCE(""NSE:""&amp;D1853,""pe"")"),"#N/A")</f>
        <v>#N/A</v>
      </c>
      <c r="P1853" s="7" t="str">
        <f ca="1">IFERROR(__xludf.DUMMYFUNCTION("GOOGLEFINANCE(""NSE:""&amp;D1853,""EPS"")"),"#N/A")</f>
        <v>#N/A</v>
      </c>
      <c r="Q1853" s="7">
        <v>13.5</v>
      </c>
      <c r="R1853" s="7" t="str">
        <f ca="1">IFERROR(__xludf.DUMMYFUNCTION("IMPORTXML(E1853,""/html/body/main/div[3]/div[3]/div[2]/ul/li[7]/span[2]/span"")"),"Loading...")</f>
        <v>Loading...</v>
      </c>
      <c r="S1853" s="7" t="str">
        <f ca="1">IFERROR(__xludf.DUMMYFUNCTION("IMPORTXML(E1853,""/html/body/main/div[3]/div[3]/div[2]/ul/li[8]/span[2]/span"")"),"Loading...")</f>
        <v>Loading...</v>
      </c>
      <c r="T1853" s="4">
        <v>34.6</v>
      </c>
      <c r="U1853" s="4">
        <v>22.7</v>
      </c>
      <c r="V1853" s="4">
        <v>2.6</v>
      </c>
      <c r="W1853" s="4">
        <v>5.7</v>
      </c>
      <c r="X1853" s="4">
        <v>519.92999999999995</v>
      </c>
      <c r="Y1853" s="7" t="e">
        <f t="shared" ca="1" si="39"/>
        <v>#VALUE!</v>
      </c>
    </row>
    <row r="1854" spans="1:25" ht="15" x14ac:dyDescent="0.25">
      <c r="A1854" s="4">
        <v>1506</v>
      </c>
      <c r="C1854" s="41" t="s">
        <v>4013</v>
      </c>
      <c r="D1854" s="42"/>
      <c r="E1854" s="5" t="str">
        <f t="shared" si="35"/>
        <v>https://www.screener.in/company//consolidated/</v>
      </c>
      <c r="F1854" s="4">
        <v>443059</v>
      </c>
      <c r="G1854" s="4">
        <v>3832241897</v>
      </c>
      <c r="H1854" s="6" t="e">
        <f t="shared" ca="1" si="36"/>
        <v>#VALUE!</v>
      </c>
      <c r="I1854" s="7" t="str">
        <f ca="1">IFERROR(__xludf.DUMMYFUNCTION("IMPORTXML(E1854,""/html/body/main/div[3]/div[3]/div[2]/ul/li[5]/span[2]/span"")"),"Loading...")</f>
        <v>Loading...</v>
      </c>
      <c r="J1854" s="7" t="str">
        <f ca="1">IFERROR(__xludf.DUMMYFUNCTION("GOOGLEFINANCE(""NSE:""&amp;D1854,""marketcap"")"),"#N/A")</f>
        <v>#N/A</v>
      </c>
      <c r="K1854" s="7">
        <v>992.8</v>
      </c>
      <c r="L1854" s="8" t="str">
        <f ca="1">IFERROR(__xludf.DUMMYFUNCTION("GOOGLEFINANCE(""NSE:""&amp;D1854,""price"")"),"#N/A")</f>
        <v>#N/A</v>
      </c>
      <c r="M1854" s="9" t="e">
        <f t="shared" ca="1" si="37"/>
        <v>#VALUE!</v>
      </c>
      <c r="N1854" s="10" t="e">
        <f t="shared" ca="1" si="38"/>
        <v>#VALUE!</v>
      </c>
      <c r="O1854" s="7" t="str">
        <f ca="1">IFERROR(__xludf.DUMMYFUNCTION("GOOGLEFINANCE(""NSE:""&amp;D1854,""pe"")"),"#N/A")</f>
        <v>#N/A</v>
      </c>
      <c r="P1854" s="7" t="str">
        <f ca="1">IFERROR(__xludf.DUMMYFUNCTION("GOOGLEFINANCE(""NSE:""&amp;D1854,""EPS"")"),"#N/A")</f>
        <v>#N/A</v>
      </c>
      <c r="Q1854" s="7">
        <v>13.5</v>
      </c>
      <c r="R1854" s="7" t="str">
        <f ca="1">IFERROR(__xludf.DUMMYFUNCTION("IMPORTXML(E1854,""/html/body/main/div[3]/div[3]/div[2]/ul/li[7]/span[2]/span"")"),"Loading...")</f>
        <v>Loading...</v>
      </c>
      <c r="S1854" s="7" t="str">
        <f ca="1">IFERROR(__xludf.DUMMYFUNCTION("IMPORTXML(E1854,""/html/body/main/div[3]/div[3]/div[2]/ul/li[8]/span[2]/span"")"),"Loading...")</f>
        <v>Loading...</v>
      </c>
      <c r="T1854" s="4">
        <v>34.6</v>
      </c>
      <c r="U1854" s="4">
        <v>22.7</v>
      </c>
      <c r="V1854" s="4">
        <v>2.6</v>
      </c>
      <c r="W1854" s="4">
        <v>5.7</v>
      </c>
      <c r="X1854" s="4">
        <v>519.92999999999995</v>
      </c>
      <c r="Y1854" s="7" t="e">
        <f t="shared" ca="1" si="39"/>
        <v>#VALUE!</v>
      </c>
    </row>
    <row r="1855" spans="1:25" ht="15" x14ac:dyDescent="0.25">
      <c r="A1855" s="4">
        <v>1513</v>
      </c>
      <c r="C1855" s="12" t="s">
        <v>4014</v>
      </c>
      <c r="D1855" s="12" t="s">
        <v>4015</v>
      </c>
      <c r="E1855" s="5" t="str">
        <f t="shared" si="35"/>
        <v>https://www.screener.in/company/URAVI/consolidated/</v>
      </c>
      <c r="F1855" s="4">
        <v>443059</v>
      </c>
      <c r="G1855" s="4">
        <v>3832241897</v>
      </c>
      <c r="H1855" s="6" t="e">
        <f t="shared" ca="1" si="36"/>
        <v>#VALUE!</v>
      </c>
      <c r="I1855" s="7" t="str">
        <f ca="1">IFERROR(__xludf.DUMMYFUNCTION("IMPORTXML(E1855,""/html/body/main/div[3]/div[3]/div[2]/ul/li[5]/span[2]/span"")"),"Loading...")</f>
        <v>Loading...</v>
      </c>
      <c r="J1855" s="7" t="str">
        <f ca="1">IFERROR(__xludf.DUMMYFUNCTION("GOOGLEFINANCE(""NSE:""&amp;D1855,""marketcap"")"),"#N/A")</f>
        <v>#N/A</v>
      </c>
      <c r="K1855" s="7">
        <v>992.8</v>
      </c>
      <c r="L1855" s="8" t="str">
        <f ca="1">IFERROR(__xludf.DUMMYFUNCTION("GOOGLEFINANCE(""NSE:""&amp;D1855,""price"")"),"#N/A")</f>
        <v>#N/A</v>
      </c>
      <c r="M1855" s="9" t="e">
        <f t="shared" ca="1" si="37"/>
        <v>#VALUE!</v>
      </c>
      <c r="N1855" s="10" t="e">
        <f t="shared" ca="1" si="38"/>
        <v>#VALUE!</v>
      </c>
      <c r="O1855" s="7" t="str">
        <f ca="1">IFERROR(__xludf.DUMMYFUNCTION("GOOGLEFINANCE(""NSE:""&amp;D1855,""pe"")"),"#N/A")</f>
        <v>#N/A</v>
      </c>
      <c r="P1855" s="7" t="str">
        <f ca="1">IFERROR(__xludf.DUMMYFUNCTION("GOOGLEFINANCE(""NSE:""&amp;D1855,""EPS"")"),"#N/A")</f>
        <v>#N/A</v>
      </c>
      <c r="Q1855" s="7">
        <v>13.5</v>
      </c>
      <c r="R1855" s="7" t="str">
        <f ca="1">IFERROR(__xludf.DUMMYFUNCTION("IMPORTXML(E1855,""/html/body/main/div[3]/div[3]/div[2]/ul/li[7]/span[2]/span"")"),"Loading...")</f>
        <v>Loading...</v>
      </c>
      <c r="S1855" s="7" t="str">
        <f ca="1">IFERROR(__xludf.DUMMYFUNCTION("IMPORTXML(E1855,""/html/body/main/div[3]/div[3]/div[2]/ul/li[8]/span[2]/span"")"),"Loading...")</f>
        <v>Loading...</v>
      </c>
      <c r="T1855" s="4">
        <v>34.6</v>
      </c>
      <c r="U1855" s="4">
        <v>22.7</v>
      </c>
      <c r="V1855" s="4">
        <v>2.6</v>
      </c>
      <c r="W1855" s="4">
        <v>5.7</v>
      </c>
      <c r="X1855" s="4">
        <v>519.92999999999995</v>
      </c>
      <c r="Y1855" s="7" t="e">
        <f t="shared" ca="1" si="39"/>
        <v>#VALUE!</v>
      </c>
    </row>
    <row r="1856" spans="1:25" ht="15" x14ac:dyDescent="0.25">
      <c r="A1856" s="4">
        <v>1516</v>
      </c>
      <c r="C1856" s="41" t="s">
        <v>4016</v>
      </c>
      <c r="D1856" s="42"/>
      <c r="E1856" s="5" t="str">
        <f t="shared" si="35"/>
        <v>https://www.screener.in/company//consolidated/</v>
      </c>
      <c r="F1856" s="4">
        <v>443059</v>
      </c>
      <c r="G1856" s="4">
        <v>3832241897</v>
      </c>
      <c r="H1856" s="6" t="e">
        <f t="shared" ca="1" si="36"/>
        <v>#VALUE!</v>
      </c>
      <c r="I1856" s="7" t="str">
        <f ca="1">IFERROR(__xludf.DUMMYFUNCTION("IMPORTXML(E1856,""/html/body/main/div[3]/div[3]/div[2]/ul/li[5]/span[2]/span"")"),"Loading...")</f>
        <v>Loading...</v>
      </c>
      <c r="J1856" s="7" t="str">
        <f ca="1">IFERROR(__xludf.DUMMYFUNCTION("GOOGLEFINANCE(""NSE:""&amp;D1856,""marketcap"")"),"#N/A")</f>
        <v>#N/A</v>
      </c>
      <c r="K1856" s="7">
        <v>992.8</v>
      </c>
      <c r="L1856" s="8" t="str">
        <f ca="1">IFERROR(__xludf.DUMMYFUNCTION("GOOGLEFINANCE(""NSE:""&amp;D1856,""price"")"),"#N/A")</f>
        <v>#N/A</v>
      </c>
      <c r="M1856" s="9" t="e">
        <f t="shared" ca="1" si="37"/>
        <v>#VALUE!</v>
      </c>
      <c r="N1856" s="10" t="e">
        <f t="shared" ca="1" si="38"/>
        <v>#VALUE!</v>
      </c>
      <c r="O1856" s="7" t="str">
        <f ca="1">IFERROR(__xludf.DUMMYFUNCTION("GOOGLEFINANCE(""NSE:""&amp;D1856,""pe"")"),"#N/A")</f>
        <v>#N/A</v>
      </c>
      <c r="P1856" s="7" t="str">
        <f ca="1">IFERROR(__xludf.DUMMYFUNCTION("GOOGLEFINANCE(""NSE:""&amp;D1856,""EPS"")"),"#N/A")</f>
        <v>#N/A</v>
      </c>
      <c r="Q1856" s="7">
        <v>13.5</v>
      </c>
      <c r="R1856" s="7" t="str">
        <f ca="1">IFERROR(__xludf.DUMMYFUNCTION("IMPORTXML(E1856,""/html/body/main/div[3]/div[3]/div[2]/ul/li[7]/span[2]/span"")"),"Loading...")</f>
        <v>Loading...</v>
      </c>
      <c r="S1856" s="7" t="str">
        <f ca="1">IFERROR(__xludf.DUMMYFUNCTION("IMPORTXML(E1856,""/html/body/main/div[3]/div[3]/div[2]/ul/li[8]/span[2]/span"")"),"Loading...")</f>
        <v>Loading...</v>
      </c>
      <c r="T1856" s="4">
        <v>34.6</v>
      </c>
      <c r="U1856" s="4">
        <v>22.7</v>
      </c>
      <c r="V1856" s="4">
        <v>2.6</v>
      </c>
      <c r="W1856" s="4">
        <v>5.7</v>
      </c>
      <c r="X1856" s="4">
        <v>519.92999999999995</v>
      </c>
      <c r="Y1856" s="7" t="e">
        <f t="shared" ca="1" si="39"/>
        <v>#VALUE!</v>
      </c>
    </row>
    <row r="1857" spans="1:25" ht="15" x14ac:dyDescent="0.25">
      <c r="A1857" s="4">
        <v>1518</v>
      </c>
      <c r="C1857" s="12" t="s">
        <v>4017</v>
      </c>
      <c r="D1857" s="12" t="s">
        <v>4018</v>
      </c>
      <c r="E1857" s="5" t="str">
        <f t="shared" si="35"/>
        <v>https://www.screener.in/company/MIRCELECTR/consolidated/</v>
      </c>
      <c r="F1857" s="4">
        <v>443059</v>
      </c>
      <c r="G1857" s="4">
        <v>3832241897</v>
      </c>
      <c r="H1857" s="6">
        <f t="shared" ca="1" si="36"/>
        <v>10730.277311600001</v>
      </c>
      <c r="I1857" s="7" t="str">
        <f ca="1">IFERROR(__xludf.DUMMYFUNCTION("IMPORTXML(E1857,""/html/body/main/div[3]/div[3]/div[2]/ul/li[5]/span[2]/span"")"),"Loading...")</f>
        <v>Loading...</v>
      </c>
      <c r="J1857" s="7">
        <f ca="1">IFERROR(__xludf.DUMMYFUNCTION("GOOGLEFINANCE(""NSE:""&amp;D1857,""marketcap"")"),7852389000)</f>
        <v>7852389000</v>
      </c>
      <c r="K1857" s="7">
        <v>992.8</v>
      </c>
      <c r="L1857" s="8">
        <f ca="1">IFERROR(__xludf.DUMMYFUNCTION("GOOGLEFINANCE(""NSE:""&amp;D1857,""price"")"),28)</f>
        <v>28</v>
      </c>
      <c r="M1857" s="9">
        <f t="shared" ca="1" si="37"/>
        <v>-964.8</v>
      </c>
      <c r="N1857" s="10">
        <f t="shared" ca="1" si="38"/>
        <v>-97.179693795326344</v>
      </c>
      <c r="O1857" s="7" t="str">
        <f ca="1">IFERROR(__xludf.DUMMYFUNCTION("GOOGLEFINANCE(""NSE:""&amp;D1857,""pe"")"),"#N/A")</f>
        <v>#N/A</v>
      </c>
      <c r="P1857" s="7">
        <f ca="1">IFERROR(__xludf.DUMMYFUNCTION("GOOGLEFINANCE(""NSE:""&amp;D1857,""EPS"")"),-0.65)</f>
        <v>-0.65</v>
      </c>
      <c r="Q1857" s="7">
        <v>13.5</v>
      </c>
      <c r="R1857" s="7" t="str">
        <f ca="1">IFERROR(__xludf.DUMMYFUNCTION("IMPORTXML(E1857,""/html/body/main/div[3]/div[3]/div[2]/ul/li[7]/span[2]/span"")"),"Loading...")</f>
        <v>Loading...</v>
      </c>
      <c r="S1857" s="7" t="str">
        <f ca="1">IFERROR(__xludf.DUMMYFUNCTION("IMPORTXML(E1857,""/html/body/main/div[3]/div[3]/div[2]/ul/li[8]/span[2]/span"")"),"Loading...")</f>
        <v>Loading...</v>
      </c>
      <c r="T1857" s="4">
        <v>34.6</v>
      </c>
      <c r="U1857" s="4">
        <v>22.7</v>
      </c>
      <c r="V1857" s="4">
        <v>2.6</v>
      </c>
      <c r="W1857" s="4">
        <v>5.7</v>
      </c>
      <c r="X1857" s="4">
        <v>519.92999999999995</v>
      </c>
      <c r="Y1857" s="7">
        <f t="shared" ca="1" si="39"/>
        <v>-491.92999999999995</v>
      </c>
    </row>
    <row r="1858" spans="1:25" ht="15" x14ac:dyDescent="0.25">
      <c r="A1858" s="4">
        <v>1519</v>
      </c>
      <c r="C1858" s="41" t="s">
        <v>4019</v>
      </c>
      <c r="D1858" s="42"/>
      <c r="E1858" s="5" t="str">
        <f t="shared" si="35"/>
        <v>https://www.screener.in/company//consolidated/</v>
      </c>
      <c r="F1858" s="4">
        <v>443059</v>
      </c>
      <c r="G1858" s="4">
        <v>3832241897</v>
      </c>
      <c r="H1858" s="6" t="e">
        <f t="shared" ca="1" si="36"/>
        <v>#VALUE!</v>
      </c>
      <c r="I1858" s="7" t="str">
        <f ca="1">IFERROR(__xludf.DUMMYFUNCTION("IMPORTXML(E1858,""/html/body/main/div[3]/div[3]/div[2]/ul/li[5]/span[2]/span"")"),"Loading...")</f>
        <v>Loading...</v>
      </c>
      <c r="J1858" s="7" t="str">
        <f ca="1">IFERROR(__xludf.DUMMYFUNCTION("GOOGLEFINANCE(""NSE:""&amp;D1858,""marketcap"")"),"#N/A")</f>
        <v>#N/A</v>
      </c>
      <c r="K1858" s="7">
        <v>992.8</v>
      </c>
      <c r="L1858" s="8" t="str">
        <f ca="1">IFERROR(__xludf.DUMMYFUNCTION("GOOGLEFINANCE(""NSE:""&amp;D1858,""price"")"),"#N/A")</f>
        <v>#N/A</v>
      </c>
      <c r="M1858" s="9" t="e">
        <f t="shared" ca="1" si="37"/>
        <v>#VALUE!</v>
      </c>
      <c r="N1858" s="10" t="e">
        <f t="shared" ca="1" si="38"/>
        <v>#VALUE!</v>
      </c>
      <c r="O1858" s="7" t="str">
        <f ca="1">IFERROR(__xludf.DUMMYFUNCTION("GOOGLEFINANCE(""NSE:""&amp;D1858,""pe"")"),"#N/A")</f>
        <v>#N/A</v>
      </c>
      <c r="P1858" s="7" t="str">
        <f ca="1">IFERROR(__xludf.DUMMYFUNCTION("GOOGLEFINANCE(""NSE:""&amp;D1858,""EPS"")"),"#N/A")</f>
        <v>#N/A</v>
      </c>
      <c r="Q1858" s="7">
        <v>13.5</v>
      </c>
      <c r="R1858" s="7" t="str">
        <f ca="1">IFERROR(__xludf.DUMMYFUNCTION("IMPORTXML(E1858,""/html/body/main/div[3]/div[3]/div[2]/ul/li[7]/span[2]/span"")"),"Loading...")</f>
        <v>Loading...</v>
      </c>
      <c r="S1858" s="7" t="str">
        <f ca="1">IFERROR(__xludf.DUMMYFUNCTION("IMPORTXML(E1858,""/html/body/main/div[3]/div[3]/div[2]/ul/li[8]/span[2]/span"")"),"Loading...")</f>
        <v>Loading...</v>
      </c>
      <c r="T1858" s="4">
        <v>34.6</v>
      </c>
      <c r="U1858" s="4">
        <v>22.7</v>
      </c>
      <c r="V1858" s="4">
        <v>2.6</v>
      </c>
      <c r="W1858" s="4">
        <v>5.7</v>
      </c>
      <c r="X1858" s="4">
        <v>519.92999999999995</v>
      </c>
      <c r="Y1858" s="7" t="e">
        <f t="shared" ca="1" si="39"/>
        <v>#VALUE!</v>
      </c>
    </row>
    <row r="1859" spans="1:25" ht="15" x14ac:dyDescent="0.25">
      <c r="A1859" s="4">
        <v>1522</v>
      </c>
      <c r="C1859" s="41" t="s">
        <v>4020</v>
      </c>
      <c r="D1859" s="42"/>
      <c r="E1859" s="5" t="str">
        <f t="shared" si="35"/>
        <v>https://www.screener.in/company//consolidated/</v>
      </c>
      <c r="F1859" s="4">
        <v>443059</v>
      </c>
      <c r="G1859" s="4">
        <v>3832241897</v>
      </c>
      <c r="H1859" s="6" t="e">
        <f t="shared" ca="1" si="36"/>
        <v>#VALUE!</v>
      </c>
      <c r="I1859" s="7" t="str">
        <f ca="1">IFERROR(__xludf.DUMMYFUNCTION("IMPORTXML(E1859,""/html/body/main/div[3]/div[3]/div[2]/ul/li[5]/span[2]/span"")"),"Loading...")</f>
        <v>Loading...</v>
      </c>
      <c r="J1859" s="7" t="str">
        <f ca="1">IFERROR(__xludf.DUMMYFUNCTION("GOOGLEFINANCE(""NSE:""&amp;D1859,""marketcap"")"),"#N/A")</f>
        <v>#N/A</v>
      </c>
      <c r="K1859" s="7">
        <v>992.8</v>
      </c>
      <c r="L1859" s="8" t="str">
        <f ca="1">IFERROR(__xludf.DUMMYFUNCTION("GOOGLEFINANCE(""NSE:""&amp;D1859,""price"")"),"#N/A")</f>
        <v>#N/A</v>
      </c>
      <c r="M1859" s="9" t="e">
        <f t="shared" ca="1" si="37"/>
        <v>#VALUE!</v>
      </c>
      <c r="N1859" s="10" t="e">
        <f t="shared" ca="1" si="38"/>
        <v>#VALUE!</v>
      </c>
      <c r="O1859" s="7" t="str">
        <f ca="1">IFERROR(__xludf.DUMMYFUNCTION("GOOGLEFINANCE(""NSE:""&amp;D1859,""pe"")"),"#N/A")</f>
        <v>#N/A</v>
      </c>
      <c r="P1859" s="7" t="str">
        <f ca="1">IFERROR(__xludf.DUMMYFUNCTION("GOOGLEFINANCE(""NSE:""&amp;D1859,""EPS"")"),"#N/A")</f>
        <v>#N/A</v>
      </c>
      <c r="Q1859" s="7">
        <v>13.5</v>
      </c>
      <c r="R1859" s="7" t="str">
        <f ca="1">IFERROR(__xludf.DUMMYFUNCTION("IMPORTXML(E1859,""/html/body/main/div[3]/div[3]/div[2]/ul/li[7]/span[2]/span"")"),"Loading...")</f>
        <v>Loading...</v>
      </c>
      <c r="S1859" s="7" t="str">
        <f ca="1">IFERROR(__xludf.DUMMYFUNCTION("IMPORTXML(E1859,""/html/body/main/div[3]/div[3]/div[2]/ul/li[8]/span[2]/span"")"),"Loading...")</f>
        <v>Loading...</v>
      </c>
      <c r="T1859" s="4">
        <v>34.6</v>
      </c>
      <c r="U1859" s="4">
        <v>22.7</v>
      </c>
      <c r="V1859" s="4">
        <v>2.6</v>
      </c>
      <c r="W1859" s="4">
        <v>5.7</v>
      </c>
      <c r="X1859" s="4">
        <v>519.92999999999995</v>
      </c>
      <c r="Y1859" s="7" t="e">
        <f t="shared" ca="1" si="39"/>
        <v>#VALUE!</v>
      </c>
    </row>
    <row r="1860" spans="1:25" ht="15" x14ac:dyDescent="0.25">
      <c r="A1860" s="4">
        <v>1523</v>
      </c>
      <c r="C1860" s="12" t="s">
        <v>4021</v>
      </c>
      <c r="D1860" s="12" t="s">
        <v>4022</v>
      </c>
      <c r="E1860" s="5" t="str">
        <f t="shared" si="35"/>
        <v>https://www.screener.in/company/APCL/consolidated/</v>
      </c>
      <c r="F1860" s="4">
        <v>443059</v>
      </c>
      <c r="G1860" s="4">
        <v>3832241897</v>
      </c>
      <c r="H1860" s="6">
        <f t="shared" ca="1" si="36"/>
        <v>54207.061633064994</v>
      </c>
      <c r="I1860" s="7" t="str">
        <f ca="1">IFERROR(__xludf.DUMMYFUNCTION("IMPORTXML(E1860,""/html/body/main/div[3]/div[3]/div[2]/ul/li[5]/span[2]/span"")"),"Loading...")</f>
        <v>Loading...</v>
      </c>
      <c r="J1860" s="7">
        <f ca="1">IFERROR(__xludf.DUMMYFUNCTION("GOOGLEFINANCE(""NSE:""&amp;D1860,""marketcap"")"),4155061000)</f>
        <v>4155061000</v>
      </c>
      <c r="K1860" s="7">
        <v>992.8</v>
      </c>
      <c r="L1860" s="8">
        <f ca="1">IFERROR(__xludf.DUMMYFUNCTION("GOOGLEFINANCE(""NSE:""&amp;D1860,""price"")"),141.45)</f>
        <v>141.44999999999999</v>
      </c>
      <c r="M1860" s="9">
        <f t="shared" ca="1" si="37"/>
        <v>-851.34999999999991</v>
      </c>
      <c r="N1860" s="10">
        <f t="shared" ca="1" si="38"/>
        <v>-85.752417405318283</v>
      </c>
      <c r="O1860" s="7" t="str">
        <f ca="1">IFERROR(__xludf.DUMMYFUNCTION("GOOGLEFINANCE(""NSE:""&amp;D1860,""pe"")"),"#N/A")</f>
        <v>#N/A</v>
      </c>
      <c r="P1860" s="7">
        <f ca="1">IFERROR(__xludf.DUMMYFUNCTION("GOOGLEFINANCE(""NSE:""&amp;D1860,""EPS"")"),-22.2)</f>
        <v>-22.2</v>
      </c>
      <c r="Q1860" s="7">
        <v>13.5</v>
      </c>
      <c r="R1860" s="7" t="str">
        <f ca="1">IFERROR(__xludf.DUMMYFUNCTION("IMPORTXML(E1860,""/html/body/main/div[3]/div[3]/div[2]/ul/li[7]/span[2]/span"")"),"Loading...")</f>
        <v>Loading...</v>
      </c>
      <c r="S1860" s="7" t="str">
        <f ca="1">IFERROR(__xludf.DUMMYFUNCTION("IMPORTXML(E1860,""/html/body/main/div[3]/div[3]/div[2]/ul/li[8]/span[2]/span"")"),"Loading...")</f>
        <v>Loading...</v>
      </c>
      <c r="T1860" s="4">
        <v>34.6</v>
      </c>
      <c r="U1860" s="4">
        <v>22.7</v>
      </c>
      <c r="V1860" s="4">
        <v>2.6</v>
      </c>
      <c r="W1860" s="4">
        <v>5.7</v>
      </c>
      <c r="X1860" s="4">
        <v>519.92999999999995</v>
      </c>
      <c r="Y1860" s="7">
        <f t="shared" ca="1" si="39"/>
        <v>-378.47999999999996</v>
      </c>
    </row>
    <row r="1861" spans="1:25" ht="15" x14ac:dyDescent="0.25">
      <c r="A1861" s="4">
        <v>1524</v>
      </c>
      <c r="C1861" s="12" t="s">
        <v>4023</v>
      </c>
      <c r="D1861" s="12" t="s">
        <v>4024</v>
      </c>
      <c r="E1861" s="5" t="str">
        <f t="shared" si="35"/>
        <v>https://www.screener.in/company/SADBHAV/consolidated/</v>
      </c>
      <c r="F1861" s="4">
        <v>443059</v>
      </c>
      <c r="G1861" s="4">
        <v>3832241897</v>
      </c>
      <c r="H1861" s="6">
        <f t="shared" ca="1" si="36"/>
        <v>5384.299865285001</v>
      </c>
      <c r="I1861" s="7" t="str">
        <f ca="1">IFERROR(__xludf.DUMMYFUNCTION("IMPORTXML(E1861,""/html/body/main/div[3]/div[3]/div[2]/ul/li[5]/span[2]/span"")"),"Loading...")</f>
        <v>Loading...</v>
      </c>
      <c r="J1861" s="7">
        <f ca="1">IFERROR(__xludf.DUMMYFUNCTION("GOOGLEFINANCE(""NSE:""&amp;D1861,""marketcap"")"),2401989800)</f>
        <v>2401989800</v>
      </c>
      <c r="K1861" s="7">
        <v>992.8</v>
      </c>
      <c r="L1861" s="8">
        <f ca="1">IFERROR(__xludf.DUMMYFUNCTION("GOOGLEFINANCE(""NSE:""&amp;D1861,""price"")"),14.05)</f>
        <v>14.05</v>
      </c>
      <c r="M1861" s="9">
        <f t="shared" ca="1" si="37"/>
        <v>-978.75</v>
      </c>
      <c r="N1861" s="10">
        <f t="shared" ca="1" si="38"/>
        <v>-98.584810636583413</v>
      </c>
      <c r="O1861" s="7" t="str">
        <f ca="1">IFERROR(__xludf.DUMMYFUNCTION("GOOGLEFINANCE(""NSE:""&amp;D1861,""pe"")"),"#N/A")</f>
        <v>#N/A</v>
      </c>
      <c r="P1861" s="7">
        <f ca="1">IFERROR(__xludf.DUMMYFUNCTION("GOOGLEFINANCE(""NSE:""&amp;D1861,""EPS"")"),-8.26)</f>
        <v>-8.26</v>
      </c>
      <c r="Q1861" s="7">
        <v>13.5</v>
      </c>
      <c r="R1861" s="7" t="str">
        <f ca="1">IFERROR(__xludf.DUMMYFUNCTION("IMPORTXML(E1861,""/html/body/main/div[3]/div[3]/div[2]/ul/li[7]/span[2]/span"")"),"Loading...")</f>
        <v>Loading...</v>
      </c>
      <c r="S1861" s="7" t="str">
        <f ca="1">IFERROR(__xludf.DUMMYFUNCTION("IMPORTXML(E1861,""/html/body/main/div[3]/div[3]/div[2]/ul/li[8]/span[2]/span"")"),"Loading...")</f>
        <v>Loading...</v>
      </c>
      <c r="T1861" s="4">
        <v>34.6</v>
      </c>
      <c r="U1861" s="4">
        <v>22.7</v>
      </c>
      <c r="V1861" s="4">
        <v>2.6</v>
      </c>
      <c r="W1861" s="4">
        <v>5.7</v>
      </c>
      <c r="X1861" s="4">
        <v>519.92999999999995</v>
      </c>
      <c r="Y1861" s="7">
        <f t="shared" ca="1" si="39"/>
        <v>-505.87999999999994</v>
      </c>
    </row>
    <row r="1862" spans="1:25" ht="15" x14ac:dyDescent="0.25">
      <c r="A1862" s="4">
        <v>1525</v>
      </c>
      <c r="C1862" s="12" t="s">
        <v>4025</v>
      </c>
      <c r="D1862" s="12" t="s">
        <v>4026</v>
      </c>
      <c r="E1862" s="5" t="str">
        <f t="shared" si="35"/>
        <v>https://www.screener.in/company/VALIANTLAB/consolidated/</v>
      </c>
      <c r="F1862" s="4">
        <v>443059</v>
      </c>
      <c r="G1862" s="4">
        <v>3832241897</v>
      </c>
      <c r="H1862" s="6">
        <f t="shared" ca="1" si="36"/>
        <v>32190.8319348</v>
      </c>
      <c r="I1862" s="7" t="str">
        <f ca="1">IFERROR(__xludf.DUMMYFUNCTION("IMPORTXML(E1862,""/html/body/main/div[3]/div[3]/div[2]/ul/li[5]/span[2]/span"")"),"Loading...")</f>
        <v>Loading...</v>
      </c>
      <c r="J1862" s="7">
        <f ca="1">IFERROR(__xludf.DUMMYFUNCTION("GOOGLEFINANCE(""NSE:""&amp;D1862,""marketcap"")"),4562250000)</f>
        <v>4562250000</v>
      </c>
      <c r="K1862" s="7">
        <v>992.8</v>
      </c>
      <c r="L1862" s="8">
        <f ca="1">IFERROR(__xludf.DUMMYFUNCTION("GOOGLEFINANCE(""NSE:""&amp;D1862,""price"")"),84)</f>
        <v>84</v>
      </c>
      <c r="M1862" s="9">
        <f t="shared" ca="1" si="37"/>
        <v>-908.8</v>
      </c>
      <c r="N1862" s="10">
        <f t="shared" ca="1" si="38"/>
        <v>-91.539081385979046</v>
      </c>
      <c r="O1862" s="7">
        <f ca="1">IFERROR(__xludf.DUMMYFUNCTION("GOOGLEFINANCE(""NSE:""&amp;D1862,""pe"")"),3015.08)</f>
        <v>3015.08</v>
      </c>
      <c r="P1862" s="7">
        <f ca="1">IFERROR(__xludf.DUMMYFUNCTION("GOOGLEFINANCE(""NSE:""&amp;D1862,""EPS"")"),0.03)</f>
        <v>0.03</v>
      </c>
      <c r="Q1862" s="7">
        <v>13.5</v>
      </c>
      <c r="R1862" s="7" t="str">
        <f ca="1">IFERROR(__xludf.DUMMYFUNCTION("IMPORTXML(E1862,""/html/body/main/div[3]/div[3]/div[2]/ul/li[7]/span[2]/span"")"),"Loading...")</f>
        <v>Loading...</v>
      </c>
      <c r="S1862" s="7" t="str">
        <f ca="1">IFERROR(__xludf.DUMMYFUNCTION("IMPORTXML(E1862,""/html/body/main/div[3]/div[3]/div[2]/ul/li[8]/span[2]/span"")"),"Loading...")</f>
        <v>Loading...</v>
      </c>
      <c r="T1862" s="4">
        <v>34.6</v>
      </c>
      <c r="U1862" s="4">
        <v>22.7</v>
      </c>
      <c r="V1862" s="4">
        <v>2.6</v>
      </c>
      <c r="W1862" s="4">
        <v>5.7</v>
      </c>
      <c r="X1862" s="4">
        <v>519.92999999999995</v>
      </c>
      <c r="Y1862" s="7">
        <f t="shared" ca="1" si="39"/>
        <v>-435.92999999999995</v>
      </c>
    </row>
    <row r="1863" spans="1:25" ht="15" x14ac:dyDescent="0.25">
      <c r="A1863" s="4">
        <v>1530</v>
      </c>
      <c r="C1863" s="41" t="s">
        <v>4027</v>
      </c>
      <c r="D1863" s="42"/>
      <c r="E1863" s="5" t="str">
        <f t="shared" si="35"/>
        <v>https://www.screener.in/company//consolidated/</v>
      </c>
      <c r="F1863" s="4">
        <v>443059</v>
      </c>
      <c r="G1863" s="4">
        <v>3832241897</v>
      </c>
      <c r="H1863" s="6" t="e">
        <f t="shared" ca="1" si="36"/>
        <v>#VALUE!</v>
      </c>
      <c r="I1863" s="7" t="str">
        <f ca="1">IFERROR(__xludf.DUMMYFUNCTION("IMPORTXML(E1863,""/html/body/main/div[3]/div[3]/div[2]/ul/li[5]/span[2]/span"")"),"Loading...")</f>
        <v>Loading...</v>
      </c>
      <c r="J1863" s="7" t="str">
        <f ca="1">IFERROR(__xludf.DUMMYFUNCTION("GOOGLEFINANCE(""NSE:""&amp;D1863,""marketcap"")"),"#N/A")</f>
        <v>#N/A</v>
      </c>
      <c r="K1863" s="7">
        <v>992.8</v>
      </c>
      <c r="L1863" s="8" t="str">
        <f ca="1">IFERROR(__xludf.DUMMYFUNCTION("GOOGLEFINANCE(""NSE:""&amp;D1863,""price"")"),"#N/A")</f>
        <v>#N/A</v>
      </c>
      <c r="M1863" s="9" t="e">
        <f t="shared" ca="1" si="37"/>
        <v>#VALUE!</v>
      </c>
      <c r="N1863" s="10" t="e">
        <f t="shared" ca="1" si="38"/>
        <v>#VALUE!</v>
      </c>
      <c r="O1863" s="7" t="str">
        <f ca="1">IFERROR(__xludf.DUMMYFUNCTION("GOOGLEFINANCE(""NSE:""&amp;D1863,""pe"")"),"#N/A")</f>
        <v>#N/A</v>
      </c>
      <c r="P1863" s="7" t="str">
        <f ca="1">IFERROR(__xludf.DUMMYFUNCTION("GOOGLEFINANCE(""NSE:""&amp;D1863,""EPS"")"),"#N/A")</f>
        <v>#N/A</v>
      </c>
      <c r="Q1863" s="7">
        <v>13.5</v>
      </c>
      <c r="R1863" s="7" t="str">
        <f ca="1">IFERROR(__xludf.DUMMYFUNCTION("IMPORTXML(E1863,""/html/body/main/div[3]/div[3]/div[2]/ul/li[7]/span[2]/span"")"),"Loading...")</f>
        <v>Loading...</v>
      </c>
      <c r="S1863" s="7" t="str">
        <f ca="1">IFERROR(__xludf.DUMMYFUNCTION("IMPORTXML(E1863,""/html/body/main/div[3]/div[3]/div[2]/ul/li[8]/span[2]/span"")"),"Loading...")</f>
        <v>Loading...</v>
      </c>
      <c r="T1863" s="4">
        <v>34.6</v>
      </c>
      <c r="U1863" s="4">
        <v>22.7</v>
      </c>
      <c r="V1863" s="4">
        <v>2.6</v>
      </c>
      <c r="W1863" s="4">
        <v>5.7</v>
      </c>
      <c r="X1863" s="4">
        <v>519.92999999999995</v>
      </c>
      <c r="Y1863" s="7" t="e">
        <f t="shared" ca="1" si="39"/>
        <v>#VALUE!</v>
      </c>
    </row>
    <row r="1864" spans="1:25" ht="15" x14ac:dyDescent="0.25">
      <c r="A1864" s="4">
        <v>1531</v>
      </c>
      <c r="C1864" s="41" t="s">
        <v>4028</v>
      </c>
      <c r="D1864" s="42"/>
      <c r="E1864" s="5" t="str">
        <f t="shared" si="35"/>
        <v>https://www.screener.in/company//consolidated/</v>
      </c>
      <c r="F1864" s="4">
        <v>443059</v>
      </c>
      <c r="G1864" s="4">
        <v>3832241897</v>
      </c>
      <c r="H1864" s="6" t="e">
        <f t="shared" ca="1" si="36"/>
        <v>#VALUE!</v>
      </c>
      <c r="I1864" s="7" t="str">
        <f ca="1">IFERROR(__xludf.DUMMYFUNCTION("IMPORTXML(E1864,""/html/body/main/div[3]/div[3]/div[2]/ul/li[5]/span[2]/span"")"),"Loading...")</f>
        <v>Loading...</v>
      </c>
      <c r="J1864" s="7" t="str">
        <f ca="1">IFERROR(__xludf.DUMMYFUNCTION("GOOGLEFINANCE(""NSE:""&amp;D1864,""marketcap"")"),"#N/A")</f>
        <v>#N/A</v>
      </c>
      <c r="K1864" s="7">
        <v>992.8</v>
      </c>
      <c r="L1864" s="8" t="str">
        <f ca="1">IFERROR(__xludf.DUMMYFUNCTION("GOOGLEFINANCE(""NSE:""&amp;D1864,""price"")"),"#N/A")</f>
        <v>#N/A</v>
      </c>
      <c r="M1864" s="9" t="e">
        <f t="shared" ca="1" si="37"/>
        <v>#VALUE!</v>
      </c>
      <c r="N1864" s="10" t="e">
        <f t="shared" ca="1" si="38"/>
        <v>#VALUE!</v>
      </c>
      <c r="O1864" s="7" t="str">
        <f ca="1">IFERROR(__xludf.DUMMYFUNCTION("GOOGLEFINANCE(""NSE:""&amp;D1864,""pe"")"),"#N/A")</f>
        <v>#N/A</v>
      </c>
      <c r="P1864" s="7" t="str">
        <f ca="1">IFERROR(__xludf.DUMMYFUNCTION("GOOGLEFINANCE(""NSE:""&amp;D1864,""EPS"")"),"#N/A")</f>
        <v>#N/A</v>
      </c>
      <c r="Q1864" s="7">
        <v>13.5</v>
      </c>
      <c r="R1864" s="7" t="str">
        <f ca="1">IFERROR(__xludf.DUMMYFUNCTION("IMPORTXML(E1864,""/html/body/main/div[3]/div[3]/div[2]/ul/li[7]/span[2]/span"")"),"Loading...")</f>
        <v>Loading...</v>
      </c>
      <c r="S1864" s="7" t="str">
        <f ca="1">IFERROR(__xludf.DUMMYFUNCTION("IMPORTXML(E1864,""/html/body/main/div[3]/div[3]/div[2]/ul/li[8]/span[2]/span"")"),"Loading...")</f>
        <v>Loading...</v>
      </c>
      <c r="T1864" s="4">
        <v>34.6</v>
      </c>
      <c r="U1864" s="4">
        <v>22.7</v>
      </c>
      <c r="V1864" s="4">
        <v>2.6</v>
      </c>
      <c r="W1864" s="4">
        <v>5.7</v>
      </c>
      <c r="X1864" s="4">
        <v>519.92999999999995</v>
      </c>
      <c r="Y1864" s="7" t="e">
        <f t="shared" ca="1" si="39"/>
        <v>#VALUE!</v>
      </c>
    </row>
    <row r="1865" spans="1:25" ht="15" x14ac:dyDescent="0.25">
      <c r="A1865" s="4">
        <v>1534</v>
      </c>
      <c r="C1865" s="41" t="s">
        <v>4029</v>
      </c>
      <c r="D1865" s="42"/>
      <c r="E1865" s="5" t="str">
        <f t="shared" si="35"/>
        <v>https://www.screener.in/company//consolidated/</v>
      </c>
      <c r="F1865" s="4">
        <v>443059</v>
      </c>
      <c r="G1865" s="4">
        <v>3832241897</v>
      </c>
      <c r="H1865" s="6" t="e">
        <f t="shared" ca="1" si="36"/>
        <v>#VALUE!</v>
      </c>
      <c r="I1865" s="7" t="str">
        <f ca="1">IFERROR(__xludf.DUMMYFUNCTION("IMPORTXML(E1865,""/html/body/main/div[3]/div[3]/div[2]/ul/li[5]/span[2]/span"")"),"Loading...")</f>
        <v>Loading...</v>
      </c>
      <c r="J1865" s="7" t="str">
        <f ca="1">IFERROR(__xludf.DUMMYFUNCTION("GOOGLEFINANCE(""NSE:""&amp;D1865,""marketcap"")"),"#N/A")</f>
        <v>#N/A</v>
      </c>
      <c r="K1865" s="7">
        <v>992.8</v>
      </c>
      <c r="L1865" s="8" t="str">
        <f ca="1">IFERROR(__xludf.DUMMYFUNCTION("GOOGLEFINANCE(""NSE:""&amp;D1865,""price"")"),"#N/A")</f>
        <v>#N/A</v>
      </c>
      <c r="M1865" s="9" t="e">
        <f t="shared" ca="1" si="37"/>
        <v>#VALUE!</v>
      </c>
      <c r="N1865" s="10" t="e">
        <f t="shared" ca="1" si="38"/>
        <v>#VALUE!</v>
      </c>
      <c r="O1865" s="7" t="str">
        <f ca="1">IFERROR(__xludf.DUMMYFUNCTION("GOOGLEFINANCE(""NSE:""&amp;D1865,""pe"")"),"#N/A")</f>
        <v>#N/A</v>
      </c>
      <c r="P1865" s="7" t="str">
        <f ca="1">IFERROR(__xludf.DUMMYFUNCTION("GOOGLEFINANCE(""NSE:""&amp;D1865,""EPS"")"),"#N/A")</f>
        <v>#N/A</v>
      </c>
      <c r="Q1865" s="7">
        <v>13.5</v>
      </c>
      <c r="R1865" s="7" t="str">
        <f ca="1">IFERROR(__xludf.DUMMYFUNCTION("IMPORTXML(E1865,""/html/body/main/div[3]/div[3]/div[2]/ul/li[7]/span[2]/span"")"),"Loading...")</f>
        <v>Loading...</v>
      </c>
      <c r="S1865" s="7" t="str">
        <f ca="1">IFERROR(__xludf.DUMMYFUNCTION("IMPORTXML(E1865,""/html/body/main/div[3]/div[3]/div[2]/ul/li[8]/span[2]/span"")"),"Loading...")</f>
        <v>Loading...</v>
      </c>
      <c r="T1865" s="4">
        <v>34.6</v>
      </c>
      <c r="U1865" s="4">
        <v>22.7</v>
      </c>
      <c r="V1865" s="4">
        <v>2.6</v>
      </c>
      <c r="W1865" s="4">
        <v>5.7</v>
      </c>
      <c r="X1865" s="4">
        <v>519.92999999999995</v>
      </c>
      <c r="Y1865" s="7" t="e">
        <f t="shared" ca="1" si="39"/>
        <v>#VALUE!</v>
      </c>
    </row>
    <row r="1866" spans="1:25" ht="15" x14ac:dyDescent="0.25">
      <c r="A1866" s="4">
        <v>1539</v>
      </c>
      <c r="C1866" s="12" t="s">
        <v>4030</v>
      </c>
      <c r="D1866" s="37"/>
      <c r="E1866" s="5" t="str">
        <f t="shared" si="35"/>
        <v>https://www.screener.in/company//consolidated/</v>
      </c>
      <c r="F1866" s="4">
        <v>443059</v>
      </c>
      <c r="G1866" s="4">
        <v>3832241897</v>
      </c>
      <c r="H1866" s="6" t="e">
        <f t="shared" ca="1" si="36"/>
        <v>#VALUE!</v>
      </c>
      <c r="I1866" s="7" t="str">
        <f ca="1">IFERROR(__xludf.DUMMYFUNCTION("IMPORTXML(E1866,""/html/body/main/div[3]/div[3]/div[2]/ul/li[5]/span[2]/span"")"),"Loading...")</f>
        <v>Loading...</v>
      </c>
      <c r="J1866" s="7" t="str">
        <f ca="1">IFERROR(__xludf.DUMMYFUNCTION("GOOGLEFINANCE(""NSE:""&amp;D1866,""marketcap"")"),"#N/A")</f>
        <v>#N/A</v>
      </c>
      <c r="K1866" s="7">
        <v>992.8</v>
      </c>
      <c r="L1866" s="8" t="str">
        <f ca="1">IFERROR(__xludf.DUMMYFUNCTION("GOOGLEFINANCE(""NSE:""&amp;D1866,""price"")"),"#N/A")</f>
        <v>#N/A</v>
      </c>
      <c r="M1866" s="9" t="e">
        <f t="shared" ca="1" si="37"/>
        <v>#VALUE!</v>
      </c>
      <c r="N1866" s="10" t="e">
        <f t="shared" ca="1" si="38"/>
        <v>#VALUE!</v>
      </c>
      <c r="O1866" s="7" t="str">
        <f ca="1">IFERROR(__xludf.DUMMYFUNCTION("GOOGLEFINANCE(""NSE:""&amp;D1866,""pe"")"),"#N/A")</f>
        <v>#N/A</v>
      </c>
      <c r="P1866" s="7" t="str">
        <f ca="1">IFERROR(__xludf.DUMMYFUNCTION("GOOGLEFINANCE(""NSE:""&amp;D1866,""EPS"")"),"#N/A")</f>
        <v>#N/A</v>
      </c>
      <c r="Q1866" s="7">
        <v>13.5</v>
      </c>
      <c r="R1866" s="7" t="str">
        <f ca="1">IFERROR(__xludf.DUMMYFUNCTION("IMPORTXML(E1866,""/html/body/main/div[3]/div[3]/div[2]/ul/li[7]/span[2]/span"")"),"Loading...")</f>
        <v>Loading...</v>
      </c>
      <c r="S1866" s="7" t="str">
        <f ca="1">IFERROR(__xludf.DUMMYFUNCTION("IMPORTXML(E1866,""/html/body/main/div[3]/div[3]/div[2]/ul/li[8]/span[2]/span"")"),"Loading...")</f>
        <v>Loading...</v>
      </c>
      <c r="T1866" s="4">
        <v>34.6</v>
      </c>
      <c r="U1866" s="4">
        <v>22.7</v>
      </c>
      <c r="V1866" s="4">
        <v>2.6</v>
      </c>
      <c r="W1866" s="4">
        <v>5.7</v>
      </c>
      <c r="X1866" s="4">
        <v>519.92999999999995</v>
      </c>
      <c r="Y1866" s="7" t="e">
        <f t="shared" ca="1" si="39"/>
        <v>#VALUE!</v>
      </c>
    </row>
    <row r="1867" spans="1:25" ht="15" x14ac:dyDescent="0.25">
      <c r="A1867" s="4">
        <v>1541</v>
      </c>
      <c r="C1867" s="12" t="s">
        <v>4031</v>
      </c>
      <c r="D1867" s="12" t="s">
        <v>4032</v>
      </c>
      <c r="E1867" s="5" t="str">
        <f t="shared" si="35"/>
        <v>https://www.screener.in/company/KOTHARIPRO/consolidated/</v>
      </c>
      <c r="F1867" s="4">
        <v>443059</v>
      </c>
      <c r="G1867" s="4">
        <v>3832241897</v>
      </c>
      <c r="H1867" s="6">
        <f t="shared" ca="1" si="36"/>
        <v>28699.659566633003</v>
      </c>
      <c r="I1867" s="7" t="str">
        <f ca="1">IFERROR(__xludf.DUMMYFUNCTION("IMPORTXML(E1867,""/html/body/main/div[3]/div[3]/div[2]/ul/li[5]/span[2]/span"")"),"Loading...")</f>
        <v>Loading...</v>
      </c>
      <c r="J1867" s="7">
        <f ca="1">IFERROR(__xludf.DUMMYFUNCTION("GOOGLEFINANCE(""NSE:""&amp;D1867,""marketcap"")"),4470013314)</f>
        <v>4470013314</v>
      </c>
      <c r="K1867" s="7">
        <v>992.8</v>
      </c>
      <c r="L1867" s="8">
        <f ca="1">IFERROR(__xludf.DUMMYFUNCTION("GOOGLEFINANCE(""NSE:""&amp;D1867,""price"")"),74.89)</f>
        <v>74.89</v>
      </c>
      <c r="M1867" s="9">
        <f t="shared" ca="1" si="37"/>
        <v>-917.91</v>
      </c>
      <c r="N1867" s="10">
        <f t="shared" ca="1" si="38"/>
        <v>-92.456688154713945</v>
      </c>
      <c r="O1867" s="7" t="str">
        <f ca="1">IFERROR(__xludf.DUMMYFUNCTION("GOOGLEFINANCE(""NSE:""&amp;D1867,""pe"")"),"#N/A")</f>
        <v>#N/A</v>
      </c>
      <c r="P1867" s="7">
        <f ca="1">IFERROR(__xludf.DUMMYFUNCTION("GOOGLEFINANCE(""NSE:""&amp;D1867,""EPS"")"),-13.81)</f>
        <v>-13.81</v>
      </c>
      <c r="Q1867" s="7">
        <v>13.5</v>
      </c>
      <c r="R1867" s="7" t="str">
        <f ca="1">IFERROR(__xludf.DUMMYFUNCTION("IMPORTXML(E1867,""/html/body/main/div[3]/div[3]/div[2]/ul/li[7]/span[2]/span"")"),"Loading...")</f>
        <v>Loading...</v>
      </c>
      <c r="S1867" s="7" t="str">
        <f ca="1">IFERROR(__xludf.DUMMYFUNCTION("IMPORTXML(E1867,""/html/body/main/div[3]/div[3]/div[2]/ul/li[8]/span[2]/span"")"),"Loading...")</f>
        <v>Loading...</v>
      </c>
      <c r="T1867" s="4">
        <v>34.6</v>
      </c>
      <c r="U1867" s="4">
        <v>22.7</v>
      </c>
      <c r="V1867" s="4">
        <v>2.6</v>
      </c>
      <c r="W1867" s="4">
        <v>5.7</v>
      </c>
      <c r="X1867" s="4">
        <v>519.92999999999995</v>
      </c>
      <c r="Y1867" s="7">
        <f t="shared" ca="1" si="39"/>
        <v>-445.03999999999996</v>
      </c>
    </row>
    <row r="1868" spans="1:25" ht="15" x14ac:dyDescent="0.25">
      <c r="A1868" s="4">
        <v>1542</v>
      </c>
      <c r="C1868" s="41" t="s">
        <v>4033</v>
      </c>
      <c r="D1868" s="42"/>
      <c r="E1868" s="5" t="str">
        <f t="shared" si="35"/>
        <v>https://www.screener.in/company//consolidated/</v>
      </c>
      <c r="F1868" s="4">
        <v>443059</v>
      </c>
      <c r="G1868" s="4">
        <v>3832241897</v>
      </c>
      <c r="H1868" s="6" t="e">
        <f t="shared" ca="1" si="36"/>
        <v>#VALUE!</v>
      </c>
      <c r="I1868" s="7" t="str">
        <f ca="1">IFERROR(__xludf.DUMMYFUNCTION("IMPORTXML(E1868,""/html/body/main/div[3]/div[3]/div[2]/ul/li[5]/span[2]/span"")"),"Loading...")</f>
        <v>Loading...</v>
      </c>
      <c r="J1868" s="7" t="str">
        <f ca="1">IFERROR(__xludf.DUMMYFUNCTION("GOOGLEFINANCE(""NSE:""&amp;D1868,""marketcap"")"),"#N/A")</f>
        <v>#N/A</v>
      </c>
      <c r="K1868" s="7">
        <v>992.8</v>
      </c>
      <c r="L1868" s="8" t="str">
        <f ca="1">IFERROR(__xludf.DUMMYFUNCTION("GOOGLEFINANCE(""NSE:""&amp;D1868,""price"")"),"#N/A")</f>
        <v>#N/A</v>
      </c>
      <c r="M1868" s="9" t="e">
        <f t="shared" ca="1" si="37"/>
        <v>#VALUE!</v>
      </c>
      <c r="N1868" s="10" t="e">
        <f t="shared" ca="1" si="38"/>
        <v>#VALUE!</v>
      </c>
      <c r="O1868" s="7" t="str">
        <f ca="1">IFERROR(__xludf.DUMMYFUNCTION("GOOGLEFINANCE(""NSE:""&amp;D1868,""pe"")"),"#N/A")</f>
        <v>#N/A</v>
      </c>
      <c r="P1868" s="7" t="str">
        <f ca="1">IFERROR(__xludf.DUMMYFUNCTION("GOOGLEFINANCE(""NSE:""&amp;D1868,""EPS"")"),"#N/A")</f>
        <v>#N/A</v>
      </c>
      <c r="Q1868" s="7">
        <v>13.5</v>
      </c>
      <c r="R1868" s="7" t="str">
        <f ca="1">IFERROR(__xludf.DUMMYFUNCTION("IMPORTXML(E1868,""/html/body/main/div[3]/div[3]/div[2]/ul/li[7]/span[2]/span"")"),"Loading...")</f>
        <v>Loading...</v>
      </c>
      <c r="S1868" s="7" t="str">
        <f ca="1">IFERROR(__xludf.DUMMYFUNCTION("IMPORTXML(E1868,""/html/body/main/div[3]/div[3]/div[2]/ul/li[8]/span[2]/span"")"),"Loading...")</f>
        <v>Loading...</v>
      </c>
      <c r="T1868" s="4">
        <v>34.6</v>
      </c>
      <c r="U1868" s="4">
        <v>22.7</v>
      </c>
      <c r="V1868" s="4">
        <v>2.6</v>
      </c>
      <c r="W1868" s="4">
        <v>5.7</v>
      </c>
      <c r="X1868" s="4">
        <v>519.92999999999995</v>
      </c>
      <c r="Y1868" s="7" t="e">
        <f t="shared" ca="1" si="39"/>
        <v>#VALUE!</v>
      </c>
    </row>
    <row r="1869" spans="1:25" ht="15" x14ac:dyDescent="0.25">
      <c r="A1869" s="4">
        <v>1545</v>
      </c>
      <c r="C1869" s="12" t="s">
        <v>4034</v>
      </c>
      <c r="D1869" s="12" t="s">
        <v>4035</v>
      </c>
      <c r="E1869" s="5" t="str">
        <f t="shared" si="35"/>
        <v>https://www.screener.in/company/MEGASOFT/consolidated/</v>
      </c>
      <c r="F1869" s="4">
        <v>443059</v>
      </c>
      <c r="G1869" s="4">
        <v>3832241897</v>
      </c>
      <c r="H1869" s="6">
        <f t="shared" ca="1" si="36"/>
        <v>55375.895411650003</v>
      </c>
      <c r="I1869" s="7" t="str">
        <f ca="1">IFERROR(__xludf.DUMMYFUNCTION("IMPORTXML(E1869,""/html/body/main/div[3]/div[3]/div[2]/ul/li[5]/span[2]/span"")"),"Loading...")</f>
        <v>Loading...</v>
      </c>
      <c r="J1869" s="7">
        <f ca="1">IFERROR(__xludf.DUMMYFUNCTION("GOOGLEFINANCE(""NSE:""&amp;D1869,""marketcap"")"),10659772225)</f>
        <v>10659772225</v>
      </c>
      <c r="K1869" s="7">
        <v>992.8</v>
      </c>
      <c r="L1869" s="8">
        <f ca="1">IFERROR(__xludf.DUMMYFUNCTION("GOOGLEFINANCE(""NSE:""&amp;D1869,""price"")"),144.5)</f>
        <v>144.5</v>
      </c>
      <c r="M1869" s="9">
        <f t="shared" ca="1" si="37"/>
        <v>-848.3</v>
      </c>
      <c r="N1869" s="10">
        <f t="shared" ca="1" si="38"/>
        <v>-85.445205479452056</v>
      </c>
      <c r="O1869" s="7">
        <f ca="1">IFERROR(__xludf.DUMMYFUNCTION("GOOGLEFINANCE(""NSE:""&amp;D1869,""pe"")"),8.66)</f>
        <v>8.66</v>
      </c>
      <c r="P1869" s="7">
        <f ca="1">IFERROR(__xludf.DUMMYFUNCTION("GOOGLEFINANCE(""NSE:""&amp;D1869,""EPS"")"),16.68)</f>
        <v>16.68</v>
      </c>
      <c r="Q1869" s="7">
        <v>13.5</v>
      </c>
      <c r="R1869" s="7" t="str">
        <f ca="1">IFERROR(__xludf.DUMMYFUNCTION("IMPORTXML(E1869,""/html/body/main/div[3]/div[3]/div[2]/ul/li[7]/span[2]/span"")"),"Loading...")</f>
        <v>Loading...</v>
      </c>
      <c r="S1869" s="7" t="str">
        <f ca="1">IFERROR(__xludf.DUMMYFUNCTION("IMPORTXML(E1869,""/html/body/main/div[3]/div[3]/div[2]/ul/li[8]/span[2]/span"")"),"Loading...")</f>
        <v>Loading...</v>
      </c>
      <c r="T1869" s="4">
        <v>34.6</v>
      </c>
      <c r="U1869" s="4">
        <v>22.7</v>
      </c>
      <c r="V1869" s="4">
        <v>2.6</v>
      </c>
      <c r="W1869" s="4">
        <v>5.7</v>
      </c>
      <c r="X1869" s="4">
        <v>519.92999999999995</v>
      </c>
      <c r="Y1869" s="7">
        <f t="shared" ca="1" si="39"/>
        <v>-375.42999999999995</v>
      </c>
    </row>
    <row r="1870" spans="1:25" ht="15" x14ac:dyDescent="0.25">
      <c r="A1870" s="4">
        <v>1546</v>
      </c>
      <c r="C1870" s="41" t="s">
        <v>4036</v>
      </c>
      <c r="D1870" s="42"/>
      <c r="E1870" s="5" t="str">
        <f t="shared" si="35"/>
        <v>https://www.screener.in/company//consolidated/</v>
      </c>
      <c r="F1870" s="4">
        <v>443059</v>
      </c>
      <c r="G1870" s="4">
        <v>3832241897</v>
      </c>
      <c r="H1870" s="6" t="e">
        <f t="shared" ca="1" si="36"/>
        <v>#VALUE!</v>
      </c>
      <c r="I1870" s="7" t="str">
        <f ca="1">IFERROR(__xludf.DUMMYFUNCTION("IMPORTXML(E1870,""/html/body/main/div[3]/div[3]/div[2]/ul/li[5]/span[2]/span"")"),"Loading...")</f>
        <v>Loading...</v>
      </c>
      <c r="J1870" s="7" t="str">
        <f ca="1">IFERROR(__xludf.DUMMYFUNCTION("GOOGLEFINANCE(""NSE:""&amp;D1870,""marketcap"")"),"#N/A")</f>
        <v>#N/A</v>
      </c>
      <c r="K1870" s="7">
        <v>992.8</v>
      </c>
      <c r="L1870" s="8" t="str">
        <f ca="1">IFERROR(__xludf.DUMMYFUNCTION("GOOGLEFINANCE(""NSE:""&amp;D1870,""price"")"),"#N/A")</f>
        <v>#N/A</v>
      </c>
      <c r="M1870" s="9" t="e">
        <f t="shared" ca="1" si="37"/>
        <v>#VALUE!</v>
      </c>
      <c r="N1870" s="10" t="e">
        <f t="shared" ca="1" si="38"/>
        <v>#VALUE!</v>
      </c>
      <c r="O1870" s="7" t="str">
        <f ca="1">IFERROR(__xludf.DUMMYFUNCTION("GOOGLEFINANCE(""NSE:""&amp;D1870,""pe"")"),"#N/A")</f>
        <v>#N/A</v>
      </c>
      <c r="P1870" s="7" t="str">
        <f ca="1">IFERROR(__xludf.DUMMYFUNCTION("GOOGLEFINANCE(""NSE:""&amp;D1870,""EPS"")"),"#N/A")</f>
        <v>#N/A</v>
      </c>
      <c r="Q1870" s="7">
        <v>13.5</v>
      </c>
      <c r="R1870" s="7" t="str">
        <f ca="1">IFERROR(__xludf.DUMMYFUNCTION("IMPORTXML(E1870,""/html/body/main/div[3]/div[3]/div[2]/ul/li[7]/span[2]/span"")"),"Loading...")</f>
        <v>Loading...</v>
      </c>
      <c r="S1870" s="7" t="str">
        <f ca="1">IFERROR(__xludf.DUMMYFUNCTION("IMPORTXML(E1870,""/html/body/main/div[3]/div[3]/div[2]/ul/li[8]/span[2]/span"")"),"Loading...")</f>
        <v>Loading...</v>
      </c>
      <c r="T1870" s="4">
        <v>34.6</v>
      </c>
      <c r="U1870" s="4">
        <v>22.7</v>
      </c>
      <c r="V1870" s="4">
        <v>2.6</v>
      </c>
      <c r="W1870" s="4">
        <v>5.7</v>
      </c>
      <c r="X1870" s="4">
        <v>519.92999999999995</v>
      </c>
      <c r="Y1870" s="7" t="e">
        <f t="shared" ca="1" si="39"/>
        <v>#VALUE!</v>
      </c>
    </row>
    <row r="1871" spans="1:25" ht="15" x14ac:dyDescent="0.25">
      <c r="A1871" s="4">
        <v>1547</v>
      </c>
      <c r="C1871" s="12" t="s">
        <v>4037</v>
      </c>
      <c r="D1871" s="12" t="s">
        <v>4038</v>
      </c>
      <c r="E1871" s="5" t="str">
        <f t="shared" si="35"/>
        <v>https://www.screener.in/company/IL&amp;FSENGG/consolidated/</v>
      </c>
      <c r="F1871" s="4">
        <v>443059</v>
      </c>
      <c r="G1871" s="4">
        <v>3832241897</v>
      </c>
      <c r="H1871" s="6">
        <f t="shared" ca="1" si="36"/>
        <v>12646.398260100001</v>
      </c>
      <c r="I1871" s="7" t="str">
        <f ca="1">IFERROR(__xludf.DUMMYFUNCTION("IMPORTXML(E1871,""/html/body/main/div[3]/div[3]/div[2]/ul/li[5]/span[2]/span"")"),"Loading...")</f>
        <v>Loading...</v>
      </c>
      <c r="J1871" s="7">
        <f ca="1">IFERROR(__xludf.DUMMYFUNCTION("GOOGLEFINANCE(""NSE:""&amp;D1871,""marketcap"")"),4326996000)</f>
        <v>4326996000</v>
      </c>
      <c r="K1871" s="7">
        <v>992.8</v>
      </c>
      <c r="L1871" s="8">
        <f ca="1">IFERROR(__xludf.DUMMYFUNCTION("GOOGLEFINANCE(""NSE:""&amp;D1871,""price"")"),33)</f>
        <v>33</v>
      </c>
      <c r="M1871" s="9">
        <f t="shared" ca="1" si="37"/>
        <v>-959.8</v>
      </c>
      <c r="N1871" s="10">
        <f t="shared" ca="1" si="38"/>
        <v>-96.676067687348905</v>
      </c>
      <c r="O1871" s="7" t="str">
        <f ca="1">IFERROR(__xludf.DUMMYFUNCTION("GOOGLEFINANCE(""NSE:""&amp;D1871,""pe"")"),"#N/A")</f>
        <v>#N/A</v>
      </c>
      <c r="P1871" s="7">
        <f ca="1">IFERROR(__xludf.DUMMYFUNCTION("GOOGLEFINANCE(""NSE:""&amp;D1871,""EPS"")"),-0.37)</f>
        <v>-0.37</v>
      </c>
      <c r="Q1871" s="7">
        <v>13.5</v>
      </c>
      <c r="R1871" s="7" t="str">
        <f ca="1">IFERROR(__xludf.DUMMYFUNCTION("IMPORTXML(E1871,""/html/body/main/div[3]/div[3]/div[2]/ul/li[7]/span[2]/span"")"),"Loading...")</f>
        <v>Loading...</v>
      </c>
      <c r="S1871" s="7" t="str">
        <f ca="1">IFERROR(__xludf.DUMMYFUNCTION("IMPORTXML(E1871,""/html/body/main/div[3]/div[3]/div[2]/ul/li[8]/span[2]/span"")"),"Loading...")</f>
        <v>Loading...</v>
      </c>
      <c r="T1871" s="4">
        <v>34.6</v>
      </c>
      <c r="U1871" s="4">
        <v>22.7</v>
      </c>
      <c r="V1871" s="4">
        <v>2.6</v>
      </c>
      <c r="W1871" s="4">
        <v>5.7</v>
      </c>
      <c r="X1871" s="4">
        <v>519.92999999999995</v>
      </c>
      <c r="Y1871" s="7">
        <f t="shared" ca="1" si="39"/>
        <v>-486.92999999999995</v>
      </c>
    </row>
    <row r="1872" spans="1:25" ht="15" x14ac:dyDescent="0.25">
      <c r="A1872" s="4">
        <v>1548</v>
      </c>
      <c r="C1872" s="41" t="s">
        <v>4039</v>
      </c>
      <c r="D1872" s="42"/>
      <c r="E1872" s="5" t="str">
        <f t="shared" si="35"/>
        <v>https://www.screener.in/company//consolidated/</v>
      </c>
      <c r="F1872" s="4">
        <v>443059</v>
      </c>
      <c r="G1872" s="4">
        <v>3832241897</v>
      </c>
      <c r="H1872" s="6" t="e">
        <f t="shared" ca="1" si="36"/>
        <v>#VALUE!</v>
      </c>
      <c r="I1872" s="7" t="str">
        <f ca="1">IFERROR(__xludf.DUMMYFUNCTION("IMPORTXML(E1872,""/html/body/main/div[3]/div[3]/div[2]/ul/li[5]/span[2]/span"")"),"Loading...")</f>
        <v>Loading...</v>
      </c>
      <c r="J1872" s="7" t="str">
        <f ca="1">IFERROR(__xludf.DUMMYFUNCTION("GOOGLEFINANCE(""NSE:""&amp;D1872,""marketcap"")"),"#N/A")</f>
        <v>#N/A</v>
      </c>
      <c r="K1872" s="7">
        <v>992.8</v>
      </c>
      <c r="L1872" s="8" t="str">
        <f ca="1">IFERROR(__xludf.DUMMYFUNCTION("GOOGLEFINANCE(""NSE:""&amp;D1872,""price"")"),"#N/A")</f>
        <v>#N/A</v>
      </c>
      <c r="M1872" s="9" t="e">
        <f t="shared" ca="1" si="37"/>
        <v>#VALUE!</v>
      </c>
      <c r="N1872" s="10" t="e">
        <f t="shared" ca="1" si="38"/>
        <v>#VALUE!</v>
      </c>
      <c r="O1872" s="7" t="str">
        <f ca="1">IFERROR(__xludf.DUMMYFUNCTION("GOOGLEFINANCE(""NSE:""&amp;D1872,""pe"")"),"#N/A")</f>
        <v>#N/A</v>
      </c>
      <c r="P1872" s="7" t="str">
        <f ca="1">IFERROR(__xludf.DUMMYFUNCTION("GOOGLEFINANCE(""NSE:""&amp;D1872,""EPS"")"),"#N/A")</f>
        <v>#N/A</v>
      </c>
      <c r="Q1872" s="7">
        <v>13.5</v>
      </c>
      <c r="R1872" s="7" t="str">
        <f ca="1">IFERROR(__xludf.DUMMYFUNCTION("IMPORTXML(E1872,""/html/body/main/div[3]/div[3]/div[2]/ul/li[7]/span[2]/span"")"),"Loading...")</f>
        <v>Loading...</v>
      </c>
      <c r="S1872" s="7" t="str">
        <f ca="1">IFERROR(__xludf.DUMMYFUNCTION("IMPORTXML(E1872,""/html/body/main/div[3]/div[3]/div[2]/ul/li[8]/span[2]/span"")"),"Loading...")</f>
        <v>Loading...</v>
      </c>
      <c r="T1872" s="4">
        <v>34.6</v>
      </c>
      <c r="U1872" s="4">
        <v>22.7</v>
      </c>
      <c r="V1872" s="4">
        <v>2.6</v>
      </c>
      <c r="W1872" s="4">
        <v>5.7</v>
      </c>
      <c r="X1872" s="4">
        <v>519.92999999999995</v>
      </c>
      <c r="Y1872" s="7" t="e">
        <f t="shared" ca="1" si="39"/>
        <v>#VALUE!</v>
      </c>
    </row>
    <row r="1873" spans="1:25" ht="15" x14ac:dyDescent="0.25">
      <c r="A1873" s="4">
        <v>1549</v>
      </c>
      <c r="C1873" s="41" t="s">
        <v>4040</v>
      </c>
      <c r="D1873" s="42"/>
      <c r="E1873" s="5" t="str">
        <f t="shared" si="35"/>
        <v>https://www.screener.in/company//consolidated/</v>
      </c>
      <c r="F1873" s="4">
        <v>443059</v>
      </c>
      <c r="G1873" s="4">
        <v>3832241897</v>
      </c>
      <c r="H1873" s="6" t="e">
        <f t="shared" ca="1" si="36"/>
        <v>#VALUE!</v>
      </c>
      <c r="I1873" s="7" t="str">
        <f ca="1">IFERROR(__xludf.DUMMYFUNCTION("IMPORTXML(E1873,""/html/body/main/div[3]/div[3]/div[2]/ul/li[5]/span[2]/span"")"),"Loading...")</f>
        <v>Loading...</v>
      </c>
      <c r="J1873" s="7" t="str">
        <f ca="1">IFERROR(__xludf.DUMMYFUNCTION("GOOGLEFINANCE(""NSE:""&amp;D1873,""marketcap"")"),"#N/A")</f>
        <v>#N/A</v>
      </c>
      <c r="K1873" s="7">
        <v>992.8</v>
      </c>
      <c r="L1873" s="8" t="str">
        <f ca="1">IFERROR(__xludf.DUMMYFUNCTION("GOOGLEFINANCE(""NSE:""&amp;D1873,""price"")"),"#N/A")</f>
        <v>#N/A</v>
      </c>
      <c r="M1873" s="9" t="e">
        <f t="shared" ca="1" si="37"/>
        <v>#VALUE!</v>
      </c>
      <c r="N1873" s="10" t="e">
        <f t="shared" ca="1" si="38"/>
        <v>#VALUE!</v>
      </c>
      <c r="O1873" s="7" t="str">
        <f ca="1">IFERROR(__xludf.DUMMYFUNCTION("GOOGLEFINANCE(""NSE:""&amp;D1873,""pe"")"),"#N/A")</f>
        <v>#N/A</v>
      </c>
      <c r="P1873" s="7" t="str">
        <f ca="1">IFERROR(__xludf.DUMMYFUNCTION("GOOGLEFINANCE(""NSE:""&amp;D1873,""EPS"")"),"#N/A")</f>
        <v>#N/A</v>
      </c>
      <c r="Q1873" s="7">
        <v>13.5</v>
      </c>
      <c r="R1873" s="7" t="str">
        <f ca="1">IFERROR(__xludf.DUMMYFUNCTION("IMPORTXML(E1873,""/html/body/main/div[3]/div[3]/div[2]/ul/li[7]/span[2]/span"")"),"Loading...")</f>
        <v>Loading...</v>
      </c>
      <c r="S1873" s="7" t="str">
        <f ca="1">IFERROR(__xludf.DUMMYFUNCTION("IMPORTXML(E1873,""/html/body/main/div[3]/div[3]/div[2]/ul/li[8]/span[2]/span"")"),"Loading...")</f>
        <v>Loading...</v>
      </c>
      <c r="T1873" s="4">
        <v>34.6</v>
      </c>
      <c r="U1873" s="4">
        <v>22.7</v>
      </c>
      <c r="V1873" s="4">
        <v>2.6</v>
      </c>
      <c r="W1873" s="4">
        <v>5.7</v>
      </c>
      <c r="X1873" s="4">
        <v>519.92999999999995</v>
      </c>
      <c r="Y1873" s="7" t="e">
        <f t="shared" ca="1" si="39"/>
        <v>#VALUE!</v>
      </c>
    </row>
    <row r="1874" spans="1:25" ht="15" x14ac:dyDescent="0.25">
      <c r="A1874" s="4">
        <v>1550</v>
      </c>
      <c r="C1874" s="41" t="s">
        <v>4041</v>
      </c>
      <c r="D1874" s="42"/>
      <c r="E1874" s="5" t="str">
        <f t="shared" si="35"/>
        <v>https://www.screener.in/company//consolidated/</v>
      </c>
      <c r="F1874" s="4">
        <v>443059</v>
      </c>
      <c r="G1874" s="4">
        <v>3832241897</v>
      </c>
      <c r="H1874" s="6" t="e">
        <f t="shared" ca="1" si="36"/>
        <v>#VALUE!</v>
      </c>
      <c r="I1874" s="7" t="str">
        <f ca="1">IFERROR(__xludf.DUMMYFUNCTION("IMPORTXML(E1874,""/html/body/main/div[3]/div[3]/div[2]/ul/li[5]/span[2]/span"")"),"Loading...")</f>
        <v>Loading...</v>
      </c>
      <c r="J1874" s="7" t="str">
        <f ca="1">IFERROR(__xludf.DUMMYFUNCTION("GOOGLEFINANCE(""NSE:""&amp;D1874,""marketcap"")"),"#N/A")</f>
        <v>#N/A</v>
      </c>
      <c r="K1874" s="7">
        <v>992.8</v>
      </c>
      <c r="L1874" s="8" t="str">
        <f ca="1">IFERROR(__xludf.DUMMYFUNCTION("GOOGLEFINANCE(""NSE:""&amp;D1874,""price"")"),"#N/A")</f>
        <v>#N/A</v>
      </c>
      <c r="M1874" s="9" t="e">
        <f t="shared" ca="1" si="37"/>
        <v>#VALUE!</v>
      </c>
      <c r="N1874" s="10" t="e">
        <f t="shared" ca="1" si="38"/>
        <v>#VALUE!</v>
      </c>
      <c r="O1874" s="7" t="str">
        <f ca="1">IFERROR(__xludf.DUMMYFUNCTION("GOOGLEFINANCE(""NSE:""&amp;D1874,""pe"")"),"#N/A")</f>
        <v>#N/A</v>
      </c>
      <c r="P1874" s="7" t="str">
        <f ca="1">IFERROR(__xludf.DUMMYFUNCTION("GOOGLEFINANCE(""NSE:""&amp;D1874,""EPS"")"),"#N/A")</f>
        <v>#N/A</v>
      </c>
      <c r="Q1874" s="7">
        <v>13.5</v>
      </c>
      <c r="R1874" s="7" t="str">
        <f ca="1">IFERROR(__xludf.DUMMYFUNCTION("IMPORTXML(E1874,""/html/body/main/div[3]/div[3]/div[2]/ul/li[7]/span[2]/span"")"),"Loading...")</f>
        <v>Loading...</v>
      </c>
      <c r="S1874" s="7" t="str">
        <f ca="1">IFERROR(__xludf.DUMMYFUNCTION("IMPORTXML(E1874,""/html/body/main/div[3]/div[3]/div[2]/ul/li[8]/span[2]/span"")"),"Loading...")</f>
        <v>Loading...</v>
      </c>
      <c r="T1874" s="4">
        <v>34.6</v>
      </c>
      <c r="U1874" s="4">
        <v>22.7</v>
      </c>
      <c r="V1874" s="4">
        <v>2.6</v>
      </c>
      <c r="W1874" s="4">
        <v>5.7</v>
      </c>
      <c r="X1874" s="4">
        <v>519.92999999999995</v>
      </c>
      <c r="Y1874" s="7" t="e">
        <f t="shared" ca="1" si="39"/>
        <v>#VALUE!</v>
      </c>
    </row>
    <row r="1875" spans="1:25" ht="15" x14ac:dyDescent="0.25">
      <c r="A1875" s="4">
        <v>1551</v>
      </c>
      <c r="C1875" s="41" t="s">
        <v>4042</v>
      </c>
      <c r="D1875" s="42"/>
      <c r="E1875" s="5" t="str">
        <f t="shared" si="35"/>
        <v>https://www.screener.in/company//consolidated/</v>
      </c>
      <c r="F1875" s="4">
        <v>443059</v>
      </c>
      <c r="G1875" s="4">
        <v>3832241897</v>
      </c>
      <c r="H1875" s="6" t="e">
        <f t="shared" ca="1" si="36"/>
        <v>#VALUE!</v>
      </c>
      <c r="I1875" s="7" t="str">
        <f ca="1">IFERROR(__xludf.DUMMYFUNCTION("IMPORTXML(E1875,""/html/body/main/div[3]/div[3]/div[2]/ul/li[5]/span[2]/span"")"),"Loading...")</f>
        <v>Loading...</v>
      </c>
      <c r="J1875" s="7" t="str">
        <f ca="1">IFERROR(__xludf.DUMMYFUNCTION("GOOGLEFINANCE(""NSE:""&amp;D1875,""marketcap"")"),"#N/A")</f>
        <v>#N/A</v>
      </c>
      <c r="K1875" s="7">
        <v>992.8</v>
      </c>
      <c r="L1875" s="8" t="str">
        <f ca="1">IFERROR(__xludf.DUMMYFUNCTION("GOOGLEFINANCE(""NSE:""&amp;D1875,""price"")"),"#N/A")</f>
        <v>#N/A</v>
      </c>
      <c r="M1875" s="9" t="e">
        <f t="shared" ca="1" si="37"/>
        <v>#VALUE!</v>
      </c>
      <c r="N1875" s="10" t="e">
        <f t="shared" ca="1" si="38"/>
        <v>#VALUE!</v>
      </c>
      <c r="O1875" s="7" t="str">
        <f ca="1">IFERROR(__xludf.DUMMYFUNCTION("GOOGLEFINANCE(""NSE:""&amp;D1875,""pe"")"),"#N/A")</f>
        <v>#N/A</v>
      </c>
      <c r="P1875" s="7" t="str">
        <f ca="1">IFERROR(__xludf.DUMMYFUNCTION("GOOGLEFINANCE(""NSE:""&amp;D1875,""EPS"")"),"#N/A")</f>
        <v>#N/A</v>
      </c>
      <c r="Q1875" s="7">
        <v>13.5</v>
      </c>
      <c r="R1875" s="7" t="str">
        <f ca="1">IFERROR(__xludf.DUMMYFUNCTION("IMPORTXML(E1875,""/html/body/main/div[3]/div[3]/div[2]/ul/li[7]/span[2]/span"")"),"Loading...")</f>
        <v>Loading...</v>
      </c>
      <c r="S1875" s="7" t="str">
        <f ca="1">IFERROR(__xludf.DUMMYFUNCTION("IMPORTXML(E1875,""/html/body/main/div[3]/div[3]/div[2]/ul/li[8]/span[2]/span"")"),"Loading...")</f>
        <v>Loading...</v>
      </c>
      <c r="T1875" s="4">
        <v>34.6</v>
      </c>
      <c r="U1875" s="4">
        <v>22.7</v>
      </c>
      <c r="V1875" s="4">
        <v>2.6</v>
      </c>
      <c r="W1875" s="4">
        <v>5.7</v>
      </c>
      <c r="X1875" s="4">
        <v>519.92999999999995</v>
      </c>
      <c r="Y1875" s="7" t="e">
        <f t="shared" ca="1" si="39"/>
        <v>#VALUE!</v>
      </c>
    </row>
    <row r="1876" spans="1:25" ht="15" x14ac:dyDescent="0.25">
      <c r="A1876" s="4">
        <v>1556</v>
      </c>
      <c r="C1876" s="41" t="s">
        <v>4043</v>
      </c>
      <c r="D1876" s="42"/>
      <c r="E1876" s="5" t="str">
        <f t="shared" si="35"/>
        <v>https://www.screener.in/company//consolidated/</v>
      </c>
      <c r="F1876" s="4">
        <v>443059</v>
      </c>
      <c r="G1876" s="4">
        <v>3832241897</v>
      </c>
      <c r="H1876" s="6" t="e">
        <f t="shared" ca="1" si="36"/>
        <v>#VALUE!</v>
      </c>
      <c r="I1876" s="7" t="str">
        <f ca="1">IFERROR(__xludf.DUMMYFUNCTION("IMPORTXML(E1876,""/html/body/main/div[3]/div[3]/div[2]/ul/li[5]/span[2]/span"")"),"Loading...")</f>
        <v>Loading...</v>
      </c>
      <c r="J1876" s="7" t="str">
        <f ca="1">IFERROR(__xludf.DUMMYFUNCTION("GOOGLEFINANCE(""NSE:""&amp;D1876,""marketcap"")"),"#N/A")</f>
        <v>#N/A</v>
      </c>
      <c r="K1876" s="7">
        <v>992.8</v>
      </c>
      <c r="L1876" s="8" t="str">
        <f ca="1">IFERROR(__xludf.DUMMYFUNCTION("GOOGLEFINANCE(""NSE:""&amp;D1876,""price"")"),"#N/A")</f>
        <v>#N/A</v>
      </c>
      <c r="M1876" s="9" t="e">
        <f t="shared" ca="1" si="37"/>
        <v>#VALUE!</v>
      </c>
      <c r="N1876" s="10" t="e">
        <f t="shared" ca="1" si="38"/>
        <v>#VALUE!</v>
      </c>
      <c r="O1876" s="7" t="str">
        <f ca="1">IFERROR(__xludf.DUMMYFUNCTION("GOOGLEFINANCE(""NSE:""&amp;D1876,""pe"")"),"#N/A")</f>
        <v>#N/A</v>
      </c>
      <c r="P1876" s="7" t="str">
        <f ca="1">IFERROR(__xludf.DUMMYFUNCTION("GOOGLEFINANCE(""NSE:""&amp;D1876,""EPS"")"),"#N/A")</f>
        <v>#N/A</v>
      </c>
      <c r="Q1876" s="7">
        <v>13.5</v>
      </c>
      <c r="R1876" s="7" t="str">
        <f ca="1">IFERROR(__xludf.DUMMYFUNCTION("IMPORTXML(E1876,""/html/body/main/div[3]/div[3]/div[2]/ul/li[7]/span[2]/span"")"),"Loading...")</f>
        <v>Loading...</v>
      </c>
      <c r="S1876" s="7" t="str">
        <f ca="1">IFERROR(__xludf.DUMMYFUNCTION("IMPORTXML(E1876,""/html/body/main/div[3]/div[3]/div[2]/ul/li[8]/span[2]/span"")"),"Loading...")</f>
        <v>Loading...</v>
      </c>
      <c r="T1876" s="4">
        <v>34.6</v>
      </c>
      <c r="U1876" s="4">
        <v>22.7</v>
      </c>
      <c r="V1876" s="4">
        <v>2.6</v>
      </c>
      <c r="W1876" s="4">
        <v>5.7</v>
      </c>
      <c r="X1876" s="4">
        <v>519.92999999999995</v>
      </c>
      <c r="Y1876" s="7" t="e">
        <f t="shared" ca="1" si="39"/>
        <v>#VALUE!</v>
      </c>
    </row>
    <row r="1877" spans="1:25" ht="15" x14ac:dyDescent="0.25">
      <c r="A1877" s="4">
        <v>1559</v>
      </c>
      <c r="C1877" s="41" t="s">
        <v>4044</v>
      </c>
      <c r="D1877" s="42"/>
      <c r="E1877" s="5" t="str">
        <f t="shared" si="35"/>
        <v>https://www.screener.in/company//consolidated/</v>
      </c>
      <c r="F1877" s="4">
        <v>443059</v>
      </c>
      <c r="G1877" s="4">
        <v>3832241897</v>
      </c>
      <c r="H1877" s="6" t="e">
        <f t="shared" ca="1" si="36"/>
        <v>#VALUE!</v>
      </c>
      <c r="I1877" s="7" t="str">
        <f ca="1">IFERROR(__xludf.DUMMYFUNCTION("IMPORTXML(E1877,""/html/body/main/div[3]/div[3]/div[2]/ul/li[5]/span[2]/span"")"),"Loading...")</f>
        <v>Loading...</v>
      </c>
      <c r="J1877" s="7" t="str">
        <f ca="1">IFERROR(__xludf.DUMMYFUNCTION("GOOGLEFINANCE(""NSE:""&amp;D1877,""marketcap"")"),"#N/A")</f>
        <v>#N/A</v>
      </c>
      <c r="K1877" s="7">
        <v>992.8</v>
      </c>
      <c r="L1877" s="8" t="str">
        <f ca="1">IFERROR(__xludf.DUMMYFUNCTION("GOOGLEFINANCE(""NSE:""&amp;D1877,""price"")"),"#N/A")</f>
        <v>#N/A</v>
      </c>
      <c r="M1877" s="9" t="e">
        <f t="shared" ca="1" si="37"/>
        <v>#VALUE!</v>
      </c>
      <c r="N1877" s="10" t="e">
        <f t="shared" ca="1" si="38"/>
        <v>#VALUE!</v>
      </c>
      <c r="O1877" s="7" t="str">
        <f ca="1">IFERROR(__xludf.DUMMYFUNCTION("GOOGLEFINANCE(""NSE:""&amp;D1877,""pe"")"),"#N/A")</f>
        <v>#N/A</v>
      </c>
      <c r="P1877" s="7" t="str">
        <f ca="1">IFERROR(__xludf.DUMMYFUNCTION("GOOGLEFINANCE(""NSE:""&amp;D1877,""EPS"")"),"#N/A")</f>
        <v>#N/A</v>
      </c>
      <c r="Q1877" s="7">
        <v>13.5</v>
      </c>
      <c r="R1877" s="7" t="str">
        <f ca="1">IFERROR(__xludf.DUMMYFUNCTION("IMPORTXML(E1877,""/html/body/main/div[3]/div[3]/div[2]/ul/li[7]/span[2]/span"")"),"Loading...")</f>
        <v>Loading...</v>
      </c>
      <c r="S1877" s="7" t="str">
        <f ca="1">IFERROR(__xludf.DUMMYFUNCTION("IMPORTXML(E1877,""/html/body/main/div[3]/div[3]/div[2]/ul/li[8]/span[2]/span"")"),"Loading...")</f>
        <v>Loading...</v>
      </c>
      <c r="T1877" s="4">
        <v>34.6</v>
      </c>
      <c r="U1877" s="4">
        <v>22.7</v>
      </c>
      <c r="V1877" s="4">
        <v>2.6</v>
      </c>
      <c r="W1877" s="4">
        <v>5.7</v>
      </c>
      <c r="X1877" s="4">
        <v>519.92999999999995</v>
      </c>
      <c r="Y1877" s="7" t="e">
        <f t="shared" ca="1" si="39"/>
        <v>#VALUE!</v>
      </c>
    </row>
    <row r="1878" spans="1:25" ht="15" x14ac:dyDescent="0.25">
      <c r="A1878" s="4">
        <v>1560</v>
      </c>
      <c r="C1878" s="41" t="s">
        <v>4045</v>
      </c>
      <c r="D1878" s="42"/>
      <c r="E1878" s="5" t="str">
        <f t="shared" si="35"/>
        <v>https://www.screener.in/company//consolidated/</v>
      </c>
      <c r="F1878" s="4">
        <v>443059</v>
      </c>
      <c r="G1878" s="4">
        <v>3832241897</v>
      </c>
      <c r="H1878" s="6" t="e">
        <f t="shared" ca="1" si="36"/>
        <v>#VALUE!</v>
      </c>
      <c r="I1878" s="7" t="str">
        <f ca="1">IFERROR(__xludf.DUMMYFUNCTION("IMPORTXML(E1878,""/html/body/main/div[3]/div[3]/div[2]/ul/li[5]/span[2]/span"")"),"Loading...")</f>
        <v>Loading...</v>
      </c>
      <c r="J1878" s="7" t="str">
        <f ca="1">IFERROR(__xludf.DUMMYFUNCTION("GOOGLEFINANCE(""NSE:""&amp;D1878,""marketcap"")"),"#N/A")</f>
        <v>#N/A</v>
      </c>
      <c r="K1878" s="7">
        <v>992.8</v>
      </c>
      <c r="L1878" s="8" t="str">
        <f ca="1">IFERROR(__xludf.DUMMYFUNCTION("GOOGLEFINANCE(""NSE:""&amp;D1878,""price"")"),"#N/A")</f>
        <v>#N/A</v>
      </c>
      <c r="M1878" s="9" t="e">
        <f t="shared" ca="1" si="37"/>
        <v>#VALUE!</v>
      </c>
      <c r="N1878" s="10" t="e">
        <f t="shared" ca="1" si="38"/>
        <v>#VALUE!</v>
      </c>
      <c r="O1878" s="7" t="str">
        <f ca="1">IFERROR(__xludf.DUMMYFUNCTION("GOOGLEFINANCE(""NSE:""&amp;D1878,""pe"")"),"#N/A")</f>
        <v>#N/A</v>
      </c>
      <c r="P1878" s="7" t="str">
        <f ca="1">IFERROR(__xludf.DUMMYFUNCTION("GOOGLEFINANCE(""NSE:""&amp;D1878,""EPS"")"),"#N/A")</f>
        <v>#N/A</v>
      </c>
      <c r="Q1878" s="7">
        <v>13.5</v>
      </c>
      <c r="R1878" s="7" t="str">
        <f ca="1">IFERROR(__xludf.DUMMYFUNCTION("IMPORTXML(E1878,""/html/body/main/div[3]/div[3]/div[2]/ul/li[7]/span[2]/span"")"),"Loading...")</f>
        <v>Loading...</v>
      </c>
      <c r="S1878" s="7" t="str">
        <f ca="1">IFERROR(__xludf.DUMMYFUNCTION("IMPORTXML(E1878,""/html/body/main/div[3]/div[3]/div[2]/ul/li[8]/span[2]/span"")"),"Loading...")</f>
        <v>Loading...</v>
      </c>
      <c r="T1878" s="4">
        <v>34.6</v>
      </c>
      <c r="U1878" s="4">
        <v>22.7</v>
      </c>
      <c r="V1878" s="4">
        <v>2.6</v>
      </c>
      <c r="W1878" s="4">
        <v>5.7</v>
      </c>
      <c r="X1878" s="4">
        <v>519.92999999999995</v>
      </c>
      <c r="Y1878" s="7" t="e">
        <f t="shared" ca="1" si="39"/>
        <v>#VALUE!</v>
      </c>
    </row>
    <row r="1879" spans="1:25" ht="15" x14ac:dyDescent="0.25">
      <c r="A1879" s="4">
        <v>1562</v>
      </c>
      <c r="C1879" s="41" t="s">
        <v>4046</v>
      </c>
      <c r="D1879" s="42"/>
      <c r="E1879" s="5" t="str">
        <f t="shared" si="35"/>
        <v>https://www.screener.in/company//consolidated/</v>
      </c>
      <c r="F1879" s="4">
        <v>443059</v>
      </c>
      <c r="G1879" s="4">
        <v>3832241897</v>
      </c>
      <c r="H1879" s="6" t="e">
        <f t="shared" ca="1" si="36"/>
        <v>#VALUE!</v>
      </c>
      <c r="I1879" s="7" t="str">
        <f ca="1">IFERROR(__xludf.DUMMYFUNCTION("IMPORTXML(E1879,""/html/body/main/div[3]/div[3]/div[2]/ul/li[5]/span[2]/span"")"),"Loading...")</f>
        <v>Loading...</v>
      </c>
      <c r="J1879" s="7" t="str">
        <f ca="1">IFERROR(__xludf.DUMMYFUNCTION("GOOGLEFINANCE(""NSE:""&amp;D1879,""marketcap"")"),"#N/A")</f>
        <v>#N/A</v>
      </c>
      <c r="K1879" s="7">
        <v>992.8</v>
      </c>
      <c r="L1879" s="8" t="str">
        <f ca="1">IFERROR(__xludf.DUMMYFUNCTION("GOOGLEFINANCE(""NSE:""&amp;D1879,""price"")"),"#N/A")</f>
        <v>#N/A</v>
      </c>
      <c r="M1879" s="9" t="e">
        <f t="shared" ca="1" si="37"/>
        <v>#VALUE!</v>
      </c>
      <c r="N1879" s="10" t="e">
        <f t="shared" ca="1" si="38"/>
        <v>#VALUE!</v>
      </c>
      <c r="O1879" s="7" t="str">
        <f ca="1">IFERROR(__xludf.DUMMYFUNCTION("GOOGLEFINANCE(""NSE:""&amp;D1879,""pe"")"),"#N/A")</f>
        <v>#N/A</v>
      </c>
      <c r="P1879" s="7" t="str">
        <f ca="1">IFERROR(__xludf.DUMMYFUNCTION("GOOGLEFINANCE(""NSE:""&amp;D1879,""EPS"")"),"#N/A")</f>
        <v>#N/A</v>
      </c>
      <c r="Q1879" s="7">
        <v>13.5</v>
      </c>
      <c r="R1879" s="7" t="str">
        <f ca="1">IFERROR(__xludf.DUMMYFUNCTION("IMPORTXML(E1879,""/html/body/main/div[3]/div[3]/div[2]/ul/li[7]/span[2]/span"")"),"Loading...")</f>
        <v>Loading...</v>
      </c>
      <c r="S1879" s="7" t="str">
        <f ca="1">IFERROR(__xludf.DUMMYFUNCTION("IMPORTXML(E1879,""/html/body/main/div[3]/div[3]/div[2]/ul/li[8]/span[2]/span"")"),"Loading...")</f>
        <v>Loading...</v>
      </c>
      <c r="T1879" s="4">
        <v>34.6</v>
      </c>
      <c r="U1879" s="4">
        <v>22.7</v>
      </c>
      <c r="V1879" s="4">
        <v>2.6</v>
      </c>
      <c r="W1879" s="4">
        <v>5.7</v>
      </c>
      <c r="X1879" s="4">
        <v>519.92999999999995</v>
      </c>
      <c r="Y1879" s="7" t="e">
        <f t="shared" ca="1" si="39"/>
        <v>#VALUE!</v>
      </c>
    </row>
    <row r="1880" spans="1:25" ht="15" x14ac:dyDescent="0.25">
      <c r="A1880" s="4">
        <v>1563</v>
      </c>
      <c r="C1880" s="12" t="s">
        <v>4047</v>
      </c>
      <c r="D1880" s="12" t="s">
        <v>4048</v>
      </c>
      <c r="E1880" s="5" t="str">
        <f t="shared" si="35"/>
        <v>https://www.screener.in/company/OCCLLTD/consolidated/</v>
      </c>
      <c r="F1880" s="4">
        <v>443059</v>
      </c>
      <c r="G1880" s="4">
        <v>3832241897</v>
      </c>
      <c r="H1880" s="6">
        <f t="shared" ca="1" si="36"/>
        <v>51344.376936005996</v>
      </c>
      <c r="I1880" s="7" t="str">
        <f ca="1">IFERROR(__xludf.DUMMYFUNCTION("IMPORTXML(E1880,""/html/body/main/div[3]/div[3]/div[2]/ul/li[5]/span[2]/span"")"),"Loading...")</f>
        <v>Loading...</v>
      </c>
      <c r="J1880" s="7">
        <f ca="1">IFERROR(__xludf.DUMMYFUNCTION("GOOGLEFINANCE(""NSE:""&amp;D1880,""marketcap"")"),6453682274)</f>
        <v>6453682274</v>
      </c>
      <c r="K1880" s="7">
        <v>992.8</v>
      </c>
      <c r="L1880" s="8">
        <f ca="1">IFERROR(__xludf.DUMMYFUNCTION("GOOGLEFINANCE(""NSE:""&amp;D1880,""price"")"),133.98)</f>
        <v>133.97999999999999</v>
      </c>
      <c r="M1880" s="9">
        <f t="shared" ca="1" si="37"/>
        <v>-858.81999999999994</v>
      </c>
      <c r="N1880" s="10">
        <f t="shared" ca="1" si="38"/>
        <v>-86.504834810636581</v>
      </c>
      <c r="O1880" s="7">
        <f ca="1">IFERROR(__xludf.DUMMYFUNCTION("GOOGLEFINANCE(""NSE:""&amp;D1880,""pe"")"),19.33)</f>
        <v>19.329999999999998</v>
      </c>
      <c r="P1880" s="7">
        <f ca="1">IFERROR(__xludf.DUMMYFUNCTION("GOOGLEFINANCE(""NSE:""&amp;D1880,""EPS"")"),6.93)</f>
        <v>6.93</v>
      </c>
      <c r="Q1880" s="7">
        <v>13.5</v>
      </c>
      <c r="R1880" s="7" t="str">
        <f ca="1">IFERROR(__xludf.DUMMYFUNCTION("IMPORTXML(E1880,""/html/body/main/div[3]/div[3]/div[2]/ul/li[7]/span[2]/span"")"),"Loading...")</f>
        <v>Loading...</v>
      </c>
      <c r="S1880" s="7" t="str">
        <f ca="1">IFERROR(__xludf.DUMMYFUNCTION("IMPORTXML(E1880,""/html/body/main/div[3]/div[3]/div[2]/ul/li[8]/span[2]/span"")"),"Loading...")</f>
        <v>Loading...</v>
      </c>
      <c r="T1880" s="4">
        <v>34.6</v>
      </c>
      <c r="U1880" s="4">
        <v>22.7</v>
      </c>
      <c r="V1880" s="4">
        <v>2.6</v>
      </c>
      <c r="W1880" s="4">
        <v>5.7</v>
      </c>
      <c r="X1880" s="4">
        <v>519.92999999999995</v>
      </c>
      <c r="Y1880" s="7">
        <f t="shared" ca="1" si="39"/>
        <v>-385.94999999999993</v>
      </c>
    </row>
    <row r="1881" spans="1:25" ht="15" x14ac:dyDescent="0.25">
      <c r="A1881" s="4">
        <v>1564</v>
      </c>
      <c r="C1881" s="41" t="s">
        <v>4049</v>
      </c>
      <c r="D1881" s="42"/>
      <c r="E1881" s="5" t="str">
        <f t="shared" si="35"/>
        <v>https://www.screener.in/company//consolidated/</v>
      </c>
      <c r="F1881" s="4">
        <v>443059</v>
      </c>
      <c r="G1881" s="4">
        <v>3832241897</v>
      </c>
      <c r="H1881" s="6" t="e">
        <f t="shared" ca="1" si="36"/>
        <v>#VALUE!</v>
      </c>
      <c r="I1881" s="7" t="str">
        <f ca="1">IFERROR(__xludf.DUMMYFUNCTION("IMPORTXML(E1881,""/html/body/main/div[3]/div[3]/div[2]/ul/li[5]/span[2]/span"")"),"Loading...")</f>
        <v>Loading...</v>
      </c>
      <c r="J1881" s="7" t="str">
        <f ca="1">IFERROR(__xludf.DUMMYFUNCTION("GOOGLEFINANCE(""NSE:""&amp;D1881,""marketcap"")"),"#N/A")</f>
        <v>#N/A</v>
      </c>
      <c r="K1881" s="7">
        <v>992.8</v>
      </c>
      <c r="L1881" s="8" t="str">
        <f ca="1">IFERROR(__xludf.DUMMYFUNCTION("GOOGLEFINANCE(""NSE:""&amp;D1881,""price"")"),"#N/A")</f>
        <v>#N/A</v>
      </c>
      <c r="M1881" s="9" t="e">
        <f t="shared" ca="1" si="37"/>
        <v>#VALUE!</v>
      </c>
      <c r="N1881" s="10" t="e">
        <f t="shared" ca="1" si="38"/>
        <v>#VALUE!</v>
      </c>
      <c r="O1881" s="7" t="str">
        <f ca="1">IFERROR(__xludf.DUMMYFUNCTION("GOOGLEFINANCE(""NSE:""&amp;D1881,""pe"")"),"#N/A")</f>
        <v>#N/A</v>
      </c>
      <c r="P1881" s="7" t="str">
        <f ca="1">IFERROR(__xludf.DUMMYFUNCTION("GOOGLEFINANCE(""NSE:""&amp;D1881,""EPS"")"),"#N/A")</f>
        <v>#N/A</v>
      </c>
      <c r="Q1881" s="7">
        <v>13.5</v>
      </c>
      <c r="R1881" s="7" t="str">
        <f ca="1">IFERROR(__xludf.DUMMYFUNCTION("IMPORTXML(E1881,""/html/body/main/div[3]/div[3]/div[2]/ul/li[7]/span[2]/span"")"),"Loading...")</f>
        <v>Loading...</v>
      </c>
      <c r="S1881" s="7" t="str">
        <f ca="1">IFERROR(__xludf.DUMMYFUNCTION("IMPORTXML(E1881,""/html/body/main/div[3]/div[3]/div[2]/ul/li[8]/span[2]/span"")"),"Loading...")</f>
        <v>Loading...</v>
      </c>
      <c r="T1881" s="4">
        <v>34.6</v>
      </c>
      <c r="U1881" s="4">
        <v>22.7</v>
      </c>
      <c r="V1881" s="4">
        <v>2.6</v>
      </c>
      <c r="W1881" s="4">
        <v>5.7</v>
      </c>
      <c r="X1881" s="4">
        <v>519.92999999999995</v>
      </c>
      <c r="Y1881" s="7" t="e">
        <f t="shared" ca="1" si="39"/>
        <v>#VALUE!</v>
      </c>
    </row>
    <row r="1882" spans="1:25" ht="15" x14ac:dyDescent="0.25">
      <c r="A1882" s="4">
        <v>1566</v>
      </c>
      <c r="C1882" s="41" t="s">
        <v>4050</v>
      </c>
      <c r="D1882" s="42"/>
      <c r="E1882" s="5" t="str">
        <f t="shared" si="35"/>
        <v>https://www.screener.in/company//consolidated/</v>
      </c>
      <c r="F1882" s="4">
        <v>443059</v>
      </c>
      <c r="G1882" s="4">
        <v>3832241897</v>
      </c>
      <c r="H1882" s="6" t="e">
        <f t="shared" ca="1" si="36"/>
        <v>#VALUE!</v>
      </c>
      <c r="I1882" s="7" t="str">
        <f ca="1">IFERROR(__xludf.DUMMYFUNCTION("IMPORTXML(E1882,""/html/body/main/div[3]/div[3]/div[2]/ul/li[5]/span[2]/span"")"),"Loading...")</f>
        <v>Loading...</v>
      </c>
      <c r="J1882" s="7" t="str">
        <f ca="1">IFERROR(__xludf.DUMMYFUNCTION("GOOGLEFINANCE(""NSE:""&amp;D1882,""marketcap"")"),"#N/A")</f>
        <v>#N/A</v>
      </c>
      <c r="K1882" s="7">
        <v>992.8</v>
      </c>
      <c r="L1882" s="8" t="str">
        <f ca="1">IFERROR(__xludf.DUMMYFUNCTION("GOOGLEFINANCE(""NSE:""&amp;D1882,""price"")"),"#N/A")</f>
        <v>#N/A</v>
      </c>
      <c r="M1882" s="9" t="e">
        <f t="shared" ca="1" si="37"/>
        <v>#VALUE!</v>
      </c>
      <c r="N1882" s="10" t="e">
        <f t="shared" ca="1" si="38"/>
        <v>#VALUE!</v>
      </c>
      <c r="O1882" s="7" t="str">
        <f ca="1">IFERROR(__xludf.DUMMYFUNCTION("GOOGLEFINANCE(""NSE:""&amp;D1882,""pe"")"),"#N/A")</f>
        <v>#N/A</v>
      </c>
      <c r="P1882" s="7" t="str">
        <f ca="1">IFERROR(__xludf.DUMMYFUNCTION("GOOGLEFINANCE(""NSE:""&amp;D1882,""EPS"")"),"#N/A")</f>
        <v>#N/A</v>
      </c>
      <c r="Q1882" s="7">
        <v>13.5</v>
      </c>
      <c r="R1882" s="7" t="str">
        <f ca="1">IFERROR(__xludf.DUMMYFUNCTION("IMPORTXML(E1882,""/html/body/main/div[3]/div[3]/div[2]/ul/li[7]/span[2]/span"")"),"Loading...")</f>
        <v>Loading...</v>
      </c>
      <c r="S1882" s="7" t="str">
        <f ca="1">IFERROR(__xludf.DUMMYFUNCTION("IMPORTXML(E1882,""/html/body/main/div[3]/div[3]/div[2]/ul/li[8]/span[2]/span"")"),"Loading...")</f>
        <v>Loading...</v>
      </c>
      <c r="T1882" s="4">
        <v>34.6</v>
      </c>
      <c r="U1882" s="4">
        <v>22.7</v>
      </c>
      <c r="V1882" s="4">
        <v>2.6</v>
      </c>
      <c r="W1882" s="4">
        <v>5.7</v>
      </c>
      <c r="X1882" s="4">
        <v>519.92999999999995</v>
      </c>
      <c r="Y1882" s="7" t="e">
        <f t="shared" ca="1" si="39"/>
        <v>#VALUE!</v>
      </c>
    </row>
    <row r="1883" spans="1:25" ht="15" x14ac:dyDescent="0.25">
      <c r="A1883" s="4">
        <v>1570</v>
      </c>
      <c r="C1883" s="12" t="s">
        <v>4051</v>
      </c>
      <c r="D1883" s="37"/>
      <c r="E1883" s="5" t="str">
        <f t="shared" si="35"/>
        <v>https://www.screener.in/company//consolidated/</v>
      </c>
      <c r="F1883" s="4">
        <v>443059</v>
      </c>
      <c r="G1883" s="4">
        <v>3832241897</v>
      </c>
      <c r="H1883" s="6" t="e">
        <f t="shared" ca="1" si="36"/>
        <v>#VALUE!</v>
      </c>
      <c r="I1883" s="7" t="str">
        <f ca="1">IFERROR(__xludf.DUMMYFUNCTION("IMPORTXML(E1883,""/html/body/main/div[3]/div[3]/div[2]/ul/li[5]/span[2]/span"")"),"Loading...")</f>
        <v>Loading...</v>
      </c>
      <c r="J1883" s="7" t="str">
        <f ca="1">IFERROR(__xludf.DUMMYFUNCTION("GOOGLEFINANCE(""NSE:""&amp;D1883,""marketcap"")"),"#N/A")</f>
        <v>#N/A</v>
      </c>
      <c r="K1883" s="7">
        <v>992.8</v>
      </c>
      <c r="L1883" s="8" t="str">
        <f ca="1">IFERROR(__xludf.DUMMYFUNCTION("GOOGLEFINANCE(""NSE:""&amp;D1883,""price"")"),"#N/A")</f>
        <v>#N/A</v>
      </c>
      <c r="M1883" s="9" t="e">
        <f t="shared" ca="1" si="37"/>
        <v>#VALUE!</v>
      </c>
      <c r="N1883" s="10" t="e">
        <f t="shared" ca="1" si="38"/>
        <v>#VALUE!</v>
      </c>
      <c r="O1883" s="7" t="str">
        <f ca="1">IFERROR(__xludf.DUMMYFUNCTION("GOOGLEFINANCE(""NSE:""&amp;D1883,""pe"")"),"#N/A")</f>
        <v>#N/A</v>
      </c>
      <c r="P1883" s="7" t="str">
        <f ca="1">IFERROR(__xludf.DUMMYFUNCTION("GOOGLEFINANCE(""NSE:""&amp;D1883,""EPS"")"),"#N/A")</f>
        <v>#N/A</v>
      </c>
      <c r="Q1883" s="7">
        <v>13.5</v>
      </c>
      <c r="R1883" s="7" t="str">
        <f ca="1">IFERROR(__xludf.DUMMYFUNCTION("IMPORTXML(E1883,""/html/body/main/div[3]/div[3]/div[2]/ul/li[7]/span[2]/span"")"),"Loading...")</f>
        <v>Loading...</v>
      </c>
      <c r="S1883" s="7" t="str">
        <f ca="1">IFERROR(__xludf.DUMMYFUNCTION("IMPORTXML(E1883,""/html/body/main/div[3]/div[3]/div[2]/ul/li[8]/span[2]/span"")"),"Loading...")</f>
        <v>Loading...</v>
      </c>
      <c r="T1883" s="4">
        <v>34.6</v>
      </c>
      <c r="U1883" s="4">
        <v>22.7</v>
      </c>
      <c r="V1883" s="4">
        <v>2.6</v>
      </c>
      <c r="W1883" s="4">
        <v>5.7</v>
      </c>
      <c r="X1883" s="4">
        <v>519.92999999999995</v>
      </c>
      <c r="Y1883" s="7" t="e">
        <f t="shared" ca="1" si="39"/>
        <v>#VALUE!</v>
      </c>
    </row>
    <row r="1884" spans="1:25" ht="15" x14ac:dyDescent="0.25">
      <c r="A1884" s="4">
        <v>1572</v>
      </c>
      <c r="C1884" s="41" t="s">
        <v>4052</v>
      </c>
      <c r="D1884" s="42"/>
      <c r="E1884" s="5" t="str">
        <f t="shared" si="35"/>
        <v>https://www.screener.in/company//consolidated/</v>
      </c>
      <c r="F1884" s="4">
        <v>443059</v>
      </c>
      <c r="G1884" s="4">
        <v>3832241897</v>
      </c>
      <c r="H1884" s="6" t="e">
        <f t="shared" ca="1" si="36"/>
        <v>#VALUE!</v>
      </c>
      <c r="I1884" s="7" t="str">
        <f ca="1">IFERROR(__xludf.DUMMYFUNCTION("IMPORTXML(E1884,""/html/body/main/div[3]/div[3]/div[2]/ul/li[5]/span[2]/span"")"),"Loading...")</f>
        <v>Loading...</v>
      </c>
      <c r="J1884" s="7" t="str">
        <f ca="1">IFERROR(__xludf.DUMMYFUNCTION("GOOGLEFINANCE(""NSE:""&amp;D1884,""marketcap"")"),"#N/A")</f>
        <v>#N/A</v>
      </c>
      <c r="K1884" s="7">
        <v>992.8</v>
      </c>
      <c r="L1884" s="8" t="str">
        <f ca="1">IFERROR(__xludf.DUMMYFUNCTION("GOOGLEFINANCE(""NSE:""&amp;D1884,""price"")"),"#N/A")</f>
        <v>#N/A</v>
      </c>
      <c r="M1884" s="9" t="e">
        <f t="shared" ca="1" si="37"/>
        <v>#VALUE!</v>
      </c>
      <c r="N1884" s="10" t="e">
        <f t="shared" ca="1" si="38"/>
        <v>#VALUE!</v>
      </c>
      <c r="O1884" s="7" t="str">
        <f ca="1">IFERROR(__xludf.DUMMYFUNCTION("GOOGLEFINANCE(""NSE:""&amp;D1884,""pe"")"),"#N/A")</f>
        <v>#N/A</v>
      </c>
      <c r="P1884" s="7" t="str">
        <f ca="1">IFERROR(__xludf.DUMMYFUNCTION("GOOGLEFINANCE(""NSE:""&amp;D1884,""EPS"")"),"#N/A")</f>
        <v>#N/A</v>
      </c>
      <c r="Q1884" s="7">
        <v>13.5</v>
      </c>
      <c r="R1884" s="7" t="str">
        <f ca="1">IFERROR(__xludf.DUMMYFUNCTION("IMPORTXML(E1884,""/html/body/main/div[3]/div[3]/div[2]/ul/li[7]/span[2]/span"")"),"Loading...")</f>
        <v>Loading...</v>
      </c>
      <c r="S1884" s="7" t="str">
        <f ca="1">IFERROR(__xludf.DUMMYFUNCTION("IMPORTXML(E1884,""/html/body/main/div[3]/div[3]/div[2]/ul/li[8]/span[2]/span"")"),"Loading...")</f>
        <v>Loading...</v>
      </c>
      <c r="T1884" s="4">
        <v>34.6</v>
      </c>
      <c r="U1884" s="4">
        <v>22.7</v>
      </c>
      <c r="V1884" s="4">
        <v>2.6</v>
      </c>
      <c r="W1884" s="4">
        <v>5.7</v>
      </c>
      <c r="X1884" s="4">
        <v>519.92999999999995</v>
      </c>
      <c r="Y1884" s="7" t="e">
        <f t="shared" ca="1" si="39"/>
        <v>#VALUE!</v>
      </c>
    </row>
    <row r="1885" spans="1:25" ht="15" x14ac:dyDescent="0.25">
      <c r="A1885" s="4">
        <v>1574</v>
      </c>
      <c r="C1885" s="12" t="s">
        <v>4053</v>
      </c>
      <c r="D1885" s="12" t="s">
        <v>4054</v>
      </c>
      <c r="E1885" s="5" t="str">
        <f t="shared" si="35"/>
        <v>https://www.screener.in/company/BBTCL/consolidated/</v>
      </c>
      <c r="F1885" s="4">
        <v>443059</v>
      </c>
      <c r="G1885" s="4">
        <v>3832241897</v>
      </c>
      <c r="H1885" s="6">
        <f t="shared" ca="1" si="36"/>
        <v>77518.589092516006</v>
      </c>
      <c r="I1885" s="7" t="str">
        <f ca="1">IFERROR(__xludf.DUMMYFUNCTION("IMPORTXML(E1885,""/html/body/main/div[3]/div[3]/div[2]/ul/li[5]/span[2]/span"")"),"Loading...")</f>
        <v>Loading...</v>
      </c>
      <c r="J1885" s="7">
        <f ca="1">IFERROR(__xludf.DUMMYFUNCTION("GOOGLEFINANCE(""NSE:""&amp;D1885,""marketcap"")"),4183294648)</f>
        <v>4183294648</v>
      </c>
      <c r="K1885" s="7">
        <v>992.8</v>
      </c>
      <c r="L1885" s="8">
        <f ca="1">IFERROR(__xludf.DUMMYFUNCTION("GOOGLEFINANCE(""NSE:""&amp;D1885,""price"")"),202.28)</f>
        <v>202.28</v>
      </c>
      <c r="M1885" s="9">
        <f t="shared" ca="1" si="37"/>
        <v>-790.52</v>
      </c>
      <c r="N1885" s="10">
        <f t="shared" ca="1" si="38"/>
        <v>-79.625302175664785</v>
      </c>
      <c r="O1885" s="7" t="str">
        <f ca="1">IFERROR(__xludf.DUMMYFUNCTION("GOOGLEFINANCE(""NSE:""&amp;D1885,""pe"")"),"#N/A")</f>
        <v>#N/A</v>
      </c>
      <c r="P1885" s="7">
        <f ca="1">IFERROR(__xludf.DUMMYFUNCTION("GOOGLEFINANCE(""NSE:""&amp;D1885,""EPS"")"),-12.22)</f>
        <v>-12.22</v>
      </c>
      <c r="Q1885" s="7">
        <v>13.5</v>
      </c>
      <c r="R1885" s="7" t="str">
        <f ca="1">IFERROR(__xludf.DUMMYFUNCTION("IMPORTXML(E1885,""/html/body/main/div[3]/div[3]/div[2]/ul/li[7]/span[2]/span"")"),"Loading...")</f>
        <v>Loading...</v>
      </c>
      <c r="S1885" s="7" t="str">
        <f ca="1">IFERROR(__xludf.DUMMYFUNCTION("IMPORTXML(E1885,""/html/body/main/div[3]/div[3]/div[2]/ul/li[8]/span[2]/span"")"),"Loading...")</f>
        <v>Loading...</v>
      </c>
      <c r="T1885" s="4">
        <v>34.6</v>
      </c>
      <c r="U1885" s="4">
        <v>22.7</v>
      </c>
      <c r="V1885" s="4">
        <v>2.6</v>
      </c>
      <c r="W1885" s="4">
        <v>5.7</v>
      </c>
      <c r="X1885" s="4">
        <v>519.92999999999995</v>
      </c>
      <c r="Y1885" s="7">
        <f t="shared" ca="1" si="39"/>
        <v>-317.64999999999998</v>
      </c>
    </row>
    <row r="1886" spans="1:25" ht="15" x14ac:dyDescent="0.25">
      <c r="A1886" s="4">
        <v>1575</v>
      </c>
      <c r="C1886" s="41" t="s">
        <v>4055</v>
      </c>
      <c r="D1886" s="42"/>
      <c r="E1886" s="5" t="str">
        <f t="shared" si="35"/>
        <v>https://www.screener.in/company//consolidated/</v>
      </c>
      <c r="F1886" s="4">
        <v>443059</v>
      </c>
      <c r="G1886" s="4">
        <v>3832241897</v>
      </c>
      <c r="H1886" s="6" t="e">
        <f t="shared" ca="1" si="36"/>
        <v>#VALUE!</v>
      </c>
      <c r="I1886" s="7" t="str">
        <f ca="1">IFERROR(__xludf.DUMMYFUNCTION("IMPORTXML(E1886,""/html/body/main/div[3]/div[3]/div[2]/ul/li[5]/span[2]/span"")"),"Loading...")</f>
        <v>Loading...</v>
      </c>
      <c r="J1886" s="7" t="str">
        <f ca="1">IFERROR(__xludf.DUMMYFUNCTION("GOOGLEFINANCE(""NSE:""&amp;D1886,""marketcap"")"),"#N/A")</f>
        <v>#N/A</v>
      </c>
      <c r="K1886" s="7">
        <v>992.8</v>
      </c>
      <c r="L1886" s="8" t="str">
        <f ca="1">IFERROR(__xludf.DUMMYFUNCTION("GOOGLEFINANCE(""NSE:""&amp;D1886,""price"")"),"#N/A")</f>
        <v>#N/A</v>
      </c>
      <c r="M1886" s="9" t="e">
        <f t="shared" ca="1" si="37"/>
        <v>#VALUE!</v>
      </c>
      <c r="N1886" s="10" t="e">
        <f t="shared" ca="1" si="38"/>
        <v>#VALUE!</v>
      </c>
      <c r="O1886" s="7" t="str">
        <f ca="1">IFERROR(__xludf.DUMMYFUNCTION("GOOGLEFINANCE(""NSE:""&amp;D1886,""pe"")"),"#N/A")</f>
        <v>#N/A</v>
      </c>
      <c r="P1886" s="7" t="str">
        <f ca="1">IFERROR(__xludf.DUMMYFUNCTION("GOOGLEFINANCE(""NSE:""&amp;D1886,""EPS"")"),"#N/A")</f>
        <v>#N/A</v>
      </c>
      <c r="Q1886" s="7">
        <v>13.5</v>
      </c>
      <c r="R1886" s="7" t="str">
        <f ca="1">IFERROR(__xludf.DUMMYFUNCTION("IMPORTXML(E1886,""/html/body/main/div[3]/div[3]/div[2]/ul/li[7]/span[2]/span"")"),"Loading...")</f>
        <v>Loading...</v>
      </c>
      <c r="S1886" s="7" t="str">
        <f ca="1">IFERROR(__xludf.DUMMYFUNCTION("IMPORTXML(E1886,""/html/body/main/div[3]/div[3]/div[2]/ul/li[8]/span[2]/span"")"),"Loading...")</f>
        <v>Loading...</v>
      </c>
      <c r="T1886" s="4">
        <v>34.6</v>
      </c>
      <c r="U1886" s="4">
        <v>22.7</v>
      </c>
      <c r="V1886" s="4">
        <v>2.6</v>
      </c>
      <c r="W1886" s="4">
        <v>5.7</v>
      </c>
      <c r="X1886" s="4">
        <v>519.92999999999995</v>
      </c>
      <c r="Y1886" s="7" t="e">
        <f t="shared" ca="1" si="39"/>
        <v>#VALUE!</v>
      </c>
    </row>
    <row r="1887" spans="1:25" ht="15" x14ac:dyDescent="0.25">
      <c r="A1887" s="4">
        <v>1576</v>
      </c>
      <c r="C1887" s="41" t="s">
        <v>4056</v>
      </c>
      <c r="D1887" s="42"/>
      <c r="E1887" s="5" t="str">
        <f t="shared" si="35"/>
        <v>https://www.screener.in/company//consolidated/</v>
      </c>
      <c r="F1887" s="4">
        <v>443059</v>
      </c>
      <c r="G1887" s="4">
        <v>3832241897</v>
      </c>
      <c r="H1887" s="6" t="e">
        <f t="shared" ca="1" si="36"/>
        <v>#VALUE!</v>
      </c>
      <c r="I1887" s="7" t="str">
        <f ca="1">IFERROR(__xludf.DUMMYFUNCTION("IMPORTXML(E1887,""/html/body/main/div[3]/div[3]/div[2]/ul/li[5]/span[2]/span"")"),"Loading...")</f>
        <v>Loading...</v>
      </c>
      <c r="J1887" s="7" t="str">
        <f ca="1">IFERROR(__xludf.DUMMYFUNCTION("GOOGLEFINANCE(""NSE:""&amp;D1887,""marketcap"")"),"#N/A")</f>
        <v>#N/A</v>
      </c>
      <c r="K1887" s="7">
        <v>992.8</v>
      </c>
      <c r="L1887" s="8" t="str">
        <f ca="1">IFERROR(__xludf.DUMMYFUNCTION("GOOGLEFINANCE(""NSE:""&amp;D1887,""price"")"),"#N/A")</f>
        <v>#N/A</v>
      </c>
      <c r="M1887" s="9" t="e">
        <f t="shared" ca="1" si="37"/>
        <v>#VALUE!</v>
      </c>
      <c r="N1887" s="10" t="e">
        <f t="shared" ca="1" si="38"/>
        <v>#VALUE!</v>
      </c>
      <c r="O1887" s="7" t="str">
        <f ca="1">IFERROR(__xludf.DUMMYFUNCTION("GOOGLEFINANCE(""NSE:""&amp;D1887,""pe"")"),"#N/A")</f>
        <v>#N/A</v>
      </c>
      <c r="P1887" s="7" t="str">
        <f ca="1">IFERROR(__xludf.DUMMYFUNCTION("GOOGLEFINANCE(""NSE:""&amp;D1887,""EPS"")"),"#N/A")</f>
        <v>#N/A</v>
      </c>
      <c r="Q1887" s="7">
        <v>13.5</v>
      </c>
      <c r="R1887" s="7" t="str">
        <f ca="1">IFERROR(__xludf.DUMMYFUNCTION("IMPORTXML(E1887,""/html/body/main/div[3]/div[3]/div[2]/ul/li[7]/span[2]/span"")"),"Loading...")</f>
        <v>Loading...</v>
      </c>
      <c r="S1887" s="7" t="str">
        <f ca="1">IFERROR(__xludf.DUMMYFUNCTION("IMPORTXML(E1887,""/html/body/main/div[3]/div[3]/div[2]/ul/li[8]/span[2]/span"")"),"Loading...")</f>
        <v>Loading...</v>
      </c>
      <c r="T1887" s="4">
        <v>34.6</v>
      </c>
      <c r="U1887" s="4">
        <v>22.7</v>
      </c>
      <c r="V1887" s="4">
        <v>2.6</v>
      </c>
      <c r="W1887" s="4">
        <v>5.7</v>
      </c>
      <c r="X1887" s="4">
        <v>519.92999999999995</v>
      </c>
      <c r="Y1887" s="7" t="e">
        <f t="shared" ca="1" si="39"/>
        <v>#VALUE!</v>
      </c>
    </row>
    <row r="1888" spans="1:25" ht="15" x14ac:dyDescent="0.25">
      <c r="A1888" s="4">
        <v>1577</v>
      </c>
      <c r="C1888" s="41" t="s">
        <v>4057</v>
      </c>
      <c r="D1888" s="42"/>
      <c r="E1888" s="5" t="str">
        <f t="shared" si="35"/>
        <v>https://www.screener.in/company//consolidated/</v>
      </c>
      <c r="F1888" s="4">
        <v>443059</v>
      </c>
      <c r="G1888" s="4">
        <v>3832241897</v>
      </c>
      <c r="H1888" s="6" t="e">
        <f t="shared" ca="1" si="36"/>
        <v>#VALUE!</v>
      </c>
      <c r="I1888" s="7" t="str">
        <f ca="1">IFERROR(__xludf.DUMMYFUNCTION("IMPORTXML(E1888,""/html/body/main/div[3]/div[3]/div[2]/ul/li[5]/span[2]/span"")"),"Loading...")</f>
        <v>Loading...</v>
      </c>
      <c r="J1888" s="7" t="str">
        <f ca="1">IFERROR(__xludf.DUMMYFUNCTION("GOOGLEFINANCE(""NSE:""&amp;D1888,""marketcap"")"),"#N/A")</f>
        <v>#N/A</v>
      </c>
      <c r="K1888" s="7">
        <v>992.8</v>
      </c>
      <c r="L1888" s="8" t="str">
        <f ca="1">IFERROR(__xludf.DUMMYFUNCTION("GOOGLEFINANCE(""NSE:""&amp;D1888,""price"")"),"#N/A")</f>
        <v>#N/A</v>
      </c>
      <c r="M1888" s="9" t="e">
        <f t="shared" ca="1" si="37"/>
        <v>#VALUE!</v>
      </c>
      <c r="N1888" s="10" t="e">
        <f t="shared" ca="1" si="38"/>
        <v>#VALUE!</v>
      </c>
      <c r="O1888" s="7" t="str">
        <f ca="1">IFERROR(__xludf.DUMMYFUNCTION("GOOGLEFINANCE(""NSE:""&amp;D1888,""pe"")"),"#N/A")</f>
        <v>#N/A</v>
      </c>
      <c r="P1888" s="7" t="str">
        <f ca="1">IFERROR(__xludf.DUMMYFUNCTION("GOOGLEFINANCE(""NSE:""&amp;D1888,""EPS"")"),"#N/A")</f>
        <v>#N/A</v>
      </c>
      <c r="Q1888" s="7">
        <v>13.5</v>
      </c>
      <c r="R1888" s="7" t="str">
        <f ca="1">IFERROR(__xludf.DUMMYFUNCTION("IMPORTXML(E1888,""/html/body/main/div[3]/div[3]/div[2]/ul/li[7]/span[2]/span"")"),"Loading...")</f>
        <v>Loading...</v>
      </c>
      <c r="S1888" s="7" t="str">
        <f ca="1">IFERROR(__xludf.DUMMYFUNCTION("IMPORTXML(E1888,""/html/body/main/div[3]/div[3]/div[2]/ul/li[8]/span[2]/span"")"),"Loading...")</f>
        <v>Loading...</v>
      </c>
      <c r="T1888" s="4">
        <v>34.6</v>
      </c>
      <c r="U1888" s="4">
        <v>22.7</v>
      </c>
      <c r="V1888" s="4">
        <v>2.6</v>
      </c>
      <c r="W1888" s="4">
        <v>5.7</v>
      </c>
      <c r="X1888" s="4">
        <v>519.92999999999995</v>
      </c>
      <c r="Y1888" s="7" t="e">
        <f t="shared" ca="1" si="39"/>
        <v>#VALUE!</v>
      </c>
    </row>
    <row r="1889" spans="1:25" ht="15" x14ac:dyDescent="0.25">
      <c r="A1889" s="4">
        <v>1578</v>
      </c>
      <c r="C1889" s="41" t="s">
        <v>4058</v>
      </c>
      <c r="D1889" s="42"/>
      <c r="E1889" s="5" t="str">
        <f t="shared" si="35"/>
        <v>https://www.screener.in/company//consolidated/</v>
      </c>
      <c r="F1889" s="4">
        <v>443059</v>
      </c>
      <c r="G1889" s="4">
        <v>3832241897</v>
      </c>
      <c r="H1889" s="6" t="e">
        <f t="shared" ca="1" si="36"/>
        <v>#VALUE!</v>
      </c>
      <c r="I1889" s="7" t="str">
        <f ca="1">IFERROR(__xludf.DUMMYFUNCTION("IMPORTXML(E1889,""/html/body/main/div[3]/div[3]/div[2]/ul/li[5]/span[2]/span"")"),"Loading...")</f>
        <v>Loading...</v>
      </c>
      <c r="J1889" s="7" t="str">
        <f ca="1">IFERROR(__xludf.DUMMYFUNCTION("GOOGLEFINANCE(""NSE:""&amp;D1889,""marketcap"")"),"#N/A")</f>
        <v>#N/A</v>
      </c>
      <c r="K1889" s="7">
        <v>992.8</v>
      </c>
      <c r="L1889" s="8" t="str">
        <f ca="1">IFERROR(__xludf.DUMMYFUNCTION("GOOGLEFINANCE(""NSE:""&amp;D1889,""price"")"),"#N/A")</f>
        <v>#N/A</v>
      </c>
      <c r="M1889" s="9" t="e">
        <f t="shared" ca="1" si="37"/>
        <v>#VALUE!</v>
      </c>
      <c r="N1889" s="10" t="e">
        <f t="shared" ca="1" si="38"/>
        <v>#VALUE!</v>
      </c>
      <c r="O1889" s="7" t="str">
        <f ca="1">IFERROR(__xludf.DUMMYFUNCTION("GOOGLEFINANCE(""NSE:""&amp;D1889,""pe"")"),"#N/A")</f>
        <v>#N/A</v>
      </c>
      <c r="P1889" s="7" t="str">
        <f ca="1">IFERROR(__xludf.DUMMYFUNCTION("GOOGLEFINANCE(""NSE:""&amp;D1889,""EPS"")"),"#N/A")</f>
        <v>#N/A</v>
      </c>
      <c r="Q1889" s="7">
        <v>13.5</v>
      </c>
      <c r="R1889" s="7" t="str">
        <f ca="1">IFERROR(__xludf.DUMMYFUNCTION("IMPORTXML(E1889,""/html/body/main/div[3]/div[3]/div[2]/ul/li[7]/span[2]/span"")"),"Loading...")</f>
        <v>Loading...</v>
      </c>
      <c r="S1889" s="7" t="str">
        <f ca="1">IFERROR(__xludf.DUMMYFUNCTION("IMPORTXML(E1889,""/html/body/main/div[3]/div[3]/div[2]/ul/li[8]/span[2]/span"")"),"Loading...")</f>
        <v>Loading...</v>
      </c>
      <c r="T1889" s="4">
        <v>34.6</v>
      </c>
      <c r="U1889" s="4">
        <v>22.7</v>
      </c>
      <c r="V1889" s="4">
        <v>2.6</v>
      </c>
      <c r="W1889" s="4">
        <v>5.7</v>
      </c>
      <c r="X1889" s="4">
        <v>519.92999999999995</v>
      </c>
      <c r="Y1889" s="7" t="e">
        <f t="shared" ca="1" si="39"/>
        <v>#VALUE!</v>
      </c>
    </row>
    <row r="1890" spans="1:25" ht="15" x14ac:dyDescent="0.25">
      <c r="A1890" s="4">
        <v>1579</v>
      </c>
      <c r="C1890" s="41" t="s">
        <v>4059</v>
      </c>
      <c r="D1890" s="42"/>
      <c r="E1890" s="5" t="str">
        <f t="shared" si="35"/>
        <v>https://www.screener.in/company//consolidated/</v>
      </c>
      <c r="F1890" s="4">
        <v>443059</v>
      </c>
      <c r="G1890" s="4">
        <v>3832241897</v>
      </c>
      <c r="H1890" s="6" t="e">
        <f t="shared" ca="1" si="36"/>
        <v>#VALUE!</v>
      </c>
      <c r="I1890" s="7" t="str">
        <f ca="1">IFERROR(__xludf.DUMMYFUNCTION("IMPORTXML(E1890,""/html/body/main/div[3]/div[3]/div[2]/ul/li[5]/span[2]/span"")"),"Loading...")</f>
        <v>Loading...</v>
      </c>
      <c r="J1890" s="7" t="str">
        <f ca="1">IFERROR(__xludf.DUMMYFUNCTION("GOOGLEFINANCE(""NSE:""&amp;D1890,""marketcap"")"),"#N/A")</f>
        <v>#N/A</v>
      </c>
      <c r="K1890" s="7">
        <v>992.8</v>
      </c>
      <c r="L1890" s="8" t="str">
        <f ca="1">IFERROR(__xludf.DUMMYFUNCTION("GOOGLEFINANCE(""NSE:""&amp;D1890,""price"")"),"#N/A")</f>
        <v>#N/A</v>
      </c>
      <c r="M1890" s="9" t="e">
        <f t="shared" ca="1" si="37"/>
        <v>#VALUE!</v>
      </c>
      <c r="N1890" s="10" t="e">
        <f t="shared" ca="1" si="38"/>
        <v>#VALUE!</v>
      </c>
      <c r="O1890" s="7" t="str">
        <f ca="1">IFERROR(__xludf.DUMMYFUNCTION("GOOGLEFINANCE(""NSE:""&amp;D1890,""pe"")"),"#N/A")</f>
        <v>#N/A</v>
      </c>
      <c r="P1890" s="7" t="str">
        <f ca="1">IFERROR(__xludf.DUMMYFUNCTION("GOOGLEFINANCE(""NSE:""&amp;D1890,""EPS"")"),"#N/A")</f>
        <v>#N/A</v>
      </c>
      <c r="Q1890" s="7">
        <v>13.5</v>
      </c>
      <c r="R1890" s="7" t="str">
        <f ca="1">IFERROR(__xludf.DUMMYFUNCTION("IMPORTXML(E1890,""/html/body/main/div[3]/div[3]/div[2]/ul/li[7]/span[2]/span"")"),"Loading...")</f>
        <v>Loading...</v>
      </c>
      <c r="S1890" s="7" t="str">
        <f ca="1">IFERROR(__xludf.DUMMYFUNCTION("IMPORTXML(E1890,""/html/body/main/div[3]/div[3]/div[2]/ul/li[8]/span[2]/span"")"),"Loading...")</f>
        <v>Loading...</v>
      </c>
      <c r="T1890" s="4">
        <v>34.6</v>
      </c>
      <c r="U1890" s="4">
        <v>22.7</v>
      </c>
      <c r="V1890" s="4">
        <v>2.6</v>
      </c>
      <c r="W1890" s="4">
        <v>5.7</v>
      </c>
      <c r="X1890" s="4">
        <v>519.92999999999995</v>
      </c>
      <c r="Y1890" s="7" t="e">
        <f t="shared" ca="1" si="39"/>
        <v>#VALUE!</v>
      </c>
    </row>
    <row r="1891" spans="1:25" ht="15" x14ac:dyDescent="0.25">
      <c r="A1891" s="4">
        <v>1580</v>
      </c>
      <c r="C1891" s="41" t="s">
        <v>4060</v>
      </c>
      <c r="D1891" s="42"/>
      <c r="E1891" s="5" t="str">
        <f t="shared" si="35"/>
        <v>https://www.screener.in/company//consolidated/</v>
      </c>
      <c r="F1891" s="4">
        <v>443059</v>
      </c>
      <c r="G1891" s="4">
        <v>3832241897</v>
      </c>
      <c r="H1891" s="6" t="e">
        <f t="shared" ca="1" si="36"/>
        <v>#VALUE!</v>
      </c>
      <c r="I1891" s="7" t="str">
        <f ca="1">IFERROR(__xludf.DUMMYFUNCTION("IMPORTXML(E1891,""/html/body/main/div[3]/div[3]/div[2]/ul/li[5]/span[2]/span"")"),"Loading...")</f>
        <v>Loading...</v>
      </c>
      <c r="J1891" s="7" t="str">
        <f ca="1">IFERROR(__xludf.DUMMYFUNCTION("GOOGLEFINANCE(""NSE:""&amp;D1891,""marketcap"")"),"#N/A")</f>
        <v>#N/A</v>
      </c>
      <c r="K1891" s="7">
        <v>992.8</v>
      </c>
      <c r="L1891" s="8" t="str">
        <f ca="1">IFERROR(__xludf.DUMMYFUNCTION("GOOGLEFINANCE(""NSE:""&amp;D1891,""price"")"),"#N/A")</f>
        <v>#N/A</v>
      </c>
      <c r="M1891" s="9" t="e">
        <f t="shared" ca="1" si="37"/>
        <v>#VALUE!</v>
      </c>
      <c r="N1891" s="10" t="e">
        <f t="shared" ca="1" si="38"/>
        <v>#VALUE!</v>
      </c>
      <c r="O1891" s="7" t="str">
        <f ca="1">IFERROR(__xludf.DUMMYFUNCTION("GOOGLEFINANCE(""NSE:""&amp;D1891,""pe"")"),"#N/A")</f>
        <v>#N/A</v>
      </c>
      <c r="P1891" s="7" t="str">
        <f ca="1">IFERROR(__xludf.DUMMYFUNCTION("GOOGLEFINANCE(""NSE:""&amp;D1891,""EPS"")"),"#N/A")</f>
        <v>#N/A</v>
      </c>
      <c r="Q1891" s="7">
        <v>13.5</v>
      </c>
      <c r="R1891" s="7" t="str">
        <f ca="1">IFERROR(__xludf.DUMMYFUNCTION("IMPORTXML(E1891,""/html/body/main/div[3]/div[3]/div[2]/ul/li[7]/span[2]/span"")"),"Loading...")</f>
        <v>Loading...</v>
      </c>
      <c r="S1891" s="7" t="str">
        <f ca="1">IFERROR(__xludf.DUMMYFUNCTION("IMPORTXML(E1891,""/html/body/main/div[3]/div[3]/div[2]/ul/li[8]/span[2]/span"")"),"Loading...")</f>
        <v>Loading...</v>
      </c>
      <c r="T1891" s="4">
        <v>34.6</v>
      </c>
      <c r="U1891" s="4">
        <v>22.7</v>
      </c>
      <c r="V1891" s="4">
        <v>2.6</v>
      </c>
      <c r="W1891" s="4">
        <v>5.7</v>
      </c>
      <c r="X1891" s="4">
        <v>519.92999999999995</v>
      </c>
      <c r="Y1891" s="7" t="e">
        <f t="shared" ca="1" si="39"/>
        <v>#VALUE!</v>
      </c>
    </row>
    <row r="1892" spans="1:25" ht="15" x14ac:dyDescent="0.25">
      <c r="A1892" s="4">
        <v>1584</v>
      </c>
      <c r="C1892" s="41" t="s">
        <v>4061</v>
      </c>
      <c r="D1892" s="42"/>
      <c r="E1892" s="5" t="str">
        <f t="shared" si="35"/>
        <v>https://www.screener.in/company//consolidated/</v>
      </c>
      <c r="F1892" s="4">
        <v>443059</v>
      </c>
      <c r="G1892" s="4">
        <v>3832241897</v>
      </c>
      <c r="H1892" s="6" t="e">
        <f t="shared" ca="1" si="36"/>
        <v>#VALUE!</v>
      </c>
      <c r="I1892" s="7" t="str">
        <f ca="1">IFERROR(__xludf.DUMMYFUNCTION("IMPORTXML(E1892,""/html/body/main/div[3]/div[3]/div[2]/ul/li[5]/span[2]/span"")"),"Loading...")</f>
        <v>Loading...</v>
      </c>
      <c r="J1892" s="7" t="str">
        <f ca="1">IFERROR(__xludf.DUMMYFUNCTION("GOOGLEFINANCE(""NSE:""&amp;D1892,""marketcap"")"),"#N/A")</f>
        <v>#N/A</v>
      </c>
      <c r="K1892" s="7">
        <v>992.8</v>
      </c>
      <c r="L1892" s="8" t="str">
        <f ca="1">IFERROR(__xludf.DUMMYFUNCTION("GOOGLEFINANCE(""NSE:""&amp;D1892,""price"")"),"#N/A")</f>
        <v>#N/A</v>
      </c>
      <c r="M1892" s="9" t="e">
        <f t="shared" ca="1" si="37"/>
        <v>#VALUE!</v>
      </c>
      <c r="N1892" s="10" t="e">
        <f t="shared" ca="1" si="38"/>
        <v>#VALUE!</v>
      </c>
      <c r="O1892" s="7" t="str">
        <f ca="1">IFERROR(__xludf.DUMMYFUNCTION("GOOGLEFINANCE(""NSE:""&amp;D1892,""pe"")"),"#N/A")</f>
        <v>#N/A</v>
      </c>
      <c r="P1892" s="7" t="str">
        <f ca="1">IFERROR(__xludf.DUMMYFUNCTION("GOOGLEFINANCE(""NSE:""&amp;D1892,""EPS"")"),"#N/A")</f>
        <v>#N/A</v>
      </c>
      <c r="Q1892" s="7">
        <v>13.5</v>
      </c>
      <c r="R1892" s="7" t="str">
        <f ca="1">IFERROR(__xludf.DUMMYFUNCTION("IMPORTXML(E1892,""/html/body/main/div[3]/div[3]/div[2]/ul/li[7]/span[2]/span"")"),"Loading...")</f>
        <v>Loading...</v>
      </c>
      <c r="S1892" s="7" t="str">
        <f ca="1">IFERROR(__xludf.DUMMYFUNCTION("IMPORTXML(E1892,""/html/body/main/div[3]/div[3]/div[2]/ul/li[8]/span[2]/span"")"),"Loading...")</f>
        <v>Loading...</v>
      </c>
      <c r="T1892" s="4">
        <v>34.6</v>
      </c>
      <c r="U1892" s="4">
        <v>22.7</v>
      </c>
      <c r="V1892" s="4">
        <v>2.6</v>
      </c>
      <c r="W1892" s="4">
        <v>5.7</v>
      </c>
      <c r="X1892" s="4">
        <v>519.92999999999995</v>
      </c>
      <c r="Y1892" s="7" t="e">
        <f t="shared" ca="1" si="39"/>
        <v>#VALUE!</v>
      </c>
    </row>
    <row r="1893" spans="1:25" ht="15" x14ac:dyDescent="0.25">
      <c r="A1893" s="4">
        <v>1585</v>
      </c>
      <c r="C1893" s="41" t="s">
        <v>4062</v>
      </c>
      <c r="D1893" s="42"/>
      <c r="E1893" s="5" t="str">
        <f t="shared" si="35"/>
        <v>https://www.screener.in/company//consolidated/</v>
      </c>
      <c r="F1893" s="4">
        <v>443059</v>
      </c>
      <c r="G1893" s="4">
        <v>3832241897</v>
      </c>
      <c r="H1893" s="6" t="e">
        <f t="shared" ca="1" si="36"/>
        <v>#VALUE!</v>
      </c>
      <c r="I1893" s="7" t="str">
        <f ca="1">IFERROR(__xludf.DUMMYFUNCTION("IMPORTXML(E1893,""/html/body/main/div[3]/div[3]/div[2]/ul/li[5]/span[2]/span"")"),"Loading...")</f>
        <v>Loading...</v>
      </c>
      <c r="J1893" s="7" t="str">
        <f ca="1">IFERROR(__xludf.DUMMYFUNCTION("GOOGLEFINANCE(""NSE:""&amp;D1893,""marketcap"")"),"#N/A")</f>
        <v>#N/A</v>
      </c>
      <c r="K1893" s="7">
        <v>992.8</v>
      </c>
      <c r="L1893" s="8" t="str">
        <f ca="1">IFERROR(__xludf.DUMMYFUNCTION("GOOGLEFINANCE(""NSE:""&amp;D1893,""price"")"),"#N/A")</f>
        <v>#N/A</v>
      </c>
      <c r="M1893" s="9" t="e">
        <f t="shared" ca="1" si="37"/>
        <v>#VALUE!</v>
      </c>
      <c r="N1893" s="10" t="e">
        <f t="shared" ca="1" si="38"/>
        <v>#VALUE!</v>
      </c>
      <c r="O1893" s="7" t="str">
        <f ca="1">IFERROR(__xludf.DUMMYFUNCTION("GOOGLEFINANCE(""NSE:""&amp;D1893,""pe"")"),"#N/A")</f>
        <v>#N/A</v>
      </c>
      <c r="P1893" s="7" t="str">
        <f ca="1">IFERROR(__xludf.DUMMYFUNCTION("GOOGLEFINANCE(""NSE:""&amp;D1893,""EPS"")"),"#N/A")</f>
        <v>#N/A</v>
      </c>
      <c r="Q1893" s="7">
        <v>13.5</v>
      </c>
      <c r="R1893" s="7" t="str">
        <f ca="1">IFERROR(__xludf.DUMMYFUNCTION("IMPORTXML(E1893,""/html/body/main/div[3]/div[3]/div[2]/ul/li[7]/span[2]/span"")"),"Loading...")</f>
        <v>Loading...</v>
      </c>
      <c r="S1893" s="7" t="str">
        <f ca="1">IFERROR(__xludf.DUMMYFUNCTION("IMPORTXML(E1893,""/html/body/main/div[3]/div[3]/div[2]/ul/li[8]/span[2]/span"")"),"Loading...")</f>
        <v>Loading...</v>
      </c>
      <c r="T1893" s="4">
        <v>34.6</v>
      </c>
      <c r="U1893" s="4">
        <v>22.7</v>
      </c>
      <c r="V1893" s="4">
        <v>2.6</v>
      </c>
      <c r="W1893" s="4">
        <v>5.7</v>
      </c>
      <c r="X1893" s="4">
        <v>519.92999999999995</v>
      </c>
      <c r="Y1893" s="7" t="e">
        <f t="shared" ca="1" si="39"/>
        <v>#VALUE!</v>
      </c>
    </row>
    <row r="1894" spans="1:25" ht="15" x14ac:dyDescent="0.25">
      <c r="A1894" s="4">
        <v>1586</v>
      </c>
      <c r="C1894" s="12" t="s">
        <v>4063</v>
      </c>
      <c r="D1894" s="12" t="s">
        <v>4064</v>
      </c>
      <c r="E1894" s="5" t="str">
        <f t="shared" si="35"/>
        <v>https://www.screener.in/company/SHEMAROO/consolidated/</v>
      </c>
      <c r="F1894" s="4">
        <v>443059</v>
      </c>
      <c r="G1894" s="4">
        <v>3832241897</v>
      </c>
      <c r="H1894" s="6">
        <f t="shared" ca="1" si="36"/>
        <v>42553.214024287998</v>
      </c>
      <c r="I1894" s="7" t="str">
        <f ca="1">IFERROR(__xludf.DUMMYFUNCTION("IMPORTXML(E1894,""/html/body/main/div[3]/div[3]/div[2]/ul/li[5]/span[2]/span"")"),"Loading...")</f>
        <v>Loading...</v>
      </c>
      <c r="J1894" s="7">
        <f ca="1">IFERROR(__xludf.DUMMYFUNCTION("GOOGLEFINANCE(""NSE:""&amp;D1894,""marketcap"")"),3028182000)</f>
        <v>3028182000</v>
      </c>
      <c r="K1894" s="7">
        <v>992.8</v>
      </c>
      <c r="L1894" s="8">
        <f ca="1">IFERROR(__xludf.DUMMYFUNCTION("GOOGLEFINANCE(""NSE:""&amp;D1894,""price"")"),111.04)</f>
        <v>111.04</v>
      </c>
      <c r="M1894" s="9">
        <f t="shared" ca="1" si="37"/>
        <v>-881.76</v>
      </c>
      <c r="N1894" s="10">
        <f t="shared" ca="1" si="38"/>
        <v>-88.815471394037075</v>
      </c>
      <c r="O1894" s="7" t="str">
        <f ca="1">IFERROR(__xludf.DUMMYFUNCTION("GOOGLEFINANCE(""NSE:""&amp;D1894,""pe"")"),"#N/A")</f>
        <v>#N/A</v>
      </c>
      <c r="P1894" s="7">
        <f ca="1">IFERROR(__xludf.DUMMYFUNCTION("GOOGLEFINANCE(""NSE:""&amp;D1894,""EPS"")"),-41.61)</f>
        <v>-41.61</v>
      </c>
      <c r="Q1894" s="7">
        <v>13.5</v>
      </c>
      <c r="R1894" s="7" t="str">
        <f ca="1">IFERROR(__xludf.DUMMYFUNCTION("IMPORTXML(E1894,""/html/body/main/div[3]/div[3]/div[2]/ul/li[7]/span[2]/span"")"),"Loading...")</f>
        <v>Loading...</v>
      </c>
      <c r="S1894" s="7" t="str">
        <f ca="1">IFERROR(__xludf.DUMMYFUNCTION("IMPORTXML(E1894,""/html/body/main/div[3]/div[3]/div[2]/ul/li[8]/span[2]/span"")"),"Loading...")</f>
        <v>Loading...</v>
      </c>
      <c r="T1894" s="4">
        <v>34.6</v>
      </c>
      <c r="U1894" s="4">
        <v>22.7</v>
      </c>
      <c r="V1894" s="4">
        <v>2.6</v>
      </c>
      <c r="W1894" s="4">
        <v>5.7</v>
      </c>
      <c r="X1894" s="4">
        <v>519.92999999999995</v>
      </c>
      <c r="Y1894" s="7">
        <f t="shared" ca="1" si="39"/>
        <v>-408.88999999999993</v>
      </c>
    </row>
    <row r="1895" spans="1:25" ht="15" x14ac:dyDescent="0.25">
      <c r="A1895" s="4">
        <v>1587</v>
      </c>
      <c r="C1895" s="41" t="s">
        <v>4065</v>
      </c>
      <c r="D1895" s="42"/>
      <c r="E1895" s="5" t="str">
        <f t="shared" si="35"/>
        <v>https://www.screener.in/company//consolidated/</v>
      </c>
      <c r="F1895" s="4">
        <v>443059</v>
      </c>
      <c r="G1895" s="4">
        <v>3832241897</v>
      </c>
      <c r="H1895" s="6" t="e">
        <f t="shared" ca="1" si="36"/>
        <v>#VALUE!</v>
      </c>
      <c r="I1895" s="7" t="str">
        <f ca="1">IFERROR(__xludf.DUMMYFUNCTION("IMPORTXML(E1895,""/html/body/main/div[3]/div[3]/div[2]/ul/li[5]/span[2]/span"")"),"Loading...")</f>
        <v>Loading...</v>
      </c>
      <c r="J1895" s="7" t="str">
        <f ca="1">IFERROR(__xludf.DUMMYFUNCTION("GOOGLEFINANCE(""NSE:""&amp;D1895,""marketcap"")"),"#N/A")</f>
        <v>#N/A</v>
      </c>
      <c r="K1895" s="7">
        <v>992.8</v>
      </c>
      <c r="L1895" s="8" t="str">
        <f ca="1">IFERROR(__xludf.DUMMYFUNCTION("GOOGLEFINANCE(""NSE:""&amp;D1895,""price"")"),"#N/A")</f>
        <v>#N/A</v>
      </c>
      <c r="M1895" s="9" t="e">
        <f t="shared" ca="1" si="37"/>
        <v>#VALUE!</v>
      </c>
      <c r="N1895" s="10" t="e">
        <f t="shared" ca="1" si="38"/>
        <v>#VALUE!</v>
      </c>
      <c r="O1895" s="7" t="str">
        <f ca="1">IFERROR(__xludf.DUMMYFUNCTION("GOOGLEFINANCE(""NSE:""&amp;D1895,""pe"")"),"#N/A")</f>
        <v>#N/A</v>
      </c>
      <c r="P1895" s="7" t="str">
        <f ca="1">IFERROR(__xludf.DUMMYFUNCTION("GOOGLEFINANCE(""NSE:""&amp;D1895,""EPS"")"),"#N/A")</f>
        <v>#N/A</v>
      </c>
      <c r="Q1895" s="7">
        <v>13.5</v>
      </c>
      <c r="R1895" s="7" t="str">
        <f ca="1">IFERROR(__xludf.DUMMYFUNCTION("IMPORTXML(E1895,""/html/body/main/div[3]/div[3]/div[2]/ul/li[7]/span[2]/span"")"),"Loading...")</f>
        <v>Loading...</v>
      </c>
      <c r="S1895" s="7" t="str">
        <f ca="1">IFERROR(__xludf.DUMMYFUNCTION("IMPORTXML(E1895,""/html/body/main/div[3]/div[3]/div[2]/ul/li[8]/span[2]/span"")"),"Loading...")</f>
        <v>Loading...</v>
      </c>
      <c r="T1895" s="4">
        <v>34.6</v>
      </c>
      <c r="U1895" s="4">
        <v>22.7</v>
      </c>
      <c r="V1895" s="4">
        <v>2.6</v>
      </c>
      <c r="W1895" s="4">
        <v>5.7</v>
      </c>
      <c r="X1895" s="4">
        <v>519.92999999999995</v>
      </c>
      <c r="Y1895" s="7" t="e">
        <f t="shared" ca="1" si="39"/>
        <v>#VALUE!</v>
      </c>
    </row>
    <row r="1896" spans="1:25" ht="15" x14ac:dyDescent="0.25">
      <c r="A1896" s="4">
        <v>1588</v>
      </c>
      <c r="C1896" s="41" t="s">
        <v>4066</v>
      </c>
      <c r="D1896" s="42"/>
      <c r="E1896" s="5" t="str">
        <f t="shared" si="35"/>
        <v>https://www.screener.in/company//consolidated/</v>
      </c>
      <c r="F1896" s="4">
        <v>443059</v>
      </c>
      <c r="G1896" s="4">
        <v>3832241897</v>
      </c>
      <c r="H1896" s="6" t="e">
        <f t="shared" ca="1" si="36"/>
        <v>#VALUE!</v>
      </c>
      <c r="I1896" s="7" t="str">
        <f ca="1">IFERROR(__xludf.DUMMYFUNCTION("IMPORTXML(E1896,""/html/body/main/div[3]/div[3]/div[2]/ul/li[5]/span[2]/span"")"),"Loading...")</f>
        <v>Loading...</v>
      </c>
      <c r="J1896" s="7" t="str">
        <f ca="1">IFERROR(__xludf.DUMMYFUNCTION("GOOGLEFINANCE(""NSE:""&amp;D1896,""marketcap"")"),"#N/A")</f>
        <v>#N/A</v>
      </c>
      <c r="K1896" s="7">
        <v>992.8</v>
      </c>
      <c r="L1896" s="8" t="str">
        <f ca="1">IFERROR(__xludf.DUMMYFUNCTION("GOOGLEFINANCE(""NSE:""&amp;D1896,""price"")"),"#N/A")</f>
        <v>#N/A</v>
      </c>
      <c r="M1896" s="9" t="e">
        <f t="shared" ca="1" si="37"/>
        <v>#VALUE!</v>
      </c>
      <c r="N1896" s="10" t="e">
        <f t="shared" ca="1" si="38"/>
        <v>#VALUE!</v>
      </c>
      <c r="O1896" s="7" t="str">
        <f ca="1">IFERROR(__xludf.DUMMYFUNCTION("GOOGLEFINANCE(""NSE:""&amp;D1896,""pe"")"),"#N/A")</f>
        <v>#N/A</v>
      </c>
      <c r="P1896" s="7" t="str">
        <f ca="1">IFERROR(__xludf.DUMMYFUNCTION("GOOGLEFINANCE(""NSE:""&amp;D1896,""EPS"")"),"#N/A")</f>
        <v>#N/A</v>
      </c>
      <c r="Q1896" s="7">
        <v>13.5</v>
      </c>
      <c r="R1896" s="7" t="str">
        <f ca="1">IFERROR(__xludf.DUMMYFUNCTION("IMPORTXML(E1896,""/html/body/main/div[3]/div[3]/div[2]/ul/li[7]/span[2]/span"")"),"Loading...")</f>
        <v>Loading...</v>
      </c>
      <c r="S1896" s="7" t="str">
        <f ca="1">IFERROR(__xludf.DUMMYFUNCTION("IMPORTXML(E1896,""/html/body/main/div[3]/div[3]/div[2]/ul/li[8]/span[2]/span"")"),"Loading...")</f>
        <v>Loading...</v>
      </c>
      <c r="T1896" s="4">
        <v>34.6</v>
      </c>
      <c r="U1896" s="4">
        <v>22.7</v>
      </c>
      <c r="V1896" s="4">
        <v>2.6</v>
      </c>
      <c r="W1896" s="4">
        <v>5.7</v>
      </c>
      <c r="X1896" s="4">
        <v>519.92999999999995</v>
      </c>
      <c r="Y1896" s="7" t="e">
        <f t="shared" ca="1" si="39"/>
        <v>#VALUE!</v>
      </c>
    </row>
    <row r="1897" spans="1:25" ht="15" x14ac:dyDescent="0.25">
      <c r="A1897" s="4">
        <v>1589</v>
      </c>
      <c r="C1897" s="41" t="s">
        <v>4067</v>
      </c>
      <c r="D1897" s="42"/>
      <c r="E1897" s="5" t="str">
        <f t="shared" si="35"/>
        <v>https://www.screener.in/company//consolidated/</v>
      </c>
      <c r="F1897" s="4">
        <v>443059</v>
      </c>
      <c r="G1897" s="4">
        <v>3832241897</v>
      </c>
      <c r="H1897" s="6" t="e">
        <f t="shared" ca="1" si="36"/>
        <v>#VALUE!</v>
      </c>
      <c r="I1897" s="7" t="str">
        <f ca="1">IFERROR(__xludf.DUMMYFUNCTION("IMPORTXML(E1897,""/html/body/main/div[3]/div[3]/div[2]/ul/li[5]/span[2]/span"")"),"Loading...")</f>
        <v>Loading...</v>
      </c>
      <c r="J1897" s="7" t="str">
        <f ca="1">IFERROR(__xludf.DUMMYFUNCTION("GOOGLEFINANCE(""NSE:""&amp;D1897,""marketcap"")"),"#N/A")</f>
        <v>#N/A</v>
      </c>
      <c r="K1897" s="7">
        <v>992.8</v>
      </c>
      <c r="L1897" s="8" t="str">
        <f ca="1">IFERROR(__xludf.DUMMYFUNCTION("GOOGLEFINANCE(""NSE:""&amp;D1897,""price"")"),"#N/A")</f>
        <v>#N/A</v>
      </c>
      <c r="M1897" s="9" t="e">
        <f t="shared" ca="1" si="37"/>
        <v>#VALUE!</v>
      </c>
      <c r="N1897" s="10" t="e">
        <f t="shared" ca="1" si="38"/>
        <v>#VALUE!</v>
      </c>
      <c r="O1897" s="7" t="str">
        <f ca="1">IFERROR(__xludf.DUMMYFUNCTION("GOOGLEFINANCE(""NSE:""&amp;D1897,""pe"")"),"#N/A")</f>
        <v>#N/A</v>
      </c>
      <c r="P1897" s="7" t="str">
        <f ca="1">IFERROR(__xludf.DUMMYFUNCTION("GOOGLEFINANCE(""NSE:""&amp;D1897,""EPS"")"),"#N/A")</f>
        <v>#N/A</v>
      </c>
      <c r="Q1897" s="7">
        <v>13.5</v>
      </c>
      <c r="R1897" s="7" t="str">
        <f ca="1">IFERROR(__xludf.DUMMYFUNCTION("IMPORTXML(E1897,""/html/body/main/div[3]/div[3]/div[2]/ul/li[7]/span[2]/span"")"),"Loading...")</f>
        <v>Loading...</v>
      </c>
      <c r="S1897" s="7" t="str">
        <f ca="1">IFERROR(__xludf.DUMMYFUNCTION("IMPORTXML(E1897,""/html/body/main/div[3]/div[3]/div[2]/ul/li[8]/span[2]/span"")"),"Loading...")</f>
        <v>Loading...</v>
      </c>
      <c r="T1897" s="4">
        <v>34.6</v>
      </c>
      <c r="U1897" s="4">
        <v>22.7</v>
      </c>
      <c r="V1897" s="4">
        <v>2.6</v>
      </c>
      <c r="W1897" s="4">
        <v>5.7</v>
      </c>
      <c r="X1897" s="4">
        <v>519.92999999999995</v>
      </c>
      <c r="Y1897" s="7" t="e">
        <f t="shared" ca="1" si="39"/>
        <v>#VALUE!</v>
      </c>
    </row>
    <row r="1898" spans="1:25" ht="15" x14ac:dyDescent="0.25">
      <c r="A1898" s="4">
        <v>1591</v>
      </c>
      <c r="C1898" s="41" t="s">
        <v>4068</v>
      </c>
      <c r="D1898" s="42"/>
      <c r="E1898" s="5" t="str">
        <f t="shared" si="35"/>
        <v>https://www.screener.in/company//consolidated/</v>
      </c>
      <c r="F1898" s="4">
        <v>443059</v>
      </c>
      <c r="G1898" s="4">
        <v>3832241897</v>
      </c>
      <c r="H1898" s="6" t="e">
        <f t="shared" ca="1" si="36"/>
        <v>#VALUE!</v>
      </c>
      <c r="I1898" s="7" t="str">
        <f ca="1">IFERROR(__xludf.DUMMYFUNCTION("IMPORTXML(E1898,""/html/body/main/div[3]/div[3]/div[2]/ul/li[5]/span[2]/span"")"),"Loading...")</f>
        <v>Loading...</v>
      </c>
      <c r="J1898" s="7" t="str">
        <f ca="1">IFERROR(__xludf.DUMMYFUNCTION("GOOGLEFINANCE(""NSE:""&amp;D1898,""marketcap"")"),"#N/A")</f>
        <v>#N/A</v>
      </c>
      <c r="K1898" s="7">
        <v>992.8</v>
      </c>
      <c r="L1898" s="8" t="str">
        <f ca="1">IFERROR(__xludf.DUMMYFUNCTION("GOOGLEFINANCE(""NSE:""&amp;D1898,""price"")"),"#N/A")</f>
        <v>#N/A</v>
      </c>
      <c r="M1898" s="9" t="e">
        <f t="shared" ca="1" si="37"/>
        <v>#VALUE!</v>
      </c>
      <c r="N1898" s="10" t="e">
        <f t="shared" ca="1" si="38"/>
        <v>#VALUE!</v>
      </c>
      <c r="O1898" s="7" t="str">
        <f ca="1">IFERROR(__xludf.DUMMYFUNCTION("GOOGLEFINANCE(""NSE:""&amp;D1898,""pe"")"),"#N/A")</f>
        <v>#N/A</v>
      </c>
      <c r="P1898" s="7" t="str">
        <f ca="1">IFERROR(__xludf.DUMMYFUNCTION("GOOGLEFINANCE(""NSE:""&amp;D1898,""EPS"")"),"#N/A")</f>
        <v>#N/A</v>
      </c>
      <c r="Q1898" s="7">
        <v>13.5</v>
      </c>
      <c r="R1898" s="7" t="str">
        <f ca="1">IFERROR(__xludf.DUMMYFUNCTION("IMPORTXML(E1898,""/html/body/main/div[3]/div[3]/div[2]/ul/li[7]/span[2]/span"")"),"Loading...")</f>
        <v>Loading...</v>
      </c>
      <c r="S1898" s="7" t="str">
        <f ca="1">IFERROR(__xludf.DUMMYFUNCTION("IMPORTXML(E1898,""/html/body/main/div[3]/div[3]/div[2]/ul/li[8]/span[2]/span"")"),"Loading...")</f>
        <v>Loading...</v>
      </c>
      <c r="T1898" s="4">
        <v>34.6</v>
      </c>
      <c r="U1898" s="4">
        <v>22.7</v>
      </c>
      <c r="V1898" s="4">
        <v>2.6</v>
      </c>
      <c r="W1898" s="4">
        <v>5.7</v>
      </c>
      <c r="X1898" s="4">
        <v>519.92999999999995</v>
      </c>
      <c r="Y1898" s="7" t="e">
        <f t="shared" ca="1" si="39"/>
        <v>#VALUE!</v>
      </c>
    </row>
    <row r="1899" spans="1:25" ht="15" x14ac:dyDescent="0.25">
      <c r="A1899" s="4">
        <v>1593</v>
      </c>
      <c r="C1899" s="41" t="s">
        <v>4069</v>
      </c>
      <c r="D1899" s="42"/>
      <c r="E1899" s="5" t="str">
        <f t="shared" si="35"/>
        <v>https://www.screener.in/company//consolidated/</v>
      </c>
      <c r="F1899" s="4">
        <v>443059</v>
      </c>
      <c r="G1899" s="4">
        <v>3832241897</v>
      </c>
      <c r="H1899" s="6" t="e">
        <f t="shared" ca="1" si="36"/>
        <v>#VALUE!</v>
      </c>
      <c r="I1899" s="7" t="str">
        <f ca="1">IFERROR(__xludf.DUMMYFUNCTION("IMPORTXML(E1899,""/html/body/main/div[3]/div[3]/div[2]/ul/li[5]/span[2]/span"")"),"Loading...")</f>
        <v>Loading...</v>
      </c>
      <c r="J1899" s="7" t="str">
        <f ca="1">IFERROR(__xludf.DUMMYFUNCTION("GOOGLEFINANCE(""NSE:""&amp;D1899,""marketcap"")"),"#N/A")</f>
        <v>#N/A</v>
      </c>
      <c r="K1899" s="7">
        <v>992.8</v>
      </c>
      <c r="L1899" s="8" t="str">
        <f ca="1">IFERROR(__xludf.DUMMYFUNCTION("GOOGLEFINANCE(""NSE:""&amp;D1899,""price"")"),"#N/A")</f>
        <v>#N/A</v>
      </c>
      <c r="M1899" s="9" t="e">
        <f t="shared" ca="1" si="37"/>
        <v>#VALUE!</v>
      </c>
      <c r="N1899" s="10" t="e">
        <f t="shared" ca="1" si="38"/>
        <v>#VALUE!</v>
      </c>
      <c r="O1899" s="7" t="str">
        <f ca="1">IFERROR(__xludf.DUMMYFUNCTION("GOOGLEFINANCE(""NSE:""&amp;D1899,""pe"")"),"#N/A")</f>
        <v>#N/A</v>
      </c>
      <c r="P1899" s="7" t="str">
        <f ca="1">IFERROR(__xludf.DUMMYFUNCTION("GOOGLEFINANCE(""NSE:""&amp;D1899,""EPS"")"),"#N/A")</f>
        <v>#N/A</v>
      </c>
      <c r="Q1899" s="7">
        <v>13.5</v>
      </c>
      <c r="R1899" s="7" t="str">
        <f ca="1">IFERROR(__xludf.DUMMYFUNCTION("IMPORTXML(E1899,""/html/body/main/div[3]/div[3]/div[2]/ul/li[7]/span[2]/span"")"),"Loading...")</f>
        <v>Loading...</v>
      </c>
      <c r="S1899" s="7" t="str">
        <f ca="1">IFERROR(__xludf.DUMMYFUNCTION("IMPORTXML(E1899,""/html/body/main/div[3]/div[3]/div[2]/ul/li[8]/span[2]/span"")"),"Loading...")</f>
        <v>Loading...</v>
      </c>
      <c r="T1899" s="4">
        <v>34.6</v>
      </c>
      <c r="U1899" s="4">
        <v>22.7</v>
      </c>
      <c r="V1899" s="4">
        <v>2.6</v>
      </c>
      <c r="W1899" s="4">
        <v>5.7</v>
      </c>
      <c r="X1899" s="4">
        <v>519.92999999999995</v>
      </c>
      <c r="Y1899" s="7" t="e">
        <f t="shared" ca="1" si="39"/>
        <v>#VALUE!</v>
      </c>
    </row>
    <row r="1900" spans="1:25" ht="15" x14ac:dyDescent="0.25">
      <c r="A1900" s="4">
        <v>1595</v>
      </c>
      <c r="C1900" s="41" t="s">
        <v>4070</v>
      </c>
      <c r="D1900" s="42"/>
      <c r="E1900" s="5" t="str">
        <f t="shared" si="35"/>
        <v>https://www.screener.in/company//consolidated/</v>
      </c>
      <c r="F1900" s="4">
        <v>443059</v>
      </c>
      <c r="G1900" s="4">
        <v>3832241897</v>
      </c>
      <c r="H1900" s="6" t="e">
        <f t="shared" ca="1" si="36"/>
        <v>#VALUE!</v>
      </c>
      <c r="I1900" s="7" t="str">
        <f ca="1">IFERROR(__xludf.DUMMYFUNCTION("IMPORTXML(E1900,""/html/body/main/div[3]/div[3]/div[2]/ul/li[5]/span[2]/span"")"),"Loading...")</f>
        <v>Loading...</v>
      </c>
      <c r="J1900" s="7" t="str">
        <f ca="1">IFERROR(__xludf.DUMMYFUNCTION("GOOGLEFINANCE(""NSE:""&amp;D1900,""marketcap"")"),"#N/A")</f>
        <v>#N/A</v>
      </c>
      <c r="K1900" s="7">
        <v>992.8</v>
      </c>
      <c r="L1900" s="8" t="str">
        <f ca="1">IFERROR(__xludf.DUMMYFUNCTION("GOOGLEFINANCE(""NSE:""&amp;D1900,""price"")"),"#N/A")</f>
        <v>#N/A</v>
      </c>
      <c r="M1900" s="9" t="e">
        <f t="shared" ca="1" si="37"/>
        <v>#VALUE!</v>
      </c>
      <c r="N1900" s="10" t="e">
        <f t="shared" ca="1" si="38"/>
        <v>#VALUE!</v>
      </c>
      <c r="O1900" s="7" t="str">
        <f ca="1">IFERROR(__xludf.DUMMYFUNCTION("GOOGLEFINANCE(""NSE:""&amp;D1900,""pe"")"),"#N/A")</f>
        <v>#N/A</v>
      </c>
      <c r="P1900" s="7" t="str">
        <f ca="1">IFERROR(__xludf.DUMMYFUNCTION("GOOGLEFINANCE(""NSE:""&amp;D1900,""EPS"")"),"#N/A")</f>
        <v>#N/A</v>
      </c>
      <c r="Q1900" s="7">
        <v>13.5</v>
      </c>
      <c r="R1900" s="7" t="str">
        <f ca="1">IFERROR(__xludf.DUMMYFUNCTION("IMPORTXML(E1900,""/html/body/main/div[3]/div[3]/div[2]/ul/li[7]/span[2]/span"")"),"Loading...")</f>
        <v>Loading...</v>
      </c>
      <c r="S1900" s="7" t="str">
        <f ca="1">IFERROR(__xludf.DUMMYFUNCTION("IMPORTXML(E1900,""/html/body/main/div[3]/div[3]/div[2]/ul/li[8]/span[2]/span"")"),"Loading...")</f>
        <v>Loading...</v>
      </c>
      <c r="T1900" s="4">
        <v>34.6</v>
      </c>
      <c r="U1900" s="4">
        <v>22.7</v>
      </c>
      <c r="V1900" s="4">
        <v>2.6</v>
      </c>
      <c r="W1900" s="4">
        <v>5.7</v>
      </c>
      <c r="X1900" s="4">
        <v>519.92999999999995</v>
      </c>
      <c r="Y1900" s="7" t="e">
        <f t="shared" ca="1" si="39"/>
        <v>#VALUE!</v>
      </c>
    </row>
    <row r="1901" spans="1:25" ht="15" x14ac:dyDescent="0.25">
      <c r="A1901" s="4">
        <v>1596</v>
      </c>
      <c r="C1901" s="41" t="s">
        <v>4071</v>
      </c>
      <c r="D1901" s="42"/>
      <c r="E1901" s="5" t="str">
        <f t="shared" si="35"/>
        <v>https://www.screener.in/company//consolidated/</v>
      </c>
      <c r="F1901" s="4">
        <v>443059</v>
      </c>
      <c r="G1901" s="4">
        <v>3832241897</v>
      </c>
      <c r="H1901" s="6" t="e">
        <f t="shared" ca="1" si="36"/>
        <v>#VALUE!</v>
      </c>
      <c r="I1901" s="7" t="str">
        <f ca="1">IFERROR(__xludf.DUMMYFUNCTION("IMPORTXML(E1901,""/html/body/main/div[3]/div[3]/div[2]/ul/li[5]/span[2]/span"")"),"Loading...")</f>
        <v>Loading...</v>
      </c>
      <c r="J1901" s="7" t="str">
        <f ca="1">IFERROR(__xludf.DUMMYFUNCTION("GOOGLEFINANCE(""NSE:""&amp;D1901,""marketcap"")"),"#N/A")</f>
        <v>#N/A</v>
      </c>
      <c r="K1901" s="7">
        <v>992.8</v>
      </c>
      <c r="L1901" s="8" t="str">
        <f ca="1">IFERROR(__xludf.DUMMYFUNCTION("GOOGLEFINANCE(""NSE:""&amp;D1901,""price"")"),"#N/A")</f>
        <v>#N/A</v>
      </c>
      <c r="M1901" s="9" t="e">
        <f t="shared" ca="1" si="37"/>
        <v>#VALUE!</v>
      </c>
      <c r="N1901" s="10" t="e">
        <f t="shared" ca="1" si="38"/>
        <v>#VALUE!</v>
      </c>
      <c r="O1901" s="7" t="str">
        <f ca="1">IFERROR(__xludf.DUMMYFUNCTION("GOOGLEFINANCE(""NSE:""&amp;D1901,""pe"")"),"#N/A")</f>
        <v>#N/A</v>
      </c>
      <c r="P1901" s="7" t="str">
        <f ca="1">IFERROR(__xludf.DUMMYFUNCTION("GOOGLEFINANCE(""NSE:""&amp;D1901,""EPS"")"),"#N/A")</f>
        <v>#N/A</v>
      </c>
      <c r="Q1901" s="7">
        <v>13.5</v>
      </c>
      <c r="R1901" s="7" t="str">
        <f ca="1">IFERROR(__xludf.DUMMYFUNCTION("IMPORTXML(E1901,""/html/body/main/div[3]/div[3]/div[2]/ul/li[7]/span[2]/span"")"),"Loading...")</f>
        <v>Loading...</v>
      </c>
      <c r="S1901" s="7" t="str">
        <f ca="1">IFERROR(__xludf.DUMMYFUNCTION("IMPORTXML(E1901,""/html/body/main/div[3]/div[3]/div[2]/ul/li[8]/span[2]/span"")"),"Loading...")</f>
        <v>Loading...</v>
      </c>
      <c r="T1901" s="4">
        <v>34.6</v>
      </c>
      <c r="U1901" s="4">
        <v>22.7</v>
      </c>
      <c r="V1901" s="4">
        <v>2.6</v>
      </c>
      <c r="W1901" s="4">
        <v>5.7</v>
      </c>
      <c r="X1901" s="4">
        <v>519.92999999999995</v>
      </c>
      <c r="Y1901" s="7" t="e">
        <f t="shared" ca="1" si="39"/>
        <v>#VALUE!</v>
      </c>
    </row>
    <row r="1902" spans="1:25" ht="15" x14ac:dyDescent="0.25">
      <c r="A1902" s="4">
        <v>1597</v>
      </c>
      <c r="C1902" s="41" t="s">
        <v>4072</v>
      </c>
      <c r="D1902" s="42"/>
      <c r="E1902" s="5" t="str">
        <f t="shared" si="35"/>
        <v>https://www.screener.in/company//consolidated/</v>
      </c>
      <c r="F1902" s="4">
        <v>443059</v>
      </c>
      <c r="G1902" s="4">
        <v>3832241897</v>
      </c>
      <c r="H1902" s="6" t="e">
        <f t="shared" ca="1" si="36"/>
        <v>#VALUE!</v>
      </c>
      <c r="I1902" s="7" t="str">
        <f ca="1">IFERROR(__xludf.DUMMYFUNCTION("IMPORTXML(E1902,""/html/body/main/div[3]/div[3]/div[2]/ul/li[5]/span[2]/span"")"),"Loading...")</f>
        <v>Loading...</v>
      </c>
      <c r="J1902" s="7" t="str">
        <f ca="1">IFERROR(__xludf.DUMMYFUNCTION("GOOGLEFINANCE(""NSE:""&amp;D1902,""marketcap"")"),"#N/A")</f>
        <v>#N/A</v>
      </c>
      <c r="K1902" s="7">
        <v>992.8</v>
      </c>
      <c r="L1902" s="8" t="str">
        <f ca="1">IFERROR(__xludf.DUMMYFUNCTION("GOOGLEFINANCE(""NSE:""&amp;D1902,""price"")"),"#N/A")</f>
        <v>#N/A</v>
      </c>
      <c r="M1902" s="9" t="e">
        <f t="shared" ca="1" si="37"/>
        <v>#VALUE!</v>
      </c>
      <c r="N1902" s="10" t="e">
        <f t="shared" ca="1" si="38"/>
        <v>#VALUE!</v>
      </c>
      <c r="O1902" s="7" t="str">
        <f ca="1">IFERROR(__xludf.DUMMYFUNCTION("GOOGLEFINANCE(""NSE:""&amp;D1902,""pe"")"),"#N/A")</f>
        <v>#N/A</v>
      </c>
      <c r="P1902" s="7" t="str">
        <f ca="1">IFERROR(__xludf.DUMMYFUNCTION("GOOGLEFINANCE(""NSE:""&amp;D1902,""EPS"")"),"#N/A")</f>
        <v>#N/A</v>
      </c>
      <c r="Q1902" s="7">
        <v>13.5</v>
      </c>
      <c r="R1902" s="7" t="str">
        <f ca="1">IFERROR(__xludf.DUMMYFUNCTION("IMPORTXML(E1902,""/html/body/main/div[3]/div[3]/div[2]/ul/li[7]/span[2]/span"")"),"Loading...")</f>
        <v>Loading...</v>
      </c>
      <c r="S1902" s="7" t="str">
        <f ca="1">IFERROR(__xludf.DUMMYFUNCTION("IMPORTXML(E1902,""/html/body/main/div[3]/div[3]/div[2]/ul/li[8]/span[2]/span"")"),"Loading...")</f>
        <v>Loading...</v>
      </c>
      <c r="T1902" s="4">
        <v>34.6</v>
      </c>
      <c r="U1902" s="4">
        <v>22.7</v>
      </c>
      <c r="V1902" s="4">
        <v>2.6</v>
      </c>
      <c r="W1902" s="4">
        <v>5.7</v>
      </c>
      <c r="X1902" s="4">
        <v>519.92999999999995</v>
      </c>
      <c r="Y1902" s="7" t="e">
        <f t="shared" ca="1" si="39"/>
        <v>#VALUE!</v>
      </c>
    </row>
    <row r="1903" spans="1:25" ht="15" x14ac:dyDescent="0.25">
      <c r="A1903" s="4">
        <v>1599</v>
      </c>
      <c r="C1903" s="12" t="s">
        <v>4073</v>
      </c>
      <c r="D1903" s="12" t="s">
        <v>4074</v>
      </c>
      <c r="E1903" s="5" t="str">
        <f t="shared" si="35"/>
        <v>https://www.screener.in/company/AFIL/consolidated/</v>
      </c>
      <c r="F1903" s="4">
        <v>443059</v>
      </c>
      <c r="G1903" s="4">
        <v>3832241897</v>
      </c>
      <c r="H1903" s="6">
        <f t="shared" ca="1" si="36"/>
        <v>2651.9113927239996</v>
      </c>
      <c r="I1903" s="7" t="str">
        <f ca="1">IFERROR(__xludf.DUMMYFUNCTION("IMPORTXML(E1903,""/html/body/main/div[3]/div[3]/div[2]/ul/li[5]/span[2]/span"")"),"Loading...")</f>
        <v>Loading...</v>
      </c>
      <c r="J1903" s="7">
        <f ca="1">IFERROR(__xludf.DUMMYFUNCTION("GOOGLEFINANCE(""NSE:""&amp;D1903,""marketcap"")"),2953109340)</f>
        <v>2953109340</v>
      </c>
      <c r="K1903" s="7">
        <v>992.8</v>
      </c>
      <c r="L1903" s="8">
        <f ca="1">IFERROR(__xludf.DUMMYFUNCTION("GOOGLEFINANCE(""NSE:""&amp;D1903,""price"")"),6.92)</f>
        <v>6.92</v>
      </c>
      <c r="M1903" s="9">
        <f t="shared" ca="1" si="37"/>
        <v>-985.88</v>
      </c>
      <c r="N1903" s="10">
        <f t="shared" ca="1" si="38"/>
        <v>-99.302981466559231</v>
      </c>
      <c r="O1903" s="7">
        <f ca="1">IFERROR(__xludf.DUMMYFUNCTION("GOOGLEFINANCE(""NSE:""&amp;D1903,""pe"")"),4.81)</f>
        <v>4.8099999999999996</v>
      </c>
      <c r="P1903" s="7">
        <f ca="1">IFERROR(__xludf.DUMMYFUNCTION("GOOGLEFINANCE(""NSE:""&amp;D1903,""EPS"")"),1.44)</f>
        <v>1.44</v>
      </c>
      <c r="Q1903" s="7">
        <v>13.5</v>
      </c>
      <c r="R1903" s="7" t="str">
        <f ca="1">IFERROR(__xludf.DUMMYFUNCTION("IMPORTXML(E1903,""/html/body/main/div[3]/div[3]/div[2]/ul/li[7]/span[2]/span"")"),"Loading...")</f>
        <v>Loading...</v>
      </c>
      <c r="S1903" s="7" t="str">
        <f ca="1">IFERROR(__xludf.DUMMYFUNCTION("IMPORTXML(E1903,""/html/body/main/div[3]/div[3]/div[2]/ul/li[8]/span[2]/span"")"),"Loading...")</f>
        <v>Loading...</v>
      </c>
      <c r="T1903" s="4">
        <v>34.6</v>
      </c>
      <c r="U1903" s="4">
        <v>22.7</v>
      </c>
      <c r="V1903" s="4">
        <v>2.6</v>
      </c>
      <c r="W1903" s="4">
        <v>5.7</v>
      </c>
      <c r="X1903" s="4">
        <v>519.92999999999995</v>
      </c>
      <c r="Y1903" s="7">
        <f t="shared" ca="1" si="39"/>
        <v>-513.01</v>
      </c>
    </row>
    <row r="1904" spans="1:25" ht="15" x14ac:dyDescent="0.25">
      <c r="A1904" s="4">
        <v>1600</v>
      </c>
      <c r="C1904" s="12" t="s">
        <v>4075</v>
      </c>
      <c r="D1904" s="12" t="s">
        <v>4076</v>
      </c>
      <c r="E1904" s="5" t="str">
        <f t="shared" si="35"/>
        <v>https://www.screener.in/company/S&amp;SPOWER/consolidated/</v>
      </c>
      <c r="F1904" s="4">
        <v>443059</v>
      </c>
      <c r="G1904" s="4">
        <v>3832241897</v>
      </c>
      <c r="H1904" s="6">
        <f t="shared" ca="1" si="36"/>
        <v>151373.5549315</v>
      </c>
      <c r="I1904" s="7" t="str">
        <f ca="1">IFERROR(__xludf.DUMMYFUNCTION("IMPORTXML(E1904,""/html/body/main/div[3]/div[3]/div[2]/ul/li[5]/span[2]/span"")"),"Loading...")</f>
        <v>Loading...</v>
      </c>
      <c r="J1904" s="7">
        <f ca="1">IFERROR(__xludf.DUMMYFUNCTION("GOOGLEFINANCE(""NSE:""&amp;D1904,""marketcap"")"),4863805000)</f>
        <v>4863805000</v>
      </c>
      <c r="K1904" s="7">
        <v>992.8</v>
      </c>
      <c r="L1904" s="8">
        <f ca="1">IFERROR(__xludf.DUMMYFUNCTION("GOOGLEFINANCE(""NSE:""&amp;D1904,""price"")"),395)</f>
        <v>395</v>
      </c>
      <c r="M1904" s="9">
        <f t="shared" ca="1" si="37"/>
        <v>-597.79999999999995</v>
      </c>
      <c r="N1904" s="10">
        <f t="shared" ca="1" si="38"/>
        <v>-60.21353746978243</v>
      </c>
      <c r="O1904" s="7">
        <f ca="1">IFERROR(__xludf.DUMMYFUNCTION("GOOGLEFINANCE(""NSE:""&amp;D1904,""pe"")"),10621.13)</f>
        <v>10621.13</v>
      </c>
      <c r="P1904" s="7">
        <f ca="1">IFERROR(__xludf.DUMMYFUNCTION("GOOGLEFINANCE(""NSE:""&amp;D1904,""EPS"")"),0.04)</f>
        <v>0.04</v>
      </c>
      <c r="Q1904" s="7">
        <v>13.5</v>
      </c>
      <c r="R1904" s="7" t="str">
        <f ca="1">IFERROR(__xludf.DUMMYFUNCTION("IMPORTXML(E1904,""/html/body/main/div[3]/div[3]/div[2]/ul/li[7]/span[2]/span"")"),"Loading...")</f>
        <v>Loading...</v>
      </c>
      <c r="S1904" s="7" t="str">
        <f ca="1">IFERROR(__xludf.DUMMYFUNCTION("IMPORTXML(E1904,""/html/body/main/div[3]/div[3]/div[2]/ul/li[8]/span[2]/span"")"),"Loading...")</f>
        <v>Loading...</v>
      </c>
      <c r="T1904" s="4">
        <v>34.6</v>
      </c>
      <c r="U1904" s="4">
        <v>22.7</v>
      </c>
      <c r="V1904" s="4">
        <v>2.6</v>
      </c>
      <c r="W1904" s="4">
        <v>5.7</v>
      </c>
      <c r="X1904" s="4">
        <v>519.92999999999995</v>
      </c>
      <c r="Y1904" s="7">
        <f t="shared" ca="1" si="39"/>
        <v>-124.92999999999995</v>
      </c>
    </row>
    <row r="1905" spans="1:25" ht="15" x14ac:dyDescent="0.25">
      <c r="A1905" s="4">
        <v>1602</v>
      </c>
      <c r="C1905" s="41" t="s">
        <v>4077</v>
      </c>
      <c r="D1905" s="42"/>
      <c r="E1905" s="5" t="str">
        <f t="shared" si="35"/>
        <v>https://www.screener.in/company//consolidated/</v>
      </c>
      <c r="F1905" s="4">
        <v>443059</v>
      </c>
      <c r="G1905" s="4">
        <v>3832241897</v>
      </c>
      <c r="H1905" s="6" t="e">
        <f t="shared" ca="1" si="36"/>
        <v>#VALUE!</v>
      </c>
      <c r="I1905" s="7" t="str">
        <f ca="1">IFERROR(__xludf.DUMMYFUNCTION("IMPORTXML(E1905,""/html/body/main/div[3]/div[3]/div[2]/ul/li[5]/span[2]/span"")"),"Loading...")</f>
        <v>Loading...</v>
      </c>
      <c r="J1905" s="7" t="str">
        <f ca="1">IFERROR(__xludf.DUMMYFUNCTION("GOOGLEFINANCE(""NSE:""&amp;D1905,""marketcap"")"),"#N/A")</f>
        <v>#N/A</v>
      </c>
      <c r="K1905" s="7">
        <v>992.8</v>
      </c>
      <c r="L1905" s="8" t="str">
        <f ca="1">IFERROR(__xludf.DUMMYFUNCTION("GOOGLEFINANCE(""NSE:""&amp;D1905,""price"")"),"#N/A")</f>
        <v>#N/A</v>
      </c>
      <c r="M1905" s="9" t="e">
        <f t="shared" ca="1" si="37"/>
        <v>#VALUE!</v>
      </c>
      <c r="N1905" s="10" t="e">
        <f t="shared" ca="1" si="38"/>
        <v>#VALUE!</v>
      </c>
      <c r="O1905" s="7" t="str">
        <f ca="1">IFERROR(__xludf.DUMMYFUNCTION("GOOGLEFINANCE(""NSE:""&amp;D1905,""pe"")"),"#N/A")</f>
        <v>#N/A</v>
      </c>
      <c r="P1905" s="7" t="str">
        <f ca="1">IFERROR(__xludf.DUMMYFUNCTION("GOOGLEFINANCE(""NSE:""&amp;D1905,""EPS"")"),"#N/A")</f>
        <v>#N/A</v>
      </c>
      <c r="Q1905" s="7">
        <v>13.5</v>
      </c>
      <c r="R1905" s="7" t="str">
        <f ca="1">IFERROR(__xludf.DUMMYFUNCTION("IMPORTXML(E1905,""/html/body/main/div[3]/div[3]/div[2]/ul/li[7]/span[2]/span"")"),"Loading...")</f>
        <v>Loading...</v>
      </c>
      <c r="S1905" s="7" t="str">
        <f ca="1">IFERROR(__xludf.DUMMYFUNCTION("IMPORTXML(E1905,""/html/body/main/div[3]/div[3]/div[2]/ul/li[8]/span[2]/span"")"),"Loading...")</f>
        <v>Loading...</v>
      </c>
      <c r="T1905" s="4">
        <v>34.6</v>
      </c>
      <c r="U1905" s="4">
        <v>22.7</v>
      </c>
      <c r="V1905" s="4">
        <v>2.6</v>
      </c>
      <c r="W1905" s="4">
        <v>5.7</v>
      </c>
      <c r="X1905" s="4">
        <v>519.92999999999995</v>
      </c>
      <c r="Y1905" s="7" t="e">
        <f t="shared" ca="1" si="39"/>
        <v>#VALUE!</v>
      </c>
    </row>
    <row r="1906" spans="1:25" ht="15" x14ac:dyDescent="0.25">
      <c r="A1906" s="4">
        <v>1603</v>
      </c>
      <c r="C1906" s="12" t="s">
        <v>4078</v>
      </c>
      <c r="D1906" s="12" t="s">
        <v>4079</v>
      </c>
      <c r="E1906" s="5" t="str">
        <f t="shared" si="35"/>
        <v>https://www.screener.in/company/KRITIKA/consolidated/</v>
      </c>
      <c r="F1906" s="4">
        <v>443059</v>
      </c>
      <c r="G1906" s="4">
        <v>3832241897</v>
      </c>
      <c r="H1906" s="6">
        <f t="shared" ca="1" si="36"/>
        <v>3667.4554954290002</v>
      </c>
      <c r="I1906" s="7" t="str">
        <f ca="1">IFERROR(__xludf.DUMMYFUNCTION("IMPORTXML(E1906,""/html/body/main/div[3]/div[3]/div[2]/ul/li[5]/span[2]/span"")"),"Loading...")</f>
        <v>Loading...</v>
      </c>
      <c r="J1906" s="7">
        <f ca="1">IFERROR(__xludf.DUMMYFUNCTION("GOOGLEFINANCE(""NSE:""&amp;D1906,""marketcap"")"),2548299518)</f>
        <v>2548299518</v>
      </c>
      <c r="K1906" s="7">
        <v>992.8</v>
      </c>
      <c r="L1906" s="8">
        <f ca="1">IFERROR(__xludf.DUMMYFUNCTION("GOOGLEFINANCE(""NSE:""&amp;D1906,""price"")"),9.57)</f>
        <v>9.57</v>
      </c>
      <c r="M1906" s="9">
        <f t="shared" ca="1" si="37"/>
        <v>-983.2299999999999</v>
      </c>
      <c r="N1906" s="10">
        <f t="shared" ca="1" si="38"/>
        <v>-99.036059629331177</v>
      </c>
      <c r="O1906" s="7">
        <f ca="1">IFERROR(__xludf.DUMMYFUNCTION("GOOGLEFINANCE(""NSE:""&amp;D1906,""pe"")"),27.34)</f>
        <v>27.34</v>
      </c>
      <c r="P1906" s="7">
        <f ca="1">IFERROR(__xludf.DUMMYFUNCTION("GOOGLEFINANCE(""NSE:""&amp;D1906,""EPS"")"),0.35)</f>
        <v>0.35</v>
      </c>
      <c r="Q1906" s="7">
        <v>13.5</v>
      </c>
      <c r="R1906" s="7" t="str">
        <f ca="1">IFERROR(__xludf.DUMMYFUNCTION("IMPORTXML(E1906,""/html/body/main/div[3]/div[3]/div[2]/ul/li[7]/span[2]/span"")"),"Loading...")</f>
        <v>Loading...</v>
      </c>
      <c r="S1906" s="7" t="str">
        <f ca="1">IFERROR(__xludf.DUMMYFUNCTION("IMPORTXML(E1906,""/html/body/main/div[3]/div[3]/div[2]/ul/li[8]/span[2]/span"")"),"Loading...")</f>
        <v>Loading...</v>
      </c>
      <c r="T1906" s="4">
        <v>34.6</v>
      </c>
      <c r="U1906" s="4">
        <v>22.7</v>
      </c>
      <c r="V1906" s="4">
        <v>2.6</v>
      </c>
      <c r="W1906" s="4">
        <v>5.7</v>
      </c>
      <c r="X1906" s="4">
        <v>519.92999999999995</v>
      </c>
      <c r="Y1906" s="7">
        <f t="shared" ca="1" si="39"/>
        <v>-510.35999999999996</v>
      </c>
    </row>
    <row r="1907" spans="1:25" ht="15" x14ac:dyDescent="0.25">
      <c r="A1907" s="4">
        <v>1607</v>
      </c>
      <c r="C1907" s="41" t="s">
        <v>4080</v>
      </c>
      <c r="D1907" s="42"/>
      <c r="E1907" s="5" t="str">
        <f t="shared" si="35"/>
        <v>https://www.screener.in/company//consolidated/</v>
      </c>
      <c r="F1907" s="4">
        <v>443059</v>
      </c>
      <c r="G1907" s="4">
        <v>3832241897</v>
      </c>
      <c r="H1907" s="6" t="e">
        <f t="shared" ca="1" si="36"/>
        <v>#VALUE!</v>
      </c>
      <c r="I1907" s="7" t="str">
        <f ca="1">IFERROR(__xludf.DUMMYFUNCTION("IMPORTXML(E1907,""/html/body/main/div[3]/div[3]/div[2]/ul/li[5]/span[2]/span"")"),"Loading...")</f>
        <v>Loading...</v>
      </c>
      <c r="J1907" s="7" t="str">
        <f ca="1">IFERROR(__xludf.DUMMYFUNCTION("GOOGLEFINANCE(""NSE:""&amp;D1907,""marketcap"")"),"#N/A")</f>
        <v>#N/A</v>
      </c>
      <c r="K1907" s="7">
        <v>992.8</v>
      </c>
      <c r="L1907" s="8" t="str">
        <f ca="1">IFERROR(__xludf.DUMMYFUNCTION("GOOGLEFINANCE(""NSE:""&amp;D1907,""price"")"),"#N/A")</f>
        <v>#N/A</v>
      </c>
      <c r="M1907" s="9" t="e">
        <f t="shared" ca="1" si="37"/>
        <v>#VALUE!</v>
      </c>
      <c r="N1907" s="10" t="e">
        <f t="shared" ca="1" si="38"/>
        <v>#VALUE!</v>
      </c>
      <c r="O1907" s="7" t="str">
        <f ca="1">IFERROR(__xludf.DUMMYFUNCTION("GOOGLEFINANCE(""NSE:""&amp;D1907,""pe"")"),"#N/A")</f>
        <v>#N/A</v>
      </c>
      <c r="P1907" s="7" t="str">
        <f ca="1">IFERROR(__xludf.DUMMYFUNCTION("GOOGLEFINANCE(""NSE:""&amp;D1907,""EPS"")"),"#N/A")</f>
        <v>#N/A</v>
      </c>
      <c r="Q1907" s="7">
        <v>13.5</v>
      </c>
      <c r="R1907" s="7" t="str">
        <f ca="1">IFERROR(__xludf.DUMMYFUNCTION("IMPORTXML(E1907,""/html/body/main/div[3]/div[3]/div[2]/ul/li[7]/span[2]/span"")"),"Loading...")</f>
        <v>Loading...</v>
      </c>
      <c r="S1907" s="7" t="str">
        <f ca="1">IFERROR(__xludf.DUMMYFUNCTION("IMPORTXML(E1907,""/html/body/main/div[3]/div[3]/div[2]/ul/li[8]/span[2]/span"")"),"Loading...")</f>
        <v>Loading...</v>
      </c>
      <c r="T1907" s="4">
        <v>34.6</v>
      </c>
      <c r="U1907" s="4">
        <v>22.7</v>
      </c>
      <c r="V1907" s="4">
        <v>2.6</v>
      </c>
      <c r="W1907" s="4">
        <v>5.7</v>
      </c>
      <c r="X1907" s="4">
        <v>519.92999999999995</v>
      </c>
      <c r="Y1907" s="7" t="e">
        <f t="shared" ca="1" si="39"/>
        <v>#VALUE!</v>
      </c>
    </row>
    <row r="1908" spans="1:25" ht="15" x14ac:dyDescent="0.25">
      <c r="A1908" s="4">
        <v>1609</v>
      </c>
      <c r="C1908" s="41" t="s">
        <v>4081</v>
      </c>
      <c r="D1908" s="42"/>
      <c r="E1908" s="5" t="str">
        <f t="shared" si="35"/>
        <v>https://www.screener.in/company//consolidated/</v>
      </c>
      <c r="F1908" s="4">
        <v>443059</v>
      </c>
      <c r="G1908" s="4">
        <v>3832241897</v>
      </c>
      <c r="H1908" s="6" t="e">
        <f t="shared" ca="1" si="36"/>
        <v>#VALUE!</v>
      </c>
      <c r="I1908" s="7" t="str">
        <f ca="1">IFERROR(__xludf.DUMMYFUNCTION("IMPORTXML(E1908,""/html/body/main/div[3]/div[3]/div[2]/ul/li[5]/span[2]/span"")"),"Loading...")</f>
        <v>Loading...</v>
      </c>
      <c r="J1908" s="7" t="str">
        <f ca="1">IFERROR(__xludf.DUMMYFUNCTION("GOOGLEFINANCE(""NSE:""&amp;D1908,""marketcap"")"),"#N/A")</f>
        <v>#N/A</v>
      </c>
      <c r="K1908" s="7">
        <v>992.8</v>
      </c>
      <c r="L1908" s="8" t="str">
        <f ca="1">IFERROR(__xludf.DUMMYFUNCTION("GOOGLEFINANCE(""NSE:""&amp;D1908,""price"")"),"#N/A")</f>
        <v>#N/A</v>
      </c>
      <c r="M1908" s="9" t="e">
        <f t="shared" ca="1" si="37"/>
        <v>#VALUE!</v>
      </c>
      <c r="N1908" s="10" t="e">
        <f t="shared" ca="1" si="38"/>
        <v>#VALUE!</v>
      </c>
      <c r="O1908" s="7" t="str">
        <f ca="1">IFERROR(__xludf.DUMMYFUNCTION("GOOGLEFINANCE(""NSE:""&amp;D1908,""pe"")"),"#N/A")</f>
        <v>#N/A</v>
      </c>
      <c r="P1908" s="7" t="str">
        <f ca="1">IFERROR(__xludf.DUMMYFUNCTION("GOOGLEFINANCE(""NSE:""&amp;D1908,""EPS"")"),"#N/A")</f>
        <v>#N/A</v>
      </c>
      <c r="Q1908" s="7">
        <v>13.5</v>
      </c>
      <c r="R1908" s="7" t="str">
        <f ca="1">IFERROR(__xludf.DUMMYFUNCTION("IMPORTXML(E1908,""/html/body/main/div[3]/div[3]/div[2]/ul/li[7]/span[2]/span"")"),"Loading...")</f>
        <v>Loading...</v>
      </c>
      <c r="S1908" s="7" t="str">
        <f ca="1">IFERROR(__xludf.DUMMYFUNCTION("IMPORTXML(E1908,""/html/body/main/div[3]/div[3]/div[2]/ul/li[8]/span[2]/span"")"),"Loading...")</f>
        <v>Loading...</v>
      </c>
      <c r="T1908" s="4">
        <v>34.6</v>
      </c>
      <c r="U1908" s="4">
        <v>22.7</v>
      </c>
      <c r="V1908" s="4">
        <v>2.6</v>
      </c>
      <c r="W1908" s="4">
        <v>5.7</v>
      </c>
      <c r="X1908" s="4">
        <v>519.92999999999995</v>
      </c>
      <c r="Y1908" s="7" t="e">
        <f t="shared" ca="1" si="39"/>
        <v>#VALUE!</v>
      </c>
    </row>
    <row r="1909" spans="1:25" ht="15" x14ac:dyDescent="0.25">
      <c r="A1909" s="4">
        <v>1612</v>
      </c>
      <c r="C1909" s="41" t="s">
        <v>4082</v>
      </c>
      <c r="D1909" s="42"/>
      <c r="E1909" s="5" t="str">
        <f t="shared" si="35"/>
        <v>https://www.screener.in/company//consolidated/</v>
      </c>
      <c r="F1909" s="4">
        <v>443059</v>
      </c>
      <c r="G1909" s="4">
        <v>3832241897</v>
      </c>
      <c r="H1909" s="6" t="e">
        <f t="shared" ca="1" si="36"/>
        <v>#VALUE!</v>
      </c>
      <c r="I1909" s="7" t="str">
        <f ca="1">IFERROR(__xludf.DUMMYFUNCTION("IMPORTXML(E1909,""/html/body/main/div[3]/div[3]/div[2]/ul/li[5]/span[2]/span"")"),"Loading...")</f>
        <v>Loading...</v>
      </c>
      <c r="J1909" s="7" t="str">
        <f ca="1">IFERROR(__xludf.DUMMYFUNCTION("GOOGLEFINANCE(""NSE:""&amp;D1909,""marketcap"")"),"#N/A")</f>
        <v>#N/A</v>
      </c>
      <c r="K1909" s="7">
        <v>992.8</v>
      </c>
      <c r="L1909" s="8" t="str">
        <f ca="1">IFERROR(__xludf.DUMMYFUNCTION("GOOGLEFINANCE(""NSE:""&amp;D1909,""price"")"),"#N/A")</f>
        <v>#N/A</v>
      </c>
      <c r="M1909" s="9" t="e">
        <f t="shared" ca="1" si="37"/>
        <v>#VALUE!</v>
      </c>
      <c r="N1909" s="10" t="e">
        <f t="shared" ca="1" si="38"/>
        <v>#VALUE!</v>
      </c>
      <c r="O1909" s="7" t="str">
        <f ca="1">IFERROR(__xludf.DUMMYFUNCTION("GOOGLEFINANCE(""NSE:""&amp;D1909,""pe"")"),"#N/A")</f>
        <v>#N/A</v>
      </c>
      <c r="P1909" s="7" t="str">
        <f ca="1">IFERROR(__xludf.DUMMYFUNCTION("GOOGLEFINANCE(""NSE:""&amp;D1909,""EPS"")"),"#N/A")</f>
        <v>#N/A</v>
      </c>
      <c r="Q1909" s="7">
        <v>13.5</v>
      </c>
      <c r="R1909" s="7" t="str">
        <f ca="1">IFERROR(__xludf.DUMMYFUNCTION("IMPORTXML(E1909,""/html/body/main/div[3]/div[3]/div[2]/ul/li[7]/span[2]/span"")"),"Loading...")</f>
        <v>Loading...</v>
      </c>
      <c r="S1909" s="7" t="str">
        <f ca="1">IFERROR(__xludf.DUMMYFUNCTION("IMPORTXML(E1909,""/html/body/main/div[3]/div[3]/div[2]/ul/li[8]/span[2]/span"")"),"Loading...")</f>
        <v>Loading...</v>
      </c>
      <c r="T1909" s="4">
        <v>34.6</v>
      </c>
      <c r="U1909" s="4">
        <v>22.7</v>
      </c>
      <c r="V1909" s="4">
        <v>2.6</v>
      </c>
      <c r="W1909" s="4">
        <v>5.7</v>
      </c>
      <c r="X1909" s="4">
        <v>519.92999999999995</v>
      </c>
      <c r="Y1909" s="7" t="e">
        <f t="shared" ca="1" si="39"/>
        <v>#VALUE!</v>
      </c>
    </row>
    <row r="1910" spans="1:25" ht="15" x14ac:dyDescent="0.25">
      <c r="A1910" s="4">
        <v>1613</v>
      </c>
      <c r="C1910" s="41" t="s">
        <v>4083</v>
      </c>
      <c r="D1910" s="42"/>
      <c r="E1910" s="5" t="str">
        <f t="shared" si="35"/>
        <v>https://www.screener.in/company//consolidated/</v>
      </c>
      <c r="F1910" s="4">
        <v>443059</v>
      </c>
      <c r="G1910" s="4">
        <v>3832241897</v>
      </c>
      <c r="H1910" s="6" t="e">
        <f t="shared" ca="1" si="36"/>
        <v>#VALUE!</v>
      </c>
      <c r="I1910" s="7" t="str">
        <f ca="1">IFERROR(__xludf.DUMMYFUNCTION("IMPORTXML(E1910,""/html/body/main/div[3]/div[3]/div[2]/ul/li[5]/span[2]/span"")"),"Loading...")</f>
        <v>Loading...</v>
      </c>
      <c r="J1910" s="7" t="str">
        <f ca="1">IFERROR(__xludf.DUMMYFUNCTION("GOOGLEFINANCE(""NSE:""&amp;D1910,""marketcap"")"),"#N/A")</f>
        <v>#N/A</v>
      </c>
      <c r="K1910" s="7">
        <v>992.8</v>
      </c>
      <c r="L1910" s="8" t="str">
        <f ca="1">IFERROR(__xludf.DUMMYFUNCTION("GOOGLEFINANCE(""NSE:""&amp;D1910,""price"")"),"#N/A")</f>
        <v>#N/A</v>
      </c>
      <c r="M1910" s="9" t="e">
        <f t="shared" ca="1" si="37"/>
        <v>#VALUE!</v>
      </c>
      <c r="N1910" s="10" t="e">
        <f t="shared" ca="1" si="38"/>
        <v>#VALUE!</v>
      </c>
      <c r="O1910" s="7" t="str">
        <f ca="1">IFERROR(__xludf.DUMMYFUNCTION("GOOGLEFINANCE(""NSE:""&amp;D1910,""pe"")"),"#N/A")</f>
        <v>#N/A</v>
      </c>
      <c r="P1910" s="7" t="str">
        <f ca="1">IFERROR(__xludf.DUMMYFUNCTION("GOOGLEFINANCE(""NSE:""&amp;D1910,""EPS"")"),"#N/A")</f>
        <v>#N/A</v>
      </c>
      <c r="Q1910" s="7">
        <v>13.5</v>
      </c>
      <c r="R1910" s="7" t="str">
        <f ca="1">IFERROR(__xludf.DUMMYFUNCTION("IMPORTXML(E1910,""/html/body/main/div[3]/div[3]/div[2]/ul/li[7]/span[2]/span"")"),"Loading...")</f>
        <v>Loading...</v>
      </c>
      <c r="S1910" s="7" t="str">
        <f ca="1">IFERROR(__xludf.DUMMYFUNCTION("IMPORTXML(E1910,""/html/body/main/div[3]/div[3]/div[2]/ul/li[8]/span[2]/span"")"),"Loading...")</f>
        <v>Loading...</v>
      </c>
      <c r="T1910" s="4">
        <v>34.6</v>
      </c>
      <c r="U1910" s="4">
        <v>22.7</v>
      </c>
      <c r="V1910" s="4">
        <v>2.6</v>
      </c>
      <c r="W1910" s="4">
        <v>5.7</v>
      </c>
      <c r="X1910" s="4">
        <v>519.92999999999995</v>
      </c>
      <c r="Y1910" s="7" t="e">
        <f t="shared" ca="1" si="39"/>
        <v>#VALUE!</v>
      </c>
    </row>
    <row r="1911" spans="1:25" ht="15" x14ac:dyDescent="0.25">
      <c r="A1911" s="4">
        <v>1614</v>
      </c>
      <c r="C1911" s="41" t="s">
        <v>4084</v>
      </c>
      <c r="D1911" s="42"/>
      <c r="E1911" s="5" t="str">
        <f t="shared" si="35"/>
        <v>https://www.screener.in/company//consolidated/</v>
      </c>
      <c r="F1911" s="4">
        <v>443059</v>
      </c>
      <c r="G1911" s="4">
        <v>3832241897</v>
      </c>
      <c r="H1911" s="6" t="e">
        <f t="shared" ca="1" si="36"/>
        <v>#VALUE!</v>
      </c>
      <c r="I1911" s="7" t="str">
        <f ca="1">IFERROR(__xludf.DUMMYFUNCTION("IMPORTXML(E1911,""/html/body/main/div[3]/div[3]/div[2]/ul/li[5]/span[2]/span"")"),"Loading...")</f>
        <v>Loading...</v>
      </c>
      <c r="J1911" s="7" t="str">
        <f ca="1">IFERROR(__xludf.DUMMYFUNCTION("GOOGLEFINANCE(""NSE:""&amp;D1911,""marketcap"")"),"#N/A")</f>
        <v>#N/A</v>
      </c>
      <c r="K1911" s="7">
        <v>992.8</v>
      </c>
      <c r="L1911" s="8" t="str">
        <f ca="1">IFERROR(__xludf.DUMMYFUNCTION("GOOGLEFINANCE(""NSE:""&amp;D1911,""price"")"),"#N/A")</f>
        <v>#N/A</v>
      </c>
      <c r="M1911" s="9" t="e">
        <f t="shared" ca="1" si="37"/>
        <v>#VALUE!</v>
      </c>
      <c r="N1911" s="10" t="e">
        <f t="shared" ca="1" si="38"/>
        <v>#VALUE!</v>
      </c>
      <c r="O1911" s="7" t="str">
        <f ca="1">IFERROR(__xludf.DUMMYFUNCTION("GOOGLEFINANCE(""NSE:""&amp;D1911,""pe"")"),"#N/A")</f>
        <v>#N/A</v>
      </c>
      <c r="P1911" s="7" t="str">
        <f ca="1">IFERROR(__xludf.DUMMYFUNCTION("GOOGLEFINANCE(""NSE:""&amp;D1911,""EPS"")"),"#N/A")</f>
        <v>#N/A</v>
      </c>
      <c r="Q1911" s="7">
        <v>13.5</v>
      </c>
      <c r="R1911" s="7" t="str">
        <f ca="1">IFERROR(__xludf.DUMMYFUNCTION("IMPORTXML(E1911,""/html/body/main/div[3]/div[3]/div[2]/ul/li[7]/span[2]/span"")"),"Loading...")</f>
        <v>Loading...</v>
      </c>
      <c r="S1911" s="7" t="str">
        <f ca="1">IFERROR(__xludf.DUMMYFUNCTION("IMPORTXML(E1911,""/html/body/main/div[3]/div[3]/div[2]/ul/li[8]/span[2]/span"")"),"Loading...")</f>
        <v>Loading...</v>
      </c>
      <c r="T1911" s="4">
        <v>34.6</v>
      </c>
      <c r="U1911" s="4">
        <v>22.7</v>
      </c>
      <c r="V1911" s="4">
        <v>2.6</v>
      </c>
      <c r="W1911" s="4">
        <v>5.7</v>
      </c>
      <c r="X1911" s="4">
        <v>519.92999999999995</v>
      </c>
      <c r="Y1911" s="7" t="e">
        <f t="shared" ca="1" si="39"/>
        <v>#VALUE!</v>
      </c>
    </row>
    <row r="1912" spans="1:25" ht="15" x14ac:dyDescent="0.25">
      <c r="A1912" s="4">
        <v>1615</v>
      </c>
      <c r="C1912" s="41" t="s">
        <v>4085</v>
      </c>
      <c r="D1912" s="42"/>
      <c r="E1912" s="5" t="str">
        <f t="shared" si="35"/>
        <v>https://www.screener.in/company//consolidated/</v>
      </c>
      <c r="F1912" s="4">
        <v>443059</v>
      </c>
      <c r="G1912" s="4">
        <v>3832241897</v>
      </c>
      <c r="H1912" s="6" t="e">
        <f t="shared" ca="1" si="36"/>
        <v>#VALUE!</v>
      </c>
      <c r="I1912" s="7" t="str">
        <f ca="1">IFERROR(__xludf.DUMMYFUNCTION("IMPORTXML(E1912,""/html/body/main/div[3]/div[3]/div[2]/ul/li[5]/span[2]/span"")"),"Loading...")</f>
        <v>Loading...</v>
      </c>
      <c r="J1912" s="7" t="str">
        <f ca="1">IFERROR(__xludf.DUMMYFUNCTION("GOOGLEFINANCE(""NSE:""&amp;D1912,""marketcap"")"),"#N/A")</f>
        <v>#N/A</v>
      </c>
      <c r="K1912" s="7">
        <v>992.8</v>
      </c>
      <c r="L1912" s="8" t="str">
        <f ca="1">IFERROR(__xludf.DUMMYFUNCTION("GOOGLEFINANCE(""NSE:""&amp;D1912,""price"")"),"#N/A")</f>
        <v>#N/A</v>
      </c>
      <c r="M1912" s="9" t="e">
        <f t="shared" ca="1" si="37"/>
        <v>#VALUE!</v>
      </c>
      <c r="N1912" s="10" t="e">
        <f t="shared" ca="1" si="38"/>
        <v>#VALUE!</v>
      </c>
      <c r="O1912" s="7" t="str">
        <f ca="1">IFERROR(__xludf.DUMMYFUNCTION("GOOGLEFINANCE(""NSE:""&amp;D1912,""pe"")"),"#N/A")</f>
        <v>#N/A</v>
      </c>
      <c r="P1912" s="7" t="str">
        <f ca="1">IFERROR(__xludf.DUMMYFUNCTION("GOOGLEFINANCE(""NSE:""&amp;D1912,""EPS"")"),"#N/A")</f>
        <v>#N/A</v>
      </c>
      <c r="Q1912" s="7">
        <v>13.5</v>
      </c>
      <c r="R1912" s="7" t="str">
        <f ca="1">IFERROR(__xludf.DUMMYFUNCTION("IMPORTXML(E1912,""/html/body/main/div[3]/div[3]/div[2]/ul/li[7]/span[2]/span"")"),"Loading...")</f>
        <v>Loading...</v>
      </c>
      <c r="S1912" s="7" t="str">
        <f ca="1">IFERROR(__xludf.DUMMYFUNCTION("IMPORTXML(E1912,""/html/body/main/div[3]/div[3]/div[2]/ul/li[8]/span[2]/span"")"),"Loading...")</f>
        <v>Loading...</v>
      </c>
      <c r="T1912" s="4">
        <v>34.6</v>
      </c>
      <c r="U1912" s="4">
        <v>22.7</v>
      </c>
      <c r="V1912" s="4">
        <v>2.6</v>
      </c>
      <c r="W1912" s="4">
        <v>5.7</v>
      </c>
      <c r="X1912" s="4">
        <v>519.92999999999995</v>
      </c>
      <c r="Y1912" s="7" t="e">
        <f t="shared" ca="1" si="39"/>
        <v>#VALUE!</v>
      </c>
    </row>
    <row r="1913" spans="1:25" ht="15" x14ac:dyDescent="0.25">
      <c r="A1913" s="4">
        <v>1617</v>
      </c>
      <c r="C1913" s="41" t="s">
        <v>4086</v>
      </c>
      <c r="D1913" s="42"/>
      <c r="E1913" s="5" t="str">
        <f t="shared" si="35"/>
        <v>https://www.screener.in/company//consolidated/</v>
      </c>
      <c r="F1913" s="4">
        <v>443059</v>
      </c>
      <c r="G1913" s="4">
        <v>3832241897</v>
      </c>
      <c r="H1913" s="6" t="e">
        <f t="shared" ca="1" si="36"/>
        <v>#VALUE!</v>
      </c>
      <c r="I1913" s="7" t="str">
        <f ca="1">IFERROR(__xludf.DUMMYFUNCTION("IMPORTXML(E1913,""/html/body/main/div[3]/div[3]/div[2]/ul/li[5]/span[2]/span"")"),"Loading...")</f>
        <v>Loading...</v>
      </c>
      <c r="J1913" s="7" t="str">
        <f ca="1">IFERROR(__xludf.DUMMYFUNCTION("GOOGLEFINANCE(""NSE:""&amp;D1913,""marketcap"")"),"#N/A")</f>
        <v>#N/A</v>
      </c>
      <c r="K1913" s="7">
        <v>992.8</v>
      </c>
      <c r="L1913" s="8" t="str">
        <f ca="1">IFERROR(__xludf.DUMMYFUNCTION("GOOGLEFINANCE(""NSE:""&amp;D1913,""price"")"),"#N/A")</f>
        <v>#N/A</v>
      </c>
      <c r="M1913" s="9" t="e">
        <f t="shared" ca="1" si="37"/>
        <v>#VALUE!</v>
      </c>
      <c r="N1913" s="10" t="e">
        <f t="shared" ca="1" si="38"/>
        <v>#VALUE!</v>
      </c>
      <c r="O1913" s="7" t="str">
        <f ca="1">IFERROR(__xludf.DUMMYFUNCTION("GOOGLEFINANCE(""NSE:""&amp;D1913,""pe"")"),"#N/A")</f>
        <v>#N/A</v>
      </c>
      <c r="P1913" s="7" t="str">
        <f ca="1">IFERROR(__xludf.DUMMYFUNCTION("GOOGLEFINANCE(""NSE:""&amp;D1913,""EPS"")"),"#N/A")</f>
        <v>#N/A</v>
      </c>
      <c r="Q1913" s="7">
        <v>13.5</v>
      </c>
      <c r="R1913" s="7" t="str">
        <f ca="1">IFERROR(__xludf.DUMMYFUNCTION("IMPORTXML(E1913,""/html/body/main/div[3]/div[3]/div[2]/ul/li[7]/span[2]/span"")"),"Loading...")</f>
        <v>Loading...</v>
      </c>
      <c r="S1913" s="7" t="str">
        <f ca="1">IFERROR(__xludf.DUMMYFUNCTION("IMPORTXML(E1913,""/html/body/main/div[3]/div[3]/div[2]/ul/li[8]/span[2]/span"")"),"Loading...")</f>
        <v>Loading...</v>
      </c>
      <c r="T1913" s="4">
        <v>34.6</v>
      </c>
      <c r="U1913" s="4">
        <v>22.7</v>
      </c>
      <c r="V1913" s="4">
        <v>2.6</v>
      </c>
      <c r="W1913" s="4">
        <v>5.7</v>
      </c>
      <c r="X1913" s="4">
        <v>519.92999999999995</v>
      </c>
      <c r="Y1913" s="7" t="e">
        <f t="shared" ca="1" si="39"/>
        <v>#VALUE!</v>
      </c>
    </row>
    <row r="1914" spans="1:25" ht="15" x14ac:dyDescent="0.25">
      <c r="A1914" s="4">
        <v>1618</v>
      </c>
      <c r="C1914" s="41" t="s">
        <v>4087</v>
      </c>
      <c r="D1914" s="42"/>
      <c r="E1914" s="5" t="str">
        <f t="shared" si="35"/>
        <v>https://www.screener.in/company//consolidated/</v>
      </c>
      <c r="F1914" s="4">
        <v>443059</v>
      </c>
      <c r="G1914" s="4">
        <v>3832241897</v>
      </c>
      <c r="H1914" s="6" t="e">
        <f t="shared" ca="1" si="36"/>
        <v>#VALUE!</v>
      </c>
      <c r="I1914" s="7" t="str">
        <f ca="1">IFERROR(__xludf.DUMMYFUNCTION("IMPORTXML(E1914,""/html/body/main/div[3]/div[3]/div[2]/ul/li[5]/span[2]/span"")"),"Loading...")</f>
        <v>Loading...</v>
      </c>
      <c r="J1914" s="7" t="str">
        <f ca="1">IFERROR(__xludf.DUMMYFUNCTION("GOOGLEFINANCE(""NSE:""&amp;D1914,""marketcap"")"),"#N/A")</f>
        <v>#N/A</v>
      </c>
      <c r="K1914" s="7">
        <v>992.8</v>
      </c>
      <c r="L1914" s="8" t="str">
        <f ca="1">IFERROR(__xludf.DUMMYFUNCTION("GOOGLEFINANCE(""NSE:""&amp;D1914,""price"")"),"#N/A")</f>
        <v>#N/A</v>
      </c>
      <c r="M1914" s="9" t="e">
        <f t="shared" ca="1" si="37"/>
        <v>#VALUE!</v>
      </c>
      <c r="N1914" s="10" t="e">
        <f t="shared" ca="1" si="38"/>
        <v>#VALUE!</v>
      </c>
      <c r="O1914" s="7" t="str">
        <f ca="1">IFERROR(__xludf.DUMMYFUNCTION("GOOGLEFINANCE(""NSE:""&amp;D1914,""pe"")"),"#N/A")</f>
        <v>#N/A</v>
      </c>
      <c r="P1914" s="7" t="str">
        <f ca="1">IFERROR(__xludf.DUMMYFUNCTION("GOOGLEFINANCE(""NSE:""&amp;D1914,""EPS"")"),"#N/A")</f>
        <v>#N/A</v>
      </c>
      <c r="Q1914" s="7">
        <v>13.5</v>
      </c>
      <c r="R1914" s="7" t="str">
        <f ca="1">IFERROR(__xludf.DUMMYFUNCTION("IMPORTXML(E1914,""/html/body/main/div[3]/div[3]/div[2]/ul/li[7]/span[2]/span"")"),"Loading...")</f>
        <v>Loading...</v>
      </c>
      <c r="S1914" s="7" t="str">
        <f ca="1">IFERROR(__xludf.DUMMYFUNCTION("IMPORTXML(E1914,""/html/body/main/div[3]/div[3]/div[2]/ul/li[8]/span[2]/span"")"),"Loading...")</f>
        <v>Loading...</v>
      </c>
      <c r="T1914" s="4">
        <v>34.6</v>
      </c>
      <c r="U1914" s="4">
        <v>22.7</v>
      </c>
      <c r="V1914" s="4">
        <v>2.6</v>
      </c>
      <c r="W1914" s="4">
        <v>5.7</v>
      </c>
      <c r="X1914" s="4">
        <v>519.92999999999995</v>
      </c>
      <c r="Y1914" s="7" t="e">
        <f t="shared" ca="1" si="39"/>
        <v>#VALUE!</v>
      </c>
    </row>
    <row r="1915" spans="1:25" ht="15" x14ac:dyDescent="0.25">
      <c r="A1915" s="4">
        <v>1619</v>
      </c>
      <c r="C1915" s="41" t="s">
        <v>4088</v>
      </c>
      <c r="D1915" s="42"/>
      <c r="E1915" s="5" t="str">
        <f t="shared" si="35"/>
        <v>https://www.screener.in/company//consolidated/</v>
      </c>
      <c r="F1915" s="4">
        <v>443059</v>
      </c>
      <c r="G1915" s="4">
        <v>3832241897</v>
      </c>
      <c r="H1915" s="6" t="e">
        <f t="shared" ca="1" si="36"/>
        <v>#VALUE!</v>
      </c>
      <c r="I1915" s="7" t="str">
        <f ca="1">IFERROR(__xludf.DUMMYFUNCTION("IMPORTXML(E1915,""/html/body/main/div[3]/div[3]/div[2]/ul/li[5]/span[2]/span"")"),"Loading...")</f>
        <v>Loading...</v>
      </c>
      <c r="J1915" s="7" t="str">
        <f ca="1">IFERROR(__xludf.DUMMYFUNCTION("GOOGLEFINANCE(""NSE:""&amp;D1915,""marketcap"")"),"#N/A")</f>
        <v>#N/A</v>
      </c>
      <c r="K1915" s="7">
        <v>992.8</v>
      </c>
      <c r="L1915" s="8" t="str">
        <f ca="1">IFERROR(__xludf.DUMMYFUNCTION("GOOGLEFINANCE(""NSE:""&amp;D1915,""price"")"),"#N/A")</f>
        <v>#N/A</v>
      </c>
      <c r="M1915" s="9" t="e">
        <f t="shared" ca="1" si="37"/>
        <v>#VALUE!</v>
      </c>
      <c r="N1915" s="10" t="e">
        <f t="shared" ca="1" si="38"/>
        <v>#VALUE!</v>
      </c>
      <c r="O1915" s="7" t="str">
        <f ca="1">IFERROR(__xludf.DUMMYFUNCTION("GOOGLEFINANCE(""NSE:""&amp;D1915,""pe"")"),"#N/A")</f>
        <v>#N/A</v>
      </c>
      <c r="P1915" s="7" t="str">
        <f ca="1">IFERROR(__xludf.DUMMYFUNCTION("GOOGLEFINANCE(""NSE:""&amp;D1915,""EPS"")"),"#N/A")</f>
        <v>#N/A</v>
      </c>
      <c r="Q1915" s="7">
        <v>13.5</v>
      </c>
      <c r="R1915" s="7" t="str">
        <f ca="1">IFERROR(__xludf.DUMMYFUNCTION("IMPORTXML(E1915,""/html/body/main/div[3]/div[3]/div[2]/ul/li[7]/span[2]/span"")"),"Loading...")</f>
        <v>Loading...</v>
      </c>
      <c r="S1915" s="7" t="str">
        <f ca="1">IFERROR(__xludf.DUMMYFUNCTION("IMPORTXML(E1915,""/html/body/main/div[3]/div[3]/div[2]/ul/li[8]/span[2]/span"")"),"Loading...")</f>
        <v>Loading...</v>
      </c>
      <c r="T1915" s="4">
        <v>34.6</v>
      </c>
      <c r="U1915" s="4">
        <v>22.7</v>
      </c>
      <c r="V1915" s="4">
        <v>2.6</v>
      </c>
      <c r="W1915" s="4">
        <v>5.7</v>
      </c>
      <c r="X1915" s="4">
        <v>519.92999999999995</v>
      </c>
      <c r="Y1915" s="7" t="e">
        <f t="shared" ca="1" si="39"/>
        <v>#VALUE!</v>
      </c>
    </row>
    <row r="1916" spans="1:25" ht="15" x14ac:dyDescent="0.25">
      <c r="A1916" s="4">
        <v>1620</v>
      </c>
      <c r="C1916" s="41" t="s">
        <v>4089</v>
      </c>
      <c r="D1916" s="42"/>
      <c r="E1916" s="5" t="str">
        <f t="shared" si="35"/>
        <v>https://www.screener.in/company//consolidated/</v>
      </c>
      <c r="F1916" s="4">
        <v>443059</v>
      </c>
      <c r="G1916" s="4">
        <v>3832241897</v>
      </c>
      <c r="H1916" s="6" t="e">
        <f t="shared" ca="1" si="36"/>
        <v>#VALUE!</v>
      </c>
      <c r="I1916" s="7" t="str">
        <f ca="1">IFERROR(__xludf.DUMMYFUNCTION("IMPORTXML(E1916,""/html/body/main/div[3]/div[3]/div[2]/ul/li[5]/span[2]/span"")"),"Loading...")</f>
        <v>Loading...</v>
      </c>
      <c r="J1916" s="7" t="str">
        <f ca="1">IFERROR(__xludf.DUMMYFUNCTION("GOOGLEFINANCE(""NSE:""&amp;D1916,""marketcap"")"),"#N/A")</f>
        <v>#N/A</v>
      </c>
      <c r="K1916" s="7">
        <v>992.8</v>
      </c>
      <c r="L1916" s="8" t="str">
        <f ca="1">IFERROR(__xludf.DUMMYFUNCTION("GOOGLEFINANCE(""NSE:""&amp;D1916,""price"")"),"#N/A")</f>
        <v>#N/A</v>
      </c>
      <c r="M1916" s="9" t="e">
        <f t="shared" ca="1" si="37"/>
        <v>#VALUE!</v>
      </c>
      <c r="N1916" s="10" t="e">
        <f t="shared" ca="1" si="38"/>
        <v>#VALUE!</v>
      </c>
      <c r="O1916" s="7" t="str">
        <f ca="1">IFERROR(__xludf.DUMMYFUNCTION("GOOGLEFINANCE(""NSE:""&amp;D1916,""pe"")"),"#N/A")</f>
        <v>#N/A</v>
      </c>
      <c r="P1916" s="7" t="str">
        <f ca="1">IFERROR(__xludf.DUMMYFUNCTION("GOOGLEFINANCE(""NSE:""&amp;D1916,""EPS"")"),"#N/A")</f>
        <v>#N/A</v>
      </c>
      <c r="Q1916" s="7">
        <v>13.5</v>
      </c>
      <c r="R1916" s="7" t="str">
        <f ca="1">IFERROR(__xludf.DUMMYFUNCTION("IMPORTXML(E1916,""/html/body/main/div[3]/div[3]/div[2]/ul/li[7]/span[2]/span"")"),"Loading...")</f>
        <v>Loading...</v>
      </c>
      <c r="S1916" s="7" t="str">
        <f ca="1">IFERROR(__xludf.DUMMYFUNCTION("IMPORTXML(E1916,""/html/body/main/div[3]/div[3]/div[2]/ul/li[8]/span[2]/span"")"),"Loading...")</f>
        <v>Loading...</v>
      </c>
      <c r="T1916" s="4">
        <v>34.6</v>
      </c>
      <c r="U1916" s="4">
        <v>22.7</v>
      </c>
      <c r="V1916" s="4">
        <v>2.6</v>
      </c>
      <c r="W1916" s="4">
        <v>5.7</v>
      </c>
      <c r="X1916" s="4">
        <v>519.92999999999995</v>
      </c>
      <c r="Y1916" s="7" t="e">
        <f t="shared" ca="1" si="39"/>
        <v>#VALUE!</v>
      </c>
    </row>
    <row r="1917" spans="1:25" ht="15" x14ac:dyDescent="0.25">
      <c r="A1917" s="4">
        <v>1621</v>
      </c>
      <c r="C1917" s="41" t="s">
        <v>4090</v>
      </c>
      <c r="D1917" s="42"/>
      <c r="E1917" s="5" t="str">
        <f t="shared" si="35"/>
        <v>https://www.screener.in/company//consolidated/</v>
      </c>
      <c r="F1917" s="4">
        <v>443059</v>
      </c>
      <c r="G1917" s="4">
        <v>3832241897</v>
      </c>
      <c r="H1917" s="6" t="e">
        <f t="shared" ca="1" si="36"/>
        <v>#VALUE!</v>
      </c>
      <c r="I1917" s="7" t="str">
        <f ca="1">IFERROR(__xludf.DUMMYFUNCTION("IMPORTXML(E1917,""/html/body/main/div[3]/div[3]/div[2]/ul/li[5]/span[2]/span"")"),"Loading...")</f>
        <v>Loading...</v>
      </c>
      <c r="J1917" s="7" t="str">
        <f ca="1">IFERROR(__xludf.DUMMYFUNCTION("GOOGLEFINANCE(""NSE:""&amp;D1917,""marketcap"")"),"#N/A")</f>
        <v>#N/A</v>
      </c>
      <c r="K1917" s="7">
        <v>992.8</v>
      </c>
      <c r="L1917" s="8" t="str">
        <f ca="1">IFERROR(__xludf.DUMMYFUNCTION("GOOGLEFINANCE(""NSE:""&amp;D1917,""price"")"),"#N/A")</f>
        <v>#N/A</v>
      </c>
      <c r="M1917" s="9" t="e">
        <f t="shared" ca="1" si="37"/>
        <v>#VALUE!</v>
      </c>
      <c r="N1917" s="10" t="e">
        <f t="shared" ca="1" si="38"/>
        <v>#VALUE!</v>
      </c>
      <c r="O1917" s="7" t="str">
        <f ca="1">IFERROR(__xludf.DUMMYFUNCTION("GOOGLEFINANCE(""NSE:""&amp;D1917,""pe"")"),"#N/A")</f>
        <v>#N/A</v>
      </c>
      <c r="P1917" s="7" t="str">
        <f ca="1">IFERROR(__xludf.DUMMYFUNCTION("GOOGLEFINANCE(""NSE:""&amp;D1917,""EPS"")"),"#N/A")</f>
        <v>#N/A</v>
      </c>
      <c r="Q1917" s="7">
        <v>13.5</v>
      </c>
      <c r="R1917" s="7" t="str">
        <f ca="1">IFERROR(__xludf.DUMMYFUNCTION("IMPORTXML(E1917,""/html/body/main/div[3]/div[3]/div[2]/ul/li[7]/span[2]/span"")"),"Loading...")</f>
        <v>Loading...</v>
      </c>
      <c r="S1917" s="7" t="str">
        <f ca="1">IFERROR(__xludf.DUMMYFUNCTION("IMPORTXML(E1917,""/html/body/main/div[3]/div[3]/div[2]/ul/li[8]/span[2]/span"")"),"Loading...")</f>
        <v>Loading...</v>
      </c>
      <c r="T1917" s="4">
        <v>34.6</v>
      </c>
      <c r="U1917" s="4">
        <v>22.7</v>
      </c>
      <c r="V1917" s="4">
        <v>2.6</v>
      </c>
      <c r="W1917" s="4">
        <v>5.7</v>
      </c>
      <c r="X1917" s="4">
        <v>519.92999999999995</v>
      </c>
      <c r="Y1917" s="7" t="e">
        <f t="shared" ca="1" si="39"/>
        <v>#VALUE!</v>
      </c>
    </row>
    <row r="1918" spans="1:25" ht="15" x14ac:dyDescent="0.25">
      <c r="A1918" s="4">
        <v>1623</v>
      </c>
      <c r="C1918" s="41" t="s">
        <v>4091</v>
      </c>
      <c r="D1918" s="42"/>
      <c r="E1918" s="5" t="str">
        <f t="shared" si="35"/>
        <v>https://www.screener.in/company//consolidated/</v>
      </c>
      <c r="F1918" s="4">
        <v>443059</v>
      </c>
      <c r="G1918" s="4">
        <v>3832241897</v>
      </c>
      <c r="H1918" s="6" t="e">
        <f t="shared" ca="1" si="36"/>
        <v>#VALUE!</v>
      </c>
      <c r="I1918" s="7" t="str">
        <f ca="1">IFERROR(__xludf.DUMMYFUNCTION("IMPORTXML(E1918,""/html/body/main/div[3]/div[3]/div[2]/ul/li[5]/span[2]/span"")"),"Loading...")</f>
        <v>Loading...</v>
      </c>
      <c r="J1918" s="7" t="str">
        <f ca="1">IFERROR(__xludf.DUMMYFUNCTION("GOOGLEFINANCE(""NSE:""&amp;D1918,""marketcap"")"),"#N/A")</f>
        <v>#N/A</v>
      </c>
      <c r="K1918" s="7">
        <v>992.8</v>
      </c>
      <c r="L1918" s="8" t="str">
        <f ca="1">IFERROR(__xludf.DUMMYFUNCTION("GOOGLEFINANCE(""NSE:""&amp;D1918,""price"")"),"#N/A")</f>
        <v>#N/A</v>
      </c>
      <c r="M1918" s="9" t="e">
        <f t="shared" ca="1" si="37"/>
        <v>#VALUE!</v>
      </c>
      <c r="N1918" s="10" t="e">
        <f t="shared" ca="1" si="38"/>
        <v>#VALUE!</v>
      </c>
      <c r="O1918" s="7" t="str">
        <f ca="1">IFERROR(__xludf.DUMMYFUNCTION("GOOGLEFINANCE(""NSE:""&amp;D1918,""pe"")"),"#N/A")</f>
        <v>#N/A</v>
      </c>
      <c r="P1918" s="7" t="str">
        <f ca="1">IFERROR(__xludf.DUMMYFUNCTION("GOOGLEFINANCE(""NSE:""&amp;D1918,""EPS"")"),"#N/A")</f>
        <v>#N/A</v>
      </c>
      <c r="Q1918" s="7">
        <v>13.5</v>
      </c>
      <c r="R1918" s="7" t="str">
        <f ca="1">IFERROR(__xludf.DUMMYFUNCTION("IMPORTXML(E1918,""/html/body/main/div[3]/div[3]/div[2]/ul/li[7]/span[2]/span"")"),"Loading...")</f>
        <v>Loading...</v>
      </c>
      <c r="S1918" s="7" t="str">
        <f ca="1">IFERROR(__xludf.DUMMYFUNCTION("IMPORTXML(E1918,""/html/body/main/div[3]/div[3]/div[2]/ul/li[8]/span[2]/span"")"),"Loading...")</f>
        <v>Loading...</v>
      </c>
      <c r="T1918" s="4">
        <v>34.6</v>
      </c>
      <c r="U1918" s="4">
        <v>22.7</v>
      </c>
      <c r="V1918" s="4">
        <v>2.6</v>
      </c>
      <c r="W1918" s="4">
        <v>5.7</v>
      </c>
      <c r="X1918" s="4">
        <v>519.92999999999995</v>
      </c>
      <c r="Y1918" s="7" t="e">
        <f t="shared" ca="1" si="39"/>
        <v>#VALUE!</v>
      </c>
    </row>
    <row r="1919" spans="1:25" ht="15" x14ac:dyDescent="0.25">
      <c r="A1919" s="4">
        <v>1624</v>
      </c>
      <c r="C1919" s="41" t="s">
        <v>4092</v>
      </c>
      <c r="D1919" s="42"/>
      <c r="E1919" s="5" t="str">
        <f t="shared" si="35"/>
        <v>https://www.screener.in/company//consolidated/</v>
      </c>
      <c r="F1919" s="4">
        <v>443059</v>
      </c>
      <c r="G1919" s="4">
        <v>3832241897</v>
      </c>
      <c r="H1919" s="6" t="e">
        <f t="shared" ca="1" si="36"/>
        <v>#VALUE!</v>
      </c>
      <c r="I1919" s="7" t="str">
        <f ca="1">IFERROR(__xludf.DUMMYFUNCTION("IMPORTXML(E1919,""/html/body/main/div[3]/div[3]/div[2]/ul/li[5]/span[2]/span"")"),"Loading...")</f>
        <v>Loading...</v>
      </c>
      <c r="J1919" s="7" t="str">
        <f ca="1">IFERROR(__xludf.DUMMYFUNCTION("GOOGLEFINANCE(""NSE:""&amp;D1919,""marketcap"")"),"#N/A")</f>
        <v>#N/A</v>
      </c>
      <c r="K1919" s="7">
        <v>992.8</v>
      </c>
      <c r="L1919" s="8" t="str">
        <f ca="1">IFERROR(__xludf.DUMMYFUNCTION("GOOGLEFINANCE(""NSE:""&amp;D1919,""price"")"),"#N/A")</f>
        <v>#N/A</v>
      </c>
      <c r="M1919" s="9" t="e">
        <f t="shared" ca="1" si="37"/>
        <v>#VALUE!</v>
      </c>
      <c r="N1919" s="10" t="e">
        <f t="shared" ca="1" si="38"/>
        <v>#VALUE!</v>
      </c>
      <c r="O1919" s="7" t="str">
        <f ca="1">IFERROR(__xludf.DUMMYFUNCTION("GOOGLEFINANCE(""NSE:""&amp;D1919,""pe"")"),"#N/A")</f>
        <v>#N/A</v>
      </c>
      <c r="P1919" s="7" t="str">
        <f ca="1">IFERROR(__xludf.DUMMYFUNCTION("GOOGLEFINANCE(""NSE:""&amp;D1919,""EPS"")"),"#N/A")</f>
        <v>#N/A</v>
      </c>
      <c r="Q1919" s="7">
        <v>13.5</v>
      </c>
      <c r="R1919" s="7" t="str">
        <f ca="1">IFERROR(__xludf.DUMMYFUNCTION("IMPORTXML(E1919,""/html/body/main/div[3]/div[3]/div[2]/ul/li[7]/span[2]/span"")"),"Loading...")</f>
        <v>Loading...</v>
      </c>
      <c r="S1919" s="7" t="str">
        <f ca="1">IFERROR(__xludf.DUMMYFUNCTION("IMPORTXML(E1919,""/html/body/main/div[3]/div[3]/div[2]/ul/li[8]/span[2]/span"")"),"Loading...")</f>
        <v>Loading...</v>
      </c>
      <c r="T1919" s="4">
        <v>34.6</v>
      </c>
      <c r="U1919" s="4">
        <v>22.7</v>
      </c>
      <c r="V1919" s="4">
        <v>2.6</v>
      </c>
      <c r="W1919" s="4">
        <v>5.7</v>
      </c>
      <c r="X1919" s="4">
        <v>519.92999999999995</v>
      </c>
      <c r="Y1919" s="7" t="e">
        <f t="shared" ca="1" si="39"/>
        <v>#VALUE!</v>
      </c>
    </row>
    <row r="1920" spans="1:25" ht="15" x14ac:dyDescent="0.25">
      <c r="A1920" s="4">
        <v>1627</v>
      </c>
      <c r="C1920" s="41" t="s">
        <v>4093</v>
      </c>
      <c r="D1920" s="42"/>
      <c r="E1920" s="5" t="str">
        <f t="shared" si="35"/>
        <v>https://www.screener.in/company//consolidated/</v>
      </c>
      <c r="F1920" s="4">
        <v>443059</v>
      </c>
      <c r="G1920" s="4">
        <v>3832241897</v>
      </c>
      <c r="H1920" s="6" t="e">
        <f t="shared" ca="1" si="36"/>
        <v>#VALUE!</v>
      </c>
      <c r="I1920" s="7" t="str">
        <f ca="1">IFERROR(__xludf.DUMMYFUNCTION("IMPORTXML(E1920,""/html/body/main/div[3]/div[3]/div[2]/ul/li[5]/span[2]/span"")"),"Loading...")</f>
        <v>Loading...</v>
      </c>
      <c r="J1920" s="7" t="str">
        <f ca="1">IFERROR(__xludf.DUMMYFUNCTION("GOOGLEFINANCE(""NSE:""&amp;D1920,""marketcap"")"),"#N/A")</f>
        <v>#N/A</v>
      </c>
      <c r="K1920" s="7">
        <v>992.8</v>
      </c>
      <c r="L1920" s="8" t="str">
        <f ca="1">IFERROR(__xludf.DUMMYFUNCTION("GOOGLEFINANCE(""NSE:""&amp;D1920,""price"")"),"#N/A")</f>
        <v>#N/A</v>
      </c>
      <c r="M1920" s="9" t="e">
        <f t="shared" ca="1" si="37"/>
        <v>#VALUE!</v>
      </c>
      <c r="N1920" s="10" t="e">
        <f t="shared" ca="1" si="38"/>
        <v>#VALUE!</v>
      </c>
      <c r="O1920" s="7" t="str">
        <f ca="1">IFERROR(__xludf.DUMMYFUNCTION("GOOGLEFINANCE(""NSE:""&amp;D1920,""pe"")"),"#N/A")</f>
        <v>#N/A</v>
      </c>
      <c r="P1920" s="7" t="str">
        <f ca="1">IFERROR(__xludf.DUMMYFUNCTION("GOOGLEFINANCE(""NSE:""&amp;D1920,""EPS"")"),"#N/A")</f>
        <v>#N/A</v>
      </c>
      <c r="Q1920" s="7">
        <v>13.5</v>
      </c>
      <c r="R1920" s="7" t="str">
        <f ca="1">IFERROR(__xludf.DUMMYFUNCTION("IMPORTXML(E1920,""/html/body/main/div[3]/div[3]/div[2]/ul/li[7]/span[2]/span"")"),"Loading...")</f>
        <v>Loading...</v>
      </c>
      <c r="S1920" s="7" t="str">
        <f ca="1">IFERROR(__xludf.DUMMYFUNCTION("IMPORTXML(E1920,""/html/body/main/div[3]/div[3]/div[2]/ul/li[8]/span[2]/span"")"),"Loading...")</f>
        <v>Loading...</v>
      </c>
      <c r="T1920" s="4">
        <v>34.6</v>
      </c>
      <c r="U1920" s="4">
        <v>22.7</v>
      </c>
      <c r="V1920" s="4">
        <v>2.6</v>
      </c>
      <c r="W1920" s="4">
        <v>5.7</v>
      </c>
      <c r="X1920" s="4">
        <v>519.92999999999995</v>
      </c>
      <c r="Y1920" s="7" t="e">
        <f t="shared" ca="1" si="39"/>
        <v>#VALUE!</v>
      </c>
    </row>
    <row r="1921" spans="1:25" ht="15" x14ac:dyDescent="0.25">
      <c r="A1921" s="4">
        <v>1628</v>
      </c>
      <c r="C1921" s="41" t="s">
        <v>4094</v>
      </c>
      <c r="D1921" s="42"/>
      <c r="E1921" s="5" t="str">
        <f t="shared" si="35"/>
        <v>https://www.screener.in/company//consolidated/</v>
      </c>
      <c r="F1921" s="4">
        <v>443059</v>
      </c>
      <c r="G1921" s="4">
        <v>3832241897</v>
      </c>
      <c r="H1921" s="6" t="e">
        <f t="shared" ca="1" si="36"/>
        <v>#VALUE!</v>
      </c>
      <c r="I1921" s="7" t="str">
        <f ca="1">IFERROR(__xludf.DUMMYFUNCTION("IMPORTXML(E1921,""/html/body/main/div[3]/div[3]/div[2]/ul/li[5]/span[2]/span"")"),"Loading...")</f>
        <v>Loading...</v>
      </c>
      <c r="J1921" s="7" t="str">
        <f ca="1">IFERROR(__xludf.DUMMYFUNCTION("GOOGLEFINANCE(""NSE:""&amp;D1921,""marketcap"")"),"#N/A")</f>
        <v>#N/A</v>
      </c>
      <c r="K1921" s="7">
        <v>992.8</v>
      </c>
      <c r="L1921" s="8" t="str">
        <f ca="1">IFERROR(__xludf.DUMMYFUNCTION("GOOGLEFINANCE(""NSE:""&amp;D1921,""price"")"),"#N/A")</f>
        <v>#N/A</v>
      </c>
      <c r="M1921" s="9" t="e">
        <f t="shared" ca="1" si="37"/>
        <v>#VALUE!</v>
      </c>
      <c r="N1921" s="10" t="e">
        <f t="shared" ca="1" si="38"/>
        <v>#VALUE!</v>
      </c>
      <c r="O1921" s="7" t="str">
        <f ca="1">IFERROR(__xludf.DUMMYFUNCTION("GOOGLEFINANCE(""NSE:""&amp;D1921,""pe"")"),"#N/A")</f>
        <v>#N/A</v>
      </c>
      <c r="P1921" s="7" t="str">
        <f ca="1">IFERROR(__xludf.DUMMYFUNCTION("GOOGLEFINANCE(""NSE:""&amp;D1921,""EPS"")"),"#N/A")</f>
        <v>#N/A</v>
      </c>
      <c r="Q1921" s="7">
        <v>13.5</v>
      </c>
      <c r="R1921" s="7" t="str">
        <f ca="1">IFERROR(__xludf.DUMMYFUNCTION("IMPORTXML(E1921,""/html/body/main/div[3]/div[3]/div[2]/ul/li[7]/span[2]/span"")"),"Loading...")</f>
        <v>Loading...</v>
      </c>
      <c r="S1921" s="7" t="str">
        <f ca="1">IFERROR(__xludf.DUMMYFUNCTION("IMPORTXML(E1921,""/html/body/main/div[3]/div[3]/div[2]/ul/li[8]/span[2]/span"")"),"Loading...")</f>
        <v>Loading...</v>
      </c>
      <c r="T1921" s="4">
        <v>34.6</v>
      </c>
      <c r="U1921" s="4">
        <v>22.7</v>
      </c>
      <c r="V1921" s="4">
        <v>2.6</v>
      </c>
      <c r="W1921" s="4">
        <v>5.7</v>
      </c>
      <c r="X1921" s="4">
        <v>519.92999999999995</v>
      </c>
      <c r="Y1921" s="7" t="e">
        <f t="shared" ca="1" si="39"/>
        <v>#VALUE!</v>
      </c>
    </row>
    <row r="1922" spans="1:25" ht="15" x14ac:dyDescent="0.25">
      <c r="A1922" s="4">
        <v>1629</v>
      </c>
      <c r="C1922" s="41" t="s">
        <v>4095</v>
      </c>
      <c r="D1922" s="42"/>
      <c r="E1922" s="5" t="str">
        <f t="shared" si="35"/>
        <v>https://www.screener.in/company//consolidated/</v>
      </c>
      <c r="F1922" s="4">
        <v>443059</v>
      </c>
      <c r="G1922" s="4">
        <v>3832241897</v>
      </c>
      <c r="H1922" s="6" t="e">
        <f t="shared" ca="1" si="36"/>
        <v>#VALUE!</v>
      </c>
      <c r="I1922" s="7" t="str">
        <f ca="1">IFERROR(__xludf.DUMMYFUNCTION("IMPORTXML(E1922,""/html/body/main/div[3]/div[3]/div[2]/ul/li[5]/span[2]/span"")"),"Loading...")</f>
        <v>Loading...</v>
      </c>
      <c r="J1922" s="7" t="str">
        <f ca="1">IFERROR(__xludf.DUMMYFUNCTION("GOOGLEFINANCE(""NSE:""&amp;D1922,""marketcap"")"),"#N/A")</f>
        <v>#N/A</v>
      </c>
      <c r="K1922" s="7">
        <v>992.8</v>
      </c>
      <c r="L1922" s="8" t="str">
        <f ca="1">IFERROR(__xludf.DUMMYFUNCTION("GOOGLEFINANCE(""NSE:""&amp;D1922,""price"")"),"#N/A")</f>
        <v>#N/A</v>
      </c>
      <c r="M1922" s="9" t="e">
        <f t="shared" ca="1" si="37"/>
        <v>#VALUE!</v>
      </c>
      <c r="N1922" s="10" t="e">
        <f t="shared" ca="1" si="38"/>
        <v>#VALUE!</v>
      </c>
      <c r="O1922" s="7" t="str">
        <f ca="1">IFERROR(__xludf.DUMMYFUNCTION("GOOGLEFINANCE(""NSE:""&amp;D1922,""pe"")"),"#N/A")</f>
        <v>#N/A</v>
      </c>
      <c r="P1922" s="7" t="str">
        <f ca="1">IFERROR(__xludf.DUMMYFUNCTION("GOOGLEFINANCE(""NSE:""&amp;D1922,""EPS"")"),"#N/A")</f>
        <v>#N/A</v>
      </c>
      <c r="Q1922" s="7">
        <v>13.5</v>
      </c>
      <c r="R1922" s="7" t="str">
        <f ca="1">IFERROR(__xludf.DUMMYFUNCTION("IMPORTXML(E1922,""/html/body/main/div[3]/div[3]/div[2]/ul/li[7]/span[2]/span"")"),"Loading...")</f>
        <v>Loading...</v>
      </c>
      <c r="S1922" s="7" t="str">
        <f ca="1">IFERROR(__xludf.DUMMYFUNCTION("IMPORTXML(E1922,""/html/body/main/div[3]/div[3]/div[2]/ul/li[8]/span[2]/span"")"),"Loading...")</f>
        <v>Loading...</v>
      </c>
      <c r="T1922" s="4">
        <v>34.6</v>
      </c>
      <c r="U1922" s="4">
        <v>22.7</v>
      </c>
      <c r="V1922" s="4">
        <v>2.6</v>
      </c>
      <c r="W1922" s="4">
        <v>5.7</v>
      </c>
      <c r="X1922" s="4">
        <v>519.92999999999995</v>
      </c>
      <c r="Y1922" s="7" t="e">
        <f t="shared" ca="1" si="39"/>
        <v>#VALUE!</v>
      </c>
    </row>
    <row r="1923" spans="1:25" ht="15" x14ac:dyDescent="0.25">
      <c r="A1923" s="4">
        <v>1630</v>
      </c>
      <c r="C1923" s="12" t="s">
        <v>4096</v>
      </c>
      <c r="D1923" s="12" t="s">
        <v>4097</v>
      </c>
      <c r="E1923" s="5" t="str">
        <f t="shared" si="35"/>
        <v>https://www.screener.in/company/ATLANTAA/consolidated/</v>
      </c>
      <c r="F1923" s="4">
        <v>443059</v>
      </c>
      <c r="G1923" s="4">
        <v>3832241897</v>
      </c>
      <c r="H1923" s="6">
        <f t="shared" ca="1" si="36"/>
        <v>12692.385162863999</v>
      </c>
      <c r="I1923" s="7" t="str">
        <f ca="1">IFERROR(__xludf.DUMMYFUNCTION("IMPORTXML(E1923,""/html/body/main/div[3]/div[3]/div[2]/ul/li[5]/span[2]/span"")"),"Loading...")</f>
        <v>Loading...</v>
      </c>
      <c r="J1923" s="7">
        <f ca="1">IFERROR(__xludf.DUMMYFUNCTION("GOOGLEFINANCE(""NSE:""&amp;D1923,""marketcap"")"),2712320000)</f>
        <v>2712320000</v>
      </c>
      <c r="K1923" s="7">
        <v>992.8</v>
      </c>
      <c r="L1923" s="8">
        <f ca="1">IFERROR(__xludf.DUMMYFUNCTION("GOOGLEFINANCE(""NSE:""&amp;D1923,""price"")"),33.12)</f>
        <v>33.119999999999997</v>
      </c>
      <c r="M1923" s="9">
        <f t="shared" ca="1" si="37"/>
        <v>-959.68</v>
      </c>
      <c r="N1923" s="10">
        <f t="shared" ca="1" si="38"/>
        <v>-96.66398066075746</v>
      </c>
      <c r="O1923" s="7" t="str">
        <f ca="1">IFERROR(__xludf.DUMMYFUNCTION("GOOGLEFINANCE(""NSE:""&amp;D1923,""pe"")"),"#N/A")</f>
        <v>#N/A</v>
      </c>
      <c r="P1923" s="7">
        <f ca="1">IFERROR(__xludf.DUMMYFUNCTION("GOOGLEFINANCE(""NSE:""&amp;D1923,""EPS"")"),-3.5)</f>
        <v>-3.5</v>
      </c>
      <c r="Q1923" s="7">
        <v>13.5</v>
      </c>
      <c r="R1923" s="7" t="str">
        <f ca="1">IFERROR(__xludf.DUMMYFUNCTION("IMPORTXML(E1923,""/html/body/main/div[3]/div[3]/div[2]/ul/li[7]/span[2]/span"")"),"Loading...")</f>
        <v>Loading...</v>
      </c>
      <c r="S1923" s="7" t="str">
        <f ca="1">IFERROR(__xludf.DUMMYFUNCTION("IMPORTXML(E1923,""/html/body/main/div[3]/div[3]/div[2]/ul/li[8]/span[2]/span"")"),"Loading...")</f>
        <v>Loading...</v>
      </c>
      <c r="T1923" s="4">
        <v>34.6</v>
      </c>
      <c r="U1923" s="4">
        <v>22.7</v>
      </c>
      <c r="V1923" s="4">
        <v>2.6</v>
      </c>
      <c r="W1923" s="4">
        <v>5.7</v>
      </c>
      <c r="X1923" s="4">
        <v>519.92999999999995</v>
      </c>
      <c r="Y1923" s="7">
        <f t="shared" ca="1" si="39"/>
        <v>-486.80999999999995</v>
      </c>
    </row>
    <row r="1924" spans="1:25" ht="15" x14ac:dyDescent="0.25">
      <c r="A1924" s="4">
        <v>1631</v>
      </c>
      <c r="C1924" s="41" t="s">
        <v>4098</v>
      </c>
      <c r="D1924" s="42"/>
      <c r="E1924" s="5" t="str">
        <f t="shared" si="35"/>
        <v>https://www.screener.in/company//consolidated/</v>
      </c>
      <c r="F1924" s="4">
        <v>443059</v>
      </c>
      <c r="G1924" s="4">
        <v>3832241897</v>
      </c>
      <c r="H1924" s="6" t="e">
        <f t="shared" ca="1" si="36"/>
        <v>#VALUE!</v>
      </c>
      <c r="I1924" s="7" t="str">
        <f ca="1">IFERROR(__xludf.DUMMYFUNCTION("IMPORTXML(E1924,""/html/body/main/div[3]/div[3]/div[2]/ul/li[5]/span[2]/span"")"),"Loading...")</f>
        <v>Loading...</v>
      </c>
      <c r="J1924" s="7" t="str">
        <f ca="1">IFERROR(__xludf.DUMMYFUNCTION("GOOGLEFINANCE(""NSE:""&amp;D1924,""marketcap"")"),"#N/A")</f>
        <v>#N/A</v>
      </c>
      <c r="K1924" s="7">
        <v>992.8</v>
      </c>
      <c r="L1924" s="8" t="str">
        <f ca="1">IFERROR(__xludf.DUMMYFUNCTION("GOOGLEFINANCE(""NSE:""&amp;D1924,""price"")"),"#N/A")</f>
        <v>#N/A</v>
      </c>
      <c r="M1924" s="9" t="e">
        <f t="shared" ca="1" si="37"/>
        <v>#VALUE!</v>
      </c>
      <c r="N1924" s="10" t="e">
        <f t="shared" ca="1" si="38"/>
        <v>#VALUE!</v>
      </c>
      <c r="O1924" s="7" t="str">
        <f ca="1">IFERROR(__xludf.DUMMYFUNCTION("GOOGLEFINANCE(""NSE:""&amp;D1924,""pe"")"),"#N/A")</f>
        <v>#N/A</v>
      </c>
      <c r="P1924" s="7" t="str">
        <f ca="1">IFERROR(__xludf.DUMMYFUNCTION("GOOGLEFINANCE(""NSE:""&amp;D1924,""EPS"")"),"#N/A")</f>
        <v>#N/A</v>
      </c>
      <c r="Q1924" s="7">
        <v>13.5</v>
      </c>
      <c r="R1924" s="7" t="str">
        <f ca="1">IFERROR(__xludf.DUMMYFUNCTION("IMPORTXML(E1924,""/html/body/main/div[3]/div[3]/div[2]/ul/li[7]/span[2]/span"")"),"Loading...")</f>
        <v>Loading...</v>
      </c>
      <c r="S1924" s="7" t="str">
        <f ca="1">IFERROR(__xludf.DUMMYFUNCTION("IMPORTXML(E1924,""/html/body/main/div[3]/div[3]/div[2]/ul/li[8]/span[2]/span"")"),"Loading...")</f>
        <v>Loading...</v>
      </c>
      <c r="T1924" s="4">
        <v>34.6</v>
      </c>
      <c r="U1924" s="4">
        <v>22.7</v>
      </c>
      <c r="V1924" s="4">
        <v>2.6</v>
      </c>
      <c r="W1924" s="4">
        <v>5.7</v>
      </c>
      <c r="X1924" s="4">
        <v>519.92999999999995</v>
      </c>
      <c r="Y1924" s="7" t="e">
        <f t="shared" ca="1" si="39"/>
        <v>#VALUE!</v>
      </c>
    </row>
    <row r="1925" spans="1:25" ht="15" x14ac:dyDescent="0.25">
      <c r="A1925" s="4">
        <v>1633</v>
      </c>
      <c r="C1925" s="41" t="s">
        <v>4099</v>
      </c>
      <c r="D1925" s="42"/>
      <c r="E1925" s="5" t="str">
        <f t="shared" si="35"/>
        <v>https://www.screener.in/company//consolidated/</v>
      </c>
      <c r="F1925" s="4">
        <v>443059</v>
      </c>
      <c r="G1925" s="4">
        <v>3832241897</v>
      </c>
      <c r="H1925" s="6" t="e">
        <f t="shared" ca="1" si="36"/>
        <v>#VALUE!</v>
      </c>
      <c r="I1925" s="7" t="str">
        <f ca="1">IFERROR(__xludf.DUMMYFUNCTION("IMPORTXML(E1925,""/html/body/main/div[3]/div[3]/div[2]/ul/li[5]/span[2]/span"")"),"Loading...")</f>
        <v>Loading...</v>
      </c>
      <c r="J1925" s="7" t="str">
        <f ca="1">IFERROR(__xludf.DUMMYFUNCTION("GOOGLEFINANCE(""NSE:""&amp;D1925,""marketcap"")"),"#N/A")</f>
        <v>#N/A</v>
      </c>
      <c r="K1925" s="7">
        <v>992.8</v>
      </c>
      <c r="L1925" s="8" t="str">
        <f ca="1">IFERROR(__xludf.DUMMYFUNCTION("GOOGLEFINANCE(""NSE:""&amp;D1925,""price"")"),"#N/A")</f>
        <v>#N/A</v>
      </c>
      <c r="M1925" s="9" t="e">
        <f t="shared" ca="1" si="37"/>
        <v>#VALUE!</v>
      </c>
      <c r="N1925" s="10" t="e">
        <f t="shared" ca="1" si="38"/>
        <v>#VALUE!</v>
      </c>
      <c r="O1925" s="7" t="str">
        <f ca="1">IFERROR(__xludf.DUMMYFUNCTION("GOOGLEFINANCE(""NSE:""&amp;D1925,""pe"")"),"#N/A")</f>
        <v>#N/A</v>
      </c>
      <c r="P1925" s="7" t="str">
        <f ca="1">IFERROR(__xludf.DUMMYFUNCTION("GOOGLEFINANCE(""NSE:""&amp;D1925,""EPS"")"),"#N/A")</f>
        <v>#N/A</v>
      </c>
      <c r="Q1925" s="7">
        <v>13.5</v>
      </c>
      <c r="R1925" s="7" t="str">
        <f ca="1">IFERROR(__xludf.DUMMYFUNCTION("IMPORTXML(E1925,""/html/body/main/div[3]/div[3]/div[2]/ul/li[7]/span[2]/span"")"),"Loading...")</f>
        <v>Loading...</v>
      </c>
      <c r="S1925" s="7" t="str">
        <f ca="1">IFERROR(__xludf.DUMMYFUNCTION("IMPORTXML(E1925,""/html/body/main/div[3]/div[3]/div[2]/ul/li[8]/span[2]/span"")"),"Loading...")</f>
        <v>Loading...</v>
      </c>
      <c r="T1925" s="4">
        <v>34.6</v>
      </c>
      <c r="U1925" s="4">
        <v>22.7</v>
      </c>
      <c r="V1925" s="4">
        <v>2.6</v>
      </c>
      <c r="W1925" s="4">
        <v>5.7</v>
      </c>
      <c r="X1925" s="4">
        <v>519.92999999999995</v>
      </c>
      <c r="Y1925" s="7" t="e">
        <f t="shared" ca="1" si="39"/>
        <v>#VALUE!</v>
      </c>
    </row>
    <row r="1926" spans="1:25" ht="15" x14ac:dyDescent="0.25">
      <c r="A1926" s="4">
        <v>1635</v>
      </c>
      <c r="C1926" s="12" t="s">
        <v>4100</v>
      </c>
      <c r="D1926" s="12" t="s">
        <v>4101</v>
      </c>
      <c r="E1926" s="5" t="str">
        <f t="shared" si="35"/>
        <v>https://www.screener.in/company/PROZONER/consolidated/</v>
      </c>
      <c r="F1926" s="4">
        <v>443059</v>
      </c>
      <c r="G1926" s="4">
        <v>3832241897</v>
      </c>
      <c r="H1926" s="6">
        <f t="shared" ca="1" si="36"/>
        <v>16574.446204525</v>
      </c>
      <c r="I1926" s="7" t="str">
        <f ca="1">IFERROR(__xludf.DUMMYFUNCTION("IMPORTXML(E1926,""/html/body/main/div[3]/div[3]/div[2]/ul/li[5]/span[2]/span"")"),"Loading...")</f>
        <v>Loading...</v>
      </c>
      <c r="J1926" s="7">
        <f ca="1">IFERROR(__xludf.DUMMYFUNCTION("GOOGLEFINANCE(""NSE:""&amp;D1926,""marketcap"")"),6653399252)</f>
        <v>6653399252</v>
      </c>
      <c r="K1926" s="7">
        <v>992.8</v>
      </c>
      <c r="L1926" s="8">
        <f ca="1">IFERROR(__xludf.DUMMYFUNCTION("GOOGLEFINANCE(""NSE:""&amp;D1926,""price"")"),43.25)</f>
        <v>43.25</v>
      </c>
      <c r="M1926" s="9">
        <f t="shared" ca="1" si="37"/>
        <v>-949.55</v>
      </c>
      <c r="N1926" s="10">
        <f t="shared" ca="1" si="38"/>
        <v>-95.643634165995167</v>
      </c>
      <c r="O1926" s="7" t="str">
        <f ca="1">IFERROR(__xludf.DUMMYFUNCTION("GOOGLEFINANCE(""NSE:""&amp;D1926,""pe"")"),"#N/A")</f>
        <v>#N/A</v>
      </c>
      <c r="P1926" s="7">
        <f ca="1">IFERROR(__xludf.DUMMYFUNCTION("GOOGLEFINANCE(""NSE:""&amp;D1926,""EPS"")"),-2.14)</f>
        <v>-2.14</v>
      </c>
      <c r="Q1926" s="7">
        <v>13.5</v>
      </c>
      <c r="R1926" s="7" t="str">
        <f ca="1">IFERROR(__xludf.DUMMYFUNCTION("IMPORTXML(E1926,""/html/body/main/div[3]/div[3]/div[2]/ul/li[7]/span[2]/span"")"),"Loading...")</f>
        <v>Loading...</v>
      </c>
      <c r="S1926" s="7" t="str">
        <f ca="1">IFERROR(__xludf.DUMMYFUNCTION("IMPORTXML(E1926,""/html/body/main/div[3]/div[3]/div[2]/ul/li[8]/span[2]/span"")"),"Loading...")</f>
        <v>Loading...</v>
      </c>
      <c r="T1926" s="4">
        <v>34.6</v>
      </c>
      <c r="U1926" s="4">
        <v>22.7</v>
      </c>
      <c r="V1926" s="4">
        <v>2.6</v>
      </c>
      <c r="W1926" s="4">
        <v>5.7</v>
      </c>
      <c r="X1926" s="4">
        <v>519.92999999999995</v>
      </c>
      <c r="Y1926" s="7">
        <f t="shared" ca="1" si="39"/>
        <v>-476.67999999999995</v>
      </c>
    </row>
    <row r="1927" spans="1:25" ht="15" x14ac:dyDescent="0.25">
      <c r="A1927" s="4">
        <v>1636</v>
      </c>
      <c r="C1927" s="41" t="s">
        <v>4102</v>
      </c>
      <c r="D1927" s="42"/>
      <c r="E1927" s="5" t="str">
        <f t="shared" si="35"/>
        <v>https://www.screener.in/company//consolidated/</v>
      </c>
      <c r="F1927" s="4">
        <v>443059</v>
      </c>
      <c r="G1927" s="4">
        <v>3832241897</v>
      </c>
      <c r="H1927" s="6" t="e">
        <f t="shared" ca="1" si="36"/>
        <v>#VALUE!</v>
      </c>
      <c r="I1927" s="7" t="str">
        <f ca="1">IFERROR(__xludf.DUMMYFUNCTION("IMPORTXML(E1927,""/html/body/main/div[3]/div[3]/div[2]/ul/li[5]/span[2]/span"")"),"Loading...")</f>
        <v>Loading...</v>
      </c>
      <c r="J1927" s="7" t="str">
        <f ca="1">IFERROR(__xludf.DUMMYFUNCTION("GOOGLEFINANCE(""NSE:""&amp;D1927,""marketcap"")"),"#N/A")</f>
        <v>#N/A</v>
      </c>
      <c r="K1927" s="7">
        <v>992.8</v>
      </c>
      <c r="L1927" s="8" t="str">
        <f ca="1">IFERROR(__xludf.DUMMYFUNCTION("GOOGLEFINANCE(""NSE:""&amp;D1927,""price"")"),"#N/A")</f>
        <v>#N/A</v>
      </c>
      <c r="M1927" s="9" t="e">
        <f t="shared" ca="1" si="37"/>
        <v>#VALUE!</v>
      </c>
      <c r="N1927" s="10" t="e">
        <f t="shared" ca="1" si="38"/>
        <v>#VALUE!</v>
      </c>
      <c r="O1927" s="7" t="str">
        <f ca="1">IFERROR(__xludf.DUMMYFUNCTION("GOOGLEFINANCE(""NSE:""&amp;D1927,""pe"")"),"#N/A")</f>
        <v>#N/A</v>
      </c>
      <c r="P1927" s="7" t="str">
        <f ca="1">IFERROR(__xludf.DUMMYFUNCTION("GOOGLEFINANCE(""NSE:""&amp;D1927,""EPS"")"),"#N/A")</f>
        <v>#N/A</v>
      </c>
      <c r="Q1927" s="7">
        <v>13.5</v>
      </c>
      <c r="R1927" s="7" t="str">
        <f ca="1">IFERROR(__xludf.DUMMYFUNCTION("IMPORTXML(E1927,""/html/body/main/div[3]/div[3]/div[2]/ul/li[7]/span[2]/span"")"),"Loading...")</f>
        <v>Loading...</v>
      </c>
      <c r="S1927" s="7" t="str">
        <f ca="1">IFERROR(__xludf.DUMMYFUNCTION("IMPORTXML(E1927,""/html/body/main/div[3]/div[3]/div[2]/ul/li[8]/span[2]/span"")"),"Loading...")</f>
        <v>Loading...</v>
      </c>
      <c r="T1927" s="4">
        <v>34.6</v>
      </c>
      <c r="U1927" s="4">
        <v>22.7</v>
      </c>
      <c r="V1927" s="4">
        <v>2.6</v>
      </c>
      <c r="W1927" s="4">
        <v>5.7</v>
      </c>
      <c r="X1927" s="4">
        <v>519.92999999999995</v>
      </c>
      <c r="Y1927" s="7" t="e">
        <f t="shared" ca="1" si="39"/>
        <v>#VALUE!</v>
      </c>
    </row>
    <row r="1928" spans="1:25" ht="15" x14ac:dyDescent="0.25">
      <c r="A1928" s="4">
        <v>1637</v>
      </c>
      <c r="C1928" s="41" t="s">
        <v>4103</v>
      </c>
      <c r="D1928" s="42"/>
      <c r="E1928" s="5" t="str">
        <f t="shared" si="35"/>
        <v>https://www.screener.in/company//consolidated/</v>
      </c>
      <c r="F1928" s="4">
        <v>443059</v>
      </c>
      <c r="G1928" s="4">
        <v>3832241897</v>
      </c>
      <c r="H1928" s="6" t="e">
        <f t="shared" ca="1" si="36"/>
        <v>#VALUE!</v>
      </c>
      <c r="I1928" s="7" t="str">
        <f ca="1">IFERROR(__xludf.DUMMYFUNCTION("IMPORTXML(E1928,""/html/body/main/div[3]/div[3]/div[2]/ul/li[5]/span[2]/span"")"),"Loading...")</f>
        <v>Loading...</v>
      </c>
      <c r="J1928" s="7" t="str">
        <f ca="1">IFERROR(__xludf.DUMMYFUNCTION("GOOGLEFINANCE(""NSE:""&amp;D1928,""marketcap"")"),"#N/A")</f>
        <v>#N/A</v>
      </c>
      <c r="K1928" s="7">
        <v>992.8</v>
      </c>
      <c r="L1928" s="8" t="str">
        <f ca="1">IFERROR(__xludf.DUMMYFUNCTION("GOOGLEFINANCE(""NSE:""&amp;D1928,""price"")"),"#N/A")</f>
        <v>#N/A</v>
      </c>
      <c r="M1928" s="9" t="e">
        <f t="shared" ca="1" si="37"/>
        <v>#VALUE!</v>
      </c>
      <c r="N1928" s="10" t="e">
        <f t="shared" ca="1" si="38"/>
        <v>#VALUE!</v>
      </c>
      <c r="O1928" s="7" t="str">
        <f ca="1">IFERROR(__xludf.DUMMYFUNCTION("GOOGLEFINANCE(""NSE:""&amp;D1928,""pe"")"),"#N/A")</f>
        <v>#N/A</v>
      </c>
      <c r="P1928" s="7" t="str">
        <f ca="1">IFERROR(__xludf.DUMMYFUNCTION("GOOGLEFINANCE(""NSE:""&amp;D1928,""EPS"")"),"#N/A")</f>
        <v>#N/A</v>
      </c>
      <c r="Q1928" s="7">
        <v>13.5</v>
      </c>
      <c r="R1928" s="7" t="str">
        <f ca="1">IFERROR(__xludf.DUMMYFUNCTION("IMPORTXML(E1928,""/html/body/main/div[3]/div[3]/div[2]/ul/li[7]/span[2]/span"")"),"Loading...")</f>
        <v>Loading...</v>
      </c>
      <c r="S1928" s="7" t="str">
        <f ca="1">IFERROR(__xludf.DUMMYFUNCTION("IMPORTXML(E1928,""/html/body/main/div[3]/div[3]/div[2]/ul/li[8]/span[2]/span"")"),"Loading...")</f>
        <v>Loading...</v>
      </c>
      <c r="T1928" s="4">
        <v>34.6</v>
      </c>
      <c r="U1928" s="4">
        <v>22.7</v>
      </c>
      <c r="V1928" s="4">
        <v>2.6</v>
      </c>
      <c r="W1928" s="4">
        <v>5.7</v>
      </c>
      <c r="X1928" s="4">
        <v>519.92999999999995</v>
      </c>
      <c r="Y1928" s="7" t="e">
        <f t="shared" ca="1" si="39"/>
        <v>#VALUE!</v>
      </c>
    </row>
    <row r="1929" spans="1:25" ht="15" x14ac:dyDescent="0.25">
      <c r="A1929" s="4">
        <v>1638</v>
      </c>
      <c r="C1929" s="12" t="s">
        <v>4104</v>
      </c>
      <c r="D1929" s="12" t="s">
        <v>4105</v>
      </c>
      <c r="E1929" s="5" t="str">
        <f t="shared" si="35"/>
        <v>https://www.screener.in/company/EMAMIREAL/consolidated/</v>
      </c>
      <c r="F1929" s="4">
        <v>443059</v>
      </c>
      <c r="G1929" s="4">
        <v>3832241897</v>
      </c>
      <c r="H1929" s="6">
        <f t="shared" ca="1" si="36"/>
        <v>44454.006005199997</v>
      </c>
      <c r="I1929" s="7" t="str">
        <f ca="1">IFERROR(__xludf.DUMMYFUNCTION("IMPORTXML(E1929,""/html/body/main/div[3]/div[3]/div[2]/ul/li[5]/span[2]/span"")"),"Loading...")</f>
        <v>Loading...</v>
      </c>
      <c r="J1929" s="7">
        <f ca="1">IFERROR(__xludf.DUMMYFUNCTION("GOOGLEFINANCE(""NSE:""&amp;D1929,""marketcap"")"),5084731000)</f>
        <v>5084731000</v>
      </c>
      <c r="K1929" s="7">
        <v>992.8</v>
      </c>
      <c r="L1929" s="8">
        <f ca="1">IFERROR(__xludf.DUMMYFUNCTION("GOOGLEFINANCE(""NSE:""&amp;D1929,""price"")"),116)</f>
        <v>116</v>
      </c>
      <c r="M1929" s="9">
        <f t="shared" ca="1" si="37"/>
        <v>-876.8</v>
      </c>
      <c r="N1929" s="10">
        <f t="shared" ca="1" si="38"/>
        <v>-88.315874294923447</v>
      </c>
      <c r="O1929" s="7" t="str">
        <f ca="1">IFERROR(__xludf.DUMMYFUNCTION("GOOGLEFINANCE(""NSE:""&amp;D1929,""pe"")"),"#N/A")</f>
        <v>#N/A</v>
      </c>
      <c r="P1929" s="7" t="str">
        <f ca="1">IFERROR(__xludf.DUMMYFUNCTION("GOOGLEFINANCE(""NSE:""&amp;D1929,""EPS"")"),"#N/A")</f>
        <v>#N/A</v>
      </c>
      <c r="Q1929" s="7">
        <v>13.5</v>
      </c>
      <c r="R1929" s="7" t="str">
        <f ca="1">IFERROR(__xludf.DUMMYFUNCTION("IMPORTXML(E1929,""/html/body/main/div[3]/div[3]/div[2]/ul/li[7]/span[2]/span"")"),"Loading...")</f>
        <v>Loading...</v>
      </c>
      <c r="S1929" s="7" t="str">
        <f ca="1">IFERROR(__xludf.DUMMYFUNCTION("IMPORTXML(E1929,""/html/body/main/div[3]/div[3]/div[2]/ul/li[8]/span[2]/span"")"),"Loading...")</f>
        <v>Loading...</v>
      </c>
      <c r="T1929" s="4">
        <v>34.6</v>
      </c>
      <c r="U1929" s="4">
        <v>22.7</v>
      </c>
      <c r="V1929" s="4">
        <v>2.6</v>
      </c>
      <c r="W1929" s="4">
        <v>5.7</v>
      </c>
      <c r="X1929" s="4">
        <v>519.92999999999995</v>
      </c>
      <c r="Y1929" s="7">
        <f t="shared" ca="1" si="39"/>
        <v>-403.92999999999995</v>
      </c>
    </row>
    <row r="1930" spans="1:25" ht="15" x14ac:dyDescent="0.25">
      <c r="A1930" s="4">
        <v>1639</v>
      </c>
      <c r="C1930" s="41" t="s">
        <v>4106</v>
      </c>
      <c r="D1930" s="42"/>
      <c r="E1930" s="5" t="str">
        <f t="shared" si="35"/>
        <v>https://www.screener.in/company//consolidated/</v>
      </c>
      <c r="F1930" s="4">
        <v>443059</v>
      </c>
      <c r="G1930" s="4">
        <v>3832241897</v>
      </c>
      <c r="H1930" s="6" t="e">
        <f t="shared" ca="1" si="36"/>
        <v>#VALUE!</v>
      </c>
      <c r="I1930" s="7" t="str">
        <f ca="1">IFERROR(__xludf.DUMMYFUNCTION("IMPORTXML(E1930,""/html/body/main/div[3]/div[3]/div[2]/ul/li[5]/span[2]/span"")"),"Loading...")</f>
        <v>Loading...</v>
      </c>
      <c r="J1930" s="7" t="str">
        <f ca="1">IFERROR(__xludf.DUMMYFUNCTION("GOOGLEFINANCE(""NSE:""&amp;D1930,""marketcap"")"),"#N/A")</f>
        <v>#N/A</v>
      </c>
      <c r="K1930" s="7">
        <v>992.8</v>
      </c>
      <c r="L1930" s="8" t="str">
        <f ca="1">IFERROR(__xludf.DUMMYFUNCTION("GOOGLEFINANCE(""NSE:""&amp;D1930,""price"")"),"#N/A")</f>
        <v>#N/A</v>
      </c>
      <c r="M1930" s="9" t="e">
        <f t="shared" ca="1" si="37"/>
        <v>#VALUE!</v>
      </c>
      <c r="N1930" s="10" t="e">
        <f t="shared" ca="1" si="38"/>
        <v>#VALUE!</v>
      </c>
      <c r="O1930" s="7" t="str">
        <f ca="1">IFERROR(__xludf.DUMMYFUNCTION("GOOGLEFINANCE(""NSE:""&amp;D1930,""pe"")"),"#N/A")</f>
        <v>#N/A</v>
      </c>
      <c r="P1930" s="7" t="str">
        <f ca="1">IFERROR(__xludf.DUMMYFUNCTION("GOOGLEFINANCE(""NSE:""&amp;D1930,""EPS"")"),"#N/A")</f>
        <v>#N/A</v>
      </c>
      <c r="Q1930" s="7">
        <v>13.5</v>
      </c>
      <c r="R1930" s="7" t="str">
        <f ca="1">IFERROR(__xludf.DUMMYFUNCTION("IMPORTXML(E1930,""/html/body/main/div[3]/div[3]/div[2]/ul/li[7]/span[2]/span"")"),"Loading...")</f>
        <v>Loading...</v>
      </c>
      <c r="S1930" s="7" t="str">
        <f ca="1">IFERROR(__xludf.DUMMYFUNCTION("IMPORTXML(E1930,""/html/body/main/div[3]/div[3]/div[2]/ul/li[8]/span[2]/span"")"),"Loading...")</f>
        <v>Loading...</v>
      </c>
      <c r="T1930" s="4">
        <v>34.6</v>
      </c>
      <c r="U1930" s="4">
        <v>22.7</v>
      </c>
      <c r="V1930" s="4">
        <v>2.6</v>
      </c>
      <c r="W1930" s="4">
        <v>5.7</v>
      </c>
      <c r="X1930" s="4">
        <v>519.92999999999995</v>
      </c>
      <c r="Y1930" s="7" t="e">
        <f t="shared" ca="1" si="39"/>
        <v>#VALUE!</v>
      </c>
    </row>
    <row r="1931" spans="1:25" ht="15" x14ac:dyDescent="0.25">
      <c r="A1931" s="4">
        <v>1640</v>
      </c>
      <c r="C1931" s="41" t="s">
        <v>4107</v>
      </c>
      <c r="D1931" s="42"/>
      <c r="E1931" s="5" t="str">
        <f t="shared" si="35"/>
        <v>https://www.screener.in/company//consolidated/</v>
      </c>
      <c r="F1931" s="4">
        <v>443059</v>
      </c>
      <c r="G1931" s="4">
        <v>3832241897</v>
      </c>
      <c r="H1931" s="6" t="e">
        <f t="shared" ca="1" si="36"/>
        <v>#VALUE!</v>
      </c>
      <c r="I1931" s="7" t="str">
        <f ca="1">IFERROR(__xludf.DUMMYFUNCTION("IMPORTXML(E1931,""/html/body/main/div[3]/div[3]/div[2]/ul/li[5]/span[2]/span"")"),"Loading...")</f>
        <v>Loading...</v>
      </c>
      <c r="J1931" s="7" t="str">
        <f ca="1">IFERROR(__xludf.DUMMYFUNCTION("GOOGLEFINANCE(""NSE:""&amp;D1931,""marketcap"")"),"#N/A")</f>
        <v>#N/A</v>
      </c>
      <c r="K1931" s="7">
        <v>992.8</v>
      </c>
      <c r="L1931" s="8" t="str">
        <f ca="1">IFERROR(__xludf.DUMMYFUNCTION("GOOGLEFINANCE(""NSE:""&amp;D1931,""price"")"),"#N/A")</f>
        <v>#N/A</v>
      </c>
      <c r="M1931" s="9" t="e">
        <f t="shared" ca="1" si="37"/>
        <v>#VALUE!</v>
      </c>
      <c r="N1931" s="10" t="e">
        <f t="shared" ca="1" si="38"/>
        <v>#VALUE!</v>
      </c>
      <c r="O1931" s="7" t="str">
        <f ca="1">IFERROR(__xludf.DUMMYFUNCTION("GOOGLEFINANCE(""NSE:""&amp;D1931,""pe"")"),"#N/A")</f>
        <v>#N/A</v>
      </c>
      <c r="P1931" s="7" t="str">
        <f ca="1">IFERROR(__xludf.DUMMYFUNCTION("GOOGLEFINANCE(""NSE:""&amp;D1931,""EPS"")"),"#N/A")</f>
        <v>#N/A</v>
      </c>
      <c r="Q1931" s="7">
        <v>13.5</v>
      </c>
      <c r="R1931" s="7" t="str">
        <f ca="1">IFERROR(__xludf.DUMMYFUNCTION("IMPORTXML(E1931,""/html/body/main/div[3]/div[3]/div[2]/ul/li[7]/span[2]/span"")"),"Loading...")</f>
        <v>Loading...</v>
      </c>
      <c r="S1931" s="7" t="str">
        <f ca="1">IFERROR(__xludf.DUMMYFUNCTION("IMPORTXML(E1931,""/html/body/main/div[3]/div[3]/div[2]/ul/li[8]/span[2]/span"")"),"Loading...")</f>
        <v>Loading...</v>
      </c>
      <c r="T1931" s="4">
        <v>34.6</v>
      </c>
      <c r="U1931" s="4">
        <v>22.7</v>
      </c>
      <c r="V1931" s="4">
        <v>2.6</v>
      </c>
      <c r="W1931" s="4">
        <v>5.7</v>
      </c>
      <c r="X1931" s="4">
        <v>519.92999999999995</v>
      </c>
      <c r="Y1931" s="7" t="e">
        <f t="shared" ca="1" si="39"/>
        <v>#VALUE!</v>
      </c>
    </row>
    <row r="1932" spans="1:25" ht="15" x14ac:dyDescent="0.25">
      <c r="A1932" s="4">
        <v>1641</v>
      </c>
      <c r="C1932" s="12" t="s">
        <v>4108</v>
      </c>
      <c r="D1932" s="12" t="s">
        <v>4109</v>
      </c>
      <c r="E1932" s="5" t="str">
        <f t="shared" si="35"/>
        <v>https://www.screener.in/company/CINELINE/consolidated/</v>
      </c>
      <c r="F1932" s="4">
        <v>443059</v>
      </c>
      <c r="G1932" s="4">
        <v>3832241897</v>
      </c>
      <c r="H1932" s="6">
        <f t="shared" ca="1" si="36"/>
        <v>33187.214828019998</v>
      </c>
      <c r="I1932" s="7" t="str">
        <f ca="1">IFERROR(__xludf.DUMMYFUNCTION("IMPORTXML(E1932,""/html/body/main/div[3]/div[3]/div[2]/ul/li[5]/span[2]/span"")"),"Loading...")</f>
        <v>Loading...</v>
      </c>
      <c r="J1932" s="7">
        <f ca="1">IFERROR(__xludf.DUMMYFUNCTION("GOOGLEFINANCE(""NSE:""&amp;D1932,""marketcap"")"),2978438000)</f>
        <v>2978438000</v>
      </c>
      <c r="K1932" s="7">
        <v>992.8</v>
      </c>
      <c r="L1932" s="8">
        <f ca="1">IFERROR(__xludf.DUMMYFUNCTION("GOOGLEFINANCE(""NSE:""&amp;D1932,""price"")"),86.6)</f>
        <v>86.6</v>
      </c>
      <c r="M1932" s="9">
        <f t="shared" ca="1" si="37"/>
        <v>-906.19999999999993</v>
      </c>
      <c r="N1932" s="10">
        <f t="shared" ca="1" si="38"/>
        <v>-91.277195809830786</v>
      </c>
      <c r="O1932" s="7" t="str">
        <f ca="1">IFERROR(__xludf.DUMMYFUNCTION("GOOGLEFINANCE(""NSE:""&amp;D1932,""pe"")"),"#N/A")</f>
        <v>#N/A</v>
      </c>
      <c r="P1932" s="7">
        <f ca="1">IFERROR(__xludf.DUMMYFUNCTION("GOOGLEFINANCE(""NSE:""&amp;D1932,""EPS"")"),-3.6)</f>
        <v>-3.6</v>
      </c>
      <c r="Q1932" s="7">
        <v>13.5</v>
      </c>
      <c r="R1932" s="7" t="str">
        <f ca="1">IFERROR(__xludf.DUMMYFUNCTION("IMPORTXML(E1932,""/html/body/main/div[3]/div[3]/div[2]/ul/li[7]/span[2]/span"")"),"Loading...")</f>
        <v>Loading...</v>
      </c>
      <c r="S1932" s="7" t="str">
        <f ca="1">IFERROR(__xludf.DUMMYFUNCTION("IMPORTXML(E1932,""/html/body/main/div[3]/div[3]/div[2]/ul/li[8]/span[2]/span"")"),"Loading...")</f>
        <v>Loading...</v>
      </c>
      <c r="T1932" s="4">
        <v>34.6</v>
      </c>
      <c r="U1932" s="4">
        <v>22.7</v>
      </c>
      <c r="V1932" s="4">
        <v>2.6</v>
      </c>
      <c r="W1932" s="4">
        <v>5.7</v>
      </c>
      <c r="X1932" s="4">
        <v>519.92999999999995</v>
      </c>
      <c r="Y1932" s="7">
        <f t="shared" ca="1" si="39"/>
        <v>-433.32999999999993</v>
      </c>
    </row>
    <row r="1933" spans="1:25" ht="15" x14ac:dyDescent="0.25">
      <c r="A1933" s="4">
        <v>1642</v>
      </c>
      <c r="C1933" s="41" t="s">
        <v>4110</v>
      </c>
      <c r="D1933" s="42"/>
      <c r="E1933" s="5" t="str">
        <f t="shared" si="35"/>
        <v>https://www.screener.in/company//consolidated/</v>
      </c>
      <c r="F1933" s="4">
        <v>443059</v>
      </c>
      <c r="G1933" s="4">
        <v>3832241897</v>
      </c>
      <c r="H1933" s="6" t="e">
        <f t="shared" ca="1" si="36"/>
        <v>#VALUE!</v>
      </c>
      <c r="I1933" s="7" t="str">
        <f ca="1">IFERROR(__xludf.DUMMYFUNCTION("IMPORTXML(E1933,""/html/body/main/div[3]/div[3]/div[2]/ul/li[5]/span[2]/span"")"),"Loading...")</f>
        <v>Loading...</v>
      </c>
      <c r="J1933" s="7" t="str">
        <f ca="1">IFERROR(__xludf.DUMMYFUNCTION("GOOGLEFINANCE(""NSE:""&amp;D1933,""marketcap"")"),"#N/A")</f>
        <v>#N/A</v>
      </c>
      <c r="K1933" s="7">
        <v>992.8</v>
      </c>
      <c r="L1933" s="8" t="str">
        <f ca="1">IFERROR(__xludf.DUMMYFUNCTION("GOOGLEFINANCE(""NSE:""&amp;D1933,""price"")"),"#N/A")</f>
        <v>#N/A</v>
      </c>
      <c r="M1933" s="9" t="e">
        <f t="shared" ca="1" si="37"/>
        <v>#VALUE!</v>
      </c>
      <c r="N1933" s="10" t="e">
        <f t="shared" ca="1" si="38"/>
        <v>#VALUE!</v>
      </c>
      <c r="O1933" s="7" t="str">
        <f ca="1">IFERROR(__xludf.DUMMYFUNCTION("GOOGLEFINANCE(""NSE:""&amp;D1933,""pe"")"),"#N/A")</f>
        <v>#N/A</v>
      </c>
      <c r="P1933" s="7" t="str">
        <f ca="1">IFERROR(__xludf.DUMMYFUNCTION("GOOGLEFINANCE(""NSE:""&amp;D1933,""EPS"")"),"#N/A")</f>
        <v>#N/A</v>
      </c>
      <c r="Q1933" s="7">
        <v>13.5</v>
      </c>
      <c r="R1933" s="7" t="str">
        <f ca="1">IFERROR(__xludf.DUMMYFUNCTION("IMPORTXML(E1933,""/html/body/main/div[3]/div[3]/div[2]/ul/li[7]/span[2]/span"")"),"Loading...")</f>
        <v>Loading...</v>
      </c>
      <c r="S1933" s="7" t="str">
        <f ca="1">IFERROR(__xludf.DUMMYFUNCTION("IMPORTXML(E1933,""/html/body/main/div[3]/div[3]/div[2]/ul/li[8]/span[2]/span"")"),"Loading...")</f>
        <v>Loading...</v>
      </c>
      <c r="T1933" s="4">
        <v>34.6</v>
      </c>
      <c r="U1933" s="4">
        <v>22.7</v>
      </c>
      <c r="V1933" s="4">
        <v>2.6</v>
      </c>
      <c r="W1933" s="4">
        <v>5.7</v>
      </c>
      <c r="X1933" s="4">
        <v>519.92999999999995</v>
      </c>
      <c r="Y1933" s="7" t="e">
        <f t="shared" ca="1" si="39"/>
        <v>#VALUE!</v>
      </c>
    </row>
    <row r="1934" spans="1:25" ht="15" x14ac:dyDescent="0.25">
      <c r="A1934" s="4">
        <v>1646</v>
      </c>
      <c r="C1934" s="41" t="s">
        <v>4111</v>
      </c>
      <c r="D1934" s="42"/>
      <c r="E1934" s="5" t="str">
        <f t="shared" si="35"/>
        <v>https://www.screener.in/company//consolidated/</v>
      </c>
      <c r="F1934" s="4">
        <v>443059</v>
      </c>
      <c r="G1934" s="4">
        <v>3832241897</v>
      </c>
      <c r="H1934" s="6" t="e">
        <f t="shared" ca="1" si="36"/>
        <v>#VALUE!</v>
      </c>
      <c r="I1934" s="7" t="str">
        <f ca="1">IFERROR(__xludf.DUMMYFUNCTION("IMPORTXML(E1934,""/html/body/main/div[3]/div[3]/div[2]/ul/li[5]/span[2]/span"")"),"Loading...")</f>
        <v>Loading...</v>
      </c>
      <c r="J1934" s="7" t="str">
        <f ca="1">IFERROR(__xludf.DUMMYFUNCTION("GOOGLEFINANCE(""NSE:""&amp;D1934,""marketcap"")"),"#N/A")</f>
        <v>#N/A</v>
      </c>
      <c r="K1934" s="7">
        <v>992.8</v>
      </c>
      <c r="L1934" s="8" t="str">
        <f ca="1">IFERROR(__xludf.DUMMYFUNCTION("GOOGLEFINANCE(""NSE:""&amp;D1934,""price"")"),"#N/A")</f>
        <v>#N/A</v>
      </c>
      <c r="M1934" s="9" t="e">
        <f t="shared" ca="1" si="37"/>
        <v>#VALUE!</v>
      </c>
      <c r="N1934" s="10" t="e">
        <f t="shared" ca="1" si="38"/>
        <v>#VALUE!</v>
      </c>
      <c r="O1934" s="7" t="str">
        <f ca="1">IFERROR(__xludf.DUMMYFUNCTION("GOOGLEFINANCE(""NSE:""&amp;D1934,""pe"")"),"#N/A")</f>
        <v>#N/A</v>
      </c>
      <c r="P1934" s="7" t="str">
        <f ca="1">IFERROR(__xludf.DUMMYFUNCTION("GOOGLEFINANCE(""NSE:""&amp;D1934,""EPS"")"),"#N/A")</f>
        <v>#N/A</v>
      </c>
      <c r="Q1934" s="7">
        <v>13.5</v>
      </c>
      <c r="R1934" s="7" t="str">
        <f ca="1">IFERROR(__xludf.DUMMYFUNCTION("IMPORTXML(E1934,""/html/body/main/div[3]/div[3]/div[2]/ul/li[7]/span[2]/span"")"),"Loading...")</f>
        <v>Loading...</v>
      </c>
      <c r="S1934" s="7" t="str">
        <f ca="1">IFERROR(__xludf.DUMMYFUNCTION("IMPORTXML(E1934,""/html/body/main/div[3]/div[3]/div[2]/ul/li[8]/span[2]/span"")"),"Loading...")</f>
        <v>Loading...</v>
      </c>
      <c r="T1934" s="4">
        <v>34.6</v>
      </c>
      <c r="U1934" s="4">
        <v>22.7</v>
      </c>
      <c r="V1934" s="4">
        <v>2.6</v>
      </c>
      <c r="W1934" s="4">
        <v>5.7</v>
      </c>
      <c r="X1934" s="4">
        <v>519.92999999999995</v>
      </c>
      <c r="Y1934" s="7" t="e">
        <f t="shared" ca="1" si="39"/>
        <v>#VALUE!</v>
      </c>
    </row>
    <row r="1935" spans="1:25" ht="15" x14ac:dyDescent="0.25">
      <c r="A1935" s="4">
        <v>1648</v>
      </c>
      <c r="C1935" s="41" t="s">
        <v>4112</v>
      </c>
      <c r="D1935" s="42"/>
      <c r="E1935" s="5" t="str">
        <f t="shared" si="35"/>
        <v>https://www.screener.in/company//consolidated/</v>
      </c>
      <c r="F1935" s="4">
        <v>443059</v>
      </c>
      <c r="G1935" s="4">
        <v>3832241897</v>
      </c>
      <c r="H1935" s="6" t="e">
        <f t="shared" ca="1" si="36"/>
        <v>#VALUE!</v>
      </c>
      <c r="I1935" s="7" t="str">
        <f ca="1">IFERROR(__xludf.DUMMYFUNCTION("IMPORTXML(E1935,""/html/body/main/div[3]/div[3]/div[2]/ul/li[5]/span[2]/span"")"),"Loading...")</f>
        <v>Loading...</v>
      </c>
      <c r="J1935" s="7" t="str">
        <f ca="1">IFERROR(__xludf.DUMMYFUNCTION("GOOGLEFINANCE(""NSE:""&amp;D1935,""marketcap"")"),"#N/A")</f>
        <v>#N/A</v>
      </c>
      <c r="K1935" s="7">
        <v>992.8</v>
      </c>
      <c r="L1935" s="8" t="str">
        <f ca="1">IFERROR(__xludf.DUMMYFUNCTION("GOOGLEFINANCE(""NSE:""&amp;D1935,""price"")"),"#N/A")</f>
        <v>#N/A</v>
      </c>
      <c r="M1935" s="9" t="e">
        <f t="shared" ca="1" si="37"/>
        <v>#VALUE!</v>
      </c>
      <c r="N1935" s="10" t="e">
        <f t="shared" ca="1" si="38"/>
        <v>#VALUE!</v>
      </c>
      <c r="O1935" s="7" t="str">
        <f ca="1">IFERROR(__xludf.DUMMYFUNCTION("GOOGLEFINANCE(""NSE:""&amp;D1935,""pe"")"),"#N/A")</f>
        <v>#N/A</v>
      </c>
      <c r="P1935" s="7" t="str">
        <f ca="1">IFERROR(__xludf.DUMMYFUNCTION("GOOGLEFINANCE(""NSE:""&amp;D1935,""EPS"")"),"#N/A")</f>
        <v>#N/A</v>
      </c>
      <c r="Q1935" s="7">
        <v>13.5</v>
      </c>
      <c r="R1935" s="7" t="str">
        <f ca="1">IFERROR(__xludf.DUMMYFUNCTION("IMPORTXML(E1935,""/html/body/main/div[3]/div[3]/div[2]/ul/li[7]/span[2]/span"")"),"Loading...")</f>
        <v>Loading...</v>
      </c>
      <c r="S1935" s="7" t="str">
        <f ca="1">IFERROR(__xludf.DUMMYFUNCTION("IMPORTXML(E1935,""/html/body/main/div[3]/div[3]/div[2]/ul/li[8]/span[2]/span"")"),"Loading...")</f>
        <v>Loading...</v>
      </c>
      <c r="T1935" s="4">
        <v>34.6</v>
      </c>
      <c r="U1935" s="4">
        <v>22.7</v>
      </c>
      <c r="V1935" s="4">
        <v>2.6</v>
      </c>
      <c r="W1935" s="4">
        <v>5.7</v>
      </c>
      <c r="X1935" s="4">
        <v>519.92999999999995</v>
      </c>
      <c r="Y1935" s="7" t="e">
        <f t="shared" ca="1" si="39"/>
        <v>#VALUE!</v>
      </c>
    </row>
    <row r="1936" spans="1:25" ht="15" x14ac:dyDescent="0.25">
      <c r="A1936" s="4">
        <v>1651</v>
      </c>
      <c r="C1936" s="12" t="s">
        <v>4113</v>
      </c>
      <c r="D1936" s="12" t="s">
        <v>4114</v>
      </c>
      <c r="E1936" s="5" t="str">
        <f t="shared" si="35"/>
        <v>https://www.screener.in/company/ABAN/consolidated/</v>
      </c>
      <c r="F1936" s="4">
        <v>443059</v>
      </c>
      <c r="G1936" s="4">
        <v>3832241897</v>
      </c>
      <c r="H1936" s="6">
        <f t="shared" ca="1" si="36"/>
        <v>17532.506678775</v>
      </c>
      <c r="I1936" s="7" t="str">
        <f ca="1">IFERROR(__xludf.DUMMYFUNCTION("IMPORTXML(E1936,""/html/body/main/div[3]/div[3]/div[2]/ul/li[5]/span[2]/span"")"),"Loading...")</f>
        <v>Loading...</v>
      </c>
      <c r="J1936" s="7">
        <f ca="1">IFERROR(__xludf.DUMMYFUNCTION("GOOGLEFINANCE(""NSE:""&amp;D1936,""marketcap"")"),2601935812)</f>
        <v>2601935812</v>
      </c>
      <c r="K1936" s="7">
        <v>992.8</v>
      </c>
      <c r="L1936" s="8">
        <f ca="1">IFERROR(__xludf.DUMMYFUNCTION("GOOGLEFINANCE(""NSE:""&amp;D1936,""price"")"),45.75)</f>
        <v>45.75</v>
      </c>
      <c r="M1936" s="9">
        <f t="shared" ca="1" si="37"/>
        <v>-947.05</v>
      </c>
      <c r="N1936" s="10">
        <f t="shared" ca="1" si="38"/>
        <v>-95.391821112006454</v>
      </c>
      <c r="O1936" s="7" t="str">
        <f ca="1">IFERROR(__xludf.DUMMYFUNCTION("GOOGLEFINANCE(""NSE:""&amp;D1936,""pe"")"),"#N/A")</f>
        <v>#N/A</v>
      </c>
      <c r="P1936" s="7">
        <f ca="1">IFERROR(__xludf.DUMMYFUNCTION("GOOGLEFINANCE(""NSE:""&amp;D1936,""EPS"")"),-155)</f>
        <v>-155</v>
      </c>
      <c r="Q1936" s="7">
        <v>13.5</v>
      </c>
      <c r="R1936" s="7" t="str">
        <f ca="1">IFERROR(__xludf.DUMMYFUNCTION("IMPORTXML(E1936,""/html/body/main/div[3]/div[3]/div[2]/ul/li[7]/span[2]/span"")"),"Loading...")</f>
        <v>Loading...</v>
      </c>
      <c r="S1936" s="7" t="str">
        <f ca="1">IFERROR(__xludf.DUMMYFUNCTION("IMPORTXML(E1936,""/html/body/main/div[3]/div[3]/div[2]/ul/li[8]/span[2]/span"")"),"Loading...")</f>
        <v>Loading...</v>
      </c>
      <c r="T1936" s="4">
        <v>34.6</v>
      </c>
      <c r="U1936" s="4">
        <v>22.7</v>
      </c>
      <c r="V1936" s="4">
        <v>2.6</v>
      </c>
      <c r="W1936" s="4">
        <v>5.7</v>
      </c>
      <c r="X1936" s="4">
        <v>519.92999999999995</v>
      </c>
      <c r="Y1936" s="7">
        <f t="shared" ca="1" si="39"/>
        <v>-474.17999999999995</v>
      </c>
    </row>
    <row r="1937" spans="1:25" ht="15" x14ac:dyDescent="0.25">
      <c r="A1937" s="4">
        <v>1652</v>
      </c>
      <c r="C1937" s="12" t="s">
        <v>4115</v>
      </c>
      <c r="D1937" s="12" t="s">
        <v>4116</v>
      </c>
      <c r="E1937" s="5" t="str">
        <f t="shared" si="35"/>
        <v>https://www.screener.in/company/EXXARO/consolidated/</v>
      </c>
      <c r="F1937" s="4">
        <v>443059</v>
      </c>
      <c r="G1937" s="4">
        <v>3832241897</v>
      </c>
      <c r="H1937" s="6">
        <f t="shared" ca="1" si="36"/>
        <v>3061.9612757030004</v>
      </c>
      <c r="I1937" s="7" t="str">
        <f ca="1">IFERROR(__xludf.DUMMYFUNCTION("IMPORTXML(E1937,""/html/body/main/div[3]/div[3]/div[2]/ul/li[5]/span[2]/span"")"),"Loading...")</f>
        <v>Loading...</v>
      </c>
      <c r="J1937" s="7">
        <f ca="1">IFERROR(__xludf.DUMMYFUNCTION("GOOGLEFINANCE(""NSE:""&amp;D1937,""marketcap"")"),3489802765)</f>
        <v>3489802765</v>
      </c>
      <c r="K1937" s="7">
        <v>992.8</v>
      </c>
      <c r="L1937" s="8">
        <f ca="1">IFERROR(__xludf.DUMMYFUNCTION("GOOGLEFINANCE(""NSE:""&amp;D1937,""price"")"),7.99)</f>
        <v>7.99</v>
      </c>
      <c r="M1937" s="9">
        <f t="shared" ca="1" si="37"/>
        <v>-984.81</v>
      </c>
      <c r="N1937" s="10">
        <f t="shared" ca="1" si="38"/>
        <v>-99.195205479452056</v>
      </c>
      <c r="O1937" s="7">
        <f ca="1">IFERROR(__xludf.DUMMYFUNCTION("GOOGLEFINANCE(""NSE:""&amp;D1937,""pe"")"),67.9)</f>
        <v>67.900000000000006</v>
      </c>
      <c r="P1937" s="7">
        <f ca="1">IFERROR(__xludf.DUMMYFUNCTION("GOOGLEFINANCE(""NSE:""&amp;D1937,""EPS"")"),0.12)</f>
        <v>0.12</v>
      </c>
      <c r="Q1937" s="7">
        <v>13.5</v>
      </c>
      <c r="R1937" s="7" t="str">
        <f ca="1">IFERROR(__xludf.DUMMYFUNCTION("IMPORTXML(E1937,""/html/body/main/div[3]/div[3]/div[2]/ul/li[7]/span[2]/span"")"),"Loading...")</f>
        <v>Loading...</v>
      </c>
      <c r="S1937" s="7" t="str">
        <f ca="1">IFERROR(__xludf.DUMMYFUNCTION("IMPORTXML(E1937,""/html/body/main/div[3]/div[3]/div[2]/ul/li[8]/span[2]/span"")"),"Loading...")</f>
        <v>Loading...</v>
      </c>
      <c r="T1937" s="4">
        <v>34.6</v>
      </c>
      <c r="U1937" s="4">
        <v>22.7</v>
      </c>
      <c r="V1937" s="4">
        <v>2.6</v>
      </c>
      <c r="W1937" s="4">
        <v>5.7</v>
      </c>
      <c r="X1937" s="4">
        <v>519.92999999999995</v>
      </c>
      <c r="Y1937" s="7">
        <f t="shared" ca="1" si="39"/>
        <v>-511.93999999999994</v>
      </c>
    </row>
    <row r="1938" spans="1:25" ht="15" x14ac:dyDescent="0.25">
      <c r="A1938" s="4">
        <v>1657</v>
      </c>
      <c r="C1938" s="12" t="s">
        <v>4117</v>
      </c>
      <c r="D1938" s="37"/>
      <c r="E1938" s="5" t="str">
        <f t="shared" si="35"/>
        <v>https://www.screener.in/company//consolidated/</v>
      </c>
      <c r="F1938" s="4">
        <v>443059</v>
      </c>
      <c r="G1938" s="4">
        <v>3832241897</v>
      </c>
      <c r="H1938" s="6" t="e">
        <f t="shared" ca="1" si="36"/>
        <v>#VALUE!</v>
      </c>
      <c r="I1938" s="7" t="str">
        <f ca="1">IFERROR(__xludf.DUMMYFUNCTION("IMPORTXML(E1938,""/html/body/main/div[3]/div[3]/div[2]/ul/li[5]/span[2]/span"")"),"Loading...")</f>
        <v>Loading...</v>
      </c>
      <c r="J1938" s="7" t="str">
        <f ca="1">IFERROR(__xludf.DUMMYFUNCTION("GOOGLEFINANCE(""NSE:""&amp;D1938,""marketcap"")"),"#N/A")</f>
        <v>#N/A</v>
      </c>
      <c r="K1938" s="7">
        <v>992.8</v>
      </c>
      <c r="L1938" s="8" t="str">
        <f ca="1">IFERROR(__xludf.DUMMYFUNCTION("GOOGLEFINANCE(""NSE:""&amp;D1938,""price"")"),"#N/A")</f>
        <v>#N/A</v>
      </c>
      <c r="M1938" s="9" t="e">
        <f t="shared" ca="1" si="37"/>
        <v>#VALUE!</v>
      </c>
      <c r="N1938" s="10" t="e">
        <f t="shared" ca="1" si="38"/>
        <v>#VALUE!</v>
      </c>
      <c r="O1938" s="7" t="str">
        <f ca="1">IFERROR(__xludf.DUMMYFUNCTION("GOOGLEFINANCE(""NSE:""&amp;D1938,""pe"")"),"#N/A")</f>
        <v>#N/A</v>
      </c>
      <c r="P1938" s="7" t="str">
        <f ca="1">IFERROR(__xludf.DUMMYFUNCTION("GOOGLEFINANCE(""NSE:""&amp;D1938,""EPS"")"),"#N/A")</f>
        <v>#N/A</v>
      </c>
      <c r="Q1938" s="7">
        <v>13.5</v>
      </c>
      <c r="R1938" s="7" t="str">
        <f ca="1">IFERROR(__xludf.DUMMYFUNCTION("IMPORTXML(E1938,""/html/body/main/div[3]/div[3]/div[2]/ul/li[7]/span[2]/span"")"),"Loading...")</f>
        <v>Loading...</v>
      </c>
      <c r="S1938" s="7" t="str">
        <f ca="1">IFERROR(__xludf.DUMMYFUNCTION("IMPORTXML(E1938,""/html/body/main/div[3]/div[3]/div[2]/ul/li[8]/span[2]/span"")"),"Loading...")</f>
        <v>Loading...</v>
      </c>
      <c r="T1938" s="4">
        <v>34.6</v>
      </c>
      <c r="U1938" s="4">
        <v>22.7</v>
      </c>
      <c r="V1938" s="4">
        <v>2.6</v>
      </c>
      <c r="W1938" s="4">
        <v>5.7</v>
      </c>
      <c r="X1938" s="4">
        <v>519.92999999999995</v>
      </c>
      <c r="Y1938" s="7" t="e">
        <f t="shared" ca="1" si="39"/>
        <v>#VALUE!</v>
      </c>
    </row>
    <row r="1939" spans="1:25" ht="15" x14ac:dyDescent="0.25">
      <c r="A1939" s="4">
        <v>1659</v>
      </c>
      <c r="C1939" s="12" t="s">
        <v>4118</v>
      </c>
      <c r="D1939" s="12" t="s">
        <v>4119</v>
      </c>
      <c r="E1939" s="5" t="str">
        <f t="shared" si="35"/>
        <v>https://www.screener.in/company/UCAL/consolidated/</v>
      </c>
      <c r="F1939" s="4">
        <v>443059</v>
      </c>
      <c r="G1939" s="4">
        <v>3832241897</v>
      </c>
      <c r="H1939" s="6">
        <f t="shared" ca="1" si="36"/>
        <v>52379.082248196006</v>
      </c>
      <c r="I1939" s="7" t="str">
        <f ca="1">IFERROR(__xludf.DUMMYFUNCTION("IMPORTXML(E1939,""/html/body/main/div[3]/div[3]/div[2]/ul/li[5]/span[2]/span"")"),"Loading...")</f>
        <v>Loading...</v>
      </c>
      <c r="J1939" s="7">
        <f ca="1">IFERROR(__xludf.DUMMYFUNCTION("GOOGLEFINANCE(""NSE:""&amp;D1939,""marketcap"")"),3007688601)</f>
        <v>3007688601</v>
      </c>
      <c r="K1939" s="7">
        <v>992.8</v>
      </c>
      <c r="L1939" s="8">
        <f ca="1">IFERROR(__xludf.DUMMYFUNCTION("GOOGLEFINANCE(""NSE:""&amp;D1939,""price"")"),136.68)</f>
        <v>136.68</v>
      </c>
      <c r="M1939" s="9">
        <f t="shared" ca="1" si="37"/>
        <v>-856.11999999999989</v>
      </c>
      <c r="N1939" s="10">
        <f t="shared" ca="1" si="38"/>
        <v>-86.232876712328761</v>
      </c>
      <c r="O1939" s="7" t="str">
        <f ca="1">IFERROR(__xludf.DUMMYFUNCTION("GOOGLEFINANCE(""NSE:""&amp;D1939,""pe"")"),"#N/A")</f>
        <v>#N/A</v>
      </c>
      <c r="P1939" s="7">
        <f ca="1">IFERROR(__xludf.DUMMYFUNCTION("GOOGLEFINANCE(""NSE:""&amp;D1939,""EPS"")"),-8.95)</f>
        <v>-8.9499999999999993</v>
      </c>
      <c r="Q1939" s="7">
        <v>13.5</v>
      </c>
      <c r="R1939" s="7" t="str">
        <f ca="1">IFERROR(__xludf.DUMMYFUNCTION("IMPORTXML(E1939,""/html/body/main/div[3]/div[3]/div[2]/ul/li[7]/span[2]/span"")"),"Loading...")</f>
        <v>Loading...</v>
      </c>
      <c r="S1939" s="7" t="str">
        <f ca="1">IFERROR(__xludf.DUMMYFUNCTION("IMPORTXML(E1939,""/html/body/main/div[3]/div[3]/div[2]/ul/li[8]/span[2]/span"")"),"Loading...")</f>
        <v>Loading...</v>
      </c>
      <c r="T1939" s="4">
        <v>34.6</v>
      </c>
      <c r="U1939" s="4">
        <v>22.7</v>
      </c>
      <c r="V1939" s="4">
        <v>2.6</v>
      </c>
      <c r="W1939" s="4">
        <v>5.7</v>
      </c>
      <c r="X1939" s="4">
        <v>519.92999999999995</v>
      </c>
      <c r="Y1939" s="7">
        <f t="shared" ca="1" si="39"/>
        <v>-383.24999999999994</v>
      </c>
    </row>
    <row r="1940" spans="1:25" ht="15" x14ac:dyDescent="0.25">
      <c r="A1940" s="4">
        <v>1660</v>
      </c>
      <c r="C1940" s="41" t="s">
        <v>4120</v>
      </c>
      <c r="D1940" s="42"/>
      <c r="E1940" s="5" t="str">
        <f t="shared" si="35"/>
        <v>https://www.screener.in/company//consolidated/</v>
      </c>
      <c r="F1940" s="4">
        <v>443059</v>
      </c>
      <c r="G1940" s="4">
        <v>3832241897</v>
      </c>
      <c r="H1940" s="6" t="e">
        <f t="shared" ca="1" si="36"/>
        <v>#VALUE!</v>
      </c>
      <c r="I1940" s="7" t="str">
        <f ca="1">IFERROR(__xludf.DUMMYFUNCTION("IMPORTXML(E1940,""/html/body/main/div[3]/div[3]/div[2]/ul/li[5]/span[2]/span"")"),"Loading...")</f>
        <v>Loading...</v>
      </c>
      <c r="J1940" s="7" t="str">
        <f ca="1">IFERROR(__xludf.DUMMYFUNCTION("GOOGLEFINANCE(""NSE:""&amp;D1940,""marketcap"")"),"#N/A")</f>
        <v>#N/A</v>
      </c>
      <c r="K1940" s="7">
        <v>992.8</v>
      </c>
      <c r="L1940" s="8" t="str">
        <f ca="1">IFERROR(__xludf.DUMMYFUNCTION("GOOGLEFINANCE(""NSE:""&amp;D1940,""price"")"),"#N/A")</f>
        <v>#N/A</v>
      </c>
      <c r="M1940" s="9" t="e">
        <f t="shared" ca="1" si="37"/>
        <v>#VALUE!</v>
      </c>
      <c r="N1940" s="10" t="e">
        <f t="shared" ca="1" si="38"/>
        <v>#VALUE!</v>
      </c>
      <c r="O1940" s="7" t="str">
        <f ca="1">IFERROR(__xludf.DUMMYFUNCTION("GOOGLEFINANCE(""NSE:""&amp;D1940,""pe"")"),"#N/A")</f>
        <v>#N/A</v>
      </c>
      <c r="P1940" s="7" t="str">
        <f ca="1">IFERROR(__xludf.DUMMYFUNCTION("GOOGLEFINANCE(""NSE:""&amp;D1940,""EPS"")"),"#N/A")</f>
        <v>#N/A</v>
      </c>
      <c r="Q1940" s="7">
        <v>13.5</v>
      </c>
      <c r="R1940" s="7" t="str">
        <f ca="1">IFERROR(__xludf.DUMMYFUNCTION("IMPORTXML(E1940,""/html/body/main/div[3]/div[3]/div[2]/ul/li[7]/span[2]/span"")"),"Loading...")</f>
        <v>Loading...</v>
      </c>
      <c r="S1940" s="7" t="str">
        <f ca="1">IFERROR(__xludf.DUMMYFUNCTION("IMPORTXML(E1940,""/html/body/main/div[3]/div[3]/div[2]/ul/li[8]/span[2]/span"")"),"Loading...")</f>
        <v>Loading...</v>
      </c>
      <c r="T1940" s="4">
        <v>34.6</v>
      </c>
      <c r="U1940" s="4">
        <v>22.7</v>
      </c>
      <c r="V1940" s="4">
        <v>2.6</v>
      </c>
      <c r="W1940" s="4">
        <v>5.7</v>
      </c>
      <c r="X1940" s="4">
        <v>519.92999999999995</v>
      </c>
      <c r="Y1940" s="7" t="e">
        <f t="shared" ca="1" si="39"/>
        <v>#VALUE!</v>
      </c>
    </row>
    <row r="1941" spans="1:25" ht="15" x14ac:dyDescent="0.25">
      <c r="A1941" s="4">
        <v>1662</v>
      </c>
      <c r="C1941" s="41" t="s">
        <v>4121</v>
      </c>
      <c r="D1941" s="42"/>
      <c r="E1941" s="5" t="str">
        <f t="shared" si="35"/>
        <v>https://www.screener.in/company//consolidated/</v>
      </c>
      <c r="F1941" s="4">
        <v>443059</v>
      </c>
      <c r="G1941" s="4">
        <v>3832241897</v>
      </c>
      <c r="H1941" s="6" t="e">
        <f t="shared" ca="1" si="36"/>
        <v>#VALUE!</v>
      </c>
      <c r="I1941" s="7" t="str">
        <f ca="1">IFERROR(__xludf.DUMMYFUNCTION("IMPORTXML(E1941,""/html/body/main/div[3]/div[3]/div[2]/ul/li[5]/span[2]/span"")"),"Loading...")</f>
        <v>Loading...</v>
      </c>
      <c r="J1941" s="7" t="str">
        <f ca="1">IFERROR(__xludf.DUMMYFUNCTION("GOOGLEFINANCE(""NSE:""&amp;D1941,""marketcap"")"),"#N/A")</f>
        <v>#N/A</v>
      </c>
      <c r="K1941" s="7">
        <v>992.8</v>
      </c>
      <c r="L1941" s="8" t="str">
        <f ca="1">IFERROR(__xludf.DUMMYFUNCTION("GOOGLEFINANCE(""NSE:""&amp;D1941,""price"")"),"#N/A")</f>
        <v>#N/A</v>
      </c>
      <c r="M1941" s="9" t="e">
        <f t="shared" ca="1" si="37"/>
        <v>#VALUE!</v>
      </c>
      <c r="N1941" s="10" t="e">
        <f t="shared" ca="1" si="38"/>
        <v>#VALUE!</v>
      </c>
      <c r="O1941" s="7" t="str">
        <f ca="1">IFERROR(__xludf.DUMMYFUNCTION("GOOGLEFINANCE(""NSE:""&amp;D1941,""pe"")"),"#N/A")</f>
        <v>#N/A</v>
      </c>
      <c r="P1941" s="7" t="str">
        <f ca="1">IFERROR(__xludf.DUMMYFUNCTION("GOOGLEFINANCE(""NSE:""&amp;D1941,""EPS"")"),"#N/A")</f>
        <v>#N/A</v>
      </c>
      <c r="Q1941" s="7">
        <v>13.5</v>
      </c>
      <c r="R1941" s="7" t="str">
        <f ca="1">IFERROR(__xludf.DUMMYFUNCTION("IMPORTXML(E1941,""/html/body/main/div[3]/div[3]/div[2]/ul/li[7]/span[2]/span"")"),"Loading...")</f>
        <v>Loading...</v>
      </c>
      <c r="S1941" s="7" t="str">
        <f ca="1">IFERROR(__xludf.DUMMYFUNCTION("IMPORTXML(E1941,""/html/body/main/div[3]/div[3]/div[2]/ul/li[8]/span[2]/span"")"),"Loading...")</f>
        <v>Loading...</v>
      </c>
      <c r="T1941" s="4">
        <v>34.6</v>
      </c>
      <c r="U1941" s="4">
        <v>22.7</v>
      </c>
      <c r="V1941" s="4">
        <v>2.6</v>
      </c>
      <c r="W1941" s="4">
        <v>5.7</v>
      </c>
      <c r="X1941" s="4">
        <v>519.92999999999995</v>
      </c>
      <c r="Y1941" s="7" t="e">
        <f t="shared" ca="1" si="39"/>
        <v>#VALUE!</v>
      </c>
    </row>
    <row r="1942" spans="1:25" ht="15" x14ac:dyDescent="0.25">
      <c r="A1942" s="4">
        <v>1665</v>
      </c>
      <c r="C1942" s="41" t="s">
        <v>4122</v>
      </c>
      <c r="D1942" s="42"/>
      <c r="E1942" s="5" t="str">
        <f t="shared" si="35"/>
        <v>https://www.screener.in/company//consolidated/</v>
      </c>
      <c r="F1942" s="4">
        <v>443059</v>
      </c>
      <c r="G1942" s="4">
        <v>3832241897</v>
      </c>
      <c r="H1942" s="6" t="e">
        <f t="shared" ca="1" si="36"/>
        <v>#VALUE!</v>
      </c>
      <c r="I1942" s="7" t="str">
        <f ca="1">IFERROR(__xludf.DUMMYFUNCTION("IMPORTXML(E1942,""/html/body/main/div[3]/div[3]/div[2]/ul/li[5]/span[2]/span"")"),"Loading...")</f>
        <v>Loading...</v>
      </c>
      <c r="J1942" s="7" t="str">
        <f ca="1">IFERROR(__xludf.DUMMYFUNCTION("GOOGLEFINANCE(""NSE:""&amp;D1942,""marketcap"")"),"#N/A")</f>
        <v>#N/A</v>
      </c>
      <c r="K1942" s="7">
        <v>992.8</v>
      </c>
      <c r="L1942" s="8" t="str">
        <f ca="1">IFERROR(__xludf.DUMMYFUNCTION("GOOGLEFINANCE(""NSE:""&amp;D1942,""price"")"),"#N/A")</f>
        <v>#N/A</v>
      </c>
      <c r="M1942" s="9" t="e">
        <f t="shared" ca="1" si="37"/>
        <v>#VALUE!</v>
      </c>
      <c r="N1942" s="10" t="e">
        <f t="shared" ca="1" si="38"/>
        <v>#VALUE!</v>
      </c>
      <c r="O1942" s="7" t="str">
        <f ca="1">IFERROR(__xludf.DUMMYFUNCTION("GOOGLEFINANCE(""NSE:""&amp;D1942,""pe"")"),"#N/A")</f>
        <v>#N/A</v>
      </c>
      <c r="P1942" s="7" t="str">
        <f ca="1">IFERROR(__xludf.DUMMYFUNCTION("GOOGLEFINANCE(""NSE:""&amp;D1942,""EPS"")"),"#N/A")</f>
        <v>#N/A</v>
      </c>
      <c r="Q1942" s="7">
        <v>13.5</v>
      </c>
      <c r="R1942" s="7" t="str">
        <f ca="1">IFERROR(__xludf.DUMMYFUNCTION("IMPORTXML(E1942,""/html/body/main/div[3]/div[3]/div[2]/ul/li[7]/span[2]/span"")"),"Loading...")</f>
        <v>Loading...</v>
      </c>
      <c r="S1942" s="7" t="str">
        <f ca="1">IFERROR(__xludf.DUMMYFUNCTION("IMPORTXML(E1942,""/html/body/main/div[3]/div[3]/div[2]/ul/li[8]/span[2]/span"")"),"Loading...")</f>
        <v>Loading...</v>
      </c>
      <c r="T1942" s="4">
        <v>34.6</v>
      </c>
      <c r="U1942" s="4">
        <v>22.7</v>
      </c>
      <c r="V1942" s="4">
        <v>2.6</v>
      </c>
      <c r="W1942" s="4">
        <v>5.7</v>
      </c>
      <c r="X1942" s="4">
        <v>519.92999999999995</v>
      </c>
      <c r="Y1942" s="7" t="e">
        <f t="shared" ca="1" si="39"/>
        <v>#VALUE!</v>
      </c>
    </row>
    <row r="1943" spans="1:25" ht="15" x14ac:dyDescent="0.25">
      <c r="A1943" s="4">
        <v>1666</v>
      </c>
      <c r="C1943" s="41" t="s">
        <v>4123</v>
      </c>
      <c r="D1943" s="42"/>
      <c r="E1943" s="5" t="str">
        <f t="shared" si="35"/>
        <v>https://www.screener.in/company//consolidated/</v>
      </c>
      <c r="F1943" s="4">
        <v>443059</v>
      </c>
      <c r="G1943" s="4">
        <v>3832241897</v>
      </c>
      <c r="H1943" s="6" t="e">
        <f t="shared" ca="1" si="36"/>
        <v>#VALUE!</v>
      </c>
      <c r="I1943" s="7" t="str">
        <f ca="1">IFERROR(__xludf.DUMMYFUNCTION("IMPORTXML(E1943,""/html/body/main/div[3]/div[3]/div[2]/ul/li[5]/span[2]/span"")"),"Loading...")</f>
        <v>Loading...</v>
      </c>
      <c r="J1943" s="7" t="str">
        <f ca="1">IFERROR(__xludf.DUMMYFUNCTION("GOOGLEFINANCE(""NSE:""&amp;D1943,""marketcap"")"),"#N/A")</f>
        <v>#N/A</v>
      </c>
      <c r="K1943" s="7">
        <v>992.8</v>
      </c>
      <c r="L1943" s="8" t="str">
        <f ca="1">IFERROR(__xludf.DUMMYFUNCTION("GOOGLEFINANCE(""NSE:""&amp;D1943,""price"")"),"#N/A")</f>
        <v>#N/A</v>
      </c>
      <c r="M1943" s="9" t="e">
        <f t="shared" ca="1" si="37"/>
        <v>#VALUE!</v>
      </c>
      <c r="N1943" s="10" t="e">
        <f t="shared" ca="1" si="38"/>
        <v>#VALUE!</v>
      </c>
      <c r="O1943" s="7" t="str">
        <f ca="1">IFERROR(__xludf.DUMMYFUNCTION("GOOGLEFINANCE(""NSE:""&amp;D1943,""pe"")"),"#N/A")</f>
        <v>#N/A</v>
      </c>
      <c r="P1943" s="7" t="str">
        <f ca="1">IFERROR(__xludf.DUMMYFUNCTION("GOOGLEFINANCE(""NSE:""&amp;D1943,""EPS"")"),"#N/A")</f>
        <v>#N/A</v>
      </c>
      <c r="Q1943" s="7">
        <v>13.5</v>
      </c>
      <c r="R1943" s="7" t="str">
        <f ca="1">IFERROR(__xludf.DUMMYFUNCTION("IMPORTXML(E1943,""/html/body/main/div[3]/div[3]/div[2]/ul/li[7]/span[2]/span"")"),"Loading...")</f>
        <v>Loading...</v>
      </c>
      <c r="S1943" s="7" t="str">
        <f ca="1">IFERROR(__xludf.DUMMYFUNCTION("IMPORTXML(E1943,""/html/body/main/div[3]/div[3]/div[2]/ul/li[8]/span[2]/span"")"),"Loading...")</f>
        <v>Loading...</v>
      </c>
      <c r="T1943" s="4">
        <v>34.6</v>
      </c>
      <c r="U1943" s="4">
        <v>22.7</v>
      </c>
      <c r="V1943" s="4">
        <v>2.6</v>
      </c>
      <c r="W1943" s="4">
        <v>5.7</v>
      </c>
      <c r="X1943" s="4">
        <v>519.92999999999995</v>
      </c>
      <c r="Y1943" s="7" t="e">
        <f t="shared" ca="1" si="39"/>
        <v>#VALUE!</v>
      </c>
    </row>
    <row r="1944" spans="1:25" ht="15" x14ac:dyDescent="0.25">
      <c r="A1944" s="4">
        <v>1669</v>
      </c>
      <c r="C1944" s="12" t="s">
        <v>4124</v>
      </c>
      <c r="D1944" s="37"/>
      <c r="E1944" s="5" t="str">
        <f t="shared" si="35"/>
        <v>https://www.screener.in/company//consolidated/</v>
      </c>
      <c r="F1944" s="4">
        <v>443059</v>
      </c>
      <c r="G1944" s="4">
        <v>3832241897</v>
      </c>
      <c r="H1944" s="6" t="e">
        <f t="shared" ca="1" si="36"/>
        <v>#VALUE!</v>
      </c>
      <c r="I1944" s="7" t="str">
        <f ca="1">IFERROR(__xludf.DUMMYFUNCTION("IMPORTXML(E1944,""/html/body/main/div[3]/div[3]/div[2]/ul/li[5]/span[2]/span"")"),"Loading...")</f>
        <v>Loading...</v>
      </c>
      <c r="J1944" s="7" t="str">
        <f ca="1">IFERROR(__xludf.DUMMYFUNCTION("GOOGLEFINANCE(""NSE:""&amp;D1944,""marketcap"")"),"#N/A")</f>
        <v>#N/A</v>
      </c>
      <c r="K1944" s="7">
        <v>992.8</v>
      </c>
      <c r="L1944" s="8" t="str">
        <f ca="1">IFERROR(__xludf.DUMMYFUNCTION("GOOGLEFINANCE(""NSE:""&amp;D1944,""price"")"),"#N/A")</f>
        <v>#N/A</v>
      </c>
      <c r="M1944" s="9" t="e">
        <f t="shared" ca="1" si="37"/>
        <v>#VALUE!</v>
      </c>
      <c r="N1944" s="10" t="e">
        <f t="shared" ca="1" si="38"/>
        <v>#VALUE!</v>
      </c>
      <c r="O1944" s="7" t="str">
        <f ca="1">IFERROR(__xludf.DUMMYFUNCTION("GOOGLEFINANCE(""NSE:""&amp;D1944,""pe"")"),"#N/A")</f>
        <v>#N/A</v>
      </c>
      <c r="P1944" s="7" t="str">
        <f ca="1">IFERROR(__xludf.DUMMYFUNCTION("GOOGLEFINANCE(""NSE:""&amp;D1944,""EPS"")"),"#N/A")</f>
        <v>#N/A</v>
      </c>
      <c r="Q1944" s="7">
        <v>13.5</v>
      </c>
      <c r="R1944" s="7" t="str">
        <f ca="1">IFERROR(__xludf.DUMMYFUNCTION("IMPORTXML(E1944,""/html/body/main/div[3]/div[3]/div[2]/ul/li[7]/span[2]/span"")"),"Loading...")</f>
        <v>Loading...</v>
      </c>
      <c r="S1944" s="7" t="str">
        <f ca="1">IFERROR(__xludf.DUMMYFUNCTION("IMPORTXML(E1944,""/html/body/main/div[3]/div[3]/div[2]/ul/li[8]/span[2]/span"")"),"Loading...")</f>
        <v>Loading...</v>
      </c>
      <c r="T1944" s="4">
        <v>34.6</v>
      </c>
      <c r="U1944" s="4">
        <v>22.7</v>
      </c>
      <c r="V1944" s="4">
        <v>2.6</v>
      </c>
      <c r="W1944" s="4">
        <v>5.7</v>
      </c>
      <c r="X1944" s="4">
        <v>519.92999999999995</v>
      </c>
      <c r="Y1944" s="7" t="e">
        <f t="shared" ca="1" si="39"/>
        <v>#VALUE!</v>
      </c>
    </row>
    <row r="1945" spans="1:25" ht="15" x14ac:dyDescent="0.25">
      <c r="A1945" s="4">
        <v>1670</v>
      </c>
      <c r="C1945" s="41" t="s">
        <v>4125</v>
      </c>
      <c r="D1945" s="42"/>
      <c r="E1945" s="5" t="str">
        <f t="shared" si="35"/>
        <v>https://www.screener.in/company//consolidated/</v>
      </c>
      <c r="F1945" s="4">
        <v>443059</v>
      </c>
      <c r="G1945" s="4">
        <v>3832241897</v>
      </c>
      <c r="H1945" s="6" t="e">
        <f t="shared" ca="1" si="36"/>
        <v>#VALUE!</v>
      </c>
      <c r="I1945" s="7" t="str">
        <f ca="1">IFERROR(__xludf.DUMMYFUNCTION("IMPORTXML(E1945,""/html/body/main/div[3]/div[3]/div[2]/ul/li[5]/span[2]/span"")"),"Loading...")</f>
        <v>Loading...</v>
      </c>
      <c r="J1945" s="7" t="str">
        <f ca="1">IFERROR(__xludf.DUMMYFUNCTION("GOOGLEFINANCE(""NSE:""&amp;D1945,""marketcap"")"),"#N/A")</f>
        <v>#N/A</v>
      </c>
      <c r="K1945" s="7">
        <v>992.8</v>
      </c>
      <c r="L1945" s="8" t="str">
        <f ca="1">IFERROR(__xludf.DUMMYFUNCTION("GOOGLEFINANCE(""NSE:""&amp;D1945,""price"")"),"#N/A")</f>
        <v>#N/A</v>
      </c>
      <c r="M1945" s="9" t="e">
        <f t="shared" ca="1" si="37"/>
        <v>#VALUE!</v>
      </c>
      <c r="N1945" s="10" t="e">
        <f t="shared" ca="1" si="38"/>
        <v>#VALUE!</v>
      </c>
      <c r="O1945" s="7" t="str">
        <f ca="1">IFERROR(__xludf.DUMMYFUNCTION("GOOGLEFINANCE(""NSE:""&amp;D1945,""pe"")"),"#N/A")</f>
        <v>#N/A</v>
      </c>
      <c r="P1945" s="7" t="str">
        <f ca="1">IFERROR(__xludf.DUMMYFUNCTION("GOOGLEFINANCE(""NSE:""&amp;D1945,""EPS"")"),"#N/A")</f>
        <v>#N/A</v>
      </c>
      <c r="Q1945" s="7">
        <v>13.5</v>
      </c>
      <c r="R1945" s="7" t="str">
        <f ca="1">IFERROR(__xludf.DUMMYFUNCTION("IMPORTXML(E1945,""/html/body/main/div[3]/div[3]/div[2]/ul/li[7]/span[2]/span"")"),"Loading...")</f>
        <v>Loading...</v>
      </c>
      <c r="S1945" s="7" t="str">
        <f ca="1">IFERROR(__xludf.DUMMYFUNCTION("IMPORTXML(E1945,""/html/body/main/div[3]/div[3]/div[2]/ul/li[8]/span[2]/span"")"),"Loading...")</f>
        <v>Loading...</v>
      </c>
      <c r="T1945" s="4">
        <v>34.6</v>
      </c>
      <c r="U1945" s="4">
        <v>22.7</v>
      </c>
      <c r="V1945" s="4">
        <v>2.6</v>
      </c>
      <c r="W1945" s="4">
        <v>5.7</v>
      </c>
      <c r="X1945" s="4">
        <v>519.92999999999995</v>
      </c>
      <c r="Y1945" s="7" t="e">
        <f t="shared" ca="1" si="39"/>
        <v>#VALUE!</v>
      </c>
    </row>
    <row r="1946" spans="1:25" ht="15" x14ac:dyDescent="0.25">
      <c r="A1946" s="4">
        <v>1671</v>
      </c>
      <c r="C1946" s="41" t="s">
        <v>4126</v>
      </c>
      <c r="D1946" s="42"/>
      <c r="E1946" s="5" t="str">
        <f t="shared" si="35"/>
        <v>https://www.screener.in/company//consolidated/</v>
      </c>
      <c r="F1946" s="4">
        <v>443059</v>
      </c>
      <c r="G1946" s="4">
        <v>3832241897</v>
      </c>
      <c r="H1946" s="6" t="e">
        <f t="shared" ca="1" si="36"/>
        <v>#VALUE!</v>
      </c>
      <c r="I1946" s="7" t="str">
        <f ca="1">IFERROR(__xludf.DUMMYFUNCTION("IMPORTXML(E1946,""/html/body/main/div[3]/div[3]/div[2]/ul/li[5]/span[2]/span"")"),"Loading...")</f>
        <v>Loading...</v>
      </c>
      <c r="J1946" s="7" t="str">
        <f ca="1">IFERROR(__xludf.DUMMYFUNCTION("GOOGLEFINANCE(""NSE:""&amp;D1946,""marketcap"")"),"#N/A")</f>
        <v>#N/A</v>
      </c>
      <c r="K1946" s="7">
        <v>992.8</v>
      </c>
      <c r="L1946" s="8" t="str">
        <f ca="1">IFERROR(__xludf.DUMMYFUNCTION("GOOGLEFINANCE(""NSE:""&amp;D1946,""price"")"),"#N/A")</f>
        <v>#N/A</v>
      </c>
      <c r="M1946" s="9" t="e">
        <f t="shared" ca="1" si="37"/>
        <v>#VALUE!</v>
      </c>
      <c r="N1946" s="10" t="e">
        <f t="shared" ca="1" si="38"/>
        <v>#VALUE!</v>
      </c>
      <c r="O1946" s="7" t="str">
        <f ca="1">IFERROR(__xludf.DUMMYFUNCTION("GOOGLEFINANCE(""NSE:""&amp;D1946,""pe"")"),"#N/A")</f>
        <v>#N/A</v>
      </c>
      <c r="P1946" s="7" t="str">
        <f ca="1">IFERROR(__xludf.DUMMYFUNCTION("GOOGLEFINANCE(""NSE:""&amp;D1946,""EPS"")"),"#N/A")</f>
        <v>#N/A</v>
      </c>
      <c r="Q1946" s="7">
        <v>13.5</v>
      </c>
      <c r="R1946" s="7" t="str">
        <f ca="1">IFERROR(__xludf.DUMMYFUNCTION("IMPORTXML(E1946,""/html/body/main/div[3]/div[3]/div[2]/ul/li[7]/span[2]/span"")"),"Loading...")</f>
        <v>Loading...</v>
      </c>
      <c r="S1946" s="7" t="str">
        <f ca="1">IFERROR(__xludf.DUMMYFUNCTION("IMPORTXML(E1946,""/html/body/main/div[3]/div[3]/div[2]/ul/li[8]/span[2]/span"")"),"Loading...")</f>
        <v>Loading...</v>
      </c>
      <c r="T1946" s="4">
        <v>34.6</v>
      </c>
      <c r="U1946" s="4">
        <v>22.7</v>
      </c>
      <c r="V1946" s="4">
        <v>2.6</v>
      </c>
      <c r="W1946" s="4">
        <v>5.7</v>
      </c>
      <c r="X1946" s="4">
        <v>519.92999999999995</v>
      </c>
      <c r="Y1946" s="7" t="e">
        <f t="shared" ca="1" si="39"/>
        <v>#VALUE!</v>
      </c>
    </row>
    <row r="1947" spans="1:25" ht="15" x14ac:dyDescent="0.25">
      <c r="A1947" s="4">
        <v>1672</v>
      </c>
      <c r="C1947" s="41" t="s">
        <v>4127</v>
      </c>
      <c r="D1947" s="42"/>
      <c r="E1947" s="5" t="str">
        <f t="shared" si="35"/>
        <v>https://www.screener.in/company//consolidated/</v>
      </c>
      <c r="F1947" s="4">
        <v>443059</v>
      </c>
      <c r="G1947" s="4">
        <v>3832241897</v>
      </c>
      <c r="H1947" s="6" t="e">
        <f t="shared" ca="1" si="36"/>
        <v>#VALUE!</v>
      </c>
      <c r="I1947" s="7" t="str">
        <f ca="1">IFERROR(__xludf.DUMMYFUNCTION("IMPORTXML(E1947,""/html/body/main/div[3]/div[3]/div[2]/ul/li[5]/span[2]/span"")"),"Loading...")</f>
        <v>Loading...</v>
      </c>
      <c r="J1947" s="7" t="str">
        <f ca="1">IFERROR(__xludf.DUMMYFUNCTION("GOOGLEFINANCE(""NSE:""&amp;D1947,""marketcap"")"),"#N/A")</f>
        <v>#N/A</v>
      </c>
      <c r="K1947" s="7">
        <v>992.8</v>
      </c>
      <c r="L1947" s="8" t="str">
        <f ca="1">IFERROR(__xludf.DUMMYFUNCTION("GOOGLEFINANCE(""NSE:""&amp;D1947,""price"")"),"#N/A")</f>
        <v>#N/A</v>
      </c>
      <c r="M1947" s="9" t="e">
        <f t="shared" ca="1" si="37"/>
        <v>#VALUE!</v>
      </c>
      <c r="N1947" s="10" t="e">
        <f t="shared" ca="1" si="38"/>
        <v>#VALUE!</v>
      </c>
      <c r="O1947" s="7" t="str">
        <f ca="1">IFERROR(__xludf.DUMMYFUNCTION("GOOGLEFINANCE(""NSE:""&amp;D1947,""pe"")"),"#N/A")</f>
        <v>#N/A</v>
      </c>
      <c r="P1947" s="7" t="str">
        <f ca="1">IFERROR(__xludf.DUMMYFUNCTION("GOOGLEFINANCE(""NSE:""&amp;D1947,""EPS"")"),"#N/A")</f>
        <v>#N/A</v>
      </c>
      <c r="Q1947" s="7">
        <v>13.5</v>
      </c>
      <c r="R1947" s="7" t="str">
        <f ca="1">IFERROR(__xludf.DUMMYFUNCTION("IMPORTXML(E1947,""/html/body/main/div[3]/div[3]/div[2]/ul/li[7]/span[2]/span"")"),"Loading...")</f>
        <v>Loading...</v>
      </c>
      <c r="S1947" s="7" t="str">
        <f ca="1">IFERROR(__xludf.DUMMYFUNCTION("IMPORTXML(E1947,""/html/body/main/div[3]/div[3]/div[2]/ul/li[8]/span[2]/span"")"),"Loading...")</f>
        <v>Loading...</v>
      </c>
      <c r="T1947" s="4">
        <v>34.6</v>
      </c>
      <c r="U1947" s="4">
        <v>22.7</v>
      </c>
      <c r="V1947" s="4">
        <v>2.6</v>
      </c>
      <c r="W1947" s="4">
        <v>5.7</v>
      </c>
      <c r="X1947" s="4">
        <v>519.92999999999995</v>
      </c>
      <c r="Y1947" s="7" t="e">
        <f t="shared" ca="1" si="39"/>
        <v>#VALUE!</v>
      </c>
    </row>
    <row r="1948" spans="1:25" ht="15" x14ac:dyDescent="0.25">
      <c r="A1948" s="4">
        <v>1674</v>
      </c>
      <c r="C1948" s="41" t="s">
        <v>4128</v>
      </c>
      <c r="D1948" s="42"/>
      <c r="E1948" s="5" t="str">
        <f t="shared" ref="E1948:E2202" si="40">"https://www.screener.in/company/"&amp; D1948&amp;"/consolidated/"</f>
        <v>https://www.screener.in/company//consolidated/</v>
      </c>
      <c r="F1948" s="4">
        <v>443059</v>
      </c>
      <c r="G1948" s="4">
        <v>3832241897</v>
      </c>
      <c r="H1948" s="6" t="e">
        <f t="shared" ref="H1948:H2202" ca="1" si="41">(G1948*L1948)/10^7</f>
        <v>#VALUE!</v>
      </c>
      <c r="I1948" s="7" t="str">
        <f ca="1">IFERROR(__xludf.DUMMYFUNCTION("IMPORTXML(E1948,""/html/body/main/div[3]/div[3]/div[2]/ul/li[5]/span[2]/span"")"),"Loading...")</f>
        <v>Loading...</v>
      </c>
      <c r="J1948" s="7" t="str">
        <f ca="1">IFERROR(__xludf.DUMMYFUNCTION("GOOGLEFINANCE(""NSE:""&amp;D1948,""marketcap"")"),"#N/A")</f>
        <v>#N/A</v>
      </c>
      <c r="K1948" s="7">
        <v>992.8</v>
      </c>
      <c r="L1948" s="8" t="str">
        <f ca="1">IFERROR(__xludf.DUMMYFUNCTION("GOOGLEFINANCE(""NSE:""&amp;D1948,""price"")"),"#N/A")</f>
        <v>#N/A</v>
      </c>
      <c r="M1948" s="9" t="e">
        <f t="shared" ref="M1948:M2202" ca="1" si="42">L1948-K1948</f>
        <v>#VALUE!</v>
      </c>
      <c r="N1948" s="10" t="e">
        <f t="shared" ref="N1948:N2202" ca="1" si="43">(M1948/K1948)*100</f>
        <v>#VALUE!</v>
      </c>
      <c r="O1948" s="7" t="str">
        <f ca="1">IFERROR(__xludf.DUMMYFUNCTION("GOOGLEFINANCE(""NSE:""&amp;D1948,""pe"")"),"#N/A")</f>
        <v>#N/A</v>
      </c>
      <c r="P1948" s="7" t="str">
        <f ca="1">IFERROR(__xludf.DUMMYFUNCTION("GOOGLEFINANCE(""NSE:""&amp;D1948,""EPS"")"),"#N/A")</f>
        <v>#N/A</v>
      </c>
      <c r="Q1948" s="7">
        <v>13.5</v>
      </c>
      <c r="R1948" s="7" t="str">
        <f ca="1">IFERROR(__xludf.DUMMYFUNCTION("IMPORTXML(E1948,""/html/body/main/div[3]/div[3]/div[2]/ul/li[7]/span[2]/span"")"),"Loading...")</f>
        <v>Loading...</v>
      </c>
      <c r="S1948" s="7" t="str">
        <f ca="1">IFERROR(__xludf.DUMMYFUNCTION("IMPORTXML(E1948,""/html/body/main/div[3]/div[3]/div[2]/ul/li[8]/span[2]/span"")"),"Loading...")</f>
        <v>Loading...</v>
      </c>
      <c r="T1948" s="4">
        <v>34.6</v>
      </c>
      <c r="U1948" s="4">
        <v>22.7</v>
      </c>
      <c r="V1948" s="4">
        <v>2.6</v>
      </c>
      <c r="W1948" s="4">
        <v>5.7</v>
      </c>
      <c r="X1948" s="4">
        <v>519.92999999999995</v>
      </c>
      <c r="Y1948" s="7" t="e">
        <f t="shared" ref="Y1948:Y2202" ca="1" si="44">L1948-X1948</f>
        <v>#VALUE!</v>
      </c>
    </row>
    <row r="1949" spans="1:25" ht="15" x14ac:dyDescent="0.25">
      <c r="A1949" s="4">
        <v>1676</v>
      </c>
      <c r="C1949" s="41" t="s">
        <v>4129</v>
      </c>
      <c r="D1949" s="42"/>
      <c r="E1949" s="5" t="str">
        <f t="shared" si="40"/>
        <v>https://www.screener.in/company//consolidated/</v>
      </c>
      <c r="F1949" s="4">
        <v>443059</v>
      </c>
      <c r="G1949" s="4">
        <v>3832241897</v>
      </c>
      <c r="H1949" s="6" t="e">
        <f t="shared" ca="1" si="41"/>
        <v>#VALUE!</v>
      </c>
      <c r="I1949" s="7" t="str">
        <f ca="1">IFERROR(__xludf.DUMMYFUNCTION("IMPORTXML(E1949,""/html/body/main/div[3]/div[3]/div[2]/ul/li[5]/span[2]/span"")"),"Loading...")</f>
        <v>Loading...</v>
      </c>
      <c r="J1949" s="7" t="str">
        <f ca="1">IFERROR(__xludf.DUMMYFUNCTION("GOOGLEFINANCE(""NSE:""&amp;D1949,""marketcap"")"),"#N/A")</f>
        <v>#N/A</v>
      </c>
      <c r="K1949" s="7">
        <v>992.8</v>
      </c>
      <c r="L1949" s="8" t="str">
        <f ca="1">IFERROR(__xludf.DUMMYFUNCTION("GOOGLEFINANCE(""NSE:""&amp;D1949,""price"")"),"#N/A")</f>
        <v>#N/A</v>
      </c>
      <c r="M1949" s="9" t="e">
        <f t="shared" ca="1" si="42"/>
        <v>#VALUE!</v>
      </c>
      <c r="N1949" s="10" t="e">
        <f t="shared" ca="1" si="43"/>
        <v>#VALUE!</v>
      </c>
      <c r="O1949" s="7" t="str">
        <f ca="1">IFERROR(__xludf.DUMMYFUNCTION("GOOGLEFINANCE(""NSE:""&amp;D1949,""pe"")"),"#N/A")</f>
        <v>#N/A</v>
      </c>
      <c r="P1949" s="7" t="str">
        <f ca="1">IFERROR(__xludf.DUMMYFUNCTION("GOOGLEFINANCE(""NSE:""&amp;D1949,""EPS"")"),"#N/A")</f>
        <v>#N/A</v>
      </c>
      <c r="Q1949" s="7">
        <v>13.5</v>
      </c>
      <c r="R1949" s="7" t="str">
        <f ca="1">IFERROR(__xludf.DUMMYFUNCTION("IMPORTXML(E1949,""/html/body/main/div[3]/div[3]/div[2]/ul/li[7]/span[2]/span"")"),"Loading...")</f>
        <v>Loading...</v>
      </c>
      <c r="S1949" s="7" t="str">
        <f ca="1">IFERROR(__xludf.DUMMYFUNCTION("IMPORTXML(E1949,""/html/body/main/div[3]/div[3]/div[2]/ul/li[8]/span[2]/span"")"),"Loading...")</f>
        <v>Loading...</v>
      </c>
      <c r="T1949" s="4">
        <v>34.6</v>
      </c>
      <c r="U1949" s="4">
        <v>22.7</v>
      </c>
      <c r="V1949" s="4">
        <v>2.6</v>
      </c>
      <c r="W1949" s="4">
        <v>5.7</v>
      </c>
      <c r="X1949" s="4">
        <v>519.92999999999995</v>
      </c>
      <c r="Y1949" s="7" t="e">
        <f t="shared" ca="1" si="44"/>
        <v>#VALUE!</v>
      </c>
    </row>
    <row r="1950" spans="1:25" ht="15" x14ac:dyDescent="0.25">
      <c r="A1950" s="4">
        <v>1677</v>
      </c>
      <c r="C1950" s="12" t="s">
        <v>4130</v>
      </c>
      <c r="D1950" s="12" t="s">
        <v>4131</v>
      </c>
      <c r="E1950" s="5" t="str">
        <f t="shared" si="40"/>
        <v>https://www.screener.in/company/GLOBALVECT/consolidated/</v>
      </c>
      <c r="F1950" s="4">
        <v>443059</v>
      </c>
      <c r="G1950" s="4">
        <v>3832241897</v>
      </c>
      <c r="H1950" s="6">
        <f t="shared" ca="1" si="41"/>
        <v>79710.6314576</v>
      </c>
      <c r="I1950" s="7" t="str">
        <f ca="1">IFERROR(__xludf.DUMMYFUNCTION("IMPORTXML(E1950,""/html/body/main/div[3]/div[3]/div[2]/ul/li[5]/span[2]/span"")"),"Loading...")</f>
        <v>Loading...</v>
      </c>
      <c r="J1950" s="7">
        <f ca="1">IFERROR(__xludf.DUMMYFUNCTION("GOOGLEFINANCE(""NSE:""&amp;D1950,""marketcap"")"),2912000000)</f>
        <v>2912000000</v>
      </c>
      <c r="K1950" s="7">
        <v>992.8</v>
      </c>
      <c r="L1950" s="8">
        <f ca="1">IFERROR(__xludf.DUMMYFUNCTION("GOOGLEFINANCE(""NSE:""&amp;D1950,""price"")"),208)</f>
        <v>208</v>
      </c>
      <c r="M1950" s="9">
        <f t="shared" ca="1" si="42"/>
        <v>-784.8</v>
      </c>
      <c r="N1950" s="10">
        <f t="shared" ca="1" si="43"/>
        <v>-79.049153908138592</v>
      </c>
      <c r="O1950" s="7" t="str">
        <f ca="1">IFERROR(__xludf.DUMMYFUNCTION("GOOGLEFINANCE(""NSE:""&amp;D1950,""pe"")"),"#N/A")</f>
        <v>#N/A</v>
      </c>
      <c r="P1950" s="7">
        <f ca="1">IFERROR(__xludf.DUMMYFUNCTION("GOOGLEFINANCE(""NSE:""&amp;D1950,""EPS"")"),-2.64)</f>
        <v>-2.64</v>
      </c>
      <c r="Q1950" s="7">
        <v>13.5</v>
      </c>
      <c r="R1950" s="7" t="str">
        <f ca="1">IFERROR(__xludf.DUMMYFUNCTION("IMPORTXML(E1950,""/html/body/main/div[3]/div[3]/div[2]/ul/li[7]/span[2]/span"")"),"Loading...")</f>
        <v>Loading...</v>
      </c>
      <c r="S1950" s="7" t="str">
        <f ca="1">IFERROR(__xludf.DUMMYFUNCTION("IMPORTXML(E1950,""/html/body/main/div[3]/div[3]/div[2]/ul/li[8]/span[2]/span"")"),"Loading...")</f>
        <v>Loading...</v>
      </c>
      <c r="T1950" s="4">
        <v>34.6</v>
      </c>
      <c r="U1950" s="4">
        <v>22.7</v>
      </c>
      <c r="V1950" s="4">
        <v>2.6</v>
      </c>
      <c r="W1950" s="4">
        <v>5.7</v>
      </c>
      <c r="X1950" s="4">
        <v>519.92999999999995</v>
      </c>
      <c r="Y1950" s="7">
        <f t="shared" ca="1" si="44"/>
        <v>-311.92999999999995</v>
      </c>
    </row>
    <row r="1951" spans="1:25" ht="15" x14ac:dyDescent="0.25">
      <c r="A1951" s="4">
        <v>1681</v>
      </c>
      <c r="C1951" s="41" t="s">
        <v>4132</v>
      </c>
      <c r="D1951" s="42"/>
      <c r="E1951" s="5" t="str">
        <f t="shared" si="40"/>
        <v>https://www.screener.in/company//consolidated/</v>
      </c>
      <c r="F1951" s="4">
        <v>443059</v>
      </c>
      <c r="G1951" s="4">
        <v>3832241897</v>
      </c>
      <c r="H1951" s="6" t="e">
        <f t="shared" ca="1" si="41"/>
        <v>#VALUE!</v>
      </c>
      <c r="I1951" s="7" t="str">
        <f ca="1">IFERROR(__xludf.DUMMYFUNCTION("IMPORTXML(E1951,""/html/body/main/div[3]/div[3]/div[2]/ul/li[5]/span[2]/span"")"),"Loading...")</f>
        <v>Loading...</v>
      </c>
      <c r="J1951" s="7" t="str">
        <f ca="1">IFERROR(__xludf.DUMMYFUNCTION("GOOGLEFINANCE(""NSE:""&amp;D1951,""marketcap"")"),"#N/A")</f>
        <v>#N/A</v>
      </c>
      <c r="K1951" s="7">
        <v>992.8</v>
      </c>
      <c r="L1951" s="8" t="str">
        <f ca="1">IFERROR(__xludf.DUMMYFUNCTION("GOOGLEFINANCE(""NSE:""&amp;D1951,""price"")"),"#N/A")</f>
        <v>#N/A</v>
      </c>
      <c r="M1951" s="9" t="e">
        <f t="shared" ca="1" si="42"/>
        <v>#VALUE!</v>
      </c>
      <c r="N1951" s="10" t="e">
        <f t="shared" ca="1" si="43"/>
        <v>#VALUE!</v>
      </c>
      <c r="O1951" s="7" t="str">
        <f ca="1">IFERROR(__xludf.DUMMYFUNCTION("GOOGLEFINANCE(""NSE:""&amp;D1951,""pe"")"),"#N/A")</f>
        <v>#N/A</v>
      </c>
      <c r="P1951" s="7" t="str">
        <f ca="1">IFERROR(__xludf.DUMMYFUNCTION("GOOGLEFINANCE(""NSE:""&amp;D1951,""EPS"")"),"#N/A")</f>
        <v>#N/A</v>
      </c>
      <c r="Q1951" s="7">
        <v>13.5</v>
      </c>
      <c r="R1951" s="7" t="str">
        <f ca="1">IFERROR(__xludf.DUMMYFUNCTION("IMPORTXML(E1951,""/html/body/main/div[3]/div[3]/div[2]/ul/li[7]/span[2]/span"")"),"Loading...")</f>
        <v>Loading...</v>
      </c>
      <c r="S1951" s="7" t="str">
        <f ca="1">IFERROR(__xludf.DUMMYFUNCTION("IMPORTXML(E1951,""/html/body/main/div[3]/div[3]/div[2]/ul/li[8]/span[2]/span"")"),"Loading...")</f>
        <v>Loading...</v>
      </c>
      <c r="T1951" s="4">
        <v>34.6</v>
      </c>
      <c r="U1951" s="4">
        <v>22.7</v>
      </c>
      <c r="V1951" s="4">
        <v>2.6</v>
      </c>
      <c r="W1951" s="4">
        <v>5.7</v>
      </c>
      <c r="X1951" s="4">
        <v>519.92999999999995</v>
      </c>
      <c r="Y1951" s="7" t="e">
        <f t="shared" ca="1" si="44"/>
        <v>#VALUE!</v>
      </c>
    </row>
    <row r="1952" spans="1:25" ht="15" x14ac:dyDescent="0.25">
      <c r="A1952" s="4">
        <v>1683</v>
      </c>
      <c r="C1952" s="41" t="s">
        <v>4133</v>
      </c>
      <c r="D1952" s="42"/>
      <c r="E1952" s="5" t="str">
        <f t="shared" si="40"/>
        <v>https://www.screener.in/company//consolidated/</v>
      </c>
      <c r="F1952" s="4">
        <v>443059</v>
      </c>
      <c r="G1952" s="4">
        <v>3832241897</v>
      </c>
      <c r="H1952" s="6" t="e">
        <f t="shared" ca="1" si="41"/>
        <v>#VALUE!</v>
      </c>
      <c r="I1952" s="7" t="str">
        <f ca="1">IFERROR(__xludf.DUMMYFUNCTION("IMPORTXML(E1952,""/html/body/main/div[3]/div[3]/div[2]/ul/li[5]/span[2]/span"")"),"Loading...")</f>
        <v>Loading...</v>
      </c>
      <c r="J1952" s="7" t="str">
        <f ca="1">IFERROR(__xludf.DUMMYFUNCTION("GOOGLEFINANCE(""NSE:""&amp;D1952,""marketcap"")"),"#N/A")</f>
        <v>#N/A</v>
      </c>
      <c r="K1952" s="7">
        <v>992.8</v>
      </c>
      <c r="L1952" s="8" t="str">
        <f ca="1">IFERROR(__xludf.DUMMYFUNCTION("GOOGLEFINANCE(""NSE:""&amp;D1952,""price"")"),"#N/A")</f>
        <v>#N/A</v>
      </c>
      <c r="M1952" s="9" t="e">
        <f t="shared" ca="1" si="42"/>
        <v>#VALUE!</v>
      </c>
      <c r="N1952" s="10" t="e">
        <f t="shared" ca="1" si="43"/>
        <v>#VALUE!</v>
      </c>
      <c r="O1952" s="7" t="str">
        <f ca="1">IFERROR(__xludf.DUMMYFUNCTION("GOOGLEFINANCE(""NSE:""&amp;D1952,""pe"")"),"#N/A")</f>
        <v>#N/A</v>
      </c>
      <c r="P1952" s="7" t="str">
        <f ca="1">IFERROR(__xludf.DUMMYFUNCTION("GOOGLEFINANCE(""NSE:""&amp;D1952,""EPS"")"),"#N/A")</f>
        <v>#N/A</v>
      </c>
      <c r="Q1952" s="7">
        <v>13.5</v>
      </c>
      <c r="R1952" s="7" t="str">
        <f ca="1">IFERROR(__xludf.DUMMYFUNCTION("IMPORTXML(E1952,""/html/body/main/div[3]/div[3]/div[2]/ul/li[7]/span[2]/span"")"),"Loading...")</f>
        <v>Loading...</v>
      </c>
      <c r="S1952" s="7" t="str">
        <f ca="1">IFERROR(__xludf.DUMMYFUNCTION("IMPORTXML(E1952,""/html/body/main/div[3]/div[3]/div[2]/ul/li[8]/span[2]/span"")"),"Loading...")</f>
        <v>Loading...</v>
      </c>
      <c r="T1952" s="4">
        <v>34.6</v>
      </c>
      <c r="U1952" s="4">
        <v>22.7</v>
      </c>
      <c r="V1952" s="4">
        <v>2.6</v>
      </c>
      <c r="W1952" s="4">
        <v>5.7</v>
      </c>
      <c r="X1952" s="4">
        <v>519.92999999999995</v>
      </c>
      <c r="Y1952" s="7" t="e">
        <f t="shared" ca="1" si="44"/>
        <v>#VALUE!</v>
      </c>
    </row>
    <row r="1953" spans="1:25" ht="15" x14ac:dyDescent="0.25">
      <c r="A1953" s="4">
        <v>1684</v>
      </c>
      <c r="C1953" s="41" t="s">
        <v>4134</v>
      </c>
      <c r="D1953" s="42"/>
      <c r="E1953" s="5" t="str">
        <f t="shared" si="40"/>
        <v>https://www.screener.in/company//consolidated/</v>
      </c>
      <c r="F1953" s="4">
        <v>443059</v>
      </c>
      <c r="G1953" s="4">
        <v>3832241897</v>
      </c>
      <c r="H1953" s="6" t="e">
        <f t="shared" ca="1" si="41"/>
        <v>#VALUE!</v>
      </c>
      <c r="I1953" s="7" t="str">
        <f ca="1">IFERROR(__xludf.DUMMYFUNCTION("IMPORTXML(E1953,""/html/body/main/div[3]/div[3]/div[2]/ul/li[5]/span[2]/span"")"),"Loading...")</f>
        <v>Loading...</v>
      </c>
      <c r="J1953" s="7" t="str">
        <f ca="1">IFERROR(__xludf.DUMMYFUNCTION("GOOGLEFINANCE(""NSE:""&amp;D1953,""marketcap"")"),"#N/A")</f>
        <v>#N/A</v>
      </c>
      <c r="K1953" s="7">
        <v>992.8</v>
      </c>
      <c r="L1953" s="8" t="str">
        <f ca="1">IFERROR(__xludf.DUMMYFUNCTION("GOOGLEFINANCE(""NSE:""&amp;D1953,""price"")"),"#N/A")</f>
        <v>#N/A</v>
      </c>
      <c r="M1953" s="9" t="e">
        <f t="shared" ca="1" si="42"/>
        <v>#VALUE!</v>
      </c>
      <c r="N1953" s="10" t="e">
        <f t="shared" ca="1" si="43"/>
        <v>#VALUE!</v>
      </c>
      <c r="O1953" s="7" t="str">
        <f ca="1">IFERROR(__xludf.DUMMYFUNCTION("GOOGLEFINANCE(""NSE:""&amp;D1953,""pe"")"),"#N/A")</f>
        <v>#N/A</v>
      </c>
      <c r="P1953" s="7" t="str">
        <f ca="1">IFERROR(__xludf.DUMMYFUNCTION("GOOGLEFINANCE(""NSE:""&amp;D1953,""EPS"")"),"#N/A")</f>
        <v>#N/A</v>
      </c>
      <c r="Q1953" s="7">
        <v>13.5</v>
      </c>
      <c r="R1953" s="7" t="str">
        <f ca="1">IFERROR(__xludf.DUMMYFUNCTION("IMPORTXML(E1953,""/html/body/main/div[3]/div[3]/div[2]/ul/li[7]/span[2]/span"")"),"Loading...")</f>
        <v>Loading...</v>
      </c>
      <c r="S1953" s="7" t="str">
        <f ca="1">IFERROR(__xludf.DUMMYFUNCTION("IMPORTXML(E1953,""/html/body/main/div[3]/div[3]/div[2]/ul/li[8]/span[2]/span"")"),"Loading...")</f>
        <v>Loading...</v>
      </c>
      <c r="T1953" s="4">
        <v>34.6</v>
      </c>
      <c r="U1953" s="4">
        <v>22.7</v>
      </c>
      <c r="V1953" s="4">
        <v>2.6</v>
      </c>
      <c r="W1953" s="4">
        <v>5.7</v>
      </c>
      <c r="X1953" s="4">
        <v>519.92999999999995</v>
      </c>
      <c r="Y1953" s="7" t="e">
        <f t="shared" ca="1" si="44"/>
        <v>#VALUE!</v>
      </c>
    </row>
    <row r="1954" spans="1:25" ht="15" x14ac:dyDescent="0.25">
      <c r="A1954" s="4">
        <v>1685</v>
      </c>
      <c r="C1954" s="41" t="s">
        <v>4135</v>
      </c>
      <c r="D1954" s="42"/>
      <c r="E1954" s="5" t="str">
        <f t="shared" si="40"/>
        <v>https://www.screener.in/company//consolidated/</v>
      </c>
      <c r="F1954" s="4">
        <v>443059</v>
      </c>
      <c r="G1954" s="4">
        <v>3832241897</v>
      </c>
      <c r="H1954" s="6" t="e">
        <f t="shared" ca="1" si="41"/>
        <v>#VALUE!</v>
      </c>
      <c r="I1954" s="7" t="str">
        <f ca="1">IFERROR(__xludf.DUMMYFUNCTION("IMPORTXML(E1954,""/html/body/main/div[3]/div[3]/div[2]/ul/li[5]/span[2]/span"")"),"Loading...")</f>
        <v>Loading...</v>
      </c>
      <c r="J1954" s="7" t="str">
        <f ca="1">IFERROR(__xludf.DUMMYFUNCTION("GOOGLEFINANCE(""NSE:""&amp;D1954,""marketcap"")"),"#N/A")</f>
        <v>#N/A</v>
      </c>
      <c r="K1954" s="7">
        <v>992.8</v>
      </c>
      <c r="L1954" s="8" t="str">
        <f ca="1">IFERROR(__xludf.DUMMYFUNCTION("GOOGLEFINANCE(""NSE:""&amp;D1954,""price"")"),"#N/A")</f>
        <v>#N/A</v>
      </c>
      <c r="M1954" s="9" t="e">
        <f t="shared" ca="1" si="42"/>
        <v>#VALUE!</v>
      </c>
      <c r="N1954" s="10" t="e">
        <f t="shared" ca="1" si="43"/>
        <v>#VALUE!</v>
      </c>
      <c r="O1954" s="7" t="str">
        <f ca="1">IFERROR(__xludf.DUMMYFUNCTION("GOOGLEFINANCE(""NSE:""&amp;D1954,""pe"")"),"#N/A")</f>
        <v>#N/A</v>
      </c>
      <c r="P1954" s="7" t="str">
        <f ca="1">IFERROR(__xludf.DUMMYFUNCTION("GOOGLEFINANCE(""NSE:""&amp;D1954,""EPS"")"),"#N/A")</f>
        <v>#N/A</v>
      </c>
      <c r="Q1954" s="7">
        <v>13.5</v>
      </c>
      <c r="R1954" s="7" t="str">
        <f ca="1">IFERROR(__xludf.DUMMYFUNCTION("IMPORTXML(E1954,""/html/body/main/div[3]/div[3]/div[2]/ul/li[7]/span[2]/span"")"),"Loading...")</f>
        <v>Loading...</v>
      </c>
      <c r="S1954" s="7" t="str">
        <f ca="1">IFERROR(__xludf.DUMMYFUNCTION("IMPORTXML(E1954,""/html/body/main/div[3]/div[3]/div[2]/ul/li[8]/span[2]/span"")"),"Loading...")</f>
        <v>Loading...</v>
      </c>
      <c r="T1954" s="4">
        <v>34.6</v>
      </c>
      <c r="U1954" s="4">
        <v>22.7</v>
      </c>
      <c r="V1954" s="4">
        <v>2.6</v>
      </c>
      <c r="W1954" s="4">
        <v>5.7</v>
      </c>
      <c r="X1954" s="4">
        <v>519.92999999999995</v>
      </c>
      <c r="Y1954" s="7" t="e">
        <f t="shared" ca="1" si="44"/>
        <v>#VALUE!</v>
      </c>
    </row>
    <row r="1955" spans="1:25" ht="15" x14ac:dyDescent="0.25">
      <c r="A1955" s="4">
        <v>1687</v>
      </c>
      <c r="C1955" s="41" t="s">
        <v>4136</v>
      </c>
      <c r="D1955" s="42"/>
      <c r="E1955" s="5" t="str">
        <f t="shared" si="40"/>
        <v>https://www.screener.in/company//consolidated/</v>
      </c>
      <c r="F1955" s="4">
        <v>443059</v>
      </c>
      <c r="G1955" s="4">
        <v>3832241897</v>
      </c>
      <c r="H1955" s="6" t="e">
        <f t="shared" ca="1" si="41"/>
        <v>#VALUE!</v>
      </c>
      <c r="I1955" s="7" t="str">
        <f ca="1">IFERROR(__xludf.DUMMYFUNCTION("IMPORTXML(E1955,""/html/body/main/div[3]/div[3]/div[2]/ul/li[5]/span[2]/span"")"),"Loading...")</f>
        <v>Loading...</v>
      </c>
      <c r="J1955" s="7" t="str">
        <f ca="1">IFERROR(__xludf.DUMMYFUNCTION("GOOGLEFINANCE(""NSE:""&amp;D1955,""marketcap"")"),"#N/A")</f>
        <v>#N/A</v>
      </c>
      <c r="K1955" s="7">
        <v>992.8</v>
      </c>
      <c r="L1955" s="8" t="str">
        <f ca="1">IFERROR(__xludf.DUMMYFUNCTION("GOOGLEFINANCE(""NSE:""&amp;D1955,""price"")"),"#N/A")</f>
        <v>#N/A</v>
      </c>
      <c r="M1955" s="9" t="e">
        <f t="shared" ca="1" si="42"/>
        <v>#VALUE!</v>
      </c>
      <c r="N1955" s="10" t="e">
        <f t="shared" ca="1" si="43"/>
        <v>#VALUE!</v>
      </c>
      <c r="O1955" s="7" t="str">
        <f ca="1">IFERROR(__xludf.DUMMYFUNCTION("GOOGLEFINANCE(""NSE:""&amp;D1955,""pe"")"),"#N/A")</f>
        <v>#N/A</v>
      </c>
      <c r="P1955" s="7" t="str">
        <f ca="1">IFERROR(__xludf.DUMMYFUNCTION("GOOGLEFINANCE(""NSE:""&amp;D1955,""EPS"")"),"#N/A")</f>
        <v>#N/A</v>
      </c>
      <c r="Q1955" s="7">
        <v>13.5</v>
      </c>
      <c r="R1955" s="7" t="str">
        <f ca="1">IFERROR(__xludf.DUMMYFUNCTION("IMPORTXML(E1955,""/html/body/main/div[3]/div[3]/div[2]/ul/li[7]/span[2]/span"")"),"Loading...")</f>
        <v>Loading...</v>
      </c>
      <c r="S1955" s="7" t="str">
        <f ca="1">IFERROR(__xludf.DUMMYFUNCTION("IMPORTXML(E1955,""/html/body/main/div[3]/div[3]/div[2]/ul/li[8]/span[2]/span"")"),"Loading...")</f>
        <v>Loading...</v>
      </c>
      <c r="T1955" s="4">
        <v>34.6</v>
      </c>
      <c r="U1955" s="4">
        <v>22.7</v>
      </c>
      <c r="V1955" s="4">
        <v>2.6</v>
      </c>
      <c r="W1955" s="4">
        <v>5.7</v>
      </c>
      <c r="X1955" s="4">
        <v>519.92999999999995</v>
      </c>
      <c r="Y1955" s="7" t="e">
        <f t="shared" ca="1" si="44"/>
        <v>#VALUE!</v>
      </c>
    </row>
    <row r="1956" spans="1:25" ht="15" x14ac:dyDescent="0.25">
      <c r="A1956" s="4">
        <v>1689</v>
      </c>
      <c r="C1956" s="41" t="s">
        <v>4137</v>
      </c>
      <c r="D1956" s="42"/>
      <c r="E1956" s="5" t="str">
        <f t="shared" si="40"/>
        <v>https://www.screener.in/company//consolidated/</v>
      </c>
      <c r="F1956" s="4">
        <v>443059</v>
      </c>
      <c r="G1956" s="4">
        <v>3832241897</v>
      </c>
      <c r="H1956" s="6" t="e">
        <f t="shared" ca="1" si="41"/>
        <v>#VALUE!</v>
      </c>
      <c r="I1956" s="7" t="str">
        <f ca="1">IFERROR(__xludf.DUMMYFUNCTION("IMPORTXML(E1956,""/html/body/main/div[3]/div[3]/div[2]/ul/li[5]/span[2]/span"")"),"Loading...")</f>
        <v>Loading...</v>
      </c>
      <c r="J1956" s="7" t="str">
        <f ca="1">IFERROR(__xludf.DUMMYFUNCTION("GOOGLEFINANCE(""NSE:""&amp;D1956,""marketcap"")"),"#N/A")</f>
        <v>#N/A</v>
      </c>
      <c r="K1956" s="7">
        <v>992.8</v>
      </c>
      <c r="L1956" s="8" t="str">
        <f ca="1">IFERROR(__xludf.DUMMYFUNCTION("GOOGLEFINANCE(""NSE:""&amp;D1956,""price"")"),"#N/A")</f>
        <v>#N/A</v>
      </c>
      <c r="M1956" s="9" t="e">
        <f t="shared" ca="1" si="42"/>
        <v>#VALUE!</v>
      </c>
      <c r="N1956" s="10" t="e">
        <f t="shared" ca="1" si="43"/>
        <v>#VALUE!</v>
      </c>
      <c r="O1956" s="7" t="str">
        <f ca="1">IFERROR(__xludf.DUMMYFUNCTION("GOOGLEFINANCE(""NSE:""&amp;D1956,""pe"")"),"#N/A")</f>
        <v>#N/A</v>
      </c>
      <c r="P1956" s="7" t="str">
        <f ca="1">IFERROR(__xludf.DUMMYFUNCTION("GOOGLEFINANCE(""NSE:""&amp;D1956,""EPS"")"),"#N/A")</f>
        <v>#N/A</v>
      </c>
      <c r="Q1956" s="7">
        <v>13.5</v>
      </c>
      <c r="R1956" s="7" t="str">
        <f ca="1">IFERROR(__xludf.DUMMYFUNCTION("IMPORTXML(E1956,""/html/body/main/div[3]/div[3]/div[2]/ul/li[7]/span[2]/span"")"),"Loading...")</f>
        <v>Loading...</v>
      </c>
      <c r="S1956" s="7" t="str">
        <f ca="1">IFERROR(__xludf.DUMMYFUNCTION("IMPORTXML(E1956,""/html/body/main/div[3]/div[3]/div[2]/ul/li[8]/span[2]/span"")"),"Loading...")</f>
        <v>Loading...</v>
      </c>
      <c r="T1956" s="4">
        <v>34.6</v>
      </c>
      <c r="U1956" s="4">
        <v>22.7</v>
      </c>
      <c r="V1956" s="4">
        <v>2.6</v>
      </c>
      <c r="W1956" s="4">
        <v>5.7</v>
      </c>
      <c r="X1956" s="4">
        <v>519.92999999999995</v>
      </c>
      <c r="Y1956" s="7" t="e">
        <f t="shared" ca="1" si="44"/>
        <v>#VALUE!</v>
      </c>
    </row>
    <row r="1957" spans="1:25" ht="15" x14ac:dyDescent="0.25">
      <c r="A1957" s="4">
        <v>1691</v>
      </c>
      <c r="C1957" s="41" t="s">
        <v>4138</v>
      </c>
      <c r="D1957" s="42"/>
      <c r="E1957" s="5" t="str">
        <f t="shared" si="40"/>
        <v>https://www.screener.in/company//consolidated/</v>
      </c>
      <c r="F1957" s="4">
        <v>443059</v>
      </c>
      <c r="G1957" s="4">
        <v>3832241897</v>
      </c>
      <c r="H1957" s="6" t="e">
        <f t="shared" ca="1" si="41"/>
        <v>#VALUE!</v>
      </c>
      <c r="I1957" s="7" t="str">
        <f ca="1">IFERROR(__xludf.DUMMYFUNCTION("IMPORTXML(E1957,""/html/body/main/div[3]/div[3]/div[2]/ul/li[5]/span[2]/span"")"),"Loading...")</f>
        <v>Loading...</v>
      </c>
      <c r="J1957" s="7" t="str">
        <f ca="1">IFERROR(__xludf.DUMMYFUNCTION("GOOGLEFINANCE(""NSE:""&amp;D1957,""marketcap"")"),"#N/A")</f>
        <v>#N/A</v>
      </c>
      <c r="K1957" s="7">
        <v>992.8</v>
      </c>
      <c r="L1957" s="8" t="str">
        <f ca="1">IFERROR(__xludf.DUMMYFUNCTION("GOOGLEFINANCE(""NSE:""&amp;D1957,""price"")"),"#N/A")</f>
        <v>#N/A</v>
      </c>
      <c r="M1957" s="9" t="e">
        <f t="shared" ca="1" si="42"/>
        <v>#VALUE!</v>
      </c>
      <c r="N1957" s="10" t="e">
        <f t="shared" ca="1" si="43"/>
        <v>#VALUE!</v>
      </c>
      <c r="O1957" s="7" t="str">
        <f ca="1">IFERROR(__xludf.DUMMYFUNCTION("GOOGLEFINANCE(""NSE:""&amp;D1957,""pe"")"),"#N/A")</f>
        <v>#N/A</v>
      </c>
      <c r="P1957" s="7" t="str">
        <f ca="1">IFERROR(__xludf.DUMMYFUNCTION("GOOGLEFINANCE(""NSE:""&amp;D1957,""EPS"")"),"#N/A")</f>
        <v>#N/A</v>
      </c>
      <c r="Q1957" s="7">
        <v>13.5</v>
      </c>
      <c r="R1957" s="7" t="str">
        <f ca="1">IFERROR(__xludf.DUMMYFUNCTION("IMPORTXML(E1957,""/html/body/main/div[3]/div[3]/div[2]/ul/li[7]/span[2]/span"")"),"Loading...")</f>
        <v>Loading...</v>
      </c>
      <c r="S1957" s="7" t="str">
        <f ca="1">IFERROR(__xludf.DUMMYFUNCTION("IMPORTXML(E1957,""/html/body/main/div[3]/div[3]/div[2]/ul/li[8]/span[2]/span"")"),"Loading...")</f>
        <v>Loading...</v>
      </c>
      <c r="T1957" s="4">
        <v>34.6</v>
      </c>
      <c r="U1957" s="4">
        <v>22.7</v>
      </c>
      <c r="V1957" s="4">
        <v>2.6</v>
      </c>
      <c r="W1957" s="4">
        <v>5.7</v>
      </c>
      <c r="X1957" s="4">
        <v>519.92999999999995</v>
      </c>
      <c r="Y1957" s="7" t="e">
        <f t="shared" ca="1" si="44"/>
        <v>#VALUE!</v>
      </c>
    </row>
    <row r="1958" spans="1:25" ht="15" x14ac:dyDescent="0.25">
      <c r="A1958" s="4">
        <v>1694</v>
      </c>
      <c r="C1958" s="12" t="s">
        <v>4139</v>
      </c>
      <c r="D1958" s="12" t="s">
        <v>4140</v>
      </c>
      <c r="E1958" s="5" t="str">
        <f t="shared" si="40"/>
        <v>https://www.screener.in/company/ASIANHOTNR/consolidated/</v>
      </c>
      <c r="F1958" s="4">
        <v>443059</v>
      </c>
      <c r="G1958" s="4">
        <v>3832241897</v>
      </c>
      <c r="H1958" s="6">
        <f t="shared" ca="1" si="41"/>
        <v>127996.8793598</v>
      </c>
      <c r="I1958" s="7" t="str">
        <f ca="1">IFERROR(__xludf.DUMMYFUNCTION("IMPORTXML(E1958,""/html/body/main/div[3]/div[3]/div[2]/ul/li[5]/span[2]/span"")"),"Loading...")</f>
        <v>Loading...</v>
      </c>
      <c r="J1958" s="7">
        <f ca="1">IFERROR(__xludf.DUMMYFUNCTION("GOOGLEFINANCE(""NSE:""&amp;D1958,""marketcap"")"),6406921000)</f>
        <v>6406921000</v>
      </c>
      <c r="K1958" s="7">
        <v>992.8</v>
      </c>
      <c r="L1958" s="8">
        <f ca="1">IFERROR(__xludf.DUMMYFUNCTION("GOOGLEFINANCE(""NSE:""&amp;D1958,""price"")"),334)</f>
        <v>334</v>
      </c>
      <c r="M1958" s="9">
        <f t="shared" ca="1" si="42"/>
        <v>-658.8</v>
      </c>
      <c r="N1958" s="10">
        <f t="shared" ca="1" si="43"/>
        <v>-66.357775987107175</v>
      </c>
      <c r="O1958" s="7">
        <f ca="1">IFERROR(__xludf.DUMMYFUNCTION("GOOGLEFINANCE(""NSE:""&amp;D1958,""pe"")"),3.27)</f>
        <v>3.27</v>
      </c>
      <c r="P1958" s="7">
        <f ca="1">IFERROR(__xludf.DUMMYFUNCTION("GOOGLEFINANCE(""NSE:""&amp;D1958,""EPS"")"),102.28)</f>
        <v>102.28</v>
      </c>
      <c r="Q1958" s="7">
        <v>13.5</v>
      </c>
      <c r="R1958" s="7" t="str">
        <f ca="1">IFERROR(__xludf.DUMMYFUNCTION("IMPORTXML(E1958,""/html/body/main/div[3]/div[3]/div[2]/ul/li[7]/span[2]/span"")"),"Loading...")</f>
        <v>Loading...</v>
      </c>
      <c r="S1958" s="7" t="str">
        <f ca="1">IFERROR(__xludf.DUMMYFUNCTION("IMPORTXML(E1958,""/html/body/main/div[3]/div[3]/div[2]/ul/li[8]/span[2]/span"")"),"Loading...")</f>
        <v>Loading...</v>
      </c>
      <c r="T1958" s="4">
        <v>34.6</v>
      </c>
      <c r="U1958" s="4">
        <v>22.7</v>
      </c>
      <c r="V1958" s="4">
        <v>2.6</v>
      </c>
      <c r="W1958" s="4">
        <v>5.7</v>
      </c>
      <c r="X1958" s="4">
        <v>519.92999999999995</v>
      </c>
      <c r="Y1958" s="7">
        <f t="shared" ca="1" si="44"/>
        <v>-185.92999999999995</v>
      </c>
    </row>
    <row r="1959" spans="1:25" ht="15" x14ac:dyDescent="0.25">
      <c r="A1959" s="4">
        <v>1695</v>
      </c>
      <c r="C1959" s="41" t="s">
        <v>4141</v>
      </c>
      <c r="D1959" s="42"/>
      <c r="E1959" s="5" t="str">
        <f t="shared" si="40"/>
        <v>https://www.screener.in/company//consolidated/</v>
      </c>
      <c r="F1959" s="4">
        <v>443059</v>
      </c>
      <c r="G1959" s="4">
        <v>3832241897</v>
      </c>
      <c r="H1959" s="6" t="e">
        <f t="shared" ca="1" si="41"/>
        <v>#VALUE!</v>
      </c>
      <c r="I1959" s="7" t="str">
        <f ca="1">IFERROR(__xludf.DUMMYFUNCTION("IMPORTXML(E1959,""/html/body/main/div[3]/div[3]/div[2]/ul/li[5]/span[2]/span"")"),"Loading...")</f>
        <v>Loading...</v>
      </c>
      <c r="J1959" s="7" t="str">
        <f ca="1">IFERROR(__xludf.DUMMYFUNCTION("GOOGLEFINANCE(""NSE:""&amp;D1959,""marketcap"")"),"#N/A")</f>
        <v>#N/A</v>
      </c>
      <c r="K1959" s="7">
        <v>992.8</v>
      </c>
      <c r="L1959" s="8" t="str">
        <f ca="1">IFERROR(__xludf.DUMMYFUNCTION("GOOGLEFINANCE(""NSE:""&amp;D1959,""price"")"),"#N/A")</f>
        <v>#N/A</v>
      </c>
      <c r="M1959" s="9" t="e">
        <f t="shared" ca="1" si="42"/>
        <v>#VALUE!</v>
      </c>
      <c r="N1959" s="10" t="e">
        <f t="shared" ca="1" si="43"/>
        <v>#VALUE!</v>
      </c>
      <c r="O1959" s="7" t="str">
        <f ca="1">IFERROR(__xludf.DUMMYFUNCTION("GOOGLEFINANCE(""NSE:""&amp;D1959,""pe"")"),"#N/A")</f>
        <v>#N/A</v>
      </c>
      <c r="P1959" s="7" t="str">
        <f ca="1">IFERROR(__xludf.DUMMYFUNCTION("GOOGLEFINANCE(""NSE:""&amp;D1959,""EPS"")"),"#N/A")</f>
        <v>#N/A</v>
      </c>
      <c r="Q1959" s="7">
        <v>13.5</v>
      </c>
      <c r="R1959" s="7" t="str">
        <f ca="1">IFERROR(__xludf.DUMMYFUNCTION("IMPORTXML(E1959,""/html/body/main/div[3]/div[3]/div[2]/ul/li[7]/span[2]/span"")"),"Loading...")</f>
        <v>Loading...</v>
      </c>
      <c r="S1959" s="7" t="str">
        <f ca="1">IFERROR(__xludf.DUMMYFUNCTION("IMPORTXML(E1959,""/html/body/main/div[3]/div[3]/div[2]/ul/li[8]/span[2]/span"")"),"Loading...")</f>
        <v>Loading...</v>
      </c>
      <c r="T1959" s="4">
        <v>34.6</v>
      </c>
      <c r="U1959" s="4">
        <v>22.7</v>
      </c>
      <c r="V1959" s="4">
        <v>2.6</v>
      </c>
      <c r="W1959" s="4">
        <v>5.7</v>
      </c>
      <c r="X1959" s="4">
        <v>519.92999999999995</v>
      </c>
      <c r="Y1959" s="7" t="e">
        <f t="shared" ca="1" si="44"/>
        <v>#VALUE!</v>
      </c>
    </row>
    <row r="1960" spans="1:25" ht="15" x14ac:dyDescent="0.25">
      <c r="A1960" s="4">
        <v>1696</v>
      </c>
      <c r="C1960" s="41" t="s">
        <v>4142</v>
      </c>
      <c r="D1960" s="42"/>
      <c r="E1960" s="5" t="str">
        <f t="shared" si="40"/>
        <v>https://www.screener.in/company//consolidated/</v>
      </c>
      <c r="F1960" s="4">
        <v>443059</v>
      </c>
      <c r="G1960" s="4">
        <v>3832241897</v>
      </c>
      <c r="H1960" s="6" t="e">
        <f t="shared" ca="1" si="41"/>
        <v>#VALUE!</v>
      </c>
      <c r="I1960" s="7" t="str">
        <f ca="1">IFERROR(__xludf.DUMMYFUNCTION("IMPORTXML(E1960,""/html/body/main/div[3]/div[3]/div[2]/ul/li[5]/span[2]/span"")"),"Loading...")</f>
        <v>Loading...</v>
      </c>
      <c r="J1960" s="7" t="str">
        <f ca="1">IFERROR(__xludf.DUMMYFUNCTION("GOOGLEFINANCE(""NSE:""&amp;D1960,""marketcap"")"),"#N/A")</f>
        <v>#N/A</v>
      </c>
      <c r="K1960" s="7">
        <v>992.8</v>
      </c>
      <c r="L1960" s="8" t="str">
        <f ca="1">IFERROR(__xludf.DUMMYFUNCTION("GOOGLEFINANCE(""NSE:""&amp;D1960,""price"")"),"#N/A")</f>
        <v>#N/A</v>
      </c>
      <c r="M1960" s="9" t="e">
        <f t="shared" ca="1" si="42"/>
        <v>#VALUE!</v>
      </c>
      <c r="N1960" s="10" t="e">
        <f t="shared" ca="1" si="43"/>
        <v>#VALUE!</v>
      </c>
      <c r="O1960" s="7" t="str">
        <f ca="1">IFERROR(__xludf.DUMMYFUNCTION("GOOGLEFINANCE(""NSE:""&amp;D1960,""pe"")"),"#N/A")</f>
        <v>#N/A</v>
      </c>
      <c r="P1960" s="7" t="str">
        <f ca="1">IFERROR(__xludf.DUMMYFUNCTION("GOOGLEFINANCE(""NSE:""&amp;D1960,""EPS"")"),"#N/A")</f>
        <v>#N/A</v>
      </c>
      <c r="Q1960" s="7">
        <v>13.5</v>
      </c>
      <c r="R1960" s="7" t="str">
        <f ca="1">IFERROR(__xludf.DUMMYFUNCTION("IMPORTXML(E1960,""/html/body/main/div[3]/div[3]/div[2]/ul/li[7]/span[2]/span"")"),"Loading...")</f>
        <v>Loading...</v>
      </c>
      <c r="S1960" s="7" t="str">
        <f ca="1">IFERROR(__xludf.DUMMYFUNCTION("IMPORTXML(E1960,""/html/body/main/div[3]/div[3]/div[2]/ul/li[8]/span[2]/span"")"),"Loading...")</f>
        <v>Loading...</v>
      </c>
      <c r="T1960" s="4">
        <v>34.6</v>
      </c>
      <c r="U1960" s="4">
        <v>22.7</v>
      </c>
      <c r="V1960" s="4">
        <v>2.6</v>
      </c>
      <c r="W1960" s="4">
        <v>5.7</v>
      </c>
      <c r="X1960" s="4">
        <v>519.92999999999995</v>
      </c>
      <c r="Y1960" s="7" t="e">
        <f t="shared" ca="1" si="44"/>
        <v>#VALUE!</v>
      </c>
    </row>
    <row r="1961" spans="1:25" ht="15" x14ac:dyDescent="0.25">
      <c r="A1961" s="4">
        <v>1697</v>
      </c>
      <c r="C1961" s="41" t="s">
        <v>4143</v>
      </c>
      <c r="D1961" s="42"/>
      <c r="E1961" s="5" t="str">
        <f t="shared" si="40"/>
        <v>https://www.screener.in/company//consolidated/</v>
      </c>
      <c r="F1961" s="4">
        <v>443059</v>
      </c>
      <c r="G1961" s="4">
        <v>3832241897</v>
      </c>
      <c r="H1961" s="6" t="e">
        <f t="shared" ca="1" si="41"/>
        <v>#VALUE!</v>
      </c>
      <c r="I1961" s="7" t="str">
        <f ca="1">IFERROR(__xludf.DUMMYFUNCTION("IMPORTXML(E1961,""/html/body/main/div[3]/div[3]/div[2]/ul/li[5]/span[2]/span"")"),"Loading...")</f>
        <v>Loading...</v>
      </c>
      <c r="J1961" s="7" t="str">
        <f ca="1">IFERROR(__xludf.DUMMYFUNCTION("GOOGLEFINANCE(""NSE:""&amp;D1961,""marketcap"")"),"#N/A")</f>
        <v>#N/A</v>
      </c>
      <c r="K1961" s="7">
        <v>992.8</v>
      </c>
      <c r="L1961" s="8" t="str">
        <f ca="1">IFERROR(__xludf.DUMMYFUNCTION("GOOGLEFINANCE(""NSE:""&amp;D1961,""price"")"),"#N/A")</f>
        <v>#N/A</v>
      </c>
      <c r="M1961" s="9" t="e">
        <f t="shared" ca="1" si="42"/>
        <v>#VALUE!</v>
      </c>
      <c r="N1961" s="10" t="e">
        <f t="shared" ca="1" si="43"/>
        <v>#VALUE!</v>
      </c>
      <c r="O1961" s="7" t="str">
        <f ca="1">IFERROR(__xludf.DUMMYFUNCTION("GOOGLEFINANCE(""NSE:""&amp;D1961,""pe"")"),"#N/A")</f>
        <v>#N/A</v>
      </c>
      <c r="P1961" s="7" t="str">
        <f ca="1">IFERROR(__xludf.DUMMYFUNCTION("GOOGLEFINANCE(""NSE:""&amp;D1961,""EPS"")"),"#N/A")</f>
        <v>#N/A</v>
      </c>
      <c r="Q1961" s="7">
        <v>13.5</v>
      </c>
      <c r="R1961" s="7" t="str">
        <f ca="1">IFERROR(__xludf.DUMMYFUNCTION("IMPORTXML(E1961,""/html/body/main/div[3]/div[3]/div[2]/ul/li[7]/span[2]/span"")"),"Loading...")</f>
        <v>Loading...</v>
      </c>
      <c r="S1961" s="7" t="str">
        <f ca="1">IFERROR(__xludf.DUMMYFUNCTION("IMPORTXML(E1961,""/html/body/main/div[3]/div[3]/div[2]/ul/li[8]/span[2]/span"")"),"Loading...")</f>
        <v>Loading...</v>
      </c>
      <c r="T1961" s="4">
        <v>34.6</v>
      </c>
      <c r="U1961" s="4">
        <v>22.7</v>
      </c>
      <c r="V1961" s="4">
        <v>2.6</v>
      </c>
      <c r="W1961" s="4">
        <v>5.7</v>
      </c>
      <c r="X1961" s="4">
        <v>519.92999999999995</v>
      </c>
      <c r="Y1961" s="7" t="e">
        <f t="shared" ca="1" si="44"/>
        <v>#VALUE!</v>
      </c>
    </row>
    <row r="1962" spans="1:25" ht="15" x14ac:dyDescent="0.25">
      <c r="A1962" s="4">
        <v>1698</v>
      </c>
      <c r="C1962" s="41" t="s">
        <v>4144</v>
      </c>
      <c r="D1962" s="42"/>
      <c r="E1962" s="5" t="str">
        <f t="shared" si="40"/>
        <v>https://www.screener.in/company//consolidated/</v>
      </c>
      <c r="F1962" s="4">
        <v>443059</v>
      </c>
      <c r="G1962" s="4">
        <v>3832241897</v>
      </c>
      <c r="H1962" s="6" t="e">
        <f t="shared" ca="1" si="41"/>
        <v>#VALUE!</v>
      </c>
      <c r="I1962" s="7" t="str">
        <f ca="1">IFERROR(__xludf.DUMMYFUNCTION("IMPORTXML(E1962,""/html/body/main/div[3]/div[3]/div[2]/ul/li[5]/span[2]/span"")"),"Loading...")</f>
        <v>Loading...</v>
      </c>
      <c r="J1962" s="7" t="str">
        <f ca="1">IFERROR(__xludf.DUMMYFUNCTION("GOOGLEFINANCE(""NSE:""&amp;D1962,""marketcap"")"),"#N/A")</f>
        <v>#N/A</v>
      </c>
      <c r="K1962" s="7">
        <v>992.8</v>
      </c>
      <c r="L1962" s="8" t="str">
        <f ca="1">IFERROR(__xludf.DUMMYFUNCTION("GOOGLEFINANCE(""NSE:""&amp;D1962,""price"")"),"#N/A")</f>
        <v>#N/A</v>
      </c>
      <c r="M1962" s="9" t="e">
        <f t="shared" ca="1" si="42"/>
        <v>#VALUE!</v>
      </c>
      <c r="N1962" s="10" t="e">
        <f t="shared" ca="1" si="43"/>
        <v>#VALUE!</v>
      </c>
      <c r="O1962" s="7" t="str">
        <f ca="1">IFERROR(__xludf.DUMMYFUNCTION("GOOGLEFINANCE(""NSE:""&amp;D1962,""pe"")"),"#N/A")</f>
        <v>#N/A</v>
      </c>
      <c r="P1962" s="7" t="str">
        <f ca="1">IFERROR(__xludf.DUMMYFUNCTION("GOOGLEFINANCE(""NSE:""&amp;D1962,""EPS"")"),"#N/A")</f>
        <v>#N/A</v>
      </c>
      <c r="Q1962" s="7">
        <v>13.5</v>
      </c>
      <c r="R1962" s="7" t="str">
        <f ca="1">IFERROR(__xludf.DUMMYFUNCTION("IMPORTXML(E1962,""/html/body/main/div[3]/div[3]/div[2]/ul/li[7]/span[2]/span"")"),"Loading...")</f>
        <v>Loading...</v>
      </c>
      <c r="S1962" s="7" t="str">
        <f ca="1">IFERROR(__xludf.DUMMYFUNCTION("IMPORTXML(E1962,""/html/body/main/div[3]/div[3]/div[2]/ul/li[8]/span[2]/span"")"),"Loading...")</f>
        <v>Loading...</v>
      </c>
      <c r="T1962" s="4">
        <v>34.6</v>
      </c>
      <c r="U1962" s="4">
        <v>22.7</v>
      </c>
      <c r="V1962" s="4">
        <v>2.6</v>
      </c>
      <c r="W1962" s="4">
        <v>5.7</v>
      </c>
      <c r="X1962" s="4">
        <v>519.92999999999995</v>
      </c>
      <c r="Y1962" s="7" t="e">
        <f t="shared" ca="1" si="44"/>
        <v>#VALUE!</v>
      </c>
    </row>
    <row r="1963" spans="1:25" ht="15" x14ac:dyDescent="0.25">
      <c r="A1963" s="4">
        <v>1700</v>
      </c>
      <c r="C1963" s="41" t="s">
        <v>4145</v>
      </c>
      <c r="D1963" s="42"/>
      <c r="E1963" s="5" t="str">
        <f t="shared" si="40"/>
        <v>https://www.screener.in/company//consolidated/</v>
      </c>
      <c r="F1963" s="4">
        <v>443059</v>
      </c>
      <c r="G1963" s="4">
        <v>3832241897</v>
      </c>
      <c r="H1963" s="6" t="e">
        <f t="shared" ca="1" si="41"/>
        <v>#VALUE!</v>
      </c>
      <c r="I1963" s="7" t="str">
        <f ca="1">IFERROR(__xludf.DUMMYFUNCTION("IMPORTXML(E1963,""/html/body/main/div[3]/div[3]/div[2]/ul/li[5]/span[2]/span"")"),"Loading...")</f>
        <v>Loading...</v>
      </c>
      <c r="J1963" s="7" t="str">
        <f ca="1">IFERROR(__xludf.DUMMYFUNCTION("GOOGLEFINANCE(""NSE:""&amp;D1963,""marketcap"")"),"#N/A")</f>
        <v>#N/A</v>
      </c>
      <c r="K1963" s="7">
        <v>992.8</v>
      </c>
      <c r="L1963" s="8" t="str">
        <f ca="1">IFERROR(__xludf.DUMMYFUNCTION("GOOGLEFINANCE(""NSE:""&amp;D1963,""price"")"),"#N/A")</f>
        <v>#N/A</v>
      </c>
      <c r="M1963" s="9" t="e">
        <f t="shared" ca="1" si="42"/>
        <v>#VALUE!</v>
      </c>
      <c r="N1963" s="10" t="e">
        <f t="shared" ca="1" si="43"/>
        <v>#VALUE!</v>
      </c>
      <c r="O1963" s="7" t="str">
        <f ca="1">IFERROR(__xludf.DUMMYFUNCTION("GOOGLEFINANCE(""NSE:""&amp;D1963,""pe"")"),"#N/A")</f>
        <v>#N/A</v>
      </c>
      <c r="P1963" s="7" t="str">
        <f ca="1">IFERROR(__xludf.DUMMYFUNCTION("GOOGLEFINANCE(""NSE:""&amp;D1963,""EPS"")"),"#N/A")</f>
        <v>#N/A</v>
      </c>
      <c r="Q1963" s="7">
        <v>13.5</v>
      </c>
      <c r="R1963" s="7" t="str">
        <f ca="1">IFERROR(__xludf.DUMMYFUNCTION("IMPORTXML(E1963,""/html/body/main/div[3]/div[3]/div[2]/ul/li[7]/span[2]/span"")"),"Loading...")</f>
        <v>Loading...</v>
      </c>
      <c r="S1963" s="7" t="str">
        <f ca="1">IFERROR(__xludf.DUMMYFUNCTION("IMPORTXML(E1963,""/html/body/main/div[3]/div[3]/div[2]/ul/li[8]/span[2]/span"")"),"Loading...")</f>
        <v>Loading...</v>
      </c>
      <c r="T1963" s="4">
        <v>34.6</v>
      </c>
      <c r="U1963" s="4">
        <v>22.7</v>
      </c>
      <c r="V1963" s="4">
        <v>2.6</v>
      </c>
      <c r="W1963" s="4">
        <v>5.7</v>
      </c>
      <c r="X1963" s="4">
        <v>519.92999999999995</v>
      </c>
      <c r="Y1963" s="7" t="e">
        <f t="shared" ca="1" si="44"/>
        <v>#VALUE!</v>
      </c>
    </row>
    <row r="1964" spans="1:25" ht="15" x14ac:dyDescent="0.25">
      <c r="A1964" s="4">
        <v>1701</v>
      </c>
      <c r="C1964" s="41" t="s">
        <v>4146</v>
      </c>
      <c r="D1964" s="42"/>
      <c r="E1964" s="5" t="str">
        <f t="shared" si="40"/>
        <v>https://www.screener.in/company//consolidated/</v>
      </c>
      <c r="F1964" s="4">
        <v>443059</v>
      </c>
      <c r="G1964" s="4">
        <v>3832241897</v>
      </c>
      <c r="H1964" s="6" t="e">
        <f t="shared" ca="1" si="41"/>
        <v>#VALUE!</v>
      </c>
      <c r="I1964" s="7" t="str">
        <f ca="1">IFERROR(__xludf.DUMMYFUNCTION("IMPORTXML(E1964,""/html/body/main/div[3]/div[3]/div[2]/ul/li[5]/span[2]/span"")"),"Loading...")</f>
        <v>Loading...</v>
      </c>
      <c r="J1964" s="7" t="str">
        <f ca="1">IFERROR(__xludf.DUMMYFUNCTION("GOOGLEFINANCE(""NSE:""&amp;D1964,""marketcap"")"),"#N/A")</f>
        <v>#N/A</v>
      </c>
      <c r="K1964" s="7">
        <v>992.8</v>
      </c>
      <c r="L1964" s="8" t="str">
        <f ca="1">IFERROR(__xludf.DUMMYFUNCTION("GOOGLEFINANCE(""NSE:""&amp;D1964,""price"")"),"#N/A")</f>
        <v>#N/A</v>
      </c>
      <c r="M1964" s="9" t="e">
        <f t="shared" ca="1" si="42"/>
        <v>#VALUE!</v>
      </c>
      <c r="N1964" s="10" t="e">
        <f t="shared" ca="1" si="43"/>
        <v>#VALUE!</v>
      </c>
      <c r="O1964" s="7" t="str">
        <f ca="1">IFERROR(__xludf.DUMMYFUNCTION("GOOGLEFINANCE(""NSE:""&amp;D1964,""pe"")"),"#N/A")</f>
        <v>#N/A</v>
      </c>
      <c r="P1964" s="7" t="str">
        <f ca="1">IFERROR(__xludf.DUMMYFUNCTION("GOOGLEFINANCE(""NSE:""&amp;D1964,""EPS"")"),"#N/A")</f>
        <v>#N/A</v>
      </c>
      <c r="Q1964" s="7">
        <v>13.5</v>
      </c>
      <c r="R1964" s="7" t="str">
        <f ca="1">IFERROR(__xludf.DUMMYFUNCTION("IMPORTXML(E1964,""/html/body/main/div[3]/div[3]/div[2]/ul/li[7]/span[2]/span"")"),"Loading...")</f>
        <v>Loading...</v>
      </c>
      <c r="S1964" s="7" t="str">
        <f ca="1">IFERROR(__xludf.DUMMYFUNCTION("IMPORTXML(E1964,""/html/body/main/div[3]/div[3]/div[2]/ul/li[8]/span[2]/span"")"),"Loading...")</f>
        <v>Loading...</v>
      </c>
      <c r="T1964" s="4">
        <v>34.6</v>
      </c>
      <c r="U1964" s="4">
        <v>22.7</v>
      </c>
      <c r="V1964" s="4">
        <v>2.6</v>
      </c>
      <c r="W1964" s="4">
        <v>5.7</v>
      </c>
      <c r="X1964" s="4">
        <v>519.92999999999995</v>
      </c>
      <c r="Y1964" s="7" t="e">
        <f t="shared" ca="1" si="44"/>
        <v>#VALUE!</v>
      </c>
    </row>
    <row r="1965" spans="1:25" ht="15" x14ac:dyDescent="0.25">
      <c r="A1965" s="4">
        <v>1702</v>
      </c>
      <c r="C1965" s="12" t="s">
        <v>4147</v>
      </c>
      <c r="D1965" s="12" t="s">
        <v>4148</v>
      </c>
      <c r="E1965" s="5" t="str">
        <f t="shared" si="40"/>
        <v>https://www.screener.in/company/VIPCLOTHNG/consolidated/</v>
      </c>
      <c r="F1965" s="4">
        <v>443059</v>
      </c>
      <c r="G1965" s="4">
        <v>3832241897</v>
      </c>
      <c r="H1965" s="6">
        <f t="shared" ca="1" si="41"/>
        <v>13021.957966005999</v>
      </c>
      <c r="I1965" s="7" t="str">
        <f ca="1">IFERROR(__xludf.DUMMYFUNCTION("IMPORTXML(E1965,""/html/body/main/div[3]/div[3]/div[2]/ul/li[5]/span[2]/span"")"),"Loading...")</f>
        <v>Loading...</v>
      </c>
      <c r="J1965" s="7">
        <f ca="1">IFERROR(__xludf.DUMMYFUNCTION("GOOGLEFINANCE(""NSE:""&amp;D1965,""marketcap"")"),3062600708)</f>
        <v>3062600708</v>
      </c>
      <c r="K1965" s="7">
        <v>992.8</v>
      </c>
      <c r="L1965" s="8">
        <f ca="1">IFERROR(__xludf.DUMMYFUNCTION("GOOGLEFINANCE(""NSE:""&amp;D1965,""price"")"),33.98)</f>
        <v>33.979999999999997</v>
      </c>
      <c r="M1965" s="9">
        <f t="shared" ca="1" si="42"/>
        <v>-958.81999999999994</v>
      </c>
      <c r="N1965" s="10">
        <f t="shared" ca="1" si="43"/>
        <v>-96.577356970185335</v>
      </c>
      <c r="O1965" s="7">
        <f ca="1">IFERROR(__xludf.DUMMYFUNCTION("GOOGLEFINANCE(""NSE:""&amp;D1965,""pe"")"),39.6)</f>
        <v>39.6</v>
      </c>
      <c r="P1965" s="7">
        <f ca="1">IFERROR(__xludf.DUMMYFUNCTION("GOOGLEFINANCE(""NSE:""&amp;D1965,""EPS"")"),0.86)</f>
        <v>0.86</v>
      </c>
      <c r="Q1965" s="7">
        <v>13.5</v>
      </c>
      <c r="R1965" s="7" t="str">
        <f ca="1">IFERROR(__xludf.DUMMYFUNCTION("IMPORTXML(E1965,""/html/body/main/div[3]/div[3]/div[2]/ul/li[7]/span[2]/span"")"),"Loading...")</f>
        <v>Loading...</v>
      </c>
      <c r="S1965" s="7" t="str">
        <f ca="1">IFERROR(__xludf.DUMMYFUNCTION("IMPORTXML(E1965,""/html/body/main/div[3]/div[3]/div[2]/ul/li[8]/span[2]/span"")"),"Loading...")</f>
        <v>Loading...</v>
      </c>
      <c r="T1965" s="4">
        <v>34.6</v>
      </c>
      <c r="U1965" s="4">
        <v>22.7</v>
      </c>
      <c r="V1965" s="4">
        <v>2.6</v>
      </c>
      <c r="W1965" s="4">
        <v>5.7</v>
      </c>
      <c r="X1965" s="4">
        <v>519.92999999999995</v>
      </c>
      <c r="Y1965" s="7">
        <f t="shared" ca="1" si="44"/>
        <v>-485.94999999999993</v>
      </c>
    </row>
    <row r="1966" spans="1:25" ht="15" x14ac:dyDescent="0.25">
      <c r="A1966" s="4">
        <v>1703</v>
      </c>
      <c r="C1966" s="12" t="s">
        <v>4149</v>
      </c>
      <c r="D1966" s="12" t="s">
        <v>4150</v>
      </c>
      <c r="E1966" s="5" t="str">
        <f t="shared" si="40"/>
        <v>https://www.screener.in/company/NDLVENTURE/consolidated/</v>
      </c>
      <c r="F1966" s="4">
        <v>443059</v>
      </c>
      <c r="G1966" s="4">
        <v>3832241897</v>
      </c>
      <c r="H1966" s="6">
        <f t="shared" ca="1" si="41"/>
        <v>33723.728693600002</v>
      </c>
      <c r="I1966" s="7" t="str">
        <f ca="1">IFERROR(__xludf.DUMMYFUNCTION("IMPORTXML(E1966,""/html/body/main/div[3]/div[3]/div[2]/ul/li[5]/span[2]/span"")"),"Loading...")</f>
        <v>Loading...</v>
      </c>
      <c r="J1966" s="7">
        <f ca="1">IFERROR(__xludf.DUMMYFUNCTION("GOOGLEFINANCE(""NSE:""&amp;D1966,""marketcap"")"),2975561000)</f>
        <v>2975561000</v>
      </c>
      <c r="K1966" s="7">
        <v>992.8</v>
      </c>
      <c r="L1966" s="8">
        <f ca="1">IFERROR(__xludf.DUMMYFUNCTION("GOOGLEFINANCE(""NSE:""&amp;D1966,""price"")"),88)</f>
        <v>88</v>
      </c>
      <c r="M1966" s="9">
        <f t="shared" ca="1" si="42"/>
        <v>-904.8</v>
      </c>
      <c r="N1966" s="10">
        <f t="shared" ca="1" si="43"/>
        <v>-91.136180499597103</v>
      </c>
      <c r="O1966" s="7" t="str">
        <f ca="1">IFERROR(__xludf.DUMMYFUNCTION("GOOGLEFINANCE(""NSE:""&amp;D1966,""pe"")"),"#N/A")</f>
        <v>#N/A</v>
      </c>
      <c r="P1966" s="7">
        <f ca="1">IFERROR(__xludf.DUMMYFUNCTION("GOOGLEFINANCE(""NSE:""&amp;D1966,""EPS"")"),-145.91)</f>
        <v>-145.91</v>
      </c>
      <c r="Q1966" s="7">
        <v>13.5</v>
      </c>
      <c r="R1966" s="7" t="str">
        <f ca="1">IFERROR(__xludf.DUMMYFUNCTION("IMPORTXML(E1966,""/html/body/main/div[3]/div[3]/div[2]/ul/li[7]/span[2]/span"")"),"Loading...")</f>
        <v>Loading...</v>
      </c>
      <c r="S1966" s="7" t="str">
        <f ca="1">IFERROR(__xludf.DUMMYFUNCTION("IMPORTXML(E1966,""/html/body/main/div[3]/div[3]/div[2]/ul/li[8]/span[2]/span"")"),"Loading...")</f>
        <v>Loading...</v>
      </c>
      <c r="T1966" s="4">
        <v>34.6</v>
      </c>
      <c r="U1966" s="4">
        <v>22.7</v>
      </c>
      <c r="V1966" s="4">
        <v>2.6</v>
      </c>
      <c r="W1966" s="4">
        <v>5.7</v>
      </c>
      <c r="X1966" s="4">
        <v>519.92999999999995</v>
      </c>
      <c r="Y1966" s="7">
        <f t="shared" ca="1" si="44"/>
        <v>-431.92999999999995</v>
      </c>
    </row>
    <row r="1967" spans="1:25" ht="15" x14ac:dyDescent="0.25">
      <c r="A1967" s="4">
        <v>1704</v>
      </c>
      <c r="C1967" s="12" t="s">
        <v>4151</v>
      </c>
      <c r="D1967" s="12" t="s">
        <v>4152</v>
      </c>
      <c r="E1967" s="5" t="str">
        <f t="shared" si="40"/>
        <v>https://www.screener.in/company/MKPL/consolidated/</v>
      </c>
      <c r="F1967" s="4">
        <v>443059</v>
      </c>
      <c r="G1967" s="4">
        <v>3832241897</v>
      </c>
      <c r="H1967" s="6">
        <f t="shared" ca="1" si="41"/>
        <v>2502.453958741</v>
      </c>
      <c r="I1967" s="7" t="str">
        <f ca="1">IFERROR(__xludf.DUMMYFUNCTION("IMPORTXML(E1967,""/html/body/main/div[3]/div[3]/div[2]/ul/li[5]/span[2]/span"")"),"Loading...")</f>
        <v>Loading...</v>
      </c>
      <c r="J1967" s="7">
        <f ca="1">IFERROR(__xludf.DUMMYFUNCTION("GOOGLEFINANCE(""NSE:""&amp;D1967,""marketcap"")"),2462530270)</f>
        <v>2462530270</v>
      </c>
      <c r="K1967" s="7">
        <v>992.8</v>
      </c>
      <c r="L1967" s="8">
        <f ca="1">IFERROR(__xludf.DUMMYFUNCTION("GOOGLEFINANCE(""NSE:""&amp;D1967,""price"")"),6.53)</f>
        <v>6.53</v>
      </c>
      <c r="M1967" s="9">
        <f t="shared" ca="1" si="42"/>
        <v>-986.27</v>
      </c>
      <c r="N1967" s="10">
        <f t="shared" ca="1" si="43"/>
        <v>-99.342264302981462</v>
      </c>
      <c r="O1967" s="7">
        <f ca="1">IFERROR(__xludf.DUMMYFUNCTION("GOOGLEFINANCE(""NSE:""&amp;D1967,""pe"")"),26.83)</f>
        <v>26.83</v>
      </c>
      <c r="P1967" s="7">
        <f ca="1">IFERROR(__xludf.DUMMYFUNCTION("GOOGLEFINANCE(""NSE:""&amp;D1967,""EPS"")"),0.24)</f>
        <v>0.24</v>
      </c>
      <c r="Q1967" s="7">
        <v>13.5</v>
      </c>
      <c r="R1967" s="7" t="str">
        <f ca="1">IFERROR(__xludf.DUMMYFUNCTION("IMPORTXML(E1967,""/html/body/main/div[3]/div[3]/div[2]/ul/li[7]/span[2]/span"")"),"Loading...")</f>
        <v>Loading...</v>
      </c>
      <c r="S1967" s="7" t="str">
        <f ca="1">IFERROR(__xludf.DUMMYFUNCTION("IMPORTXML(E1967,""/html/body/main/div[3]/div[3]/div[2]/ul/li[8]/span[2]/span"")"),"Loading...")</f>
        <v>Loading...</v>
      </c>
      <c r="T1967" s="4">
        <v>34.6</v>
      </c>
      <c r="U1967" s="4">
        <v>22.7</v>
      </c>
      <c r="V1967" s="4">
        <v>2.6</v>
      </c>
      <c r="W1967" s="4">
        <v>5.7</v>
      </c>
      <c r="X1967" s="4">
        <v>519.92999999999995</v>
      </c>
      <c r="Y1967" s="7">
        <f t="shared" ca="1" si="44"/>
        <v>-513.4</v>
      </c>
    </row>
    <row r="1968" spans="1:25" ht="15" x14ac:dyDescent="0.25">
      <c r="A1968" s="4">
        <v>1706</v>
      </c>
      <c r="C1968" s="41" t="s">
        <v>4153</v>
      </c>
      <c r="D1968" s="42"/>
      <c r="E1968" s="5" t="str">
        <f t="shared" si="40"/>
        <v>https://www.screener.in/company//consolidated/</v>
      </c>
      <c r="F1968" s="4">
        <v>443059</v>
      </c>
      <c r="G1968" s="4">
        <v>3832241897</v>
      </c>
      <c r="H1968" s="6" t="e">
        <f t="shared" ca="1" si="41"/>
        <v>#VALUE!</v>
      </c>
      <c r="I1968" s="7" t="str">
        <f ca="1">IFERROR(__xludf.DUMMYFUNCTION("IMPORTXML(E1968,""/html/body/main/div[3]/div[3]/div[2]/ul/li[5]/span[2]/span"")"),"Loading...")</f>
        <v>Loading...</v>
      </c>
      <c r="J1968" s="7" t="str">
        <f ca="1">IFERROR(__xludf.DUMMYFUNCTION("GOOGLEFINANCE(""NSE:""&amp;D1968,""marketcap"")"),"#N/A")</f>
        <v>#N/A</v>
      </c>
      <c r="K1968" s="7">
        <v>992.8</v>
      </c>
      <c r="L1968" s="8" t="str">
        <f ca="1">IFERROR(__xludf.DUMMYFUNCTION("GOOGLEFINANCE(""NSE:""&amp;D1968,""price"")"),"#N/A")</f>
        <v>#N/A</v>
      </c>
      <c r="M1968" s="9" t="e">
        <f t="shared" ca="1" si="42"/>
        <v>#VALUE!</v>
      </c>
      <c r="N1968" s="10" t="e">
        <f t="shared" ca="1" si="43"/>
        <v>#VALUE!</v>
      </c>
      <c r="O1968" s="7" t="str">
        <f ca="1">IFERROR(__xludf.DUMMYFUNCTION("GOOGLEFINANCE(""NSE:""&amp;D1968,""pe"")"),"#N/A")</f>
        <v>#N/A</v>
      </c>
      <c r="P1968" s="7" t="str">
        <f ca="1">IFERROR(__xludf.DUMMYFUNCTION("GOOGLEFINANCE(""NSE:""&amp;D1968,""EPS"")"),"#N/A")</f>
        <v>#N/A</v>
      </c>
      <c r="Q1968" s="7">
        <v>13.5</v>
      </c>
      <c r="R1968" s="7" t="str">
        <f ca="1">IFERROR(__xludf.DUMMYFUNCTION("IMPORTXML(E1968,""/html/body/main/div[3]/div[3]/div[2]/ul/li[7]/span[2]/span"")"),"Loading...")</f>
        <v>Loading...</v>
      </c>
      <c r="S1968" s="7" t="str">
        <f ca="1">IFERROR(__xludf.DUMMYFUNCTION("IMPORTXML(E1968,""/html/body/main/div[3]/div[3]/div[2]/ul/li[8]/span[2]/span"")"),"Loading...")</f>
        <v>Loading...</v>
      </c>
      <c r="T1968" s="4">
        <v>34.6</v>
      </c>
      <c r="U1968" s="4">
        <v>22.7</v>
      </c>
      <c r="V1968" s="4">
        <v>2.6</v>
      </c>
      <c r="W1968" s="4">
        <v>5.7</v>
      </c>
      <c r="X1968" s="4">
        <v>519.92999999999995</v>
      </c>
      <c r="Y1968" s="7" t="e">
        <f t="shared" ca="1" si="44"/>
        <v>#VALUE!</v>
      </c>
    </row>
    <row r="1969" spans="1:25" ht="15" x14ac:dyDescent="0.25">
      <c r="A1969" s="4">
        <v>1712</v>
      </c>
      <c r="C1969" s="41" t="s">
        <v>4154</v>
      </c>
      <c r="D1969" s="42"/>
      <c r="E1969" s="5" t="str">
        <f t="shared" si="40"/>
        <v>https://www.screener.in/company//consolidated/</v>
      </c>
      <c r="F1969" s="4">
        <v>443059</v>
      </c>
      <c r="G1969" s="4">
        <v>3832241897</v>
      </c>
      <c r="H1969" s="6" t="e">
        <f t="shared" ca="1" si="41"/>
        <v>#VALUE!</v>
      </c>
      <c r="I1969" s="7" t="str">
        <f ca="1">IFERROR(__xludf.DUMMYFUNCTION("IMPORTXML(E1969,""/html/body/main/div[3]/div[3]/div[2]/ul/li[5]/span[2]/span"")"),"Loading...")</f>
        <v>Loading...</v>
      </c>
      <c r="J1969" s="7" t="str">
        <f ca="1">IFERROR(__xludf.DUMMYFUNCTION("GOOGLEFINANCE(""NSE:""&amp;D1969,""marketcap"")"),"#N/A")</f>
        <v>#N/A</v>
      </c>
      <c r="K1969" s="7">
        <v>992.8</v>
      </c>
      <c r="L1969" s="8" t="str">
        <f ca="1">IFERROR(__xludf.DUMMYFUNCTION("GOOGLEFINANCE(""NSE:""&amp;D1969,""price"")"),"#N/A")</f>
        <v>#N/A</v>
      </c>
      <c r="M1969" s="9" t="e">
        <f t="shared" ca="1" si="42"/>
        <v>#VALUE!</v>
      </c>
      <c r="N1969" s="10" t="e">
        <f t="shared" ca="1" si="43"/>
        <v>#VALUE!</v>
      </c>
      <c r="O1969" s="7" t="str">
        <f ca="1">IFERROR(__xludf.DUMMYFUNCTION("GOOGLEFINANCE(""NSE:""&amp;D1969,""pe"")"),"#N/A")</f>
        <v>#N/A</v>
      </c>
      <c r="P1969" s="7" t="str">
        <f ca="1">IFERROR(__xludf.DUMMYFUNCTION("GOOGLEFINANCE(""NSE:""&amp;D1969,""EPS"")"),"#N/A")</f>
        <v>#N/A</v>
      </c>
      <c r="Q1969" s="7">
        <v>13.5</v>
      </c>
      <c r="R1969" s="7" t="str">
        <f ca="1">IFERROR(__xludf.DUMMYFUNCTION("IMPORTXML(E1969,""/html/body/main/div[3]/div[3]/div[2]/ul/li[7]/span[2]/span"")"),"Loading...")</f>
        <v>Loading...</v>
      </c>
      <c r="S1969" s="7" t="str">
        <f ca="1">IFERROR(__xludf.DUMMYFUNCTION("IMPORTXML(E1969,""/html/body/main/div[3]/div[3]/div[2]/ul/li[8]/span[2]/span"")"),"Loading...")</f>
        <v>Loading...</v>
      </c>
      <c r="T1969" s="4">
        <v>34.6</v>
      </c>
      <c r="U1969" s="4">
        <v>22.7</v>
      </c>
      <c r="V1969" s="4">
        <v>2.6</v>
      </c>
      <c r="W1969" s="4">
        <v>5.7</v>
      </c>
      <c r="X1969" s="4">
        <v>519.92999999999995</v>
      </c>
      <c r="Y1969" s="7" t="e">
        <f t="shared" ca="1" si="44"/>
        <v>#VALUE!</v>
      </c>
    </row>
    <row r="1970" spans="1:25" ht="15" x14ac:dyDescent="0.25">
      <c r="A1970" s="4">
        <v>1713</v>
      </c>
      <c r="C1970" s="41" t="s">
        <v>4155</v>
      </c>
      <c r="D1970" s="42"/>
      <c r="E1970" s="5" t="str">
        <f t="shared" si="40"/>
        <v>https://www.screener.in/company//consolidated/</v>
      </c>
      <c r="F1970" s="4">
        <v>443059</v>
      </c>
      <c r="G1970" s="4">
        <v>3832241897</v>
      </c>
      <c r="H1970" s="6" t="e">
        <f t="shared" ca="1" si="41"/>
        <v>#VALUE!</v>
      </c>
      <c r="I1970" s="7" t="str">
        <f ca="1">IFERROR(__xludf.DUMMYFUNCTION("IMPORTXML(E1970,""/html/body/main/div[3]/div[3]/div[2]/ul/li[5]/span[2]/span"")"),"Loading...")</f>
        <v>Loading...</v>
      </c>
      <c r="J1970" s="7" t="str">
        <f ca="1">IFERROR(__xludf.DUMMYFUNCTION("GOOGLEFINANCE(""NSE:""&amp;D1970,""marketcap"")"),"#N/A")</f>
        <v>#N/A</v>
      </c>
      <c r="K1970" s="7">
        <v>992.8</v>
      </c>
      <c r="L1970" s="8" t="str">
        <f ca="1">IFERROR(__xludf.DUMMYFUNCTION("GOOGLEFINANCE(""NSE:""&amp;D1970,""price"")"),"#N/A")</f>
        <v>#N/A</v>
      </c>
      <c r="M1970" s="9" t="e">
        <f t="shared" ca="1" si="42"/>
        <v>#VALUE!</v>
      </c>
      <c r="N1970" s="10" t="e">
        <f t="shared" ca="1" si="43"/>
        <v>#VALUE!</v>
      </c>
      <c r="O1970" s="7" t="str">
        <f ca="1">IFERROR(__xludf.DUMMYFUNCTION("GOOGLEFINANCE(""NSE:""&amp;D1970,""pe"")"),"#N/A")</f>
        <v>#N/A</v>
      </c>
      <c r="P1970" s="7" t="str">
        <f ca="1">IFERROR(__xludf.DUMMYFUNCTION("GOOGLEFINANCE(""NSE:""&amp;D1970,""EPS"")"),"#N/A")</f>
        <v>#N/A</v>
      </c>
      <c r="Q1970" s="7">
        <v>13.5</v>
      </c>
      <c r="R1970" s="7" t="str">
        <f ca="1">IFERROR(__xludf.DUMMYFUNCTION("IMPORTXML(E1970,""/html/body/main/div[3]/div[3]/div[2]/ul/li[7]/span[2]/span"")"),"Loading...")</f>
        <v>Loading...</v>
      </c>
      <c r="S1970" s="7" t="str">
        <f ca="1">IFERROR(__xludf.DUMMYFUNCTION("IMPORTXML(E1970,""/html/body/main/div[3]/div[3]/div[2]/ul/li[8]/span[2]/span"")"),"Loading...")</f>
        <v>Loading...</v>
      </c>
      <c r="T1970" s="4">
        <v>34.6</v>
      </c>
      <c r="U1970" s="4">
        <v>22.7</v>
      </c>
      <c r="V1970" s="4">
        <v>2.6</v>
      </c>
      <c r="W1970" s="4">
        <v>5.7</v>
      </c>
      <c r="X1970" s="4">
        <v>519.92999999999995</v>
      </c>
      <c r="Y1970" s="7" t="e">
        <f t="shared" ca="1" si="44"/>
        <v>#VALUE!</v>
      </c>
    </row>
    <row r="1971" spans="1:25" ht="15" x14ac:dyDescent="0.25">
      <c r="A1971" s="4">
        <v>1714</v>
      </c>
      <c r="C1971" s="12" t="s">
        <v>4156</v>
      </c>
      <c r="D1971" s="12" t="s">
        <v>4157</v>
      </c>
      <c r="E1971" s="5" t="str">
        <f t="shared" si="40"/>
        <v>https://www.screener.in/company/BASML/consolidated/</v>
      </c>
      <c r="F1971" s="4">
        <v>443059</v>
      </c>
      <c r="G1971" s="4">
        <v>3832241897</v>
      </c>
      <c r="H1971" s="6">
        <f t="shared" ca="1" si="41"/>
        <v>10990.869760595999</v>
      </c>
      <c r="I1971" s="7" t="str">
        <f ca="1">IFERROR(__xludf.DUMMYFUNCTION("IMPORTXML(E1971,""/html/body/main/div[3]/div[3]/div[2]/ul/li[5]/span[2]/span"")"),"Loading...")</f>
        <v>Loading...</v>
      </c>
      <c r="J1971" s="7">
        <f ca="1">IFERROR(__xludf.DUMMYFUNCTION("GOOGLEFINANCE(""NSE:""&amp;D1971,""marketcap"")"),2292144342)</f>
        <v>2292144342</v>
      </c>
      <c r="K1971" s="7">
        <v>992.8</v>
      </c>
      <c r="L1971" s="8">
        <f ca="1">IFERROR(__xludf.DUMMYFUNCTION("GOOGLEFINANCE(""NSE:""&amp;D1971,""price"")"),28.68)</f>
        <v>28.68</v>
      </c>
      <c r="M1971" s="9">
        <f t="shared" ca="1" si="42"/>
        <v>-964.12</v>
      </c>
      <c r="N1971" s="10">
        <f t="shared" ca="1" si="43"/>
        <v>-97.111200644641428</v>
      </c>
      <c r="O1971" s="7">
        <f ca="1">IFERROR(__xludf.DUMMYFUNCTION("GOOGLEFINANCE(""NSE:""&amp;D1971,""pe"")"),22.18)</f>
        <v>22.18</v>
      </c>
      <c r="P1971" s="7">
        <f ca="1">IFERROR(__xludf.DUMMYFUNCTION("GOOGLEFINANCE(""NSE:""&amp;D1971,""EPS"")"),1.29)</f>
        <v>1.29</v>
      </c>
      <c r="Q1971" s="7">
        <v>13.5</v>
      </c>
      <c r="R1971" s="7" t="str">
        <f ca="1">IFERROR(__xludf.DUMMYFUNCTION("IMPORTXML(E1971,""/html/body/main/div[3]/div[3]/div[2]/ul/li[7]/span[2]/span"")"),"Loading...")</f>
        <v>Loading...</v>
      </c>
      <c r="S1971" s="7" t="str">
        <f ca="1">IFERROR(__xludf.DUMMYFUNCTION("IMPORTXML(E1971,""/html/body/main/div[3]/div[3]/div[2]/ul/li[8]/span[2]/span"")"),"Loading...")</f>
        <v>Loading...</v>
      </c>
      <c r="T1971" s="4">
        <v>34.6</v>
      </c>
      <c r="U1971" s="4">
        <v>22.7</v>
      </c>
      <c r="V1971" s="4">
        <v>2.6</v>
      </c>
      <c r="W1971" s="4">
        <v>5.7</v>
      </c>
      <c r="X1971" s="4">
        <v>519.92999999999995</v>
      </c>
      <c r="Y1971" s="7">
        <f t="shared" ca="1" si="44"/>
        <v>-491.24999999999994</v>
      </c>
    </row>
    <row r="1972" spans="1:25" ht="15" x14ac:dyDescent="0.25">
      <c r="A1972" s="4">
        <v>1715</v>
      </c>
      <c r="C1972" s="41" t="s">
        <v>4158</v>
      </c>
      <c r="D1972" s="42"/>
      <c r="E1972" s="5" t="str">
        <f t="shared" si="40"/>
        <v>https://www.screener.in/company//consolidated/</v>
      </c>
      <c r="F1972" s="4">
        <v>443059</v>
      </c>
      <c r="G1972" s="4">
        <v>3832241897</v>
      </c>
      <c r="H1972" s="6" t="e">
        <f t="shared" ca="1" si="41"/>
        <v>#VALUE!</v>
      </c>
      <c r="I1972" s="7" t="str">
        <f ca="1">IFERROR(__xludf.DUMMYFUNCTION("IMPORTXML(E1972,""/html/body/main/div[3]/div[3]/div[2]/ul/li[5]/span[2]/span"")"),"Loading...")</f>
        <v>Loading...</v>
      </c>
      <c r="J1972" s="7" t="str">
        <f ca="1">IFERROR(__xludf.DUMMYFUNCTION("GOOGLEFINANCE(""NSE:""&amp;D1972,""marketcap"")"),"#N/A")</f>
        <v>#N/A</v>
      </c>
      <c r="K1972" s="7">
        <v>992.8</v>
      </c>
      <c r="L1972" s="8" t="str">
        <f ca="1">IFERROR(__xludf.DUMMYFUNCTION("GOOGLEFINANCE(""NSE:""&amp;D1972,""price"")"),"#N/A")</f>
        <v>#N/A</v>
      </c>
      <c r="M1972" s="9" t="e">
        <f t="shared" ca="1" si="42"/>
        <v>#VALUE!</v>
      </c>
      <c r="N1972" s="10" t="e">
        <f t="shared" ca="1" si="43"/>
        <v>#VALUE!</v>
      </c>
      <c r="O1972" s="7" t="str">
        <f ca="1">IFERROR(__xludf.DUMMYFUNCTION("GOOGLEFINANCE(""NSE:""&amp;D1972,""pe"")"),"#N/A")</f>
        <v>#N/A</v>
      </c>
      <c r="P1972" s="7" t="str">
        <f ca="1">IFERROR(__xludf.DUMMYFUNCTION("GOOGLEFINANCE(""NSE:""&amp;D1972,""EPS"")"),"#N/A")</f>
        <v>#N/A</v>
      </c>
      <c r="Q1972" s="7">
        <v>13.5</v>
      </c>
      <c r="R1972" s="7" t="str">
        <f ca="1">IFERROR(__xludf.DUMMYFUNCTION("IMPORTXML(E1972,""/html/body/main/div[3]/div[3]/div[2]/ul/li[7]/span[2]/span"")"),"Loading...")</f>
        <v>Loading...</v>
      </c>
      <c r="S1972" s="7" t="str">
        <f ca="1">IFERROR(__xludf.DUMMYFUNCTION("IMPORTXML(E1972,""/html/body/main/div[3]/div[3]/div[2]/ul/li[8]/span[2]/span"")"),"Loading...")</f>
        <v>Loading...</v>
      </c>
      <c r="T1972" s="4">
        <v>34.6</v>
      </c>
      <c r="U1972" s="4">
        <v>22.7</v>
      </c>
      <c r="V1972" s="4">
        <v>2.6</v>
      </c>
      <c r="W1972" s="4">
        <v>5.7</v>
      </c>
      <c r="X1972" s="4">
        <v>519.92999999999995</v>
      </c>
      <c r="Y1972" s="7" t="e">
        <f t="shared" ca="1" si="44"/>
        <v>#VALUE!</v>
      </c>
    </row>
    <row r="1973" spans="1:25" ht="15" x14ac:dyDescent="0.25">
      <c r="A1973" s="4">
        <v>1716</v>
      </c>
      <c r="C1973" s="41" t="s">
        <v>4159</v>
      </c>
      <c r="D1973" s="42"/>
      <c r="E1973" s="5" t="str">
        <f t="shared" si="40"/>
        <v>https://www.screener.in/company//consolidated/</v>
      </c>
      <c r="F1973" s="4">
        <v>443059</v>
      </c>
      <c r="G1973" s="4">
        <v>3832241897</v>
      </c>
      <c r="H1973" s="6" t="e">
        <f t="shared" ca="1" si="41"/>
        <v>#VALUE!</v>
      </c>
      <c r="I1973" s="7" t="str">
        <f ca="1">IFERROR(__xludf.DUMMYFUNCTION("IMPORTXML(E1973,""/html/body/main/div[3]/div[3]/div[2]/ul/li[5]/span[2]/span"")"),"Loading...")</f>
        <v>Loading...</v>
      </c>
      <c r="J1973" s="7" t="str">
        <f ca="1">IFERROR(__xludf.DUMMYFUNCTION("GOOGLEFINANCE(""NSE:""&amp;D1973,""marketcap"")"),"#N/A")</f>
        <v>#N/A</v>
      </c>
      <c r="K1973" s="7">
        <v>992.8</v>
      </c>
      <c r="L1973" s="8" t="str">
        <f ca="1">IFERROR(__xludf.DUMMYFUNCTION("GOOGLEFINANCE(""NSE:""&amp;D1973,""price"")"),"#N/A")</f>
        <v>#N/A</v>
      </c>
      <c r="M1973" s="9" t="e">
        <f t="shared" ca="1" si="42"/>
        <v>#VALUE!</v>
      </c>
      <c r="N1973" s="10" t="e">
        <f t="shared" ca="1" si="43"/>
        <v>#VALUE!</v>
      </c>
      <c r="O1973" s="7" t="str">
        <f ca="1">IFERROR(__xludf.DUMMYFUNCTION("GOOGLEFINANCE(""NSE:""&amp;D1973,""pe"")"),"#N/A")</f>
        <v>#N/A</v>
      </c>
      <c r="P1973" s="7" t="str">
        <f ca="1">IFERROR(__xludf.DUMMYFUNCTION("GOOGLEFINANCE(""NSE:""&amp;D1973,""EPS"")"),"#N/A")</f>
        <v>#N/A</v>
      </c>
      <c r="Q1973" s="7">
        <v>13.5</v>
      </c>
      <c r="R1973" s="7" t="str">
        <f ca="1">IFERROR(__xludf.DUMMYFUNCTION("IMPORTXML(E1973,""/html/body/main/div[3]/div[3]/div[2]/ul/li[7]/span[2]/span"")"),"Loading...")</f>
        <v>Loading...</v>
      </c>
      <c r="S1973" s="7" t="str">
        <f ca="1">IFERROR(__xludf.DUMMYFUNCTION("IMPORTXML(E1973,""/html/body/main/div[3]/div[3]/div[2]/ul/li[8]/span[2]/span"")"),"Loading...")</f>
        <v>Loading...</v>
      </c>
      <c r="T1973" s="4">
        <v>34.6</v>
      </c>
      <c r="U1973" s="4">
        <v>22.7</v>
      </c>
      <c r="V1973" s="4">
        <v>2.6</v>
      </c>
      <c r="W1973" s="4">
        <v>5.7</v>
      </c>
      <c r="X1973" s="4">
        <v>519.92999999999995</v>
      </c>
      <c r="Y1973" s="7" t="e">
        <f t="shared" ca="1" si="44"/>
        <v>#VALUE!</v>
      </c>
    </row>
    <row r="1974" spans="1:25" ht="15" x14ac:dyDescent="0.25">
      <c r="A1974" s="4">
        <v>1717</v>
      </c>
      <c r="C1974" s="41" t="s">
        <v>4160</v>
      </c>
      <c r="D1974" s="42"/>
      <c r="E1974" s="5" t="str">
        <f t="shared" si="40"/>
        <v>https://www.screener.in/company//consolidated/</v>
      </c>
      <c r="F1974" s="4">
        <v>443059</v>
      </c>
      <c r="G1974" s="4">
        <v>3832241897</v>
      </c>
      <c r="H1974" s="6" t="e">
        <f t="shared" ca="1" si="41"/>
        <v>#VALUE!</v>
      </c>
      <c r="I1974" s="7" t="str">
        <f ca="1">IFERROR(__xludf.DUMMYFUNCTION("IMPORTXML(E1974,""/html/body/main/div[3]/div[3]/div[2]/ul/li[5]/span[2]/span"")"),"Loading...")</f>
        <v>Loading...</v>
      </c>
      <c r="J1974" s="7" t="str">
        <f ca="1">IFERROR(__xludf.DUMMYFUNCTION("GOOGLEFINANCE(""NSE:""&amp;D1974,""marketcap"")"),"#N/A")</f>
        <v>#N/A</v>
      </c>
      <c r="K1974" s="7">
        <v>992.8</v>
      </c>
      <c r="L1974" s="8" t="str">
        <f ca="1">IFERROR(__xludf.DUMMYFUNCTION("GOOGLEFINANCE(""NSE:""&amp;D1974,""price"")"),"#N/A")</f>
        <v>#N/A</v>
      </c>
      <c r="M1974" s="9" t="e">
        <f t="shared" ca="1" si="42"/>
        <v>#VALUE!</v>
      </c>
      <c r="N1974" s="10" t="e">
        <f t="shared" ca="1" si="43"/>
        <v>#VALUE!</v>
      </c>
      <c r="O1974" s="7" t="str">
        <f ca="1">IFERROR(__xludf.DUMMYFUNCTION("GOOGLEFINANCE(""NSE:""&amp;D1974,""pe"")"),"#N/A")</f>
        <v>#N/A</v>
      </c>
      <c r="P1974" s="7" t="str">
        <f ca="1">IFERROR(__xludf.DUMMYFUNCTION("GOOGLEFINANCE(""NSE:""&amp;D1974,""EPS"")"),"#N/A")</f>
        <v>#N/A</v>
      </c>
      <c r="Q1974" s="7">
        <v>13.5</v>
      </c>
      <c r="R1974" s="7" t="str">
        <f ca="1">IFERROR(__xludf.DUMMYFUNCTION("IMPORTXML(E1974,""/html/body/main/div[3]/div[3]/div[2]/ul/li[7]/span[2]/span"")"),"Loading...")</f>
        <v>Loading...</v>
      </c>
      <c r="S1974" s="7" t="str">
        <f ca="1">IFERROR(__xludf.DUMMYFUNCTION("IMPORTXML(E1974,""/html/body/main/div[3]/div[3]/div[2]/ul/li[8]/span[2]/span"")"),"Loading...")</f>
        <v>Loading...</v>
      </c>
      <c r="T1974" s="4">
        <v>34.6</v>
      </c>
      <c r="U1974" s="4">
        <v>22.7</v>
      </c>
      <c r="V1974" s="4">
        <v>2.6</v>
      </c>
      <c r="W1974" s="4">
        <v>5.7</v>
      </c>
      <c r="X1974" s="4">
        <v>519.92999999999995</v>
      </c>
      <c r="Y1974" s="7" t="e">
        <f t="shared" ca="1" si="44"/>
        <v>#VALUE!</v>
      </c>
    </row>
    <row r="1975" spans="1:25" ht="15" x14ac:dyDescent="0.25">
      <c r="A1975" s="4">
        <v>1719</v>
      </c>
      <c r="C1975" s="12" t="s">
        <v>4161</v>
      </c>
      <c r="D1975" s="12" t="s">
        <v>4162</v>
      </c>
      <c r="E1975" s="5" t="str">
        <f t="shared" si="40"/>
        <v>https://www.screener.in/company/SHYAMCENT/consolidated/</v>
      </c>
      <c r="F1975" s="4">
        <v>443059</v>
      </c>
      <c r="G1975" s="4">
        <v>3832241897</v>
      </c>
      <c r="H1975" s="6">
        <f t="shared" ca="1" si="41"/>
        <v>3092.6192108790001</v>
      </c>
      <c r="I1975" s="7" t="str">
        <f ca="1">IFERROR(__xludf.DUMMYFUNCTION("IMPORTXML(E1975,""/html/body/main/div[3]/div[3]/div[2]/ul/li[5]/span[2]/span"")"),"Loading...")</f>
        <v>Loading...</v>
      </c>
      <c r="J1975" s="7">
        <f ca="1">IFERROR(__xludf.DUMMYFUNCTION("GOOGLEFINANCE(""NSE:""&amp;D1975,""marketcap"")"),1737697000)</f>
        <v>1737697000</v>
      </c>
      <c r="K1975" s="7">
        <v>992.8</v>
      </c>
      <c r="L1975" s="8">
        <f ca="1">IFERROR(__xludf.DUMMYFUNCTION("GOOGLEFINANCE(""NSE:""&amp;D1975,""price"")"),8.07)</f>
        <v>8.07</v>
      </c>
      <c r="M1975" s="9">
        <f t="shared" ca="1" si="42"/>
        <v>-984.7299999999999</v>
      </c>
      <c r="N1975" s="10">
        <f t="shared" ca="1" si="43"/>
        <v>-99.187147461724408</v>
      </c>
      <c r="O1975" s="7" t="str">
        <f ca="1">IFERROR(__xludf.DUMMYFUNCTION("GOOGLEFINANCE(""NSE:""&amp;D1975,""pe"")"),"#N/A")</f>
        <v>#N/A</v>
      </c>
      <c r="P1975" s="7">
        <f ca="1">IFERROR(__xludf.DUMMYFUNCTION("GOOGLEFINANCE(""NSE:""&amp;D1975,""EPS"")"),-0.51)</f>
        <v>-0.51</v>
      </c>
      <c r="Q1975" s="7">
        <v>13.5</v>
      </c>
      <c r="R1975" s="7" t="str">
        <f ca="1">IFERROR(__xludf.DUMMYFUNCTION("IMPORTXML(E1975,""/html/body/main/div[3]/div[3]/div[2]/ul/li[7]/span[2]/span"")"),"Loading...")</f>
        <v>Loading...</v>
      </c>
      <c r="S1975" s="7" t="str">
        <f ca="1">IFERROR(__xludf.DUMMYFUNCTION("IMPORTXML(E1975,""/html/body/main/div[3]/div[3]/div[2]/ul/li[8]/span[2]/span"")"),"Loading...")</f>
        <v>Loading...</v>
      </c>
      <c r="T1975" s="4">
        <v>34.6</v>
      </c>
      <c r="U1975" s="4">
        <v>22.7</v>
      </c>
      <c r="V1975" s="4">
        <v>2.6</v>
      </c>
      <c r="W1975" s="4">
        <v>5.7</v>
      </c>
      <c r="X1975" s="4">
        <v>519.92999999999995</v>
      </c>
      <c r="Y1975" s="7">
        <f t="shared" ca="1" si="44"/>
        <v>-511.85999999999996</v>
      </c>
    </row>
    <row r="1976" spans="1:25" ht="15" x14ac:dyDescent="0.25">
      <c r="A1976" s="4">
        <v>1725</v>
      </c>
      <c r="C1976" s="41" t="s">
        <v>4163</v>
      </c>
      <c r="D1976" s="42"/>
      <c r="E1976" s="5" t="str">
        <f t="shared" si="40"/>
        <v>https://www.screener.in/company//consolidated/</v>
      </c>
      <c r="F1976" s="4">
        <v>443059</v>
      </c>
      <c r="G1976" s="4">
        <v>3832241897</v>
      </c>
      <c r="H1976" s="6" t="e">
        <f t="shared" ca="1" si="41"/>
        <v>#VALUE!</v>
      </c>
      <c r="I1976" s="7" t="str">
        <f ca="1">IFERROR(__xludf.DUMMYFUNCTION("IMPORTXML(E1976,""/html/body/main/div[3]/div[3]/div[2]/ul/li[5]/span[2]/span"")"),"Loading...")</f>
        <v>Loading...</v>
      </c>
      <c r="J1976" s="7" t="str">
        <f ca="1">IFERROR(__xludf.DUMMYFUNCTION("GOOGLEFINANCE(""NSE:""&amp;D1976,""marketcap"")"),"#N/A")</f>
        <v>#N/A</v>
      </c>
      <c r="K1976" s="7">
        <v>992.8</v>
      </c>
      <c r="L1976" s="8" t="str">
        <f ca="1">IFERROR(__xludf.DUMMYFUNCTION("GOOGLEFINANCE(""NSE:""&amp;D1976,""price"")"),"#N/A")</f>
        <v>#N/A</v>
      </c>
      <c r="M1976" s="9" t="e">
        <f t="shared" ca="1" si="42"/>
        <v>#VALUE!</v>
      </c>
      <c r="N1976" s="10" t="e">
        <f t="shared" ca="1" si="43"/>
        <v>#VALUE!</v>
      </c>
      <c r="O1976" s="7" t="str">
        <f ca="1">IFERROR(__xludf.DUMMYFUNCTION("GOOGLEFINANCE(""NSE:""&amp;D1976,""pe"")"),"#N/A")</f>
        <v>#N/A</v>
      </c>
      <c r="P1976" s="7" t="str">
        <f ca="1">IFERROR(__xludf.DUMMYFUNCTION("GOOGLEFINANCE(""NSE:""&amp;D1976,""EPS"")"),"#N/A")</f>
        <v>#N/A</v>
      </c>
      <c r="Q1976" s="7">
        <v>13.5</v>
      </c>
      <c r="R1976" s="7" t="str">
        <f ca="1">IFERROR(__xludf.DUMMYFUNCTION("IMPORTXML(E1976,""/html/body/main/div[3]/div[3]/div[2]/ul/li[7]/span[2]/span"")"),"Loading...")</f>
        <v>Loading...</v>
      </c>
      <c r="S1976" s="7" t="str">
        <f ca="1">IFERROR(__xludf.DUMMYFUNCTION("IMPORTXML(E1976,""/html/body/main/div[3]/div[3]/div[2]/ul/li[8]/span[2]/span"")"),"Loading...")</f>
        <v>Loading...</v>
      </c>
      <c r="T1976" s="4">
        <v>34.6</v>
      </c>
      <c r="U1976" s="4">
        <v>22.7</v>
      </c>
      <c r="V1976" s="4">
        <v>2.6</v>
      </c>
      <c r="W1976" s="4">
        <v>5.7</v>
      </c>
      <c r="X1976" s="4">
        <v>519.92999999999995</v>
      </c>
      <c r="Y1976" s="7" t="e">
        <f t="shared" ca="1" si="44"/>
        <v>#VALUE!</v>
      </c>
    </row>
    <row r="1977" spans="1:25" ht="15" x14ac:dyDescent="0.25">
      <c r="A1977" s="4">
        <v>1726</v>
      </c>
      <c r="C1977" s="12" t="s">
        <v>4164</v>
      </c>
      <c r="D1977" s="37"/>
      <c r="E1977" s="5" t="str">
        <f t="shared" si="40"/>
        <v>https://www.screener.in/company//consolidated/</v>
      </c>
      <c r="F1977" s="4">
        <v>443059</v>
      </c>
      <c r="G1977" s="4">
        <v>3832241897</v>
      </c>
      <c r="H1977" s="6" t="e">
        <f t="shared" ca="1" si="41"/>
        <v>#VALUE!</v>
      </c>
      <c r="I1977" s="7" t="str">
        <f ca="1">IFERROR(__xludf.DUMMYFUNCTION("IMPORTXML(E1977,""/html/body/main/div[3]/div[3]/div[2]/ul/li[5]/span[2]/span"")"),"Loading...")</f>
        <v>Loading...</v>
      </c>
      <c r="J1977" s="7" t="str">
        <f ca="1">IFERROR(__xludf.DUMMYFUNCTION("GOOGLEFINANCE(""NSE:""&amp;D1977,""marketcap"")"),"#N/A")</f>
        <v>#N/A</v>
      </c>
      <c r="K1977" s="7">
        <v>992.8</v>
      </c>
      <c r="L1977" s="8" t="str">
        <f ca="1">IFERROR(__xludf.DUMMYFUNCTION("GOOGLEFINANCE(""NSE:""&amp;D1977,""price"")"),"#N/A")</f>
        <v>#N/A</v>
      </c>
      <c r="M1977" s="9" t="e">
        <f t="shared" ca="1" si="42"/>
        <v>#VALUE!</v>
      </c>
      <c r="N1977" s="10" t="e">
        <f t="shared" ca="1" si="43"/>
        <v>#VALUE!</v>
      </c>
      <c r="O1977" s="7" t="str">
        <f ca="1">IFERROR(__xludf.DUMMYFUNCTION("GOOGLEFINANCE(""NSE:""&amp;D1977,""pe"")"),"#N/A")</f>
        <v>#N/A</v>
      </c>
      <c r="P1977" s="7" t="str">
        <f ca="1">IFERROR(__xludf.DUMMYFUNCTION("GOOGLEFINANCE(""NSE:""&amp;D1977,""EPS"")"),"#N/A")</f>
        <v>#N/A</v>
      </c>
      <c r="Q1977" s="7">
        <v>13.5</v>
      </c>
      <c r="R1977" s="7" t="str">
        <f ca="1">IFERROR(__xludf.DUMMYFUNCTION("IMPORTXML(E1977,""/html/body/main/div[3]/div[3]/div[2]/ul/li[7]/span[2]/span"")"),"Loading...")</f>
        <v>Loading...</v>
      </c>
      <c r="S1977" s="7" t="str">
        <f ca="1">IFERROR(__xludf.DUMMYFUNCTION("IMPORTXML(E1977,""/html/body/main/div[3]/div[3]/div[2]/ul/li[8]/span[2]/span"")"),"Loading...")</f>
        <v>Loading...</v>
      </c>
      <c r="T1977" s="4">
        <v>34.6</v>
      </c>
      <c r="U1977" s="4">
        <v>22.7</v>
      </c>
      <c r="V1977" s="4">
        <v>2.6</v>
      </c>
      <c r="W1977" s="4">
        <v>5.7</v>
      </c>
      <c r="X1977" s="4">
        <v>519.92999999999995</v>
      </c>
      <c r="Y1977" s="7" t="e">
        <f t="shared" ca="1" si="44"/>
        <v>#VALUE!</v>
      </c>
    </row>
    <row r="1978" spans="1:25" ht="15" x14ac:dyDescent="0.25">
      <c r="A1978" s="4">
        <v>1728</v>
      </c>
      <c r="C1978" s="12" t="s">
        <v>4165</v>
      </c>
      <c r="D1978" s="12" t="s">
        <v>4166</v>
      </c>
      <c r="E1978" s="5" t="str">
        <f t="shared" si="40"/>
        <v>https://www.screener.in/company/BGRENERGY/consolidated/</v>
      </c>
      <c r="F1978" s="4">
        <v>443059</v>
      </c>
      <c r="G1978" s="4">
        <v>3832241897</v>
      </c>
      <c r="H1978" s="6">
        <f t="shared" ca="1" si="41"/>
        <v>80427.260692338998</v>
      </c>
      <c r="I1978" s="7">
        <f ca="1">IFERROR(__xludf.DUMMYFUNCTION("IMPORTXML(E1978,""/html/body/main/div[3]/div[3]/div[2]/ul/li[5]/span[2]/span"")"),-223)</f>
        <v>-223</v>
      </c>
      <c r="J1978" s="7">
        <f ca="1">IFERROR(__xludf.DUMMYFUNCTION("GOOGLEFINANCE(""NSE:""&amp;D1978,""marketcap"")"),15144542047)</f>
        <v>15144542047</v>
      </c>
      <c r="K1978" s="7">
        <v>992.8</v>
      </c>
      <c r="L1978" s="8">
        <f ca="1">IFERROR(__xludf.DUMMYFUNCTION("GOOGLEFINANCE(""NSE:""&amp;D1978,""price"")"),209.87)</f>
        <v>209.87</v>
      </c>
      <c r="M1978" s="9">
        <f t="shared" ca="1" si="42"/>
        <v>-782.93</v>
      </c>
      <c r="N1978" s="10">
        <f t="shared" ca="1" si="43"/>
        <v>-78.860797743755043</v>
      </c>
      <c r="O1978" s="7" t="str">
        <f ca="1">IFERROR(__xludf.DUMMYFUNCTION("GOOGLEFINANCE(""NSE:""&amp;D1978,""pe"")"),"#N/A")</f>
        <v>#N/A</v>
      </c>
      <c r="P1978" s="7">
        <f ca="1">IFERROR(__xludf.DUMMYFUNCTION("GOOGLEFINANCE(""NSE:""&amp;D1978,""EPS"")"),-155.77)</f>
        <v>-155.77000000000001</v>
      </c>
      <c r="Q1978" s="7">
        <v>13.5</v>
      </c>
      <c r="R1978" s="7" t="str">
        <f ca="1">IFERROR(__xludf.DUMMYFUNCTION("IMPORTXML(E1978,""/html/body/main/div[3]/div[3]/div[2]/ul/li[7]/span[2]/span"")"),"Loading...")</f>
        <v>Loading...</v>
      </c>
      <c r="S1978" s="7" t="str">
        <f ca="1">IFERROR(__xludf.DUMMYFUNCTION("IMPORTXML(E1978,""/html/body/main/div[3]/div[3]/div[2]/ul/li[8]/span[2]/span"")"),"Loading...")</f>
        <v>Loading...</v>
      </c>
      <c r="T1978" s="4">
        <v>34.6</v>
      </c>
      <c r="U1978" s="4">
        <v>22.7</v>
      </c>
      <c r="V1978" s="4">
        <v>2.6</v>
      </c>
      <c r="W1978" s="4">
        <v>5.7</v>
      </c>
      <c r="X1978" s="4">
        <v>519.92999999999995</v>
      </c>
      <c r="Y1978" s="7">
        <f t="shared" ca="1" si="44"/>
        <v>-310.05999999999995</v>
      </c>
    </row>
    <row r="1979" spans="1:25" ht="15" x14ac:dyDescent="0.25">
      <c r="A1979" s="4">
        <v>1729</v>
      </c>
      <c r="C1979" s="41" t="s">
        <v>4167</v>
      </c>
      <c r="D1979" s="42"/>
      <c r="E1979" s="5" t="str">
        <f t="shared" si="40"/>
        <v>https://www.screener.in/company//consolidated/</v>
      </c>
      <c r="F1979" s="4">
        <v>443059</v>
      </c>
      <c r="G1979" s="4">
        <v>3832241897</v>
      </c>
      <c r="H1979" s="6" t="e">
        <f t="shared" ca="1" si="41"/>
        <v>#VALUE!</v>
      </c>
      <c r="I1979" s="7" t="str">
        <f ca="1">IFERROR(__xludf.DUMMYFUNCTION("IMPORTXML(E1979,""/html/body/main/div[3]/div[3]/div[2]/ul/li[5]/span[2]/span"")"),"Loading...")</f>
        <v>Loading...</v>
      </c>
      <c r="J1979" s="7" t="str">
        <f ca="1">IFERROR(__xludf.DUMMYFUNCTION("GOOGLEFINANCE(""NSE:""&amp;D1979,""marketcap"")"),"#N/A")</f>
        <v>#N/A</v>
      </c>
      <c r="K1979" s="7">
        <v>992.8</v>
      </c>
      <c r="L1979" s="8" t="str">
        <f ca="1">IFERROR(__xludf.DUMMYFUNCTION("GOOGLEFINANCE(""NSE:""&amp;D1979,""price"")"),"#N/A")</f>
        <v>#N/A</v>
      </c>
      <c r="M1979" s="9" t="e">
        <f t="shared" ca="1" si="42"/>
        <v>#VALUE!</v>
      </c>
      <c r="N1979" s="10" t="e">
        <f t="shared" ca="1" si="43"/>
        <v>#VALUE!</v>
      </c>
      <c r="O1979" s="7" t="str">
        <f ca="1">IFERROR(__xludf.DUMMYFUNCTION("GOOGLEFINANCE(""NSE:""&amp;D1979,""pe"")"),"#N/A")</f>
        <v>#N/A</v>
      </c>
      <c r="P1979" s="7" t="str">
        <f ca="1">IFERROR(__xludf.DUMMYFUNCTION("GOOGLEFINANCE(""NSE:""&amp;D1979,""EPS"")"),"#N/A")</f>
        <v>#N/A</v>
      </c>
      <c r="Q1979" s="7">
        <v>13.5</v>
      </c>
      <c r="R1979" s="7" t="str">
        <f ca="1">IFERROR(__xludf.DUMMYFUNCTION("IMPORTXML(E1979,""/html/body/main/div[3]/div[3]/div[2]/ul/li[7]/span[2]/span"")"),"Loading...")</f>
        <v>Loading...</v>
      </c>
      <c r="S1979" s="7" t="str">
        <f ca="1">IFERROR(__xludf.DUMMYFUNCTION("IMPORTXML(E1979,""/html/body/main/div[3]/div[3]/div[2]/ul/li[8]/span[2]/span"")"),"Loading...")</f>
        <v>Loading...</v>
      </c>
      <c r="T1979" s="4">
        <v>34.6</v>
      </c>
      <c r="U1979" s="4">
        <v>22.7</v>
      </c>
      <c r="V1979" s="4">
        <v>2.6</v>
      </c>
      <c r="W1979" s="4">
        <v>5.7</v>
      </c>
      <c r="X1979" s="4">
        <v>519.92999999999995</v>
      </c>
      <c r="Y1979" s="7" t="e">
        <f t="shared" ca="1" si="44"/>
        <v>#VALUE!</v>
      </c>
    </row>
    <row r="1980" spans="1:25" ht="15" x14ac:dyDescent="0.25">
      <c r="A1980" s="4">
        <v>1731</v>
      </c>
      <c r="C1980" s="41" t="s">
        <v>4168</v>
      </c>
      <c r="D1980" s="42"/>
      <c r="E1980" s="5" t="str">
        <f t="shared" si="40"/>
        <v>https://www.screener.in/company//consolidated/</v>
      </c>
      <c r="F1980" s="4">
        <v>443059</v>
      </c>
      <c r="G1980" s="4">
        <v>3832241897</v>
      </c>
      <c r="H1980" s="6" t="e">
        <f t="shared" ca="1" si="41"/>
        <v>#VALUE!</v>
      </c>
      <c r="I1980" s="7" t="str">
        <f ca="1">IFERROR(__xludf.DUMMYFUNCTION("IMPORTXML(E1980,""/html/body/main/div[3]/div[3]/div[2]/ul/li[5]/span[2]/span"")"),"Loading...")</f>
        <v>Loading...</v>
      </c>
      <c r="J1980" s="7" t="str">
        <f ca="1">IFERROR(__xludf.DUMMYFUNCTION("GOOGLEFINANCE(""NSE:""&amp;D1980,""marketcap"")"),"#N/A")</f>
        <v>#N/A</v>
      </c>
      <c r="K1980" s="7">
        <v>992.8</v>
      </c>
      <c r="L1980" s="8" t="str">
        <f ca="1">IFERROR(__xludf.DUMMYFUNCTION("GOOGLEFINANCE(""NSE:""&amp;D1980,""price"")"),"#N/A")</f>
        <v>#N/A</v>
      </c>
      <c r="M1980" s="9" t="e">
        <f t="shared" ca="1" si="42"/>
        <v>#VALUE!</v>
      </c>
      <c r="N1980" s="10" t="e">
        <f t="shared" ca="1" si="43"/>
        <v>#VALUE!</v>
      </c>
      <c r="O1980" s="7" t="str">
        <f ca="1">IFERROR(__xludf.DUMMYFUNCTION("GOOGLEFINANCE(""NSE:""&amp;D1980,""pe"")"),"#N/A")</f>
        <v>#N/A</v>
      </c>
      <c r="P1980" s="7" t="str">
        <f ca="1">IFERROR(__xludf.DUMMYFUNCTION("GOOGLEFINANCE(""NSE:""&amp;D1980,""EPS"")"),"#N/A")</f>
        <v>#N/A</v>
      </c>
      <c r="Q1980" s="7">
        <v>13.5</v>
      </c>
      <c r="R1980" s="7" t="str">
        <f ca="1">IFERROR(__xludf.DUMMYFUNCTION("IMPORTXML(E1980,""/html/body/main/div[3]/div[3]/div[2]/ul/li[7]/span[2]/span"")"),"Loading...")</f>
        <v>Loading...</v>
      </c>
      <c r="S1980" s="7" t="str">
        <f ca="1">IFERROR(__xludf.DUMMYFUNCTION("IMPORTXML(E1980,""/html/body/main/div[3]/div[3]/div[2]/ul/li[8]/span[2]/span"")"),"Loading...")</f>
        <v>Loading...</v>
      </c>
      <c r="T1980" s="4">
        <v>34.6</v>
      </c>
      <c r="U1980" s="4">
        <v>22.7</v>
      </c>
      <c r="V1980" s="4">
        <v>2.6</v>
      </c>
      <c r="W1980" s="4">
        <v>5.7</v>
      </c>
      <c r="X1980" s="4">
        <v>519.92999999999995</v>
      </c>
      <c r="Y1980" s="7" t="e">
        <f t="shared" ca="1" si="44"/>
        <v>#VALUE!</v>
      </c>
    </row>
    <row r="1981" spans="1:25" ht="15" x14ac:dyDescent="0.25">
      <c r="A1981" s="4">
        <v>1734</v>
      </c>
      <c r="C1981" s="12" t="s">
        <v>4169</v>
      </c>
      <c r="D1981" s="37"/>
      <c r="E1981" s="5" t="str">
        <f t="shared" si="40"/>
        <v>https://www.screener.in/company//consolidated/</v>
      </c>
      <c r="F1981" s="4">
        <v>443059</v>
      </c>
      <c r="G1981" s="4">
        <v>3832241897</v>
      </c>
      <c r="H1981" s="6" t="e">
        <f t="shared" ca="1" si="41"/>
        <v>#VALUE!</v>
      </c>
      <c r="I1981" s="7" t="str">
        <f ca="1">IFERROR(__xludf.DUMMYFUNCTION("IMPORTXML(E1981,""/html/body/main/div[3]/div[3]/div[2]/ul/li[5]/span[2]/span"")"),"Loading...")</f>
        <v>Loading...</v>
      </c>
      <c r="J1981" s="7" t="str">
        <f ca="1">IFERROR(__xludf.DUMMYFUNCTION("GOOGLEFINANCE(""NSE:""&amp;D1981,""marketcap"")"),"#N/A")</f>
        <v>#N/A</v>
      </c>
      <c r="K1981" s="7">
        <v>992.8</v>
      </c>
      <c r="L1981" s="8" t="str">
        <f ca="1">IFERROR(__xludf.DUMMYFUNCTION("GOOGLEFINANCE(""NSE:""&amp;D1981,""price"")"),"#N/A")</f>
        <v>#N/A</v>
      </c>
      <c r="M1981" s="9" t="e">
        <f t="shared" ca="1" si="42"/>
        <v>#VALUE!</v>
      </c>
      <c r="N1981" s="10" t="e">
        <f t="shared" ca="1" si="43"/>
        <v>#VALUE!</v>
      </c>
      <c r="O1981" s="7" t="str">
        <f ca="1">IFERROR(__xludf.DUMMYFUNCTION("GOOGLEFINANCE(""NSE:""&amp;D1981,""pe"")"),"#N/A")</f>
        <v>#N/A</v>
      </c>
      <c r="P1981" s="7" t="str">
        <f ca="1">IFERROR(__xludf.DUMMYFUNCTION("GOOGLEFINANCE(""NSE:""&amp;D1981,""EPS"")"),"#N/A")</f>
        <v>#N/A</v>
      </c>
      <c r="Q1981" s="7">
        <v>13.5</v>
      </c>
      <c r="R1981" s="7" t="str">
        <f ca="1">IFERROR(__xludf.DUMMYFUNCTION("IMPORTXML(E1981,""/html/body/main/div[3]/div[3]/div[2]/ul/li[7]/span[2]/span"")"),"Loading...")</f>
        <v>Loading...</v>
      </c>
      <c r="S1981" s="7" t="str">
        <f ca="1">IFERROR(__xludf.DUMMYFUNCTION("IMPORTXML(E1981,""/html/body/main/div[3]/div[3]/div[2]/ul/li[8]/span[2]/span"")"),"Loading...")</f>
        <v>Loading...</v>
      </c>
      <c r="T1981" s="4">
        <v>34.6</v>
      </c>
      <c r="U1981" s="4">
        <v>22.7</v>
      </c>
      <c r="V1981" s="4">
        <v>2.6</v>
      </c>
      <c r="W1981" s="4">
        <v>5.7</v>
      </c>
      <c r="X1981" s="4">
        <v>519.92999999999995</v>
      </c>
      <c r="Y1981" s="7" t="e">
        <f t="shared" ca="1" si="44"/>
        <v>#VALUE!</v>
      </c>
    </row>
    <row r="1982" spans="1:25" ht="15" x14ac:dyDescent="0.25">
      <c r="A1982" s="4">
        <v>1735</v>
      </c>
      <c r="C1982" s="41" t="s">
        <v>4170</v>
      </c>
      <c r="D1982" s="42"/>
      <c r="E1982" s="5" t="str">
        <f t="shared" si="40"/>
        <v>https://www.screener.in/company//consolidated/</v>
      </c>
      <c r="F1982" s="4">
        <v>443059</v>
      </c>
      <c r="G1982" s="4">
        <v>3832241897</v>
      </c>
      <c r="H1982" s="6" t="e">
        <f t="shared" ca="1" si="41"/>
        <v>#VALUE!</v>
      </c>
      <c r="I1982" s="7" t="str">
        <f ca="1">IFERROR(__xludf.DUMMYFUNCTION("IMPORTXML(E1982,""/html/body/main/div[3]/div[3]/div[2]/ul/li[5]/span[2]/span"")"),"Loading...")</f>
        <v>Loading...</v>
      </c>
      <c r="J1982" s="7" t="str">
        <f ca="1">IFERROR(__xludf.DUMMYFUNCTION("GOOGLEFINANCE(""NSE:""&amp;D1982,""marketcap"")"),"#N/A")</f>
        <v>#N/A</v>
      </c>
      <c r="K1982" s="7">
        <v>992.8</v>
      </c>
      <c r="L1982" s="8" t="str">
        <f ca="1">IFERROR(__xludf.DUMMYFUNCTION("GOOGLEFINANCE(""NSE:""&amp;D1982,""price"")"),"#N/A")</f>
        <v>#N/A</v>
      </c>
      <c r="M1982" s="9" t="e">
        <f t="shared" ca="1" si="42"/>
        <v>#VALUE!</v>
      </c>
      <c r="N1982" s="10" t="e">
        <f t="shared" ca="1" si="43"/>
        <v>#VALUE!</v>
      </c>
      <c r="O1982" s="7" t="str">
        <f ca="1">IFERROR(__xludf.DUMMYFUNCTION("GOOGLEFINANCE(""NSE:""&amp;D1982,""pe"")"),"#N/A")</f>
        <v>#N/A</v>
      </c>
      <c r="P1982" s="7" t="str">
        <f ca="1">IFERROR(__xludf.DUMMYFUNCTION("GOOGLEFINANCE(""NSE:""&amp;D1982,""EPS"")"),"#N/A")</f>
        <v>#N/A</v>
      </c>
      <c r="Q1982" s="7">
        <v>13.5</v>
      </c>
      <c r="R1982" s="7" t="str">
        <f ca="1">IFERROR(__xludf.DUMMYFUNCTION("IMPORTXML(E1982,""/html/body/main/div[3]/div[3]/div[2]/ul/li[7]/span[2]/span"")"),"Loading...")</f>
        <v>Loading...</v>
      </c>
      <c r="S1982" s="7" t="str">
        <f ca="1">IFERROR(__xludf.DUMMYFUNCTION("IMPORTXML(E1982,""/html/body/main/div[3]/div[3]/div[2]/ul/li[8]/span[2]/span"")"),"Loading...")</f>
        <v>Loading...</v>
      </c>
      <c r="T1982" s="4">
        <v>34.6</v>
      </c>
      <c r="U1982" s="4">
        <v>22.7</v>
      </c>
      <c r="V1982" s="4">
        <v>2.6</v>
      </c>
      <c r="W1982" s="4">
        <v>5.7</v>
      </c>
      <c r="X1982" s="4">
        <v>519.92999999999995</v>
      </c>
      <c r="Y1982" s="7" t="e">
        <f t="shared" ca="1" si="44"/>
        <v>#VALUE!</v>
      </c>
    </row>
    <row r="1983" spans="1:25" ht="15" x14ac:dyDescent="0.25">
      <c r="A1983" s="4">
        <v>1736</v>
      </c>
      <c r="C1983" s="41" t="s">
        <v>4171</v>
      </c>
      <c r="D1983" s="42"/>
      <c r="E1983" s="5" t="str">
        <f t="shared" si="40"/>
        <v>https://www.screener.in/company//consolidated/</v>
      </c>
      <c r="F1983" s="4">
        <v>443059</v>
      </c>
      <c r="G1983" s="4">
        <v>3832241897</v>
      </c>
      <c r="H1983" s="6" t="e">
        <f t="shared" ca="1" si="41"/>
        <v>#VALUE!</v>
      </c>
      <c r="I1983" s="7" t="str">
        <f ca="1">IFERROR(__xludf.DUMMYFUNCTION("IMPORTXML(E1983,""/html/body/main/div[3]/div[3]/div[2]/ul/li[5]/span[2]/span"")"),"Loading...")</f>
        <v>Loading...</v>
      </c>
      <c r="J1983" s="7" t="str">
        <f ca="1">IFERROR(__xludf.DUMMYFUNCTION("GOOGLEFINANCE(""NSE:""&amp;D1983,""marketcap"")"),"#N/A")</f>
        <v>#N/A</v>
      </c>
      <c r="K1983" s="7">
        <v>992.8</v>
      </c>
      <c r="L1983" s="8" t="str">
        <f ca="1">IFERROR(__xludf.DUMMYFUNCTION("GOOGLEFINANCE(""NSE:""&amp;D1983,""price"")"),"#N/A")</f>
        <v>#N/A</v>
      </c>
      <c r="M1983" s="9" t="e">
        <f t="shared" ca="1" si="42"/>
        <v>#VALUE!</v>
      </c>
      <c r="N1983" s="10" t="e">
        <f t="shared" ca="1" si="43"/>
        <v>#VALUE!</v>
      </c>
      <c r="O1983" s="7" t="str">
        <f ca="1">IFERROR(__xludf.DUMMYFUNCTION("GOOGLEFINANCE(""NSE:""&amp;D1983,""pe"")"),"#N/A")</f>
        <v>#N/A</v>
      </c>
      <c r="P1983" s="7" t="str">
        <f ca="1">IFERROR(__xludf.DUMMYFUNCTION("GOOGLEFINANCE(""NSE:""&amp;D1983,""EPS"")"),"#N/A")</f>
        <v>#N/A</v>
      </c>
      <c r="Q1983" s="7">
        <v>13.5</v>
      </c>
      <c r="R1983" s="7" t="str">
        <f ca="1">IFERROR(__xludf.DUMMYFUNCTION("IMPORTXML(E1983,""/html/body/main/div[3]/div[3]/div[2]/ul/li[7]/span[2]/span"")"),"Loading...")</f>
        <v>Loading...</v>
      </c>
      <c r="S1983" s="7" t="str">
        <f ca="1">IFERROR(__xludf.DUMMYFUNCTION("IMPORTXML(E1983,""/html/body/main/div[3]/div[3]/div[2]/ul/li[8]/span[2]/span"")"),"Loading...")</f>
        <v>Loading...</v>
      </c>
      <c r="T1983" s="4">
        <v>34.6</v>
      </c>
      <c r="U1983" s="4">
        <v>22.7</v>
      </c>
      <c r="V1983" s="4">
        <v>2.6</v>
      </c>
      <c r="W1983" s="4">
        <v>5.7</v>
      </c>
      <c r="X1983" s="4">
        <v>519.92999999999995</v>
      </c>
      <c r="Y1983" s="7" t="e">
        <f t="shared" ca="1" si="44"/>
        <v>#VALUE!</v>
      </c>
    </row>
    <row r="1984" spans="1:25" ht="15" x14ac:dyDescent="0.25">
      <c r="A1984" s="4">
        <v>1737</v>
      </c>
      <c r="C1984" s="41" t="s">
        <v>4172</v>
      </c>
      <c r="D1984" s="42"/>
      <c r="E1984" s="5" t="str">
        <f t="shared" si="40"/>
        <v>https://www.screener.in/company//consolidated/</v>
      </c>
      <c r="F1984" s="4">
        <v>443059</v>
      </c>
      <c r="G1984" s="4">
        <v>3832241897</v>
      </c>
      <c r="H1984" s="6" t="e">
        <f t="shared" ca="1" si="41"/>
        <v>#VALUE!</v>
      </c>
      <c r="I1984" s="7" t="str">
        <f ca="1">IFERROR(__xludf.DUMMYFUNCTION("IMPORTXML(E1984,""/html/body/main/div[3]/div[3]/div[2]/ul/li[5]/span[2]/span"")"),"Loading...")</f>
        <v>Loading...</v>
      </c>
      <c r="J1984" s="7" t="str">
        <f ca="1">IFERROR(__xludf.DUMMYFUNCTION("GOOGLEFINANCE(""NSE:""&amp;D1984,""marketcap"")"),"#N/A")</f>
        <v>#N/A</v>
      </c>
      <c r="K1984" s="7">
        <v>992.8</v>
      </c>
      <c r="L1984" s="8" t="str">
        <f ca="1">IFERROR(__xludf.DUMMYFUNCTION("GOOGLEFINANCE(""NSE:""&amp;D1984,""price"")"),"#N/A")</f>
        <v>#N/A</v>
      </c>
      <c r="M1984" s="9" t="e">
        <f t="shared" ca="1" si="42"/>
        <v>#VALUE!</v>
      </c>
      <c r="N1984" s="10" t="e">
        <f t="shared" ca="1" si="43"/>
        <v>#VALUE!</v>
      </c>
      <c r="O1984" s="7" t="str">
        <f ca="1">IFERROR(__xludf.DUMMYFUNCTION("GOOGLEFINANCE(""NSE:""&amp;D1984,""pe"")"),"#N/A")</f>
        <v>#N/A</v>
      </c>
      <c r="P1984" s="7" t="str">
        <f ca="1">IFERROR(__xludf.DUMMYFUNCTION("GOOGLEFINANCE(""NSE:""&amp;D1984,""EPS"")"),"#N/A")</f>
        <v>#N/A</v>
      </c>
      <c r="Q1984" s="7">
        <v>13.5</v>
      </c>
      <c r="R1984" s="7" t="str">
        <f ca="1">IFERROR(__xludf.DUMMYFUNCTION("IMPORTXML(E1984,""/html/body/main/div[3]/div[3]/div[2]/ul/li[7]/span[2]/span"")"),"Loading...")</f>
        <v>Loading...</v>
      </c>
      <c r="S1984" s="7" t="str">
        <f ca="1">IFERROR(__xludf.DUMMYFUNCTION("IMPORTXML(E1984,""/html/body/main/div[3]/div[3]/div[2]/ul/li[8]/span[2]/span"")"),"Loading...")</f>
        <v>Loading...</v>
      </c>
      <c r="T1984" s="4">
        <v>34.6</v>
      </c>
      <c r="U1984" s="4">
        <v>22.7</v>
      </c>
      <c r="V1984" s="4">
        <v>2.6</v>
      </c>
      <c r="W1984" s="4">
        <v>5.7</v>
      </c>
      <c r="X1984" s="4">
        <v>519.92999999999995</v>
      </c>
      <c r="Y1984" s="7" t="e">
        <f t="shared" ca="1" si="44"/>
        <v>#VALUE!</v>
      </c>
    </row>
    <row r="1985" spans="1:25" ht="15" x14ac:dyDescent="0.25">
      <c r="A1985" s="4">
        <v>1738</v>
      </c>
      <c r="C1985" s="41" t="s">
        <v>4173</v>
      </c>
      <c r="D1985" s="42"/>
      <c r="E1985" s="5" t="str">
        <f t="shared" si="40"/>
        <v>https://www.screener.in/company//consolidated/</v>
      </c>
      <c r="F1985" s="4">
        <v>443059</v>
      </c>
      <c r="G1985" s="4">
        <v>3832241897</v>
      </c>
      <c r="H1985" s="6" t="e">
        <f t="shared" ca="1" si="41"/>
        <v>#VALUE!</v>
      </c>
      <c r="I1985" s="7" t="str">
        <f ca="1">IFERROR(__xludf.DUMMYFUNCTION("IMPORTXML(E1985,""/html/body/main/div[3]/div[3]/div[2]/ul/li[5]/span[2]/span"")"),"Loading...")</f>
        <v>Loading...</v>
      </c>
      <c r="J1985" s="7" t="str">
        <f ca="1">IFERROR(__xludf.DUMMYFUNCTION("GOOGLEFINANCE(""NSE:""&amp;D1985,""marketcap"")"),"#N/A")</f>
        <v>#N/A</v>
      </c>
      <c r="K1985" s="7">
        <v>992.8</v>
      </c>
      <c r="L1985" s="8" t="str">
        <f ca="1">IFERROR(__xludf.DUMMYFUNCTION("GOOGLEFINANCE(""NSE:""&amp;D1985,""price"")"),"#N/A")</f>
        <v>#N/A</v>
      </c>
      <c r="M1985" s="9" t="e">
        <f t="shared" ca="1" si="42"/>
        <v>#VALUE!</v>
      </c>
      <c r="N1985" s="10" t="e">
        <f t="shared" ca="1" si="43"/>
        <v>#VALUE!</v>
      </c>
      <c r="O1985" s="7" t="str">
        <f ca="1">IFERROR(__xludf.DUMMYFUNCTION("GOOGLEFINANCE(""NSE:""&amp;D1985,""pe"")"),"#N/A")</f>
        <v>#N/A</v>
      </c>
      <c r="P1985" s="7" t="str">
        <f ca="1">IFERROR(__xludf.DUMMYFUNCTION("GOOGLEFINANCE(""NSE:""&amp;D1985,""EPS"")"),"#N/A")</f>
        <v>#N/A</v>
      </c>
      <c r="Q1985" s="7">
        <v>13.5</v>
      </c>
      <c r="R1985" s="7" t="str">
        <f ca="1">IFERROR(__xludf.DUMMYFUNCTION("IMPORTXML(E1985,""/html/body/main/div[3]/div[3]/div[2]/ul/li[7]/span[2]/span"")"),"Loading...")</f>
        <v>Loading...</v>
      </c>
      <c r="S1985" s="7" t="str">
        <f ca="1">IFERROR(__xludf.DUMMYFUNCTION("IMPORTXML(E1985,""/html/body/main/div[3]/div[3]/div[2]/ul/li[8]/span[2]/span"")"),"Loading...")</f>
        <v>Loading...</v>
      </c>
      <c r="T1985" s="4">
        <v>34.6</v>
      </c>
      <c r="U1985" s="4">
        <v>22.7</v>
      </c>
      <c r="V1985" s="4">
        <v>2.6</v>
      </c>
      <c r="W1985" s="4">
        <v>5.7</v>
      </c>
      <c r="X1985" s="4">
        <v>519.92999999999995</v>
      </c>
      <c r="Y1985" s="7" t="e">
        <f t="shared" ca="1" si="44"/>
        <v>#VALUE!</v>
      </c>
    </row>
    <row r="1986" spans="1:25" ht="15" x14ac:dyDescent="0.25">
      <c r="A1986" s="4">
        <v>1739</v>
      </c>
      <c r="C1986" s="12" t="s">
        <v>4174</v>
      </c>
      <c r="D1986" s="12" t="s">
        <v>4175</v>
      </c>
      <c r="E1986" s="5" t="str">
        <f t="shared" si="40"/>
        <v>https://www.screener.in/company/SOUTHWEST/consolidated/</v>
      </c>
      <c r="F1986" s="4">
        <v>443059</v>
      </c>
      <c r="G1986" s="4">
        <v>3832241897</v>
      </c>
      <c r="H1986" s="6">
        <f t="shared" ca="1" si="41"/>
        <v>56123.182581564994</v>
      </c>
      <c r="I1986" s="7" t="str">
        <f ca="1">IFERROR(__xludf.DUMMYFUNCTION("IMPORTXML(E1986,""/html/body/main/div[3]/div[3]/div[2]/ul/li[5]/span[2]/span"")"),"Loading...")</f>
        <v>Loading...</v>
      </c>
      <c r="J1986" s="7">
        <f ca="1">IFERROR(__xludf.DUMMYFUNCTION("GOOGLEFINANCE(""NSE:""&amp;D1986,""marketcap"")"),4414935652)</f>
        <v>4414935652</v>
      </c>
      <c r="K1986" s="7">
        <v>992.8</v>
      </c>
      <c r="L1986" s="8">
        <f ca="1">IFERROR(__xludf.DUMMYFUNCTION("GOOGLEFINANCE(""NSE:""&amp;D1986,""price"")"),146.45)</f>
        <v>146.44999999999999</v>
      </c>
      <c r="M1986" s="9">
        <f t="shared" ca="1" si="42"/>
        <v>-846.34999999999991</v>
      </c>
      <c r="N1986" s="10">
        <f t="shared" ca="1" si="43"/>
        <v>-85.248791297340858</v>
      </c>
      <c r="O1986" s="7">
        <f ca="1">IFERROR(__xludf.DUMMYFUNCTION("GOOGLEFINANCE(""NSE:""&amp;D1986,""pe"")"),24.53)</f>
        <v>24.53</v>
      </c>
      <c r="P1986" s="7">
        <f ca="1">IFERROR(__xludf.DUMMYFUNCTION("GOOGLEFINANCE(""NSE:""&amp;D1986,""EPS"")"),5.97)</f>
        <v>5.97</v>
      </c>
      <c r="Q1986" s="7">
        <v>13.5</v>
      </c>
      <c r="R1986" s="7" t="str">
        <f ca="1">IFERROR(__xludf.DUMMYFUNCTION("IMPORTXML(E1986,""/html/body/main/div[3]/div[3]/div[2]/ul/li[7]/span[2]/span"")"),"Loading...")</f>
        <v>Loading...</v>
      </c>
      <c r="S1986" s="7" t="str">
        <f ca="1">IFERROR(__xludf.DUMMYFUNCTION("IMPORTXML(E1986,""/html/body/main/div[3]/div[3]/div[2]/ul/li[8]/span[2]/span"")"),"Loading...")</f>
        <v>Loading...</v>
      </c>
      <c r="T1986" s="4">
        <v>34.6</v>
      </c>
      <c r="U1986" s="4">
        <v>22.7</v>
      </c>
      <c r="V1986" s="4">
        <v>2.6</v>
      </c>
      <c r="W1986" s="4">
        <v>5.7</v>
      </c>
      <c r="X1986" s="4">
        <v>519.92999999999995</v>
      </c>
      <c r="Y1986" s="7">
        <f t="shared" ca="1" si="44"/>
        <v>-373.47999999999996</v>
      </c>
    </row>
    <row r="1987" spans="1:25" ht="15" x14ac:dyDescent="0.25">
      <c r="A1987" s="4">
        <v>1740</v>
      </c>
      <c r="C1987" s="41" t="s">
        <v>4176</v>
      </c>
      <c r="D1987" s="42"/>
      <c r="E1987" s="5" t="str">
        <f t="shared" si="40"/>
        <v>https://www.screener.in/company//consolidated/</v>
      </c>
      <c r="F1987" s="4">
        <v>443059</v>
      </c>
      <c r="G1987" s="4">
        <v>3832241897</v>
      </c>
      <c r="H1987" s="6" t="e">
        <f t="shared" ca="1" si="41"/>
        <v>#VALUE!</v>
      </c>
      <c r="I1987" s="7" t="str">
        <f ca="1">IFERROR(__xludf.DUMMYFUNCTION("IMPORTXML(E1987,""/html/body/main/div[3]/div[3]/div[2]/ul/li[5]/span[2]/span"")"),"Loading...")</f>
        <v>Loading...</v>
      </c>
      <c r="J1987" s="7" t="str">
        <f ca="1">IFERROR(__xludf.DUMMYFUNCTION("GOOGLEFINANCE(""NSE:""&amp;D1987,""marketcap"")"),"#N/A")</f>
        <v>#N/A</v>
      </c>
      <c r="K1987" s="7">
        <v>992.8</v>
      </c>
      <c r="L1987" s="8" t="str">
        <f ca="1">IFERROR(__xludf.DUMMYFUNCTION("GOOGLEFINANCE(""NSE:""&amp;D1987,""price"")"),"#N/A")</f>
        <v>#N/A</v>
      </c>
      <c r="M1987" s="9" t="e">
        <f t="shared" ca="1" si="42"/>
        <v>#VALUE!</v>
      </c>
      <c r="N1987" s="10" t="e">
        <f t="shared" ca="1" si="43"/>
        <v>#VALUE!</v>
      </c>
      <c r="O1987" s="7" t="str">
        <f ca="1">IFERROR(__xludf.DUMMYFUNCTION("GOOGLEFINANCE(""NSE:""&amp;D1987,""pe"")"),"#N/A")</f>
        <v>#N/A</v>
      </c>
      <c r="P1987" s="7" t="str">
        <f ca="1">IFERROR(__xludf.DUMMYFUNCTION("GOOGLEFINANCE(""NSE:""&amp;D1987,""EPS"")"),"#N/A")</f>
        <v>#N/A</v>
      </c>
      <c r="Q1987" s="7">
        <v>13.5</v>
      </c>
      <c r="R1987" s="7" t="str">
        <f ca="1">IFERROR(__xludf.DUMMYFUNCTION("IMPORTXML(E1987,""/html/body/main/div[3]/div[3]/div[2]/ul/li[7]/span[2]/span"")"),"Loading...")</f>
        <v>Loading...</v>
      </c>
      <c r="S1987" s="7" t="str">
        <f ca="1">IFERROR(__xludf.DUMMYFUNCTION("IMPORTXML(E1987,""/html/body/main/div[3]/div[3]/div[2]/ul/li[8]/span[2]/span"")"),"Loading...")</f>
        <v>Loading...</v>
      </c>
      <c r="T1987" s="4">
        <v>34.6</v>
      </c>
      <c r="U1987" s="4">
        <v>22.7</v>
      </c>
      <c r="V1987" s="4">
        <v>2.6</v>
      </c>
      <c r="W1987" s="4">
        <v>5.7</v>
      </c>
      <c r="X1987" s="4">
        <v>519.92999999999995</v>
      </c>
      <c r="Y1987" s="7" t="e">
        <f t="shared" ca="1" si="44"/>
        <v>#VALUE!</v>
      </c>
    </row>
    <row r="1988" spans="1:25" ht="15" x14ac:dyDescent="0.25">
      <c r="A1988" s="4">
        <v>1741</v>
      </c>
      <c r="C1988" s="12" t="s">
        <v>4177</v>
      </c>
      <c r="D1988" s="12" t="s">
        <v>4178</v>
      </c>
      <c r="E1988" s="5" t="str">
        <f t="shared" si="40"/>
        <v>https://www.screener.in/company/COASTCORP/consolidated/</v>
      </c>
      <c r="F1988" s="4">
        <v>443059</v>
      </c>
      <c r="G1988" s="4">
        <v>3832241897</v>
      </c>
      <c r="H1988" s="6">
        <f t="shared" ca="1" si="41"/>
        <v>12263.1740704</v>
      </c>
      <c r="I1988" s="7" t="str">
        <f ca="1">IFERROR(__xludf.DUMMYFUNCTION("IMPORTXML(E1988,""/html/body/main/div[3]/div[3]/div[2]/ul/li[5]/span[2]/span"")"),"Loading...")</f>
        <v>Loading...</v>
      </c>
      <c r="J1988" s="7">
        <f ca="1">IFERROR(__xludf.DUMMYFUNCTION("GOOGLEFINANCE(""NSE:""&amp;D1988,""marketcap"")"),2143271040)</f>
        <v>2143271040</v>
      </c>
      <c r="K1988" s="7">
        <v>992.8</v>
      </c>
      <c r="L1988" s="8">
        <f ca="1">IFERROR(__xludf.DUMMYFUNCTION("GOOGLEFINANCE(""NSE:""&amp;D1988,""price"")"),32)</f>
        <v>32</v>
      </c>
      <c r="M1988" s="9">
        <f t="shared" ca="1" si="42"/>
        <v>-960.8</v>
      </c>
      <c r="N1988" s="10">
        <f t="shared" ca="1" si="43"/>
        <v>-96.776792908944401</v>
      </c>
      <c r="O1988" s="7">
        <f ca="1">IFERROR(__xludf.DUMMYFUNCTION("GOOGLEFINANCE(""NSE:""&amp;D1988,""pe"")"),29.68)</f>
        <v>29.68</v>
      </c>
      <c r="P1988" s="7">
        <f ca="1">IFERROR(__xludf.DUMMYFUNCTION("GOOGLEFINANCE(""NSE:""&amp;D1988,""EPS"")"),1.08)</f>
        <v>1.08</v>
      </c>
      <c r="Q1988" s="7">
        <v>13.5</v>
      </c>
      <c r="R1988" s="7" t="str">
        <f ca="1">IFERROR(__xludf.DUMMYFUNCTION("IMPORTXML(E1988,""/html/body/main/div[3]/div[3]/div[2]/ul/li[7]/span[2]/span"")"),"Loading...")</f>
        <v>Loading...</v>
      </c>
      <c r="S1988" s="7" t="str">
        <f ca="1">IFERROR(__xludf.DUMMYFUNCTION("IMPORTXML(E1988,""/html/body/main/div[3]/div[3]/div[2]/ul/li[8]/span[2]/span"")"),"Loading...")</f>
        <v>Loading...</v>
      </c>
      <c r="T1988" s="4">
        <v>34.6</v>
      </c>
      <c r="U1988" s="4">
        <v>22.7</v>
      </c>
      <c r="V1988" s="4">
        <v>2.6</v>
      </c>
      <c r="W1988" s="4">
        <v>5.7</v>
      </c>
      <c r="X1988" s="4">
        <v>519.92999999999995</v>
      </c>
      <c r="Y1988" s="7">
        <f t="shared" ca="1" si="44"/>
        <v>-487.92999999999995</v>
      </c>
    </row>
    <row r="1989" spans="1:25" ht="15" x14ac:dyDescent="0.25">
      <c r="A1989" s="4">
        <v>1742</v>
      </c>
      <c r="C1989" s="41" t="s">
        <v>4179</v>
      </c>
      <c r="D1989" s="42"/>
      <c r="E1989" s="5" t="str">
        <f t="shared" si="40"/>
        <v>https://www.screener.in/company//consolidated/</v>
      </c>
      <c r="F1989" s="4">
        <v>443059</v>
      </c>
      <c r="G1989" s="4">
        <v>3832241897</v>
      </c>
      <c r="H1989" s="6" t="e">
        <f t="shared" ca="1" si="41"/>
        <v>#VALUE!</v>
      </c>
      <c r="I1989" s="7" t="str">
        <f ca="1">IFERROR(__xludf.DUMMYFUNCTION("IMPORTXML(E1989,""/html/body/main/div[3]/div[3]/div[2]/ul/li[5]/span[2]/span"")"),"Loading...")</f>
        <v>Loading...</v>
      </c>
      <c r="J1989" s="7" t="str">
        <f ca="1">IFERROR(__xludf.DUMMYFUNCTION("GOOGLEFINANCE(""NSE:""&amp;D1989,""marketcap"")"),"#N/A")</f>
        <v>#N/A</v>
      </c>
      <c r="K1989" s="7">
        <v>992.8</v>
      </c>
      <c r="L1989" s="8" t="str">
        <f ca="1">IFERROR(__xludf.DUMMYFUNCTION("GOOGLEFINANCE(""NSE:""&amp;D1989,""price"")"),"#N/A")</f>
        <v>#N/A</v>
      </c>
      <c r="M1989" s="9" t="e">
        <f t="shared" ca="1" si="42"/>
        <v>#VALUE!</v>
      </c>
      <c r="N1989" s="10" t="e">
        <f t="shared" ca="1" si="43"/>
        <v>#VALUE!</v>
      </c>
      <c r="O1989" s="7" t="str">
        <f ca="1">IFERROR(__xludf.DUMMYFUNCTION("GOOGLEFINANCE(""NSE:""&amp;D1989,""pe"")"),"#N/A")</f>
        <v>#N/A</v>
      </c>
      <c r="P1989" s="7" t="str">
        <f ca="1">IFERROR(__xludf.DUMMYFUNCTION("GOOGLEFINANCE(""NSE:""&amp;D1989,""EPS"")"),"#N/A")</f>
        <v>#N/A</v>
      </c>
      <c r="Q1989" s="7">
        <v>13.5</v>
      </c>
      <c r="R1989" s="7" t="str">
        <f ca="1">IFERROR(__xludf.DUMMYFUNCTION("IMPORTXML(E1989,""/html/body/main/div[3]/div[3]/div[2]/ul/li[7]/span[2]/span"")"),"Loading...")</f>
        <v>Loading...</v>
      </c>
      <c r="S1989" s="7" t="str">
        <f ca="1">IFERROR(__xludf.DUMMYFUNCTION("IMPORTXML(E1989,""/html/body/main/div[3]/div[3]/div[2]/ul/li[8]/span[2]/span"")"),"Loading...")</f>
        <v>Loading...</v>
      </c>
      <c r="T1989" s="4">
        <v>34.6</v>
      </c>
      <c r="U1989" s="4">
        <v>22.7</v>
      </c>
      <c r="V1989" s="4">
        <v>2.6</v>
      </c>
      <c r="W1989" s="4">
        <v>5.7</v>
      </c>
      <c r="X1989" s="4">
        <v>519.92999999999995</v>
      </c>
      <c r="Y1989" s="7" t="e">
        <f t="shared" ca="1" si="44"/>
        <v>#VALUE!</v>
      </c>
    </row>
    <row r="1990" spans="1:25" ht="15" x14ac:dyDescent="0.25">
      <c r="A1990" s="4">
        <v>1743</v>
      </c>
      <c r="C1990" s="41" t="s">
        <v>4180</v>
      </c>
      <c r="D1990" s="42"/>
      <c r="E1990" s="5" t="str">
        <f t="shared" si="40"/>
        <v>https://www.screener.in/company//consolidated/</v>
      </c>
      <c r="F1990" s="4">
        <v>443059</v>
      </c>
      <c r="G1990" s="4">
        <v>3832241897</v>
      </c>
      <c r="H1990" s="6" t="e">
        <f t="shared" ca="1" si="41"/>
        <v>#VALUE!</v>
      </c>
      <c r="I1990" s="7" t="str">
        <f ca="1">IFERROR(__xludf.DUMMYFUNCTION("IMPORTXML(E1990,""/html/body/main/div[3]/div[3]/div[2]/ul/li[5]/span[2]/span"")"),"Loading...")</f>
        <v>Loading...</v>
      </c>
      <c r="J1990" s="7" t="str">
        <f ca="1">IFERROR(__xludf.DUMMYFUNCTION("GOOGLEFINANCE(""NSE:""&amp;D1990,""marketcap"")"),"#N/A")</f>
        <v>#N/A</v>
      </c>
      <c r="K1990" s="7">
        <v>992.8</v>
      </c>
      <c r="L1990" s="8" t="str">
        <f ca="1">IFERROR(__xludf.DUMMYFUNCTION("GOOGLEFINANCE(""NSE:""&amp;D1990,""price"")"),"#N/A")</f>
        <v>#N/A</v>
      </c>
      <c r="M1990" s="9" t="e">
        <f t="shared" ca="1" si="42"/>
        <v>#VALUE!</v>
      </c>
      <c r="N1990" s="10" t="e">
        <f t="shared" ca="1" si="43"/>
        <v>#VALUE!</v>
      </c>
      <c r="O1990" s="7" t="str">
        <f ca="1">IFERROR(__xludf.DUMMYFUNCTION("GOOGLEFINANCE(""NSE:""&amp;D1990,""pe"")"),"#N/A")</f>
        <v>#N/A</v>
      </c>
      <c r="P1990" s="7" t="str">
        <f ca="1">IFERROR(__xludf.DUMMYFUNCTION("GOOGLEFINANCE(""NSE:""&amp;D1990,""EPS"")"),"#N/A")</f>
        <v>#N/A</v>
      </c>
      <c r="Q1990" s="7">
        <v>13.5</v>
      </c>
      <c r="R1990" s="7" t="str">
        <f ca="1">IFERROR(__xludf.DUMMYFUNCTION("IMPORTXML(E1990,""/html/body/main/div[3]/div[3]/div[2]/ul/li[7]/span[2]/span"")"),"Loading...")</f>
        <v>Loading...</v>
      </c>
      <c r="S1990" s="7" t="str">
        <f ca="1">IFERROR(__xludf.DUMMYFUNCTION("IMPORTXML(E1990,""/html/body/main/div[3]/div[3]/div[2]/ul/li[8]/span[2]/span"")"),"Loading...")</f>
        <v>Loading...</v>
      </c>
      <c r="T1990" s="4">
        <v>34.6</v>
      </c>
      <c r="U1990" s="4">
        <v>22.7</v>
      </c>
      <c r="V1990" s="4">
        <v>2.6</v>
      </c>
      <c r="W1990" s="4">
        <v>5.7</v>
      </c>
      <c r="X1990" s="4">
        <v>519.92999999999995</v>
      </c>
      <c r="Y1990" s="7" t="e">
        <f t="shared" ca="1" si="44"/>
        <v>#VALUE!</v>
      </c>
    </row>
    <row r="1991" spans="1:25" ht="15" x14ac:dyDescent="0.25">
      <c r="A1991" s="4">
        <v>1745</v>
      </c>
      <c r="C1991" s="41" t="s">
        <v>4181</v>
      </c>
      <c r="D1991" s="42"/>
      <c r="E1991" s="5" t="str">
        <f t="shared" si="40"/>
        <v>https://www.screener.in/company//consolidated/</v>
      </c>
      <c r="F1991" s="4">
        <v>443059</v>
      </c>
      <c r="G1991" s="4">
        <v>3832241897</v>
      </c>
      <c r="H1991" s="6" t="e">
        <f t="shared" ca="1" si="41"/>
        <v>#VALUE!</v>
      </c>
      <c r="I1991" s="7" t="str">
        <f ca="1">IFERROR(__xludf.DUMMYFUNCTION("IMPORTXML(E1991,""/html/body/main/div[3]/div[3]/div[2]/ul/li[5]/span[2]/span"")"),"Loading...")</f>
        <v>Loading...</v>
      </c>
      <c r="J1991" s="7" t="str">
        <f ca="1">IFERROR(__xludf.DUMMYFUNCTION("GOOGLEFINANCE(""NSE:""&amp;D1991,""marketcap"")"),"#N/A")</f>
        <v>#N/A</v>
      </c>
      <c r="K1991" s="7">
        <v>992.8</v>
      </c>
      <c r="L1991" s="8" t="str">
        <f ca="1">IFERROR(__xludf.DUMMYFUNCTION("GOOGLEFINANCE(""NSE:""&amp;D1991,""price"")"),"#N/A")</f>
        <v>#N/A</v>
      </c>
      <c r="M1991" s="9" t="e">
        <f t="shared" ca="1" si="42"/>
        <v>#VALUE!</v>
      </c>
      <c r="N1991" s="10" t="e">
        <f t="shared" ca="1" si="43"/>
        <v>#VALUE!</v>
      </c>
      <c r="O1991" s="7" t="str">
        <f ca="1">IFERROR(__xludf.DUMMYFUNCTION("GOOGLEFINANCE(""NSE:""&amp;D1991,""pe"")"),"#N/A")</f>
        <v>#N/A</v>
      </c>
      <c r="P1991" s="7" t="str">
        <f ca="1">IFERROR(__xludf.DUMMYFUNCTION("GOOGLEFINANCE(""NSE:""&amp;D1991,""EPS"")"),"#N/A")</f>
        <v>#N/A</v>
      </c>
      <c r="Q1991" s="7">
        <v>13.5</v>
      </c>
      <c r="R1991" s="7" t="str">
        <f ca="1">IFERROR(__xludf.DUMMYFUNCTION("IMPORTXML(E1991,""/html/body/main/div[3]/div[3]/div[2]/ul/li[7]/span[2]/span"")"),"Loading...")</f>
        <v>Loading...</v>
      </c>
      <c r="S1991" s="7" t="str">
        <f ca="1">IFERROR(__xludf.DUMMYFUNCTION("IMPORTXML(E1991,""/html/body/main/div[3]/div[3]/div[2]/ul/li[8]/span[2]/span"")"),"Loading...")</f>
        <v>Loading...</v>
      </c>
      <c r="T1991" s="4">
        <v>34.6</v>
      </c>
      <c r="U1991" s="4">
        <v>22.7</v>
      </c>
      <c r="V1991" s="4">
        <v>2.6</v>
      </c>
      <c r="W1991" s="4">
        <v>5.7</v>
      </c>
      <c r="X1991" s="4">
        <v>519.92999999999995</v>
      </c>
      <c r="Y1991" s="7" t="e">
        <f t="shared" ca="1" si="44"/>
        <v>#VALUE!</v>
      </c>
    </row>
    <row r="1992" spans="1:25" ht="15" x14ac:dyDescent="0.25">
      <c r="A1992" s="4">
        <v>1747</v>
      </c>
      <c r="C1992" s="41" t="s">
        <v>4182</v>
      </c>
      <c r="D1992" s="42"/>
      <c r="E1992" s="5" t="str">
        <f t="shared" si="40"/>
        <v>https://www.screener.in/company//consolidated/</v>
      </c>
      <c r="F1992" s="4">
        <v>443059</v>
      </c>
      <c r="G1992" s="4">
        <v>3832241897</v>
      </c>
      <c r="H1992" s="6" t="e">
        <f t="shared" ca="1" si="41"/>
        <v>#VALUE!</v>
      </c>
      <c r="I1992" s="7" t="str">
        <f ca="1">IFERROR(__xludf.DUMMYFUNCTION("IMPORTXML(E1992,""/html/body/main/div[3]/div[3]/div[2]/ul/li[5]/span[2]/span"")"),"Loading...")</f>
        <v>Loading...</v>
      </c>
      <c r="J1992" s="7" t="str">
        <f ca="1">IFERROR(__xludf.DUMMYFUNCTION("GOOGLEFINANCE(""NSE:""&amp;D1992,""marketcap"")"),"#N/A")</f>
        <v>#N/A</v>
      </c>
      <c r="K1992" s="7">
        <v>992.8</v>
      </c>
      <c r="L1992" s="8" t="str">
        <f ca="1">IFERROR(__xludf.DUMMYFUNCTION("GOOGLEFINANCE(""NSE:""&amp;D1992,""price"")"),"#N/A")</f>
        <v>#N/A</v>
      </c>
      <c r="M1992" s="9" t="e">
        <f t="shared" ca="1" si="42"/>
        <v>#VALUE!</v>
      </c>
      <c r="N1992" s="10" t="e">
        <f t="shared" ca="1" si="43"/>
        <v>#VALUE!</v>
      </c>
      <c r="O1992" s="7" t="str">
        <f ca="1">IFERROR(__xludf.DUMMYFUNCTION("GOOGLEFINANCE(""NSE:""&amp;D1992,""pe"")"),"#N/A")</f>
        <v>#N/A</v>
      </c>
      <c r="P1992" s="7" t="str">
        <f ca="1">IFERROR(__xludf.DUMMYFUNCTION("GOOGLEFINANCE(""NSE:""&amp;D1992,""EPS"")"),"#N/A")</f>
        <v>#N/A</v>
      </c>
      <c r="Q1992" s="7">
        <v>13.5</v>
      </c>
      <c r="R1992" s="7" t="str">
        <f ca="1">IFERROR(__xludf.DUMMYFUNCTION("IMPORTXML(E1992,""/html/body/main/div[3]/div[3]/div[2]/ul/li[7]/span[2]/span"")"),"Loading...")</f>
        <v>Loading...</v>
      </c>
      <c r="S1992" s="7" t="str">
        <f ca="1">IFERROR(__xludf.DUMMYFUNCTION("IMPORTXML(E1992,""/html/body/main/div[3]/div[3]/div[2]/ul/li[8]/span[2]/span"")"),"Loading...")</f>
        <v>Loading...</v>
      </c>
      <c r="T1992" s="4">
        <v>34.6</v>
      </c>
      <c r="U1992" s="4">
        <v>22.7</v>
      </c>
      <c r="V1992" s="4">
        <v>2.6</v>
      </c>
      <c r="W1992" s="4">
        <v>5.7</v>
      </c>
      <c r="X1992" s="4">
        <v>519.92999999999995</v>
      </c>
      <c r="Y1992" s="7" t="e">
        <f t="shared" ca="1" si="44"/>
        <v>#VALUE!</v>
      </c>
    </row>
    <row r="1993" spans="1:25" ht="15" x14ac:dyDescent="0.25">
      <c r="A1993" s="4">
        <v>1748</v>
      </c>
      <c r="C1993" s="41" t="s">
        <v>4183</v>
      </c>
      <c r="D1993" s="42"/>
      <c r="E1993" s="5" t="str">
        <f t="shared" si="40"/>
        <v>https://www.screener.in/company//consolidated/</v>
      </c>
      <c r="F1993" s="4">
        <v>443059</v>
      </c>
      <c r="G1993" s="4">
        <v>3832241897</v>
      </c>
      <c r="H1993" s="6" t="e">
        <f t="shared" ca="1" si="41"/>
        <v>#VALUE!</v>
      </c>
      <c r="I1993" s="7" t="str">
        <f ca="1">IFERROR(__xludf.DUMMYFUNCTION("IMPORTXML(E1993,""/html/body/main/div[3]/div[3]/div[2]/ul/li[5]/span[2]/span"")"),"Loading...")</f>
        <v>Loading...</v>
      </c>
      <c r="J1993" s="7" t="str">
        <f ca="1">IFERROR(__xludf.DUMMYFUNCTION("GOOGLEFINANCE(""NSE:""&amp;D1993,""marketcap"")"),"#N/A")</f>
        <v>#N/A</v>
      </c>
      <c r="K1993" s="7">
        <v>992.8</v>
      </c>
      <c r="L1993" s="8" t="str">
        <f ca="1">IFERROR(__xludf.DUMMYFUNCTION("GOOGLEFINANCE(""NSE:""&amp;D1993,""price"")"),"#N/A")</f>
        <v>#N/A</v>
      </c>
      <c r="M1993" s="9" t="e">
        <f t="shared" ca="1" si="42"/>
        <v>#VALUE!</v>
      </c>
      <c r="N1993" s="10" t="e">
        <f t="shared" ca="1" si="43"/>
        <v>#VALUE!</v>
      </c>
      <c r="O1993" s="7" t="str">
        <f ca="1">IFERROR(__xludf.DUMMYFUNCTION("GOOGLEFINANCE(""NSE:""&amp;D1993,""pe"")"),"#N/A")</f>
        <v>#N/A</v>
      </c>
      <c r="P1993" s="7" t="str">
        <f ca="1">IFERROR(__xludf.DUMMYFUNCTION("GOOGLEFINANCE(""NSE:""&amp;D1993,""EPS"")"),"#N/A")</f>
        <v>#N/A</v>
      </c>
      <c r="Q1993" s="7">
        <v>13.5</v>
      </c>
      <c r="R1993" s="7" t="str">
        <f ca="1">IFERROR(__xludf.DUMMYFUNCTION("IMPORTXML(E1993,""/html/body/main/div[3]/div[3]/div[2]/ul/li[7]/span[2]/span"")"),"Loading...")</f>
        <v>Loading...</v>
      </c>
      <c r="S1993" s="7" t="str">
        <f ca="1">IFERROR(__xludf.DUMMYFUNCTION("IMPORTXML(E1993,""/html/body/main/div[3]/div[3]/div[2]/ul/li[8]/span[2]/span"")"),"Loading...")</f>
        <v>Loading...</v>
      </c>
      <c r="T1993" s="4">
        <v>34.6</v>
      </c>
      <c r="U1993" s="4">
        <v>22.7</v>
      </c>
      <c r="V1993" s="4">
        <v>2.6</v>
      </c>
      <c r="W1993" s="4">
        <v>5.7</v>
      </c>
      <c r="X1993" s="4">
        <v>519.92999999999995</v>
      </c>
      <c r="Y1993" s="7" t="e">
        <f t="shared" ca="1" si="44"/>
        <v>#VALUE!</v>
      </c>
    </row>
    <row r="1994" spans="1:25" ht="15" x14ac:dyDescent="0.25">
      <c r="A1994" s="4">
        <v>1749</v>
      </c>
      <c r="C1994" s="41" t="s">
        <v>4184</v>
      </c>
      <c r="D1994" s="42"/>
      <c r="E1994" s="5" t="str">
        <f t="shared" si="40"/>
        <v>https://www.screener.in/company//consolidated/</v>
      </c>
      <c r="F1994" s="4">
        <v>443059</v>
      </c>
      <c r="G1994" s="4">
        <v>3832241897</v>
      </c>
      <c r="H1994" s="6" t="e">
        <f t="shared" ca="1" si="41"/>
        <v>#VALUE!</v>
      </c>
      <c r="I1994" s="7" t="str">
        <f ca="1">IFERROR(__xludf.DUMMYFUNCTION("IMPORTXML(E1994,""/html/body/main/div[3]/div[3]/div[2]/ul/li[5]/span[2]/span"")"),"Loading...")</f>
        <v>Loading...</v>
      </c>
      <c r="J1994" s="7" t="str">
        <f ca="1">IFERROR(__xludf.DUMMYFUNCTION("GOOGLEFINANCE(""NSE:""&amp;D1994,""marketcap"")"),"#N/A")</f>
        <v>#N/A</v>
      </c>
      <c r="K1994" s="7">
        <v>992.8</v>
      </c>
      <c r="L1994" s="8" t="str">
        <f ca="1">IFERROR(__xludf.DUMMYFUNCTION("GOOGLEFINANCE(""NSE:""&amp;D1994,""price"")"),"#N/A")</f>
        <v>#N/A</v>
      </c>
      <c r="M1994" s="9" t="e">
        <f t="shared" ca="1" si="42"/>
        <v>#VALUE!</v>
      </c>
      <c r="N1994" s="10" t="e">
        <f t="shared" ca="1" si="43"/>
        <v>#VALUE!</v>
      </c>
      <c r="O1994" s="7" t="str">
        <f ca="1">IFERROR(__xludf.DUMMYFUNCTION("GOOGLEFINANCE(""NSE:""&amp;D1994,""pe"")"),"#N/A")</f>
        <v>#N/A</v>
      </c>
      <c r="P1994" s="7" t="str">
        <f ca="1">IFERROR(__xludf.DUMMYFUNCTION("GOOGLEFINANCE(""NSE:""&amp;D1994,""EPS"")"),"#N/A")</f>
        <v>#N/A</v>
      </c>
      <c r="Q1994" s="7">
        <v>13.5</v>
      </c>
      <c r="R1994" s="7" t="str">
        <f ca="1">IFERROR(__xludf.DUMMYFUNCTION("IMPORTXML(E1994,""/html/body/main/div[3]/div[3]/div[2]/ul/li[7]/span[2]/span"")"),"Loading...")</f>
        <v>Loading...</v>
      </c>
      <c r="S1994" s="7" t="str">
        <f ca="1">IFERROR(__xludf.DUMMYFUNCTION("IMPORTXML(E1994,""/html/body/main/div[3]/div[3]/div[2]/ul/li[8]/span[2]/span"")"),"Loading...")</f>
        <v>Loading...</v>
      </c>
      <c r="T1994" s="4">
        <v>34.6</v>
      </c>
      <c r="U1994" s="4">
        <v>22.7</v>
      </c>
      <c r="V1994" s="4">
        <v>2.6</v>
      </c>
      <c r="W1994" s="4">
        <v>5.7</v>
      </c>
      <c r="X1994" s="4">
        <v>519.92999999999995</v>
      </c>
      <c r="Y1994" s="7" t="e">
        <f t="shared" ca="1" si="44"/>
        <v>#VALUE!</v>
      </c>
    </row>
    <row r="1995" spans="1:25" ht="15" x14ac:dyDescent="0.25">
      <c r="A1995" s="4">
        <v>1750</v>
      </c>
      <c r="C1995" s="12" t="s">
        <v>4185</v>
      </c>
      <c r="D1995" s="12" t="s">
        <v>4186</v>
      </c>
      <c r="E1995" s="5" t="str">
        <f t="shared" si="40"/>
        <v>https://www.screener.in/company/RVHL/consolidated/</v>
      </c>
      <c r="F1995" s="4">
        <v>443059</v>
      </c>
      <c r="G1995" s="4">
        <v>3832241897</v>
      </c>
      <c r="H1995" s="6">
        <f t="shared" ca="1" si="41"/>
        <v>17934.892077959998</v>
      </c>
      <c r="I1995" s="7" t="str">
        <f ca="1">IFERROR(__xludf.DUMMYFUNCTION("IMPORTXML(E1995,""/html/body/main/div[3]/div[3]/div[2]/ul/li[5]/span[2]/span"")"),"Loading...")</f>
        <v>Loading...</v>
      </c>
      <c r="J1995" s="7">
        <f ca="1">IFERROR(__xludf.DUMMYFUNCTION("GOOGLEFINANCE(""NSE:""&amp;D1995,""marketcap"")"),2870044117)</f>
        <v>2870044117</v>
      </c>
      <c r="K1995" s="7">
        <v>992.8</v>
      </c>
      <c r="L1995" s="8">
        <f ca="1">IFERROR(__xludf.DUMMYFUNCTION("GOOGLEFINANCE(""NSE:""&amp;D1995,""price"")"),46.8)</f>
        <v>46.8</v>
      </c>
      <c r="M1995" s="9">
        <f t="shared" ca="1" si="42"/>
        <v>-946</v>
      </c>
      <c r="N1995" s="10">
        <f t="shared" ca="1" si="43"/>
        <v>-95.286059629331191</v>
      </c>
      <c r="O1995" s="7" t="str">
        <f ca="1">IFERROR(__xludf.DUMMYFUNCTION("GOOGLEFINANCE(""NSE:""&amp;D1995,""pe"")"),"#N/A")</f>
        <v>#N/A</v>
      </c>
      <c r="P1995" s="7">
        <f ca="1">IFERROR(__xludf.DUMMYFUNCTION("GOOGLEFINANCE(""NSE:""&amp;D1995,""EPS"")"),-0.43)</f>
        <v>-0.43</v>
      </c>
      <c r="Q1995" s="7">
        <v>13.5</v>
      </c>
      <c r="R1995" s="7" t="str">
        <f ca="1">IFERROR(__xludf.DUMMYFUNCTION("IMPORTXML(E1995,""/html/body/main/div[3]/div[3]/div[2]/ul/li[7]/span[2]/span"")"),"Loading...")</f>
        <v>Loading...</v>
      </c>
      <c r="S1995" s="7" t="str">
        <f ca="1">IFERROR(__xludf.DUMMYFUNCTION("IMPORTXML(E1995,""/html/body/main/div[3]/div[3]/div[2]/ul/li[8]/span[2]/span"")"),"Loading...")</f>
        <v>Loading...</v>
      </c>
      <c r="T1995" s="4">
        <v>34.6</v>
      </c>
      <c r="U1995" s="4">
        <v>22.7</v>
      </c>
      <c r="V1995" s="4">
        <v>2.6</v>
      </c>
      <c r="W1995" s="4">
        <v>5.7</v>
      </c>
      <c r="X1995" s="4">
        <v>519.92999999999995</v>
      </c>
      <c r="Y1995" s="7">
        <f t="shared" ca="1" si="44"/>
        <v>-473.12999999999994</v>
      </c>
    </row>
    <row r="1996" spans="1:25" ht="15" x14ac:dyDescent="0.25">
      <c r="A1996" s="4">
        <v>1751</v>
      </c>
      <c r="C1996" s="12" t="s">
        <v>4187</v>
      </c>
      <c r="D1996" s="12" t="s">
        <v>4188</v>
      </c>
      <c r="E1996" s="5" t="str">
        <f t="shared" si="40"/>
        <v>https://www.screener.in/company/KBCGLOBAL/consolidated/</v>
      </c>
      <c r="F1996" s="4">
        <v>443059</v>
      </c>
      <c r="G1996" s="4">
        <v>3832241897</v>
      </c>
      <c r="H1996" s="6" t="e">
        <f t="shared" ca="1" si="41"/>
        <v>#VALUE!</v>
      </c>
      <c r="I1996" s="7" t="str">
        <f ca="1">IFERROR(__xludf.DUMMYFUNCTION("IMPORTXML(E1996,""/html/body/main/div[3]/div[3]/div[2]/ul/li[5]/span[2]/span"")"),"Loading...")</f>
        <v>Loading...</v>
      </c>
      <c r="J1996" s="7" t="str">
        <f ca="1">IFERROR(__xludf.DUMMYFUNCTION("GOOGLEFINANCE(""NSE:""&amp;D1996,""marketcap"")"),"#N/A")</f>
        <v>#N/A</v>
      </c>
      <c r="K1996" s="7">
        <v>992.8</v>
      </c>
      <c r="L1996" s="8" t="str">
        <f ca="1">IFERROR(__xludf.DUMMYFUNCTION("GOOGLEFINANCE(""NSE:""&amp;D1996,""price"")"),"#N/A")</f>
        <v>#N/A</v>
      </c>
      <c r="M1996" s="9" t="e">
        <f t="shared" ca="1" si="42"/>
        <v>#VALUE!</v>
      </c>
      <c r="N1996" s="10" t="e">
        <f t="shared" ca="1" si="43"/>
        <v>#VALUE!</v>
      </c>
      <c r="O1996" s="7" t="str">
        <f ca="1">IFERROR(__xludf.DUMMYFUNCTION("GOOGLEFINANCE(""NSE:""&amp;D1996,""pe"")"),"#N/A")</f>
        <v>#N/A</v>
      </c>
      <c r="P1996" s="7" t="str">
        <f ca="1">IFERROR(__xludf.DUMMYFUNCTION("GOOGLEFINANCE(""NSE:""&amp;D1996,""EPS"")"),"#N/A")</f>
        <v>#N/A</v>
      </c>
      <c r="Q1996" s="7">
        <v>13.5</v>
      </c>
      <c r="R1996" s="7" t="str">
        <f ca="1">IFERROR(__xludf.DUMMYFUNCTION("IMPORTXML(E1996,""/html/body/main/div[3]/div[3]/div[2]/ul/li[7]/span[2]/span"")"),"Loading...")</f>
        <v>Loading...</v>
      </c>
      <c r="S1996" s="7" t="str">
        <f ca="1">IFERROR(__xludf.DUMMYFUNCTION("IMPORTXML(E1996,""/html/body/main/div[3]/div[3]/div[2]/ul/li[8]/span[2]/span"")"),"Loading...")</f>
        <v>Loading...</v>
      </c>
      <c r="T1996" s="4">
        <v>34.6</v>
      </c>
      <c r="U1996" s="4">
        <v>22.7</v>
      </c>
      <c r="V1996" s="4">
        <v>2.6</v>
      </c>
      <c r="W1996" s="4">
        <v>5.7</v>
      </c>
      <c r="X1996" s="4">
        <v>519.92999999999995</v>
      </c>
      <c r="Y1996" s="7" t="e">
        <f t="shared" ca="1" si="44"/>
        <v>#VALUE!</v>
      </c>
    </row>
    <row r="1997" spans="1:25" ht="15" x14ac:dyDescent="0.25">
      <c r="A1997" s="4">
        <v>1752</v>
      </c>
      <c r="C1997" s="12" t="s">
        <v>4189</v>
      </c>
      <c r="D1997" s="12" t="s">
        <v>4190</v>
      </c>
      <c r="E1997" s="5" t="str">
        <f t="shared" si="40"/>
        <v>https://www.screener.in/company/BROOKS/consolidated/</v>
      </c>
      <c r="F1997" s="4">
        <v>443059</v>
      </c>
      <c r="G1997" s="4">
        <v>3832241897</v>
      </c>
      <c r="H1997" s="6">
        <f t="shared" ca="1" si="41"/>
        <v>58556.656186160013</v>
      </c>
      <c r="I1997" s="7" t="str">
        <f ca="1">IFERROR(__xludf.DUMMYFUNCTION("IMPORTXML(E1997,""/html/body/main/div[3]/div[3]/div[2]/ul/li[5]/span[2]/span"")"),"Loading...")</f>
        <v>Loading...</v>
      </c>
      <c r="J1997" s="7">
        <f ca="1">IFERROR(__xludf.DUMMYFUNCTION("GOOGLEFINANCE(""NSE:""&amp;D1997,""marketcap"")"),4449517000)</f>
        <v>4449517000</v>
      </c>
      <c r="K1997" s="7">
        <v>992.8</v>
      </c>
      <c r="L1997" s="8">
        <f ca="1">IFERROR(__xludf.DUMMYFUNCTION("GOOGLEFINANCE(""NSE:""&amp;D1997,""price"")"),152.8)</f>
        <v>152.80000000000001</v>
      </c>
      <c r="M1997" s="9">
        <f t="shared" ca="1" si="42"/>
        <v>-840</v>
      </c>
      <c r="N1997" s="10">
        <f t="shared" ca="1" si="43"/>
        <v>-84.609186140209516</v>
      </c>
      <c r="O1997" s="7" t="str">
        <f ca="1">IFERROR(__xludf.DUMMYFUNCTION("GOOGLEFINANCE(""NSE:""&amp;D1997,""pe"")"),"#N/A")</f>
        <v>#N/A</v>
      </c>
      <c r="P1997" s="7">
        <f ca="1">IFERROR(__xludf.DUMMYFUNCTION("GOOGLEFINANCE(""NSE:""&amp;D1997,""EPS"")"),-0.55)</f>
        <v>-0.55000000000000004</v>
      </c>
      <c r="Q1997" s="7">
        <v>13.5</v>
      </c>
      <c r="R1997" s="7" t="str">
        <f ca="1">IFERROR(__xludf.DUMMYFUNCTION("IMPORTXML(E1997,""/html/body/main/div[3]/div[3]/div[2]/ul/li[7]/span[2]/span"")"),"Loading...")</f>
        <v>Loading...</v>
      </c>
      <c r="S1997" s="7" t="str">
        <f ca="1">IFERROR(__xludf.DUMMYFUNCTION("IMPORTXML(E1997,""/html/body/main/div[3]/div[3]/div[2]/ul/li[8]/span[2]/span"")"),"Loading...")</f>
        <v>Loading...</v>
      </c>
      <c r="T1997" s="4">
        <v>34.6</v>
      </c>
      <c r="U1997" s="4">
        <v>22.7</v>
      </c>
      <c r="V1997" s="4">
        <v>2.6</v>
      </c>
      <c r="W1997" s="4">
        <v>5.7</v>
      </c>
      <c r="X1997" s="4">
        <v>519.92999999999995</v>
      </c>
      <c r="Y1997" s="7">
        <f t="shared" ca="1" si="44"/>
        <v>-367.12999999999994</v>
      </c>
    </row>
    <row r="1998" spans="1:25" ht="15" x14ac:dyDescent="0.25">
      <c r="A1998" s="4">
        <v>1753</v>
      </c>
      <c r="C1998" s="41" t="s">
        <v>4191</v>
      </c>
      <c r="D1998" s="42"/>
      <c r="E1998" s="5" t="str">
        <f t="shared" si="40"/>
        <v>https://www.screener.in/company//consolidated/</v>
      </c>
      <c r="F1998" s="4">
        <v>443059</v>
      </c>
      <c r="G1998" s="4">
        <v>3832241897</v>
      </c>
      <c r="H1998" s="6" t="e">
        <f t="shared" ca="1" si="41"/>
        <v>#VALUE!</v>
      </c>
      <c r="I1998" s="7" t="str">
        <f ca="1">IFERROR(__xludf.DUMMYFUNCTION("IMPORTXML(E1998,""/html/body/main/div[3]/div[3]/div[2]/ul/li[5]/span[2]/span"")"),"Loading...")</f>
        <v>Loading...</v>
      </c>
      <c r="J1998" s="7" t="str">
        <f ca="1">IFERROR(__xludf.DUMMYFUNCTION("GOOGLEFINANCE(""NSE:""&amp;D1998,""marketcap"")"),"#N/A")</f>
        <v>#N/A</v>
      </c>
      <c r="K1998" s="7">
        <v>992.8</v>
      </c>
      <c r="L1998" s="8" t="str">
        <f ca="1">IFERROR(__xludf.DUMMYFUNCTION("GOOGLEFINANCE(""NSE:""&amp;D1998,""price"")"),"#N/A")</f>
        <v>#N/A</v>
      </c>
      <c r="M1998" s="9" t="e">
        <f t="shared" ca="1" si="42"/>
        <v>#VALUE!</v>
      </c>
      <c r="N1998" s="10" t="e">
        <f t="shared" ca="1" si="43"/>
        <v>#VALUE!</v>
      </c>
      <c r="O1998" s="7" t="str">
        <f ca="1">IFERROR(__xludf.DUMMYFUNCTION("GOOGLEFINANCE(""NSE:""&amp;D1998,""pe"")"),"#N/A")</f>
        <v>#N/A</v>
      </c>
      <c r="P1998" s="7" t="str">
        <f ca="1">IFERROR(__xludf.DUMMYFUNCTION("GOOGLEFINANCE(""NSE:""&amp;D1998,""EPS"")"),"#N/A")</f>
        <v>#N/A</v>
      </c>
      <c r="Q1998" s="7">
        <v>13.5</v>
      </c>
      <c r="R1998" s="7" t="str">
        <f ca="1">IFERROR(__xludf.DUMMYFUNCTION("IMPORTXML(E1998,""/html/body/main/div[3]/div[3]/div[2]/ul/li[7]/span[2]/span"")"),"Loading...")</f>
        <v>Loading...</v>
      </c>
      <c r="S1998" s="7" t="str">
        <f ca="1">IFERROR(__xludf.DUMMYFUNCTION("IMPORTXML(E1998,""/html/body/main/div[3]/div[3]/div[2]/ul/li[8]/span[2]/span"")"),"Loading...")</f>
        <v>Loading...</v>
      </c>
      <c r="T1998" s="4">
        <v>34.6</v>
      </c>
      <c r="U1998" s="4">
        <v>22.7</v>
      </c>
      <c r="V1998" s="4">
        <v>2.6</v>
      </c>
      <c r="W1998" s="4">
        <v>5.7</v>
      </c>
      <c r="X1998" s="4">
        <v>519.92999999999995</v>
      </c>
      <c r="Y1998" s="7" t="e">
        <f t="shared" ca="1" si="44"/>
        <v>#VALUE!</v>
      </c>
    </row>
    <row r="1999" spans="1:25" ht="15" x14ac:dyDescent="0.25">
      <c r="A1999" s="4">
        <v>1754</v>
      </c>
      <c r="C1999" s="41" t="s">
        <v>4192</v>
      </c>
      <c r="D1999" s="42"/>
      <c r="E1999" s="5" t="str">
        <f t="shared" si="40"/>
        <v>https://www.screener.in/company//consolidated/</v>
      </c>
      <c r="F1999" s="4">
        <v>443059</v>
      </c>
      <c r="G1999" s="4">
        <v>3832241897</v>
      </c>
      <c r="H1999" s="6" t="e">
        <f t="shared" ca="1" si="41"/>
        <v>#VALUE!</v>
      </c>
      <c r="I1999" s="7" t="str">
        <f ca="1">IFERROR(__xludf.DUMMYFUNCTION("IMPORTXML(E1999,""/html/body/main/div[3]/div[3]/div[2]/ul/li[5]/span[2]/span"")"),"Loading...")</f>
        <v>Loading...</v>
      </c>
      <c r="J1999" s="7" t="str">
        <f ca="1">IFERROR(__xludf.DUMMYFUNCTION("GOOGLEFINANCE(""NSE:""&amp;D1999,""marketcap"")"),"#N/A")</f>
        <v>#N/A</v>
      </c>
      <c r="K1999" s="7">
        <v>992.8</v>
      </c>
      <c r="L1999" s="8" t="str">
        <f ca="1">IFERROR(__xludf.DUMMYFUNCTION("GOOGLEFINANCE(""NSE:""&amp;D1999,""price"")"),"#N/A")</f>
        <v>#N/A</v>
      </c>
      <c r="M1999" s="9" t="e">
        <f t="shared" ca="1" si="42"/>
        <v>#VALUE!</v>
      </c>
      <c r="N1999" s="10" t="e">
        <f t="shared" ca="1" si="43"/>
        <v>#VALUE!</v>
      </c>
      <c r="O1999" s="7" t="str">
        <f ca="1">IFERROR(__xludf.DUMMYFUNCTION("GOOGLEFINANCE(""NSE:""&amp;D1999,""pe"")"),"#N/A")</f>
        <v>#N/A</v>
      </c>
      <c r="P1999" s="7" t="str">
        <f ca="1">IFERROR(__xludf.DUMMYFUNCTION("GOOGLEFINANCE(""NSE:""&amp;D1999,""EPS"")"),"#N/A")</f>
        <v>#N/A</v>
      </c>
      <c r="Q1999" s="7">
        <v>13.5</v>
      </c>
      <c r="R1999" s="7" t="str">
        <f ca="1">IFERROR(__xludf.DUMMYFUNCTION("IMPORTXML(E1999,""/html/body/main/div[3]/div[3]/div[2]/ul/li[7]/span[2]/span"")"),"Loading...")</f>
        <v>Loading...</v>
      </c>
      <c r="S1999" s="7" t="str">
        <f ca="1">IFERROR(__xludf.DUMMYFUNCTION("IMPORTXML(E1999,""/html/body/main/div[3]/div[3]/div[2]/ul/li[8]/span[2]/span"")"),"Loading...")</f>
        <v>Loading...</v>
      </c>
      <c r="T1999" s="4">
        <v>34.6</v>
      </c>
      <c r="U1999" s="4">
        <v>22.7</v>
      </c>
      <c r="V1999" s="4">
        <v>2.6</v>
      </c>
      <c r="W1999" s="4">
        <v>5.7</v>
      </c>
      <c r="X1999" s="4">
        <v>519.92999999999995</v>
      </c>
      <c r="Y1999" s="7" t="e">
        <f t="shared" ca="1" si="44"/>
        <v>#VALUE!</v>
      </c>
    </row>
    <row r="2000" spans="1:25" ht="15" x14ac:dyDescent="0.25">
      <c r="A2000" s="4">
        <v>1755</v>
      </c>
      <c r="C2000" s="41" t="s">
        <v>4193</v>
      </c>
      <c r="D2000" s="42"/>
      <c r="E2000" s="5" t="str">
        <f t="shared" si="40"/>
        <v>https://www.screener.in/company//consolidated/</v>
      </c>
      <c r="F2000" s="4">
        <v>443059</v>
      </c>
      <c r="G2000" s="4">
        <v>3832241897</v>
      </c>
      <c r="H2000" s="6" t="e">
        <f t="shared" ca="1" si="41"/>
        <v>#VALUE!</v>
      </c>
      <c r="I2000" s="7" t="str">
        <f ca="1">IFERROR(__xludf.DUMMYFUNCTION("IMPORTXML(E2000,""/html/body/main/div[3]/div[3]/div[2]/ul/li[5]/span[2]/span"")"),"Loading...")</f>
        <v>Loading...</v>
      </c>
      <c r="J2000" s="7" t="str">
        <f ca="1">IFERROR(__xludf.DUMMYFUNCTION("GOOGLEFINANCE(""NSE:""&amp;D2000,""marketcap"")"),"#N/A")</f>
        <v>#N/A</v>
      </c>
      <c r="K2000" s="7">
        <v>992.8</v>
      </c>
      <c r="L2000" s="8" t="str">
        <f ca="1">IFERROR(__xludf.DUMMYFUNCTION("GOOGLEFINANCE(""NSE:""&amp;D2000,""price"")"),"#N/A")</f>
        <v>#N/A</v>
      </c>
      <c r="M2000" s="9" t="e">
        <f t="shared" ca="1" si="42"/>
        <v>#VALUE!</v>
      </c>
      <c r="N2000" s="10" t="e">
        <f t="shared" ca="1" si="43"/>
        <v>#VALUE!</v>
      </c>
      <c r="O2000" s="7" t="str">
        <f ca="1">IFERROR(__xludf.DUMMYFUNCTION("GOOGLEFINANCE(""NSE:""&amp;D2000,""pe"")"),"#N/A")</f>
        <v>#N/A</v>
      </c>
      <c r="P2000" s="7" t="str">
        <f ca="1">IFERROR(__xludf.DUMMYFUNCTION("GOOGLEFINANCE(""NSE:""&amp;D2000,""EPS"")"),"#N/A")</f>
        <v>#N/A</v>
      </c>
      <c r="Q2000" s="7">
        <v>13.5</v>
      </c>
      <c r="R2000" s="7" t="str">
        <f ca="1">IFERROR(__xludf.DUMMYFUNCTION("IMPORTXML(E2000,""/html/body/main/div[3]/div[3]/div[2]/ul/li[7]/span[2]/span"")"),"Loading...")</f>
        <v>Loading...</v>
      </c>
      <c r="S2000" s="7" t="str">
        <f ca="1">IFERROR(__xludf.DUMMYFUNCTION("IMPORTXML(E2000,""/html/body/main/div[3]/div[3]/div[2]/ul/li[8]/span[2]/span"")"),"Loading...")</f>
        <v>Loading...</v>
      </c>
      <c r="T2000" s="4">
        <v>34.6</v>
      </c>
      <c r="U2000" s="4">
        <v>22.7</v>
      </c>
      <c r="V2000" s="4">
        <v>2.6</v>
      </c>
      <c r="W2000" s="4">
        <v>5.7</v>
      </c>
      <c r="X2000" s="4">
        <v>519.92999999999995</v>
      </c>
      <c r="Y2000" s="7" t="e">
        <f t="shared" ca="1" si="44"/>
        <v>#VALUE!</v>
      </c>
    </row>
    <row r="2001" spans="1:25" ht="15" x14ac:dyDescent="0.25">
      <c r="A2001" s="4">
        <v>1756</v>
      </c>
      <c r="C2001" s="12" t="s">
        <v>4194</v>
      </c>
      <c r="D2001" s="12" t="s">
        <v>4195</v>
      </c>
      <c r="E2001" s="5" t="str">
        <f t="shared" si="40"/>
        <v>https://www.screener.in/company/VISASTEEL/consolidated/</v>
      </c>
      <c r="F2001" s="4">
        <v>443059</v>
      </c>
      <c r="G2001" s="4">
        <v>3832241897</v>
      </c>
      <c r="H2001" s="6">
        <f t="shared" ca="1" si="41"/>
        <v>13531.646138307</v>
      </c>
      <c r="I2001" s="7" t="str">
        <f ca="1">IFERROR(__xludf.DUMMYFUNCTION("IMPORTXML(E2001,""/html/body/main/div[3]/div[3]/div[2]/ul/li[5]/span[2]/span"")"),"Loading...")</f>
        <v>Loading...</v>
      </c>
      <c r="J2001" s="7">
        <f ca="1">IFERROR(__xludf.DUMMYFUNCTION("GOOGLEFINANCE(""NSE:""&amp;D2001,""marketcap"")"),4086211000)</f>
        <v>4086211000</v>
      </c>
      <c r="K2001" s="7">
        <v>992.8</v>
      </c>
      <c r="L2001" s="8">
        <f ca="1">IFERROR(__xludf.DUMMYFUNCTION("GOOGLEFINANCE(""NSE:""&amp;D2001,""price"")"),35.31)</f>
        <v>35.31</v>
      </c>
      <c r="M2001" s="9">
        <f t="shared" ca="1" si="42"/>
        <v>-957.49</v>
      </c>
      <c r="N2001" s="10">
        <f t="shared" ca="1" si="43"/>
        <v>-96.443392425463344</v>
      </c>
      <c r="O2001" s="7" t="str">
        <f ca="1">IFERROR(__xludf.DUMMYFUNCTION("GOOGLEFINANCE(""NSE:""&amp;D2001,""pe"")"),"#N/A")</f>
        <v>#N/A</v>
      </c>
      <c r="P2001" s="7">
        <f ca="1">IFERROR(__xludf.DUMMYFUNCTION("GOOGLEFINANCE(""NSE:""&amp;D2001,""EPS"")"),-43.64)</f>
        <v>-43.64</v>
      </c>
      <c r="Q2001" s="7">
        <v>13.5</v>
      </c>
      <c r="R2001" s="7" t="str">
        <f ca="1">IFERROR(__xludf.DUMMYFUNCTION("IMPORTXML(E2001,""/html/body/main/div[3]/div[3]/div[2]/ul/li[7]/span[2]/span"")"),"Loading...")</f>
        <v>Loading...</v>
      </c>
      <c r="S2001" s="7" t="str">
        <f ca="1">IFERROR(__xludf.DUMMYFUNCTION("IMPORTXML(E2001,""/html/body/main/div[3]/div[3]/div[2]/ul/li[8]/span[2]/span"")"),"Loading...")</f>
        <v>Loading...</v>
      </c>
      <c r="T2001" s="4">
        <v>34.6</v>
      </c>
      <c r="U2001" s="4">
        <v>22.7</v>
      </c>
      <c r="V2001" s="4">
        <v>2.6</v>
      </c>
      <c r="W2001" s="4">
        <v>5.7</v>
      </c>
      <c r="X2001" s="4">
        <v>519.92999999999995</v>
      </c>
      <c r="Y2001" s="7">
        <f t="shared" ca="1" si="44"/>
        <v>-484.61999999999995</v>
      </c>
    </row>
    <row r="2002" spans="1:25" ht="15" x14ac:dyDescent="0.25">
      <c r="A2002" s="4">
        <v>1757</v>
      </c>
      <c r="C2002" s="41" t="s">
        <v>4196</v>
      </c>
      <c r="D2002" s="42"/>
      <c r="E2002" s="5" t="str">
        <f t="shared" si="40"/>
        <v>https://www.screener.in/company//consolidated/</v>
      </c>
      <c r="F2002" s="4">
        <v>443059</v>
      </c>
      <c r="G2002" s="4">
        <v>3832241897</v>
      </c>
      <c r="H2002" s="6" t="e">
        <f t="shared" ca="1" si="41"/>
        <v>#VALUE!</v>
      </c>
      <c r="I2002" s="7" t="str">
        <f ca="1">IFERROR(__xludf.DUMMYFUNCTION("IMPORTXML(E2002,""/html/body/main/div[3]/div[3]/div[2]/ul/li[5]/span[2]/span"")"),"Loading...")</f>
        <v>Loading...</v>
      </c>
      <c r="J2002" s="7" t="str">
        <f ca="1">IFERROR(__xludf.DUMMYFUNCTION("GOOGLEFINANCE(""NSE:""&amp;D2002,""marketcap"")"),"#N/A")</f>
        <v>#N/A</v>
      </c>
      <c r="K2002" s="7">
        <v>992.8</v>
      </c>
      <c r="L2002" s="8" t="str">
        <f ca="1">IFERROR(__xludf.DUMMYFUNCTION("GOOGLEFINANCE(""NSE:""&amp;D2002,""price"")"),"#N/A")</f>
        <v>#N/A</v>
      </c>
      <c r="M2002" s="9" t="e">
        <f t="shared" ca="1" si="42"/>
        <v>#VALUE!</v>
      </c>
      <c r="N2002" s="10" t="e">
        <f t="shared" ca="1" si="43"/>
        <v>#VALUE!</v>
      </c>
      <c r="O2002" s="7" t="str">
        <f ca="1">IFERROR(__xludf.DUMMYFUNCTION("GOOGLEFINANCE(""NSE:""&amp;D2002,""pe"")"),"#N/A")</f>
        <v>#N/A</v>
      </c>
      <c r="P2002" s="7" t="str">
        <f ca="1">IFERROR(__xludf.DUMMYFUNCTION("GOOGLEFINANCE(""NSE:""&amp;D2002,""EPS"")"),"#N/A")</f>
        <v>#N/A</v>
      </c>
      <c r="Q2002" s="7">
        <v>13.5</v>
      </c>
      <c r="R2002" s="7" t="str">
        <f ca="1">IFERROR(__xludf.DUMMYFUNCTION("IMPORTXML(E2002,""/html/body/main/div[3]/div[3]/div[2]/ul/li[7]/span[2]/span"")"),"Loading...")</f>
        <v>Loading...</v>
      </c>
      <c r="S2002" s="7" t="str">
        <f ca="1">IFERROR(__xludf.DUMMYFUNCTION("IMPORTXML(E2002,""/html/body/main/div[3]/div[3]/div[2]/ul/li[8]/span[2]/span"")"),"Loading...")</f>
        <v>Loading...</v>
      </c>
      <c r="T2002" s="4">
        <v>34.6</v>
      </c>
      <c r="U2002" s="4">
        <v>22.7</v>
      </c>
      <c r="V2002" s="4">
        <v>2.6</v>
      </c>
      <c r="W2002" s="4">
        <v>5.7</v>
      </c>
      <c r="X2002" s="4">
        <v>519.92999999999995</v>
      </c>
      <c r="Y2002" s="7" t="e">
        <f t="shared" ca="1" si="44"/>
        <v>#VALUE!</v>
      </c>
    </row>
    <row r="2003" spans="1:25" ht="15" x14ac:dyDescent="0.25">
      <c r="A2003" s="4">
        <v>1760</v>
      </c>
      <c r="C2003" s="12" t="s">
        <v>4197</v>
      </c>
      <c r="D2003" s="12" t="s">
        <v>4198</v>
      </c>
      <c r="E2003" s="5" t="str">
        <f t="shared" si="40"/>
        <v>https://www.screener.in/company/VISHWARAJ/consolidated/</v>
      </c>
      <c r="F2003" s="4">
        <v>443059</v>
      </c>
      <c r="G2003" s="4">
        <v>3832241897</v>
      </c>
      <c r="H2003" s="6">
        <f t="shared" ca="1" si="41"/>
        <v>3560.1527223129997</v>
      </c>
      <c r="I2003" s="7" t="str">
        <f ca="1">IFERROR(__xludf.DUMMYFUNCTION("IMPORTXML(E2003,""/html/body/main/div[3]/div[3]/div[2]/ul/li[5]/span[2]/span"")"),"Loading...")</f>
        <v>Loading...</v>
      </c>
      <c r="J2003" s="7">
        <f ca="1">IFERROR(__xludf.DUMMYFUNCTION("GOOGLEFINANCE(""NSE:""&amp;D2003,""marketcap"")"),2023618395)</f>
        <v>2023618395</v>
      </c>
      <c r="K2003" s="7">
        <v>992.8</v>
      </c>
      <c r="L2003" s="8">
        <f ca="1">IFERROR(__xludf.DUMMYFUNCTION("GOOGLEFINANCE(""NSE:""&amp;D2003,""price"")"),9.29)</f>
        <v>9.2899999999999991</v>
      </c>
      <c r="M2003" s="9">
        <f t="shared" ca="1" si="42"/>
        <v>-983.51</v>
      </c>
      <c r="N2003" s="10">
        <f t="shared" ca="1" si="43"/>
        <v>-99.06426269137792</v>
      </c>
      <c r="O2003" s="7" t="str">
        <f ca="1">IFERROR(__xludf.DUMMYFUNCTION("GOOGLEFINANCE(""NSE:""&amp;D2003,""pe"")"),"#N/A")</f>
        <v>#N/A</v>
      </c>
      <c r="P2003" s="7">
        <f ca="1">IFERROR(__xludf.DUMMYFUNCTION("GOOGLEFINANCE(""NSE:""&amp;D2003,""EPS"")"),-1.64)</f>
        <v>-1.64</v>
      </c>
      <c r="Q2003" s="7">
        <v>13.5</v>
      </c>
      <c r="R2003" s="7" t="str">
        <f ca="1">IFERROR(__xludf.DUMMYFUNCTION("IMPORTXML(E2003,""/html/body/main/div[3]/div[3]/div[2]/ul/li[7]/span[2]/span"")"),"Loading...")</f>
        <v>Loading...</v>
      </c>
      <c r="S2003" s="7" t="str">
        <f ca="1">IFERROR(__xludf.DUMMYFUNCTION("IMPORTXML(E2003,""/html/body/main/div[3]/div[3]/div[2]/ul/li[8]/span[2]/span"")"),"Loading...")</f>
        <v>Loading...</v>
      </c>
      <c r="T2003" s="4">
        <v>34.6</v>
      </c>
      <c r="U2003" s="4">
        <v>22.7</v>
      </c>
      <c r="V2003" s="4">
        <v>2.6</v>
      </c>
      <c r="W2003" s="4">
        <v>5.7</v>
      </c>
      <c r="X2003" s="4">
        <v>519.92999999999995</v>
      </c>
      <c r="Y2003" s="7">
        <f t="shared" ca="1" si="44"/>
        <v>-510.63999999999993</v>
      </c>
    </row>
    <row r="2004" spans="1:25" ht="15" x14ac:dyDescent="0.25">
      <c r="A2004" s="4">
        <v>1762</v>
      </c>
      <c r="C2004" s="41" t="s">
        <v>4199</v>
      </c>
      <c r="D2004" s="42"/>
      <c r="E2004" s="5" t="str">
        <f t="shared" si="40"/>
        <v>https://www.screener.in/company//consolidated/</v>
      </c>
      <c r="F2004" s="4">
        <v>443059</v>
      </c>
      <c r="G2004" s="4">
        <v>3832241897</v>
      </c>
      <c r="H2004" s="6" t="e">
        <f t="shared" ca="1" si="41"/>
        <v>#VALUE!</v>
      </c>
      <c r="I2004" s="7" t="str">
        <f ca="1">IFERROR(__xludf.DUMMYFUNCTION("IMPORTXML(E2004,""/html/body/main/div[3]/div[3]/div[2]/ul/li[5]/span[2]/span"")"),"Loading...")</f>
        <v>Loading...</v>
      </c>
      <c r="J2004" s="7" t="str">
        <f ca="1">IFERROR(__xludf.DUMMYFUNCTION("GOOGLEFINANCE(""NSE:""&amp;D2004,""marketcap"")"),"#N/A")</f>
        <v>#N/A</v>
      </c>
      <c r="K2004" s="7">
        <v>992.8</v>
      </c>
      <c r="L2004" s="8" t="str">
        <f ca="1">IFERROR(__xludf.DUMMYFUNCTION("GOOGLEFINANCE(""NSE:""&amp;D2004,""price"")"),"#N/A")</f>
        <v>#N/A</v>
      </c>
      <c r="M2004" s="9" t="e">
        <f t="shared" ca="1" si="42"/>
        <v>#VALUE!</v>
      </c>
      <c r="N2004" s="10" t="e">
        <f t="shared" ca="1" si="43"/>
        <v>#VALUE!</v>
      </c>
      <c r="O2004" s="7" t="str">
        <f ca="1">IFERROR(__xludf.DUMMYFUNCTION("GOOGLEFINANCE(""NSE:""&amp;D2004,""pe"")"),"#N/A")</f>
        <v>#N/A</v>
      </c>
      <c r="P2004" s="7" t="str">
        <f ca="1">IFERROR(__xludf.DUMMYFUNCTION("GOOGLEFINANCE(""NSE:""&amp;D2004,""EPS"")"),"#N/A")</f>
        <v>#N/A</v>
      </c>
      <c r="Q2004" s="7">
        <v>13.5</v>
      </c>
      <c r="R2004" s="7" t="str">
        <f ca="1">IFERROR(__xludf.DUMMYFUNCTION("IMPORTXML(E2004,""/html/body/main/div[3]/div[3]/div[2]/ul/li[7]/span[2]/span"")"),"Loading...")</f>
        <v>Loading...</v>
      </c>
      <c r="S2004" s="7" t="str">
        <f ca="1">IFERROR(__xludf.DUMMYFUNCTION("IMPORTXML(E2004,""/html/body/main/div[3]/div[3]/div[2]/ul/li[8]/span[2]/span"")"),"Loading...")</f>
        <v>Loading...</v>
      </c>
      <c r="T2004" s="4">
        <v>34.6</v>
      </c>
      <c r="U2004" s="4">
        <v>22.7</v>
      </c>
      <c r="V2004" s="4">
        <v>2.6</v>
      </c>
      <c r="W2004" s="4">
        <v>5.7</v>
      </c>
      <c r="X2004" s="4">
        <v>519.92999999999995</v>
      </c>
      <c r="Y2004" s="7" t="e">
        <f t="shared" ca="1" si="44"/>
        <v>#VALUE!</v>
      </c>
    </row>
    <row r="2005" spans="1:25" ht="15" x14ac:dyDescent="0.25">
      <c r="A2005" s="4">
        <v>1764</v>
      </c>
      <c r="C2005" s="41" t="s">
        <v>4200</v>
      </c>
      <c r="D2005" s="42"/>
      <c r="E2005" s="5" t="str">
        <f t="shared" si="40"/>
        <v>https://www.screener.in/company//consolidated/</v>
      </c>
      <c r="F2005" s="4">
        <v>443059</v>
      </c>
      <c r="G2005" s="4">
        <v>3832241897</v>
      </c>
      <c r="H2005" s="6" t="e">
        <f t="shared" ca="1" si="41"/>
        <v>#VALUE!</v>
      </c>
      <c r="I2005" s="7" t="str">
        <f ca="1">IFERROR(__xludf.DUMMYFUNCTION("IMPORTXML(E2005,""/html/body/main/div[3]/div[3]/div[2]/ul/li[5]/span[2]/span"")"),"Loading...")</f>
        <v>Loading...</v>
      </c>
      <c r="J2005" s="7" t="str">
        <f ca="1">IFERROR(__xludf.DUMMYFUNCTION("GOOGLEFINANCE(""NSE:""&amp;D2005,""marketcap"")"),"#N/A")</f>
        <v>#N/A</v>
      </c>
      <c r="K2005" s="7">
        <v>992.8</v>
      </c>
      <c r="L2005" s="8" t="str">
        <f ca="1">IFERROR(__xludf.DUMMYFUNCTION("GOOGLEFINANCE(""NSE:""&amp;D2005,""price"")"),"#N/A")</f>
        <v>#N/A</v>
      </c>
      <c r="M2005" s="9" t="e">
        <f t="shared" ca="1" si="42"/>
        <v>#VALUE!</v>
      </c>
      <c r="N2005" s="10" t="e">
        <f t="shared" ca="1" si="43"/>
        <v>#VALUE!</v>
      </c>
      <c r="O2005" s="7" t="str">
        <f ca="1">IFERROR(__xludf.DUMMYFUNCTION("GOOGLEFINANCE(""NSE:""&amp;D2005,""pe"")"),"#N/A")</f>
        <v>#N/A</v>
      </c>
      <c r="P2005" s="7" t="str">
        <f ca="1">IFERROR(__xludf.DUMMYFUNCTION("GOOGLEFINANCE(""NSE:""&amp;D2005,""EPS"")"),"#N/A")</f>
        <v>#N/A</v>
      </c>
      <c r="Q2005" s="7">
        <v>13.5</v>
      </c>
      <c r="R2005" s="7" t="str">
        <f ca="1">IFERROR(__xludf.DUMMYFUNCTION("IMPORTXML(E2005,""/html/body/main/div[3]/div[3]/div[2]/ul/li[7]/span[2]/span"")"),"Loading...")</f>
        <v>Loading...</v>
      </c>
      <c r="S2005" s="7" t="str">
        <f ca="1">IFERROR(__xludf.DUMMYFUNCTION("IMPORTXML(E2005,""/html/body/main/div[3]/div[3]/div[2]/ul/li[8]/span[2]/span"")"),"Loading...")</f>
        <v>Loading...</v>
      </c>
      <c r="T2005" s="4">
        <v>34.6</v>
      </c>
      <c r="U2005" s="4">
        <v>22.7</v>
      </c>
      <c r="V2005" s="4">
        <v>2.6</v>
      </c>
      <c r="W2005" s="4">
        <v>5.7</v>
      </c>
      <c r="X2005" s="4">
        <v>519.92999999999995</v>
      </c>
      <c r="Y2005" s="7" t="e">
        <f t="shared" ca="1" si="44"/>
        <v>#VALUE!</v>
      </c>
    </row>
    <row r="2006" spans="1:25" ht="15" x14ac:dyDescent="0.25">
      <c r="A2006" s="4">
        <v>1765</v>
      </c>
      <c r="C2006" s="12" t="s">
        <v>4201</v>
      </c>
      <c r="D2006" s="12" t="s">
        <v>4202</v>
      </c>
      <c r="E2006" s="5" t="str">
        <f t="shared" si="40"/>
        <v>https://www.screener.in/company/MCLEODRUSS/consolidated/</v>
      </c>
      <c r="F2006" s="4">
        <v>443059</v>
      </c>
      <c r="G2006" s="4">
        <v>3832241897</v>
      </c>
      <c r="H2006" s="6">
        <f t="shared" ca="1" si="41"/>
        <v>14194.623986488001</v>
      </c>
      <c r="I2006" s="7" t="str">
        <f ca="1">IFERROR(__xludf.DUMMYFUNCTION("IMPORTXML(E2006,""/html/body/main/div[3]/div[3]/div[2]/ul/li[5]/span[2]/span"")"),"Loading...")</f>
        <v>Loading...</v>
      </c>
      <c r="J2006" s="7">
        <f ca="1">IFERROR(__xludf.DUMMYFUNCTION("GOOGLEFINANCE(""NSE:""&amp;D2006,""marketcap"")"),3900377000)</f>
        <v>3900377000</v>
      </c>
      <c r="K2006" s="7">
        <v>992.8</v>
      </c>
      <c r="L2006" s="8">
        <f ca="1">IFERROR(__xludf.DUMMYFUNCTION("GOOGLEFINANCE(""NSE:""&amp;D2006,""price"")"),37.04)</f>
        <v>37.04</v>
      </c>
      <c r="M2006" s="9">
        <f t="shared" ca="1" si="42"/>
        <v>-955.76</v>
      </c>
      <c r="N2006" s="10">
        <f t="shared" ca="1" si="43"/>
        <v>-96.269137792103137</v>
      </c>
      <c r="O2006" s="7" t="str">
        <f ca="1">IFERROR(__xludf.DUMMYFUNCTION("GOOGLEFINANCE(""NSE:""&amp;D2006,""pe"")"),"#N/A")</f>
        <v>#N/A</v>
      </c>
      <c r="P2006" s="7">
        <f ca="1">IFERROR(__xludf.DUMMYFUNCTION("GOOGLEFINANCE(""NSE:""&amp;D2006,""EPS"")"),-21.09)</f>
        <v>-21.09</v>
      </c>
      <c r="Q2006" s="7">
        <v>13.5</v>
      </c>
      <c r="R2006" s="7" t="str">
        <f ca="1">IFERROR(__xludf.DUMMYFUNCTION("IMPORTXML(E2006,""/html/body/main/div[3]/div[3]/div[2]/ul/li[7]/span[2]/span"")"),"Loading...")</f>
        <v>Loading...</v>
      </c>
      <c r="S2006" s="7" t="str">
        <f ca="1">IFERROR(__xludf.DUMMYFUNCTION("IMPORTXML(E2006,""/html/body/main/div[3]/div[3]/div[2]/ul/li[8]/span[2]/span"")"),"Loading...")</f>
        <v>Loading...</v>
      </c>
      <c r="T2006" s="4">
        <v>34.6</v>
      </c>
      <c r="U2006" s="4">
        <v>22.7</v>
      </c>
      <c r="V2006" s="4">
        <v>2.6</v>
      </c>
      <c r="W2006" s="4">
        <v>5.7</v>
      </c>
      <c r="X2006" s="4">
        <v>519.92999999999995</v>
      </c>
      <c r="Y2006" s="7">
        <f t="shared" ca="1" si="44"/>
        <v>-482.88999999999993</v>
      </c>
    </row>
    <row r="2007" spans="1:25" ht="15" x14ac:dyDescent="0.25">
      <c r="A2007" s="4">
        <v>1767</v>
      </c>
      <c r="C2007" s="12" t="s">
        <v>4203</v>
      </c>
      <c r="D2007" s="12" t="s">
        <v>4204</v>
      </c>
      <c r="E2007" s="5" t="str">
        <f t="shared" si="40"/>
        <v>https://www.screener.in/company/ZODIACLOTH/consolidated/</v>
      </c>
      <c r="F2007" s="4">
        <v>443059</v>
      </c>
      <c r="G2007" s="4">
        <v>3832241897</v>
      </c>
      <c r="H2007" s="6">
        <f t="shared" ca="1" si="41"/>
        <v>37939.1947803</v>
      </c>
      <c r="I2007" s="7" t="str">
        <f ca="1">IFERROR(__xludf.DUMMYFUNCTION("IMPORTXML(E2007,""/html/body/main/div[3]/div[3]/div[2]/ul/li[5]/span[2]/span"")"),"Loading...")</f>
        <v>Loading...</v>
      </c>
      <c r="J2007" s="7">
        <f ca="1">IFERROR(__xludf.DUMMYFUNCTION("GOOGLEFINANCE(""NSE:""&amp;D2007,""marketcap"")"),2572598000)</f>
        <v>2572598000</v>
      </c>
      <c r="K2007" s="7">
        <v>992.8</v>
      </c>
      <c r="L2007" s="8">
        <f ca="1">IFERROR(__xludf.DUMMYFUNCTION("GOOGLEFINANCE(""NSE:""&amp;D2007,""price"")"),99)</f>
        <v>99</v>
      </c>
      <c r="M2007" s="9">
        <f t="shared" ca="1" si="42"/>
        <v>-893.8</v>
      </c>
      <c r="N2007" s="10">
        <f t="shared" ca="1" si="43"/>
        <v>-90.028203062046742</v>
      </c>
      <c r="O2007" s="7" t="str">
        <f ca="1">IFERROR(__xludf.DUMMYFUNCTION("GOOGLEFINANCE(""NSE:""&amp;D2007,""pe"")"),"#N/A")</f>
        <v>#N/A</v>
      </c>
      <c r="P2007" s="7">
        <f ca="1">IFERROR(__xludf.DUMMYFUNCTION("GOOGLEFINANCE(""NSE:""&amp;D2007,""EPS"")"),-14.14)</f>
        <v>-14.14</v>
      </c>
      <c r="Q2007" s="7">
        <v>13.5</v>
      </c>
      <c r="R2007" s="7" t="str">
        <f ca="1">IFERROR(__xludf.DUMMYFUNCTION("IMPORTXML(E2007,""/html/body/main/div[3]/div[3]/div[2]/ul/li[7]/span[2]/span"")"),"Loading...")</f>
        <v>Loading...</v>
      </c>
      <c r="S2007" s="7" t="str">
        <f ca="1">IFERROR(__xludf.DUMMYFUNCTION("IMPORTXML(E2007,""/html/body/main/div[3]/div[3]/div[2]/ul/li[8]/span[2]/span"")"),"Loading...")</f>
        <v>Loading...</v>
      </c>
      <c r="T2007" s="4">
        <v>34.6</v>
      </c>
      <c r="U2007" s="4">
        <v>22.7</v>
      </c>
      <c r="V2007" s="4">
        <v>2.6</v>
      </c>
      <c r="W2007" s="4">
        <v>5.7</v>
      </c>
      <c r="X2007" s="4">
        <v>519.92999999999995</v>
      </c>
      <c r="Y2007" s="7">
        <f t="shared" ca="1" si="44"/>
        <v>-420.92999999999995</v>
      </c>
    </row>
    <row r="2008" spans="1:25" ht="15" x14ac:dyDescent="0.25">
      <c r="A2008" s="4">
        <v>1769</v>
      </c>
      <c r="C2008" s="41" t="s">
        <v>4205</v>
      </c>
      <c r="D2008" s="42"/>
      <c r="E2008" s="5" t="str">
        <f t="shared" si="40"/>
        <v>https://www.screener.in/company//consolidated/</v>
      </c>
      <c r="F2008" s="4">
        <v>443059</v>
      </c>
      <c r="G2008" s="4">
        <v>3832241897</v>
      </c>
      <c r="H2008" s="6" t="e">
        <f t="shared" ca="1" si="41"/>
        <v>#VALUE!</v>
      </c>
      <c r="I2008" s="7" t="str">
        <f ca="1">IFERROR(__xludf.DUMMYFUNCTION("IMPORTXML(E2008,""/html/body/main/div[3]/div[3]/div[2]/ul/li[5]/span[2]/span"")"),"Loading...")</f>
        <v>Loading...</v>
      </c>
      <c r="J2008" s="7" t="str">
        <f ca="1">IFERROR(__xludf.DUMMYFUNCTION("GOOGLEFINANCE(""NSE:""&amp;D2008,""marketcap"")"),"#N/A")</f>
        <v>#N/A</v>
      </c>
      <c r="K2008" s="7">
        <v>992.8</v>
      </c>
      <c r="L2008" s="8" t="str">
        <f ca="1">IFERROR(__xludf.DUMMYFUNCTION("GOOGLEFINANCE(""NSE:""&amp;D2008,""price"")"),"#N/A")</f>
        <v>#N/A</v>
      </c>
      <c r="M2008" s="9" t="e">
        <f t="shared" ca="1" si="42"/>
        <v>#VALUE!</v>
      </c>
      <c r="N2008" s="10" t="e">
        <f t="shared" ca="1" si="43"/>
        <v>#VALUE!</v>
      </c>
      <c r="O2008" s="7" t="str">
        <f ca="1">IFERROR(__xludf.DUMMYFUNCTION("GOOGLEFINANCE(""NSE:""&amp;D2008,""pe"")"),"#N/A")</f>
        <v>#N/A</v>
      </c>
      <c r="P2008" s="7" t="str">
        <f ca="1">IFERROR(__xludf.DUMMYFUNCTION("GOOGLEFINANCE(""NSE:""&amp;D2008,""EPS"")"),"#N/A")</f>
        <v>#N/A</v>
      </c>
      <c r="Q2008" s="7">
        <v>13.5</v>
      </c>
      <c r="R2008" s="7" t="str">
        <f ca="1">IFERROR(__xludf.DUMMYFUNCTION("IMPORTXML(E2008,""/html/body/main/div[3]/div[3]/div[2]/ul/li[7]/span[2]/span"")"),"Loading...")</f>
        <v>Loading...</v>
      </c>
      <c r="S2008" s="7" t="str">
        <f ca="1">IFERROR(__xludf.DUMMYFUNCTION("IMPORTXML(E2008,""/html/body/main/div[3]/div[3]/div[2]/ul/li[8]/span[2]/span"")"),"Loading...")</f>
        <v>Loading...</v>
      </c>
      <c r="T2008" s="4">
        <v>34.6</v>
      </c>
      <c r="U2008" s="4">
        <v>22.7</v>
      </c>
      <c r="V2008" s="4">
        <v>2.6</v>
      </c>
      <c r="W2008" s="4">
        <v>5.7</v>
      </c>
      <c r="X2008" s="4">
        <v>519.92999999999995</v>
      </c>
      <c r="Y2008" s="7" t="e">
        <f t="shared" ca="1" si="44"/>
        <v>#VALUE!</v>
      </c>
    </row>
    <row r="2009" spans="1:25" ht="15" x14ac:dyDescent="0.25">
      <c r="A2009" s="4">
        <v>1771</v>
      </c>
      <c r="C2009" s="41" t="s">
        <v>4206</v>
      </c>
      <c r="D2009" s="42"/>
      <c r="E2009" s="5" t="str">
        <f t="shared" si="40"/>
        <v>https://www.screener.in/company//consolidated/</v>
      </c>
      <c r="F2009" s="4">
        <v>443059</v>
      </c>
      <c r="G2009" s="4">
        <v>3832241897</v>
      </c>
      <c r="H2009" s="6" t="e">
        <f t="shared" ca="1" si="41"/>
        <v>#VALUE!</v>
      </c>
      <c r="I2009" s="7" t="str">
        <f ca="1">IFERROR(__xludf.DUMMYFUNCTION("IMPORTXML(E2009,""/html/body/main/div[3]/div[3]/div[2]/ul/li[5]/span[2]/span"")"),"Loading...")</f>
        <v>Loading...</v>
      </c>
      <c r="J2009" s="7" t="str">
        <f ca="1">IFERROR(__xludf.DUMMYFUNCTION("GOOGLEFINANCE(""NSE:""&amp;D2009,""marketcap"")"),"#N/A")</f>
        <v>#N/A</v>
      </c>
      <c r="K2009" s="7">
        <v>992.8</v>
      </c>
      <c r="L2009" s="8" t="str">
        <f ca="1">IFERROR(__xludf.DUMMYFUNCTION("GOOGLEFINANCE(""NSE:""&amp;D2009,""price"")"),"#N/A")</f>
        <v>#N/A</v>
      </c>
      <c r="M2009" s="9" t="e">
        <f t="shared" ca="1" si="42"/>
        <v>#VALUE!</v>
      </c>
      <c r="N2009" s="10" t="e">
        <f t="shared" ca="1" si="43"/>
        <v>#VALUE!</v>
      </c>
      <c r="O2009" s="7" t="str">
        <f ca="1">IFERROR(__xludf.DUMMYFUNCTION("GOOGLEFINANCE(""NSE:""&amp;D2009,""pe"")"),"#N/A")</f>
        <v>#N/A</v>
      </c>
      <c r="P2009" s="7" t="str">
        <f ca="1">IFERROR(__xludf.DUMMYFUNCTION("GOOGLEFINANCE(""NSE:""&amp;D2009,""EPS"")"),"#N/A")</f>
        <v>#N/A</v>
      </c>
      <c r="Q2009" s="7">
        <v>13.5</v>
      </c>
      <c r="R2009" s="7" t="str">
        <f ca="1">IFERROR(__xludf.DUMMYFUNCTION("IMPORTXML(E2009,""/html/body/main/div[3]/div[3]/div[2]/ul/li[7]/span[2]/span"")"),"Loading...")</f>
        <v>Loading...</v>
      </c>
      <c r="S2009" s="7" t="str">
        <f ca="1">IFERROR(__xludf.DUMMYFUNCTION("IMPORTXML(E2009,""/html/body/main/div[3]/div[3]/div[2]/ul/li[8]/span[2]/span"")"),"Loading...")</f>
        <v>Loading...</v>
      </c>
      <c r="T2009" s="4">
        <v>34.6</v>
      </c>
      <c r="U2009" s="4">
        <v>22.7</v>
      </c>
      <c r="V2009" s="4">
        <v>2.6</v>
      </c>
      <c r="W2009" s="4">
        <v>5.7</v>
      </c>
      <c r="X2009" s="4">
        <v>519.92999999999995</v>
      </c>
      <c r="Y2009" s="7" t="e">
        <f t="shared" ca="1" si="44"/>
        <v>#VALUE!</v>
      </c>
    </row>
    <row r="2010" spans="1:25" ht="15" x14ac:dyDescent="0.25">
      <c r="A2010" s="4">
        <v>1773</v>
      </c>
      <c r="C2010" s="41" t="s">
        <v>4207</v>
      </c>
      <c r="D2010" s="42"/>
      <c r="E2010" s="5" t="str">
        <f t="shared" si="40"/>
        <v>https://www.screener.in/company//consolidated/</v>
      </c>
      <c r="F2010" s="4">
        <v>443059</v>
      </c>
      <c r="G2010" s="4">
        <v>3832241897</v>
      </c>
      <c r="H2010" s="6" t="e">
        <f t="shared" ca="1" si="41"/>
        <v>#VALUE!</v>
      </c>
      <c r="I2010" s="7" t="str">
        <f ca="1">IFERROR(__xludf.DUMMYFUNCTION("IMPORTXML(E2010,""/html/body/main/div[3]/div[3]/div[2]/ul/li[5]/span[2]/span"")"),"Loading...")</f>
        <v>Loading...</v>
      </c>
      <c r="J2010" s="7" t="str">
        <f ca="1">IFERROR(__xludf.DUMMYFUNCTION("GOOGLEFINANCE(""NSE:""&amp;D2010,""marketcap"")"),"#N/A")</f>
        <v>#N/A</v>
      </c>
      <c r="K2010" s="7">
        <v>992.8</v>
      </c>
      <c r="L2010" s="8" t="str">
        <f ca="1">IFERROR(__xludf.DUMMYFUNCTION("GOOGLEFINANCE(""NSE:""&amp;D2010,""price"")"),"#N/A")</f>
        <v>#N/A</v>
      </c>
      <c r="M2010" s="9" t="e">
        <f t="shared" ca="1" si="42"/>
        <v>#VALUE!</v>
      </c>
      <c r="N2010" s="10" t="e">
        <f t="shared" ca="1" si="43"/>
        <v>#VALUE!</v>
      </c>
      <c r="O2010" s="7" t="str">
        <f ca="1">IFERROR(__xludf.DUMMYFUNCTION("GOOGLEFINANCE(""NSE:""&amp;D2010,""pe"")"),"#N/A")</f>
        <v>#N/A</v>
      </c>
      <c r="P2010" s="7" t="str">
        <f ca="1">IFERROR(__xludf.DUMMYFUNCTION("GOOGLEFINANCE(""NSE:""&amp;D2010,""EPS"")"),"#N/A")</f>
        <v>#N/A</v>
      </c>
      <c r="Q2010" s="7">
        <v>13.5</v>
      </c>
      <c r="R2010" s="7" t="str">
        <f ca="1">IFERROR(__xludf.DUMMYFUNCTION("IMPORTXML(E2010,""/html/body/main/div[3]/div[3]/div[2]/ul/li[7]/span[2]/span"")"),"Loading...")</f>
        <v>Loading...</v>
      </c>
      <c r="S2010" s="7" t="str">
        <f ca="1">IFERROR(__xludf.DUMMYFUNCTION("IMPORTXML(E2010,""/html/body/main/div[3]/div[3]/div[2]/ul/li[8]/span[2]/span"")"),"Loading...")</f>
        <v>Loading...</v>
      </c>
      <c r="T2010" s="4">
        <v>34.6</v>
      </c>
      <c r="U2010" s="4">
        <v>22.7</v>
      </c>
      <c r="V2010" s="4">
        <v>2.6</v>
      </c>
      <c r="W2010" s="4">
        <v>5.7</v>
      </c>
      <c r="X2010" s="4">
        <v>519.92999999999995</v>
      </c>
      <c r="Y2010" s="7" t="e">
        <f t="shared" ca="1" si="44"/>
        <v>#VALUE!</v>
      </c>
    </row>
    <row r="2011" spans="1:25" ht="15" x14ac:dyDescent="0.25">
      <c r="A2011" s="4">
        <v>1774</v>
      </c>
      <c r="C2011" s="41" t="s">
        <v>4208</v>
      </c>
      <c r="D2011" s="42"/>
      <c r="E2011" s="5" t="str">
        <f t="shared" si="40"/>
        <v>https://www.screener.in/company//consolidated/</v>
      </c>
      <c r="F2011" s="4">
        <v>443059</v>
      </c>
      <c r="G2011" s="4">
        <v>3832241897</v>
      </c>
      <c r="H2011" s="6" t="e">
        <f t="shared" ca="1" si="41"/>
        <v>#VALUE!</v>
      </c>
      <c r="I2011" s="7" t="str">
        <f ca="1">IFERROR(__xludf.DUMMYFUNCTION("IMPORTXML(E2011,""/html/body/main/div[3]/div[3]/div[2]/ul/li[5]/span[2]/span"")"),"Loading...")</f>
        <v>Loading...</v>
      </c>
      <c r="J2011" s="7" t="str">
        <f ca="1">IFERROR(__xludf.DUMMYFUNCTION("GOOGLEFINANCE(""NSE:""&amp;D2011,""marketcap"")"),"#N/A")</f>
        <v>#N/A</v>
      </c>
      <c r="K2011" s="7">
        <v>992.8</v>
      </c>
      <c r="L2011" s="8" t="str">
        <f ca="1">IFERROR(__xludf.DUMMYFUNCTION("GOOGLEFINANCE(""NSE:""&amp;D2011,""price"")"),"#N/A")</f>
        <v>#N/A</v>
      </c>
      <c r="M2011" s="9" t="e">
        <f t="shared" ca="1" si="42"/>
        <v>#VALUE!</v>
      </c>
      <c r="N2011" s="10" t="e">
        <f t="shared" ca="1" si="43"/>
        <v>#VALUE!</v>
      </c>
      <c r="O2011" s="7" t="str">
        <f ca="1">IFERROR(__xludf.DUMMYFUNCTION("GOOGLEFINANCE(""NSE:""&amp;D2011,""pe"")"),"#N/A")</f>
        <v>#N/A</v>
      </c>
      <c r="P2011" s="7" t="str">
        <f ca="1">IFERROR(__xludf.DUMMYFUNCTION("GOOGLEFINANCE(""NSE:""&amp;D2011,""EPS"")"),"#N/A")</f>
        <v>#N/A</v>
      </c>
      <c r="Q2011" s="7">
        <v>13.5</v>
      </c>
      <c r="R2011" s="7" t="str">
        <f ca="1">IFERROR(__xludf.DUMMYFUNCTION("IMPORTXML(E2011,""/html/body/main/div[3]/div[3]/div[2]/ul/li[7]/span[2]/span"")"),"Loading...")</f>
        <v>Loading...</v>
      </c>
      <c r="S2011" s="7" t="str">
        <f ca="1">IFERROR(__xludf.DUMMYFUNCTION("IMPORTXML(E2011,""/html/body/main/div[3]/div[3]/div[2]/ul/li[8]/span[2]/span"")"),"Loading...")</f>
        <v>Loading...</v>
      </c>
      <c r="T2011" s="4">
        <v>34.6</v>
      </c>
      <c r="U2011" s="4">
        <v>22.7</v>
      </c>
      <c r="V2011" s="4">
        <v>2.6</v>
      </c>
      <c r="W2011" s="4">
        <v>5.7</v>
      </c>
      <c r="X2011" s="4">
        <v>519.92999999999995</v>
      </c>
      <c r="Y2011" s="7" t="e">
        <f t="shared" ca="1" si="44"/>
        <v>#VALUE!</v>
      </c>
    </row>
    <row r="2012" spans="1:25" ht="15" x14ac:dyDescent="0.25">
      <c r="A2012" s="4">
        <v>1775</v>
      </c>
      <c r="C2012" s="41" t="s">
        <v>4209</v>
      </c>
      <c r="D2012" s="42"/>
      <c r="E2012" s="5" t="str">
        <f t="shared" si="40"/>
        <v>https://www.screener.in/company//consolidated/</v>
      </c>
      <c r="F2012" s="4">
        <v>443059</v>
      </c>
      <c r="G2012" s="4">
        <v>3832241897</v>
      </c>
      <c r="H2012" s="6" t="e">
        <f t="shared" ca="1" si="41"/>
        <v>#VALUE!</v>
      </c>
      <c r="I2012" s="7" t="str">
        <f ca="1">IFERROR(__xludf.DUMMYFUNCTION("IMPORTXML(E2012,""/html/body/main/div[3]/div[3]/div[2]/ul/li[5]/span[2]/span"")"),"Loading...")</f>
        <v>Loading...</v>
      </c>
      <c r="J2012" s="7" t="str">
        <f ca="1">IFERROR(__xludf.DUMMYFUNCTION("GOOGLEFINANCE(""NSE:""&amp;D2012,""marketcap"")"),"#N/A")</f>
        <v>#N/A</v>
      </c>
      <c r="K2012" s="7">
        <v>992.8</v>
      </c>
      <c r="L2012" s="8" t="str">
        <f ca="1">IFERROR(__xludf.DUMMYFUNCTION("GOOGLEFINANCE(""NSE:""&amp;D2012,""price"")"),"#N/A")</f>
        <v>#N/A</v>
      </c>
      <c r="M2012" s="9" t="e">
        <f t="shared" ca="1" si="42"/>
        <v>#VALUE!</v>
      </c>
      <c r="N2012" s="10" t="e">
        <f t="shared" ca="1" si="43"/>
        <v>#VALUE!</v>
      </c>
      <c r="O2012" s="7" t="str">
        <f ca="1">IFERROR(__xludf.DUMMYFUNCTION("GOOGLEFINANCE(""NSE:""&amp;D2012,""pe"")"),"#N/A")</f>
        <v>#N/A</v>
      </c>
      <c r="P2012" s="7" t="str">
        <f ca="1">IFERROR(__xludf.DUMMYFUNCTION("GOOGLEFINANCE(""NSE:""&amp;D2012,""EPS"")"),"#N/A")</f>
        <v>#N/A</v>
      </c>
      <c r="Q2012" s="7">
        <v>13.5</v>
      </c>
      <c r="R2012" s="7" t="str">
        <f ca="1">IFERROR(__xludf.DUMMYFUNCTION("IMPORTXML(E2012,""/html/body/main/div[3]/div[3]/div[2]/ul/li[7]/span[2]/span"")"),"Loading...")</f>
        <v>Loading...</v>
      </c>
      <c r="S2012" s="7" t="str">
        <f ca="1">IFERROR(__xludf.DUMMYFUNCTION("IMPORTXML(E2012,""/html/body/main/div[3]/div[3]/div[2]/ul/li[8]/span[2]/span"")"),"Loading...")</f>
        <v>Loading...</v>
      </c>
      <c r="T2012" s="4">
        <v>34.6</v>
      </c>
      <c r="U2012" s="4">
        <v>22.7</v>
      </c>
      <c r="V2012" s="4">
        <v>2.6</v>
      </c>
      <c r="W2012" s="4">
        <v>5.7</v>
      </c>
      <c r="X2012" s="4">
        <v>519.92999999999995</v>
      </c>
      <c r="Y2012" s="7" t="e">
        <f t="shared" ca="1" si="44"/>
        <v>#VALUE!</v>
      </c>
    </row>
    <row r="2013" spans="1:25" ht="15" x14ac:dyDescent="0.25">
      <c r="A2013" s="4">
        <v>1776</v>
      </c>
      <c r="C2013" s="41" t="s">
        <v>4210</v>
      </c>
      <c r="D2013" s="42"/>
      <c r="E2013" s="5" t="str">
        <f t="shared" si="40"/>
        <v>https://www.screener.in/company//consolidated/</v>
      </c>
      <c r="F2013" s="4">
        <v>443059</v>
      </c>
      <c r="G2013" s="4">
        <v>3832241897</v>
      </c>
      <c r="H2013" s="6" t="e">
        <f t="shared" ca="1" si="41"/>
        <v>#VALUE!</v>
      </c>
      <c r="I2013" s="7" t="str">
        <f ca="1">IFERROR(__xludf.DUMMYFUNCTION("IMPORTXML(E2013,""/html/body/main/div[3]/div[3]/div[2]/ul/li[5]/span[2]/span"")"),"Loading...")</f>
        <v>Loading...</v>
      </c>
      <c r="J2013" s="7" t="str">
        <f ca="1">IFERROR(__xludf.DUMMYFUNCTION("GOOGLEFINANCE(""NSE:""&amp;D2013,""marketcap"")"),"#N/A")</f>
        <v>#N/A</v>
      </c>
      <c r="K2013" s="7">
        <v>992.8</v>
      </c>
      <c r="L2013" s="8" t="str">
        <f ca="1">IFERROR(__xludf.DUMMYFUNCTION("GOOGLEFINANCE(""NSE:""&amp;D2013,""price"")"),"#N/A")</f>
        <v>#N/A</v>
      </c>
      <c r="M2013" s="9" t="e">
        <f t="shared" ca="1" si="42"/>
        <v>#VALUE!</v>
      </c>
      <c r="N2013" s="10" t="e">
        <f t="shared" ca="1" si="43"/>
        <v>#VALUE!</v>
      </c>
      <c r="O2013" s="7" t="str">
        <f ca="1">IFERROR(__xludf.DUMMYFUNCTION("GOOGLEFINANCE(""NSE:""&amp;D2013,""pe"")"),"#N/A")</f>
        <v>#N/A</v>
      </c>
      <c r="P2013" s="7" t="str">
        <f ca="1">IFERROR(__xludf.DUMMYFUNCTION("GOOGLEFINANCE(""NSE:""&amp;D2013,""EPS"")"),"#N/A")</f>
        <v>#N/A</v>
      </c>
      <c r="Q2013" s="7">
        <v>13.5</v>
      </c>
      <c r="R2013" s="7" t="str">
        <f ca="1">IFERROR(__xludf.DUMMYFUNCTION("IMPORTXML(E2013,""/html/body/main/div[3]/div[3]/div[2]/ul/li[7]/span[2]/span"")"),"Loading...")</f>
        <v>Loading...</v>
      </c>
      <c r="S2013" s="7" t="str">
        <f ca="1">IFERROR(__xludf.DUMMYFUNCTION("IMPORTXML(E2013,""/html/body/main/div[3]/div[3]/div[2]/ul/li[8]/span[2]/span"")"),"Loading...")</f>
        <v>Loading...</v>
      </c>
      <c r="T2013" s="4">
        <v>34.6</v>
      </c>
      <c r="U2013" s="4">
        <v>22.7</v>
      </c>
      <c r="V2013" s="4">
        <v>2.6</v>
      </c>
      <c r="W2013" s="4">
        <v>5.7</v>
      </c>
      <c r="X2013" s="4">
        <v>519.92999999999995</v>
      </c>
      <c r="Y2013" s="7" t="e">
        <f t="shared" ca="1" si="44"/>
        <v>#VALUE!</v>
      </c>
    </row>
    <row r="2014" spans="1:25" ht="15" x14ac:dyDescent="0.25">
      <c r="A2014" s="4">
        <v>1779</v>
      </c>
      <c r="C2014" s="41" t="s">
        <v>4211</v>
      </c>
      <c r="D2014" s="42"/>
      <c r="E2014" s="5" t="str">
        <f t="shared" si="40"/>
        <v>https://www.screener.in/company//consolidated/</v>
      </c>
      <c r="F2014" s="4">
        <v>443059</v>
      </c>
      <c r="G2014" s="4">
        <v>3832241897</v>
      </c>
      <c r="H2014" s="6" t="e">
        <f t="shared" ca="1" si="41"/>
        <v>#VALUE!</v>
      </c>
      <c r="I2014" s="7" t="str">
        <f ca="1">IFERROR(__xludf.DUMMYFUNCTION("IMPORTXML(E2014,""/html/body/main/div[3]/div[3]/div[2]/ul/li[5]/span[2]/span"")"),"Loading...")</f>
        <v>Loading...</v>
      </c>
      <c r="J2014" s="7" t="str">
        <f ca="1">IFERROR(__xludf.DUMMYFUNCTION("GOOGLEFINANCE(""NSE:""&amp;D2014,""marketcap"")"),"#N/A")</f>
        <v>#N/A</v>
      </c>
      <c r="K2014" s="7">
        <v>992.8</v>
      </c>
      <c r="L2014" s="8" t="str">
        <f ca="1">IFERROR(__xludf.DUMMYFUNCTION("GOOGLEFINANCE(""NSE:""&amp;D2014,""price"")"),"#N/A")</f>
        <v>#N/A</v>
      </c>
      <c r="M2014" s="9" t="e">
        <f t="shared" ca="1" si="42"/>
        <v>#VALUE!</v>
      </c>
      <c r="N2014" s="10" t="e">
        <f t="shared" ca="1" si="43"/>
        <v>#VALUE!</v>
      </c>
      <c r="O2014" s="7" t="str">
        <f ca="1">IFERROR(__xludf.DUMMYFUNCTION("GOOGLEFINANCE(""NSE:""&amp;D2014,""pe"")"),"#N/A")</f>
        <v>#N/A</v>
      </c>
      <c r="P2014" s="7" t="str">
        <f ca="1">IFERROR(__xludf.DUMMYFUNCTION("GOOGLEFINANCE(""NSE:""&amp;D2014,""EPS"")"),"#N/A")</f>
        <v>#N/A</v>
      </c>
      <c r="Q2014" s="7">
        <v>13.5</v>
      </c>
      <c r="R2014" s="7" t="str">
        <f ca="1">IFERROR(__xludf.DUMMYFUNCTION("IMPORTXML(E2014,""/html/body/main/div[3]/div[3]/div[2]/ul/li[7]/span[2]/span"")"),"Loading...")</f>
        <v>Loading...</v>
      </c>
      <c r="S2014" s="7" t="str">
        <f ca="1">IFERROR(__xludf.DUMMYFUNCTION("IMPORTXML(E2014,""/html/body/main/div[3]/div[3]/div[2]/ul/li[8]/span[2]/span"")"),"Loading...")</f>
        <v>Loading...</v>
      </c>
      <c r="T2014" s="4">
        <v>34.6</v>
      </c>
      <c r="U2014" s="4">
        <v>22.7</v>
      </c>
      <c r="V2014" s="4">
        <v>2.6</v>
      </c>
      <c r="W2014" s="4">
        <v>5.7</v>
      </c>
      <c r="X2014" s="4">
        <v>519.92999999999995</v>
      </c>
      <c r="Y2014" s="7" t="e">
        <f t="shared" ca="1" si="44"/>
        <v>#VALUE!</v>
      </c>
    </row>
    <row r="2015" spans="1:25" ht="15" x14ac:dyDescent="0.25">
      <c r="A2015" s="4">
        <v>1780</v>
      </c>
      <c r="C2015" s="41" t="s">
        <v>4212</v>
      </c>
      <c r="D2015" s="42"/>
      <c r="E2015" s="5" t="str">
        <f t="shared" si="40"/>
        <v>https://www.screener.in/company//consolidated/</v>
      </c>
      <c r="F2015" s="4">
        <v>443059</v>
      </c>
      <c r="G2015" s="4">
        <v>3832241897</v>
      </c>
      <c r="H2015" s="6" t="e">
        <f t="shared" ca="1" si="41"/>
        <v>#VALUE!</v>
      </c>
      <c r="I2015" s="7" t="str">
        <f ca="1">IFERROR(__xludf.DUMMYFUNCTION("IMPORTXML(E2015,""/html/body/main/div[3]/div[3]/div[2]/ul/li[5]/span[2]/span"")"),"Loading...")</f>
        <v>Loading...</v>
      </c>
      <c r="J2015" s="7" t="str">
        <f ca="1">IFERROR(__xludf.DUMMYFUNCTION("GOOGLEFINANCE(""NSE:""&amp;D2015,""marketcap"")"),"#N/A")</f>
        <v>#N/A</v>
      </c>
      <c r="K2015" s="7">
        <v>992.8</v>
      </c>
      <c r="L2015" s="8" t="str">
        <f ca="1">IFERROR(__xludf.DUMMYFUNCTION("GOOGLEFINANCE(""NSE:""&amp;D2015,""price"")"),"#N/A")</f>
        <v>#N/A</v>
      </c>
      <c r="M2015" s="9" t="e">
        <f t="shared" ca="1" si="42"/>
        <v>#VALUE!</v>
      </c>
      <c r="N2015" s="10" t="e">
        <f t="shared" ca="1" si="43"/>
        <v>#VALUE!</v>
      </c>
      <c r="O2015" s="7" t="str">
        <f ca="1">IFERROR(__xludf.DUMMYFUNCTION("GOOGLEFINANCE(""NSE:""&amp;D2015,""pe"")"),"#N/A")</f>
        <v>#N/A</v>
      </c>
      <c r="P2015" s="7" t="str">
        <f ca="1">IFERROR(__xludf.DUMMYFUNCTION("GOOGLEFINANCE(""NSE:""&amp;D2015,""EPS"")"),"#N/A")</f>
        <v>#N/A</v>
      </c>
      <c r="Q2015" s="7">
        <v>13.5</v>
      </c>
      <c r="R2015" s="7" t="str">
        <f ca="1">IFERROR(__xludf.DUMMYFUNCTION("IMPORTXML(E2015,""/html/body/main/div[3]/div[3]/div[2]/ul/li[7]/span[2]/span"")"),"Loading...")</f>
        <v>Loading...</v>
      </c>
      <c r="S2015" s="7" t="str">
        <f ca="1">IFERROR(__xludf.DUMMYFUNCTION("IMPORTXML(E2015,""/html/body/main/div[3]/div[3]/div[2]/ul/li[8]/span[2]/span"")"),"Loading...")</f>
        <v>Loading...</v>
      </c>
      <c r="T2015" s="4">
        <v>34.6</v>
      </c>
      <c r="U2015" s="4">
        <v>22.7</v>
      </c>
      <c r="V2015" s="4">
        <v>2.6</v>
      </c>
      <c r="W2015" s="4">
        <v>5.7</v>
      </c>
      <c r="X2015" s="4">
        <v>519.92999999999995</v>
      </c>
      <c r="Y2015" s="7" t="e">
        <f t="shared" ca="1" si="44"/>
        <v>#VALUE!</v>
      </c>
    </row>
    <row r="2016" spans="1:25" ht="15" x14ac:dyDescent="0.25">
      <c r="A2016" s="4">
        <v>1781</v>
      </c>
      <c r="C2016" s="41" t="s">
        <v>4213</v>
      </c>
      <c r="D2016" s="42"/>
      <c r="E2016" s="5" t="str">
        <f t="shared" si="40"/>
        <v>https://www.screener.in/company//consolidated/</v>
      </c>
      <c r="F2016" s="4">
        <v>443059</v>
      </c>
      <c r="G2016" s="4">
        <v>3832241897</v>
      </c>
      <c r="H2016" s="6" t="e">
        <f t="shared" ca="1" si="41"/>
        <v>#VALUE!</v>
      </c>
      <c r="I2016" s="7" t="str">
        <f ca="1">IFERROR(__xludf.DUMMYFUNCTION("IMPORTXML(E2016,""/html/body/main/div[3]/div[3]/div[2]/ul/li[5]/span[2]/span"")"),"Loading...")</f>
        <v>Loading...</v>
      </c>
      <c r="J2016" s="7" t="str">
        <f ca="1">IFERROR(__xludf.DUMMYFUNCTION("GOOGLEFINANCE(""NSE:""&amp;D2016,""marketcap"")"),"#N/A")</f>
        <v>#N/A</v>
      </c>
      <c r="K2016" s="7">
        <v>992.8</v>
      </c>
      <c r="L2016" s="8" t="str">
        <f ca="1">IFERROR(__xludf.DUMMYFUNCTION("GOOGLEFINANCE(""NSE:""&amp;D2016,""price"")"),"#N/A")</f>
        <v>#N/A</v>
      </c>
      <c r="M2016" s="9" t="e">
        <f t="shared" ca="1" si="42"/>
        <v>#VALUE!</v>
      </c>
      <c r="N2016" s="10" t="e">
        <f t="shared" ca="1" si="43"/>
        <v>#VALUE!</v>
      </c>
      <c r="O2016" s="7" t="str">
        <f ca="1">IFERROR(__xludf.DUMMYFUNCTION("GOOGLEFINANCE(""NSE:""&amp;D2016,""pe"")"),"#N/A")</f>
        <v>#N/A</v>
      </c>
      <c r="P2016" s="7" t="str">
        <f ca="1">IFERROR(__xludf.DUMMYFUNCTION("GOOGLEFINANCE(""NSE:""&amp;D2016,""EPS"")"),"#N/A")</f>
        <v>#N/A</v>
      </c>
      <c r="Q2016" s="7">
        <v>13.5</v>
      </c>
      <c r="R2016" s="7" t="str">
        <f ca="1">IFERROR(__xludf.DUMMYFUNCTION("IMPORTXML(E2016,""/html/body/main/div[3]/div[3]/div[2]/ul/li[7]/span[2]/span"")"),"Loading...")</f>
        <v>Loading...</v>
      </c>
      <c r="S2016" s="7" t="str">
        <f ca="1">IFERROR(__xludf.DUMMYFUNCTION("IMPORTXML(E2016,""/html/body/main/div[3]/div[3]/div[2]/ul/li[8]/span[2]/span"")"),"Loading...")</f>
        <v>Loading...</v>
      </c>
      <c r="T2016" s="4">
        <v>34.6</v>
      </c>
      <c r="U2016" s="4">
        <v>22.7</v>
      </c>
      <c r="V2016" s="4">
        <v>2.6</v>
      </c>
      <c r="W2016" s="4">
        <v>5.7</v>
      </c>
      <c r="X2016" s="4">
        <v>519.92999999999995</v>
      </c>
      <c r="Y2016" s="7" t="e">
        <f t="shared" ca="1" si="44"/>
        <v>#VALUE!</v>
      </c>
    </row>
    <row r="2017" spans="1:25" ht="15" x14ac:dyDescent="0.25">
      <c r="A2017" s="4">
        <v>1782</v>
      </c>
      <c r="C2017" s="41" t="s">
        <v>4214</v>
      </c>
      <c r="D2017" s="42"/>
      <c r="E2017" s="5" t="str">
        <f t="shared" si="40"/>
        <v>https://www.screener.in/company//consolidated/</v>
      </c>
      <c r="F2017" s="4">
        <v>443059</v>
      </c>
      <c r="G2017" s="4">
        <v>3832241897</v>
      </c>
      <c r="H2017" s="6" t="e">
        <f t="shared" ca="1" si="41"/>
        <v>#VALUE!</v>
      </c>
      <c r="I2017" s="7" t="str">
        <f ca="1">IFERROR(__xludf.DUMMYFUNCTION("IMPORTXML(E2017,""/html/body/main/div[3]/div[3]/div[2]/ul/li[5]/span[2]/span"")"),"Loading...")</f>
        <v>Loading...</v>
      </c>
      <c r="J2017" s="7" t="str">
        <f ca="1">IFERROR(__xludf.DUMMYFUNCTION("GOOGLEFINANCE(""NSE:""&amp;D2017,""marketcap"")"),"#N/A")</f>
        <v>#N/A</v>
      </c>
      <c r="K2017" s="7">
        <v>992.8</v>
      </c>
      <c r="L2017" s="8" t="str">
        <f ca="1">IFERROR(__xludf.DUMMYFUNCTION("GOOGLEFINANCE(""NSE:""&amp;D2017,""price"")"),"#N/A")</f>
        <v>#N/A</v>
      </c>
      <c r="M2017" s="9" t="e">
        <f t="shared" ca="1" si="42"/>
        <v>#VALUE!</v>
      </c>
      <c r="N2017" s="10" t="e">
        <f t="shared" ca="1" si="43"/>
        <v>#VALUE!</v>
      </c>
      <c r="O2017" s="7" t="str">
        <f ca="1">IFERROR(__xludf.DUMMYFUNCTION("GOOGLEFINANCE(""NSE:""&amp;D2017,""pe"")"),"#N/A")</f>
        <v>#N/A</v>
      </c>
      <c r="P2017" s="7" t="str">
        <f ca="1">IFERROR(__xludf.DUMMYFUNCTION("GOOGLEFINANCE(""NSE:""&amp;D2017,""EPS"")"),"#N/A")</f>
        <v>#N/A</v>
      </c>
      <c r="Q2017" s="7">
        <v>13.5</v>
      </c>
      <c r="R2017" s="7" t="str">
        <f ca="1">IFERROR(__xludf.DUMMYFUNCTION("IMPORTXML(E2017,""/html/body/main/div[3]/div[3]/div[2]/ul/li[7]/span[2]/span"")"),"Loading...")</f>
        <v>Loading...</v>
      </c>
      <c r="S2017" s="7" t="str">
        <f ca="1">IFERROR(__xludf.DUMMYFUNCTION("IMPORTXML(E2017,""/html/body/main/div[3]/div[3]/div[2]/ul/li[8]/span[2]/span"")"),"Loading...")</f>
        <v>Loading...</v>
      </c>
      <c r="T2017" s="4">
        <v>34.6</v>
      </c>
      <c r="U2017" s="4">
        <v>22.7</v>
      </c>
      <c r="V2017" s="4">
        <v>2.6</v>
      </c>
      <c r="W2017" s="4">
        <v>5.7</v>
      </c>
      <c r="X2017" s="4">
        <v>519.92999999999995</v>
      </c>
      <c r="Y2017" s="7" t="e">
        <f t="shared" ca="1" si="44"/>
        <v>#VALUE!</v>
      </c>
    </row>
    <row r="2018" spans="1:25" ht="15" x14ac:dyDescent="0.25">
      <c r="A2018" s="4">
        <v>1783</v>
      </c>
      <c r="C2018" s="41" t="s">
        <v>4215</v>
      </c>
      <c r="D2018" s="42"/>
      <c r="E2018" s="5" t="str">
        <f t="shared" si="40"/>
        <v>https://www.screener.in/company//consolidated/</v>
      </c>
      <c r="F2018" s="4">
        <v>443059</v>
      </c>
      <c r="G2018" s="4">
        <v>3832241897</v>
      </c>
      <c r="H2018" s="6" t="e">
        <f t="shared" ca="1" si="41"/>
        <v>#VALUE!</v>
      </c>
      <c r="I2018" s="7" t="str">
        <f ca="1">IFERROR(__xludf.DUMMYFUNCTION("IMPORTXML(E2018,""/html/body/main/div[3]/div[3]/div[2]/ul/li[5]/span[2]/span"")"),"Loading...")</f>
        <v>Loading...</v>
      </c>
      <c r="J2018" s="7" t="str">
        <f ca="1">IFERROR(__xludf.DUMMYFUNCTION("GOOGLEFINANCE(""NSE:""&amp;D2018,""marketcap"")"),"#N/A")</f>
        <v>#N/A</v>
      </c>
      <c r="K2018" s="7">
        <v>992.8</v>
      </c>
      <c r="L2018" s="8" t="str">
        <f ca="1">IFERROR(__xludf.DUMMYFUNCTION("GOOGLEFINANCE(""NSE:""&amp;D2018,""price"")"),"#N/A")</f>
        <v>#N/A</v>
      </c>
      <c r="M2018" s="9" t="e">
        <f t="shared" ca="1" si="42"/>
        <v>#VALUE!</v>
      </c>
      <c r="N2018" s="10" t="e">
        <f t="shared" ca="1" si="43"/>
        <v>#VALUE!</v>
      </c>
      <c r="O2018" s="7" t="str">
        <f ca="1">IFERROR(__xludf.DUMMYFUNCTION("GOOGLEFINANCE(""NSE:""&amp;D2018,""pe"")"),"#N/A")</f>
        <v>#N/A</v>
      </c>
      <c r="P2018" s="7" t="str">
        <f ca="1">IFERROR(__xludf.DUMMYFUNCTION("GOOGLEFINANCE(""NSE:""&amp;D2018,""EPS"")"),"#N/A")</f>
        <v>#N/A</v>
      </c>
      <c r="Q2018" s="7">
        <v>13.5</v>
      </c>
      <c r="R2018" s="7" t="str">
        <f ca="1">IFERROR(__xludf.DUMMYFUNCTION("IMPORTXML(E2018,""/html/body/main/div[3]/div[3]/div[2]/ul/li[7]/span[2]/span"")"),"Loading...")</f>
        <v>Loading...</v>
      </c>
      <c r="S2018" s="7" t="str">
        <f ca="1">IFERROR(__xludf.DUMMYFUNCTION("IMPORTXML(E2018,""/html/body/main/div[3]/div[3]/div[2]/ul/li[8]/span[2]/span"")"),"Loading...")</f>
        <v>Loading...</v>
      </c>
      <c r="T2018" s="4">
        <v>34.6</v>
      </c>
      <c r="U2018" s="4">
        <v>22.7</v>
      </c>
      <c r="V2018" s="4">
        <v>2.6</v>
      </c>
      <c r="W2018" s="4">
        <v>5.7</v>
      </c>
      <c r="X2018" s="4">
        <v>519.92999999999995</v>
      </c>
      <c r="Y2018" s="7" t="e">
        <f t="shared" ca="1" si="44"/>
        <v>#VALUE!</v>
      </c>
    </row>
    <row r="2019" spans="1:25" ht="15" x14ac:dyDescent="0.25">
      <c r="A2019" s="4">
        <v>1784</v>
      </c>
      <c r="C2019" s="41" t="s">
        <v>4216</v>
      </c>
      <c r="D2019" s="42"/>
      <c r="E2019" s="5" t="str">
        <f t="shared" si="40"/>
        <v>https://www.screener.in/company//consolidated/</v>
      </c>
      <c r="F2019" s="4">
        <v>443059</v>
      </c>
      <c r="G2019" s="4">
        <v>3832241897</v>
      </c>
      <c r="H2019" s="6" t="e">
        <f t="shared" ca="1" si="41"/>
        <v>#VALUE!</v>
      </c>
      <c r="I2019" s="7" t="str">
        <f ca="1">IFERROR(__xludf.DUMMYFUNCTION("IMPORTXML(E2019,""/html/body/main/div[3]/div[3]/div[2]/ul/li[5]/span[2]/span"")"),"Loading...")</f>
        <v>Loading...</v>
      </c>
      <c r="J2019" s="7" t="str">
        <f ca="1">IFERROR(__xludf.DUMMYFUNCTION("GOOGLEFINANCE(""NSE:""&amp;D2019,""marketcap"")"),"#N/A")</f>
        <v>#N/A</v>
      </c>
      <c r="K2019" s="7">
        <v>992.8</v>
      </c>
      <c r="L2019" s="8" t="str">
        <f ca="1">IFERROR(__xludf.DUMMYFUNCTION("GOOGLEFINANCE(""NSE:""&amp;D2019,""price"")"),"#N/A")</f>
        <v>#N/A</v>
      </c>
      <c r="M2019" s="9" t="e">
        <f t="shared" ca="1" si="42"/>
        <v>#VALUE!</v>
      </c>
      <c r="N2019" s="10" t="e">
        <f t="shared" ca="1" si="43"/>
        <v>#VALUE!</v>
      </c>
      <c r="O2019" s="7" t="str">
        <f ca="1">IFERROR(__xludf.DUMMYFUNCTION("GOOGLEFINANCE(""NSE:""&amp;D2019,""pe"")"),"#N/A")</f>
        <v>#N/A</v>
      </c>
      <c r="P2019" s="7" t="str">
        <f ca="1">IFERROR(__xludf.DUMMYFUNCTION("GOOGLEFINANCE(""NSE:""&amp;D2019,""EPS"")"),"#N/A")</f>
        <v>#N/A</v>
      </c>
      <c r="Q2019" s="7">
        <v>13.5</v>
      </c>
      <c r="R2019" s="7" t="str">
        <f ca="1">IFERROR(__xludf.DUMMYFUNCTION("IMPORTXML(E2019,""/html/body/main/div[3]/div[3]/div[2]/ul/li[7]/span[2]/span"")"),"Loading...")</f>
        <v>Loading...</v>
      </c>
      <c r="S2019" s="7" t="str">
        <f ca="1">IFERROR(__xludf.DUMMYFUNCTION("IMPORTXML(E2019,""/html/body/main/div[3]/div[3]/div[2]/ul/li[8]/span[2]/span"")"),"Loading...")</f>
        <v>Loading...</v>
      </c>
      <c r="T2019" s="4">
        <v>34.6</v>
      </c>
      <c r="U2019" s="4">
        <v>22.7</v>
      </c>
      <c r="V2019" s="4">
        <v>2.6</v>
      </c>
      <c r="W2019" s="4">
        <v>5.7</v>
      </c>
      <c r="X2019" s="4">
        <v>519.92999999999995</v>
      </c>
      <c r="Y2019" s="7" t="e">
        <f t="shared" ca="1" si="44"/>
        <v>#VALUE!</v>
      </c>
    </row>
    <row r="2020" spans="1:25" ht="15" x14ac:dyDescent="0.25">
      <c r="A2020" s="4">
        <v>1786</v>
      </c>
      <c r="C2020" s="41" t="s">
        <v>4217</v>
      </c>
      <c r="D2020" s="42"/>
      <c r="E2020" s="5" t="str">
        <f t="shared" si="40"/>
        <v>https://www.screener.in/company//consolidated/</v>
      </c>
      <c r="F2020" s="4">
        <v>443059</v>
      </c>
      <c r="G2020" s="4">
        <v>3832241897</v>
      </c>
      <c r="H2020" s="6" t="e">
        <f t="shared" ca="1" si="41"/>
        <v>#VALUE!</v>
      </c>
      <c r="I2020" s="7" t="str">
        <f ca="1">IFERROR(__xludf.DUMMYFUNCTION("IMPORTXML(E2020,""/html/body/main/div[3]/div[3]/div[2]/ul/li[5]/span[2]/span"")"),"Loading...")</f>
        <v>Loading...</v>
      </c>
      <c r="J2020" s="7" t="str">
        <f ca="1">IFERROR(__xludf.DUMMYFUNCTION("GOOGLEFINANCE(""NSE:""&amp;D2020,""marketcap"")"),"#N/A")</f>
        <v>#N/A</v>
      </c>
      <c r="K2020" s="7">
        <v>992.8</v>
      </c>
      <c r="L2020" s="8" t="str">
        <f ca="1">IFERROR(__xludf.DUMMYFUNCTION("GOOGLEFINANCE(""NSE:""&amp;D2020,""price"")"),"#N/A")</f>
        <v>#N/A</v>
      </c>
      <c r="M2020" s="9" t="e">
        <f t="shared" ca="1" si="42"/>
        <v>#VALUE!</v>
      </c>
      <c r="N2020" s="10" t="e">
        <f t="shared" ca="1" si="43"/>
        <v>#VALUE!</v>
      </c>
      <c r="O2020" s="7" t="str">
        <f ca="1">IFERROR(__xludf.DUMMYFUNCTION("GOOGLEFINANCE(""NSE:""&amp;D2020,""pe"")"),"#N/A")</f>
        <v>#N/A</v>
      </c>
      <c r="P2020" s="7" t="str">
        <f ca="1">IFERROR(__xludf.DUMMYFUNCTION("GOOGLEFINANCE(""NSE:""&amp;D2020,""EPS"")"),"#N/A")</f>
        <v>#N/A</v>
      </c>
      <c r="Q2020" s="7">
        <v>13.5</v>
      </c>
      <c r="R2020" s="7" t="str">
        <f ca="1">IFERROR(__xludf.DUMMYFUNCTION("IMPORTXML(E2020,""/html/body/main/div[3]/div[3]/div[2]/ul/li[7]/span[2]/span"")"),"Loading...")</f>
        <v>Loading...</v>
      </c>
      <c r="S2020" s="7" t="str">
        <f ca="1">IFERROR(__xludf.DUMMYFUNCTION("IMPORTXML(E2020,""/html/body/main/div[3]/div[3]/div[2]/ul/li[8]/span[2]/span"")"),"Loading...")</f>
        <v>Loading...</v>
      </c>
      <c r="T2020" s="4">
        <v>34.6</v>
      </c>
      <c r="U2020" s="4">
        <v>22.7</v>
      </c>
      <c r="V2020" s="4">
        <v>2.6</v>
      </c>
      <c r="W2020" s="4">
        <v>5.7</v>
      </c>
      <c r="X2020" s="4">
        <v>519.92999999999995</v>
      </c>
      <c r="Y2020" s="7" t="e">
        <f t="shared" ca="1" si="44"/>
        <v>#VALUE!</v>
      </c>
    </row>
    <row r="2021" spans="1:25" ht="15" x14ac:dyDescent="0.25">
      <c r="A2021" s="4">
        <v>1787</v>
      </c>
      <c r="C2021" s="12" t="s">
        <v>4218</v>
      </c>
      <c r="D2021" s="12" t="s">
        <v>4219</v>
      </c>
      <c r="E2021" s="5" t="str">
        <f t="shared" si="40"/>
        <v>https://www.screener.in/company/RAJTV/consolidated/</v>
      </c>
      <c r="F2021" s="4">
        <v>443059</v>
      </c>
      <c r="G2021" s="4">
        <v>3832241897</v>
      </c>
      <c r="H2021" s="6">
        <f t="shared" ca="1" si="41"/>
        <v>16689.413461434997</v>
      </c>
      <c r="I2021" s="7" t="str">
        <f ca="1">IFERROR(__xludf.DUMMYFUNCTION("IMPORTXML(E2021,""/html/body/main/div[3]/div[3]/div[2]/ul/li[5]/span[2]/span"")"),"Loading...")</f>
        <v>Loading...</v>
      </c>
      <c r="J2021" s="7">
        <f ca="1">IFERROR(__xludf.DUMMYFUNCTION("GOOGLEFINANCE(""NSE:""&amp;D2021,""marketcap"")"),2228121000)</f>
        <v>2228121000</v>
      </c>
      <c r="K2021" s="7">
        <v>992.8</v>
      </c>
      <c r="L2021" s="8">
        <f ca="1">IFERROR(__xludf.DUMMYFUNCTION("GOOGLEFINANCE(""NSE:""&amp;D2021,""price"")"),43.55)</f>
        <v>43.55</v>
      </c>
      <c r="M2021" s="9">
        <f t="shared" ca="1" si="42"/>
        <v>-949.25</v>
      </c>
      <c r="N2021" s="10">
        <f t="shared" ca="1" si="43"/>
        <v>-95.613416599516526</v>
      </c>
      <c r="O2021" s="7" t="str">
        <f ca="1">IFERROR(__xludf.DUMMYFUNCTION("GOOGLEFINANCE(""NSE:""&amp;D2021,""pe"")"),"#N/A")</f>
        <v>#N/A</v>
      </c>
      <c r="P2021" s="7">
        <f ca="1">IFERROR(__xludf.DUMMYFUNCTION("GOOGLEFINANCE(""NSE:""&amp;D2021,""EPS"")"),-0.73)</f>
        <v>-0.73</v>
      </c>
      <c r="Q2021" s="7">
        <v>13.5</v>
      </c>
      <c r="R2021" s="7" t="str">
        <f ca="1">IFERROR(__xludf.DUMMYFUNCTION("IMPORTXML(E2021,""/html/body/main/div[3]/div[3]/div[2]/ul/li[7]/span[2]/span"")"),"Loading...")</f>
        <v>Loading...</v>
      </c>
      <c r="S2021" s="7" t="str">
        <f ca="1">IFERROR(__xludf.DUMMYFUNCTION("IMPORTXML(E2021,""/html/body/main/div[3]/div[3]/div[2]/ul/li[8]/span[2]/span"")"),"Loading...")</f>
        <v>Loading...</v>
      </c>
      <c r="T2021" s="4">
        <v>34.6</v>
      </c>
      <c r="U2021" s="4">
        <v>22.7</v>
      </c>
      <c r="V2021" s="4">
        <v>2.6</v>
      </c>
      <c r="W2021" s="4">
        <v>5.7</v>
      </c>
      <c r="X2021" s="4">
        <v>519.92999999999995</v>
      </c>
      <c r="Y2021" s="7">
        <f t="shared" ca="1" si="44"/>
        <v>-476.37999999999994</v>
      </c>
    </row>
    <row r="2022" spans="1:25" ht="15" x14ac:dyDescent="0.25">
      <c r="A2022" s="4">
        <v>1789</v>
      </c>
      <c r="C2022" s="41" t="s">
        <v>4220</v>
      </c>
      <c r="D2022" s="42"/>
      <c r="E2022" s="5" t="str">
        <f t="shared" si="40"/>
        <v>https://www.screener.in/company//consolidated/</v>
      </c>
      <c r="F2022" s="4">
        <v>443059</v>
      </c>
      <c r="G2022" s="4">
        <v>3832241897</v>
      </c>
      <c r="H2022" s="6" t="e">
        <f t="shared" ca="1" si="41"/>
        <v>#VALUE!</v>
      </c>
      <c r="I2022" s="7" t="str">
        <f ca="1">IFERROR(__xludf.DUMMYFUNCTION("IMPORTXML(E2022,""/html/body/main/div[3]/div[3]/div[2]/ul/li[5]/span[2]/span"")"),"Loading...")</f>
        <v>Loading...</v>
      </c>
      <c r="J2022" s="7" t="str">
        <f ca="1">IFERROR(__xludf.DUMMYFUNCTION("GOOGLEFINANCE(""NSE:""&amp;D2022,""marketcap"")"),"#N/A")</f>
        <v>#N/A</v>
      </c>
      <c r="K2022" s="7">
        <v>992.8</v>
      </c>
      <c r="L2022" s="8" t="str">
        <f ca="1">IFERROR(__xludf.DUMMYFUNCTION("GOOGLEFINANCE(""NSE:""&amp;D2022,""price"")"),"#N/A")</f>
        <v>#N/A</v>
      </c>
      <c r="M2022" s="9" t="e">
        <f t="shared" ca="1" si="42"/>
        <v>#VALUE!</v>
      </c>
      <c r="N2022" s="10" t="e">
        <f t="shared" ca="1" si="43"/>
        <v>#VALUE!</v>
      </c>
      <c r="O2022" s="7" t="str">
        <f ca="1">IFERROR(__xludf.DUMMYFUNCTION("GOOGLEFINANCE(""NSE:""&amp;D2022,""pe"")"),"#N/A")</f>
        <v>#N/A</v>
      </c>
      <c r="P2022" s="7" t="str">
        <f ca="1">IFERROR(__xludf.DUMMYFUNCTION("GOOGLEFINANCE(""NSE:""&amp;D2022,""EPS"")"),"#N/A")</f>
        <v>#N/A</v>
      </c>
      <c r="Q2022" s="7">
        <v>13.5</v>
      </c>
      <c r="R2022" s="7" t="str">
        <f ca="1">IFERROR(__xludf.DUMMYFUNCTION("IMPORTXML(E2022,""/html/body/main/div[3]/div[3]/div[2]/ul/li[7]/span[2]/span"")"),"Loading...")</f>
        <v>Loading...</v>
      </c>
      <c r="S2022" s="7" t="str">
        <f ca="1">IFERROR(__xludf.DUMMYFUNCTION("IMPORTXML(E2022,""/html/body/main/div[3]/div[3]/div[2]/ul/li[8]/span[2]/span"")"),"Loading...")</f>
        <v>Loading...</v>
      </c>
      <c r="T2022" s="4">
        <v>34.6</v>
      </c>
      <c r="U2022" s="4">
        <v>22.7</v>
      </c>
      <c r="V2022" s="4">
        <v>2.6</v>
      </c>
      <c r="W2022" s="4">
        <v>5.7</v>
      </c>
      <c r="X2022" s="4">
        <v>519.92999999999995</v>
      </c>
      <c r="Y2022" s="7" t="e">
        <f t="shared" ca="1" si="44"/>
        <v>#VALUE!</v>
      </c>
    </row>
    <row r="2023" spans="1:25" ht="15" x14ac:dyDescent="0.25">
      <c r="A2023" s="4">
        <v>1790</v>
      </c>
      <c r="C2023" s="12" t="s">
        <v>4221</v>
      </c>
      <c r="D2023" s="12" t="s">
        <v>4222</v>
      </c>
      <c r="E2023" s="5" t="str">
        <f t="shared" si="40"/>
        <v>https://www.screener.in/company/MARALOVER/consolidated/</v>
      </c>
      <c r="F2023" s="4">
        <v>443059</v>
      </c>
      <c r="G2023" s="4">
        <v>3832241897</v>
      </c>
      <c r="H2023" s="6">
        <f t="shared" ca="1" si="41"/>
        <v>19582.756093670003</v>
      </c>
      <c r="I2023" s="7" t="str">
        <f ca="1">IFERROR(__xludf.DUMMYFUNCTION("IMPORTXML(E2023,""/html/body/main/div[3]/div[3]/div[2]/ul/li[5]/span[2]/span"")"),"Loading...")</f>
        <v>Loading...</v>
      </c>
      <c r="J2023" s="7">
        <f ca="1">IFERROR(__xludf.DUMMYFUNCTION("GOOGLEFINANCE(""NSE:""&amp;D2023,""marketcap"")"),2140983000)</f>
        <v>2140983000</v>
      </c>
      <c r="K2023" s="7">
        <v>992.8</v>
      </c>
      <c r="L2023" s="8">
        <f ca="1">IFERROR(__xludf.DUMMYFUNCTION("GOOGLEFINANCE(""NSE:""&amp;D2023,""price"")"),51.1)</f>
        <v>51.1</v>
      </c>
      <c r="M2023" s="9">
        <f t="shared" ca="1" si="42"/>
        <v>-941.69999999999993</v>
      </c>
      <c r="N2023" s="10">
        <f t="shared" ca="1" si="43"/>
        <v>-94.85294117647058</v>
      </c>
      <c r="O2023" s="7" t="str">
        <f ca="1">IFERROR(__xludf.DUMMYFUNCTION("GOOGLEFINANCE(""NSE:""&amp;D2023,""pe"")"),"#N/A")</f>
        <v>#N/A</v>
      </c>
      <c r="P2023" s="7">
        <f ca="1">IFERROR(__xludf.DUMMYFUNCTION("GOOGLEFINANCE(""NSE:""&amp;D2023,""EPS"")"),-7.3)</f>
        <v>-7.3</v>
      </c>
      <c r="Q2023" s="7">
        <v>13.5</v>
      </c>
      <c r="R2023" s="7" t="str">
        <f ca="1">IFERROR(__xludf.DUMMYFUNCTION("IMPORTXML(E2023,""/html/body/main/div[3]/div[3]/div[2]/ul/li[7]/span[2]/span"")"),"Loading...")</f>
        <v>Loading...</v>
      </c>
      <c r="S2023" s="7" t="str">
        <f ca="1">IFERROR(__xludf.DUMMYFUNCTION("IMPORTXML(E2023,""/html/body/main/div[3]/div[3]/div[2]/ul/li[8]/span[2]/span"")"),"Loading...")</f>
        <v>Loading...</v>
      </c>
      <c r="T2023" s="4">
        <v>34.6</v>
      </c>
      <c r="U2023" s="4">
        <v>22.7</v>
      </c>
      <c r="V2023" s="4">
        <v>2.6</v>
      </c>
      <c r="W2023" s="4">
        <v>5.7</v>
      </c>
      <c r="X2023" s="4">
        <v>519.92999999999995</v>
      </c>
      <c r="Y2023" s="7">
        <f t="shared" ca="1" si="44"/>
        <v>-468.82999999999993</v>
      </c>
    </row>
    <row r="2024" spans="1:25" ht="15" x14ac:dyDescent="0.25">
      <c r="A2024" s="4">
        <v>1791</v>
      </c>
      <c r="C2024" s="41" t="s">
        <v>4223</v>
      </c>
      <c r="D2024" s="42"/>
      <c r="E2024" s="5" t="str">
        <f t="shared" si="40"/>
        <v>https://www.screener.in/company//consolidated/</v>
      </c>
      <c r="F2024" s="4">
        <v>443059</v>
      </c>
      <c r="G2024" s="4">
        <v>3832241897</v>
      </c>
      <c r="H2024" s="6" t="e">
        <f t="shared" ca="1" si="41"/>
        <v>#VALUE!</v>
      </c>
      <c r="I2024" s="7" t="str">
        <f ca="1">IFERROR(__xludf.DUMMYFUNCTION("IMPORTXML(E2024,""/html/body/main/div[3]/div[3]/div[2]/ul/li[5]/span[2]/span"")"),"Loading...")</f>
        <v>Loading...</v>
      </c>
      <c r="J2024" s="7" t="str">
        <f ca="1">IFERROR(__xludf.DUMMYFUNCTION("GOOGLEFINANCE(""NSE:""&amp;D2024,""marketcap"")"),"#N/A")</f>
        <v>#N/A</v>
      </c>
      <c r="K2024" s="7">
        <v>992.8</v>
      </c>
      <c r="L2024" s="8" t="str">
        <f ca="1">IFERROR(__xludf.DUMMYFUNCTION("GOOGLEFINANCE(""NSE:""&amp;D2024,""price"")"),"#N/A")</f>
        <v>#N/A</v>
      </c>
      <c r="M2024" s="9" t="e">
        <f t="shared" ca="1" si="42"/>
        <v>#VALUE!</v>
      </c>
      <c r="N2024" s="10" t="e">
        <f t="shared" ca="1" si="43"/>
        <v>#VALUE!</v>
      </c>
      <c r="O2024" s="7" t="str">
        <f ca="1">IFERROR(__xludf.DUMMYFUNCTION("GOOGLEFINANCE(""NSE:""&amp;D2024,""pe"")"),"#N/A")</f>
        <v>#N/A</v>
      </c>
      <c r="P2024" s="7" t="str">
        <f ca="1">IFERROR(__xludf.DUMMYFUNCTION("GOOGLEFINANCE(""NSE:""&amp;D2024,""EPS"")"),"#N/A")</f>
        <v>#N/A</v>
      </c>
      <c r="Q2024" s="7">
        <v>13.5</v>
      </c>
      <c r="R2024" s="7" t="str">
        <f ca="1">IFERROR(__xludf.DUMMYFUNCTION("IMPORTXML(E2024,""/html/body/main/div[3]/div[3]/div[2]/ul/li[7]/span[2]/span"")"),"Loading...")</f>
        <v>Loading...</v>
      </c>
      <c r="S2024" s="7" t="str">
        <f ca="1">IFERROR(__xludf.DUMMYFUNCTION("IMPORTXML(E2024,""/html/body/main/div[3]/div[3]/div[2]/ul/li[8]/span[2]/span"")"),"Loading...")</f>
        <v>Loading...</v>
      </c>
      <c r="T2024" s="4">
        <v>34.6</v>
      </c>
      <c r="U2024" s="4">
        <v>22.7</v>
      </c>
      <c r="V2024" s="4">
        <v>2.6</v>
      </c>
      <c r="W2024" s="4">
        <v>5.7</v>
      </c>
      <c r="X2024" s="4">
        <v>519.92999999999995</v>
      </c>
      <c r="Y2024" s="7" t="e">
        <f t="shared" ca="1" si="44"/>
        <v>#VALUE!</v>
      </c>
    </row>
    <row r="2025" spans="1:25" ht="15" x14ac:dyDescent="0.25">
      <c r="A2025" s="4">
        <v>1792</v>
      </c>
      <c r="C2025" s="41" t="s">
        <v>4224</v>
      </c>
      <c r="D2025" s="42"/>
      <c r="E2025" s="5" t="str">
        <f t="shared" si="40"/>
        <v>https://www.screener.in/company//consolidated/</v>
      </c>
      <c r="F2025" s="4">
        <v>443059</v>
      </c>
      <c r="G2025" s="4">
        <v>3832241897</v>
      </c>
      <c r="H2025" s="6" t="e">
        <f t="shared" ca="1" si="41"/>
        <v>#VALUE!</v>
      </c>
      <c r="I2025" s="7" t="str">
        <f ca="1">IFERROR(__xludf.DUMMYFUNCTION("IMPORTXML(E2025,""/html/body/main/div[3]/div[3]/div[2]/ul/li[5]/span[2]/span"")"),"Loading...")</f>
        <v>Loading...</v>
      </c>
      <c r="J2025" s="7" t="str">
        <f ca="1">IFERROR(__xludf.DUMMYFUNCTION("GOOGLEFINANCE(""NSE:""&amp;D2025,""marketcap"")"),"#N/A")</f>
        <v>#N/A</v>
      </c>
      <c r="K2025" s="7">
        <v>992.8</v>
      </c>
      <c r="L2025" s="8" t="str">
        <f ca="1">IFERROR(__xludf.DUMMYFUNCTION("GOOGLEFINANCE(""NSE:""&amp;D2025,""price"")"),"#N/A")</f>
        <v>#N/A</v>
      </c>
      <c r="M2025" s="9" t="e">
        <f t="shared" ca="1" si="42"/>
        <v>#VALUE!</v>
      </c>
      <c r="N2025" s="10" t="e">
        <f t="shared" ca="1" si="43"/>
        <v>#VALUE!</v>
      </c>
      <c r="O2025" s="7" t="str">
        <f ca="1">IFERROR(__xludf.DUMMYFUNCTION("GOOGLEFINANCE(""NSE:""&amp;D2025,""pe"")"),"#N/A")</f>
        <v>#N/A</v>
      </c>
      <c r="P2025" s="7" t="str">
        <f ca="1">IFERROR(__xludf.DUMMYFUNCTION("GOOGLEFINANCE(""NSE:""&amp;D2025,""EPS"")"),"#N/A")</f>
        <v>#N/A</v>
      </c>
      <c r="Q2025" s="7">
        <v>13.5</v>
      </c>
      <c r="R2025" s="7" t="str">
        <f ca="1">IFERROR(__xludf.DUMMYFUNCTION("IMPORTXML(E2025,""/html/body/main/div[3]/div[3]/div[2]/ul/li[7]/span[2]/span"")"),"Loading...")</f>
        <v>Loading...</v>
      </c>
      <c r="S2025" s="7" t="str">
        <f ca="1">IFERROR(__xludf.DUMMYFUNCTION("IMPORTXML(E2025,""/html/body/main/div[3]/div[3]/div[2]/ul/li[8]/span[2]/span"")"),"Loading...")</f>
        <v>Loading...</v>
      </c>
      <c r="T2025" s="4">
        <v>34.6</v>
      </c>
      <c r="U2025" s="4">
        <v>22.7</v>
      </c>
      <c r="V2025" s="4">
        <v>2.6</v>
      </c>
      <c r="W2025" s="4">
        <v>5.7</v>
      </c>
      <c r="X2025" s="4">
        <v>519.92999999999995</v>
      </c>
      <c r="Y2025" s="7" t="e">
        <f t="shared" ca="1" si="44"/>
        <v>#VALUE!</v>
      </c>
    </row>
    <row r="2026" spans="1:25" ht="15" x14ac:dyDescent="0.25">
      <c r="A2026" s="4">
        <v>1794</v>
      </c>
      <c r="C2026" s="41" t="s">
        <v>4225</v>
      </c>
      <c r="D2026" s="42"/>
      <c r="E2026" s="5" t="str">
        <f t="shared" si="40"/>
        <v>https://www.screener.in/company//consolidated/</v>
      </c>
      <c r="F2026" s="4">
        <v>443059</v>
      </c>
      <c r="G2026" s="4">
        <v>3832241897</v>
      </c>
      <c r="H2026" s="6" t="e">
        <f t="shared" ca="1" si="41"/>
        <v>#VALUE!</v>
      </c>
      <c r="I2026" s="7" t="str">
        <f ca="1">IFERROR(__xludf.DUMMYFUNCTION("IMPORTXML(E2026,""/html/body/main/div[3]/div[3]/div[2]/ul/li[5]/span[2]/span"")"),"Loading...")</f>
        <v>Loading...</v>
      </c>
      <c r="J2026" s="7" t="str">
        <f ca="1">IFERROR(__xludf.DUMMYFUNCTION("GOOGLEFINANCE(""NSE:""&amp;D2026,""marketcap"")"),"#N/A")</f>
        <v>#N/A</v>
      </c>
      <c r="K2026" s="7">
        <v>992.8</v>
      </c>
      <c r="L2026" s="8" t="str">
        <f ca="1">IFERROR(__xludf.DUMMYFUNCTION("GOOGLEFINANCE(""NSE:""&amp;D2026,""price"")"),"#N/A")</f>
        <v>#N/A</v>
      </c>
      <c r="M2026" s="9" t="e">
        <f t="shared" ca="1" si="42"/>
        <v>#VALUE!</v>
      </c>
      <c r="N2026" s="10" t="e">
        <f t="shared" ca="1" si="43"/>
        <v>#VALUE!</v>
      </c>
      <c r="O2026" s="7" t="str">
        <f ca="1">IFERROR(__xludf.DUMMYFUNCTION("GOOGLEFINANCE(""NSE:""&amp;D2026,""pe"")"),"#N/A")</f>
        <v>#N/A</v>
      </c>
      <c r="P2026" s="7" t="str">
        <f ca="1">IFERROR(__xludf.DUMMYFUNCTION("GOOGLEFINANCE(""NSE:""&amp;D2026,""EPS"")"),"#N/A")</f>
        <v>#N/A</v>
      </c>
      <c r="Q2026" s="7">
        <v>13.5</v>
      </c>
      <c r="R2026" s="7" t="str">
        <f ca="1">IFERROR(__xludf.DUMMYFUNCTION("IMPORTXML(E2026,""/html/body/main/div[3]/div[3]/div[2]/ul/li[7]/span[2]/span"")"),"Loading...")</f>
        <v>Loading...</v>
      </c>
      <c r="S2026" s="7" t="str">
        <f ca="1">IFERROR(__xludf.DUMMYFUNCTION("IMPORTXML(E2026,""/html/body/main/div[3]/div[3]/div[2]/ul/li[8]/span[2]/span"")"),"Loading...")</f>
        <v>Loading...</v>
      </c>
      <c r="T2026" s="4">
        <v>34.6</v>
      </c>
      <c r="U2026" s="4">
        <v>22.7</v>
      </c>
      <c r="V2026" s="4">
        <v>2.6</v>
      </c>
      <c r="W2026" s="4">
        <v>5.7</v>
      </c>
      <c r="X2026" s="4">
        <v>519.92999999999995</v>
      </c>
      <c r="Y2026" s="7" t="e">
        <f t="shared" ca="1" si="44"/>
        <v>#VALUE!</v>
      </c>
    </row>
    <row r="2027" spans="1:25" ht="15" x14ac:dyDescent="0.25">
      <c r="A2027" s="4">
        <v>1795</v>
      </c>
      <c r="C2027" s="12" t="s">
        <v>4226</v>
      </c>
      <c r="D2027" s="12" t="s">
        <v>4227</v>
      </c>
      <c r="E2027" s="5" t="str">
        <f t="shared" si="40"/>
        <v>https://www.screener.in/company/RUCHINFRA/consolidated/</v>
      </c>
      <c r="F2027" s="4">
        <v>443059</v>
      </c>
      <c r="G2027" s="4">
        <v>3832241897</v>
      </c>
      <c r="H2027" s="6">
        <f t="shared" ca="1" si="41"/>
        <v>2835.8590037800004</v>
      </c>
      <c r="I2027" s="7" t="str">
        <f ca="1">IFERROR(__xludf.DUMMYFUNCTION("IMPORTXML(E2027,""/html/body/main/div[3]/div[3]/div[2]/ul/li[5]/span[2]/span"")"),"Loading...")</f>
        <v>Loading...</v>
      </c>
      <c r="J2027" s="7">
        <f ca="1">IFERROR(__xludf.DUMMYFUNCTION("GOOGLEFINANCE(""NSE:""&amp;D2027,""marketcap"")"),1748945000)</f>
        <v>1748945000</v>
      </c>
      <c r="K2027" s="7">
        <v>992.8</v>
      </c>
      <c r="L2027" s="8">
        <f ca="1">IFERROR(__xludf.DUMMYFUNCTION("GOOGLEFINANCE(""NSE:""&amp;D2027,""price"")"),7.4)</f>
        <v>7.4</v>
      </c>
      <c r="M2027" s="9">
        <f t="shared" ca="1" si="42"/>
        <v>-985.4</v>
      </c>
      <c r="N2027" s="10">
        <f t="shared" ca="1" si="43"/>
        <v>-99.254633360193395</v>
      </c>
      <c r="O2027" s="7">
        <f ca="1">IFERROR(__xludf.DUMMYFUNCTION("GOOGLEFINANCE(""NSE:""&amp;D2027,""pe"")"),43.99)</f>
        <v>43.99</v>
      </c>
      <c r="P2027" s="7">
        <f ca="1">IFERROR(__xludf.DUMMYFUNCTION("GOOGLEFINANCE(""NSE:""&amp;D2027,""EPS"")"),0.17)</f>
        <v>0.17</v>
      </c>
      <c r="Q2027" s="7">
        <v>13.5</v>
      </c>
      <c r="R2027" s="7" t="str">
        <f ca="1">IFERROR(__xludf.DUMMYFUNCTION("IMPORTXML(E2027,""/html/body/main/div[3]/div[3]/div[2]/ul/li[7]/span[2]/span"")"),"Loading...")</f>
        <v>Loading...</v>
      </c>
      <c r="S2027" s="7" t="str">
        <f ca="1">IFERROR(__xludf.DUMMYFUNCTION("IMPORTXML(E2027,""/html/body/main/div[3]/div[3]/div[2]/ul/li[8]/span[2]/span"")"),"Loading...")</f>
        <v>Loading...</v>
      </c>
      <c r="T2027" s="4">
        <v>34.6</v>
      </c>
      <c r="U2027" s="4">
        <v>22.7</v>
      </c>
      <c r="V2027" s="4">
        <v>2.6</v>
      </c>
      <c r="W2027" s="4">
        <v>5.7</v>
      </c>
      <c r="X2027" s="4">
        <v>519.92999999999995</v>
      </c>
      <c r="Y2027" s="7">
        <f t="shared" ca="1" si="44"/>
        <v>-512.53</v>
      </c>
    </row>
    <row r="2028" spans="1:25" ht="15" x14ac:dyDescent="0.25">
      <c r="A2028" s="4">
        <v>1796</v>
      </c>
      <c r="C2028" s="41" t="s">
        <v>4228</v>
      </c>
      <c r="D2028" s="42"/>
      <c r="E2028" s="5" t="str">
        <f t="shared" si="40"/>
        <v>https://www.screener.in/company//consolidated/</v>
      </c>
      <c r="F2028" s="4">
        <v>443059</v>
      </c>
      <c r="G2028" s="4">
        <v>3832241897</v>
      </c>
      <c r="H2028" s="6" t="e">
        <f t="shared" ca="1" si="41"/>
        <v>#VALUE!</v>
      </c>
      <c r="I2028" s="7" t="str">
        <f ca="1">IFERROR(__xludf.DUMMYFUNCTION("IMPORTXML(E2028,""/html/body/main/div[3]/div[3]/div[2]/ul/li[5]/span[2]/span"")"),"Loading...")</f>
        <v>Loading...</v>
      </c>
      <c r="J2028" s="7" t="str">
        <f ca="1">IFERROR(__xludf.DUMMYFUNCTION("GOOGLEFINANCE(""NSE:""&amp;D2028,""marketcap"")"),"#N/A")</f>
        <v>#N/A</v>
      </c>
      <c r="K2028" s="7">
        <v>992.8</v>
      </c>
      <c r="L2028" s="8" t="str">
        <f ca="1">IFERROR(__xludf.DUMMYFUNCTION("GOOGLEFINANCE(""NSE:""&amp;D2028,""price"")"),"#N/A")</f>
        <v>#N/A</v>
      </c>
      <c r="M2028" s="9" t="e">
        <f t="shared" ca="1" si="42"/>
        <v>#VALUE!</v>
      </c>
      <c r="N2028" s="10" t="e">
        <f t="shared" ca="1" si="43"/>
        <v>#VALUE!</v>
      </c>
      <c r="O2028" s="7" t="str">
        <f ca="1">IFERROR(__xludf.DUMMYFUNCTION("GOOGLEFINANCE(""NSE:""&amp;D2028,""pe"")"),"#N/A")</f>
        <v>#N/A</v>
      </c>
      <c r="P2028" s="7" t="str">
        <f ca="1">IFERROR(__xludf.DUMMYFUNCTION("GOOGLEFINANCE(""NSE:""&amp;D2028,""EPS"")"),"#N/A")</f>
        <v>#N/A</v>
      </c>
      <c r="Q2028" s="7">
        <v>13.5</v>
      </c>
      <c r="R2028" s="7" t="str">
        <f ca="1">IFERROR(__xludf.DUMMYFUNCTION("IMPORTXML(E2028,""/html/body/main/div[3]/div[3]/div[2]/ul/li[7]/span[2]/span"")"),"Loading...")</f>
        <v>Loading...</v>
      </c>
      <c r="S2028" s="7" t="str">
        <f ca="1">IFERROR(__xludf.DUMMYFUNCTION("IMPORTXML(E2028,""/html/body/main/div[3]/div[3]/div[2]/ul/li[8]/span[2]/span"")"),"Loading...")</f>
        <v>Loading...</v>
      </c>
      <c r="T2028" s="4">
        <v>34.6</v>
      </c>
      <c r="U2028" s="4">
        <v>22.7</v>
      </c>
      <c r="V2028" s="4">
        <v>2.6</v>
      </c>
      <c r="W2028" s="4">
        <v>5.7</v>
      </c>
      <c r="X2028" s="4">
        <v>519.92999999999995</v>
      </c>
      <c r="Y2028" s="7" t="e">
        <f t="shared" ca="1" si="44"/>
        <v>#VALUE!</v>
      </c>
    </row>
    <row r="2029" spans="1:25" ht="15" x14ac:dyDescent="0.25">
      <c r="A2029" s="4">
        <v>1797</v>
      </c>
      <c r="C2029" s="41" t="s">
        <v>4229</v>
      </c>
      <c r="D2029" s="42"/>
      <c r="E2029" s="5" t="str">
        <f t="shared" si="40"/>
        <v>https://www.screener.in/company//consolidated/</v>
      </c>
      <c r="F2029" s="4">
        <v>443059</v>
      </c>
      <c r="G2029" s="4">
        <v>3832241897</v>
      </c>
      <c r="H2029" s="6" t="e">
        <f t="shared" ca="1" si="41"/>
        <v>#VALUE!</v>
      </c>
      <c r="I2029" s="7" t="str">
        <f ca="1">IFERROR(__xludf.DUMMYFUNCTION("IMPORTXML(E2029,""/html/body/main/div[3]/div[3]/div[2]/ul/li[5]/span[2]/span"")"),"Loading...")</f>
        <v>Loading...</v>
      </c>
      <c r="J2029" s="7" t="str">
        <f ca="1">IFERROR(__xludf.DUMMYFUNCTION("GOOGLEFINANCE(""NSE:""&amp;D2029,""marketcap"")"),"#N/A")</f>
        <v>#N/A</v>
      </c>
      <c r="K2029" s="7">
        <v>992.8</v>
      </c>
      <c r="L2029" s="8" t="str">
        <f ca="1">IFERROR(__xludf.DUMMYFUNCTION("GOOGLEFINANCE(""NSE:""&amp;D2029,""price"")"),"#N/A")</f>
        <v>#N/A</v>
      </c>
      <c r="M2029" s="9" t="e">
        <f t="shared" ca="1" si="42"/>
        <v>#VALUE!</v>
      </c>
      <c r="N2029" s="10" t="e">
        <f t="shared" ca="1" si="43"/>
        <v>#VALUE!</v>
      </c>
      <c r="O2029" s="7" t="str">
        <f ca="1">IFERROR(__xludf.DUMMYFUNCTION("GOOGLEFINANCE(""NSE:""&amp;D2029,""pe"")"),"#N/A")</f>
        <v>#N/A</v>
      </c>
      <c r="P2029" s="7" t="str">
        <f ca="1">IFERROR(__xludf.DUMMYFUNCTION("GOOGLEFINANCE(""NSE:""&amp;D2029,""EPS"")"),"#N/A")</f>
        <v>#N/A</v>
      </c>
      <c r="Q2029" s="7">
        <v>13.5</v>
      </c>
      <c r="R2029" s="7" t="str">
        <f ca="1">IFERROR(__xludf.DUMMYFUNCTION("IMPORTXML(E2029,""/html/body/main/div[3]/div[3]/div[2]/ul/li[7]/span[2]/span"")"),"Loading...")</f>
        <v>Loading...</v>
      </c>
      <c r="S2029" s="7" t="str">
        <f ca="1">IFERROR(__xludf.DUMMYFUNCTION("IMPORTXML(E2029,""/html/body/main/div[3]/div[3]/div[2]/ul/li[8]/span[2]/span"")"),"Loading...")</f>
        <v>Loading...</v>
      </c>
      <c r="T2029" s="4">
        <v>34.6</v>
      </c>
      <c r="U2029" s="4">
        <v>22.7</v>
      </c>
      <c r="V2029" s="4">
        <v>2.6</v>
      </c>
      <c r="W2029" s="4">
        <v>5.7</v>
      </c>
      <c r="X2029" s="4">
        <v>519.92999999999995</v>
      </c>
      <c r="Y2029" s="7" t="e">
        <f t="shared" ca="1" si="44"/>
        <v>#VALUE!</v>
      </c>
    </row>
    <row r="2030" spans="1:25" ht="15" x14ac:dyDescent="0.25">
      <c r="A2030" s="4">
        <v>1798</v>
      </c>
      <c r="C2030" s="41" t="s">
        <v>4230</v>
      </c>
      <c r="D2030" s="42"/>
      <c r="E2030" s="5" t="str">
        <f t="shared" si="40"/>
        <v>https://www.screener.in/company//consolidated/</v>
      </c>
      <c r="F2030" s="4">
        <v>443059</v>
      </c>
      <c r="G2030" s="4">
        <v>3832241897</v>
      </c>
      <c r="H2030" s="6" t="e">
        <f t="shared" ca="1" si="41"/>
        <v>#VALUE!</v>
      </c>
      <c r="I2030" s="7" t="str">
        <f ca="1">IFERROR(__xludf.DUMMYFUNCTION("IMPORTXML(E2030,""/html/body/main/div[3]/div[3]/div[2]/ul/li[5]/span[2]/span"")"),"Loading...")</f>
        <v>Loading...</v>
      </c>
      <c r="J2030" s="7" t="str">
        <f ca="1">IFERROR(__xludf.DUMMYFUNCTION("GOOGLEFINANCE(""NSE:""&amp;D2030,""marketcap"")"),"#N/A")</f>
        <v>#N/A</v>
      </c>
      <c r="K2030" s="7">
        <v>992.8</v>
      </c>
      <c r="L2030" s="8" t="str">
        <f ca="1">IFERROR(__xludf.DUMMYFUNCTION("GOOGLEFINANCE(""NSE:""&amp;D2030,""price"")"),"#N/A")</f>
        <v>#N/A</v>
      </c>
      <c r="M2030" s="9" t="e">
        <f t="shared" ca="1" si="42"/>
        <v>#VALUE!</v>
      </c>
      <c r="N2030" s="10" t="e">
        <f t="shared" ca="1" si="43"/>
        <v>#VALUE!</v>
      </c>
      <c r="O2030" s="7" t="str">
        <f ca="1">IFERROR(__xludf.DUMMYFUNCTION("GOOGLEFINANCE(""NSE:""&amp;D2030,""pe"")"),"#N/A")</f>
        <v>#N/A</v>
      </c>
      <c r="P2030" s="7" t="str">
        <f ca="1">IFERROR(__xludf.DUMMYFUNCTION("GOOGLEFINANCE(""NSE:""&amp;D2030,""EPS"")"),"#N/A")</f>
        <v>#N/A</v>
      </c>
      <c r="Q2030" s="7">
        <v>13.5</v>
      </c>
      <c r="R2030" s="7" t="str">
        <f ca="1">IFERROR(__xludf.DUMMYFUNCTION("IMPORTXML(E2030,""/html/body/main/div[3]/div[3]/div[2]/ul/li[7]/span[2]/span"")"),"Loading...")</f>
        <v>Loading...</v>
      </c>
      <c r="S2030" s="7" t="str">
        <f ca="1">IFERROR(__xludf.DUMMYFUNCTION("IMPORTXML(E2030,""/html/body/main/div[3]/div[3]/div[2]/ul/li[8]/span[2]/span"")"),"Loading...")</f>
        <v>Loading...</v>
      </c>
      <c r="T2030" s="4">
        <v>34.6</v>
      </c>
      <c r="U2030" s="4">
        <v>22.7</v>
      </c>
      <c r="V2030" s="4">
        <v>2.6</v>
      </c>
      <c r="W2030" s="4">
        <v>5.7</v>
      </c>
      <c r="X2030" s="4">
        <v>519.92999999999995</v>
      </c>
      <c r="Y2030" s="7" t="e">
        <f t="shared" ca="1" si="44"/>
        <v>#VALUE!</v>
      </c>
    </row>
    <row r="2031" spans="1:25" ht="15" x14ac:dyDescent="0.25">
      <c r="A2031" s="4">
        <v>1800</v>
      </c>
      <c r="C2031" s="12" t="s">
        <v>4231</v>
      </c>
      <c r="D2031" s="37"/>
      <c r="E2031" s="5" t="str">
        <f t="shared" si="40"/>
        <v>https://www.screener.in/company//consolidated/</v>
      </c>
      <c r="F2031" s="4">
        <v>443059</v>
      </c>
      <c r="G2031" s="4">
        <v>3832241897</v>
      </c>
      <c r="H2031" s="6" t="e">
        <f t="shared" ca="1" si="41"/>
        <v>#VALUE!</v>
      </c>
      <c r="I2031" s="7" t="str">
        <f ca="1">IFERROR(__xludf.DUMMYFUNCTION("IMPORTXML(E2031,""/html/body/main/div[3]/div[3]/div[2]/ul/li[5]/span[2]/span"")"),"Loading...")</f>
        <v>Loading...</v>
      </c>
      <c r="J2031" s="7" t="str">
        <f ca="1">IFERROR(__xludf.DUMMYFUNCTION("GOOGLEFINANCE(""NSE:""&amp;D2031,""marketcap"")"),"#N/A")</f>
        <v>#N/A</v>
      </c>
      <c r="K2031" s="7">
        <v>992.8</v>
      </c>
      <c r="L2031" s="8" t="str">
        <f ca="1">IFERROR(__xludf.DUMMYFUNCTION("GOOGLEFINANCE(""NSE:""&amp;D2031,""price"")"),"#N/A")</f>
        <v>#N/A</v>
      </c>
      <c r="M2031" s="9" t="e">
        <f t="shared" ca="1" si="42"/>
        <v>#VALUE!</v>
      </c>
      <c r="N2031" s="10" t="e">
        <f t="shared" ca="1" si="43"/>
        <v>#VALUE!</v>
      </c>
      <c r="O2031" s="7" t="str">
        <f ca="1">IFERROR(__xludf.DUMMYFUNCTION("GOOGLEFINANCE(""NSE:""&amp;D2031,""pe"")"),"#N/A")</f>
        <v>#N/A</v>
      </c>
      <c r="P2031" s="7" t="str">
        <f ca="1">IFERROR(__xludf.DUMMYFUNCTION("GOOGLEFINANCE(""NSE:""&amp;D2031,""EPS"")"),"#N/A")</f>
        <v>#N/A</v>
      </c>
      <c r="Q2031" s="7">
        <v>13.5</v>
      </c>
      <c r="R2031" s="7" t="str">
        <f ca="1">IFERROR(__xludf.DUMMYFUNCTION("IMPORTXML(E2031,""/html/body/main/div[3]/div[3]/div[2]/ul/li[7]/span[2]/span"")"),"Loading...")</f>
        <v>Loading...</v>
      </c>
      <c r="S2031" s="7" t="str">
        <f ca="1">IFERROR(__xludf.DUMMYFUNCTION("IMPORTXML(E2031,""/html/body/main/div[3]/div[3]/div[2]/ul/li[8]/span[2]/span"")"),"Loading...")</f>
        <v>Loading...</v>
      </c>
      <c r="T2031" s="4">
        <v>34.6</v>
      </c>
      <c r="U2031" s="4">
        <v>22.7</v>
      </c>
      <c r="V2031" s="4">
        <v>2.6</v>
      </c>
      <c r="W2031" s="4">
        <v>5.7</v>
      </c>
      <c r="X2031" s="4">
        <v>519.92999999999995</v>
      </c>
      <c r="Y2031" s="7" t="e">
        <f t="shared" ca="1" si="44"/>
        <v>#VALUE!</v>
      </c>
    </row>
    <row r="2032" spans="1:25" ht="15" x14ac:dyDescent="0.25">
      <c r="A2032" s="4">
        <v>1802</v>
      </c>
      <c r="C2032" s="41" t="s">
        <v>4232</v>
      </c>
      <c r="D2032" s="42"/>
      <c r="E2032" s="5" t="str">
        <f t="shared" si="40"/>
        <v>https://www.screener.in/company//consolidated/</v>
      </c>
      <c r="F2032" s="4">
        <v>443059</v>
      </c>
      <c r="G2032" s="4">
        <v>3832241897</v>
      </c>
      <c r="H2032" s="6" t="e">
        <f t="shared" ca="1" si="41"/>
        <v>#VALUE!</v>
      </c>
      <c r="I2032" s="7" t="str">
        <f ca="1">IFERROR(__xludf.DUMMYFUNCTION("IMPORTXML(E2032,""/html/body/main/div[3]/div[3]/div[2]/ul/li[5]/span[2]/span"")"),"Loading...")</f>
        <v>Loading...</v>
      </c>
      <c r="J2032" s="7" t="str">
        <f ca="1">IFERROR(__xludf.DUMMYFUNCTION("GOOGLEFINANCE(""NSE:""&amp;D2032,""marketcap"")"),"#N/A")</f>
        <v>#N/A</v>
      </c>
      <c r="K2032" s="7">
        <v>992.8</v>
      </c>
      <c r="L2032" s="8" t="str">
        <f ca="1">IFERROR(__xludf.DUMMYFUNCTION("GOOGLEFINANCE(""NSE:""&amp;D2032,""price"")"),"#N/A")</f>
        <v>#N/A</v>
      </c>
      <c r="M2032" s="9" t="e">
        <f t="shared" ca="1" si="42"/>
        <v>#VALUE!</v>
      </c>
      <c r="N2032" s="10" t="e">
        <f t="shared" ca="1" si="43"/>
        <v>#VALUE!</v>
      </c>
      <c r="O2032" s="7" t="str">
        <f ca="1">IFERROR(__xludf.DUMMYFUNCTION("GOOGLEFINANCE(""NSE:""&amp;D2032,""pe"")"),"#N/A")</f>
        <v>#N/A</v>
      </c>
      <c r="P2032" s="7" t="str">
        <f ca="1">IFERROR(__xludf.DUMMYFUNCTION("GOOGLEFINANCE(""NSE:""&amp;D2032,""EPS"")"),"#N/A")</f>
        <v>#N/A</v>
      </c>
      <c r="Q2032" s="7">
        <v>13.5</v>
      </c>
      <c r="R2032" s="7" t="str">
        <f ca="1">IFERROR(__xludf.DUMMYFUNCTION("IMPORTXML(E2032,""/html/body/main/div[3]/div[3]/div[2]/ul/li[7]/span[2]/span"")"),"Loading...")</f>
        <v>Loading...</v>
      </c>
      <c r="S2032" s="7" t="str">
        <f ca="1">IFERROR(__xludf.DUMMYFUNCTION("IMPORTXML(E2032,""/html/body/main/div[3]/div[3]/div[2]/ul/li[8]/span[2]/span"")"),"Loading...")</f>
        <v>Loading...</v>
      </c>
      <c r="T2032" s="4">
        <v>34.6</v>
      </c>
      <c r="U2032" s="4">
        <v>22.7</v>
      </c>
      <c r="V2032" s="4">
        <v>2.6</v>
      </c>
      <c r="W2032" s="4">
        <v>5.7</v>
      </c>
      <c r="X2032" s="4">
        <v>519.92999999999995</v>
      </c>
      <c r="Y2032" s="7" t="e">
        <f t="shared" ca="1" si="44"/>
        <v>#VALUE!</v>
      </c>
    </row>
    <row r="2033" spans="1:25" ht="15" x14ac:dyDescent="0.25">
      <c r="A2033" s="4">
        <v>1804</v>
      </c>
      <c r="C2033" s="41" t="s">
        <v>4233</v>
      </c>
      <c r="D2033" s="42"/>
      <c r="E2033" s="5" t="str">
        <f t="shared" si="40"/>
        <v>https://www.screener.in/company//consolidated/</v>
      </c>
      <c r="F2033" s="4">
        <v>443059</v>
      </c>
      <c r="G2033" s="4">
        <v>3832241897</v>
      </c>
      <c r="H2033" s="6" t="e">
        <f t="shared" ca="1" si="41"/>
        <v>#VALUE!</v>
      </c>
      <c r="I2033" s="7" t="str">
        <f ca="1">IFERROR(__xludf.DUMMYFUNCTION("IMPORTXML(E2033,""/html/body/main/div[3]/div[3]/div[2]/ul/li[5]/span[2]/span"")"),"Loading...")</f>
        <v>Loading...</v>
      </c>
      <c r="J2033" s="7" t="str">
        <f ca="1">IFERROR(__xludf.DUMMYFUNCTION("GOOGLEFINANCE(""NSE:""&amp;D2033,""marketcap"")"),"#N/A")</f>
        <v>#N/A</v>
      </c>
      <c r="K2033" s="7">
        <v>992.8</v>
      </c>
      <c r="L2033" s="8" t="str">
        <f ca="1">IFERROR(__xludf.DUMMYFUNCTION("GOOGLEFINANCE(""NSE:""&amp;D2033,""price"")"),"#N/A")</f>
        <v>#N/A</v>
      </c>
      <c r="M2033" s="9" t="e">
        <f t="shared" ca="1" si="42"/>
        <v>#VALUE!</v>
      </c>
      <c r="N2033" s="10" t="e">
        <f t="shared" ca="1" si="43"/>
        <v>#VALUE!</v>
      </c>
      <c r="O2033" s="7" t="str">
        <f ca="1">IFERROR(__xludf.DUMMYFUNCTION("GOOGLEFINANCE(""NSE:""&amp;D2033,""pe"")"),"#N/A")</f>
        <v>#N/A</v>
      </c>
      <c r="P2033" s="7" t="str">
        <f ca="1">IFERROR(__xludf.DUMMYFUNCTION("GOOGLEFINANCE(""NSE:""&amp;D2033,""EPS"")"),"#N/A")</f>
        <v>#N/A</v>
      </c>
      <c r="Q2033" s="7">
        <v>13.5</v>
      </c>
      <c r="R2033" s="7" t="str">
        <f ca="1">IFERROR(__xludf.DUMMYFUNCTION("IMPORTXML(E2033,""/html/body/main/div[3]/div[3]/div[2]/ul/li[7]/span[2]/span"")"),"Loading...")</f>
        <v>Loading...</v>
      </c>
      <c r="S2033" s="7" t="str">
        <f ca="1">IFERROR(__xludf.DUMMYFUNCTION("IMPORTXML(E2033,""/html/body/main/div[3]/div[3]/div[2]/ul/li[8]/span[2]/span"")"),"Loading...")</f>
        <v>Loading...</v>
      </c>
      <c r="T2033" s="4">
        <v>34.6</v>
      </c>
      <c r="U2033" s="4">
        <v>22.7</v>
      </c>
      <c r="V2033" s="4">
        <v>2.6</v>
      </c>
      <c r="W2033" s="4">
        <v>5.7</v>
      </c>
      <c r="X2033" s="4">
        <v>519.92999999999995</v>
      </c>
      <c r="Y2033" s="7" t="e">
        <f t="shared" ca="1" si="44"/>
        <v>#VALUE!</v>
      </c>
    </row>
    <row r="2034" spans="1:25" ht="15" x14ac:dyDescent="0.25">
      <c r="A2034" s="4">
        <v>1805</v>
      </c>
      <c r="C2034" s="41" t="s">
        <v>4234</v>
      </c>
      <c r="D2034" s="42"/>
      <c r="E2034" s="5" t="str">
        <f t="shared" si="40"/>
        <v>https://www.screener.in/company//consolidated/</v>
      </c>
      <c r="F2034" s="4">
        <v>443059</v>
      </c>
      <c r="G2034" s="4">
        <v>3832241897</v>
      </c>
      <c r="H2034" s="6" t="e">
        <f t="shared" ca="1" si="41"/>
        <v>#VALUE!</v>
      </c>
      <c r="I2034" s="7" t="str">
        <f ca="1">IFERROR(__xludf.DUMMYFUNCTION("IMPORTXML(E2034,""/html/body/main/div[3]/div[3]/div[2]/ul/li[5]/span[2]/span"")"),"Loading...")</f>
        <v>Loading...</v>
      </c>
      <c r="J2034" s="7" t="str">
        <f ca="1">IFERROR(__xludf.DUMMYFUNCTION("GOOGLEFINANCE(""NSE:""&amp;D2034,""marketcap"")"),"#N/A")</f>
        <v>#N/A</v>
      </c>
      <c r="K2034" s="7">
        <v>992.8</v>
      </c>
      <c r="L2034" s="8" t="str">
        <f ca="1">IFERROR(__xludf.DUMMYFUNCTION("GOOGLEFINANCE(""NSE:""&amp;D2034,""price"")"),"#N/A")</f>
        <v>#N/A</v>
      </c>
      <c r="M2034" s="9" t="e">
        <f t="shared" ca="1" si="42"/>
        <v>#VALUE!</v>
      </c>
      <c r="N2034" s="10" t="e">
        <f t="shared" ca="1" si="43"/>
        <v>#VALUE!</v>
      </c>
      <c r="O2034" s="7" t="str">
        <f ca="1">IFERROR(__xludf.DUMMYFUNCTION("GOOGLEFINANCE(""NSE:""&amp;D2034,""pe"")"),"#N/A")</f>
        <v>#N/A</v>
      </c>
      <c r="P2034" s="7" t="str">
        <f ca="1">IFERROR(__xludf.DUMMYFUNCTION("GOOGLEFINANCE(""NSE:""&amp;D2034,""EPS"")"),"#N/A")</f>
        <v>#N/A</v>
      </c>
      <c r="Q2034" s="7">
        <v>13.5</v>
      </c>
      <c r="R2034" s="7" t="str">
        <f ca="1">IFERROR(__xludf.DUMMYFUNCTION("IMPORTXML(E2034,""/html/body/main/div[3]/div[3]/div[2]/ul/li[7]/span[2]/span"")"),"Loading...")</f>
        <v>Loading...</v>
      </c>
      <c r="S2034" s="7" t="str">
        <f ca="1">IFERROR(__xludf.DUMMYFUNCTION("IMPORTXML(E2034,""/html/body/main/div[3]/div[3]/div[2]/ul/li[8]/span[2]/span"")"),"Loading...")</f>
        <v>Loading...</v>
      </c>
      <c r="T2034" s="4">
        <v>34.6</v>
      </c>
      <c r="U2034" s="4">
        <v>22.7</v>
      </c>
      <c r="V2034" s="4">
        <v>2.6</v>
      </c>
      <c r="W2034" s="4">
        <v>5.7</v>
      </c>
      <c r="X2034" s="4">
        <v>519.92999999999995</v>
      </c>
      <c r="Y2034" s="7" t="e">
        <f t="shared" ca="1" si="44"/>
        <v>#VALUE!</v>
      </c>
    </row>
    <row r="2035" spans="1:25" ht="15" x14ac:dyDescent="0.25">
      <c r="A2035" s="4">
        <v>1806</v>
      </c>
      <c r="C2035" s="41" t="s">
        <v>4235</v>
      </c>
      <c r="D2035" s="42"/>
      <c r="E2035" s="5" t="str">
        <f t="shared" si="40"/>
        <v>https://www.screener.in/company//consolidated/</v>
      </c>
      <c r="F2035" s="4">
        <v>443059</v>
      </c>
      <c r="G2035" s="4">
        <v>3832241897</v>
      </c>
      <c r="H2035" s="6" t="e">
        <f t="shared" ca="1" si="41"/>
        <v>#VALUE!</v>
      </c>
      <c r="I2035" s="7" t="str">
        <f ca="1">IFERROR(__xludf.DUMMYFUNCTION("IMPORTXML(E2035,""/html/body/main/div[3]/div[3]/div[2]/ul/li[5]/span[2]/span"")"),"Loading...")</f>
        <v>Loading...</v>
      </c>
      <c r="J2035" s="7" t="str">
        <f ca="1">IFERROR(__xludf.DUMMYFUNCTION("GOOGLEFINANCE(""NSE:""&amp;D2035,""marketcap"")"),"#N/A")</f>
        <v>#N/A</v>
      </c>
      <c r="K2035" s="7">
        <v>992.8</v>
      </c>
      <c r="L2035" s="8" t="str">
        <f ca="1">IFERROR(__xludf.DUMMYFUNCTION("GOOGLEFINANCE(""NSE:""&amp;D2035,""price"")"),"#N/A")</f>
        <v>#N/A</v>
      </c>
      <c r="M2035" s="9" t="e">
        <f t="shared" ca="1" si="42"/>
        <v>#VALUE!</v>
      </c>
      <c r="N2035" s="10" t="e">
        <f t="shared" ca="1" si="43"/>
        <v>#VALUE!</v>
      </c>
      <c r="O2035" s="7" t="str">
        <f ca="1">IFERROR(__xludf.DUMMYFUNCTION("GOOGLEFINANCE(""NSE:""&amp;D2035,""pe"")"),"#N/A")</f>
        <v>#N/A</v>
      </c>
      <c r="P2035" s="7" t="str">
        <f ca="1">IFERROR(__xludf.DUMMYFUNCTION("GOOGLEFINANCE(""NSE:""&amp;D2035,""EPS"")"),"#N/A")</f>
        <v>#N/A</v>
      </c>
      <c r="Q2035" s="7">
        <v>13.5</v>
      </c>
      <c r="R2035" s="7" t="str">
        <f ca="1">IFERROR(__xludf.DUMMYFUNCTION("IMPORTXML(E2035,""/html/body/main/div[3]/div[3]/div[2]/ul/li[7]/span[2]/span"")"),"Loading...")</f>
        <v>Loading...</v>
      </c>
      <c r="S2035" s="7" t="str">
        <f ca="1">IFERROR(__xludf.DUMMYFUNCTION("IMPORTXML(E2035,""/html/body/main/div[3]/div[3]/div[2]/ul/li[8]/span[2]/span"")"),"Loading...")</f>
        <v>Loading...</v>
      </c>
      <c r="T2035" s="4">
        <v>34.6</v>
      </c>
      <c r="U2035" s="4">
        <v>22.7</v>
      </c>
      <c r="V2035" s="4">
        <v>2.6</v>
      </c>
      <c r="W2035" s="4">
        <v>5.7</v>
      </c>
      <c r="X2035" s="4">
        <v>519.92999999999995</v>
      </c>
      <c r="Y2035" s="7" t="e">
        <f t="shared" ca="1" si="44"/>
        <v>#VALUE!</v>
      </c>
    </row>
    <row r="2036" spans="1:25" ht="15" x14ac:dyDescent="0.25">
      <c r="A2036" s="4">
        <v>1807</v>
      </c>
      <c r="C2036" s="41" t="s">
        <v>4236</v>
      </c>
      <c r="D2036" s="42"/>
      <c r="E2036" s="5" t="str">
        <f t="shared" si="40"/>
        <v>https://www.screener.in/company//consolidated/</v>
      </c>
      <c r="F2036" s="4">
        <v>443059</v>
      </c>
      <c r="G2036" s="4">
        <v>3832241897</v>
      </c>
      <c r="H2036" s="6" t="e">
        <f t="shared" ca="1" si="41"/>
        <v>#VALUE!</v>
      </c>
      <c r="I2036" s="7" t="str">
        <f ca="1">IFERROR(__xludf.DUMMYFUNCTION("IMPORTXML(E2036,""/html/body/main/div[3]/div[3]/div[2]/ul/li[5]/span[2]/span"")"),"Loading...")</f>
        <v>Loading...</v>
      </c>
      <c r="J2036" s="7" t="str">
        <f ca="1">IFERROR(__xludf.DUMMYFUNCTION("GOOGLEFINANCE(""NSE:""&amp;D2036,""marketcap"")"),"#N/A")</f>
        <v>#N/A</v>
      </c>
      <c r="K2036" s="7">
        <v>992.8</v>
      </c>
      <c r="L2036" s="8" t="str">
        <f ca="1">IFERROR(__xludf.DUMMYFUNCTION("GOOGLEFINANCE(""NSE:""&amp;D2036,""price"")"),"#N/A")</f>
        <v>#N/A</v>
      </c>
      <c r="M2036" s="9" t="e">
        <f t="shared" ca="1" si="42"/>
        <v>#VALUE!</v>
      </c>
      <c r="N2036" s="10" t="e">
        <f t="shared" ca="1" si="43"/>
        <v>#VALUE!</v>
      </c>
      <c r="O2036" s="7" t="str">
        <f ca="1">IFERROR(__xludf.DUMMYFUNCTION("GOOGLEFINANCE(""NSE:""&amp;D2036,""pe"")"),"#N/A")</f>
        <v>#N/A</v>
      </c>
      <c r="P2036" s="7" t="str">
        <f ca="1">IFERROR(__xludf.DUMMYFUNCTION("GOOGLEFINANCE(""NSE:""&amp;D2036,""EPS"")"),"#N/A")</f>
        <v>#N/A</v>
      </c>
      <c r="Q2036" s="7">
        <v>13.5</v>
      </c>
      <c r="R2036" s="7" t="str">
        <f ca="1">IFERROR(__xludf.DUMMYFUNCTION("IMPORTXML(E2036,""/html/body/main/div[3]/div[3]/div[2]/ul/li[7]/span[2]/span"")"),"Loading...")</f>
        <v>Loading...</v>
      </c>
      <c r="S2036" s="7" t="str">
        <f ca="1">IFERROR(__xludf.DUMMYFUNCTION("IMPORTXML(E2036,""/html/body/main/div[3]/div[3]/div[2]/ul/li[8]/span[2]/span"")"),"Loading...")</f>
        <v>Loading...</v>
      </c>
      <c r="T2036" s="4">
        <v>34.6</v>
      </c>
      <c r="U2036" s="4">
        <v>22.7</v>
      </c>
      <c r="V2036" s="4">
        <v>2.6</v>
      </c>
      <c r="W2036" s="4">
        <v>5.7</v>
      </c>
      <c r="X2036" s="4">
        <v>519.92999999999995</v>
      </c>
      <c r="Y2036" s="7" t="e">
        <f t="shared" ca="1" si="44"/>
        <v>#VALUE!</v>
      </c>
    </row>
    <row r="2037" spans="1:25" ht="15" x14ac:dyDescent="0.25">
      <c r="A2037" s="4">
        <v>1808</v>
      </c>
      <c r="C2037" s="41" t="s">
        <v>4237</v>
      </c>
      <c r="D2037" s="42"/>
      <c r="E2037" s="5" t="str">
        <f t="shared" si="40"/>
        <v>https://www.screener.in/company//consolidated/</v>
      </c>
      <c r="F2037" s="4">
        <v>443059</v>
      </c>
      <c r="G2037" s="4">
        <v>3832241897</v>
      </c>
      <c r="H2037" s="6" t="e">
        <f t="shared" ca="1" si="41"/>
        <v>#VALUE!</v>
      </c>
      <c r="I2037" s="7" t="str">
        <f ca="1">IFERROR(__xludf.DUMMYFUNCTION("IMPORTXML(E2037,""/html/body/main/div[3]/div[3]/div[2]/ul/li[5]/span[2]/span"")"),"Loading...")</f>
        <v>Loading...</v>
      </c>
      <c r="J2037" s="7" t="str">
        <f ca="1">IFERROR(__xludf.DUMMYFUNCTION("GOOGLEFINANCE(""NSE:""&amp;D2037,""marketcap"")"),"#N/A")</f>
        <v>#N/A</v>
      </c>
      <c r="K2037" s="7">
        <v>992.8</v>
      </c>
      <c r="L2037" s="8" t="str">
        <f ca="1">IFERROR(__xludf.DUMMYFUNCTION("GOOGLEFINANCE(""NSE:""&amp;D2037,""price"")"),"#N/A")</f>
        <v>#N/A</v>
      </c>
      <c r="M2037" s="9" t="e">
        <f t="shared" ca="1" si="42"/>
        <v>#VALUE!</v>
      </c>
      <c r="N2037" s="10" t="e">
        <f t="shared" ca="1" si="43"/>
        <v>#VALUE!</v>
      </c>
      <c r="O2037" s="7" t="str">
        <f ca="1">IFERROR(__xludf.DUMMYFUNCTION("GOOGLEFINANCE(""NSE:""&amp;D2037,""pe"")"),"#N/A")</f>
        <v>#N/A</v>
      </c>
      <c r="P2037" s="7" t="str">
        <f ca="1">IFERROR(__xludf.DUMMYFUNCTION("GOOGLEFINANCE(""NSE:""&amp;D2037,""EPS"")"),"#N/A")</f>
        <v>#N/A</v>
      </c>
      <c r="Q2037" s="7">
        <v>13.5</v>
      </c>
      <c r="R2037" s="7" t="str">
        <f ca="1">IFERROR(__xludf.DUMMYFUNCTION("IMPORTXML(E2037,""/html/body/main/div[3]/div[3]/div[2]/ul/li[7]/span[2]/span"")"),"Loading...")</f>
        <v>Loading...</v>
      </c>
      <c r="S2037" s="7" t="str">
        <f ca="1">IFERROR(__xludf.DUMMYFUNCTION("IMPORTXML(E2037,""/html/body/main/div[3]/div[3]/div[2]/ul/li[8]/span[2]/span"")"),"Loading...")</f>
        <v>Loading...</v>
      </c>
      <c r="T2037" s="4">
        <v>34.6</v>
      </c>
      <c r="U2037" s="4">
        <v>22.7</v>
      </c>
      <c r="V2037" s="4">
        <v>2.6</v>
      </c>
      <c r="W2037" s="4">
        <v>5.7</v>
      </c>
      <c r="X2037" s="4">
        <v>519.92999999999995</v>
      </c>
      <c r="Y2037" s="7" t="e">
        <f t="shared" ca="1" si="44"/>
        <v>#VALUE!</v>
      </c>
    </row>
    <row r="2038" spans="1:25" ht="15" x14ac:dyDescent="0.25">
      <c r="A2038" s="4">
        <v>1809</v>
      </c>
      <c r="C2038" s="12" t="s">
        <v>4238</v>
      </c>
      <c r="D2038" s="12" t="s">
        <v>4239</v>
      </c>
      <c r="E2038" s="5" t="str">
        <f t="shared" si="40"/>
        <v>https://www.screener.in/company/RAJMET/consolidated/</v>
      </c>
      <c r="F2038" s="4">
        <v>443059</v>
      </c>
      <c r="G2038" s="4">
        <v>3832241897</v>
      </c>
      <c r="H2038" s="6">
        <f t="shared" ca="1" si="41"/>
        <v>1736.0055793409999</v>
      </c>
      <c r="I2038" s="7" t="str">
        <f ca="1">IFERROR(__xludf.DUMMYFUNCTION("IMPORTXML(E2038,""/html/body/main/div[3]/div[3]/div[2]/ul/li[5]/span[2]/span"")"),"Loading...")</f>
        <v>Loading...</v>
      </c>
      <c r="J2038" s="7">
        <f ca="1">IFERROR(__xludf.DUMMYFUNCTION("GOOGLEFINANCE(""NSE:""&amp;D2038,""marketcap"")"),1249690000)</f>
        <v>1249690000</v>
      </c>
      <c r="K2038" s="7">
        <v>992.8</v>
      </c>
      <c r="L2038" s="8">
        <f ca="1">IFERROR(__xludf.DUMMYFUNCTION("GOOGLEFINANCE(""NSE:""&amp;D2038,""price"")"),4.53)</f>
        <v>4.53</v>
      </c>
      <c r="M2038" s="9">
        <f t="shared" ca="1" si="42"/>
        <v>-988.27</v>
      </c>
      <c r="N2038" s="10">
        <f t="shared" ca="1" si="43"/>
        <v>-99.543714746172441</v>
      </c>
      <c r="O2038" s="7" t="str">
        <f ca="1">IFERROR(__xludf.DUMMYFUNCTION("GOOGLEFINANCE(""NSE:""&amp;D2038,""pe"")"),"#N/A")</f>
        <v>#N/A</v>
      </c>
      <c r="P2038" s="7">
        <f ca="1">IFERROR(__xludf.DUMMYFUNCTION("GOOGLEFINANCE(""NSE:""&amp;D2038,""EPS"")"),-0.09)</f>
        <v>-0.09</v>
      </c>
      <c r="Q2038" s="7">
        <v>13.5</v>
      </c>
      <c r="R2038" s="7" t="str">
        <f ca="1">IFERROR(__xludf.DUMMYFUNCTION("IMPORTXML(E2038,""/html/body/main/div[3]/div[3]/div[2]/ul/li[7]/span[2]/span"")"),"Loading...")</f>
        <v>Loading...</v>
      </c>
      <c r="S2038" s="7" t="str">
        <f ca="1">IFERROR(__xludf.DUMMYFUNCTION("IMPORTXML(E2038,""/html/body/main/div[3]/div[3]/div[2]/ul/li[8]/span[2]/span"")"),"Loading...")</f>
        <v>Loading...</v>
      </c>
      <c r="T2038" s="4">
        <v>34.6</v>
      </c>
      <c r="U2038" s="4">
        <v>22.7</v>
      </c>
      <c r="V2038" s="4">
        <v>2.6</v>
      </c>
      <c r="W2038" s="4">
        <v>5.7</v>
      </c>
      <c r="X2038" s="4">
        <v>519.92999999999995</v>
      </c>
      <c r="Y2038" s="7">
        <f t="shared" ca="1" si="44"/>
        <v>-515.4</v>
      </c>
    </row>
    <row r="2039" spans="1:25" ht="15" x14ac:dyDescent="0.25">
      <c r="A2039" s="4">
        <v>1811</v>
      </c>
      <c r="C2039" s="41" t="s">
        <v>4240</v>
      </c>
      <c r="D2039" s="42"/>
      <c r="E2039" s="5" t="str">
        <f t="shared" si="40"/>
        <v>https://www.screener.in/company//consolidated/</v>
      </c>
      <c r="F2039" s="4">
        <v>443059</v>
      </c>
      <c r="G2039" s="4">
        <v>3832241897</v>
      </c>
      <c r="H2039" s="6" t="e">
        <f t="shared" ca="1" si="41"/>
        <v>#VALUE!</v>
      </c>
      <c r="I2039" s="7" t="str">
        <f ca="1">IFERROR(__xludf.DUMMYFUNCTION("IMPORTXML(E2039,""/html/body/main/div[3]/div[3]/div[2]/ul/li[5]/span[2]/span"")"),"Loading...")</f>
        <v>Loading...</v>
      </c>
      <c r="J2039" s="7" t="str">
        <f ca="1">IFERROR(__xludf.DUMMYFUNCTION("GOOGLEFINANCE(""NSE:""&amp;D2039,""marketcap"")"),"#N/A")</f>
        <v>#N/A</v>
      </c>
      <c r="K2039" s="7">
        <v>992.8</v>
      </c>
      <c r="L2039" s="8" t="str">
        <f ca="1">IFERROR(__xludf.DUMMYFUNCTION("GOOGLEFINANCE(""NSE:""&amp;D2039,""price"")"),"#N/A")</f>
        <v>#N/A</v>
      </c>
      <c r="M2039" s="9" t="e">
        <f t="shared" ca="1" si="42"/>
        <v>#VALUE!</v>
      </c>
      <c r="N2039" s="10" t="e">
        <f t="shared" ca="1" si="43"/>
        <v>#VALUE!</v>
      </c>
      <c r="O2039" s="7" t="str">
        <f ca="1">IFERROR(__xludf.DUMMYFUNCTION("GOOGLEFINANCE(""NSE:""&amp;D2039,""pe"")"),"#N/A")</f>
        <v>#N/A</v>
      </c>
      <c r="P2039" s="7" t="str">
        <f ca="1">IFERROR(__xludf.DUMMYFUNCTION("GOOGLEFINANCE(""NSE:""&amp;D2039,""EPS"")"),"#N/A")</f>
        <v>#N/A</v>
      </c>
      <c r="Q2039" s="7">
        <v>13.5</v>
      </c>
      <c r="R2039" s="7" t="str">
        <f ca="1">IFERROR(__xludf.DUMMYFUNCTION("IMPORTXML(E2039,""/html/body/main/div[3]/div[3]/div[2]/ul/li[7]/span[2]/span"")"),"Loading...")</f>
        <v>Loading...</v>
      </c>
      <c r="S2039" s="7" t="str">
        <f ca="1">IFERROR(__xludf.DUMMYFUNCTION("IMPORTXML(E2039,""/html/body/main/div[3]/div[3]/div[2]/ul/li[8]/span[2]/span"")"),"Loading...")</f>
        <v>Loading...</v>
      </c>
      <c r="T2039" s="4">
        <v>34.6</v>
      </c>
      <c r="U2039" s="4">
        <v>22.7</v>
      </c>
      <c r="V2039" s="4">
        <v>2.6</v>
      </c>
      <c r="W2039" s="4">
        <v>5.7</v>
      </c>
      <c r="X2039" s="4">
        <v>519.92999999999995</v>
      </c>
      <c r="Y2039" s="7" t="e">
        <f t="shared" ca="1" si="44"/>
        <v>#VALUE!</v>
      </c>
    </row>
    <row r="2040" spans="1:25" ht="15" x14ac:dyDescent="0.25">
      <c r="A2040" s="4">
        <v>1812</v>
      </c>
      <c r="C2040" s="41" t="s">
        <v>4241</v>
      </c>
      <c r="D2040" s="42"/>
      <c r="E2040" s="5" t="str">
        <f t="shared" si="40"/>
        <v>https://www.screener.in/company//consolidated/</v>
      </c>
      <c r="F2040" s="4">
        <v>443059</v>
      </c>
      <c r="G2040" s="4">
        <v>3832241897</v>
      </c>
      <c r="H2040" s="6" t="e">
        <f t="shared" ca="1" si="41"/>
        <v>#VALUE!</v>
      </c>
      <c r="I2040" s="7" t="str">
        <f ca="1">IFERROR(__xludf.DUMMYFUNCTION("IMPORTXML(E2040,""/html/body/main/div[3]/div[3]/div[2]/ul/li[5]/span[2]/span"")"),"Loading...")</f>
        <v>Loading...</v>
      </c>
      <c r="J2040" s="7" t="str">
        <f ca="1">IFERROR(__xludf.DUMMYFUNCTION("GOOGLEFINANCE(""NSE:""&amp;D2040,""marketcap"")"),"#N/A")</f>
        <v>#N/A</v>
      </c>
      <c r="K2040" s="7">
        <v>992.8</v>
      </c>
      <c r="L2040" s="8" t="str">
        <f ca="1">IFERROR(__xludf.DUMMYFUNCTION("GOOGLEFINANCE(""NSE:""&amp;D2040,""price"")"),"#N/A")</f>
        <v>#N/A</v>
      </c>
      <c r="M2040" s="9" t="e">
        <f t="shared" ca="1" si="42"/>
        <v>#VALUE!</v>
      </c>
      <c r="N2040" s="10" t="e">
        <f t="shared" ca="1" si="43"/>
        <v>#VALUE!</v>
      </c>
      <c r="O2040" s="7" t="str">
        <f ca="1">IFERROR(__xludf.DUMMYFUNCTION("GOOGLEFINANCE(""NSE:""&amp;D2040,""pe"")"),"#N/A")</f>
        <v>#N/A</v>
      </c>
      <c r="P2040" s="7" t="str">
        <f ca="1">IFERROR(__xludf.DUMMYFUNCTION("GOOGLEFINANCE(""NSE:""&amp;D2040,""EPS"")"),"#N/A")</f>
        <v>#N/A</v>
      </c>
      <c r="Q2040" s="7">
        <v>13.5</v>
      </c>
      <c r="R2040" s="7" t="str">
        <f ca="1">IFERROR(__xludf.DUMMYFUNCTION("IMPORTXML(E2040,""/html/body/main/div[3]/div[3]/div[2]/ul/li[7]/span[2]/span"")"),"Loading...")</f>
        <v>Loading...</v>
      </c>
      <c r="S2040" s="7" t="str">
        <f ca="1">IFERROR(__xludf.DUMMYFUNCTION("IMPORTXML(E2040,""/html/body/main/div[3]/div[3]/div[2]/ul/li[8]/span[2]/span"")"),"Loading...")</f>
        <v>Loading...</v>
      </c>
      <c r="T2040" s="4">
        <v>34.6</v>
      </c>
      <c r="U2040" s="4">
        <v>22.7</v>
      </c>
      <c r="V2040" s="4">
        <v>2.6</v>
      </c>
      <c r="W2040" s="4">
        <v>5.7</v>
      </c>
      <c r="X2040" s="4">
        <v>519.92999999999995</v>
      </c>
      <c r="Y2040" s="7" t="e">
        <f t="shared" ca="1" si="44"/>
        <v>#VALUE!</v>
      </c>
    </row>
    <row r="2041" spans="1:25" ht="15" x14ac:dyDescent="0.25">
      <c r="A2041" s="4">
        <v>1813</v>
      </c>
      <c r="C2041" s="41" t="s">
        <v>4242</v>
      </c>
      <c r="D2041" s="42"/>
      <c r="E2041" s="5" t="str">
        <f t="shared" si="40"/>
        <v>https://www.screener.in/company//consolidated/</v>
      </c>
      <c r="F2041" s="4">
        <v>443059</v>
      </c>
      <c r="G2041" s="4">
        <v>3832241897</v>
      </c>
      <c r="H2041" s="6" t="e">
        <f t="shared" ca="1" si="41"/>
        <v>#VALUE!</v>
      </c>
      <c r="I2041" s="7" t="str">
        <f ca="1">IFERROR(__xludf.DUMMYFUNCTION("IMPORTXML(E2041,""/html/body/main/div[3]/div[3]/div[2]/ul/li[5]/span[2]/span"")"),"Loading...")</f>
        <v>Loading...</v>
      </c>
      <c r="J2041" s="7" t="str">
        <f ca="1">IFERROR(__xludf.DUMMYFUNCTION("GOOGLEFINANCE(""NSE:""&amp;D2041,""marketcap"")"),"#N/A")</f>
        <v>#N/A</v>
      </c>
      <c r="K2041" s="7">
        <v>992.8</v>
      </c>
      <c r="L2041" s="8" t="str">
        <f ca="1">IFERROR(__xludf.DUMMYFUNCTION("GOOGLEFINANCE(""NSE:""&amp;D2041,""price"")"),"#N/A")</f>
        <v>#N/A</v>
      </c>
      <c r="M2041" s="9" t="e">
        <f t="shared" ca="1" si="42"/>
        <v>#VALUE!</v>
      </c>
      <c r="N2041" s="10" t="e">
        <f t="shared" ca="1" si="43"/>
        <v>#VALUE!</v>
      </c>
      <c r="O2041" s="7" t="str">
        <f ca="1">IFERROR(__xludf.DUMMYFUNCTION("GOOGLEFINANCE(""NSE:""&amp;D2041,""pe"")"),"#N/A")</f>
        <v>#N/A</v>
      </c>
      <c r="P2041" s="7" t="str">
        <f ca="1">IFERROR(__xludf.DUMMYFUNCTION("GOOGLEFINANCE(""NSE:""&amp;D2041,""EPS"")"),"#N/A")</f>
        <v>#N/A</v>
      </c>
      <c r="Q2041" s="7">
        <v>13.5</v>
      </c>
      <c r="R2041" s="7" t="str">
        <f ca="1">IFERROR(__xludf.DUMMYFUNCTION("IMPORTXML(E2041,""/html/body/main/div[3]/div[3]/div[2]/ul/li[7]/span[2]/span"")"),"Loading...")</f>
        <v>Loading...</v>
      </c>
      <c r="S2041" s="7" t="str">
        <f ca="1">IFERROR(__xludf.DUMMYFUNCTION("IMPORTXML(E2041,""/html/body/main/div[3]/div[3]/div[2]/ul/li[8]/span[2]/span"")"),"Loading...")</f>
        <v>Loading...</v>
      </c>
      <c r="T2041" s="4">
        <v>34.6</v>
      </c>
      <c r="U2041" s="4">
        <v>22.7</v>
      </c>
      <c r="V2041" s="4">
        <v>2.6</v>
      </c>
      <c r="W2041" s="4">
        <v>5.7</v>
      </c>
      <c r="X2041" s="4">
        <v>519.92999999999995</v>
      </c>
      <c r="Y2041" s="7" t="e">
        <f t="shared" ca="1" si="44"/>
        <v>#VALUE!</v>
      </c>
    </row>
    <row r="2042" spans="1:25" ht="15" x14ac:dyDescent="0.25">
      <c r="A2042" s="4">
        <v>1814</v>
      </c>
      <c r="C2042" s="41" t="s">
        <v>4243</v>
      </c>
      <c r="D2042" s="42"/>
      <c r="E2042" s="5" t="str">
        <f t="shared" si="40"/>
        <v>https://www.screener.in/company//consolidated/</v>
      </c>
      <c r="F2042" s="4">
        <v>443059</v>
      </c>
      <c r="G2042" s="4">
        <v>3832241897</v>
      </c>
      <c r="H2042" s="6" t="e">
        <f t="shared" ca="1" si="41"/>
        <v>#VALUE!</v>
      </c>
      <c r="I2042" s="7" t="str">
        <f ca="1">IFERROR(__xludf.DUMMYFUNCTION("IMPORTXML(E2042,""/html/body/main/div[3]/div[3]/div[2]/ul/li[5]/span[2]/span"")"),"Loading...")</f>
        <v>Loading...</v>
      </c>
      <c r="J2042" s="7" t="str">
        <f ca="1">IFERROR(__xludf.DUMMYFUNCTION("GOOGLEFINANCE(""NSE:""&amp;D2042,""marketcap"")"),"#N/A")</f>
        <v>#N/A</v>
      </c>
      <c r="K2042" s="7">
        <v>992.8</v>
      </c>
      <c r="L2042" s="8" t="str">
        <f ca="1">IFERROR(__xludf.DUMMYFUNCTION("GOOGLEFINANCE(""NSE:""&amp;D2042,""price"")"),"#N/A")</f>
        <v>#N/A</v>
      </c>
      <c r="M2042" s="9" t="e">
        <f t="shared" ca="1" si="42"/>
        <v>#VALUE!</v>
      </c>
      <c r="N2042" s="10" t="e">
        <f t="shared" ca="1" si="43"/>
        <v>#VALUE!</v>
      </c>
      <c r="O2042" s="7" t="str">
        <f ca="1">IFERROR(__xludf.DUMMYFUNCTION("GOOGLEFINANCE(""NSE:""&amp;D2042,""pe"")"),"#N/A")</f>
        <v>#N/A</v>
      </c>
      <c r="P2042" s="7" t="str">
        <f ca="1">IFERROR(__xludf.DUMMYFUNCTION("GOOGLEFINANCE(""NSE:""&amp;D2042,""EPS"")"),"#N/A")</f>
        <v>#N/A</v>
      </c>
      <c r="Q2042" s="7">
        <v>13.5</v>
      </c>
      <c r="R2042" s="7" t="str">
        <f ca="1">IFERROR(__xludf.DUMMYFUNCTION("IMPORTXML(E2042,""/html/body/main/div[3]/div[3]/div[2]/ul/li[7]/span[2]/span"")"),"Loading...")</f>
        <v>Loading...</v>
      </c>
      <c r="S2042" s="7" t="str">
        <f ca="1">IFERROR(__xludf.DUMMYFUNCTION("IMPORTXML(E2042,""/html/body/main/div[3]/div[3]/div[2]/ul/li[8]/span[2]/span"")"),"Loading...")</f>
        <v>Loading...</v>
      </c>
      <c r="T2042" s="4">
        <v>34.6</v>
      </c>
      <c r="U2042" s="4">
        <v>22.7</v>
      </c>
      <c r="V2042" s="4">
        <v>2.6</v>
      </c>
      <c r="W2042" s="4">
        <v>5.7</v>
      </c>
      <c r="X2042" s="4">
        <v>519.92999999999995</v>
      </c>
      <c r="Y2042" s="7" t="e">
        <f t="shared" ca="1" si="44"/>
        <v>#VALUE!</v>
      </c>
    </row>
    <row r="2043" spans="1:25" ht="15" x14ac:dyDescent="0.25">
      <c r="A2043" s="4">
        <v>1815</v>
      </c>
      <c r="C2043" s="41" t="s">
        <v>4244</v>
      </c>
      <c r="D2043" s="42"/>
      <c r="E2043" s="5" t="str">
        <f t="shared" si="40"/>
        <v>https://www.screener.in/company//consolidated/</v>
      </c>
      <c r="F2043" s="4">
        <v>443059</v>
      </c>
      <c r="G2043" s="4">
        <v>3832241897</v>
      </c>
      <c r="H2043" s="6" t="e">
        <f t="shared" ca="1" si="41"/>
        <v>#VALUE!</v>
      </c>
      <c r="I2043" s="7" t="str">
        <f ca="1">IFERROR(__xludf.DUMMYFUNCTION("IMPORTXML(E2043,""/html/body/main/div[3]/div[3]/div[2]/ul/li[5]/span[2]/span"")"),"Loading...")</f>
        <v>Loading...</v>
      </c>
      <c r="J2043" s="7" t="str">
        <f ca="1">IFERROR(__xludf.DUMMYFUNCTION("GOOGLEFINANCE(""NSE:""&amp;D2043,""marketcap"")"),"#N/A")</f>
        <v>#N/A</v>
      </c>
      <c r="K2043" s="7">
        <v>992.8</v>
      </c>
      <c r="L2043" s="8" t="str">
        <f ca="1">IFERROR(__xludf.DUMMYFUNCTION("GOOGLEFINANCE(""NSE:""&amp;D2043,""price"")"),"#N/A")</f>
        <v>#N/A</v>
      </c>
      <c r="M2043" s="9" t="e">
        <f t="shared" ca="1" si="42"/>
        <v>#VALUE!</v>
      </c>
      <c r="N2043" s="10" t="e">
        <f t="shared" ca="1" si="43"/>
        <v>#VALUE!</v>
      </c>
      <c r="O2043" s="7" t="str">
        <f ca="1">IFERROR(__xludf.DUMMYFUNCTION("GOOGLEFINANCE(""NSE:""&amp;D2043,""pe"")"),"#N/A")</f>
        <v>#N/A</v>
      </c>
      <c r="P2043" s="7" t="str">
        <f ca="1">IFERROR(__xludf.DUMMYFUNCTION("GOOGLEFINANCE(""NSE:""&amp;D2043,""EPS"")"),"#N/A")</f>
        <v>#N/A</v>
      </c>
      <c r="Q2043" s="7">
        <v>13.5</v>
      </c>
      <c r="R2043" s="7" t="str">
        <f ca="1">IFERROR(__xludf.DUMMYFUNCTION("IMPORTXML(E2043,""/html/body/main/div[3]/div[3]/div[2]/ul/li[7]/span[2]/span"")"),"Loading...")</f>
        <v>Loading...</v>
      </c>
      <c r="S2043" s="7" t="str">
        <f ca="1">IFERROR(__xludf.DUMMYFUNCTION("IMPORTXML(E2043,""/html/body/main/div[3]/div[3]/div[2]/ul/li[8]/span[2]/span"")"),"Loading...")</f>
        <v>Loading...</v>
      </c>
      <c r="T2043" s="4">
        <v>34.6</v>
      </c>
      <c r="U2043" s="4">
        <v>22.7</v>
      </c>
      <c r="V2043" s="4">
        <v>2.6</v>
      </c>
      <c r="W2043" s="4">
        <v>5.7</v>
      </c>
      <c r="X2043" s="4">
        <v>519.92999999999995</v>
      </c>
      <c r="Y2043" s="7" t="e">
        <f t="shared" ca="1" si="44"/>
        <v>#VALUE!</v>
      </c>
    </row>
    <row r="2044" spans="1:25" ht="15" x14ac:dyDescent="0.25">
      <c r="A2044" s="4">
        <v>1820</v>
      </c>
      <c r="C2044" s="41" t="s">
        <v>4245</v>
      </c>
      <c r="D2044" s="42"/>
      <c r="E2044" s="5" t="str">
        <f t="shared" si="40"/>
        <v>https://www.screener.in/company//consolidated/</v>
      </c>
      <c r="F2044" s="4">
        <v>443059</v>
      </c>
      <c r="G2044" s="4">
        <v>3832241897</v>
      </c>
      <c r="H2044" s="6" t="e">
        <f t="shared" ca="1" si="41"/>
        <v>#VALUE!</v>
      </c>
      <c r="I2044" s="7" t="str">
        <f ca="1">IFERROR(__xludf.DUMMYFUNCTION("IMPORTXML(E2044,""/html/body/main/div[3]/div[3]/div[2]/ul/li[5]/span[2]/span"")"),"Loading...")</f>
        <v>Loading...</v>
      </c>
      <c r="J2044" s="7" t="str">
        <f ca="1">IFERROR(__xludf.DUMMYFUNCTION("GOOGLEFINANCE(""NSE:""&amp;D2044,""marketcap"")"),"#N/A")</f>
        <v>#N/A</v>
      </c>
      <c r="K2044" s="7">
        <v>992.8</v>
      </c>
      <c r="L2044" s="8" t="str">
        <f ca="1">IFERROR(__xludf.DUMMYFUNCTION("GOOGLEFINANCE(""NSE:""&amp;D2044,""price"")"),"#N/A")</f>
        <v>#N/A</v>
      </c>
      <c r="M2044" s="9" t="e">
        <f t="shared" ca="1" si="42"/>
        <v>#VALUE!</v>
      </c>
      <c r="N2044" s="10" t="e">
        <f t="shared" ca="1" si="43"/>
        <v>#VALUE!</v>
      </c>
      <c r="O2044" s="7" t="str">
        <f ca="1">IFERROR(__xludf.DUMMYFUNCTION("GOOGLEFINANCE(""NSE:""&amp;D2044,""pe"")"),"#N/A")</f>
        <v>#N/A</v>
      </c>
      <c r="P2044" s="7" t="str">
        <f ca="1">IFERROR(__xludf.DUMMYFUNCTION("GOOGLEFINANCE(""NSE:""&amp;D2044,""EPS"")"),"#N/A")</f>
        <v>#N/A</v>
      </c>
      <c r="Q2044" s="7">
        <v>13.5</v>
      </c>
      <c r="R2044" s="7" t="str">
        <f ca="1">IFERROR(__xludf.DUMMYFUNCTION("IMPORTXML(E2044,""/html/body/main/div[3]/div[3]/div[2]/ul/li[7]/span[2]/span"")"),"Loading...")</f>
        <v>Loading...</v>
      </c>
      <c r="S2044" s="7" t="str">
        <f ca="1">IFERROR(__xludf.DUMMYFUNCTION("IMPORTXML(E2044,""/html/body/main/div[3]/div[3]/div[2]/ul/li[8]/span[2]/span"")"),"Loading...")</f>
        <v>Loading...</v>
      </c>
      <c r="T2044" s="4">
        <v>34.6</v>
      </c>
      <c r="U2044" s="4">
        <v>22.7</v>
      </c>
      <c r="V2044" s="4">
        <v>2.6</v>
      </c>
      <c r="W2044" s="4">
        <v>5.7</v>
      </c>
      <c r="X2044" s="4">
        <v>519.92999999999995</v>
      </c>
      <c r="Y2044" s="7" t="e">
        <f t="shared" ca="1" si="44"/>
        <v>#VALUE!</v>
      </c>
    </row>
    <row r="2045" spans="1:25" ht="15" x14ac:dyDescent="0.25">
      <c r="A2045" s="4">
        <v>1822</v>
      </c>
      <c r="C2045" s="41" t="s">
        <v>4246</v>
      </c>
      <c r="D2045" s="42"/>
      <c r="E2045" s="5" t="str">
        <f t="shared" si="40"/>
        <v>https://www.screener.in/company//consolidated/</v>
      </c>
      <c r="F2045" s="4">
        <v>443059</v>
      </c>
      <c r="G2045" s="4">
        <v>3832241897</v>
      </c>
      <c r="H2045" s="6" t="e">
        <f t="shared" ca="1" si="41"/>
        <v>#VALUE!</v>
      </c>
      <c r="I2045" s="7" t="str">
        <f ca="1">IFERROR(__xludf.DUMMYFUNCTION("IMPORTXML(E2045,""/html/body/main/div[3]/div[3]/div[2]/ul/li[5]/span[2]/span"")"),"Loading...")</f>
        <v>Loading...</v>
      </c>
      <c r="J2045" s="7" t="str">
        <f ca="1">IFERROR(__xludf.DUMMYFUNCTION("GOOGLEFINANCE(""NSE:""&amp;D2045,""marketcap"")"),"#N/A")</f>
        <v>#N/A</v>
      </c>
      <c r="K2045" s="7">
        <v>992.8</v>
      </c>
      <c r="L2045" s="8" t="str">
        <f ca="1">IFERROR(__xludf.DUMMYFUNCTION("GOOGLEFINANCE(""NSE:""&amp;D2045,""price"")"),"#N/A")</f>
        <v>#N/A</v>
      </c>
      <c r="M2045" s="9" t="e">
        <f t="shared" ca="1" si="42"/>
        <v>#VALUE!</v>
      </c>
      <c r="N2045" s="10" t="e">
        <f t="shared" ca="1" si="43"/>
        <v>#VALUE!</v>
      </c>
      <c r="O2045" s="7" t="str">
        <f ca="1">IFERROR(__xludf.DUMMYFUNCTION("GOOGLEFINANCE(""NSE:""&amp;D2045,""pe"")"),"#N/A")</f>
        <v>#N/A</v>
      </c>
      <c r="P2045" s="7" t="str">
        <f ca="1">IFERROR(__xludf.DUMMYFUNCTION("GOOGLEFINANCE(""NSE:""&amp;D2045,""EPS"")"),"#N/A")</f>
        <v>#N/A</v>
      </c>
      <c r="Q2045" s="7">
        <v>13.5</v>
      </c>
      <c r="R2045" s="7" t="str">
        <f ca="1">IFERROR(__xludf.DUMMYFUNCTION("IMPORTXML(E2045,""/html/body/main/div[3]/div[3]/div[2]/ul/li[7]/span[2]/span"")"),"Loading...")</f>
        <v>Loading...</v>
      </c>
      <c r="S2045" s="7" t="str">
        <f ca="1">IFERROR(__xludf.DUMMYFUNCTION("IMPORTXML(E2045,""/html/body/main/div[3]/div[3]/div[2]/ul/li[8]/span[2]/span"")"),"Loading...")</f>
        <v>Loading...</v>
      </c>
      <c r="T2045" s="4">
        <v>34.6</v>
      </c>
      <c r="U2045" s="4">
        <v>22.7</v>
      </c>
      <c r="V2045" s="4">
        <v>2.6</v>
      </c>
      <c r="W2045" s="4">
        <v>5.7</v>
      </c>
      <c r="X2045" s="4">
        <v>519.92999999999995</v>
      </c>
      <c r="Y2045" s="7" t="e">
        <f t="shared" ca="1" si="44"/>
        <v>#VALUE!</v>
      </c>
    </row>
    <row r="2046" spans="1:25" ht="15" x14ac:dyDescent="0.25">
      <c r="A2046" s="4">
        <v>1823</v>
      </c>
      <c r="C2046" s="41" t="s">
        <v>4247</v>
      </c>
      <c r="D2046" s="42"/>
      <c r="E2046" s="5" t="str">
        <f t="shared" si="40"/>
        <v>https://www.screener.in/company//consolidated/</v>
      </c>
      <c r="F2046" s="4">
        <v>443059</v>
      </c>
      <c r="G2046" s="4">
        <v>3832241897</v>
      </c>
      <c r="H2046" s="6" t="e">
        <f t="shared" ca="1" si="41"/>
        <v>#VALUE!</v>
      </c>
      <c r="I2046" s="7" t="str">
        <f ca="1">IFERROR(__xludf.DUMMYFUNCTION("IMPORTXML(E2046,""/html/body/main/div[3]/div[3]/div[2]/ul/li[5]/span[2]/span"")"),"Loading...")</f>
        <v>Loading...</v>
      </c>
      <c r="J2046" s="7" t="str">
        <f ca="1">IFERROR(__xludf.DUMMYFUNCTION("GOOGLEFINANCE(""NSE:""&amp;D2046,""marketcap"")"),"#N/A")</f>
        <v>#N/A</v>
      </c>
      <c r="K2046" s="7">
        <v>992.8</v>
      </c>
      <c r="L2046" s="8" t="str">
        <f ca="1">IFERROR(__xludf.DUMMYFUNCTION("GOOGLEFINANCE(""NSE:""&amp;D2046,""price"")"),"#N/A")</f>
        <v>#N/A</v>
      </c>
      <c r="M2046" s="9" t="e">
        <f t="shared" ca="1" si="42"/>
        <v>#VALUE!</v>
      </c>
      <c r="N2046" s="10" t="e">
        <f t="shared" ca="1" si="43"/>
        <v>#VALUE!</v>
      </c>
      <c r="O2046" s="7" t="str">
        <f ca="1">IFERROR(__xludf.DUMMYFUNCTION("GOOGLEFINANCE(""NSE:""&amp;D2046,""pe"")"),"#N/A")</f>
        <v>#N/A</v>
      </c>
      <c r="P2046" s="7" t="str">
        <f ca="1">IFERROR(__xludf.DUMMYFUNCTION("GOOGLEFINANCE(""NSE:""&amp;D2046,""EPS"")"),"#N/A")</f>
        <v>#N/A</v>
      </c>
      <c r="Q2046" s="7">
        <v>13.5</v>
      </c>
      <c r="R2046" s="7" t="str">
        <f ca="1">IFERROR(__xludf.DUMMYFUNCTION("IMPORTXML(E2046,""/html/body/main/div[3]/div[3]/div[2]/ul/li[7]/span[2]/span"")"),"Loading...")</f>
        <v>Loading...</v>
      </c>
      <c r="S2046" s="7" t="str">
        <f ca="1">IFERROR(__xludf.DUMMYFUNCTION("IMPORTXML(E2046,""/html/body/main/div[3]/div[3]/div[2]/ul/li[8]/span[2]/span"")"),"Loading...")</f>
        <v>Loading...</v>
      </c>
      <c r="T2046" s="4">
        <v>34.6</v>
      </c>
      <c r="U2046" s="4">
        <v>22.7</v>
      </c>
      <c r="V2046" s="4">
        <v>2.6</v>
      </c>
      <c r="W2046" s="4">
        <v>5.7</v>
      </c>
      <c r="X2046" s="4">
        <v>519.92999999999995</v>
      </c>
      <c r="Y2046" s="7" t="e">
        <f t="shared" ca="1" si="44"/>
        <v>#VALUE!</v>
      </c>
    </row>
    <row r="2047" spans="1:25" ht="15" x14ac:dyDescent="0.25">
      <c r="A2047" s="4">
        <v>1824</v>
      </c>
      <c r="C2047" s="41" t="s">
        <v>4248</v>
      </c>
      <c r="D2047" s="42"/>
      <c r="E2047" s="5" t="str">
        <f t="shared" si="40"/>
        <v>https://www.screener.in/company//consolidated/</v>
      </c>
      <c r="F2047" s="4">
        <v>443059</v>
      </c>
      <c r="G2047" s="4">
        <v>3832241897</v>
      </c>
      <c r="H2047" s="6" t="e">
        <f t="shared" ca="1" si="41"/>
        <v>#VALUE!</v>
      </c>
      <c r="I2047" s="7" t="str">
        <f ca="1">IFERROR(__xludf.DUMMYFUNCTION("IMPORTXML(E2047,""/html/body/main/div[3]/div[3]/div[2]/ul/li[5]/span[2]/span"")"),"Loading...")</f>
        <v>Loading...</v>
      </c>
      <c r="J2047" s="7" t="str">
        <f ca="1">IFERROR(__xludf.DUMMYFUNCTION("GOOGLEFINANCE(""NSE:""&amp;D2047,""marketcap"")"),"#N/A")</f>
        <v>#N/A</v>
      </c>
      <c r="K2047" s="7">
        <v>992.8</v>
      </c>
      <c r="L2047" s="8" t="str">
        <f ca="1">IFERROR(__xludf.DUMMYFUNCTION("GOOGLEFINANCE(""NSE:""&amp;D2047,""price"")"),"#N/A")</f>
        <v>#N/A</v>
      </c>
      <c r="M2047" s="9" t="e">
        <f t="shared" ca="1" si="42"/>
        <v>#VALUE!</v>
      </c>
      <c r="N2047" s="10" t="e">
        <f t="shared" ca="1" si="43"/>
        <v>#VALUE!</v>
      </c>
      <c r="O2047" s="7" t="str">
        <f ca="1">IFERROR(__xludf.DUMMYFUNCTION("GOOGLEFINANCE(""NSE:""&amp;D2047,""pe"")"),"#N/A")</f>
        <v>#N/A</v>
      </c>
      <c r="P2047" s="7" t="str">
        <f ca="1">IFERROR(__xludf.DUMMYFUNCTION("GOOGLEFINANCE(""NSE:""&amp;D2047,""EPS"")"),"#N/A")</f>
        <v>#N/A</v>
      </c>
      <c r="Q2047" s="7">
        <v>13.5</v>
      </c>
      <c r="R2047" s="7" t="str">
        <f ca="1">IFERROR(__xludf.DUMMYFUNCTION("IMPORTXML(E2047,""/html/body/main/div[3]/div[3]/div[2]/ul/li[7]/span[2]/span"")"),"Loading...")</f>
        <v>Loading...</v>
      </c>
      <c r="S2047" s="7" t="str">
        <f ca="1">IFERROR(__xludf.DUMMYFUNCTION("IMPORTXML(E2047,""/html/body/main/div[3]/div[3]/div[2]/ul/li[8]/span[2]/span"")"),"Loading...")</f>
        <v>Loading...</v>
      </c>
      <c r="T2047" s="4">
        <v>34.6</v>
      </c>
      <c r="U2047" s="4">
        <v>22.7</v>
      </c>
      <c r="V2047" s="4">
        <v>2.6</v>
      </c>
      <c r="W2047" s="4">
        <v>5.7</v>
      </c>
      <c r="X2047" s="4">
        <v>519.92999999999995</v>
      </c>
      <c r="Y2047" s="7" t="e">
        <f t="shared" ca="1" si="44"/>
        <v>#VALUE!</v>
      </c>
    </row>
    <row r="2048" spans="1:25" ht="15" x14ac:dyDescent="0.25">
      <c r="A2048" s="4">
        <v>1825</v>
      </c>
      <c r="C2048" s="41" t="s">
        <v>4249</v>
      </c>
      <c r="D2048" s="42"/>
      <c r="E2048" s="5" t="str">
        <f t="shared" si="40"/>
        <v>https://www.screener.in/company//consolidated/</v>
      </c>
      <c r="F2048" s="4">
        <v>443059</v>
      </c>
      <c r="G2048" s="4">
        <v>3832241897</v>
      </c>
      <c r="H2048" s="6" t="e">
        <f t="shared" ca="1" si="41"/>
        <v>#VALUE!</v>
      </c>
      <c r="I2048" s="7" t="str">
        <f ca="1">IFERROR(__xludf.DUMMYFUNCTION("IMPORTXML(E2048,""/html/body/main/div[3]/div[3]/div[2]/ul/li[5]/span[2]/span"")"),"Loading...")</f>
        <v>Loading...</v>
      </c>
      <c r="J2048" s="7" t="str">
        <f ca="1">IFERROR(__xludf.DUMMYFUNCTION("GOOGLEFINANCE(""NSE:""&amp;D2048,""marketcap"")"),"#N/A")</f>
        <v>#N/A</v>
      </c>
      <c r="K2048" s="7">
        <v>992.8</v>
      </c>
      <c r="L2048" s="8" t="str">
        <f ca="1">IFERROR(__xludf.DUMMYFUNCTION("GOOGLEFINANCE(""NSE:""&amp;D2048,""price"")"),"#N/A")</f>
        <v>#N/A</v>
      </c>
      <c r="M2048" s="9" t="e">
        <f t="shared" ca="1" si="42"/>
        <v>#VALUE!</v>
      </c>
      <c r="N2048" s="10" t="e">
        <f t="shared" ca="1" si="43"/>
        <v>#VALUE!</v>
      </c>
      <c r="O2048" s="7" t="str">
        <f ca="1">IFERROR(__xludf.DUMMYFUNCTION("GOOGLEFINANCE(""NSE:""&amp;D2048,""pe"")"),"#N/A")</f>
        <v>#N/A</v>
      </c>
      <c r="P2048" s="7" t="str">
        <f ca="1">IFERROR(__xludf.DUMMYFUNCTION("GOOGLEFINANCE(""NSE:""&amp;D2048,""EPS"")"),"#N/A")</f>
        <v>#N/A</v>
      </c>
      <c r="Q2048" s="7">
        <v>13.5</v>
      </c>
      <c r="R2048" s="7" t="str">
        <f ca="1">IFERROR(__xludf.DUMMYFUNCTION("IMPORTXML(E2048,""/html/body/main/div[3]/div[3]/div[2]/ul/li[7]/span[2]/span"")"),"Loading...")</f>
        <v>Loading...</v>
      </c>
      <c r="S2048" s="7" t="str">
        <f ca="1">IFERROR(__xludf.DUMMYFUNCTION("IMPORTXML(E2048,""/html/body/main/div[3]/div[3]/div[2]/ul/li[8]/span[2]/span"")"),"Loading...")</f>
        <v>Loading...</v>
      </c>
      <c r="T2048" s="4">
        <v>34.6</v>
      </c>
      <c r="U2048" s="4">
        <v>22.7</v>
      </c>
      <c r="V2048" s="4">
        <v>2.6</v>
      </c>
      <c r="W2048" s="4">
        <v>5.7</v>
      </c>
      <c r="X2048" s="4">
        <v>519.92999999999995</v>
      </c>
      <c r="Y2048" s="7" t="e">
        <f t="shared" ca="1" si="44"/>
        <v>#VALUE!</v>
      </c>
    </row>
    <row r="2049" spans="1:25" ht="15" x14ac:dyDescent="0.25">
      <c r="A2049" s="4">
        <v>1826</v>
      </c>
      <c r="C2049" s="41" t="s">
        <v>4250</v>
      </c>
      <c r="D2049" s="42"/>
      <c r="E2049" s="5" t="str">
        <f t="shared" si="40"/>
        <v>https://www.screener.in/company//consolidated/</v>
      </c>
      <c r="F2049" s="4">
        <v>443059</v>
      </c>
      <c r="G2049" s="4">
        <v>3832241897</v>
      </c>
      <c r="H2049" s="6" t="e">
        <f t="shared" ca="1" si="41"/>
        <v>#VALUE!</v>
      </c>
      <c r="I2049" s="7" t="str">
        <f ca="1">IFERROR(__xludf.DUMMYFUNCTION("IMPORTXML(E2049,""/html/body/main/div[3]/div[3]/div[2]/ul/li[5]/span[2]/span"")"),"Loading...")</f>
        <v>Loading...</v>
      </c>
      <c r="J2049" s="7" t="str">
        <f ca="1">IFERROR(__xludf.DUMMYFUNCTION("GOOGLEFINANCE(""NSE:""&amp;D2049,""marketcap"")"),"#N/A")</f>
        <v>#N/A</v>
      </c>
      <c r="K2049" s="7">
        <v>992.8</v>
      </c>
      <c r="L2049" s="8" t="str">
        <f ca="1">IFERROR(__xludf.DUMMYFUNCTION("GOOGLEFINANCE(""NSE:""&amp;D2049,""price"")"),"#N/A")</f>
        <v>#N/A</v>
      </c>
      <c r="M2049" s="9" t="e">
        <f t="shared" ca="1" si="42"/>
        <v>#VALUE!</v>
      </c>
      <c r="N2049" s="10" t="e">
        <f t="shared" ca="1" si="43"/>
        <v>#VALUE!</v>
      </c>
      <c r="O2049" s="7" t="str">
        <f ca="1">IFERROR(__xludf.DUMMYFUNCTION("GOOGLEFINANCE(""NSE:""&amp;D2049,""pe"")"),"#N/A")</f>
        <v>#N/A</v>
      </c>
      <c r="P2049" s="7" t="str">
        <f ca="1">IFERROR(__xludf.DUMMYFUNCTION("GOOGLEFINANCE(""NSE:""&amp;D2049,""EPS"")"),"#N/A")</f>
        <v>#N/A</v>
      </c>
      <c r="Q2049" s="7">
        <v>13.5</v>
      </c>
      <c r="R2049" s="7" t="str">
        <f ca="1">IFERROR(__xludf.DUMMYFUNCTION("IMPORTXML(E2049,""/html/body/main/div[3]/div[3]/div[2]/ul/li[7]/span[2]/span"")"),"Loading...")</f>
        <v>Loading...</v>
      </c>
      <c r="S2049" s="7" t="str">
        <f ca="1">IFERROR(__xludf.DUMMYFUNCTION("IMPORTXML(E2049,""/html/body/main/div[3]/div[3]/div[2]/ul/li[8]/span[2]/span"")"),"Loading...")</f>
        <v>Loading...</v>
      </c>
      <c r="T2049" s="4">
        <v>34.6</v>
      </c>
      <c r="U2049" s="4">
        <v>22.7</v>
      </c>
      <c r="V2049" s="4">
        <v>2.6</v>
      </c>
      <c r="W2049" s="4">
        <v>5.7</v>
      </c>
      <c r="X2049" s="4">
        <v>519.92999999999995</v>
      </c>
      <c r="Y2049" s="7" t="e">
        <f t="shared" ca="1" si="44"/>
        <v>#VALUE!</v>
      </c>
    </row>
    <row r="2050" spans="1:25" ht="15" x14ac:dyDescent="0.25">
      <c r="A2050" s="4">
        <v>1827</v>
      </c>
      <c r="C2050" s="41" t="s">
        <v>4251</v>
      </c>
      <c r="D2050" s="42"/>
      <c r="E2050" s="5" t="str">
        <f t="shared" si="40"/>
        <v>https://www.screener.in/company//consolidated/</v>
      </c>
      <c r="F2050" s="4">
        <v>443059</v>
      </c>
      <c r="G2050" s="4">
        <v>3832241897</v>
      </c>
      <c r="H2050" s="6" t="e">
        <f t="shared" ca="1" si="41"/>
        <v>#VALUE!</v>
      </c>
      <c r="I2050" s="7" t="str">
        <f ca="1">IFERROR(__xludf.DUMMYFUNCTION("IMPORTXML(E2050,""/html/body/main/div[3]/div[3]/div[2]/ul/li[5]/span[2]/span"")"),"Loading...")</f>
        <v>Loading...</v>
      </c>
      <c r="J2050" s="7" t="str">
        <f ca="1">IFERROR(__xludf.DUMMYFUNCTION("GOOGLEFINANCE(""NSE:""&amp;D2050,""marketcap"")"),"#N/A")</f>
        <v>#N/A</v>
      </c>
      <c r="K2050" s="7">
        <v>992.8</v>
      </c>
      <c r="L2050" s="8" t="str">
        <f ca="1">IFERROR(__xludf.DUMMYFUNCTION("GOOGLEFINANCE(""NSE:""&amp;D2050,""price"")"),"#N/A")</f>
        <v>#N/A</v>
      </c>
      <c r="M2050" s="9" t="e">
        <f t="shared" ca="1" si="42"/>
        <v>#VALUE!</v>
      </c>
      <c r="N2050" s="10" t="e">
        <f t="shared" ca="1" si="43"/>
        <v>#VALUE!</v>
      </c>
      <c r="O2050" s="7" t="str">
        <f ca="1">IFERROR(__xludf.DUMMYFUNCTION("GOOGLEFINANCE(""NSE:""&amp;D2050,""pe"")"),"#N/A")</f>
        <v>#N/A</v>
      </c>
      <c r="P2050" s="7" t="str">
        <f ca="1">IFERROR(__xludf.DUMMYFUNCTION("GOOGLEFINANCE(""NSE:""&amp;D2050,""EPS"")"),"#N/A")</f>
        <v>#N/A</v>
      </c>
      <c r="Q2050" s="7">
        <v>13.5</v>
      </c>
      <c r="R2050" s="7" t="str">
        <f ca="1">IFERROR(__xludf.DUMMYFUNCTION("IMPORTXML(E2050,""/html/body/main/div[3]/div[3]/div[2]/ul/li[7]/span[2]/span"")"),"Loading...")</f>
        <v>Loading...</v>
      </c>
      <c r="S2050" s="7" t="str">
        <f ca="1">IFERROR(__xludf.DUMMYFUNCTION("IMPORTXML(E2050,""/html/body/main/div[3]/div[3]/div[2]/ul/li[8]/span[2]/span"")"),"Loading...")</f>
        <v>Loading...</v>
      </c>
      <c r="T2050" s="4">
        <v>34.6</v>
      </c>
      <c r="U2050" s="4">
        <v>22.7</v>
      </c>
      <c r="V2050" s="4">
        <v>2.6</v>
      </c>
      <c r="W2050" s="4">
        <v>5.7</v>
      </c>
      <c r="X2050" s="4">
        <v>519.92999999999995</v>
      </c>
      <c r="Y2050" s="7" t="e">
        <f t="shared" ca="1" si="44"/>
        <v>#VALUE!</v>
      </c>
    </row>
    <row r="2051" spans="1:25" ht="15" x14ac:dyDescent="0.25">
      <c r="A2051" s="4">
        <v>1828</v>
      </c>
      <c r="C2051" s="41" t="s">
        <v>4252</v>
      </c>
      <c r="D2051" s="42"/>
      <c r="E2051" s="5" t="str">
        <f t="shared" si="40"/>
        <v>https://www.screener.in/company//consolidated/</v>
      </c>
      <c r="F2051" s="4">
        <v>443059</v>
      </c>
      <c r="G2051" s="4">
        <v>3832241897</v>
      </c>
      <c r="H2051" s="6" t="e">
        <f t="shared" ca="1" si="41"/>
        <v>#VALUE!</v>
      </c>
      <c r="I2051" s="7" t="str">
        <f ca="1">IFERROR(__xludf.DUMMYFUNCTION("IMPORTXML(E2051,""/html/body/main/div[3]/div[3]/div[2]/ul/li[5]/span[2]/span"")"),"Loading...")</f>
        <v>Loading...</v>
      </c>
      <c r="J2051" s="7" t="str">
        <f ca="1">IFERROR(__xludf.DUMMYFUNCTION("GOOGLEFINANCE(""NSE:""&amp;D2051,""marketcap"")"),"#N/A")</f>
        <v>#N/A</v>
      </c>
      <c r="K2051" s="7">
        <v>992.8</v>
      </c>
      <c r="L2051" s="8" t="str">
        <f ca="1">IFERROR(__xludf.DUMMYFUNCTION("GOOGLEFINANCE(""NSE:""&amp;D2051,""price"")"),"#N/A")</f>
        <v>#N/A</v>
      </c>
      <c r="M2051" s="9" t="e">
        <f t="shared" ca="1" si="42"/>
        <v>#VALUE!</v>
      </c>
      <c r="N2051" s="10" t="e">
        <f t="shared" ca="1" si="43"/>
        <v>#VALUE!</v>
      </c>
      <c r="O2051" s="7" t="str">
        <f ca="1">IFERROR(__xludf.DUMMYFUNCTION("GOOGLEFINANCE(""NSE:""&amp;D2051,""pe"")"),"#N/A")</f>
        <v>#N/A</v>
      </c>
      <c r="P2051" s="7" t="str">
        <f ca="1">IFERROR(__xludf.DUMMYFUNCTION("GOOGLEFINANCE(""NSE:""&amp;D2051,""EPS"")"),"#N/A")</f>
        <v>#N/A</v>
      </c>
      <c r="Q2051" s="7">
        <v>13.5</v>
      </c>
      <c r="R2051" s="7" t="str">
        <f ca="1">IFERROR(__xludf.DUMMYFUNCTION("IMPORTXML(E2051,""/html/body/main/div[3]/div[3]/div[2]/ul/li[7]/span[2]/span"")"),"Loading...")</f>
        <v>Loading...</v>
      </c>
      <c r="S2051" s="7" t="str">
        <f ca="1">IFERROR(__xludf.DUMMYFUNCTION("IMPORTXML(E2051,""/html/body/main/div[3]/div[3]/div[2]/ul/li[8]/span[2]/span"")"),"Loading...")</f>
        <v>Loading...</v>
      </c>
      <c r="T2051" s="4">
        <v>34.6</v>
      </c>
      <c r="U2051" s="4">
        <v>22.7</v>
      </c>
      <c r="V2051" s="4">
        <v>2.6</v>
      </c>
      <c r="W2051" s="4">
        <v>5.7</v>
      </c>
      <c r="X2051" s="4">
        <v>519.92999999999995</v>
      </c>
      <c r="Y2051" s="7" t="e">
        <f t="shared" ca="1" si="44"/>
        <v>#VALUE!</v>
      </c>
    </row>
    <row r="2052" spans="1:25" ht="15" x14ac:dyDescent="0.25">
      <c r="A2052" s="4">
        <v>1829</v>
      </c>
      <c r="C2052" s="41" t="s">
        <v>4253</v>
      </c>
      <c r="D2052" s="42"/>
      <c r="E2052" s="5" t="str">
        <f t="shared" si="40"/>
        <v>https://www.screener.in/company//consolidated/</v>
      </c>
      <c r="F2052" s="4">
        <v>443059</v>
      </c>
      <c r="G2052" s="4">
        <v>3832241897</v>
      </c>
      <c r="H2052" s="6" t="e">
        <f t="shared" ca="1" si="41"/>
        <v>#VALUE!</v>
      </c>
      <c r="I2052" s="7" t="str">
        <f ca="1">IFERROR(__xludf.DUMMYFUNCTION("IMPORTXML(E2052,""/html/body/main/div[3]/div[3]/div[2]/ul/li[5]/span[2]/span"")"),"Loading...")</f>
        <v>Loading...</v>
      </c>
      <c r="J2052" s="7" t="str">
        <f ca="1">IFERROR(__xludf.DUMMYFUNCTION("GOOGLEFINANCE(""NSE:""&amp;D2052,""marketcap"")"),"#N/A")</f>
        <v>#N/A</v>
      </c>
      <c r="K2052" s="7">
        <v>992.8</v>
      </c>
      <c r="L2052" s="8" t="str">
        <f ca="1">IFERROR(__xludf.DUMMYFUNCTION("GOOGLEFINANCE(""NSE:""&amp;D2052,""price"")"),"#N/A")</f>
        <v>#N/A</v>
      </c>
      <c r="M2052" s="9" t="e">
        <f t="shared" ca="1" si="42"/>
        <v>#VALUE!</v>
      </c>
      <c r="N2052" s="10" t="e">
        <f t="shared" ca="1" si="43"/>
        <v>#VALUE!</v>
      </c>
      <c r="O2052" s="7" t="str">
        <f ca="1">IFERROR(__xludf.DUMMYFUNCTION("GOOGLEFINANCE(""NSE:""&amp;D2052,""pe"")"),"#N/A")</f>
        <v>#N/A</v>
      </c>
      <c r="P2052" s="7" t="str">
        <f ca="1">IFERROR(__xludf.DUMMYFUNCTION("GOOGLEFINANCE(""NSE:""&amp;D2052,""EPS"")"),"#N/A")</f>
        <v>#N/A</v>
      </c>
      <c r="Q2052" s="7">
        <v>13.5</v>
      </c>
      <c r="R2052" s="7" t="str">
        <f ca="1">IFERROR(__xludf.DUMMYFUNCTION("IMPORTXML(E2052,""/html/body/main/div[3]/div[3]/div[2]/ul/li[7]/span[2]/span"")"),"Loading...")</f>
        <v>Loading...</v>
      </c>
      <c r="S2052" s="7" t="str">
        <f ca="1">IFERROR(__xludf.DUMMYFUNCTION("IMPORTXML(E2052,""/html/body/main/div[3]/div[3]/div[2]/ul/li[8]/span[2]/span"")"),"Loading...")</f>
        <v>Loading...</v>
      </c>
      <c r="T2052" s="4">
        <v>34.6</v>
      </c>
      <c r="U2052" s="4">
        <v>22.7</v>
      </c>
      <c r="V2052" s="4">
        <v>2.6</v>
      </c>
      <c r="W2052" s="4">
        <v>5.7</v>
      </c>
      <c r="X2052" s="4">
        <v>519.92999999999995</v>
      </c>
      <c r="Y2052" s="7" t="e">
        <f t="shared" ca="1" si="44"/>
        <v>#VALUE!</v>
      </c>
    </row>
    <row r="2053" spans="1:25" ht="15" x14ac:dyDescent="0.25">
      <c r="A2053" s="4">
        <v>1830</v>
      </c>
      <c r="C2053" s="12" t="s">
        <v>4254</v>
      </c>
      <c r="D2053" s="12" t="s">
        <v>4255</v>
      </c>
      <c r="E2053" s="5" t="str">
        <f t="shared" si="40"/>
        <v>https://www.screener.in/company/NURECA/consolidated/</v>
      </c>
      <c r="F2053" s="4">
        <v>443059</v>
      </c>
      <c r="G2053" s="4">
        <v>3832241897</v>
      </c>
      <c r="H2053" s="6">
        <f t="shared" ca="1" si="41"/>
        <v>98105.392563200003</v>
      </c>
      <c r="I2053" s="7" t="str">
        <f ca="1">IFERROR(__xludf.DUMMYFUNCTION("IMPORTXML(E2053,""/html/body/main/div[3]/div[3]/div[2]/ul/li[5]/span[2]/span"")"),"Loading...")</f>
        <v>Loading...</v>
      </c>
      <c r="J2053" s="7">
        <f ca="1">IFERROR(__xludf.DUMMYFUNCTION("GOOGLEFINANCE(""NSE:""&amp;D2053,""marketcap"")"),2571215360)</f>
        <v>2571215360</v>
      </c>
      <c r="K2053" s="7">
        <v>992.8</v>
      </c>
      <c r="L2053" s="8">
        <f ca="1">IFERROR(__xludf.DUMMYFUNCTION("GOOGLEFINANCE(""NSE:""&amp;D2053,""price"")"),256)</f>
        <v>256</v>
      </c>
      <c r="M2053" s="9">
        <f t="shared" ca="1" si="42"/>
        <v>-736.8</v>
      </c>
      <c r="N2053" s="10">
        <f t="shared" ca="1" si="43"/>
        <v>-74.214343271555194</v>
      </c>
      <c r="O2053" s="7">
        <f ca="1">IFERROR(__xludf.DUMMYFUNCTION("GOOGLEFINANCE(""NSE:""&amp;D2053,""pe"")"),182857.16)</f>
        <v>182857.16</v>
      </c>
      <c r="P2053" s="7">
        <f ca="1">IFERROR(__xludf.DUMMYFUNCTION("GOOGLEFINANCE(""NSE:""&amp;D2053,""EPS"")"),0)</f>
        <v>0</v>
      </c>
      <c r="Q2053" s="7">
        <v>13.5</v>
      </c>
      <c r="R2053" s="7">
        <f ca="1">IFERROR(__xludf.DUMMYFUNCTION("IMPORTXML(E2053,""/html/body/main/div[3]/div[3]/div[2]/ul/li[7]/span[2]/span"")"),-0.9)</f>
        <v>-0.9</v>
      </c>
      <c r="S2053" s="7" t="str">
        <f ca="1">IFERROR(__xludf.DUMMYFUNCTION("IMPORTXML(E2053,""/html/body/main/div[3]/div[3]/div[2]/ul/li[8]/span[2]/span"")"),"Loading...")</f>
        <v>Loading...</v>
      </c>
      <c r="T2053" s="4">
        <v>34.6</v>
      </c>
      <c r="U2053" s="4">
        <v>22.7</v>
      </c>
      <c r="V2053" s="4">
        <v>2.6</v>
      </c>
      <c r="W2053" s="4">
        <v>5.7</v>
      </c>
      <c r="X2053" s="4">
        <v>519.92999999999995</v>
      </c>
      <c r="Y2053" s="7">
        <f t="shared" ca="1" si="44"/>
        <v>-263.92999999999995</v>
      </c>
    </row>
    <row r="2054" spans="1:25" ht="15" x14ac:dyDescent="0.25">
      <c r="A2054" s="4">
        <v>1832</v>
      </c>
      <c r="C2054" s="41" t="s">
        <v>4256</v>
      </c>
      <c r="D2054" s="42"/>
      <c r="E2054" s="5" t="str">
        <f t="shared" si="40"/>
        <v>https://www.screener.in/company//consolidated/</v>
      </c>
      <c r="F2054" s="4">
        <v>443059</v>
      </c>
      <c r="G2054" s="4">
        <v>3832241897</v>
      </c>
      <c r="H2054" s="6" t="e">
        <f t="shared" ca="1" si="41"/>
        <v>#VALUE!</v>
      </c>
      <c r="I2054" s="7" t="str">
        <f ca="1">IFERROR(__xludf.DUMMYFUNCTION("IMPORTXML(E2054,""/html/body/main/div[3]/div[3]/div[2]/ul/li[5]/span[2]/span"")"),"Loading...")</f>
        <v>Loading...</v>
      </c>
      <c r="J2054" s="7" t="str">
        <f ca="1">IFERROR(__xludf.DUMMYFUNCTION("GOOGLEFINANCE(""NSE:""&amp;D2054,""marketcap"")"),"#N/A")</f>
        <v>#N/A</v>
      </c>
      <c r="K2054" s="7">
        <v>992.8</v>
      </c>
      <c r="L2054" s="8" t="str">
        <f ca="1">IFERROR(__xludf.DUMMYFUNCTION("GOOGLEFINANCE(""NSE:""&amp;D2054,""price"")"),"#N/A")</f>
        <v>#N/A</v>
      </c>
      <c r="M2054" s="9" t="e">
        <f t="shared" ca="1" si="42"/>
        <v>#VALUE!</v>
      </c>
      <c r="N2054" s="10" t="e">
        <f t="shared" ca="1" si="43"/>
        <v>#VALUE!</v>
      </c>
      <c r="O2054" s="7" t="str">
        <f ca="1">IFERROR(__xludf.DUMMYFUNCTION("GOOGLEFINANCE(""NSE:""&amp;D2054,""pe"")"),"#N/A")</f>
        <v>#N/A</v>
      </c>
      <c r="P2054" s="7" t="str">
        <f ca="1">IFERROR(__xludf.DUMMYFUNCTION("GOOGLEFINANCE(""NSE:""&amp;D2054,""EPS"")"),"#N/A")</f>
        <v>#N/A</v>
      </c>
      <c r="Q2054" s="7">
        <v>13.5</v>
      </c>
      <c r="R2054" s="7" t="str">
        <f ca="1">IFERROR(__xludf.DUMMYFUNCTION("IMPORTXML(E2054,""/html/body/main/div[3]/div[3]/div[2]/ul/li[7]/span[2]/span"")"),"Loading...")</f>
        <v>Loading...</v>
      </c>
      <c r="S2054" s="7" t="str">
        <f ca="1">IFERROR(__xludf.DUMMYFUNCTION("IMPORTXML(E2054,""/html/body/main/div[3]/div[3]/div[2]/ul/li[8]/span[2]/span"")"),"Loading...")</f>
        <v>Loading...</v>
      </c>
      <c r="T2054" s="4">
        <v>34.6</v>
      </c>
      <c r="U2054" s="4">
        <v>22.7</v>
      </c>
      <c r="V2054" s="4">
        <v>2.6</v>
      </c>
      <c r="W2054" s="4">
        <v>5.7</v>
      </c>
      <c r="X2054" s="4">
        <v>519.92999999999995</v>
      </c>
      <c r="Y2054" s="7" t="e">
        <f t="shared" ca="1" si="44"/>
        <v>#VALUE!</v>
      </c>
    </row>
    <row r="2055" spans="1:25" ht="15" x14ac:dyDescent="0.25">
      <c r="A2055" s="4">
        <v>1833</v>
      </c>
      <c r="C2055" s="41" t="s">
        <v>4257</v>
      </c>
      <c r="D2055" s="42"/>
      <c r="E2055" s="5" t="str">
        <f t="shared" si="40"/>
        <v>https://www.screener.in/company//consolidated/</v>
      </c>
      <c r="F2055" s="4">
        <v>443059</v>
      </c>
      <c r="G2055" s="4">
        <v>3832241897</v>
      </c>
      <c r="H2055" s="6" t="e">
        <f t="shared" ca="1" si="41"/>
        <v>#VALUE!</v>
      </c>
      <c r="I2055" s="7" t="str">
        <f ca="1">IFERROR(__xludf.DUMMYFUNCTION("IMPORTXML(E2055,""/html/body/main/div[3]/div[3]/div[2]/ul/li[5]/span[2]/span"")"),"Loading...")</f>
        <v>Loading...</v>
      </c>
      <c r="J2055" s="7" t="str">
        <f ca="1">IFERROR(__xludf.DUMMYFUNCTION("GOOGLEFINANCE(""NSE:""&amp;D2055,""marketcap"")"),"#N/A")</f>
        <v>#N/A</v>
      </c>
      <c r="K2055" s="7">
        <v>992.8</v>
      </c>
      <c r="L2055" s="8" t="str">
        <f ca="1">IFERROR(__xludf.DUMMYFUNCTION("GOOGLEFINANCE(""NSE:""&amp;D2055,""price"")"),"#N/A")</f>
        <v>#N/A</v>
      </c>
      <c r="M2055" s="9" t="e">
        <f t="shared" ca="1" si="42"/>
        <v>#VALUE!</v>
      </c>
      <c r="N2055" s="10" t="e">
        <f t="shared" ca="1" si="43"/>
        <v>#VALUE!</v>
      </c>
      <c r="O2055" s="7" t="str">
        <f ca="1">IFERROR(__xludf.DUMMYFUNCTION("GOOGLEFINANCE(""NSE:""&amp;D2055,""pe"")"),"#N/A")</f>
        <v>#N/A</v>
      </c>
      <c r="P2055" s="7" t="str">
        <f ca="1">IFERROR(__xludf.DUMMYFUNCTION("GOOGLEFINANCE(""NSE:""&amp;D2055,""EPS"")"),"#N/A")</f>
        <v>#N/A</v>
      </c>
      <c r="Q2055" s="7">
        <v>13.5</v>
      </c>
      <c r="R2055" s="7" t="str">
        <f ca="1">IFERROR(__xludf.DUMMYFUNCTION("IMPORTXML(E2055,""/html/body/main/div[3]/div[3]/div[2]/ul/li[7]/span[2]/span"")"),"Loading...")</f>
        <v>Loading...</v>
      </c>
      <c r="S2055" s="7" t="str">
        <f ca="1">IFERROR(__xludf.DUMMYFUNCTION("IMPORTXML(E2055,""/html/body/main/div[3]/div[3]/div[2]/ul/li[8]/span[2]/span"")"),"Loading...")</f>
        <v>Loading...</v>
      </c>
      <c r="T2055" s="4">
        <v>34.6</v>
      </c>
      <c r="U2055" s="4">
        <v>22.7</v>
      </c>
      <c r="V2055" s="4">
        <v>2.6</v>
      </c>
      <c r="W2055" s="4">
        <v>5.7</v>
      </c>
      <c r="X2055" s="4">
        <v>519.92999999999995</v>
      </c>
      <c r="Y2055" s="7" t="e">
        <f t="shared" ca="1" si="44"/>
        <v>#VALUE!</v>
      </c>
    </row>
    <row r="2056" spans="1:25" ht="15" x14ac:dyDescent="0.25">
      <c r="A2056" s="4">
        <v>1834</v>
      </c>
      <c r="C2056" s="41" t="s">
        <v>4258</v>
      </c>
      <c r="D2056" s="42"/>
      <c r="E2056" s="5" t="str">
        <f t="shared" si="40"/>
        <v>https://www.screener.in/company//consolidated/</v>
      </c>
      <c r="F2056" s="4">
        <v>443059</v>
      </c>
      <c r="G2056" s="4">
        <v>3832241897</v>
      </c>
      <c r="H2056" s="6" t="e">
        <f t="shared" ca="1" si="41"/>
        <v>#VALUE!</v>
      </c>
      <c r="I2056" s="7" t="str">
        <f ca="1">IFERROR(__xludf.DUMMYFUNCTION("IMPORTXML(E2056,""/html/body/main/div[3]/div[3]/div[2]/ul/li[5]/span[2]/span"")"),"Loading...")</f>
        <v>Loading...</v>
      </c>
      <c r="J2056" s="7" t="str">
        <f ca="1">IFERROR(__xludf.DUMMYFUNCTION("GOOGLEFINANCE(""NSE:""&amp;D2056,""marketcap"")"),"#N/A")</f>
        <v>#N/A</v>
      </c>
      <c r="K2056" s="7">
        <v>992.8</v>
      </c>
      <c r="L2056" s="8" t="str">
        <f ca="1">IFERROR(__xludf.DUMMYFUNCTION("GOOGLEFINANCE(""NSE:""&amp;D2056,""price"")"),"#N/A")</f>
        <v>#N/A</v>
      </c>
      <c r="M2056" s="9" t="e">
        <f t="shared" ca="1" si="42"/>
        <v>#VALUE!</v>
      </c>
      <c r="N2056" s="10" t="e">
        <f t="shared" ca="1" si="43"/>
        <v>#VALUE!</v>
      </c>
      <c r="O2056" s="7" t="str">
        <f ca="1">IFERROR(__xludf.DUMMYFUNCTION("GOOGLEFINANCE(""NSE:""&amp;D2056,""pe"")"),"#N/A")</f>
        <v>#N/A</v>
      </c>
      <c r="P2056" s="7" t="str">
        <f ca="1">IFERROR(__xludf.DUMMYFUNCTION("GOOGLEFINANCE(""NSE:""&amp;D2056,""EPS"")"),"#N/A")</f>
        <v>#N/A</v>
      </c>
      <c r="Q2056" s="7">
        <v>13.5</v>
      </c>
      <c r="R2056" s="7" t="str">
        <f ca="1">IFERROR(__xludf.DUMMYFUNCTION("IMPORTXML(E2056,""/html/body/main/div[3]/div[3]/div[2]/ul/li[7]/span[2]/span"")"),"Loading...")</f>
        <v>Loading...</v>
      </c>
      <c r="S2056" s="7" t="str">
        <f ca="1">IFERROR(__xludf.DUMMYFUNCTION("IMPORTXML(E2056,""/html/body/main/div[3]/div[3]/div[2]/ul/li[8]/span[2]/span"")"),"Loading...")</f>
        <v>Loading...</v>
      </c>
      <c r="T2056" s="4">
        <v>34.6</v>
      </c>
      <c r="U2056" s="4">
        <v>22.7</v>
      </c>
      <c r="V2056" s="4">
        <v>2.6</v>
      </c>
      <c r="W2056" s="4">
        <v>5.7</v>
      </c>
      <c r="X2056" s="4">
        <v>519.92999999999995</v>
      </c>
      <c r="Y2056" s="7" t="e">
        <f t="shared" ca="1" si="44"/>
        <v>#VALUE!</v>
      </c>
    </row>
    <row r="2057" spans="1:25" ht="15" x14ac:dyDescent="0.25">
      <c r="A2057" s="4">
        <v>1835</v>
      </c>
      <c r="C2057" s="12" t="s">
        <v>4259</v>
      </c>
      <c r="D2057" s="12" t="s">
        <v>4260</v>
      </c>
      <c r="E2057" s="5" t="str">
        <f t="shared" si="40"/>
        <v>https://www.screener.in/company/RAMANEWS/consolidated/</v>
      </c>
      <c r="F2057" s="4">
        <v>443059</v>
      </c>
      <c r="G2057" s="4">
        <v>3832241897</v>
      </c>
      <c r="H2057" s="6">
        <f t="shared" ca="1" si="41"/>
        <v>11492.893449103</v>
      </c>
      <c r="I2057" s="7" t="str">
        <f ca="1">IFERROR(__xludf.DUMMYFUNCTION("IMPORTXML(E2057,""/html/body/main/div[3]/div[3]/div[2]/ul/li[5]/span[2]/span"")"),"Loading...")</f>
        <v>Loading...</v>
      </c>
      <c r="J2057" s="7">
        <f ca="1">IFERROR(__xludf.DUMMYFUNCTION("GOOGLEFINANCE(""NSE:""&amp;D2057,""marketcap"")"),4368127000)</f>
        <v>4368127000</v>
      </c>
      <c r="K2057" s="7">
        <v>992.8</v>
      </c>
      <c r="L2057" s="8">
        <f ca="1">IFERROR(__xludf.DUMMYFUNCTION("GOOGLEFINANCE(""NSE:""&amp;D2057,""price"")"),29.99)</f>
        <v>29.99</v>
      </c>
      <c r="M2057" s="9">
        <f t="shared" ca="1" si="42"/>
        <v>-962.81</v>
      </c>
      <c r="N2057" s="10">
        <f t="shared" ca="1" si="43"/>
        <v>-96.979250604351336</v>
      </c>
      <c r="O2057" s="7" t="str">
        <f ca="1">IFERROR(__xludf.DUMMYFUNCTION("GOOGLEFINANCE(""NSE:""&amp;D2057,""pe"")"),"#N/A")</f>
        <v>#N/A</v>
      </c>
      <c r="P2057" s="7">
        <f ca="1">IFERROR(__xludf.DUMMYFUNCTION("GOOGLEFINANCE(""NSE:""&amp;D2057,""EPS"")"),-7.23)</f>
        <v>-7.23</v>
      </c>
      <c r="Q2057" s="7">
        <v>13.5</v>
      </c>
      <c r="R2057" s="7" t="str">
        <f ca="1">IFERROR(__xludf.DUMMYFUNCTION("IMPORTXML(E2057,""/html/body/main/div[3]/div[3]/div[2]/ul/li[7]/span[2]/span"")"),"Loading...")</f>
        <v>Loading...</v>
      </c>
      <c r="S2057" s="7" t="str">
        <f ca="1">IFERROR(__xludf.DUMMYFUNCTION("IMPORTXML(E2057,""/html/body/main/div[3]/div[3]/div[2]/ul/li[8]/span[2]/span"")"),"Loading...")</f>
        <v>Loading...</v>
      </c>
      <c r="T2057" s="4">
        <v>34.6</v>
      </c>
      <c r="U2057" s="4">
        <v>22.7</v>
      </c>
      <c r="V2057" s="4">
        <v>2.6</v>
      </c>
      <c r="W2057" s="4">
        <v>5.7</v>
      </c>
      <c r="X2057" s="4">
        <v>519.92999999999995</v>
      </c>
      <c r="Y2057" s="7">
        <f t="shared" ca="1" si="44"/>
        <v>-489.93999999999994</v>
      </c>
    </row>
    <row r="2058" spans="1:25" ht="15" x14ac:dyDescent="0.25">
      <c r="A2058" s="4">
        <v>1836</v>
      </c>
      <c r="C2058" s="12" t="s">
        <v>4261</v>
      </c>
      <c r="D2058" s="12" t="s">
        <v>4262</v>
      </c>
      <c r="E2058" s="5" t="str">
        <f t="shared" si="40"/>
        <v>https://www.screener.in/company/PPAP/consolidated/</v>
      </c>
      <c r="F2058" s="4">
        <v>443059</v>
      </c>
      <c r="G2058" s="4">
        <v>3832241897</v>
      </c>
      <c r="H2058" s="6">
        <f t="shared" ca="1" si="41"/>
        <v>83734.485449450003</v>
      </c>
      <c r="I2058" s="7" t="str">
        <f ca="1">IFERROR(__xludf.DUMMYFUNCTION("IMPORTXML(E2058,""/html/body/main/div[3]/div[3]/div[2]/ul/li[5]/span[2]/span"")"),"Loading...")</f>
        <v>Loading...</v>
      </c>
      <c r="J2058" s="7">
        <f ca="1">IFERROR(__xludf.DUMMYFUNCTION("GOOGLEFINANCE(""NSE:""&amp;D2058,""marketcap"")"),3135239000)</f>
        <v>3135239000</v>
      </c>
      <c r="K2058" s="7">
        <v>992.8</v>
      </c>
      <c r="L2058" s="8">
        <f ca="1">IFERROR(__xludf.DUMMYFUNCTION("GOOGLEFINANCE(""NSE:""&amp;D2058,""price"")"),218.5)</f>
        <v>218.5</v>
      </c>
      <c r="M2058" s="9">
        <f t="shared" ca="1" si="42"/>
        <v>-774.3</v>
      </c>
      <c r="N2058" s="10">
        <f t="shared" ca="1" si="43"/>
        <v>-77.99153908138598</v>
      </c>
      <c r="O2058" s="7">
        <f ca="1">IFERROR(__xludf.DUMMYFUNCTION("GOOGLEFINANCE(""NSE:""&amp;D2058,""pe"")"),66.82)</f>
        <v>66.819999999999993</v>
      </c>
      <c r="P2058" s="7">
        <f ca="1">IFERROR(__xludf.DUMMYFUNCTION("GOOGLEFINANCE(""NSE:""&amp;D2058,""EPS"")"),3.27)</f>
        <v>3.27</v>
      </c>
      <c r="Q2058" s="7">
        <v>13.5</v>
      </c>
      <c r="R2058" s="7" t="str">
        <f ca="1">IFERROR(__xludf.DUMMYFUNCTION("IMPORTXML(E2058,""/html/body/main/div[3]/div[3]/div[2]/ul/li[7]/span[2]/span"")"),"Loading...")</f>
        <v>Loading...</v>
      </c>
      <c r="S2058" s="7" t="str">
        <f ca="1">IFERROR(__xludf.DUMMYFUNCTION("IMPORTXML(E2058,""/html/body/main/div[3]/div[3]/div[2]/ul/li[8]/span[2]/span"")"),"Loading...")</f>
        <v>Loading...</v>
      </c>
      <c r="T2058" s="4">
        <v>34.6</v>
      </c>
      <c r="U2058" s="4">
        <v>22.7</v>
      </c>
      <c r="V2058" s="4">
        <v>2.6</v>
      </c>
      <c r="W2058" s="4">
        <v>5.7</v>
      </c>
      <c r="X2058" s="4">
        <v>519.92999999999995</v>
      </c>
      <c r="Y2058" s="7">
        <f t="shared" ca="1" si="44"/>
        <v>-301.42999999999995</v>
      </c>
    </row>
    <row r="2059" spans="1:25" ht="15" x14ac:dyDescent="0.25">
      <c r="A2059" s="4">
        <v>1837</v>
      </c>
      <c r="C2059" s="41" t="s">
        <v>4263</v>
      </c>
      <c r="D2059" s="42"/>
      <c r="E2059" s="5" t="str">
        <f t="shared" si="40"/>
        <v>https://www.screener.in/company//consolidated/</v>
      </c>
      <c r="F2059" s="4">
        <v>443059</v>
      </c>
      <c r="G2059" s="4">
        <v>3832241897</v>
      </c>
      <c r="H2059" s="6" t="e">
        <f t="shared" ca="1" si="41"/>
        <v>#VALUE!</v>
      </c>
      <c r="I2059" s="7" t="str">
        <f ca="1">IFERROR(__xludf.DUMMYFUNCTION("IMPORTXML(E2059,""/html/body/main/div[3]/div[3]/div[2]/ul/li[5]/span[2]/span"")"),"Loading...")</f>
        <v>Loading...</v>
      </c>
      <c r="J2059" s="7" t="str">
        <f ca="1">IFERROR(__xludf.DUMMYFUNCTION("GOOGLEFINANCE(""NSE:""&amp;D2059,""marketcap"")"),"#N/A")</f>
        <v>#N/A</v>
      </c>
      <c r="K2059" s="7">
        <v>992.8</v>
      </c>
      <c r="L2059" s="8" t="str">
        <f ca="1">IFERROR(__xludf.DUMMYFUNCTION("GOOGLEFINANCE(""NSE:""&amp;D2059,""price"")"),"#N/A")</f>
        <v>#N/A</v>
      </c>
      <c r="M2059" s="9" t="e">
        <f t="shared" ca="1" si="42"/>
        <v>#VALUE!</v>
      </c>
      <c r="N2059" s="10" t="e">
        <f t="shared" ca="1" si="43"/>
        <v>#VALUE!</v>
      </c>
      <c r="O2059" s="7" t="str">
        <f ca="1">IFERROR(__xludf.DUMMYFUNCTION("GOOGLEFINANCE(""NSE:""&amp;D2059,""pe"")"),"#N/A")</f>
        <v>#N/A</v>
      </c>
      <c r="P2059" s="7" t="str">
        <f ca="1">IFERROR(__xludf.DUMMYFUNCTION("GOOGLEFINANCE(""NSE:""&amp;D2059,""EPS"")"),"#N/A")</f>
        <v>#N/A</v>
      </c>
      <c r="Q2059" s="7">
        <v>13.5</v>
      </c>
      <c r="R2059" s="7" t="str">
        <f ca="1">IFERROR(__xludf.DUMMYFUNCTION("IMPORTXML(E2059,""/html/body/main/div[3]/div[3]/div[2]/ul/li[7]/span[2]/span"")"),"Loading...")</f>
        <v>Loading...</v>
      </c>
      <c r="S2059" s="7" t="str">
        <f ca="1">IFERROR(__xludf.DUMMYFUNCTION("IMPORTXML(E2059,""/html/body/main/div[3]/div[3]/div[2]/ul/li[8]/span[2]/span"")"),"Loading...")</f>
        <v>Loading...</v>
      </c>
      <c r="T2059" s="4">
        <v>34.6</v>
      </c>
      <c r="U2059" s="4">
        <v>22.7</v>
      </c>
      <c r="V2059" s="4">
        <v>2.6</v>
      </c>
      <c r="W2059" s="4">
        <v>5.7</v>
      </c>
      <c r="X2059" s="4">
        <v>519.92999999999995</v>
      </c>
      <c r="Y2059" s="7" t="e">
        <f t="shared" ca="1" si="44"/>
        <v>#VALUE!</v>
      </c>
    </row>
    <row r="2060" spans="1:25" ht="15" x14ac:dyDescent="0.25">
      <c r="A2060" s="4">
        <v>1839</v>
      </c>
      <c r="C2060" s="41" t="s">
        <v>4264</v>
      </c>
      <c r="D2060" s="42"/>
      <c r="E2060" s="5" t="str">
        <f t="shared" si="40"/>
        <v>https://www.screener.in/company//consolidated/</v>
      </c>
      <c r="F2060" s="4">
        <v>443059</v>
      </c>
      <c r="G2060" s="4">
        <v>3832241897</v>
      </c>
      <c r="H2060" s="6" t="e">
        <f t="shared" ca="1" si="41"/>
        <v>#VALUE!</v>
      </c>
      <c r="I2060" s="7" t="str">
        <f ca="1">IFERROR(__xludf.DUMMYFUNCTION("IMPORTXML(E2060,""/html/body/main/div[3]/div[3]/div[2]/ul/li[5]/span[2]/span"")"),"Loading...")</f>
        <v>Loading...</v>
      </c>
      <c r="J2060" s="7" t="str">
        <f ca="1">IFERROR(__xludf.DUMMYFUNCTION("GOOGLEFINANCE(""NSE:""&amp;D2060,""marketcap"")"),"#N/A")</f>
        <v>#N/A</v>
      </c>
      <c r="K2060" s="7">
        <v>992.8</v>
      </c>
      <c r="L2060" s="8" t="str">
        <f ca="1">IFERROR(__xludf.DUMMYFUNCTION("GOOGLEFINANCE(""NSE:""&amp;D2060,""price"")"),"#N/A")</f>
        <v>#N/A</v>
      </c>
      <c r="M2060" s="9" t="e">
        <f t="shared" ca="1" si="42"/>
        <v>#VALUE!</v>
      </c>
      <c r="N2060" s="10" t="e">
        <f t="shared" ca="1" si="43"/>
        <v>#VALUE!</v>
      </c>
      <c r="O2060" s="7" t="str">
        <f ca="1">IFERROR(__xludf.DUMMYFUNCTION("GOOGLEFINANCE(""NSE:""&amp;D2060,""pe"")"),"#N/A")</f>
        <v>#N/A</v>
      </c>
      <c r="P2060" s="7" t="str">
        <f ca="1">IFERROR(__xludf.DUMMYFUNCTION("GOOGLEFINANCE(""NSE:""&amp;D2060,""EPS"")"),"#N/A")</f>
        <v>#N/A</v>
      </c>
      <c r="Q2060" s="7">
        <v>13.5</v>
      </c>
      <c r="R2060" s="7" t="str">
        <f ca="1">IFERROR(__xludf.DUMMYFUNCTION("IMPORTXML(E2060,""/html/body/main/div[3]/div[3]/div[2]/ul/li[7]/span[2]/span"")"),"Loading...")</f>
        <v>Loading...</v>
      </c>
      <c r="S2060" s="7" t="str">
        <f ca="1">IFERROR(__xludf.DUMMYFUNCTION("IMPORTXML(E2060,""/html/body/main/div[3]/div[3]/div[2]/ul/li[8]/span[2]/span"")"),"Loading...")</f>
        <v>Loading...</v>
      </c>
      <c r="T2060" s="4">
        <v>34.6</v>
      </c>
      <c r="U2060" s="4">
        <v>22.7</v>
      </c>
      <c r="V2060" s="4">
        <v>2.6</v>
      </c>
      <c r="W2060" s="4">
        <v>5.7</v>
      </c>
      <c r="X2060" s="4">
        <v>519.92999999999995</v>
      </c>
      <c r="Y2060" s="7" t="e">
        <f t="shared" ca="1" si="44"/>
        <v>#VALUE!</v>
      </c>
    </row>
    <row r="2061" spans="1:25" ht="15" x14ac:dyDescent="0.25">
      <c r="A2061" s="4">
        <v>1841</v>
      </c>
      <c r="C2061" s="41" t="s">
        <v>4265</v>
      </c>
      <c r="D2061" s="42"/>
      <c r="E2061" s="5" t="str">
        <f t="shared" si="40"/>
        <v>https://www.screener.in/company//consolidated/</v>
      </c>
      <c r="F2061" s="4">
        <v>443059</v>
      </c>
      <c r="G2061" s="4">
        <v>3832241897</v>
      </c>
      <c r="H2061" s="6" t="e">
        <f t="shared" ca="1" si="41"/>
        <v>#VALUE!</v>
      </c>
      <c r="I2061" s="7" t="str">
        <f ca="1">IFERROR(__xludf.DUMMYFUNCTION("IMPORTXML(E2061,""/html/body/main/div[3]/div[3]/div[2]/ul/li[5]/span[2]/span"")"),"Loading...")</f>
        <v>Loading...</v>
      </c>
      <c r="J2061" s="7" t="str">
        <f ca="1">IFERROR(__xludf.DUMMYFUNCTION("GOOGLEFINANCE(""NSE:""&amp;D2061,""marketcap"")"),"#N/A")</f>
        <v>#N/A</v>
      </c>
      <c r="K2061" s="7">
        <v>992.8</v>
      </c>
      <c r="L2061" s="8" t="str">
        <f ca="1">IFERROR(__xludf.DUMMYFUNCTION("GOOGLEFINANCE(""NSE:""&amp;D2061,""price"")"),"#N/A")</f>
        <v>#N/A</v>
      </c>
      <c r="M2061" s="9" t="e">
        <f t="shared" ca="1" si="42"/>
        <v>#VALUE!</v>
      </c>
      <c r="N2061" s="10" t="e">
        <f t="shared" ca="1" si="43"/>
        <v>#VALUE!</v>
      </c>
      <c r="O2061" s="7" t="str">
        <f ca="1">IFERROR(__xludf.DUMMYFUNCTION("GOOGLEFINANCE(""NSE:""&amp;D2061,""pe"")"),"#N/A")</f>
        <v>#N/A</v>
      </c>
      <c r="P2061" s="7" t="str">
        <f ca="1">IFERROR(__xludf.DUMMYFUNCTION("GOOGLEFINANCE(""NSE:""&amp;D2061,""EPS"")"),"#N/A")</f>
        <v>#N/A</v>
      </c>
      <c r="Q2061" s="7">
        <v>13.5</v>
      </c>
      <c r="R2061" s="7" t="str">
        <f ca="1">IFERROR(__xludf.DUMMYFUNCTION("IMPORTXML(E2061,""/html/body/main/div[3]/div[3]/div[2]/ul/li[7]/span[2]/span"")"),"Loading...")</f>
        <v>Loading...</v>
      </c>
      <c r="S2061" s="7" t="str">
        <f ca="1">IFERROR(__xludf.DUMMYFUNCTION("IMPORTXML(E2061,""/html/body/main/div[3]/div[3]/div[2]/ul/li[8]/span[2]/span"")"),"Loading...")</f>
        <v>Loading...</v>
      </c>
      <c r="T2061" s="4">
        <v>34.6</v>
      </c>
      <c r="U2061" s="4">
        <v>22.7</v>
      </c>
      <c r="V2061" s="4">
        <v>2.6</v>
      </c>
      <c r="W2061" s="4">
        <v>5.7</v>
      </c>
      <c r="X2061" s="4">
        <v>519.92999999999995</v>
      </c>
      <c r="Y2061" s="7" t="e">
        <f t="shared" ca="1" si="44"/>
        <v>#VALUE!</v>
      </c>
    </row>
    <row r="2062" spans="1:25" ht="15" x14ac:dyDescent="0.25">
      <c r="A2062" s="4">
        <v>1842</v>
      </c>
      <c r="C2062" s="41" t="s">
        <v>4266</v>
      </c>
      <c r="D2062" s="42"/>
      <c r="E2062" s="5" t="str">
        <f t="shared" si="40"/>
        <v>https://www.screener.in/company//consolidated/</v>
      </c>
      <c r="F2062" s="4">
        <v>443059</v>
      </c>
      <c r="G2062" s="4">
        <v>3832241897</v>
      </c>
      <c r="H2062" s="6" t="e">
        <f t="shared" ca="1" si="41"/>
        <v>#VALUE!</v>
      </c>
      <c r="I2062" s="7" t="str">
        <f ca="1">IFERROR(__xludf.DUMMYFUNCTION("IMPORTXML(E2062,""/html/body/main/div[3]/div[3]/div[2]/ul/li[5]/span[2]/span"")"),"Loading...")</f>
        <v>Loading...</v>
      </c>
      <c r="J2062" s="7" t="str">
        <f ca="1">IFERROR(__xludf.DUMMYFUNCTION("GOOGLEFINANCE(""NSE:""&amp;D2062,""marketcap"")"),"#N/A")</f>
        <v>#N/A</v>
      </c>
      <c r="K2062" s="7">
        <v>992.8</v>
      </c>
      <c r="L2062" s="8" t="str">
        <f ca="1">IFERROR(__xludf.DUMMYFUNCTION("GOOGLEFINANCE(""NSE:""&amp;D2062,""price"")"),"#N/A")</f>
        <v>#N/A</v>
      </c>
      <c r="M2062" s="9" t="e">
        <f t="shared" ca="1" si="42"/>
        <v>#VALUE!</v>
      </c>
      <c r="N2062" s="10" t="e">
        <f t="shared" ca="1" si="43"/>
        <v>#VALUE!</v>
      </c>
      <c r="O2062" s="7" t="str">
        <f ca="1">IFERROR(__xludf.DUMMYFUNCTION("GOOGLEFINANCE(""NSE:""&amp;D2062,""pe"")"),"#N/A")</f>
        <v>#N/A</v>
      </c>
      <c r="P2062" s="7" t="str">
        <f ca="1">IFERROR(__xludf.DUMMYFUNCTION("GOOGLEFINANCE(""NSE:""&amp;D2062,""EPS"")"),"#N/A")</f>
        <v>#N/A</v>
      </c>
      <c r="Q2062" s="7">
        <v>13.5</v>
      </c>
      <c r="R2062" s="7" t="str">
        <f ca="1">IFERROR(__xludf.DUMMYFUNCTION("IMPORTXML(E2062,""/html/body/main/div[3]/div[3]/div[2]/ul/li[7]/span[2]/span"")"),"Loading...")</f>
        <v>Loading...</v>
      </c>
      <c r="S2062" s="7" t="str">
        <f ca="1">IFERROR(__xludf.DUMMYFUNCTION("IMPORTXML(E2062,""/html/body/main/div[3]/div[3]/div[2]/ul/li[8]/span[2]/span"")"),"Loading...")</f>
        <v>Loading...</v>
      </c>
      <c r="T2062" s="4">
        <v>34.6</v>
      </c>
      <c r="U2062" s="4">
        <v>22.7</v>
      </c>
      <c r="V2062" s="4">
        <v>2.6</v>
      </c>
      <c r="W2062" s="4">
        <v>5.7</v>
      </c>
      <c r="X2062" s="4">
        <v>519.92999999999995</v>
      </c>
      <c r="Y2062" s="7" t="e">
        <f t="shared" ca="1" si="44"/>
        <v>#VALUE!</v>
      </c>
    </row>
    <row r="2063" spans="1:25" ht="15" x14ac:dyDescent="0.25">
      <c r="A2063" s="4">
        <v>1843</v>
      </c>
      <c r="C2063" s="41" t="s">
        <v>4267</v>
      </c>
      <c r="D2063" s="42"/>
      <c r="E2063" s="5" t="str">
        <f t="shared" si="40"/>
        <v>https://www.screener.in/company//consolidated/</v>
      </c>
      <c r="F2063" s="4">
        <v>443059</v>
      </c>
      <c r="G2063" s="4">
        <v>3832241897</v>
      </c>
      <c r="H2063" s="6" t="e">
        <f t="shared" ca="1" si="41"/>
        <v>#VALUE!</v>
      </c>
      <c r="I2063" s="7" t="str">
        <f ca="1">IFERROR(__xludf.DUMMYFUNCTION("IMPORTXML(E2063,""/html/body/main/div[3]/div[3]/div[2]/ul/li[5]/span[2]/span"")"),"Loading...")</f>
        <v>Loading...</v>
      </c>
      <c r="J2063" s="7" t="str">
        <f ca="1">IFERROR(__xludf.DUMMYFUNCTION("GOOGLEFINANCE(""NSE:""&amp;D2063,""marketcap"")"),"#N/A")</f>
        <v>#N/A</v>
      </c>
      <c r="K2063" s="7">
        <v>992.8</v>
      </c>
      <c r="L2063" s="8" t="str">
        <f ca="1">IFERROR(__xludf.DUMMYFUNCTION("GOOGLEFINANCE(""NSE:""&amp;D2063,""price"")"),"#N/A")</f>
        <v>#N/A</v>
      </c>
      <c r="M2063" s="9" t="e">
        <f t="shared" ca="1" si="42"/>
        <v>#VALUE!</v>
      </c>
      <c r="N2063" s="10" t="e">
        <f t="shared" ca="1" si="43"/>
        <v>#VALUE!</v>
      </c>
      <c r="O2063" s="7" t="str">
        <f ca="1">IFERROR(__xludf.DUMMYFUNCTION("GOOGLEFINANCE(""NSE:""&amp;D2063,""pe"")"),"#N/A")</f>
        <v>#N/A</v>
      </c>
      <c r="P2063" s="7" t="str">
        <f ca="1">IFERROR(__xludf.DUMMYFUNCTION("GOOGLEFINANCE(""NSE:""&amp;D2063,""EPS"")"),"#N/A")</f>
        <v>#N/A</v>
      </c>
      <c r="Q2063" s="7">
        <v>13.5</v>
      </c>
      <c r="R2063" s="7" t="str">
        <f ca="1">IFERROR(__xludf.DUMMYFUNCTION("IMPORTXML(E2063,""/html/body/main/div[3]/div[3]/div[2]/ul/li[7]/span[2]/span"")"),"Loading...")</f>
        <v>Loading...</v>
      </c>
      <c r="S2063" s="7" t="str">
        <f ca="1">IFERROR(__xludf.DUMMYFUNCTION("IMPORTXML(E2063,""/html/body/main/div[3]/div[3]/div[2]/ul/li[8]/span[2]/span"")"),"Loading...")</f>
        <v>Loading...</v>
      </c>
      <c r="T2063" s="4">
        <v>34.6</v>
      </c>
      <c r="U2063" s="4">
        <v>22.7</v>
      </c>
      <c r="V2063" s="4">
        <v>2.6</v>
      </c>
      <c r="W2063" s="4">
        <v>5.7</v>
      </c>
      <c r="X2063" s="4">
        <v>519.92999999999995</v>
      </c>
      <c r="Y2063" s="7" t="e">
        <f t="shared" ca="1" si="44"/>
        <v>#VALUE!</v>
      </c>
    </row>
    <row r="2064" spans="1:25" ht="15" x14ac:dyDescent="0.25">
      <c r="A2064" s="4">
        <v>1845</v>
      </c>
      <c r="C2064" s="12" t="s">
        <v>4268</v>
      </c>
      <c r="D2064" s="37"/>
      <c r="E2064" s="5" t="str">
        <f t="shared" si="40"/>
        <v>https://www.screener.in/company//consolidated/</v>
      </c>
      <c r="F2064" s="4">
        <v>443059</v>
      </c>
      <c r="G2064" s="4">
        <v>3832241897</v>
      </c>
      <c r="H2064" s="6" t="e">
        <f t="shared" ca="1" si="41"/>
        <v>#VALUE!</v>
      </c>
      <c r="I2064" s="7" t="str">
        <f ca="1">IFERROR(__xludf.DUMMYFUNCTION("IMPORTXML(E2064,""/html/body/main/div[3]/div[3]/div[2]/ul/li[5]/span[2]/span"")"),"Loading...")</f>
        <v>Loading...</v>
      </c>
      <c r="J2064" s="7" t="str">
        <f ca="1">IFERROR(__xludf.DUMMYFUNCTION("GOOGLEFINANCE(""NSE:""&amp;D2064,""marketcap"")"),"#N/A")</f>
        <v>#N/A</v>
      </c>
      <c r="K2064" s="7">
        <v>992.8</v>
      </c>
      <c r="L2064" s="8" t="str">
        <f ca="1">IFERROR(__xludf.DUMMYFUNCTION("GOOGLEFINANCE(""NSE:""&amp;D2064,""price"")"),"#N/A")</f>
        <v>#N/A</v>
      </c>
      <c r="M2064" s="9" t="e">
        <f t="shared" ca="1" si="42"/>
        <v>#VALUE!</v>
      </c>
      <c r="N2064" s="10" t="e">
        <f t="shared" ca="1" si="43"/>
        <v>#VALUE!</v>
      </c>
      <c r="O2064" s="7" t="str">
        <f ca="1">IFERROR(__xludf.DUMMYFUNCTION("GOOGLEFINANCE(""NSE:""&amp;D2064,""pe"")"),"#N/A")</f>
        <v>#N/A</v>
      </c>
      <c r="P2064" s="7" t="str">
        <f ca="1">IFERROR(__xludf.DUMMYFUNCTION("GOOGLEFINANCE(""NSE:""&amp;D2064,""EPS"")"),"#N/A")</f>
        <v>#N/A</v>
      </c>
      <c r="Q2064" s="7">
        <v>13.5</v>
      </c>
      <c r="R2064" s="7" t="str">
        <f ca="1">IFERROR(__xludf.DUMMYFUNCTION("IMPORTXML(E2064,""/html/body/main/div[3]/div[3]/div[2]/ul/li[7]/span[2]/span"")"),"Loading...")</f>
        <v>Loading...</v>
      </c>
      <c r="S2064" s="7" t="str">
        <f ca="1">IFERROR(__xludf.DUMMYFUNCTION("IMPORTXML(E2064,""/html/body/main/div[3]/div[3]/div[2]/ul/li[8]/span[2]/span"")"),"Loading...")</f>
        <v>Loading...</v>
      </c>
      <c r="T2064" s="4">
        <v>34.6</v>
      </c>
      <c r="U2064" s="4">
        <v>22.7</v>
      </c>
      <c r="V2064" s="4">
        <v>2.6</v>
      </c>
      <c r="W2064" s="4">
        <v>5.7</v>
      </c>
      <c r="X2064" s="4">
        <v>519.92999999999995</v>
      </c>
      <c r="Y2064" s="7" t="e">
        <f t="shared" ca="1" si="44"/>
        <v>#VALUE!</v>
      </c>
    </row>
    <row r="2065" spans="1:25" ht="15" x14ac:dyDescent="0.25">
      <c r="A2065" s="4">
        <v>1847</v>
      </c>
      <c r="C2065" s="41" t="s">
        <v>4269</v>
      </c>
      <c r="D2065" s="42"/>
      <c r="E2065" s="5" t="str">
        <f t="shared" si="40"/>
        <v>https://www.screener.in/company//consolidated/</v>
      </c>
      <c r="F2065" s="4">
        <v>443059</v>
      </c>
      <c r="G2065" s="4">
        <v>3832241897</v>
      </c>
      <c r="H2065" s="6" t="e">
        <f t="shared" ca="1" si="41"/>
        <v>#VALUE!</v>
      </c>
      <c r="I2065" s="7" t="str">
        <f ca="1">IFERROR(__xludf.DUMMYFUNCTION("IMPORTXML(E2065,""/html/body/main/div[3]/div[3]/div[2]/ul/li[5]/span[2]/span"")"),"Loading...")</f>
        <v>Loading...</v>
      </c>
      <c r="J2065" s="7" t="str">
        <f ca="1">IFERROR(__xludf.DUMMYFUNCTION("GOOGLEFINANCE(""NSE:""&amp;D2065,""marketcap"")"),"#N/A")</f>
        <v>#N/A</v>
      </c>
      <c r="K2065" s="7">
        <v>992.8</v>
      </c>
      <c r="L2065" s="8" t="str">
        <f ca="1">IFERROR(__xludf.DUMMYFUNCTION("GOOGLEFINANCE(""NSE:""&amp;D2065,""price"")"),"#N/A")</f>
        <v>#N/A</v>
      </c>
      <c r="M2065" s="9" t="e">
        <f t="shared" ca="1" si="42"/>
        <v>#VALUE!</v>
      </c>
      <c r="N2065" s="10" t="e">
        <f t="shared" ca="1" si="43"/>
        <v>#VALUE!</v>
      </c>
      <c r="O2065" s="7" t="str">
        <f ca="1">IFERROR(__xludf.DUMMYFUNCTION("GOOGLEFINANCE(""NSE:""&amp;D2065,""pe"")"),"#N/A")</f>
        <v>#N/A</v>
      </c>
      <c r="P2065" s="7" t="str">
        <f ca="1">IFERROR(__xludf.DUMMYFUNCTION("GOOGLEFINANCE(""NSE:""&amp;D2065,""EPS"")"),"#N/A")</f>
        <v>#N/A</v>
      </c>
      <c r="Q2065" s="7">
        <v>13.5</v>
      </c>
      <c r="R2065" s="7" t="str">
        <f ca="1">IFERROR(__xludf.DUMMYFUNCTION("IMPORTXML(E2065,""/html/body/main/div[3]/div[3]/div[2]/ul/li[7]/span[2]/span"")"),"Loading...")</f>
        <v>Loading...</v>
      </c>
      <c r="S2065" s="7" t="str">
        <f ca="1">IFERROR(__xludf.DUMMYFUNCTION("IMPORTXML(E2065,""/html/body/main/div[3]/div[3]/div[2]/ul/li[8]/span[2]/span"")"),"Loading...")</f>
        <v>Loading...</v>
      </c>
      <c r="T2065" s="4">
        <v>34.6</v>
      </c>
      <c r="U2065" s="4">
        <v>22.7</v>
      </c>
      <c r="V2065" s="4">
        <v>2.6</v>
      </c>
      <c r="W2065" s="4">
        <v>5.7</v>
      </c>
      <c r="X2065" s="4">
        <v>519.92999999999995</v>
      </c>
      <c r="Y2065" s="7" t="e">
        <f t="shared" ca="1" si="44"/>
        <v>#VALUE!</v>
      </c>
    </row>
    <row r="2066" spans="1:25" ht="15" x14ac:dyDescent="0.25">
      <c r="A2066" s="4">
        <v>1848</v>
      </c>
      <c r="C2066" s="41" t="s">
        <v>4270</v>
      </c>
      <c r="D2066" s="42"/>
      <c r="E2066" s="5" t="str">
        <f t="shared" si="40"/>
        <v>https://www.screener.in/company//consolidated/</v>
      </c>
      <c r="F2066" s="4">
        <v>443059</v>
      </c>
      <c r="G2066" s="4">
        <v>3832241897</v>
      </c>
      <c r="H2066" s="6" t="e">
        <f t="shared" ca="1" si="41"/>
        <v>#VALUE!</v>
      </c>
      <c r="I2066" s="7" t="str">
        <f ca="1">IFERROR(__xludf.DUMMYFUNCTION("IMPORTXML(E2066,""/html/body/main/div[3]/div[3]/div[2]/ul/li[5]/span[2]/span"")"),"Loading...")</f>
        <v>Loading...</v>
      </c>
      <c r="J2066" s="7" t="str">
        <f ca="1">IFERROR(__xludf.DUMMYFUNCTION("GOOGLEFINANCE(""NSE:""&amp;D2066,""marketcap"")"),"#N/A")</f>
        <v>#N/A</v>
      </c>
      <c r="K2066" s="7">
        <v>992.8</v>
      </c>
      <c r="L2066" s="8" t="str">
        <f ca="1">IFERROR(__xludf.DUMMYFUNCTION("GOOGLEFINANCE(""NSE:""&amp;D2066,""price"")"),"#N/A")</f>
        <v>#N/A</v>
      </c>
      <c r="M2066" s="9" t="e">
        <f t="shared" ca="1" si="42"/>
        <v>#VALUE!</v>
      </c>
      <c r="N2066" s="10" t="e">
        <f t="shared" ca="1" si="43"/>
        <v>#VALUE!</v>
      </c>
      <c r="O2066" s="7" t="str">
        <f ca="1">IFERROR(__xludf.DUMMYFUNCTION("GOOGLEFINANCE(""NSE:""&amp;D2066,""pe"")"),"#N/A")</f>
        <v>#N/A</v>
      </c>
      <c r="P2066" s="7" t="str">
        <f ca="1">IFERROR(__xludf.DUMMYFUNCTION("GOOGLEFINANCE(""NSE:""&amp;D2066,""EPS"")"),"#N/A")</f>
        <v>#N/A</v>
      </c>
      <c r="Q2066" s="7">
        <v>13.5</v>
      </c>
      <c r="R2066" s="7" t="str">
        <f ca="1">IFERROR(__xludf.DUMMYFUNCTION("IMPORTXML(E2066,""/html/body/main/div[3]/div[3]/div[2]/ul/li[7]/span[2]/span"")"),"Loading...")</f>
        <v>Loading...</v>
      </c>
      <c r="S2066" s="7" t="str">
        <f ca="1">IFERROR(__xludf.DUMMYFUNCTION("IMPORTXML(E2066,""/html/body/main/div[3]/div[3]/div[2]/ul/li[8]/span[2]/span"")"),"Loading...")</f>
        <v>Loading...</v>
      </c>
      <c r="T2066" s="4">
        <v>34.6</v>
      </c>
      <c r="U2066" s="4">
        <v>22.7</v>
      </c>
      <c r="V2066" s="4">
        <v>2.6</v>
      </c>
      <c r="W2066" s="4">
        <v>5.7</v>
      </c>
      <c r="X2066" s="4">
        <v>519.92999999999995</v>
      </c>
      <c r="Y2066" s="7" t="e">
        <f t="shared" ca="1" si="44"/>
        <v>#VALUE!</v>
      </c>
    </row>
    <row r="2067" spans="1:25" ht="15" x14ac:dyDescent="0.25">
      <c r="A2067" s="4">
        <v>1849</v>
      </c>
      <c r="C2067" s="41" t="s">
        <v>4271</v>
      </c>
      <c r="D2067" s="42"/>
      <c r="E2067" s="5" t="str">
        <f t="shared" si="40"/>
        <v>https://www.screener.in/company//consolidated/</v>
      </c>
      <c r="F2067" s="4">
        <v>443059</v>
      </c>
      <c r="G2067" s="4">
        <v>3832241897</v>
      </c>
      <c r="H2067" s="6" t="e">
        <f t="shared" ca="1" si="41"/>
        <v>#VALUE!</v>
      </c>
      <c r="I2067" s="7" t="str">
        <f ca="1">IFERROR(__xludf.DUMMYFUNCTION("IMPORTXML(E2067,""/html/body/main/div[3]/div[3]/div[2]/ul/li[5]/span[2]/span"")"),"Loading...")</f>
        <v>Loading...</v>
      </c>
      <c r="J2067" s="7" t="str">
        <f ca="1">IFERROR(__xludf.DUMMYFUNCTION("GOOGLEFINANCE(""NSE:""&amp;D2067,""marketcap"")"),"#N/A")</f>
        <v>#N/A</v>
      </c>
      <c r="K2067" s="7">
        <v>992.8</v>
      </c>
      <c r="L2067" s="8" t="str">
        <f ca="1">IFERROR(__xludf.DUMMYFUNCTION("GOOGLEFINANCE(""NSE:""&amp;D2067,""price"")"),"#N/A")</f>
        <v>#N/A</v>
      </c>
      <c r="M2067" s="9" t="e">
        <f t="shared" ca="1" si="42"/>
        <v>#VALUE!</v>
      </c>
      <c r="N2067" s="10" t="e">
        <f t="shared" ca="1" si="43"/>
        <v>#VALUE!</v>
      </c>
      <c r="O2067" s="7" t="str">
        <f ca="1">IFERROR(__xludf.DUMMYFUNCTION("GOOGLEFINANCE(""NSE:""&amp;D2067,""pe"")"),"#N/A")</f>
        <v>#N/A</v>
      </c>
      <c r="P2067" s="7" t="str">
        <f ca="1">IFERROR(__xludf.DUMMYFUNCTION("GOOGLEFINANCE(""NSE:""&amp;D2067,""EPS"")"),"#N/A")</f>
        <v>#N/A</v>
      </c>
      <c r="Q2067" s="7">
        <v>13.5</v>
      </c>
      <c r="R2067" s="7" t="str">
        <f ca="1">IFERROR(__xludf.DUMMYFUNCTION("IMPORTXML(E2067,""/html/body/main/div[3]/div[3]/div[2]/ul/li[7]/span[2]/span"")"),"Loading...")</f>
        <v>Loading...</v>
      </c>
      <c r="S2067" s="7" t="str">
        <f ca="1">IFERROR(__xludf.DUMMYFUNCTION("IMPORTXML(E2067,""/html/body/main/div[3]/div[3]/div[2]/ul/li[8]/span[2]/span"")"),"Loading...")</f>
        <v>Loading...</v>
      </c>
      <c r="T2067" s="4">
        <v>34.6</v>
      </c>
      <c r="U2067" s="4">
        <v>22.7</v>
      </c>
      <c r="V2067" s="4">
        <v>2.6</v>
      </c>
      <c r="W2067" s="4">
        <v>5.7</v>
      </c>
      <c r="X2067" s="4">
        <v>519.92999999999995</v>
      </c>
      <c r="Y2067" s="7" t="e">
        <f t="shared" ca="1" si="44"/>
        <v>#VALUE!</v>
      </c>
    </row>
    <row r="2068" spans="1:25" ht="15" x14ac:dyDescent="0.25">
      <c r="A2068" s="4">
        <v>1850</v>
      </c>
      <c r="C2068" s="12" t="s">
        <v>4272</v>
      </c>
      <c r="D2068" s="37"/>
      <c r="E2068" s="5" t="str">
        <f t="shared" si="40"/>
        <v>https://www.screener.in/company//consolidated/</v>
      </c>
      <c r="F2068" s="4">
        <v>443059</v>
      </c>
      <c r="G2068" s="4">
        <v>3832241897</v>
      </c>
      <c r="H2068" s="6" t="e">
        <f t="shared" ca="1" si="41"/>
        <v>#VALUE!</v>
      </c>
      <c r="I2068" s="7" t="str">
        <f ca="1">IFERROR(__xludf.DUMMYFUNCTION("IMPORTXML(E2068,""/html/body/main/div[3]/div[3]/div[2]/ul/li[5]/span[2]/span"")"),"Loading...")</f>
        <v>Loading...</v>
      </c>
      <c r="J2068" s="7" t="str">
        <f ca="1">IFERROR(__xludf.DUMMYFUNCTION("GOOGLEFINANCE(""NSE:""&amp;D2068,""marketcap"")"),"#N/A")</f>
        <v>#N/A</v>
      </c>
      <c r="K2068" s="7">
        <v>992.8</v>
      </c>
      <c r="L2068" s="8" t="str">
        <f ca="1">IFERROR(__xludf.DUMMYFUNCTION("GOOGLEFINANCE(""NSE:""&amp;D2068,""price"")"),"#N/A")</f>
        <v>#N/A</v>
      </c>
      <c r="M2068" s="9" t="e">
        <f t="shared" ca="1" si="42"/>
        <v>#VALUE!</v>
      </c>
      <c r="N2068" s="10" t="e">
        <f t="shared" ca="1" si="43"/>
        <v>#VALUE!</v>
      </c>
      <c r="O2068" s="7" t="str">
        <f ca="1">IFERROR(__xludf.DUMMYFUNCTION("GOOGLEFINANCE(""NSE:""&amp;D2068,""pe"")"),"#N/A")</f>
        <v>#N/A</v>
      </c>
      <c r="P2068" s="7" t="str">
        <f ca="1">IFERROR(__xludf.DUMMYFUNCTION("GOOGLEFINANCE(""NSE:""&amp;D2068,""EPS"")"),"#N/A")</f>
        <v>#N/A</v>
      </c>
      <c r="Q2068" s="7">
        <v>13.5</v>
      </c>
      <c r="R2068" s="7" t="str">
        <f ca="1">IFERROR(__xludf.DUMMYFUNCTION("IMPORTXML(E2068,""/html/body/main/div[3]/div[3]/div[2]/ul/li[7]/span[2]/span"")"),"Loading...")</f>
        <v>Loading...</v>
      </c>
      <c r="S2068" s="7" t="str">
        <f ca="1">IFERROR(__xludf.DUMMYFUNCTION("IMPORTXML(E2068,""/html/body/main/div[3]/div[3]/div[2]/ul/li[8]/span[2]/span"")"),"Loading...")</f>
        <v>Loading...</v>
      </c>
      <c r="T2068" s="4">
        <v>34.6</v>
      </c>
      <c r="U2068" s="4">
        <v>22.7</v>
      </c>
      <c r="V2068" s="4">
        <v>2.6</v>
      </c>
      <c r="W2068" s="4">
        <v>5.7</v>
      </c>
      <c r="X2068" s="4">
        <v>519.92999999999995</v>
      </c>
      <c r="Y2068" s="7" t="e">
        <f t="shared" ca="1" si="44"/>
        <v>#VALUE!</v>
      </c>
    </row>
    <row r="2069" spans="1:25" ht="15" x14ac:dyDescent="0.25">
      <c r="A2069" s="4">
        <v>1851</v>
      </c>
      <c r="C2069" s="12" t="s">
        <v>4273</v>
      </c>
      <c r="D2069" s="12" t="s">
        <v>4274</v>
      </c>
      <c r="E2069" s="5" t="str">
        <f t="shared" si="40"/>
        <v>https://www.screener.in/company/IEL/consolidated/</v>
      </c>
      <c r="F2069" s="4">
        <v>443059</v>
      </c>
      <c r="G2069" s="4">
        <v>3832241897</v>
      </c>
      <c r="H2069" s="6">
        <f t="shared" ca="1" si="41"/>
        <v>8200.9976595799981</v>
      </c>
      <c r="I2069" s="7" t="str">
        <f ca="1">IFERROR(__xludf.DUMMYFUNCTION("IMPORTXML(E2069,""/html/body/main/div[3]/div[3]/div[2]/ul/li[5]/span[2]/span"")"),"Loading...")</f>
        <v>Loading...</v>
      </c>
      <c r="J2069" s="7">
        <f ca="1">IFERROR(__xludf.DUMMYFUNCTION("GOOGLEFINANCE(""NSE:""&amp;D2069,""marketcap"")"),4291400000)</f>
        <v>4291400000</v>
      </c>
      <c r="K2069" s="7">
        <v>992.8</v>
      </c>
      <c r="L2069" s="8">
        <f ca="1">IFERROR(__xludf.DUMMYFUNCTION("GOOGLEFINANCE(""NSE:""&amp;D2069,""price"")"),21.4)</f>
        <v>21.4</v>
      </c>
      <c r="M2069" s="9">
        <f t="shared" ca="1" si="42"/>
        <v>-971.4</v>
      </c>
      <c r="N2069" s="10">
        <f t="shared" ca="1" si="43"/>
        <v>-97.844480257856574</v>
      </c>
      <c r="O2069" s="7" t="str">
        <f ca="1">IFERROR(__xludf.DUMMYFUNCTION("GOOGLEFINANCE(""NSE:""&amp;D2069,""pe"")"),"#N/A")</f>
        <v>#N/A</v>
      </c>
      <c r="P2069" s="7">
        <f ca="1">IFERROR(__xludf.DUMMYFUNCTION("GOOGLEFINANCE(""NSE:""&amp;D2069,""EPS"")"),-6.84)</f>
        <v>-6.84</v>
      </c>
      <c r="Q2069" s="7">
        <v>13.5</v>
      </c>
      <c r="R2069" s="7" t="str">
        <f ca="1">IFERROR(__xludf.DUMMYFUNCTION("IMPORTXML(E2069,""/html/body/main/div[3]/div[3]/div[2]/ul/li[7]/span[2]/span"")"),"Loading...")</f>
        <v>Loading...</v>
      </c>
      <c r="S2069" s="7" t="str">
        <f ca="1">IFERROR(__xludf.DUMMYFUNCTION("IMPORTXML(E2069,""/html/body/main/div[3]/div[3]/div[2]/ul/li[8]/span[2]/span"")"),"Loading...")</f>
        <v>Loading...</v>
      </c>
      <c r="T2069" s="4">
        <v>34.6</v>
      </c>
      <c r="U2069" s="4">
        <v>22.7</v>
      </c>
      <c r="V2069" s="4">
        <v>2.6</v>
      </c>
      <c r="W2069" s="4">
        <v>5.7</v>
      </c>
      <c r="X2069" s="4">
        <v>519.92999999999995</v>
      </c>
      <c r="Y2069" s="7">
        <f t="shared" ca="1" si="44"/>
        <v>-498.53</v>
      </c>
    </row>
    <row r="2070" spans="1:25" ht="15" x14ac:dyDescent="0.25">
      <c r="A2070" s="4">
        <v>1852</v>
      </c>
      <c r="C2070" s="41" t="s">
        <v>4275</v>
      </c>
      <c r="D2070" s="42"/>
      <c r="E2070" s="5" t="str">
        <f t="shared" si="40"/>
        <v>https://www.screener.in/company//consolidated/</v>
      </c>
      <c r="F2070" s="4">
        <v>443059</v>
      </c>
      <c r="G2070" s="4">
        <v>3832241897</v>
      </c>
      <c r="H2070" s="6" t="e">
        <f t="shared" ca="1" si="41"/>
        <v>#VALUE!</v>
      </c>
      <c r="I2070" s="7" t="str">
        <f ca="1">IFERROR(__xludf.DUMMYFUNCTION("IMPORTXML(E2070,""/html/body/main/div[3]/div[3]/div[2]/ul/li[5]/span[2]/span"")"),"Loading...")</f>
        <v>Loading...</v>
      </c>
      <c r="J2070" s="7" t="str">
        <f ca="1">IFERROR(__xludf.DUMMYFUNCTION("GOOGLEFINANCE(""NSE:""&amp;D2070,""marketcap"")"),"#N/A")</f>
        <v>#N/A</v>
      </c>
      <c r="K2070" s="7">
        <v>992.8</v>
      </c>
      <c r="L2070" s="8" t="str">
        <f ca="1">IFERROR(__xludf.DUMMYFUNCTION("GOOGLEFINANCE(""NSE:""&amp;D2070,""price"")"),"#N/A")</f>
        <v>#N/A</v>
      </c>
      <c r="M2070" s="9" t="e">
        <f t="shared" ca="1" si="42"/>
        <v>#VALUE!</v>
      </c>
      <c r="N2070" s="10" t="e">
        <f t="shared" ca="1" si="43"/>
        <v>#VALUE!</v>
      </c>
      <c r="O2070" s="7" t="str">
        <f ca="1">IFERROR(__xludf.DUMMYFUNCTION("GOOGLEFINANCE(""NSE:""&amp;D2070,""pe"")"),"#N/A")</f>
        <v>#N/A</v>
      </c>
      <c r="P2070" s="7" t="str">
        <f ca="1">IFERROR(__xludf.DUMMYFUNCTION("GOOGLEFINANCE(""NSE:""&amp;D2070,""EPS"")"),"#N/A")</f>
        <v>#N/A</v>
      </c>
      <c r="Q2070" s="7">
        <v>13.5</v>
      </c>
      <c r="R2070" s="7" t="str">
        <f ca="1">IFERROR(__xludf.DUMMYFUNCTION("IMPORTXML(E2070,""/html/body/main/div[3]/div[3]/div[2]/ul/li[7]/span[2]/span"")"),"Loading...")</f>
        <v>Loading...</v>
      </c>
      <c r="S2070" s="7" t="str">
        <f ca="1">IFERROR(__xludf.DUMMYFUNCTION("IMPORTXML(E2070,""/html/body/main/div[3]/div[3]/div[2]/ul/li[8]/span[2]/span"")"),"Loading...")</f>
        <v>Loading...</v>
      </c>
      <c r="T2070" s="4">
        <v>34.6</v>
      </c>
      <c r="U2070" s="4">
        <v>22.7</v>
      </c>
      <c r="V2070" s="4">
        <v>2.6</v>
      </c>
      <c r="W2070" s="4">
        <v>5.7</v>
      </c>
      <c r="X2070" s="4">
        <v>519.92999999999995</v>
      </c>
      <c r="Y2070" s="7" t="e">
        <f t="shared" ca="1" si="44"/>
        <v>#VALUE!</v>
      </c>
    </row>
    <row r="2071" spans="1:25" ht="15" x14ac:dyDescent="0.25">
      <c r="A2071" s="4">
        <v>1855</v>
      </c>
      <c r="C2071" s="41" t="s">
        <v>4276</v>
      </c>
      <c r="D2071" s="42"/>
      <c r="E2071" s="5" t="str">
        <f t="shared" si="40"/>
        <v>https://www.screener.in/company//consolidated/</v>
      </c>
      <c r="F2071" s="4">
        <v>443059</v>
      </c>
      <c r="G2071" s="4">
        <v>3832241897</v>
      </c>
      <c r="H2071" s="6" t="e">
        <f t="shared" ca="1" si="41"/>
        <v>#VALUE!</v>
      </c>
      <c r="I2071" s="7" t="str">
        <f ca="1">IFERROR(__xludf.DUMMYFUNCTION("IMPORTXML(E2071,""/html/body/main/div[3]/div[3]/div[2]/ul/li[5]/span[2]/span"")"),"Loading...")</f>
        <v>Loading...</v>
      </c>
      <c r="J2071" s="7" t="str">
        <f ca="1">IFERROR(__xludf.DUMMYFUNCTION("GOOGLEFINANCE(""NSE:""&amp;D2071,""marketcap"")"),"#N/A")</f>
        <v>#N/A</v>
      </c>
      <c r="K2071" s="7">
        <v>992.8</v>
      </c>
      <c r="L2071" s="8" t="str">
        <f ca="1">IFERROR(__xludf.DUMMYFUNCTION("GOOGLEFINANCE(""NSE:""&amp;D2071,""price"")"),"#N/A")</f>
        <v>#N/A</v>
      </c>
      <c r="M2071" s="9" t="e">
        <f t="shared" ca="1" si="42"/>
        <v>#VALUE!</v>
      </c>
      <c r="N2071" s="10" t="e">
        <f t="shared" ca="1" si="43"/>
        <v>#VALUE!</v>
      </c>
      <c r="O2071" s="7" t="str">
        <f ca="1">IFERROR(__xludf.DUMMYFUNCTION("GOOGLEFINANCE(""NSE:""&amp;D2071,""pe"")"),"#N/A")</f>
        <v>#N/A</v>
      </c>
      <c r="P2071" s="7" t="str">
        <f ca="1">IFERROR(__xludf.DUMMYFUNCTION("GOOGLEFINANCE(""NSE:""&amp;D2071,""EPS"")"),"#N/A")</f>
        <v>#N/A</v>
      </c>
      <c r="Q2071" s="7">
        <v>13.5</v>
      </c>
      <c r="R2071" s="7" t="str">
        <f ca="1">IFERROR(__xludf.DUMMYFUNCTION("IMPORTXML(E2071,""/html/body/main/div[3]/div[3]/div[2]/ul/li[7]/span[2]/span"")"),"Loading...")</f>
        <v>Loading...</v>
      </c>
      <c r="S2071" s="7" t="str">
        <f ca="1">IFERROR(__xludf.DUMMYFUNCTION("IMPORTXML(E2071,""/html/body/main/div[3]/div[3]/div[2]/ul/li[8]/span[2]/span"")"),"Loading...")</f>
        <v>Loading...</v>
      </c>
      <c r="T2071" s="4">
        <v>34.6</v>
      </c>
      <c r="U2071" s="4">
        <v>22.7</v>
      </c>
      <c r="V2071" s="4">
        <v>2.6</v>
      </c>
      <c r="W2071" s="4">
        <v>5.7</v>
      </c>
      <c r="X2071" s="4">
        <v>519.92999999999995</v>
      </c>
      <c r="Y2071" s="7" t="e">
        <f t="shared" ca="1" si="44"/>
        <v>#VALUE!</v>
      </c>
    </row>
    <row r="2072" spans="1:25" ht="15" x14ac:dyDescent="0.25">
      <c r="A2072" s="4">
        <v>1856</v>
      </c>
      <c r="C2072" s="41" t="s">
        <v>4277</v>
      </c>
      <c r="D2072" s="42"/>
      <c r="E2072" s="5" t="str">
        <f t="shared" si="40"/>
        <v>https://www.screener.in/company//consolidated/</v>
      </c>
      <c r="F2072" s="4">
        <v>443059</v>
      </c>
      <c r="G2072" s="4">
        <v>3832241897</v>
      </c>
      <c r="H2072" s="6" t="e">
        <f t="shared" ca="1" si="41"/>
        <v>#VALUE!</v>
      </c>
      <c r="I2072" s="7" t="str">
        <f ca="1">IFERROR(__xludf.DUMMYFUNCTION("IMPORTXML(E2072,""/html/body/main/div[3]/div[3]/div[2]/ul/li[5]/span[2]/span"")"),"Loading...")</f>
        <v>Loading...</v>
      </c>
      <c r="J2072" s="7" t="str">
        <f ca="1">IFERROR(__xludf.DUMMYFUNCTION("GOOGLEFINANCE(""NSE:""&amp;D2072,""marketcap"")"),"#N/A")</f>
        <v>#N/A</v>
      </c>
      <c r="K2072" s="7">
        <v>992.8</v>
      </c>
      <c r="L2072" s="8" t="str">
        <f ca="1">IFERROR(__xludf.DUMMYFUNCTION("GOOGLEFINANCE(""NSE:""&amp;D2072,""price"")"),"#N/A")</f>
        <v>#N/A</v>
      </c>
      <c r="M2072" s="9" t="e">
        <f t="shared" ca="1" si="42"/>
        <v>#VALUE!</v>
      </c>
      <c r="N2072" s="10" t="e">
        <f t="shared" ca="1" si="43"/>
        <v>#VALUE!</v>
      </c>
      <c r="O2072" s="7" t="str">
        <f ca="1">IFERROR(__xludf.DUMMYFUNCTION("GOOGLEFINANCE(""NSE:""&amp;D2072,""pe"")"),"#N/A")</f>
        <v>#N/A</v>
      </c>
      <c r="P2072" s="7" t="str">
        <f ca="1">IFERROR(__xludf.DUMMYFUNCTION("GOOGLEFINANCE(""NSE:""&amp;D2072,""EPS"")"),"#N/A")</f>
        <v>#N/A</v>
      </c>
      <c r="Q2072" s="7">
        <v>13.5</v>
      </c>
      <c r="R2072" s="7" t="str">
        <f ca="1">IFERROR(__xludf.DUMMYFUNCTION("IMPORTXML(E2072,""/html/body/main/div[3]/div[3]/div[2]/ul/li[7]/span[2]/span"")"),"Loading...")</f>
        <v>Loading...</v>
      </c>
      <c r="S2072" s="7" t="str">
        <f ca="1">IFERROR(__xludf.DUMMYFUNCTION("IMPORTXML(E2072,""/html/body/main/div[3]/div[3]/div[2]/ul/li[8]/span[2]/span"")"),"Loading...")</f>
        <v>Loading...</v>
      </c>
      <c r="T2072" s="4">
        <v>34.6</v>
      </c>
      <c r="U2072" s="4">
        <v>22.7</v>
      </c>
      <c r="V2072" s="4">
        <v>2.6</v>
      </c>
      <c r="W2072" s="4">
        <v>5.7</v>
      </c>
      <c r="X2072" s="4">
        <v>519.92999999999995</v>
      </c>
      <c r="Y2072" s="7" t="e">
        <f t="shared" ca="1" si="44"/>
        <v>#VALUE!</v>
      </c>
    </row>
    <row r="2073" spans="1:25" ht="15" x14ac:dyDescent="0.25">
      <c r="A2073" s="4">
        <v>1857</v>
      </c>
      <c r="C2073" s="41" t="s">
        <v>4278</v>
      </c>
      <c r="D2073" s="42"/>
      <c r="E2073" s="5" t="str">
        <f t="shared" si="40"/>
        <v>https://www.screener.in/company//consolidated/</v>
      </c>
      <c r="F2073" s="4">
        <v>443059</v>
      </c>
      <c r="G2073" s="4">
        <v>3832241897</v>
      </c>
      <c r="H2073" s="6" t="e">
        <f t="shared" ca="1" si="41"/>
        <v>#VALUE!</v>
      </c>
      <c r="I2073" s="7" t="str">
        <f ca="1">IFERROR(__xludf.DUMMYFUNCTION("IMPORTXML(E2073,""/html/body/main/div[3]/div[3]/div[2]/ul/li[5]/span[2]/span"")"),"Loading...")</f>
        <v>Loading...</v>
      </c>
      <c r="J2073" s="7" t="str">
        <f ca="1">IFERROR(__xludf.DUMMYFUNCTION("GOOGLEFINANCE(""NSE:""&amp;D2073,""marketcap"")"),"#N/A")</f>
        <v>#N/A</v>
      </c>
      <c r="K2073" s="7">
        <v>992.8</v>
      </c>
      <c r="L2073" s="8" t="str">
        <f ca="1">IFERROR(__xludf.DUMMYFUNCTION("GOOGLEFINANCE(""NSE:""&amp;D2073,""price"")"),"#N/A")</f>
        <v>#N/A</v>
      </c>
      <c r="M2073" s="9" t="e">
        <f t="shared" ca="1" si="42"/>
        <v>#VALUE!</v>
      </c>
      <c r="N2073" s="10" t="e">
        <f t="shared" ca="1" si="43"/>
        <v>#VALUE!</v>
      </c>
      <c r="O2073" s="7" t="str">
        <f ca="1">IFERROR(__xludf.DUMMYFUNCTION("GOOGLEFINANCE(""NSE:""&amp;D2073,""pe"")"),"#N/A")</f>
        <v>#N/A</v>
      </c>
      <c r="P2073" s="7" t="str">
        <f ca="1">IFERROR(__xludf.DUMMYFUNCTION("GOOGLEFINANCE(""NSE:""&amp;D2073,""EPS"")"),"#N/A")</f>
        <v>#N/A</v>
      </c>
      <c r="Q2073" s="7">
        <v>13.5</v>
      </c>
      <c r="R2073" s="7" t="str">
        <f ca="1">IFERROR(__xludf.DUMMYFUNCTION("IMPORTXML(E2073,""/html/body/main/div[3]/div[3]/div[2]/ul/li[7]/span[2]/span"")"),"Loading...")</f>
        <v>Loading...</v>
      </c>
      <c r="S2073" s="7" t="str">
        <f ca="1">IFERROR(__xludf.DUMMYFUNCTION("IMPORTXML(E2073,""/html/body/main/div[3]/div[3]/div[2]/ul/li[8]/span[2]/span"")"),"Loading...")</f>
        <v>Loading...</v>
      </c>
      <c r="T2073" s="4">
        <v>34.6</v>
      </c>
      <c r="U2073" s="4">
        <v>22.7</v>
      </c>
      <c r="V2073" s="4">
        <v>2.6</v>
      </c>
      <c r="W2073" s="4">
        <v>5.7</v>
      </c>
      <c r="X2073" s="4">
        <v>519.92999999999995</v>
      </c>
      <c r="Y2073" s="7" t="e">
        <f t="shared" ca="1" si="44"/>
        <v>#VALUE!</v>
      </c>
    </row>
    <row r="2074" spans="1:25" ht="15" x14ac:dyDescent="0.25">
      <c r="A2074" s="4">
        <v>1859</v>
      </c>
      <c r="C2074" s="41" t="s">
        <v>4279</v>
      </c>
      <c r="D2074" s="42"/>
      <c r="E2074" s="5" t="str">
        <f t="shared" si="40"/>
        <v>https://www.screener.in/company//consolidated/</v>
      </c>
      <c r="F2074" s="4">
        <v>443059</v>
      </c>
      <c r="G2074" s="4">
        <v>3832241897</v>
      </c>
      <c r="H2074" s="6" t="e">
        <f t="shared" ca="1" si="41"/>
        <v>#VALUE!</v>
      </c>
      <c r="I2074" s="7" t="str">
        <f ca="1">IFERROR(__xludf.DUMMYFUNCTION("IMPORTXML(E2074,""/html/body/main/div[3]/div[3]/div[2]/ul/li[5]/span[2]/span"")"),"Loading...")</f>
        <v>Loading...</v>
      </c>
      <c r="J2074" s="7" t="str">
        <f ca="1">IFERROR(__xludf.DUMMYFUNCTION("GOOGLEFINANCE(""NSE:""&amp;D2074,""marketcap"")"),"#N/A")</f>
        <v>#N/A</v>
      </c>
      <c r="K2074" s="7">
        <v>992.8</v>
      </c>
      <c r="L2074" s="8" t="str">
        <f ca="1">IFERROR(__xludf.DUMMYFUNCTION("GOOGLEFINANCE(""NSE:""&amp;D2074,""price"")"),"#N/A")</f>
        <v>#N/A</v>
      </c>
      <c r="M2074" s="9" t="e">
        <f t="shared" ca="1" si="42"/>
        <v>#VALUE!</v>
      </c>
      <c r="N2074" s="10" t="e">
        <f t="shared" ca="1" si="43"/>
        <v>#VALUE!</v>
      </c>
      <c r="O2074" s="7" t="str">
        <f ca="1">IFERROR(__xludf.DUMMYFUNCTION("GOOGLEFINANCE(""NSE:""&amp;D2074,""pe"")"),"#N/A")</f>
        <v>#N/A</v>
      </c>
      <c r="P2074" s="7" t="str">
        <f ca="1">IFERROR(__xludf.DUMMYFUNCTION("GOOGLEFINANCE(""NSE:""&amp;D2074,""EPS"")"),"#N/A")</f>
        <v>#N/A</v>
      </c>
      <c r="Q2074" s="7">
        <v>13.5</v>
      </c>
      <c r="R2074" s="7" t="str">
        <f ca="1">IFERROR(__xludf.DUMMYFUNCTION("IMPORTXML(E2074,""/html/body/main/div[3]/div[3]/div[2]/ul/li[7]/span[2]/span"")"),"Loading...")</f>
        <v>Loading...</v>
      </c>
      <c r="S2074" s="7" t="str">
        <f ca="1">IFERROR(__xludf.DUMMYFUNCTION("IMPORTXML(E2074,""/html/body/main/div[3]/div[3]/div[2]/ul/li[8]/span[2]/span"")"),"Loading...")</f>
        <v>Loading...</v>
      </c>
      <c r="T2074" s="4">
        <v>34.6</v>
      </c>
      <c r="U2074" s="4">
        <v>22.7</v>
      </c>
      <c r="V2074" s="4">
        <v>2.6</v>
      </c>
      <c r="W2074" s="4">
        <v>5.7</v>
      </c>
      <c r="X2074" s="4">
        <v>519.92999999999995</v>
      </c>
      <c r="Y2074" s="7" t="e">
        <f t="shared" ca="1" si="44"/>
        <v>#VALUE!</v>
      </c>
    </row>
    <row r="2075" spans="1:25" ht="15" x14ac:dyDescent="0.25">
      <c r="A2075" s="4">
        <v>1860</v>
      </c>
      <c r="C2075" s="41" t="s">
        <v>4280</v>
      </c>
      <c r="D2075" s="42"/>
      <c r="E2075" s="5" t="str">
        <f t="shared" si="40"/>
        <v>https://www.screener.in/company//consolidated/</v>
      </c>
      <c r="F2075" s="4">
        <v>443059</v>
      </c>
      <c r="G2075" s="4">
        <v>3832241897</v>
      </c>
      <c r="H2075" s="6" t="e">
        <f t="shared" ca="1" si="41"/>
        <v>#VALUE!</v>
      </c>
      <c r="I2075" s="7" t="str">
        <f ca="1">IFERROR(__xludf.DUMMYFUNCTION("IMPORTXML(E2075,""/html/body/main/div[3]/div[3]/div[2]/ul/li[5]/span[2]/span"")"),"Loading...")</f>
        <v>Loading...</v>
      </c>
      <c r="J2075" s="7" t="str">
        <f ca="1">IFERROR(__xludf.DUMMYFUNCTION("GOOGLEFINANCE(""NSE:""&amp;D2075,""marketcap"")"),"#N/A")</f>
        <v>#N/A</v>
      </c>
      <c r="K2075" s="7">
        <v>992.8</v>
      </c>
      <c r="L2075" s="8" t="str">
        <f ca="1">IFERROR(__xludf.DUMMYFUNCTION("GOOGLEFINANCE(""NSE:""&amp;D2075,""price"")"),"#N/A")</f>
        <v>#N/A</v>
      </c>
      <c r="M2075" s="9" t="e">
        <f t="shared" ca="1" si="42"/>
        <v>#VALUE!</v>
      </c>
      <c r="N2075" s="10" t="e">
        <f t="shared" ca="1" si="43"/>
        <v>#VALUE!</v>
      </c>
      <c r="O2075" s="7" t="str">
        <f ca="1">IFERROR(__xludf.DUMMYFUNCTION("GOOGLEFINANCE(""NSE:""&amp;D2075,""pe"")"),"#N/A")</f>
        <v>#N/A</v>
      </c>
      <c r="P2075" s="7" t="str">
        <f ca="1">IFERROR(__xludf.DUMMYFUNCTION("GOOGLEFINANCE(""NSE:""&amp;D2075,""EPS"")"),"#N/A")</f>
        <v>#N/A</v>
      </c>
      <c r="Q2075" s="7">
        <v>13.5</v>
      </c>
      <c r="R2075" s="7" t="str">
        <f ca="1">IFERROR(__xludf.DUMMYFUNCTION("IMPORTXML(E2075,""/html/body/main/div[3]/div[3]/div[2]/ul/li[7]/span[2]/span"")"),"Loading...")</f>
        <v>Loading...</v>
      </c>
      <c r="S2075" s="7" t="str">
        <f ca="1">IFERROR(__xludf.DUMMYFUNCTION("IMPORTXML(E2075,""/html/body/main/div[3]/div[3]/div[2]/ul/li[8]/span[2]/span"")"),"Loading...")</f>
        <v>Loading...</v>
      </c>
      <c r="T2075" s="4">
        <v>34.6</v>
      </c>
      <c r="U2075" s="4">
        <v>22.7</v>
      </c>
      <c r="V2075" s="4">
        <v>2.6</v>
      </c>
      <c r="W2075" s="4">
        <v>5.7</v>
      </c>
      <c r="X2075" s="4">
        <v>519.92999999999995</v>
      </c>
      <c r="Y2075" s="7" t="e">
        <f t="shared" ca="1" si="44"/>
        <v>#VALUE!</v>
      </c>
    </row>
    <row r="2076" spans="1:25" ht="15" x14ac:dyDescent="0.25">
      <c r="A2076" s="4">
        <v>1863</v>
      </c>
      <c r="C2076" s="41" t="s">
        <v>4281</v>
      </c>
      <c r="D2076" s="42"/>
      <c r="E2076" s="5" t="str">
        <f t="shared" si="40"/>
        <v>https://www.screener.in/company//consolidated/</v>
      </c>
      <c r="F2076" s="4">
        <v>443059</v>
      </c>
      <c r="G2076" s="4">
        <v>3832241897</v>
      </c>
      <c r="H2076" s="6" t="e">
        <f t="shared" ca="1" si="41"/>
        <v>#VALUE!</v>
      </c>
      <c r="I2076" s="7" t="str">
        <f ca="1">IFERROR(__xludf.DUMMYFUNCTION("IMPORTXML(E2076,""/html/body/main/div[3]/div[3]/div[2]/ul/li[5]/span[2]/span"")"),"Loading...")</f>
        <v>Loading...</v>
      </c>
      <c r="J2076" s="7" t="str">
        <f ca="1">IFERROR(__xludf.DUMMYFUNCTION("GOOGLEFINANCE(""NSE:""&amp;D2076,""marketcap"")"),"#N/A")</f>
        <v>#N/A</v>
      </c>
      <c r="K2076" s="7">
        <v>992.8</v>
      </c>
      <c r="L2076" s="8" t="str">
        <f ca="1">IFERROR(__xludf.DUMMYFUNCTION("GOOGLEFINANCE(""NSE:""&amp;D2076,""price"")"),"#N/A")</f>
        <v>#N/A</v>
      </c>
      <c r="M2076" s="9" t="e">
        <f t="shared" ca="1" si="42"/>
        <v>#VALUE!</v>
      </c>
      <c r="N2076" s="10" t="e">
        <f t="shared" ca="1" si="43"/>
        <v>#VALUE!</v>
      </c>
      <c r="O2076" s="7" t="str">
        <f ca="1">IFERROR(__xludf.DUMMYFUNCTION("GOOGLEFINANCE(""NSE:""&amp;D2076,""pe"")"),"#N/A")</f>
        <v>#N/A</v>
      </c>
      <c r="P2076" s="7" t="str">
        <f ca="1">IFERROR(__xludf.DUMMYFUNCTION("GOOGLEFINANCE(""NSE:""&amp;D2076,""EPS"")"),"#N/A")</f>
        <v>#N/A</v>
      </c>
      <c r="Q2076" s="7">
        <v>13.5</v>
      </c>
      <c r="R2076" s="7" t="str">
        <f ca="1">IFERROR(__xludf.DUMMYFUNCTION("IMPORTXML(E2076,""/html/body/main/div[3]/div[3]/div[2]/ul/li[7]/span[2]/span"")"),"Loading...")</f>
        <v>Loading...</v>
      </c>
      <c r="S2076" s="7" t="str">
        <f ca="1">IFERROR(__xludf.DUMMYFUNCTION("IMPORTXML(E2076,""/html/body/main/div[3]/div[3]/div[2]/ul/li[8]/span[2]/span"")"),"Loading...")</f>
        <v>Loading...</v>
      </c>
      <c r="T2076" s="4">
        <v>34.6</v>
      </c>
      <c r="U2076" s="4">
        <v>22.7</v>
      </c>
      <c r="V2076" s="4">
        <v>2.6</v>
      </c>
      <c r="W2076" s="4">
        <v>5.7</v>
      </c>
      <c r="X2076" s="4">
        <v>519.92999999999995</v>
      </c>
      <c r="Y2076" s="7" t="e">
        <f t="shared" ca="1" si="44"/>
        <v>#VALUE!</v>
      </c>
    </row>
    <row r="2077" spans="1:25" ht="15" x14ac:dyDescent="0.25">
      <c r="A2077" s="4">
        <v>1864</v>
      </c>
      <c r="C2077" s="41" t="s">
        <v>4282</v>
      </c>
      <c r="D2077" s="42"/>
      <c r="E2077" s="5" t="str">
        <f t="shared" si="40"/>
        <v>https://www.screener.in/company//consolidated/</v>
      </c>
      <c r="F2077" s="4">
        <v>443059</v>
      </c>
      <c r="G2077" s="4">
        <v>3832241897</v>
      </c>
      <c r="H2077" s="6" t="e">
        <f t="shared" ca="1" si="41"/>
        <v>#VALUE!</v>
      </c>
      <c r="I2077" s="7" t="str">
        <f ca="1">IFERROR(__xludf.DUMMYFUNCTION("IMPORTXML(E2077,""/html/body/main/div[3]/div[3]/div[2]/ul/li[5]/span[2]/span"")"),"Loading...")</f>
        <v>Loading...</v>
      </c>
      <c r="J2077" s="7" t="str">
        <f ca="1">IFERROR(__xludf.DUMMYFUNCTION("GOOGLEFINANCE(""NSE:""&amp;D2077,""marketcap"")"),"#N/A")</f>
        <v>#N/A</v>
      </c>
      <c r="K2077" s="7">
        <v>992.8</v>
      </c>
      <c r="L2077" s="8" t="str">
        <f ca="1">IFERROR(__xludf.DUMMYFUNCTION("GOOGLEFINANCE(""NSE:""&amp;D2077,""price"")"),"#N/A")</f>
        <v>#N/A</v>
      </c>
      <c r="M2077" s="9" t="e">
        <f t="shared" ca="1" si="42"/>
        <v>#VALUE!</v>
      </c>
      <c r="N2077" s="10" t="e">
        <f t="shared" ca="1" si="43"/>
        <v>#VALUE!</v>
      </c>
      <c r="O2077" s="7" t="str">
        <f ca="1">IFERROR(__xludf.DUMMYFUNCTION("GOOGLEFINANCE(""NSE:""&amp;D2077,""pe"")"),"#N/A")</f>
        <v>#N/A</v>
      </c>
      <c r="P2077" s="7" t="str">
        <f ca="1">IFERROR(__xludf.DUMMYFUNCTION("GOOGLEFINANCE(""NSE:""&amp;D2077,""EPS"")"),"#N/A")</f>
        <v>#N/A</v>
      </c>
      <c r="Q2077" s="7">
        <v>13.5</v>
      </c>
      <c r="R2077" s="7" t="str">
        <f ca="1">IFERROR(__xludf.DUMMYFUNCTION("IMPORTXML(E2077,""/html/body/main/div[3]/div[3]/div[2]/ul/li[7]/span[2]/span"")"),"Loading...")</f>
        <v>Loading...</v>
      </c>
      <c r="S2077" s="7" t="str">
        <f ca="1">IFERROR(__xludf.DUMMYFUNCTION("IMPORTXML(E2077,""/html/body/main/div[3]/div[3]/div[2]/ul/li[8]/span[2]/span"")"),"Loading...")</f>
        <v>Loading...</v>
      </c>
      <c r="T2077" s="4">
        <v>34.6</v>
      </c>
      <c r="U2077" s="4">
        <v>22.7</v>
      </c>
      <c r="V2077" s="4">
        <v>2.6</v>
      </c>
      <c r="W2077" s="4">
        <v>5.7</v>
      </c>
      <c r="X2077" s="4">
        <v>519.92999999999995</v>
      </c>
      <c r="Y2077" s="7" t="e">
        <f t="shared" ca="1" si="44"/>
        <v>#VALUE!</v>
      </c>
    </row>
    <row r="2078" spans="1:25" ht="15" x14ac:dyDescent="0.25">
      <c r="A2078" s="4">
        <v>1865</v>
      </c>
      <c r="C2078" s="12" t="s">
        <v>4283</v>
      </c>
      <c r="D2078" s="12" t="s">
        <v>4284</v>
      </c>
      <c r="E2078" s="5" t="str">
        <f t="shared" si="40"/>
        <v>https://www.screener.in/company/NOIDATOLL/consolidated/</v>
      </c>
      <c r="F2078" s="4">
        <v>443059</v>
      </c>
      <c r="G2078" s="4">
        <v>3832241897</v>
      </c>
      <c r="H2078" s="6">
        <f t="shared" ca="1" si="41"/>
        <v>1962.1078512639999</v>
      </c>
      <c r="I2078" s="7" t="str">
        <f ca="1">IFERROR(__xludf.DUMMYFUNCTION("IMPORTXML(E2078,""/html/body/main/div[3]/div[3]/div[2]/ul/li[5]/span[2]/span"")"),"Loading...")</f>
        <v>Loading...</v>
      </c>
      <c r="J2078" s="7">
        <f ca="1">IFERROR(__xludf.DUMMYFUNCTION("GOOGLEFINANCE(""NSE:""&amp;D2078,""marketcap"")"),953318400)</f>
        <v>953318400</v>
      </c>
      <c r="K2078" s="7">
        <v>992.8</v>
      </c>
      <c r="L2078" s="8">
        <f ca="1">IFERROR(__xludf.DUMMYFUNCTION("GOOGLEFINANCE(""NSE:""&amp;D2078,""price"")"),5.12)</f>
        <v>5.12</v>
      </c>
      <c r="M2078" s="9">
        <f t="shared" ca="1" si="42"/>
        <v>-987.68</v>
      </c>
      <c r="N2078" s="10">
        <f t="shared" ca="1" si="43"/>
        <v>-99.484286865431102</v>
      </c>
      <c r="O2078" s="7" t="str">
        <f ca="1">IFERROR(__xludf.DUMMYFUNCTION("GOOGLEFINANCE(""NSE:""&amp;D2078,""pe"")"),"#N/A")</f>
        <v>#N/A</v>
      </c>
      <c r="P2078" s="7">
        <f ca="1">IFERROR(__xludf.DUMMYFUNCTION("GOOGLEFINANCE(""NSE:""&amp;D2078,""EPS"")"),-12.6)</f>
        <v>-12.6</v>
      </c>
      <c r="Q2078" s="7">
        <v>13.5</v>
      </c>
      <c r="R2078" s="7" t="str">
        <f ca="1">IFERROR(__xludf.DUMMYFUNCTION("IMPORTXML(E2078,""/html/body/main/div[3]/div[3]/div[2]/ul/li[7]/span[2]/span"")"),"Loading...")</f>
        <v>Loading...</v>
      </c>
      <c r="S2078" s="7" t="str">
        <f ca="1">IFERROR(__xludf.DUMMYFUNCTION("IMPORTXML(E2078,""/html/body/main/div[3]/div[3]/div[2]/ul/li[8]/span[2]/span"")"),"Loading...")</f>
        <v>Loading...</v>
      </c>
      <c r="T2078" s="4">
        <v>34.6</v>
      </c>
      <c r="U2078" s="4">
        <v>22.7</v>
      </c>
      <c r="V2078" s="4">
        <v>2.6</v>
      </c>
      <c r="W2078" s="4">
        <v>5.7</v>
      </c>
      <c r="X2078" s="4">
        <v>519.92999999999995</v>
      </c>
      <c r="Y2078" s="7">
        <f t="shared" ca="1" si="44"/>
        <v>-514.80999999999995</v>
      </c>
    </row>
    <row r="2079" spans="1:25" ht="15" x14ac:dyDescent="0.25">
      <c r="A2079" s="4">
        <v>1866</v>
      </c>
      <c r="C2079" s="12" t="s">
        <v>4285</v>
      </c>
      <c r="D2079" s="12" t="s">
        <v>4286</v>
      </c>
      <c r="E2079" s="5" t="str">
        <f t="shared" si="40"/>
        <v>https://www.screener.in/company/TAKE/consolidated/</v>
      </c>
      <c r="F2079" s="4">
        <v>443059</v>
      </c>
      <c r="G2079" s="4">
        <v>3832241897</v>
      </c>
      <c r="H2079" s="6">
        <f t="shared" ca="1" si="41"/>
        <v>4173.3114258330006</v>
      </c>
      <c r="I2079" s="7" t="str">
        <f ca="1">IFERROR(__xludf.DUMMYFUNCTION("IMPORTXML(E2079,""/html/body/main/div[3]/div[3]/div[2]/ul/li[5]/span[2]/span"")"),"Loading...")</f>
        <v>Loading...</v>
      </c>
      <c r="J2079" s="7">
        <f ca="1">IFERROR(__xludf.DUMMYFUNCTION("GOOGLEFINANCE(""NSE:""&amp;D2079,""marketcap"")"),1611000221)</f>
        <v>1611000221</v>
      </c>
      <c r="K2079" s="7">
        <v>992.8</v>
      </c>
      <c r="L2079" s="8">
        <f ca="1">IFERROR(__xludf.DUMMYFUNCTION("GOOGLEFINANCE(""NSE:""&amp;D2079,""price"")"),10.89)</f>
        <v>10.89</v>
      </c>
      <c r="M2079" s="9">
        <f t="shared" ca="1" si="42"/>
        <v>-981.91</v>
      </c>
      <c r="N2079" s="10">
        <f t="shared" ca="1" si="43"/>
        <v>-98.903102336825143</v>
      </c>
      <c r="O2079" s="7">
        <f ca="1">IFERROR(__xludf.DUMMYFUNCTION("GOOGLEFINANCE(""NSE:""&amp;D2079,""pe"")"),3.95)</f>
        <v>3.95</v>
      </c>
      <c r="P2079" s="7">
        <f ca="1">IFERROR(__xludf.DUMMYFUNCTION("GOOGLEFINANCE(""NSE:""&amp;D2079,""EPS"")"),2.76)</f>
        <v>2.76</v>
      </c>
      <c r="Q2079" s="7">
        <v>13.5</v>
      </c>
      <c r="R2079" s="7" t="str">
        <f ca="1">IFERROR(__xludf.DUMMYFUNCTION("IMPORTXML(E2079,""/html/body/main/div[3]/div[3]/div[2]/ul/li[7]/span[2]/span"")"),"Loading...")</f>
        <v>Loading...</v>
      </c>
      <c r="S2079" s="7" t="str">
        <f ca="1">IFERROR(__xludf.DUMMYFUNCTION("IMPORTXML(E2079,""/html/body/main/div[3]/div[3]/div[2]/ul/li[8]/span[2]/span"")"),"Loading...")</f>
        <v>Loading...</v>
      </c>
      <c r="T2079" s="4">
        <v>34.6</v>
      </c>
      <c r="U2079" s="4">
        <v>22.7</v>
      </c>
      <c r="V2079" s="4">
        <v>2.6</v>
      </c>
      <c r="W2079" s="4">
        <v>5.7</v>
      </c>
      <c r="X2079" s="4">
        <v>519.92999999999995</v>
      </c>
      <c r="Y2079" s="7">
        <f t="shared" ca="1" si="44"/>
        <v>-509.03999999999996</v>
      </c>
    </row>
    <row r="2080" spans="1:25" ht="15" x14ac:dyDescent="0.25">
      <c r="A2080" s="4">
        <v>1868</v>
      </c>
      <c r="C2080" s="12" t="s">
        <v>4287</v>
      </c>
      <c r="D2080" s="12" t="s">
        <v>4288</v>
      </c>
      <c r="E2080" s="5" t="str">
        <f t="shared" si="40"/>
        <v>https://www.screener.in/company/SUPREMEINF/consolidated/</v>
      </c>
      <c r="F2080" s="4">
        <v>443059</v>
      </c>
      <c r="G2080" s="4">
        <v>3832241897</v>
      </c>
      <c r="H2080" s="6">
        <f t="shared" ca="1" si="41"/>
        <v>38705.643159699997</v>
      </c>
      <c r="I2080" s="7" t="str">
        <f ca="1">IFERROR(__xludf.DUMMYFUNCTION("IMPORTXML(E2080,""/html/body/main/div[3]/div[3]/div[2]/ul/li[5]/span[2]/span"")"),"Loading...")</f>
        <v>Loading...</v>
      </c>
      <c r="J2080" s="7">
        <f ca="1">IFERROR(__xludf.DUMMYFUNCTION("GOOGLEFINANCE(""NSE:""&amp;D2080,""marketcap"")"),9766442000)</f>
        <v>9766442000</v>
      </c>
      <c r="K2080" s="7">
        <v>992.8</v>
      </c>
      <c r="L2080" s="8">
        <f ca="1">IFERROR(__xludf.DUMMYFUNCTION("GOOGLEFINANCE(""NSE:""&amp;D2080,""price"")"),101)</f>
        <v>101</v>
      </c>
      <c r="M2080" s="9">
        <f t="shared" ca="1" si="42"/>
        <v>-891.8</v>
      </c>
      <c r="N2080" s="10">
        <f t="shared" ca="1" si="43"/>
        <v>-89.826752618855764</v>
      </c>
      <c r="O2080" s="7" t="str">
        <f ca="1">IFERROR(__xludf.DUMMYFUNCTION("GOOGLEFINANCE(""NSE:""&amp;D2080,""pe"")"),"#N/A")</f>
        <v>#N/A</v>
      </c>
      <c r="P2080" s="7">
        <f ca="1">IFERROR(__xludf.DUMMYFUNCTION("GOOGLEFINANCE(""NSE:""&amp;D2080,""EPS"")"),-574.07)</f>
        <v>-574.07000000000005</v>
      </c>
      <c r="Q2080" s="7">
        <v>13.5</v>
      </c>
      <c r="R2080" s="7" t="str">
        <f ca="1">IFERROR(__xludf.DUMMYFUNCTION("IMPORTXML(E2080,""/html/body/main/div[3]/div[3]/div[2]/ul/li[7]/span[2]/span"")"),"Loading...")</f>
        <v>Loading...</v>
      </c>
      <c r="S2080" s="7" t="str">
        <f ca="1">IFERROR(__xludf.DUMMYFUNCTION("IMPORTXML(E2080,""/html/body/main/div[3]/div[3]/div[2]/ul/li[8]/span[2]/span"")"),"Loading...")</f>
        <v>Loading...</v>
      </c>
      <c r="T2080" s="4">
        <v>34.6</v>
      </c>
      <c r="U2080" s="4">
        <v>22.7</v>
      </c>
      <c r="V2080" s="4">
        <v>2.6</v>
      </c>
      <c r="W2080" s="4">
        <v>5.7</v>
      </c>
      <c r="X2080" s="4">
        <v>519.92999999999995</v>
      </c>
      <c r="Y2080" s="7">
        <f t="shared" ca="1" si="44"/>
        <v>-418.92999999999995</v>
      </c>
    </row>
    <row r="2081" spans="1:25" ht="15" x14ac:dyDescent="0.25">
      <c r="A2081" s="4">
        <v>1870</v>
      </c>
      <c r="C2081" s="41" t="s">
        <v>4289</v>
      </c>
      <c r="D2081" s="42"/>
      <c r="E2081" s="5" t="str">
        <f t="shared" si="40"/>
        <v>https://www.screener.in/company//consolidated/</v>
      </c>
      <c r="F2081" s="4">
        <v>443059</v>
      </c>
      <c r="G2081" s="4">
        <v>3832241897</v>
      </c>
      <c r="H2081" s="6" t="e">
        <f t="shared" ca="1" si="41"/>
        <v>#VALUE!</v>
      </c>
      <c r="I2081" s="7" t="str">
        <f ca="1">IFERROR(__xludf.DUMMYFUNCTION("IMPORTXML(E2081,""/html/body/main/div[3]/div[3]/div[2]/ul/li[5]/span[2]/span"")"),"Loading...")</f>
        <v>Loading...</v>
      </c>
      <c r="J2081" s="7" t="str">
        <f ca="1">IFERROR(__xludf.DUMMYFUNCTION("GOOGLEFINANCE(""NSE:""&amp;D2081,""marketcap"")"),"#N/A")</f>
        <v>#N/A</v>
      </c>
      <c r="K2081" s="7">
        <v>992.8</v>
      </c>
      <c r="L2081" s="8" t="str">
        <f ca="1">IFERROR(__xludf.DUMMYFUNCTION("GOOGLEFINANCE(""NSE:""&amp;D2081,""price"")"),"#N/A")</f>
        <v>#N/A</v>
      </c>
      <c r="M2081" s="9" t="e">
        <f t="shared" ca="1" si="42"/>
        <v>#VALUE!</v>
      </c>
      <c r="N2081" s="10" t="e">
        <f t="shared" ca="1" si="43"/>
        <v>#VALUE!</v>
      </c>
      <c r="O2081" s="7" t="str">
        <f ca="1">IFERROR(__xludf.DUMMYFUNCTION("GOOGLEFINANCE(""NSE:""&amp;D2081,""pe"")"),"#N/A")</f>
        <v>#N/A</v>
      </c>
      <c r="P2081" s="7" t="str">
        <f ca="1">IFERROR(__xludf.DUMMYFUNCTION("GOOGLEFINANCE(""NSE:""&amp;D2081,""EPS"")"),"#N/A")</f>
        <v>#N/A</v>
      </c>
      <c r="Q2081" s="7">
        <v>13.5</v>
      </c>
      <c r="R2081" s="7" t="str">
        <f ca="1">IFERROR(__xludf.DUMMYFUNCTION("IMPORTXML(E2081,""/html/body/main/div[3]/div[3]/div[2]/ul/li[7]/span[2]/span"")"),"Loading...")</f>
        <v>Loading...</v>
      </c>
      <c r="S2081" s="7" t="str">
        <f ca="1">IFERROR(__xludf.DUMMYFUNCTION("IMPORTXML(E2081,""/html/body/main/div[3]/div[3]/div[2]/ul/li[8]/span[2]/span"")"),"Loading...")</f>
        <v>Loading...</v>
      </c>
      <c r="T2081" s="4">
        <v>34.6</v>
      </c>
      <c r="U2081" s="4">
        <v>22.7</v>
      </c>
      <c r="V2081" s="4">
        <v>2.6</v>
      </c>
      <c r="W2081" s="4">
        <v>5.7</v>
      </c>
      <c r="X2081" s="4">
        <v>519.92999999999995</v>
      </c>
      <c r="Y2081" s="7" t="e">
        <f t="shared" ca="1" si="44"/>
        <v>#VALUE!</v>
      </c>
    </row>
    <row r="2082" spans="1:25" ht="15" x14ac:dyDescent="0.25">
      <c r="A2082" s="4">
        <v>1871</v>
      </c>
      <c r="C2082" s="41" t="s">
        <v>4290</v>
      </c>
      <c r="D2082" s="42"/>
      <c r="E2082" s="5" t="str">
        <f t="shared" si="40"/>
        <v>https://www.screener.in/company//consolidated/</v>
      </c>
      <c r="F2082" s="4">
        <v>443059</v>
      </c>
      <c r="G2082" s="4">
        <v>3832241897</v>
      </c>
      <c r="H2082" s="6" t="e">
        <f t="shared" ca="1" si="41"/>
        <v>#VALUE!</v>
      </c>
      <c r="I2082" s="7" t="str">
        <f ca="1">IFERROR(__xludf.DUMMYFUNCTION("IMPORTXML(E2082,""/html/body/main/div[3]/div[3]/div[2]/ul/li[5]/span[2]/span"")"),"Loading...")</f>
        <v>Loading...</v>
      </c>
      <c r="J2082" s="7" t="str">
        <f ca="1">IFERROR(__xludf.DUMMYFUNCTION("GOOGLEFINANCE(""NSE:""&amp;D2082,""marketcap"")"),"#N/A")</f>
        <v>#N/A</v>
      </c>
      <c r="K2082" s="7">
        <v>992.8</v>
      </c>
      <c r="L2082" s="8" t="str">
        <f ca="1">IFERROR(__xludf.DUMMYFUNCTION("GOOGLEFINANCE(""NSE:""&amp;D2082,""price"")"),"#N/A")</f>
        <v>#N/A</v>
      </c>
      <c r="M2082" s="9" t="e">
        <f t="shared" ca="1" si="42"/>
        <v>#VALUE!</v>
      </c>
      <c r="N2082" s="10" t="e">
        <f t="shared" ca="1" si="43"/>
        <v>#VALUE!</v>
      </c>
      <c r="O2082" s="7" t="str">
        <f ca="1">IFERROR(__xludf.DUMMYFUNCTION("GOOGLEFINANCE(""NSE:""&amp;D2082,""pe"")"),"#N/A")</f>
        <v>#N/A</v>
      </c>
      <c r="P2082" s="7" t="str">
        <f ca="1">IFERROR(__xludf.DUMMYFUNCTION("GOOGLEFINANCE(""NSE:""&amp;D2082,""EPS"")"),"#N/A")</f>
        <v>#N/A</v>
      </c>
      <c r="Q2082" s="7">
        <v>13.5</v>
      </c>
      <c r="R2082" s="7" t="str">
        <f ca="1">IFERROR(__xludf.DUMMYFUNCTION("IMPORTXML(E2082,""/html/body/main/div[3]/div[3]/div[2]/ul/li[7]/span[2]/span"")"),"Loading...")</f>
        <v>Loading...</v>
      </c>
      <c r="S2082" s="7" t="str">
        <f ca="1">IFERROR(__xludf.DUMMYFUNCTION("IMPORTXML(E2082,""/html/body/main/div[3]/div[3]/div[2]/ul/li[8]/span[2]/span"")"),"Loading...")</f>
        <v>Loading...</v>
      </c>
      <c r="T2082" s="4">
        <v>34.6</v>
      </c>
      <c r="U2082" s="4">
        <v>22.7</v>
      </c>
      <c r="V2082" s="4">
        <v>2.6</v>
      </c>
      <c r="W2082" s="4">
        <v>5.7</v>
      </c>
      <c r="X2082" s="4">
        <v>519.92999999999995</v>
      </c>
      <c r="Y2082" s="7" t="e">
        <f t="shared" ca="1" si="44"/>
        <v>#VALUE!</v>
      </c>
    </row>
    <row r="2083" spans="1:25" ht="15" x14ac:dyDescent="0.25">
      <c r="A2083" s="4">
        <v>1873</v>
      </c>
      <c r="C2083" s="41" t="s">
        <v>4291</v>
      </c>
      <c r="D2083" s="42"/>
      <c r="E2083" s="5" t="str">
        <f t="shared" si="40"/>
        <v>https://www.screener.in/company//consolidated/</v>
      </c>
      <c r="F2083" s="4">
        <v>443059</v>
      </c>
      <c r="G2083" s="4">
        <v>3832241897</v>
      </c>
      <c r="H2083" s="6" t="e">
        <f t="shared" ca="1" si="41"/>
        <v>#VALUE!</v>
      </c>
      <c r="I2083" s="7" t="str">
        <f ca="1">IFERROR(__xludf.DUMMYFUNCTION("IMPORTXML(E2083,""/html/body/main/div[3]/div[3]/div[2]/ul/li[5]/span[2]/span"")"),"Loading...")</f>
        <v>Loading...</v>
      </c>
      <c r="J2083" s="7" t="str">
        <f ca="1">IFERROR(__xludf.DUMMYFUNCTION("GOOGLEFINANCE(""NSE:""&amp;D2083,""marketcap"")"),"#N/A")</f>
        <v>#N/A</v>
      </c>
      <c r="K2083" s="7">
        <v>992.8</v>
      </c>
      <c r="L2083" s="8" t="str">
        <f ca="1">IFERROR(__xludf.DUMMYFUNCTION("GOOGLEFINANCE(""NSE:""&amp;D2083,""price"")"),"#N/A")</f>
        <v>#N/A</v>
      </c>
      <c r="M2083" s="9" t="e">
        <f t="shared" ca="1" si="42"/>
        <v>#VALUE!</v>
      </c>
      <c r="N2083" s="10" t="e">
        <f t="shared" ca="1" si="43"/>
        <v>#VALUE!</v>
      </c>
      <c r="O2083" s="7" t="str">
        <f ca="1">IFERROR(__xludf.DUMMYFUNCTION("GOOGLEFINANCE(""NSE:""&amp;D2083,""pe"")"),"#N/A")</f>
        <v>#N/A</v>
      </c>
      <c r="P2083" s="7" t="str">
        <f ca="1">IFERROR(__xludf.DUMMYFUNCTION("GOOGLEFINANCE(""NSE:""&amp;D2083,""EPS"")"),"#N/A")</f>
        <v>#N/A</v>
      </c>
      <c r="Q2083" s="7">
        <v>13.5</v>
      </c>
      <c r="R2083" s="7" t="str">
        <f ca="1">IFERROR(__xludf.DUMMYFUNCTION("IMPORTXML(E2083,""/html/body/main/div[3]/div[3]/div[2]/ul/li[7]/span[2]/span"")"),"Loading...")</f>
        <v>Loading...</v>
      </c>
      <c r="S2083" s="7" t="str">
        <f ca="1">IFERROR(__xludf.DUMMYFUNCTION("IMPORTXML(E2083,""/html/body/main/div[3]/div[3]/div[2]/ul/li[8]/span[2]/span"")"),"Loading...")</f>
        <v>Loading...</v>
      </c>
      <c r="T2083" s="4">
        <v>34.6</v>
      </c>
      <c r="U2083" s="4">
        <v>22.7</v>
      </c>
      <c r="V2083" s="4">
        <v>2.6</v>
      </c>
      <c r="W2083" s="4">
        <v>5.7</v>
      </c>
      <c r="X2083" s="4">
        <v>519.92999999999995</v>
      </c>
      <c r="Y2083" s="7" t="e">
        <f t="shared" ca="1" si="44"/>
        <v>#VALUE!</v>
      </c>
    </row>
    <row r="2084" spans="1:25" ht="15" x14ac:dyDescent="0.25">
      <c r="A2084" s="4">
        <v>1874</v>
      </c>
      <c r="C2084" s="41" t="s">
        <v>4292</v>
      </c>
      <c r="D2084" s="42"/>
      <c r="E2084" s="5" t="str">
        <f t="shared" si="40"/>
        <v>https://www.screener.in/company//consolidated/</v>
      </c>
      <c r="F2084" s="4">
        <v>443059</v>
      </c>
      <c r="G2084" s="4">
        <v>3832241897</v>
      </c>
      <c r="H2084" s="6" t="e">
        <f t="shared" ca="1" si="41"/>
        <v>#VALUE!</v>
      </c>
      <c r="I2084" s="7" t="str">
        <f ca="1">IFERROR(__xludf.DUMMYFUNCTION("IMPORTXML(E2084,""/html/body/main/div[3]/div[3]/div[2]/ul/li[5]/span[2]/span"")"),"Loading...")</f>
        <v>Loading...</v>
      </c>
      <c r="J2084" s="7" t="str">
        <f ca="1">IFERROR(__xludf.DUMMYFUNCTION("GOOGLEFINANCE(""NSE:""&amp;D2084,""marketcap"")"),"#N/A")</f>
        <v>#N/A</v>
      </c>
      <c r="K2084" s="7">
        <v>992.8</v>
      </c>
      <c r="L2084" s="8" t="str">
        <f ca="1">IFERROR(__xludf.DUMMYFUNCTION("GOOGLEFINANCE(""NSE:""&amp;D2084,""price"")"),"#N/A")</f>
        <v>#N/A</v>
      </c>
      <c r="M2084" s="9" t="e">
        <f t="shared" ca="1" si="42"/>
        <v>#VALUE!</v>
      </c>
      <c r="N2084" s="10" t="e">
        <f t="shared" ca="1" si="43"/>
        <v>#VALUE!</v>
      </c>
      <c r="O2084" s="7" t="str">
        <f ca="1">IFERROR(__xludf.DUMMYFUNCTION("GOOGLEFINANCE(""NSE:""&amp;D2084,""pe"")"),"#N/A")</f>
        <v>#N/A</v>
      </c>
      <c r="P2084" s="7" t="str">
        <f ca="1">IFERROR(__xludf.DUMMYFUNCTION("GOOGLEFINANCE(""NSE:""&amp;D2084,""EPS"")"),"#N/A")</f>
        <v>#N/A</v>
      </c>
      <c r="Q2084" s="7">
        <v>13.5</v>
      </c>
      <c r="R2084" s="7" t="str">
        <f ca="1">IFERROR(__xludf.DUMMYFUNCTION("IMPORTXML(E2084,""/html/body/main/div[3]/div[3]/div[2]/ul/li[7]/span[2]/span"")"),"Loading...")</f>
        <v>Loading...</v>
      </c>
      <c r="S2084" s="7" t="str">
        <f ca="1">IFERROR(__xludf.DUMMYFUNCTION("IMPORTXML(E2084,""/html/body/main/div[3]/div[3]/div[2]/ul/li[8]/span[2]/span"")"),"Loading...")</f>
        <v>Loading...</v>
      </c>
      <c r="T2084" s="4">
        <v>34.6</v>
      </c>
      <c r="U2084" s="4">
        <v>22.7</v>
      </c>
      <c r="V2084" s="4">
        <v>2.6</v>
      </c>
      <c r="W2084" s="4">
        <v>5.7</v>
      </c>
      <c r="X2084" s="4">
        <v>519.92999999999995</v>
      </c>
      <c r="Y2084" s="7" t="e">
        <f t="shared" ca="1" si="44"/>
        <v>#VALUE!</v>
      </c>
    </row>
    <row r="2085" spans="1:25" ht="15" x14ac:dyDescent="0.25">
      <c r="A2085" s="4">
        <v>1875</v>
      </c>
      <c r="C2085" s="12" t="s">
        <v>4293</v>
      </c>
      <c r="D2085" s="37"/>
      <c r="E2085" s="5" t="str">
        <f t="shared" si="40"/>
        <v>https://www.screener.in/company//consolidated/</v>
      </c>
      <c r="F2085" s="4">
        <v>443059</v>
      </c>
      <c r="G2085" s="4">
        <v>3832241897</v>
      </c>
      <c r="H2085" s="6" t="e">
        <f t="shared" ca="1" si="41"/>
        <v>#VALUE!</v>
      </c>
      <c r="I2085" s="7" t="str">
        <f ca="1">IFERROR(__xludf.DUMMYFUNCTION("IMPORTXML(E2085,""/html/body/main/div[3]/div[3]/div[2]/ul/li[5]/span[2]/span"")"),"Loading...")</f>
        <v>Loading...</v>
      </c>
      <c r="J2085" s="7" t="str">
        <f ca="1">IFERROR(__xludf.DUMMYFUNCTION("GOOGLEFINANCE(""NSE:""&amp;D2085,""marketcap"")"),"#N/A")</f>
        <v>#N/A</v>
      </c>
      <c r="K2085" s="7">
        <v>992.8</v>
      </c>
      <c r="L2085" s="8" t="str">
        <f ca="1">IFERROR(__xludf.DUMMYFUNCTION("GOOGLEFINANCE(""NSE:""&amp;D2085,""price"")"),"#N/A")</f>
        <v>#N/A</v>
      </c>
      <c r="M2085" s="9" t="e">
        <f t="shared" ca="1" si="42"/>
        <v>#VALUE!</v>
      </c>
      <c r="N2085" s="10" t="e">
        <f t="shared" ca="1" si="43"/>
        <v>#VALUE!</v>
      </c>
      <c r="O2085" s="7" t="str">
        <f ca="1">IFERROR(__xludf.DUMMYFUNCTION("GOOGLEFINANCE(""NSE:""&amp;D2085,""pe"")"),"#N/A")</f>
        <v>#N/A</v>
      </c>
      <c r="P2085" s="7" t="str">
        <f ca="1">IFERROR(__xludf.DUMMYFUNCTION("GOOGLEFINANCE(""NSE:""&amp;D2085,""EPS"")"),"#N/A")</f>
        <v>#N/A</v>
      </c>
      <c r="Q2085" s="7">
        <v>13.5</v>
      </c>
      <c r="R2085" s="7" t="str">
        <f ca="1">IFERROR(__xludf.DUMMYFUNCTION("IMPORTXML(E2085,""/html/body/main/div[3]/div[3]/div[2]/ul/li[7]/span[2]/span"")"),"Loading...")</f>
        <v>Loading...</v>
      </c>
      <c r="S2085" s="7" t="str">
        <f ca="1">IFERROR(__xludf.DUMMYFUNCTION("IMPORTXML(E2085,""/html/body/main/div[3]/div[3]/div[2]/ul/li[8]/span[2]/span"")"),"Loading...")</f>
        <v>Loading...</v>
      </c>
      <c r="T2085" s="4">
        <v>34.6</v>
      </c>
      <c r="U2085" s="4">
        <v>22.7</v>
      </c>
      <c r="V2085" s="4">
        <v>2.6</v>
      </c>
      <c r="W2085" s="4">
        <v>5.7</v>
      </c>
      <c r="X2085" s="4">
        <v>519.92999999999995</v>
      </c>
      <c r="Y2085" s="7" t="e">
        <f t="shared" ca="1" si="44"/>
        <v>#VALUE!</v>
      </c>
    </row>
    <row r="2086" spans="1:25" ht="15" x14ac:dyDescent="0.25">
      <c r="A2086" s="4">
        <v>1877</v>
      </c>
      <c r="C2086" s="41" t="s">
        <v>4294</v>
      </c>
      <c r="D2086" s="42"/>
      <c r="E2086" s="5" t="str">
        <f t="shared" si="40"/>
        <v>https://www.screener.in/company//consolidated/</v>
      </c>
      <c r="F2086" s="4">
        <v>443059</v>
      </c>
      <c r="G2086" s="4">
        <v>3832241897</v>
      </c>
      <c r="H2086" s="6" t="e">
        <f t="shared" ca="1" si="41"/>
        <v>#VALUE!</v>
      </c>
      <c r="I2086" s="7" t="str">
        <f ca="1">IFERROR(__xludf.DUMMYFUNCTION("IMPORTXML(E2086,""/html/body/main/div[3]/div[3]/div[2]/ul/li[5]/span[2]/span"")"),"Loading...")</f>
        <v>Loading...</v>
      </c>
      <c r="J2086" s="7" t="str">
        <f ca="1">IFERROR(__xludf.DUMMYFUNCTION("GOOGLEFINANCE(""NSE:""&amp;D2086,""marketcap"")"),"#N/A")</f>
        <v>#N/A</v>
      </c>
      <c r="K2086" s="7">
        <v>992.8</v>
      </c>
      <c r="L2086" s="8" t="str">
        <f ca="1">IFERROR(__xludf.DUMMYFUNCTION("GOOGLEFINANCE(""NSE:""&amp;D2086,""price"")"),"#N/A")</f>
        <v>#N/A</v>
      </c>
      <c r="M2086" s="9" t="e">
        <f t="shared" ca="1" si="42"/>
        <v>#VALUE!</v>
      </c>
      <c r="N2086" s="10" t="e">
        <f t="shared" ca="1" si="43"/>
        <v>#VALUE!</v>
      </c>
      <c r="O2086" s="7" t="str">
        <f ca="1">IFERROR(__xludf.DUMMYFUNCTION("GOOGLEFINANCE(""NSE:""&amp;D2086,""pe"")"),"#N/A")</f>
        <v>#N/A</v>
      </c>
      <c r="P2086" s="7" t="str">
        <f ca="1">IFERROR(__xludf.DUMMYFUNCTION("GOOGLEFINANCE(""NSE:""&amp;D2086,""EPS"")"),"#N/A")</f>
        <v>#N/A</v>
      </c>
      <c r="Q2086" s="7">
        <v>13.5</v>
      </c>
      <c r="R2086" s="7" t="str">
        <f ca="1">IFERROR(__xludf.DUMMYFUNCTION("IMPORTXML(E2086,""/html/body/main/div[3]/div[3]/div[2]/ul/li[7]/span[2]/span"")"),"Loading...")</f>
        <v>Loading...</v>
      </c>
      <c r="S2086" s="7" t="str">
        <f ca="1">IFERROR(__xludf.DUMMYFUNCTION("IMPORTXML(E2086,""/html/body/main/div[3]/div[3]/div[2]/ul/li[8]/span[2]/span"")"),"Loading...")</f>
        <v>Loading...</v>
      </c>
      <c r="T2086" s="4">
        <v>34.6</v>
      </c>
      <c r="U2086" s="4">
        <v>22.7</v>
      </c>
      <c r="V2086" s="4">
        <v>2.6</v>
      </c>
      <c r="W2086" s="4">
        <v>5.7</v>
      </c>
      <c r="X2086" s="4">
        <v>519.92999999999995</v>
      </c>
      <c r="Y2086" s="7" t="e">
        <f t="shared" ca="1" si="44"/>
        <v>#VALUE!</v>
      </c>
    </row>
    <row r="2087" spans="1:25" ht="15" x14ac:dyDescent="0.25">
      <c r="A2087" s="4">
        <v>1880</v>
      </c>
      <c r="C2087" s="12" t="s">
        <v>4295</v>
      </c>
      <c r="D2087" s="12" t="s">
        <v>4296</v>
      </c>
      <c r="E2087" s="5" t="str">
        <f t="shared" si="40"/>
        <v>https://www.screener.in/company/DTIL/consolidated/</v>
      </c>
      <c r="F2087" s="4">
        <v>443059</v>
      </c>
      <c r="G2087" s="4">
        <v>3832241897</v>
      </c>
      <c r="H2087" s="6">
        <f t="shared" ca="1" si="41"/>
        <v>73502.399584460014</v>
      </c>
      <c r="I2087" s="7" t="str">
        <f ca="1">IFERROR(__xludf.DUMMYFUNCTION("IMPORTXML(E2087,""/html/body/main/div[3]/div[3]/div[2]/ul/li[5]/span[2]/span"")"),"Loading...")</f>
        <v>Loading...</v>
      </c>
      <c r="J2087" s="7">
        <f ca="1">IFERROR(__xludf.DUMMYFUNCTION("GOOGLEFINANCE(""NSE:""&amp;D2087,""marketcap"")"),2009440000)</f>
        <v>2009440000</v>
      </c>
      <c r="K2087" s="7">
        <v>992.8</v>
      </c>
      <c r="L2087" s="8">
        <f ca="1">IFERROR(__xludf.DUMMYFUNCTION("GOOGLEFINANCE(""NSE:""&amp;D2087,""price"")"),191.8)</f>
        <v>191.8</v>
      </c>
      <c r="M2087" s="9">
        <f t="shared" ca="1" si="42"/>
        <v>-801</v>
      </c>
      <c r="N2087" s="10">
        <f t="shared" ca="1" si="43"/>
        <v>-80.6809024979855</v>
      </c>
      <c r="O2087" s="7" t="str">
        <f ca="1">IFERROR(__xludf.DUMMYFUNCTION("GOOGLEFINANCE(""NSE:""&amp;D2087,""pe"")"),"#N/A")</f>
        <v>#N/A</v>
      </c>
      <c r="P2087" s="7">
        <f ca="1">IFERROR(__xludf.DUMMYFUNCTION("GOOGLEFINANCE(""NSE:""&amp;D2087,""EPS"")"),-2.62)</f>
        <v>-2.62</v>
      </c>
      <c r="Q2087" s="7">
        <v>13.5</v>
      </c>
      <c r="R2087" s="7" t="str">
        <f ca="1">IFERROR(__xludf.DUMMYFUNCTION("IMPORTXML(E2087,""/html/body/main/div[3]/div[3]/div[2]/ul/li[7]/span[2]/span"")"),"Loading...")</f>
        <v>Loading...</v>
      </c>
      <c r="S2087" s="7" t="str">
        <f ca="1">IFERROR(__xludf.DUMMYFUNCTION("IMPORTXML(E2087,""/html/body/main/div[3]/div[3]/div[2]/ul/li[8]/span[2]/span"")"),"Loading...")</f>
        <v>Loading...</v>
      </c>
      <c r="T2087" s="4">
        <v>34.6</v>
      </c>
      <c r="U2087" s="4">
        <v>22.7</v>
      </c>
      <c r="V2087" s="4">
        <v>2.6</v>
      </c>
      <c r="W2087" s="4">
        <v>5.7</v>
      </c>
      <c r="X2087" s="4">
        <v>519.92999999999995</v>
      </c>
      <c r="Y2087" s="7">
        <f t="shared" ca="1" si="44"/>
        <v>-328.12999999999994</v>
      </c>
    </row>
    <row r="2088" spans="1:25" ht="15" x14ac:dyDescent="0.25">
      <c r="A2088" s="4">
        <v>1881</v>
      </c>
      <c r="C2088" s="41" t="s">
        <v>4297</v>
      </c>
      <c r="D2088" s="42"/>
      <c r="E2088" s="5" t="str">
        <f t="shared" si="40"/>
        <v>https://www.screener.in/company//consolidated/</v>
      </c>
      <c r="F2088" s="4">
        <v>443059</v>
      </c>
      <c r="G2088" s="4">
        <v>3832241897</v>
      </c>
      <c r="H2088" s="6" t="e">
        <f t="shared" ca="1" si="41"/>
        <v>#VALUE!</v>
      </c>
      <c r="I2088" s="7" t="str">
        <f ca="1">IFERROR(__xludf.DUMMYFUNCTION("IMPORTXML(E2088,""/html/body/main/div[3]/div[3]/div[2]/ul/li[5]/span[2]/span"")"),"Loading...")</f>
        <v>Loading...</v>
      </c>
      <c r="J2088" s="7" t="str">
        <f ca="1">IFERROR(__xludf.DUMMYFUNCTION("GOOGLEFINANCE(""NSE:""&amp;D2088,""marketcap"")"),"#N/A")</f>
        <v>#N/A</v>
      </c>
      <c r="K2088" s="7">
        <v>992.8</v>
      </c>
      <c r="L2088" s="8" t="str">
        <f ca="1">IFERROR(__xludf.DUMMYFUNCTION("GOOGLEFINANCE(""NSE:""&amp;D2088,""price"")"),"#N/A")</f>
        <v>#N/A</v>
      </c>
      <c r="M2088" s="9" t="e">
        <f t="shared" ca="1" si="42"/>
        <v>#VALUE!</v>
      </c>
      <c r="N2088" s="10" t="e">
        <f t="shared" ca="1" si="43"/>
        <v>#VALUE!</v>
      </c>
      <c r="O2088" s="7" t="str">
        <f ca="1">IFERROR(__xludf.DUMMYFUNCTION("GOOGLEFINANCE(""NSE:""&amp;D2088,""pe"")"),"#N/A")</f>
        <v>#N/A</v>
      </c>
      <c r="P2088" s="7" t="str">
        <f ca="1">IFERROR(__xludf.DUMMYFUNCTION("GOOGLEFINANCE(""NSE:""&amp;D2088,""EPS"")"),"#N/A")</f>
        <v>#N/A</v>
      </c>
      <c r="Q2088" s="7">
        <v>13.5</v>
      </c>
      <c r="R2088" s="7" t="str">
        <f ca="1">IFERROR(__xludf.DUMMYFUNCTION("IMPORTXML(E2088,""/html/body/main/div[3]/div[3]/div[2]/ul/li[7]/span[2]/span"")"),"Loading...")</f>
        <v>Loading...</v>
      </c>
      <c r="S2088" s="7" t="str">
        <f ca="1">IFERROR(__xludf.DUMMYFUNCTION("IMPORTXML(E2088,""/html/body/main/div[3]/div[3]/div[2]/ul/li[8]/span[2]/span"")"),"Loading...")</f>
        <v>Loading...</v>
      </c>
      <c r="T2088" s="4">
        <v>34.6</v>
      </c>
      <c r="U2088" s="4">
        <v>22.7</v>
      </c>
      <c r="V2088" s="4">
        <v>2.6</v>
      </c>
      <c r="W2088" s="4">
        <v>5.7</v>
      </c>
      <c r="X2088" s="4">
        <v>519.92999999999995</v>
      </c>
      <c r="Y2088" s="7" t="e">
        <f t="shared" ca="1" si="44"/>
        <v>#VALUE!</v>
      </c>
    </row>
    <row r="2089" spans="1:25" ht="15" x14ac:dyDescent="0.25">
      <c r="A2089" s="4">
        <v>1882</v>
      </c>
      <c r="C2089" s="41" t="s">
        <v>4298</v>
      </c>
      <c r="D2089" s="42"/>
      <c r="E2089" s="5" t="str">
        <f t="shared" si="40"/>
        <v>https://www.screener.in/company//consolidated/</v>
      </c>
      <c r="F2089" s="4">
        <v>443059</v>
      </c>
      <c r="G2089" s="4">
        <v>3832241897</v>
      </c>
      <c r="H2089" s="6" t="e">
        <f t="shared" ca="1" si="41"/>
        <v>#VALUE!</v>
      </c>
      <c r="I2089" s="7" t="str">
        <f ca="1">IFERROR(__xludf.DUMMYFUNCTION("IMPORTXML(E2089,""/html/body/main/div[3]/div[3]/div[2]/ul/li[5]/span[2]/span"")"),"Loading...")</f>
        <v>Loading...</v>
      </c>
      <c r="J2089" s="7" t="str">
        <f ca="1">IFERROR(__xludf.DUMMYFUNCTION("GOOGLEFINANCE(""NSE:""&amp;D2089,""marketcap"")"),"#N/A")</f>
        <v>#N/A</v>
      </c>
      <c r="K2089" s="7">
        <v>992.8</v>
      </c>
      <c r="L2089" s="8" t="str">
        <f ca="1">IFERROR(__xludf.DUMMYFUNCTION("GOOGLEFINANCE(""NSE:""&amp;D2089,""price"")"),"#N/A")</f>
        <v>#N/A</v>
      </c>
      <c r="M2089" s="9" t="e">
        <f t="shared" ca="1" si="42"/>
        <v>#VALUE!</v>
      </c>
      <c r="N2089" s="10" t="e">
        <f t="shared" ca="1" si="43"/>
        <v>#VALUE!</v>
      </c>
      <c r="O2089" s="7" t="str">
        <f ca="1">IFERROR(__xludf.DUMMYFUNCTION("GOOGLEFINANCE(""NSE:""&amp;D2089,""pe"")"),"#N/A")</f>
        <v>#N/A</v>
      </c>
      <c r="P2089" s="7" t="str">
        <f ca="1">IFERROR(__xludf.DUMMYFUNCTION("GOOGLEFINANCE(""NSE:""&amp;D2089,""EPS"")"),"#N/A")</f>
        <v>#N/A</v>
      </c>
      <c r="Q2089" s="7">
        <v>13.5</v>
      </c>
      <c r="R2089" s="7" t="str">
        <f ca="1">IFERROR(__xludf.DUMMYFUNCTION("IMPORTXML(E2089,""/html/body/main/div[3]/div[3]/div[2]/ul/li[7]/span[2]/span"")"),"Loading...")</f>
        <v>Loading...</v>
      </c>
      <c r="S2089" s="7" t="str">
        <f ca="1">IFERROR(__xludf.DUMMYFUNCTION("IMPORTXML(E2089,""/html/body/main/div[3]/div[3]/div[2]/ul/li[8]/span[2]/span"")"),"Loading...")</f>
        <v>Loading...</v>
      </c>
      <c r="T2089" s="4">
        <v>34.6</v>
      </c>
      <c r="U2089" s="4">
        <v>22.7</v>
      </c>
      <c r="V2089" s="4">
        <v>2.6</v>
      </c>
      <c r="W2089" s="4">
        <v>5.7</v>
      </c>
      <c r="X2089" s="4">
        <v>519.92999999999995</v>
      </c>
      <c r="Y2089" s="7" t="e">
        <f t="shared" ca="1" si="44"/>
        <v>#VALUE!</v>
      </c>
    </row>
    <row r="2090" spans="1:25" ht="15" x14ac:dyDescent="0.25">
      <c r="A2090" s="4">
        <v>1884</v>
      </c>
      <c r="C2090" s="41" t="s">
        <v>4299</v>
      </c>
      <c r="D2090" s="42"/>
      <c r="E2090" s="5" t="str">
        <f t="shared" si="40"/>
        <v>https://www.screener.in/company//consolidated/</v>
      </c>
      <c r="F2090" s="4">
        <v>443059</v>
      </c>
      <c r="G2090" s="4">
        <v>3832241897</v>
      </c>
      <c r="H2090" s="6" t="e">
        <f t="shared" ca="1" si="41"/>
        <v>#VALUE!</v>
      </c>
      <c r="I2090" s="7" t="str">
        <f ca="1">IFERROR(__xludf.DUMMYFUNCTION("IMPORTXML(E2090,""/html/body/main/div[3]/div[3]/div[2]/ul/li[5]/span[2]/span"")"),"Loading...")</f>
        <v>Loading...</v>
      </c>
      <c r="J2090" s="7" t="str">
        <f ca="1">IFERROR(__xludf.DUMMYFUNCTION("GOOGLEFINANCE(""NSE:""&amp;D2090,""marketcap"")"),"#N/A")</f>
        <v>#N/A</v>
      </c>
      <c r="K2090" s="7">
        <v>992.8</v>
      </c>
      <c r="L2090" s="8" t="str">
        <f ca="1">IFERROR(__xludf.DUMMYFUNCTION("GOOGLEFINANCE(""NSE:""&amp;D2090,""price"")"),"#N/A")</f>
        <v>#N/A</v>
      </c>
      <c r="M2090" s="9" t="e">
        <f t="shared" ca="1" si="42"/>
        <v>#VALUE!</v>
      </c>
      <c r="N2090" s="10" t="e">
        <f t="shared" ca="1" si="43"/>
        <v>#VALUE!</v>
      </c>
      <c r="O2090" s="7" t="str">
        <f ca="1">IFERROR(__xludf.DUMMYFUNCTION("GOOGLEFINANCE(""NSE:""&amp;D2090,""pe"")"),"#N/A")</f>
        <v>#N/A</v>
      </c>
      <c r="P2090" s="7" t="str">
        <f ca="1">IFERROR(__xludf.DUMMYFUNCTION("GOOGLEFINANCE(""NSE:""&amp;D2090,""EPS"")"),"#N/A")</f>
        <v>#N/A</v>
      </c>
      <c r="Q2090" s="7">
        <v>13.5</v>
      </c>
      <c r="R2090" s="7" t="str">
        <f ca="1">IFERROR(__xludf.DUMMYFUNCTION("IMPORTXML(E2090,""/html/body/main/div[3]/div[3]/div[2]/ul/li[7]/span[2]/span"")"),"Loading...")</f>
        <v>Loading...</v>
      </c>
      <c r="S2090" s="7" t="str">
        <f ca="1">IFERROR(__xludf.DUMMYFUNCTION("IMPORTXML(E2090,""/html/body/main/div[3]/div[3]/div[2]/ul/li[8]/span[2]/span"")"),"Loading...")</f>
        <v>Loading...</v>
      </c>
      <c r="T2090" s="4">
        <v>34.6</v>
      </c>
      <c r="U2090" s="4">
        <v>22.7</v>
      </c>
      <c r="V2090" s="4">
        <v>2.6</v>
      </c>
      <c r="W2090" s="4">
        <v>5.7</v>
      </c>
      <c r="X2090" s="4">
        <v>519.92999999999995</v>
      </c>
      <c r="Y2090" s="7" t="e">
        <f t="shared" ca="1" si="44"/>
        <v>#VALUE!</v>
      </c>
    </row>
    <row r="2091" spans="1:25" ht="15" x14ac:dyDescent="0.25">
      <c r="A2091" s="4">
        <v>1885</v>
      </c>
      <c r="C2091" s="41" t="s">
        <v>4300</v>
      </c>
      <c r="D2091" s="42"/>
      <c r="E2091" s="5" t="str">
        <f t="shared" si="40"/>
        <v>https://www.screener.in/company//consolidated/</v>
      </c>
      <c r="F2091" s="4">
        <v>443059</v>
      </c>
      <c r="G2091" s="4">
        <v>3832241897</v>
      </c>
      <c r="H2091" s="6" t="e">
        <f t="shared" ca="1" si="41"/>
        <v>#VALUE!</v>
      </c>
      <c r="I2091" s="7" t="str">
        <f ca="1">IFERROR(__xludf.DUMMYFUNCTION("IMPORTXML(E2091,""/html/body/main/div[3]/div[3]/div[2]/ul/li[5]/span[2]/span"")"),"Loading...")</f>
        <v>Loading...</v>
      </c>
      <c r="J2091" s="7" t="str">
        <f ca="1">IFERROR(__xludf.DUMMYFUNCTION("GOOGLEFINANCE(""NSE:""&amp;D2091,""marketcap"")"),"#N/A")</f>
        <v>#N/A</v>
      </c>
      <c r="K2091" s="7">
        <v>992.8</v>
      </c>
      <c r="L2091" s="8" t="str">
        <f ca="1">IFERROR(__xludf.DUMMYFUNCTION("GOOGLEFINANCE(""NSE:""&amp;D2091,""price"")"),"#N/A")</f>
        <v>#N/A</v>
      </c>
      <c r="M2091" s="9" t="e">
        <f t="shared" ca="1" si="42"/>
        <v>#VALUE!</v>
      </c>
      <c r="N2091" s="10" t="e">
        <f t="shared" ca="1" si="43"/>
        <v>#VALUE!</v>
      </c>
      <c r="O2091" s="7" t="str">
        <f ca="1">IFERROR(__xludf.DUMMYFUNCTION("GOOGLEFINANCE(""NSE:""&amp;D2091,""pe"")"),"#N/A")</f>
        <v>#N/A</v>
      </c>
      <c r="P2091" s="7" t="str">
        <f ca="1">IFERROR(__xludf.DUMMYFUNCTION("GOOGLEFINANCE(""NSE:""&amp;D2091,""EPS"")"),"#N/A")</f>
        <v>#N/A</v>
      </c>
      <c r="Q2091" s="7">
        <v>13.5</v>
      </c>
      <c r="R2091" s="7" t="str">
        <f ca="1">IFERROR(__xludf.DUMMYFUNCTION("IMPORTXML(E2091,""/html/body/main/div[3]/div[3]/div[2]/ul/li[7]/span[2]/span"")"),"Loading...")</f>
        <v>Loading...</v>
      </c>
      <c r="S2091" s="7" t="str">
        <f ca="1">IFERROR(__xludf.DUMMYFUNCTION("IMPORTXML(E2091,""/html/body/main/div[3]/div[3]/div[2]/ul/li[8]/span[2]/span"")"),"Loading...")</f>
        <v>Loading...</v>
      </c>
      <c r="T2091" s="4">
        <v>34.6</v>
      </c>
      <c r="U2091" s="4">
        <v>22.7</v>
      </c>
      <c r="V2091" s="4">
        <v>2.6</v>
      </c>
      <c r="W2091" s="4">
        <v>5.7</v>
      </c>
      <c r="X2091" s="4">
        <v>519.92999999999995</v>
      </c>
      <c r="Y2091" s="7" t="e">
        <f t="shared" ca="1" si="44"/>
        <v>#VALUE!</v>
      </c>
    </row>
    <row r="2092" spans="1:25" ht="15" x14ac:dyDescent="0.25">
      <c r="A2092" s="4">
        <v>1887</v>
      </c>
      <c r="C2092" s="41" t="s">
        <v>4301</v>
      </c>
      <c r="D2092" s="42"/>
      <c r="E2092" s="5" t="str">
        <f t="shared" si="40"/>
        <v>https://www.screener.in/company//consolidated/</v>
      </c>
      <c r="F2092" s="4">
        <v>443059</v>
      </c>
      <c r="G2092" s="4">
        <v>3832241897</v>
      </c>
      <c r="H2092" s="6" t="e">
        <f t="shared" ca="1" si="41"/>
        <v>#VALUE!</v>
      </c>
      <c r="I2092" s="7" t="str">
        <f ca="1">IFERROR(__xludf.DUMMYFUNCTION("IMPORTXML(E2092,""/html/body/main/div[3]/div[3]/div[2]/ul/li[5]/span[2]/span"")"),"Loading...")</f>
        <v>Loading...</v>
      </c>
      <c r="J2092" s="7" t="str">
        <f ca="1">IFERROR(__xludf.DUMMYFUNCTION("GOOGLEFINANCE(""NSE:""&amp;D2092,""marketcap"")"),"#N/A")</f>
        <v>#N/A</v>
      </c>
      <c r="K2092" s="7">
        <v>992.8</v>
      </c>
      <c r="L2092" s="8" t="str">
        <f ca="1">IFERROR(__xludf.DUMMYFUNCTION("GOOGLEFINANCE(""NSE:""&amp;D2092,""price"")"),"#N/A")</f>
        <v>#N/A</v>
      </c>
      <c r="M2092" s="9" t="e">
        <f t="shared" ca="1" si="42"/>
        <v>#VALUE!</v>
      </c>
      <c r="N2092" s="10" t="e">
        <f t="shared" ca="1" si="43"/>
        <v>#VALUE!</v>
      </c>
      <c r="O2092" s="7" t="str">
        <f ca="1">IFERROR(__xludf.DUMMYFUNCTION("GOOGLEFINANCE(""NSE:""&amp;D2092,""pe"")"),"#N/A")</f>
        <v>#N/A</v>
      </c>
      <c r="P2092" s="7" t="str">
        <f ca="1">IFERROR(__xludf.DUMMYFUNCTION("GOOGLEFINANCE(""NSE:""&amp;D2092,""EPS"")"),"#N/A")</f>
        <v>#N/A</v>
      </c>
      <c r="Q2092" s="7">
        <v>13.5</v>
      </c>
      <c r="R2092" s="7" t="str">
        <f ca="1">IFERROR(__xludf.DUMMYFUNCTION("IMPORTXML(E2092,""/html/body/main/div[3]/div[3]/div[2]/ul/li[7]/span[2]/span"")"),"Loading...")</f>
        <v>Loading...</v>
      </c>
      <c r="S2092" s="7" t="str">
        <f ca="1">IFERROR(__xludf.DUMMYFUNCTION("IMPORTXML(E2092,""/html/body/main/div[3]/div[3]/div[2]/ul/li[8]/span[2]/span"")"),"Loading...")</f>
        <v>Loading...</v>
      </c>
      <c r="T2092" s="4">
        <v>34.6</v>
      </c>
      <c r="U2092" s="4">
        <v>22.7</v>
      </c>
      <c r="V2092" s="4">
        <v>2.6</v>
      </c>
      <c r="W2092" s="4">
        <v>5.7</v>
      </c>
      <c r="X2092" s="4">
        <v>519.92999999999995</v>
      </c>
      <c r="Y2092" s="7" t="e">
        <f t="shared" ca="1" si="44"/>
        <v>#VALUE!</v>
      </c>
    </row>
    <row r="2093" spans="1:25" ht="15" x14ac:dyDescent="0.25">
      <c r="A2093" s="4">
        <v>1888</v>
      </c>
      <c r="C2093" s="41" t="s">
        <v>4302</v>
      </c>
      <c r="D2093" s="42"/>
      <c r="E2093" s="5" t="str">
        <f t="shared" si="40"/>
        <v>https://www.screener.in/company//consolidated/</v>
      </c>
      <c r="F2093" s="4">
        <v>443059</v>
      </c>
      <c r="G2093" s="4">
        <v>3832241897</v>
      </c>
      <c r="H2093" s="6" t="e">
        <f t="shared" ca="1" si="41"/>
        <v>#VALUE!</v>
      </c>
      <c r="I2093" s="7" t="str">
        <f ca="1">IFERROR(__xludf.DUMMYFUNCTION("IMPORTXML(E2093,""/html/body/main/div[3]/div[3]/div[2]/ul/li[5]/span[2]/span"")"),"Loading...")</f>
        <v>Loading...</v>
      </c>
      <c r="J2093" s="7" t="str">
        <f ca="1">IFERROR(__xludf.DUMMYFUNCTION("GOOGLEFINANCE(""NSE:""&amp;D2093,""marketcap"")"),"#N/A")</f>
        <v>#N/A</v>
      </c>
      <c r="K2093" s="7">
        <v>992.8</v>
      </c>
      <c r="L2093" s="8" t="str">
        <f ca="1">IFERROR(__xludf.DUMMYFUNCTION("GOOGLEFINANCE(""NSE:""&amp;D2093,""price"")"),"#N/A")</f>
        <v>#N/A</v>
      </c>
      <c r="M2093" s="9" t="e">
        <f t="shared" ca="1" si="42"/>
        <v>#VALUE!</v>
      </c>
      <c r="N2093" s="10" t="e">
        <f t="shared" ca="1" si="43"/>
        <v>#VALUE!</v>
      </c>
      <c r="O2093" s="7" t="str">
        <f ca="1">IFERROR(__xludf.DUMMYFUNCTION("GOOGLEFINANCE(""NSE:""&amp;D2093,""pe"")"),"#N/A")</f>
        <v>#N/A</v>
      </c>
      <c r="P2093" s="7" t="str">
        <f ca="1">IFERROR(__xludf.DUMMYFUNCTION("GOOGLEFINANCE(""NSE:""&amp;D2093,""EPS"")"),"#N/A")</f>
        <v>#N/A</v>
      </c>
      <c r="Q2093" s="7">
        <v>13.5</v>
      </c>
      <c r="R2093" s="7" t="str">
        <f ca="1">IFERROR(__xludf.DUMMYFUNCTION("IMPORTXML(E2093,""/html/body/main/div[3]/div[3]/div[2]/ul/li[7]/span[2]/span"")"),"Loading...")</f>
        <v>Loading...</v>
      </c>
      <c r="S2093" s="7" t="str">
        <f ca="1">IFERROR(__xludf.DUMMYFUNCTION("IMPORTXML(E2093,""/html/body/main/div[3]/div[3]/div[2]/ul/li[8]/span[2]/span"")"),"Loading...")</f>
        <v>Loading...</v>
      </c>
      <c r="T2093" s="4">
        <v>34.6</v>
      </c>
      <c r="U2093" s="4">
        <v>22.7</v>
      </c>
      <c r="V2093" s="4">
        <v>2.6</v>
      </c>
      <c r="W2093" s="4">
        <v>5.7</v>
      </c>
      <c r="X2093" s="4">
        <v>519.92999999999995</v>
      </c>
      <c r="Y2093" s="7" t="e">
        <f t="shared" ca="1" si="44"/>
        <v>#VALUE!</v>
      </c>
    </row>
    <row r="2094" spans="1:25" ht="15" x14ac:dyDescent="0.25">
      <c r="A2094" s="4">
        <v>1890</v>
      </c>
      <c r="C2094" s="41" t="s">
        <v>4303</v>
      </c>
      <c r="D2094" s="42"/>
      <c r="E2094" s="5" t="str">
        <f t="shared" si="40"/>
        <v>https://www.screener.in/company//consolidated/</v>
      </c>
      <c r="F2094" s="4">
        <v>443059</v>
      </c>
      <c r="G2094" s="4">
        <v>3832241897</v>
      </c>
      <c r="H2094" s="6" t="e">
        <f t="shared" ca="1" si="41"/>
        <v>#VALUE!</v>
      </c>
      <c r="I2094" s="7" t="str">
        <f ca="1">IFERROR(__xludf.DUMMYFUNCTION("IMPORTXML(E2094,""/html/body/main/div[3]/div[3]/div[2]/ul/li[5]/span[2]/span"")"),"Loading...")</f>
        <v>Loading...</v>
      </c>
      <c r="J2094" s="7" t="str">
        <f ca="1">IFERROR(__xludf.DUMMYFUNCTION("GOOGLEFINANCE(""NSE:""&amp;D2094,""marketcap"")"),"#N/A")</f>
        <v>#N/A</v>
      </c>
      <c r="K2094" s="7">
        <v>992.8</v>
      </c>
      <c r="L2094" s="8" t="str">
        <f ca="1">IFERROR(__xludf.DUMMYFUNCTION("GOOGLEFINANCE(""NSE:""&amp;D2094,""price"")"),"#N/A")</f>
        <v>#N/A</v>
      </c>
      <c r="M2094" s="9" t="e">
        <f t="shared" ca="1" si="42"/>
        <v>#VALUE!</v>
      </c>
      <c r="N2094" s="10" t="e">
        <f t="shared" ca="1" si="43"/>
        <v>#VALUE!</v>
      </c>
      <c r="O2094" s="7" t="str">
        <f ca="1">IFERROR(__xludf.DUMMYFUNCTION("GOOGLEFINANCE(""NSE:""&amp;D2094,""pe"")"),"#N/A")</f>
        <v>#N/A</v>
      </c>
      <c r="P2094" s="7" t="str">
        <f ca="1">IFERROR(__xludf.DUMMYFUNCTION("GOOGLEFINANCE(""NSE:""&amp;D2094,""EPS"")"),"#N/A")</f>
        <v>#N/A</v>
      </c>
      <c r="Q2094" s="7">
        <v>13.5</v>
      </c>
      <c r="R2094" s="7" t="str">
        <f ca="1">IFERROR(__xludf.DUMMYFUNCTION("IMPORTXML(E2094,""/html/body/main/div[3]/div[3]/div[2]/ul/li[7]/span[2]/span"")"),"Loading...")</f>
        <v>Loading...</v>
      </c>
      <c r="S2094" s="7" t="str">
        <f ca="1">IFERROR(__xludf.DUMMYFUNCTION("IMPORTXML(E2094,""/html/body/main/div[3]/div[3]/div[2]/ul/li[8]/span[2]/span"")"),"Loading...")</f>
        <v>Loading...</v>
      </c>
      <c r="T2094" s="4">
        <v>34.6</v>
      </c>
      <c r="U2094" s="4">
        <v>22.7</v>
      </c>
      <c r="V2094" s="4">
        <v>2.6</v>
      </c>
      <c r="W2094" s="4">
        <v>5.7</v>
      </c>
      <c r="X2094" s="4">
        <v>519.92999999999995</v>
      </c>
      <c r="Y2094" s="7" t="e">
        <f t="shared" ca="1" si="44"/>
        <v>#VALUE!</v>
      </c>
    </row>
    <row r="2095" spans="1:25" ht="15" x14ac:dyDescent="0.25">
      <c r="A2095" s="4">
        <v>1891</v>
      </c>
      <c r="C2095" s="41" t="s">
        <v>4304</v>
      </c>
      <c r="D2095" s="42"/>
      <c r="E2095" s="5" t="str">
        <f t="shared" si="40"/>
        <v>https://www.screener.in/company//consolidated/</v>
      </c>
      <c r="F2095" s="4">
        <v>443059</v>
      </c>
      <c r="G2095" s="4">
        <v>3832241897</v>
      </c>
      <c r="H2095" s="6" t="e">
        <f t="shared" ca="1" si="41"/>
        <v>#VALUE!</v>
      </c>
      <c r="I2095" s="7" t="str">
        <f ca="1">IFERROR(__xludf.DUMMYFUNCTION("IMPORTXML(E2095,""/html/body/main/div[3]/div[3]/div[2]/ul/li[5]/span[2]/span"")"),"Loading...")</f>
        <v>Loading...</v>
      </c>
      <c r="J2095" s="7" t="str">
        <f ca="1">IFERROR(__xludf.DUMMYFUNCTION("GOOGLEFINANCE(""NSE:""&amp;D2095,""marketcap"")"),"#N/A")</f>
        <v>#N/A</v>
      </c>
      <c r="K2095" s="7">
        <v>992.8</v>
      </c>
      <c r="L2095" s="8" t="str">
        <f ca="1">IFERROR(__xludf.DUMMYFUNCTION("GOOGLEFINANCE(""NSE:""&amp;D2095,""price"")"),"#N/A")</f>
        <v>#N/A</v>
      </c>
      <c r="M2095" s="9" t="e">
        <f t="shared" ca="1" si="42"/>
        <v>#VALUE!</v>
      </c>
      <c r="N2095" s="10" t="e">
        <f t="shared" ca="1" si="43"/>
        <v>#VALUE!</v>
      </c>
      <c r="O2095" s="7" t="str">
        <f ca="1">IFERROR(__xludf.DUMMYFUNCTION("GOOGLEFINANCE(""NSE:""&amp;D2095,""pe"")"),"#N/A")</f>
        <v>#N/A</v>
      </c>
      <c r="P2095" s="7" t="str">
        <f ca="1">IFERROR(__xludf.DUMMYFUNCTION("GOOGLEFINANCE(""NSE:""&amp;D2095,""EPS"")"),"#N/A")</f>
        <v>#N/A</v>
      </c>
      <c r="Q2095" s="7">
        <v>13.5</v>
      </c>
      <c r="R2095" s="7" t="str">
        <f ca="1">IFERROR(__xludf.DUMMYFUNCTION("IMPORTXML(E2095,""/html/body/main/div[3]/div[3]/div[2]/ul/li[7]/span[2]/span"")"),"Loading...")</f>
        <v>Loading...</v>
      </c>
      <c r="S2095" s="7" t="str">
        <f ca="1">IFERROR(__xludf.DUMMYFUNCTION("IMPORTXML(E2095,""/html/body/main/div[3]/div[3]/div[2]/ul/li[8]/span[2]/span"")"),"Loading...")</f>
        <v>Loading...</v>
      </c>
      <c r="T2095" s="4">
        <v>34.6</v>
      </c>
      <c r="U2095" s="4">
        <v>22.7</v>
      </c>
      <c r="V2095" s="4">
        <v>2.6</v>
      </c>
      <c r="W2095" s="4">
        <v>5.7</v>
      </c>
      <c r="X2095" s="4">
        <v>519.92999999999995</v>
      </c>
      <c r="Y2095" s="7" t="e">
        <f t="shared" ca="1" si="44"/>
        <v>#VALUE!</v>
      </c>
    </row>
    <row r="2096" spans="1:25" ht="15" x14ac:dyDescent="0.25">
      <c r="A2096" s="4">
        <v>1892</v>
      </c>
      <c r="C2096" s="41" t="s">
        <v>4305</v>
      </c>
      <c r="D2096" s="42"/>
      <c r="E2096" s="5" t="str">
        <f t="shared" si="40"/>
        <v>https://www.screener.in/company//consolidated/</v>
      </c>
      <c r="F2096" s="4">
        <v>443059</v>
      </c>
      <c r="G2096" s="4">
        <v>3832241897</v>
      </c>
      <c r="H2096" s="6" t="e">
        <f t="shared" ca="1" si="41"/>
        <v>#VALUE!</v>
      </c>
      <c r="I2096" s="7" t="str">
        <f ca="1">IFERROR(__xludf.DUMMYFUNCTION("IMPORTXML(E2096,""/html/body/main/div[3]/div[3]/div[2]/ul/li[5]/span[2]/span"")"),"Loading...")</f>
        <v>Loading...</v>
      </c>
      <c r="J2096" s="7" t="str">
        <f ca="1">IFERROR(__xludf.DUMMYFUNCTION("GOOGLEFINANCE(""NSE:""&amp;D2096,""marketcap"")"),"#N/A")</f>
        <v>#N/A</v>
      </c>
      <c r="K2096" s="7">
        <v>992.8</v>
      </c>
      <c r="L2096" s="8" t="str">
        <f ca="1">IFERROR(__xludf.DUMMYFUNCTION("GOOGLEFINANCE(""NSE:""&amp;D2096,""price"")"),"#N/A")</f>
        <v>#N/A</v>
      </c>
      <c r="M2096" s="9" t="e">
        <f t="shared" ca="1" si="42"/>
        <v>#VALUE!</v>
      </c>
      <c r="N2096" s="10" t="e">
        <f t="shared" ca="1" si="43"/>
        <v>#VALUE!</v>
      </c>
      <c r="O2096" s="7" t="str">
        <f ca="1">IFERROR(__xludf.DUMMYFUNCTION("GOOGLEFINANCE(""NSE:""&amp;D2096,""pe"")"),"#N/A")</f>
        <v>#N/A</v>
      </c>
      <c r="P2096" s="7" t="str">
        <f ca="1">IFERROR(__xludf.DUMMYFUNCTION("GOOGLEFINANCE(""NSE:""&amp;D2096,""EPS"")"),"#N/A")</f>
        <v>#N/A</v>
      </c>
      <c r="Q2096" s="7">
        <v>13.5</v>
      </c>
      <c r="R2096" s="7" t="str">
        <f ca="1">IFERROR(__xludf.DUMMYFUNCTION("IMPORTXML(E2096,""/html/body/main/div[3]/div[3]/div[2]/ul/li[7]/span[2]/span"")"),"Loading...")</f>
        <v>Loading...</v>
      </c>
      <c r="S2096" s="7" t="str">
        <f ca="1">IFERROR(__xludf.DUMMYFUNCTION("IMPORTXML(E2096,""/html/body/main/div[3]/div[3]/div[2]/ul/li[8]/span[2]/span"")"),"Loading...")</f>
        <v>Loading...</v>
      </c>
      <c r="T2096" s="4">
        <v>34.6</v>
      </c>
      <c r="U2096" s="4">
        <v>22.7</v>
      </c>
      <c r="V2096" s="4">
        <v>2.6</v>
      </c>
      <c r="W2096" s="4">
        <v>5.7</v>
      </c>
      <c r="X2096" s="4">
        <v>519.92999999999995</v>
      </c>
      <c r="Y2096" s="7" t="e">
        <f t="shared" ca="1" si="44"/>
        <v>#VALUE!</v>
      </c>
    </row>
    <row r="2097" spans="1:25" ht="15" x14ac:dyDescent="0.25">
      <c r="A2097" s="4">
        <v>1893</v>
      </c>
      <c r="C2097" s="41" t="s">
        <v>4306</v>
      </c>
      <c r="D2097" s="42"/>
      <c r="E2097" s="5" t="str">
        <f t="shared" si="40"/>
        <v>https://www.screener.in/company//consolidated/</v>
      </c>
      <c r="F2097" s="4">
        <v>443059</v>
      </c>
      <c r="G2097" s="4">
        <v>3832241897</v>
      </c>
      <c r="H2097" s="6" t="e">
        <f t="shared" ca="1" si="41"/>
        <v>#VALUE!</v>
      </c>
      <c r="I2097" s="7" t="str">
        <f ca="1">IFERROR(__xludf.DUMMYFUNCTION("IMPORTXML(E2097,""/html/body/main/div[3]/div[3]/div[2]/ul/li[5]/span[2]/span"")"),"Loading...")</f>
        <v>Loading...</v>
      </c>
      <c r="J2097" s="7" t="str">
        <f ca="1">IFERROR(__xludf.DUMMYFUNCTION("GOOGLEFINANCE(""NSE:""&amp;D2097,""marketcap"")"),"#N/A")</f>
        <v>#N/A</v>
      </c>
      <c r="K2097" s="7">
        <v>992.8</v>
      </c>
      <c r="L2097" s="8" t="str">
        <f ca="1">IFERROR(__xludf.DUMMYFUNCTION("GOOGLEFINANCE(""NSE:""&amp;D2097,""price"")"),"#N/A")</f>
        <v>#N/A</v>
      </c>
      <c r="M2097" s="9" t="e">
        <f t="shared" ca="1" si="42"/>
        <v>#VALUE!</v>
      </c>
      <c r="N2097" s="10" t="e">
        <f t="shared" ca="1" si="43"/>
        <v>#VALUE!</v>
      </c>
      <c r="O2097" s="7" t="str">
        <f ca="1">IFERROR(__xludf.DUMMYFUNCTION("GOOGLEFINANCE(""NSE:""&amp;D2097,""pe"")"),"#N/A")</f>
        <v>#N/A</v>
      </c>
      <c r="P2097" s="7" t="str">
        <f ca="1">IFERROR(__xludf.DUMMYFUNCTION("GOOGLEFINANCE(""NSE:""&amp;D2097,""EPS"")"),"#N/A")</f>
        <v>#N/A</v>
      </c>
      <c r="Q2097" s="7">
        <v>13.5</v>
      </c>
      <c r="R2097" s="7" t="str">
        <f ca="1">IFERROR(__xludf.DUMMYFUNCTION("IMPORTXML(E2097,""/html/body/main/div[3]/div[3]/div[2]/ul/li[7]/span[2]/span"")"),"Loading...")</f>
        <v>Loading...</v>
      </c>
      <c r="S2097" s="7" t="str">
        <f ca="1">IFERROR(__xludf.DUMMYFUNCTION("IMPORTXML(E2097,""/html/body/main/div[3]/div[3]/div[2]/ul/li[8]/span[2]/span"")"),"Loading...")</f>
        <v>Loading...</v>
      </c>
      <c r="T2097" s="4">
        <v>34.6</v>
      </c>
      <c r="U2097" s="4">
        <v>22.7</v>
      </c>
      <c r="V2097" s="4">
        <v>2.6</v>
      </c>
      <c r="W2097" s="4">
        <v>5.7</v>
      </c>
      <c r="X2097" s="4">
        <v>519.92999999999995</v>
      </c>
      <c r="Y2097" s="7" t="e">
        <f t="shared" ca="1" si="44"/>
        <v>#VALUE!</v>
      </c>
    </row>
    <row r="2098" spans="1:25" ht="15" x14ac:dyDescent="0.25">
      <c r="A2098" s="4">
        <v>1894</v>
      </c>
      <c r="C2098" s="41" t="s">
        <v>4307</v>
      </c>
      <c r="D2098" s="42"/>
      <c r="E2098" s="5" t="str">
        <f t="shared" si="40"/>
        <v>https://www.screener.in/company//consolidated/</v>
      </c>
      <c r="F2098" s="4">
        <v>443059</v>
      </c>
      <c r="G2098" s="4">
        <v>3832241897</v>
      </c>
      <c r="H2098" s="6" t="e">
        <f t="shared" ca="1" si="41"/>
        <v>#VALUE!</v>
      </c>
      <c r="I2098" s="7" t="str">
        <f ca="1">IFERROR(__xludf.DUMMYFUNCTION("IMPORTXML(E2098,""/html/body/main/div[3]/div[3]/div[2]/ul/li[5]/span[2]/span"")"),"Loading...")</f>
        <v>Loading...</v>
      </c>
      <c r="J2098" s="7" t="str">
        <f ca="1">IFERROR(__xludf.DUMMYFUNCTION("GOOGLEFINANCE(""NSE:""&amp;D2098,""marketcap"")"),"#N/A")</f>
        <v>#N/A</v>
      </c>
      <c r="K2098" s="7">
        <v>992.8</v>
      </c>
      <c r="L2098" s="8" t="str">
        <f ca="1">IFERROR(__xludf.DUMMYFUNCTION("GOOGLEFINANCE(""NSE:""&amp;D2098,""price"")"),"#N/A")</f>
        <v>#N/A</v>
      </c>
      <c r="M2098" s="9" t="e">
        <f t="shared" ca="1" si="42"/>
        <v>#VALUE!</v>
      </c>
      <c r="N2098" s="10" t="e">
        <f t="shared" ca="1" si="43"/>
        <v>#VALUE!</v>
      </c>
      <c r="O2098" s="7" t="str">
        <f ca="1">IFERROR(__xludf.DUMMYFUNCTION("GOOGLEFINANCE(""NSE:""&amp;D2098,""pe"")"),"#N/A")</f>
        <v>#N/A</v>
      </c>
      <c r="P2098" s="7" t="str">
        <f ca="1">IFERROR(__xludf.DUMMYFUNCTION("GOOGLEFINANCE(""NSE:""&amp;D2098,""EPS"")"),"#N/A")</f>
        <v>#N/A</v>
      </c>
      <c r="Q2098" s="7">
        <v>13.5</v>
      </c>
      <c r="R2098" s="7" t="str">
        <f ca="1">IFERROR(__xludf.DUMMYFUNCTION("IMPORTXML(E2098,""/html/body/main/div[3]/div[3]/div[2]/ul/li[7]/span[2]/span"")"),"Loading...")</f>
        <v>Loading...</v>
      </c>
      <c r="S2098" s="7" t="str">
        <f ca="1">IFERROR(__xludf.DUMMYFUNCTION("IMPORTXML(E2098,""/html/body/main/div[3]/div[3]/div[2]/ul/li[8]/span[2]/span"")"),"Loading...")</f>
        <v>Loading...</v>
      </c>
      <c r="T2098" s="4">
        <v>34.6</v>
      </c>
      <c r="U2098" s="4">
        <v>22.7</v>
      </c>
      <c r="V2098" s="4">
        <v>2.6</v>
      </c>
      <c r="W2098" s="4">
        <v>5.7</v>
      </c>
      <c r="X2098" s="4">
        <v>519.92999999999995</v>
      </c>
      <c r="Y2098" s="7" t="e">
        <f t="shared" ca="1" si="44"/>
        <v>#VALUE!</v>
      </c>
    </row>
    <row r="2099" spans="1:25" ht="15" x14ac:dyDescent="0.25">
      <c r="A2099" s="4">
        <v>1895</v>
      </c>
      <c r="C2099" s="41" t="s">
        <v>4308</v>
      </c>
      <c r="D2099" s="42"/>
      <c r="E2099" s="5" t="str">
        <f t="shared" si="40"/>
        <v>https://www.screener.in/company//consolidated/</v>
      </c>
      <c r="F2099" s="4">
        <v>443059</v>
      </c>
      <c r="G2099" s="4">
        <v>3832241897</v>
      </c>
      <c r="H2099" s="6" t="e">
        <f t="shared" ca="1" si="41"/>
        <v>#VALUE!</v>
      </c>
      <c r="I2099" s="7" t="str">
        <f ca="1">IFERROR(__xludf.DUMMYFUNCTION("IMPORTXML(E2099,""/html/body/main/div[3]/div[3]/div[2]/ul/li[5]/span[2]/span"")"),"Loading...")</f>
        <v>Loading...</v>
      </c>
      <c r="J2099" s="7" t="str">
        <f ca="1">IFERROR(__xludf.DUMMYFUNCTION("GOOGLEFINANCE(""NSE:""&amp;D2099,""marketcap"")"),"#N/A")</f>
        <v>#N/A</v>
      </c>
      <c r="K2099" s="7">
        <v>992.8</v>
      </c>
      <c r="L2099" s="8" t="str">
        <f ca="1">IFERROR(__xludf.DUMMYFUNCTION("GOOGLEFINANCE(""NSE:""&amp;D2099,""price"")"),"#N/A")</f>
        <v>#N/A</v>
      </c>
      <c r="M2099" s="9" t="e">
        <f t="shared" ca="1" si="42"/>
        <v>#VALUE!</v>
      </c>
      <c r="N2099" s="10" t="e">
        <f t="shared" ca="1" si="43"/>
        <v>#VALUE!</v>
      </c>
      <c r="O2099" s="7" t="str">
        <f ca="1">IFERROR(__xludf.DUMMYFUNCTION("GOOGLEFINANCE(""NSE:""&amp;D2099,""pe"")"),"#N/A")</f>
        <v>#N/A</v>
      </c>
      <c r="P2099" s="7" t="str">
        <f ca="1">IFERROR(__xludf.DUMMYFUNCTION("GOOGLEFINANCE(""NSE:""&amp;D2099,""EPS"")"),"#N/A")</f>
        <v>#N/A</v>
      </c>
      <c r="Q2099" s="7">
        <v>13.5</v>
      </c>
      <c r="R2099" s="7" t="str">
        <f ca="1">IFERROR(__xludf.DUMMYFUNCTION("IMPORTXML(E2099,""/html/body/main/div[3]/div[3]/div[2]/ul/li[7]/span[2]/span"")"),"Loading...")</f>
        <v>Loading...</v>
      </c>
      <c r="S2099" s="7" t="str">
        <f ca="1">IFERROR(__xludf.DUMMYFUNCTION("IMPORTXML(E2099,""/html/body/main/div[3]/div[3]/div[2]/ul/li[8]/span[2]/span"")"),"Loading...")</f>
        <v>Loading...</v>
      </c>
      <c r="T2099" s="4">
        <v>34.6</v>
      </c>
      <c r="U2099" s="4">
        <v>22.7</v>
      </c>
      <c r="V2099" s="4">
        <v>2.6</v>
      </c>
      <c r="W2099" s="4">
        <v>5.7</v>
      </c>
      <c r="X2099" s="4">
        <v>519.92999999999995</v>
      </c>
      <c r="Y2099" s="7" t="e">
        <f t="shared" ca="1" si="44"/>
        <v>#VALUE!</v>
      </c>
    </row>
    <row r="2100" spans="1:25" ht="15" x14ac:dyDescent="0.25">
      <c r="A2100" s="4">
        <v>1896</v>
      </c>
      <c r="C2100" s="41" t="s">
        <v>4309</v>
      </c>
      <c r="D2100" s="42"/>
      <c r="E2100" s="5" t="str">
        <f t="shared" si="40"/>
        <v>https://www.screener.in/company//consolidated/</v>
      </c>
      <c r="F2100" s="4">
        <v>443059</v>
      </c>
      <c r="G2100" s="4">
        <v>3832241897</v>
      </c>
      <c r="H2100" s="6" t="e">
        <f t="shared" ca="1" si="41"/>
        <v>#VALUE!</v>
      </c>
      <c r="I2100" s="7" t="str">
        <f ca="1">IFERROR(__xludf.DUMMYFUNCTION("IMPORTXML(E2100,""/html/body/main/div[3]/div[3]/div[2]/ul/li[5]/span[2]/span"")"),"Loading...")</f>
        <v>Loading...</v>
      </c>
      <c r="J2100" s="7" t="str">
        <f ca="1">IFERROR(__xludf.DUMMYFUNCTION("GOOGLEFINANCE(""NSE:""&amp;D2100,""marketcap"")"),"#N/A")</f>
        <v>#N/A</v>
      </c>
      <c r="K2100" s="7">
        <v>992.8</v>
      </c>
      <c r="L2100" s="8" t="str">
        <f ca="1">IFERROR(__xludf.DUMMYFUNCTION("GOOGLEFINANCE(""NSE:""&amp;D2100,""price"")"),"#N/A")</f>
        <v>#N/A</v>
      </c>
      <c r="M2100" s="9" t="e">
        <f t="shared" ca="1" si="42"/>
        <v>#VALUE!</v>
      </c>
      <c r="N2100" s="10" t="e">
        <f t="shared" ca="1" si="43"/>
        <v>#VALUE!</v>
      </c>
      <c r="O2100" s="7" t="str">
        <f ca="1">IFERROR(__xludf.DUMMYFUNCTION("GOOGLEFINANCE(""NSE:""&amp;D2100,""pe"")"),"#N/A")</f>
        <v>#N/A</v>
      </c>
      <c r="P2100" s="7" t="str">
        <f ca="1">IFERROR(__xludf.DUMMYFUNCTION("GOOGLEFINANCE(""NSE:""&amp;D2100,""EPS"")"),"#N/A")</f>
        <v>#N/A</v>
      </c>
      <c r="Q2100" s="7">
        <v>13.5</v>
      </c>
      <c r="R2100" s="7" t="str">
        <f ca="1">IFERROR(__xludf.DUMMYFUNCTION("IMPORTXML(E2100,""/html/body/main/div[3]/div[3]/div[2]/ul/li[7]/span[2]/span"")"),"Loading...")</f>
        <v>Loading...</v>
      </c>
      <c r="S2100" s="7" t="str">
        <f ca="1">IFERROR(__xludf.DUMMYFUNCTION("IMPORTXML(E2100,""/html/body/main/div[3]/div[3]/div[2]/ul/li[8]/span[2]/span"")"),"Loading...")</f>
        <v>Loading...</v>
      </c>
      <c r="T2100" s="4">
        <v>34.6</v>
      </c>
      <c r="U2100" s="4">
        <v>22.7</v>
      </c>
      <c r="V2100" s="4">
        <v>2.6</v>
      </c>
      <c r="W2100" s="4">
        <v>5.7</v>
      </c>
      <c r="X2100" s="4">
        <v>519.92999999999995</v>
      </c>
      <c r="Y2100" s="7" t="e">
        <f t="shared" ca="1" si="44"/>
        <v>#VALUE!</v>
      </c>
    </row>
    <row r="2101" spans="1:25" ht="15" x14ac:dyDescent="0.25">
      <c r="A2101" s="4">
        <v>1898</v>
      </c>
      <c r="C2101" s="41" t="s">
        <v>4310</v>
      </c>
      <c r="D2101" s="42"/>
      <c r="E2101" s="5" t="str">
        <f t="shared" si="40"/>
        <v>https://www.screener.in/company//consolidated/</v>
      </c>
      <c r="F2101" s="4">
        <v>443059</v>
      </c>
      <c r="G2101" s="4">
        <v>3832241897</v>
      </c>
      <c r="H2101" s="6" t="e">
        <f t="shared" ca="1" si="41"/>
        <v>#VALUE!</v>
      </c>
      <c r="I2101" s="7" t="str">
        <f ca="1">IFERROR(__xludf.DUMMYFUNCTION("IMPORTXML(E2101,""/html/body/main/div[3]/div[3]/div[2]/ul/li[5]/span[2]/span"")"),"Loading...")</f>
        <v>Loading...</v>
      </c>
      <c r="J2101" s="7" t="str">
        <f ca="1">IFERROR(__xludf.DUMMYFUNCTION("GOOGLEFINANCE(""NSE:""&amp;D2101,""marketcap"")"),"#N/A")</f>
        <v>#N/A</v>
      </c>
      <c r="K2101" s="7">
        <v>992.8</v>
      </c>
      <c r="L2101" s="8" t="str">
        <f ca="1">IFERROR(__xludf.DUMMYFUNCTION("GOOGLEFINANCE(""NSE:""&amp;D2101,""price"")"),"#N/A")</f>
        <v>#N/A</v>
      </c>
      <c r="M2101" s="9" t="e">
        <f t="shared" ca="1" si="42"/>
        <v>#VALUE!</v>
      </c>
      <c r="N2101" s="10" t="e">
        <f t="shared" ca="1" si="43"/>
        <v>#VALUE!</v>
      </c>
      <c r="O2101" s="7" t="str">
        <f ca="1">IFERROR(__xludf.DUMMYFUNCTION("GOOGLEFINANCE(""NSE:""&amp;D2101,""pe"")"),"#N/A")</f>
        <v>#N/A</v>
      </c>
      <c r="P2101" s="7" t="str">
        <f ca="1">IFERROR(__xludf.DUMMYFUNCTION("GOOGLEFINANCE(""NSE:""&amp;D2101,""EPS"")"),"#N/A")</f>
        <v>#N/A</v>
      </c>
      <c r="Q2101" s="7">
        <v>13.5</v>
      </c>
      <c r="R2101" s="7" t="str">
        <f ca="1">IFERROR(__xludf.DUMMYFUNCTION("IMPORTXML(E2101,""/html/body/main/div[3]/div[3]/div[2]/ul/li[7]/span[2]/span"")"),"Loading...")</f>
        <v>Loading...</v>
      </c>
      <c r="S2101" s="7" t="str">
        <f ca="1">IFERROR(__xludf.DUMMYFUNCTION("IMPORTXML(E2101,""/html/body/main/div[3]/div[3]/div[2]/ul/li[8]/span[2]/span"")"),"Loading...")</f>
        <v>Loading...</v>
      </c>
      <c r="T2101" s="4">
        <v>34.6</v>
      </c>
      <c r="U2101" s="4">
        <v>22.7</v>
      </c>
      <c r="V2101" s="4">
        <v>2.6</v>
      </c>
      <c r="W2101" s="4">
        <v>5.7</v>
      </c>
      <c r="X2101" s="4">
        <v>519.92999999999995</v>
      </c>
      <c r="Y2101" s="7" t="e">
        <f t="shared" ca="1" si="44"/>
        <v>#VALUE!</v>
      </c>
    </row>
    <row r="2102" spans="1:25" ht="15" x14ac:dyDescent="0.25">
      <c r="A2102" s="4">
        <v>1899</v>
      </c>
      <c r="C2102" s="12" t="s">
        <v>4311</v>
      </c>
      <c r="D2102" s="37"/>
      <c r="E2102" s="5" t="str">
        <f t="shared" si="40"/>
        <v>https://www.screener.in/company//consolidated/</v>
      </c>
      <c r="F2102" s="4">
        <v>443059</v>
      </c>
      <c r="G2102" s="4">
        <v>3832241897</v>
      </c>
      <c r="H2102" s="6" t="e">
        <f t="shared" ca="1" si="41"/>
        <v>#VALUE!</v>
      </c>
      <c r="I2102" s="7" t="str">
        <f ca="1">IFERROR(__xludf.DUMMYFUNCTION("IMPORTXML(E2102,""/html/body/main/div[3]/div[3]/div[2]/ul/li[5]/span[2]/span"")"),"Loading...")</f>
        <v>Loading...</v>
      </c>
      <c r="J2102" s="7" t="str">
        <f ca="1">IFERROR(__xludf.DUMMYFUNCTION("GOOGLEFINANCE(""NSE:""&amp;D2102,""marketcap"")"),"#N/A")</f>
        <v>#N/A</v>
      </c>
      <c r="K2102" s="7">
        <v>992.8</v>
      </c>
      <c r="L2102" s="8" t="str">
        <f ca="1">IFERROR(__xludf.DUMMYFUNCTION("GOOGLEFINANCE(""NSE:""&amp;D2102,""price"")"),"#N/A")</f>
        <v>#N/A</v>
      </c>
      <c r="M2102" s="9" t="e">
        <f t="shared" ca="1" si="42"/>
        <v>#VALUE!</v>
      </c>
      <c r="N2102" s="10" t="e">
        <f t="shared" ca="1" si="43"/>
        <v>#VALUE!</v>
      </c>
      <c r="O2102" s="7" t="str">
        <f ca="1">IFERROR(__xludf.DUMMYFUNCTION("GOOGLEFINANCE(""NSE:""&amp;D2102,""pe"")"),"#N/A")</f>
        <v>#N/A</v>
      </c>
      <c r="P2102" s="7" t="str">
        <f ca="1">IFERROR(__xludf.DUMMYFUNCTION("GOOGLEFINANCE(""NSE:""&amp;D2102,""EPS"")"),"#N/A")</f>
        <v>#N/A</v>
      </c>
      <c r="Q2102" s="7">
        <v>13.5</v>
      </c>
      <c r="R2102" s="7" t="str">
        <f ca="1">IFERROR(__xludf.DUMMYFUNCTION("IMPORTXML(E2102,""/html/body/main/div[3]/div[3]/div[2]/ul/li[7]/span[2]/span"")"),"Loading...")</f>
        <v>Loading...</v>
      </c>
      <c r="S2102" s="7" t="str">
        <f ca="1">IFERROR(__xludf.DUMMYFUNCTION("IMPORTXML(E2102,""/html/body/main/div[3]/div[3]/div[2]/ul/li[8]/span[2]/span"")"),"Loading...")</f>
        <v>Loading...</v>
      </c>
      <c r="T2102" s="4">
        <v>34.6</v>
      </c>
      <c r="U2102" s="4">
        <v>22.7</v>
      </c>
      <c r="V2102" s="4">
        <v>2.6</v>
      </c>
      <c r="W2102" s="4">
        <v>5.7</v>
      </c>
      <c r="X2102" s="4">
        <v>519.92999999999995</v>
      </c>
      <c r="Y2102" s="7" t="e">
        <f t="shared" ca="1" si="44"/>
        <v>#VALUE!</v>
      </c>
    </row>
    <row r="2103" spans="1:25" ht="15" x14ac:dyDescent="0.25">
      <c r="A2103" s="4">
        <v>1900</v>
      </c>
      <c r="C2103" s="41" t="s">
        <v>4312</v>
      </c>
      <c r="D2103" s="42"/>
      <c r="E2103" s="5" t="str">
        <f t="shared" si="40"/>
        <v>https://www.screener.in/company//consolidated/</v>
      </c>
      <c r="F2103" s="4">
        <v>443059</v>
      </c>
      <c r="G2103" s="4">
        <v>3832241897</v>
      </c>
      <c r="H2103" s="6" t="e">
        <f t="shared" ca="1" si="41"/>
        <v>#VALUE!</v>
      </c>
      <c r="I2103" s="7" t="str">
        <f ca="1">IFERROR(__xludf.DUMMYFUNCTION("IMPORTXML(E2103,""/html/body/main/div[3]/div[3]/div[2]/ul/li[5]/span[2]/span"")"),"Loading...")</f>
        <v>Loading...</v>
      </c>
      <c r="J2103" s="7" t="str">
        <f ca="1">IFERROR(__xludf.DUMMYFUNCTION("GOOGLEFINANCE(""NSE:""&amp;D2103,""marketcap"")"),"#N/A")</f>
        <v>#N/A</v>
      </c>
      <c r="K2103" s="7">
        <v>992.8</v>
      </c>
      <c r="L2103" s="8" t="str">
        <f ca="1">IFERROR(__xludf.DUMMYFUNCTION("GOOGLEFINANCE(""NSE:""&amp;D2103,""price"")"),"#N/A")</f>
        <v>#N/A</v>
      </c>
      <c r="M2103" s="9" t="e">
        <f t="shared" ca="1" si="42"/>
        <v>#VALUE!</v>
      </c>
      <c r="N2103" s="10" t="e">
        <f t="shared" ca="1" si="43"/>
        <v>#VALUE!</v>
      </c>
      <c r="O2103" s="7" t="str">
        <f ca="1">IFERROR(__xludf.DUMMYFUNCTION("GOOGLEFINANCE(""NSE:""&amp;D2103,""pe"")"),"#N/A")</f>
        <v>#N/A</v>
      </c>
      <c r="P2103" s="7" t="str">
        <f ca="1">IFERROR(__xludf.DUMMYFUNCTION("GOOGLEFINANCE(""NSE:""&amp;D2103,""EPS"")"),"#N/A")</f>
        <v>#N/A</v>
      </c>
      <c r="Q2103" s="7">
        <v>13.5</v>
      </c>
      <c r="R2103" s="7" t="str">
        <f ca="1">IFERROR(__xludf.DUMMYFUNCTION("IMPORTXML(E2103,""/html/body/main/div[3]/div[3]/div[2]/ul/li[7]/span[2]/span"")"),"Loading...")</f>
        <v>Loading...</v>
      </c>
      <c r="S2103" s="7" t="str">
        <f ca="1">IFERROR(__xludf.DUMMYFUNCTION("IMPORTXML(E2103,""/html/body/main/div[3]/div[3]/div[2]/ul/li[8]/span[2]/span"")"),"Loading...")</f>
        <v>Loading...</v>
      </c>
      <c r="T2103" s="4">
        <v>34.6</v>
      </c>
      <c r="U2103" s="4">
        <v>22.7</v>
      </c>
      <c r="V2103" s="4">
        <v>2.6</v>
      </c>
      <c r="W2103" s="4">
        <v>5.7</v>
      </c>
      <c r="X2103" s="4">
        <v>519.92999999999995</v>
      </c>
      <c r="Y2103" s="7" t="e">
        <f t="shared" ca="1" si="44"/>
        <v>#VALUE!</v>
      </c>
    </row>
    <row r="2104" spans="1:25" ht="15" x14ac:dyDescent="0.25">
      <c r="A2104" s="4">
        <v>1901</v>
      </c>
      <c r="C2104" s="41" t="s">
        <v>4313</v>
      </c>
      <c r="D2104" s="42"/>
      <c r="E2104" s="5" t="str">
        <f t="shared" si="40"/>
        <v>https://www.screener.in/company//consolidated/</v>
      </c>
      <c r="F2104" s="4">
        <v>443059</v>
      </c>
      <c r="G2104" s="4">
        <v>3832241897</v>
      </c>
      <c r="H2104" s="6" t="e">
        <f t="shared" ca="1" si="41"/>
        <v>#VALUE!</v>
      </c>
      <c r="I2104" s="7" t="str">
        <f ca="1">IFERROR(__xludf.DUMMYFUNCTION("IMPORTXML(E2104,""/html/body/main/div[3]/div[3]/div[2]/ul/li[5]/span[2]/span"")"),"Loading...")</f>
        <v>Loading...</v>
      </c>
      <c r="J2104" s="7" t="str">
        <f ca="1">IFERROR(__xludf.DUMMYFUNCTION("GOOGLEFINANCE(""NSE:""&amp;D2104,""marketcap"")"),"#N/A")</f>
        <v>#N/A</v>
      </c>
      <c r="K2104" s="7">
        <v>992.8</v>
      </c>
      <c r="L2104" s="8" t="str">
        <f ca="1">IFERROR(__xludf.DUMMYFUNCTION("GOOGLEFINANCE(""NSE:""&amp;D2104,""price"")"),"#N/A")</f>
        <v>#N/A</v>
      </c>
      <c r="M2104" s="9" t="e">
        <f t="shared" ca="1" si="42"/>
        <v>#VALUE!</v>
      </c>
      <c r="N2104" s="10" t="e">
        <f t="shared" ca="1" si="43"/>
        <v>#VALUE!</v>
      </c>
      <c r="O2104" s="7" t="str">
        <f ca="1">IFERROR(__xludf.DUMMYFUNCTION("GOOGLEFINANCE(""NSE:""&amp;D2104,""pe"")"),"#N/A")</f>
        <v>#N/A</v>
      </c>
      <c r="P2104" s="7" t="str">
        <f ca="1">IFERROR(__xludf.DUMMYFUNCTION("GOOGLEFINANCE(""NSE:""&amp;D2104,""EPS"")"),"#N/A")</f>
        <v>#N/A</v>
      </c>
      <c r="Q2104" s="7">
        <v>13.5</v>
      </c>
      <c r="R2104" s="7" t="str">
        <f ca="1">IFERROR(__xludf.DUMMYFUNCTION("IMPORTXML(E2104,""/html/body/main/div[3]/div[3]/div[2]/ul/li[7]/span[2]/span"")"),"Loading...")</f>
        <v>Loading...</v>
      </c>
      <c r="S2104" s="7" t="str">
        <f ca="1">IFERROR(__xludf.DUMMYFUNCTION("IMPORTXML(E2104,""/html/body/main/div[3]/div[3]/div[2]/ul/li[8]/span[2]/span"")"),"Loading...")</f>
        <v>Loading...</v>
      </c>
      <c r="T2104" s="4">
        <v>34.6</v>
      </c>
      <c r="U2104" s="4">
        <v>22.7</v>
      </c>
      <c r="V2104" s="4">
        <v>2.6</v>
      </c>
      <c r="W2104" s="4">
        <v>5.7</v>
      </c>
      <c r="X2104" s="4">
        <v>519.92999999999995</v>
      </c>
      <c r="Y2104" s="7" t="e">
        <f t="shared" ca="1" si="44"/>
        <v>#VALUE!</v>
      </c>
    </row>
    <row r="2105" spans="1:25" ht="15" x14ac:dyDescent="0.25">
      <c r="A2105" s="4">
        <v>1903</v>
      </c>
      <c r="C2105" s="12" t="s">
        <v>4314</v>
      </c>
      <c r="D2105" s="12" t="s">
        <v>4315</v>
      </c>
      <c r="E2105" s="5" t="str">
        <f t="shared" si="40"/>
        <v>https://www.screener.in/company/INDTERRAIN/consolidated/</v>
      </c>
      <c r="F2105" s="4">
        <v>443059</v>
      </c>
      <c r="G2105" s="4">
        <v>3832241897</v>
      </c>
      <c r="H2105" s="6">
        <f t="shared" ca="1" si="41"/>
        <v>13106.26728774</v>
      </c>
      <c r="I2105" s="7" t="str">
        <f ca="1">IFERROR(__xludf.DUMMYFUNCTION("IMPORTXML(E2105,""/html/body/main/div[3]/div[3]/div[2]/ul/li[5]/span[2]/span"")"),"Loading...")</f>
        <v>Loading...</v>
      </c>
      <c r="J2105" s="7">
        <f ca="1">IFERROR(__xludf.DUMMYFUNCTION("GOOGLEFINANCE(""NSE:""&amp;D2105,""marketcap"")"),1724717000)</f>
        <v>1724717000</v>
      </c>
      <c r="K2105" s="7">
        <v>992.8</v>
      </c>
      <c r="L2105" s="8">
        <f ca="1">IFERROR(__xludf.DUMMYFUNCTION("GOOGLEFINANCE(""NSE:""&amp;D2105,""price"")"),34.2)</f>
        <v>34.200000000000003</v>
      </c>
      <c r="M2105" s="9">
        <f t="shared" ca="1" si="42"/>
        <v>-958.59999999999991</v>
      </c>
      <c r="N2105" s="10">
        <f t="shared" ca="1" si="43"/>
        <v>-96.555197421434329</v>
      </c>
      <c r="O2105" s="7" t="str">
        <f ca="1">IFERROR(__xludf.DUMMYFUNCTION("GOOGLEFINANCE(""NSE:""&amp;D2105,""pe"")"),"#N/A")</f>
        <v>#N/A</v>
      </c>
      <c r="P2105" s="7">
        <f ca="1">IFERROR(__xludf.DUMMYFUNCTION("GOOGLEFINANCE(""NSE:""&amp;D2105,""EPS"")"),-9.48)</f>
        <v>-9.48</v>
      </c>
      <c r="Q2105" s="7">
        <v>13.5</v>
      </c>
      <c r="R2105" s="7" t="str">
        <f ca="1">IFERROR(__xludf.DUMMYFUNCTION("IMPORTXML(E2105,""/html/body/main/div[3]/div[3]/div[2]/ul/li[7]/span[2]/span"")"),"Loading...")</f>
        <v>Loading...</v>
      </c>
      <c r="S2105" s="7" t="str">
        <f ca="1">IFERROR(__xludf.DUMMYFUNCTION("IMPORTXML(E2105,""/html/body/main/div[3]/div[3]/div[2]/ul/li[8]/span[2]/span"")"),"Loading...")</f>
        <v>Loading...</v>
      </c>
      <c r="T2105" s="4">
        <v>34.6</v>
      </c>
      <c r="U2105" s="4">
        <v>22.7</v>
      </c>
      <c r="V2105" s="4">
        <v>2.6</v>
      </c>
      <c r="W2105" s="4">
        <v>5.7</v>
      </c>
      <c r="X2105" s="4">
        <v>519.92999999999995</v>
      </c>
      <c r="Y2105" s="7">
        <f t="shared" ca="1" si="44"/>
        <v>-485.72999999999996</v>
      </c>
    </row>
    <row r="2106" spans="1:25" ht="15" x14ac:dyDescent="0.25">
      <c r="A2106" s="4">
        <v>1904</v>
      </c>
      <c r="C2106" s="41" t="s">
        <v>4316</v>
      </c>
      <c r="D2106" s="42"/>
      <c r="E2106" s="5" t="str">
        <f t="shared" si="40"/>
        <v>https://www.screener.in/company//consolidated/</v>
      </c>
      <c r="F2106" s="4">
        <v>443059</v>
      </c>
      <c r="G2106" s="4">
        <v>3832241897</v>
      </c>
      <c r="H2106" s="6" t="e">
        <f t="shared" ca="1" si="41"/>
        <v>#VALUE!</v>
      </c>
      <c r="I2106" s="7" t="str">
        <f ca="1">IFERROR(__xludf.DUMMYFUNCTION("IMPORTXML(E2106,""/html/body/main/div[3]/div[3]/div[2]/ul/li[5]/span[2]/span"")"),"Loading...")</f>
        <v>Loading...</v>
      </c>
      <c r="J2106" s="7" t="str">
        <f ca="1">IFERROR(__xludf.DUMMYFUNCTION("GOOGLEFINANCE(""NSE:""&amp;D2106,""marketcap"")"),"#N/A")</f>
        <v>#N/A</v>
      </c>
      <c r="K2106" s="7">
        <v>992.8</v>
      </c>
      <c r="L2106" s="8" t="str">
        <f ca="1">IFERROR(__xludf.DUMMYFUNCTION("GOOGLEFINANCE(""NSE:""&amp;D2106,""price"")"),"#N/A")</f>
        <v>#N/A</v>
      </c>
      <c r="M2106" s="9" t="e">
        <f t="shared" ca="1" si="42"/>
        <v>#VALUE!</v>
      </c>
      <c r="N2106" s="10" t="e">
        <f t="shared" ca="1" si="43"/>
        <v>#VALUE!</v>
      </c>
      <c r="O2106" s="7" t="str">
        <f ca="1">IFERROR(__xludf.DUMMYFUNCTION("GOOGLEFINANCE(""NSE:""&amp;D2106,""pe"")"),"#N/A")</f>
        <v>#N/A</v>
      </c>
      <c r="P2106" s="7" t="str">
        <f ca="1">IFERROR(__xludf.DUMMYFUNCTION("GOOGLEFINANCE(""NSE:""&amp;D2106,""EPS"")"),"#N/A")</f>
        <v>#N/A</v>
      </c>
      <c r="Q2106" s="7">
        <v>13.5</v>
      </c>
      <c r="R2106" s="7" t="str">
        <f ca="1">IFERROR(__xludf.DUMMYFUNCTION("IMPORTXML(E2106,""/html/body/main/div[3]/div[3]/div[2]/ul/li[7]/span[2]/span"")"),"Loading...")</f>
        <v>Loading...</v>
      </c>
      <c r="S2106" s="7" t="str">
        <f ca="1">IFERROR(__xludf.DUMMYFUNCTION("IMPORTXML(E2106,""/html/body/main/div[3]/div[3]/div[2]/ul/li[8]/span[2]/span"")"),"Loading...")</f>
        <v>Loading...</v>
      </c>
      <c r="T2106" s="4">
        <v>34.6</v>
      </c>
      <c r="U2106" s="4">
        <v>22.7</v>
      </c>
      <c r="V2106" s="4">
        <v>2.6</v>
      </c>
      <c r="W2106" s="4">
        <v>5.7</v>
      </c>
      <c r="X2106" s="4">
        <v>519.92999999999995</v>
      </c>
      <c r="Y2106" s="7" t="e">
        <f t="shared" ca="1" si="44"/>
        <v>#VALUE!</v>
      </c>
    </row>
    <row r="2107" spans="1:25" ht="15" x14ac:dyDescent="0.25">
      <c r="A2107" s="4">
        <v>1905</v>
      </c>
      <c r="C2107" s="41" t="s">
        <v>4317</v>
      </c>
      <c r="D2107" s="42"/>
      <c r="E2107" s="5" t="str">
        <f t="shared" si="40"/>
        <v>https://www.screener.in/company//consolidated/</v>
      </c>
      <c r="F2107" s="4">
        <v>443059</v>
      </c>
      <c r="G2107" s="4">
        <v>3832241897</v>
      </c>
      <c r="H2107" s="6" t="e">
        <f t="shared" ca="1" si="41"/>
        <v>#VALUE!</v>
      </c>
      <c r="I2107" s="7" t="str">
        <f ca="1">IFERROR(__xludf.DUMMYFUNCTION("IMPORTXML(E2107,""/html/body/main/div[3]/div[3]/div[2]/ul/li[5]/span[2]/span"")"),"Loading...")</f>
        <v>Loading...</v>
      </c>
      <c r="J2107" s="7" t="str">
        <f ca="1">IFERROR(__xludf.DUMMYFUNCTION("GOOGLEFINANCE(""NSE:""&amp;D2107,""marketcap"")"),"#N/A")</f>
        <v>#N/A</v>
      </c>
      <c r="K2107" s="7">
        <v>992.8</v>
      </c>
      <c r="L2107" s="8" t="str">
        <f ca="1">IFERROR(__xludf.DUMMYFUNCTION("GOOGLEFINANCE(""NSE:""&amp;D2107,""price"")"),"#N/A")</f>
        <v>#N/A</v>
      </c>
      <c r="M2107" s="9" t="e">
        <f t="shared" ca="1" si="42"/>
        <v>#VALUE!</v>
      </c>
      <c r="N2107" s="10" t="e">
        <f t="shared" ca="1" si="43"/>
        <v>#VALUE!</v>
      </c>
      <c r="O2107" s="7" t="str">
        <f ca="1">IFERROR(__xludf.DUMMYFUNCTION("GOOGLEFINANCE(""NSE:""&amp;D2107,""pe"")"),"#N/A")</f>
        <v>#N/A</v>
      </c>
      <c r="P2107" s="7" t="str">
        <f ca="1">IFERROR(__xludf.DUMMYFUNCTION("GOOGLEFINANCE(""NSE:""&amp;D2107,""EPS"")"),"#N/A")</f>
        <v>#N/A</v>
      </c>
      <c r="Q2107" s="7">
        <v>13.5</v>
      </c>
      <c r="R2107" s="7" t="str">
        <f ca="1">IFERROR(__xludf.DUMMYFUNCTION("IMPORTXML(E2107,""/html/body/main/div[3]/div[3]/div[2]/ul/li[7]/span[2]/span"")"),"Loading...")</f>
        <v>Loading...</v>
      </c>
      <c r="S2107" s="7" t="str">
        <f ca="1">IFERROR(__xludf.DUMMYFUNCTION("IMPORTXML(E2107,""/html/body/main/div[3]/div[3]/div[2]/ul/li[8]/span[2]/span"")"),"Loading...")</f>
        <v>Loading...</v>
      </c>
      <c r="T2107" s="4">
        <v>34.6</v>
      </c>
      <c r="U2107" s="4">
        <v>22.7</v>
      </c>
      <c r="V2107" s="4">
        <v>2.6</v>
      </c>
      <c r="W2107" s="4">
        <v>5.7</v>
      </c>
      <c r="X2107" s="4">
        <v>519.92999999999995</v>
      </c>
      <c r="Y2107" s="7" t="e">
        <f t="shared" ca="1" si="44"/>
        <v>#VALUE!</v>
      </c>
    </row>
    <row r="2108" spans="1:25" ht="15" x14ac:dyDescent="0.25">
      <c r="A2108" s="4">
        <v>1906</v>
      </c>
      <c r="C2108" s="41" t="s">
        <v>4318</v>
      </c>
      <c r="D2108" s="42"/>
      <c r="E2108" s="5" t="str">
        <f t="shared" si="40"/>
        <v>https://www.screener.in/company//consolidated/</v>
      </c>
      <c r="F2108" s="4">
        <v>443059</v>
      </c>
      <c r="G2108" s="4">
        <v>3832241897</v>
      </c>
      <c r="H2108" s="6" t="e">
        <f t="shared" ca="1" si="41"/>
        <v>#VALUE!</v>
      </c>
      <c r="I2108" s="7" t="str">
        <f ca="1">IFERROR(__xludf.DUMMYFUNCTION("IMPORTXML(E2108,""/html/body/main/div[3]/div[3]/div[2]/ul/li[5]/span[2]/span"")"),"Loading...")</f>
        <v>Loading...</v>
      </c>
      <c r="J2108" s="7" t="str">
        <f ca="1">IFERROR(__xludf.DUMMYFUNCTION("GOOGLEFINANCE(""NSE:""&amp;D2108,""marketcap"")"),"#N/A")</f>
        <v>#N/A</v>
      </c>
      <c r="K2108" s="7">
        <v>992.8</v>
      </c>
      <c r="L2108" s="8" t="str">
        <f ca="1">IFERROR(__xludf.DUMMYFUNCTION("GOOGLEFINANCE(""NSE:""&amp;D2108,""price"")"),"#N/A")</f>
        <v>#N/A</v>
      </c>
      <c r="M2108" s="9" t="e">
        <f t="shared" ca="1" si="42"/>
        <v>#VALUE!</v>
      </c>
      <c r="N2108" s="10" t="e">
        <f t="shared" ca="1" si="43"/>
        <v>#VALUE!</v>
      </c>
      <c r="O2108" s="7" t="str">
        <f ca="1">IFERROR(__xludf.DUMMYFUNCTION("GOOGLEFINANCE(""NSE:""&amp;D2108,""pe"")"),"#N/A")</f>
        <v>#N/A</v>
      </c>
      <c r="P2108" s="7" t="str">
        <f ca="1">IFERROR(__xludf.DUMMYFUNCTION("GOOGLEFINANCE(""NSE:""&amp;D2108,""EPS"")"),"#N/A")</f>
        <v>#N/A</v>
      </c>
      <c r="Q2108" s="7">
        <v>13.5</v>
      </c>
      <c r="R2108" s="7" t="str">
        <f ca="1">IFERROR(__xludf.DUMMYFUNCTION("IMPORTXML(E2108,""/html/body/main/div[3]/div[3]/div[2]/ul/li[7]/span[2]/span"")"),"Loading...")</f>
        <v>Loading...</v>
      </c>
      <c r="S2108" s="7" t="str">
        <f ca="1">IFERROR(__xludf.DUMMYFUNCTION("IMPORTXML(E2108,""/html/body/main/div[3]/div[3]/div[2]/ul/li[8]/span[2]/span"")"),"Loading...")</f>
        <v>Loading...</v>
      </c>
      <c r="T2108" s="4">
        <v>34.6</v>
      </c>
      <c r="U2108" s="4">
        <v>22.7</v>
      </c>
      <c r="V2108" s="4">
        <v>2.6</v>
      </c>
      <c r="W2108" s="4">
        <v>5.7</v>
      </c>
      <c r="X2108" s="4">
        <v>519.92999999999995</v>
      </c>
      <c r="Y2108" s="7" t="e">
        <f t="shared" ca="1" si="44"/>
        <v>#VALUE!</v>
      </c>
    </row>
    <row r="2109" spans="1:25" ht="15" x14ac:dyDescent="0.25">
      <c r="A2109" s="4">
        <v>1908</v>
      </c>
      <c r="C2109" s="41" t="s">
        <v>4319</v>
      </c>
      <c r="D2109" s="42"/>
      <c r="E2109" s="5" t="str">
        <f t="shared" si="40"/>
        <v>https://www.screener.in/company//consolidated/</v>
      </c>
      <c r="F2109" s="4">
        <v>443059</v>
      </c>
      <c r="G2109" s="4">
        <v>3832241897</v>
      </c>
      <c r="H2109" s="6" t="e">
        <f t="shared" ca="1" si="41"/>
        <v>#VALUE!</v>
      </c>
      <c r="I2109" s="7" t="str">
        <f ca="1">IFERROR(__xludf.DUMMYFUNCTION("IMPORTXML(E2109,""/html/body/main/div[3]/div[3]/div[2]/ul/li[5]/span[2]/span"")"),"Loading...")</f>
        <v>Loading...</v>
      </c>
      <c r="J2109" s="7" t="str">
        <f ca="1">IFERROR(__xludf.DUMMYFUNCTION("GOOGLEFINANCE(""NSE:""&amp;D2109,""marketcap"")"),"#N/A")</f>
        <v>#N/A</v>
      </c>
      <c r="K2109" s="7">
        <v>992.8</v>
      </c>
      <c r="L2109" s="8" t="str">
        <f ca="1">IFERROR(__xludf.DUMMYFUNCTION("GOOGLEFINANCE(""NSE:""&amp;D2109,""price"")"),"#N/A")</f>
        <v>#N/A</v>
      </c>
      <c r="M2109" s="9" t="e">
        <f t="shared" ca="1" si="42"/>
        <v>#VALUE!</v>
      </c>
      <c r="N2109" s="10" t="e">
        <f t="shared" ca="1" si="43"/>
        <v>#VALUE!</v>
      </c>
      <c r="O2109" s="7" t="str">
        <f ca="1">IFERROR(__xludf.DUMMYFUNCTION("GOOGLEFINANCE(""NSE:""&amp;D2109,""pe"")"),"#N/A")</f>
        <v>#N/A</v>
      </c>
      <c r="P2109" s="7" t="str">
        <f ca="1">IFERROR(__xludf.DUMMYFUNCTION("GOOGLEFINANCE(""NSE:""&amp;D2109,""EPS"")"),"#N/A")</f>
        <v>#N/A</v>
      </c>
      <c r="Q2109" s="7">
        <v>13.5</v>
      </c>
      <c r="R2109" s="7" t="str">
        <f ca="1">IFERROR(__xludf.DUMMYFUNCTION("IMPORTXML(E2109,""/html/body/main/div[3]/div[3]/div[2]/ul/li[7]/span[2]/span"")"),"Loading...")</f>
        <v>Loading...</v>
      </c>
      <c r="S2109" s="7" t="str">
        <f ca="1">IFERROR(__xludf.DUMMYFUNCTION("IMPORTXML(E2109,""/html/body/main/div[3]/div[3]/div[2]/ul/li[8]/span[2]/span"")"),"Loading...")</f>
        <v>Loading...</v>
      </c>
      <c r="T2109" s="4">
        <v>34.6</v>
      </c>
      <c r="U2109" s="4">
        <v>22.7</v>
      </c>
      <c r="V2109" s="4">
        <v>2.6</v>
      </c>
      <c r="W2109" s="4">
        <v>5.7</v>
      </c>
      <c r="X2109" s="4">
        <v>519.92999999999995</v>
      </c>
      <c r="Y2109" s="7" t="e">
        <f t="shared" ca="1" si="44"/>
        <v>#VALUE!</v>
      </c>
    </row>
    <row r="2110" spans="1:25" ht="15" x14ac:dyDescent="0.25">
      <c r="A2110" s="4">
        <v>1909</v>
      </c>
      <c r="C2110" s="41" t="s">
        <v>4320</v>
      </c>
      <c r="D2110" s="42"/>
      <c r="E2110" s="5" t="str">
        <f t="shared" si="40"/>
        <v>https://www.screener.in/company//consolidated/</v>
      </c>
      <c r="F2110" s="4">
        <v>443059</v>
      </c>
      <c r="G2110" s="4">
        <v>3832241897</v>
      </c>
      <c r="H2110" s="6" t="e">
        <f t="shared" ca="1" si="41"/>
        <v>#VALUE!</v>
      </c>
      <c r="I2110" s="7" t="str">
        <f ca="1">IFERROR(__xludf.DUMMYFUNCTION("IMPORTXML(E2110,""/html/body/main/div[3]/div[3]/div[2]/ul/li[5]/span[2]/span"")"),"Loading...")</f>
        <v>Loading...</v>
      </c>
      <c r="J2110" s="7" t="str">
        <f ca="1">IFERROR(__xludf.DUMMYFUNCTION("GOOGLEFINANCE(""NSE:""&amp;D2110,""marketcap"")"),"#N/A")</f>
        <v>#N/A</v>
      </c>
      <c r="K2110" s="7">
        <v>992.8</v>
      </c>
      <c r="L2110" s="8" t="str">
        <f ca="1">IFERROR(__xludf.DUMMYFUNCTION("GOOGLEFINANCE(""NSE:""&amp;D2110,""price"")"),"#N/A")</f>
        <v>#N/A</v>
      </c>
      <c r="M2110" s="9" t="e">
        <f t="shared" ca="1" si="42"/>
        <v>#VALUE!</v>
      </c>
      <c r="N2110" s="10" t="e">
        <f t="shared" ca="1" si="43"/>
        <v>#VALUE!</v>
      </c>
      <c r="O2110" s="7" t="str">
        <f ca="1">IFERROR(__xludf.DUMMYFUNCTION("GOOGLEFINANCE(""NSE:""&amp;D2110,""pe"")"),"#N/A")</f>
        <v>#N/A</v>
      </c>
      <c r="P2110" s="7" t="str">
        <f ca="1">IFERROR(__xludf.DUMMYFUNCTION("GOOGLEFINANCE(""NSE:""&amp;D2110,""EPS"")"),"#N/A")</f>
        <v>#N/A</v>
      </c>
      <c r="Q2110" s="7">
        <v>13.5</v>
      </c>
      <c r="R2110" s="7" t="str">
        <f ca="1">IFERROR(__xludf.DUMMYFUNCTION("IMPORTXML(E2110,""/html/body/main/div[3]/div[3]/div[2]/ul/li[7]/span[2]/span"")"),"Loading...")</f>
        <v>Loading...</v>
      </c>
      <c r="S2110" s="7" t="str">
        <f ca="1">IFERROR(__xludf.DUMMYFUNCTION("IMPORTXML(E2110,""/html/body/main/div[3]/div[3]/div[2]/ul/li[8]/span[2]/span"")"),"Loading...")</f>
        <v>Loading...</v>
      </c>
      <c r="T2110" s="4">
        <v>34.6</v>
      </c>
      <c r="U2110" s="4">
        <v>22.7</v>
      </c>
      <c r="V2110" s="4">
        <v>2.6</v>
      </c>
      <c r="W2110" s="4">
        <v>5.7</v>
      </c>
      <c r="X2110" s="4">
        <v>519.92999999999995</v>
      </c>
      <c r="Y2110" s="7" t="e">
        <f t="shared" ca="1" si="44"/>
        <v>#VALUE!</v>
      </c>
    </row>
    <row r="2111" spans="1:25" ht="15" x14ac:dyDescent="0.25">
      <c r="A2111" s="4">
        <v>1912</v>
      </c>
      <c r="C2111" s="41" t="s">
        <v>4321</v>
      </c>
      <c r="D2111" s="42"/>
      <c r="E2111" s="5" t="str">
        <f t="shared" si="40"/>
        <v>https://www.screener.in/company//consolidated/</v>
      </c>
      <c r="F2111" s="4">
        <v>443059</v>
      </c>
      <c r="G2111" s="4">
        <v>3832241897</v>
      </c>
      <c r="H2111" s="6" t="e">
        <f t="shared" ca="1" si="41"/>
        <v>#VALUE!</v>
      </c>
      <c r="I2111" s="7" t="str">
        <f ca="1">IFERROR(__xludf.DUMMYFUNCTION("IMPORTXML(E2111,""/html/body/main/div[3]/div[3]/div[2]/ul/li[5]/span[2]/span"")"),"Loading...")</f>
        <v>Loading...</v>
      </c>
      <c r="J2111" s="7" t="str">
        <f ca="1">IFERROR(__xludf.DUMMYFUNCTION("GOOGLEFINANCE(""NSE:""&amp;D2111,""marketcap"")"),"#N/A")</f>
        <v>#N/A</v>
      </c>
      <c r="K2111" s="7">
        <v>992.8</v>
      </c>
      <c r="L2111" s="8" t="str">
        <f ca="1">IFERROR(__xludf.DUMMYFUNCTION("GOOGLEFINANCE(""NSE:""&amp;D2111,""price"")"),"#N/A")</f>
        <v>#N/A</v>
      </c>
      <c r="M2111" s="9" t="e">
        <f t="shared" ca="1" si="42"/>
        <v>#VALUE!</v>
      </c>
      <c r="N2111" s="10" t="e">
        <f t="shared" ca="1" si="43"/>
        <v>#VALUE!</v>
      </c>
      <c r="O2111" s="7" t="str">
        <f ca="1">IFERROR(__xludf.DUMMYFUNCTION("GOOGLEFINANCE(""NSE:""&amp;D2111,""pe"")"),"#N/A")</f>
        <v>#N/A</v>
      </c>
      <c r="P2111" s="7" t="str">
        <f ca="1">IFERROR(__xludf.DUMMYFUNCTION("GOOGLEFINANCE(""NSE:""&amp;D2111,""EPS"")"),"#N/A")</f>
        <v>#N/A</v>
      </c>
      <c r="Q2111" s="7">
        <v>13.5</v>
      </c>
      <c r="R2111" s="7" t="str">
        <f ca="1">IFERROR(__xludf.DUMMYFUNCTION("IMPORTXML(E2111,""/html/body/main/div[3]/div[3]/div[2]/ul/li[7]/span[2]/span"")"),"Loading...")</f>
        <v>Loading...</v>
      </c>
      <c r="S2111" s="7" t="str">
        <f ca="1">IFERROR(__xludf.DUMMYFUNCTION("IMPORTXML(E2111,""/html/body/main/div[3]/div[3]/div[2]/ul/li[8]/span[2]/span"")"),"Loading...")</f>
        <v>Loading...</v>
      </c>
      <c r="T2111" s="4">
        <v>34.6</v>
      </c>
      <c r="U2111" s="4">
        <v>22.7</v>
      </c>
      <c r="V2111" s="4">
        <v>2.6</v>
      </c>
      <c r="W2111" s="4">
        <v>5.7</v>
      </c>
      <c r="X2111" s="4">
        <v>519.92999999999995</v>
      </c>
      <c r="Y2111" s="7" t="e">
        <f t="shared" ca="1" si="44"/>
        <v>#VALUE!</v>
      </c>
    </row>
    <row r="2112" spans="1:25" ht="15" x14ac:dyDescent="0.25">
      <c r="A2112" s="4">
        <v>1913</v>
      </c>
      <c r="C2112" s="12" t="s">
        <v>4322</v>
      </c>
      <c r="D2112" s="12" t="s">
        <v>4323</v>
      </c>
      <c r="E2112" s="5" t="str">
        <f t="shared" si="40"/>
        <v>https://www.screener.in/company/AKSHARCHEM/consolidated/</v>
      </c>
      <c r="F2112" s="4">
        <v>443059</v>
      </c>
      <c r="G2112" s="4">
        <v>3832241897</v>
      </c>
      <c r="H2112" s="6">
        <f t="shared" ca="1" si="41"/>
        <v>105329.168539045</v>
      </c>
      <c r="I2112" s="7" t="str">
        <f ca="1">IFERROR(__xludf.DUMMYFUNCTION("IMPORTXML(E2112,""/html/body/main/div[3]/div[3]/div[2]/ul/li[5]/span[2]/span"")"),"Loading...")</f>
        <v>Loading...</v>
      </c>
      <c r="J2112" s="7">
        <f ca="1">IFERROR(__xludf.DUMMYFUNCTION("GOOGLEFINANCE(""NSE:""&amp;D2112,""marketcap"")"),2172552000)</f>
        <v>2172552000</v>
      </c>
      <c r="K2112" s="7">
        <v>992.8</v>
      </c>
      <c r="L2112" s="8">
        <f ca="1">IFERROR(__xludf.DUMMYFUNCTION("GOOGLEFINANCE(""NSE:""&amp;D2112,""price"")"),274.85)</f>
        <v>274.85000000000002</v>
      </c>
      <c r="M2112" s="9">
        <f t="shared" ca="1" si="42"/>
        <v>-717.94999999999993</v>
      </c>
      <c r="N2112" s="10">
        <f t="shared" ca="1" si="43"/>
        <v>-72.315672844480247</v>
      </c>
      <c r="O2112" s="7">
        <f ca="1">IFERROR(__xludf.DUMMYFUNCTION("GOOGLEFINANCE(""NSE:""&amp;D2112,""pe"")"),50.91)</f>
        <v>50.91</v>
      </c>
      <c r="P2112" s="7">
        <f ca="1">IFERROR(__xludf.DUMMYFUNCTION("GOOGLEFINANCE(""NSE:""&amp;D2112,""EPS"")"),5.4)</f>
        <v>5.4</v>
      </c>
      <c r="Q2112" s="7">
        <v>13.5</v>
      </c>
      <c r="R2112" s="7" t="str">
        <f ca="1">IFERROR(__xludf.DUMMYFUNCTION("IMPORTXML(E2112,""/html/body/main/div[3]/div[3]/div[2]/ul/li[7]/span[2]/span"")"),"Loading...")</f>
        <v>Loading...</v>
      </c>
      <c r="S2112" s="7" t="str">
        <f ca="1">IFERROR(__xludf.DUMMYFUNCTION("IMPORTXML(E2112,""/html/body/main/div[3]/div[3]/div[2]/ul/li[8]/span[2]/span"")"),"Loading...")</f>
        <v>Loading...</v>
      </c>
      <c r="T2112" s="4">
        <v>34.6</v>
      </c>
      <c r="U2112" s="4">
        <v>22.7</v>
      </c>
      <c r="V2112" s="4">
        <v>2.6</v>
      </c>
      <c r="W2112" s="4">
        <v>5.7</v>
      </c>
      <c r="X2112" s="4">
        <v>519.92999999999995</v>
      </c>
      <c r="Y2112" s="7">
        <f t="shared" ca="1" si="44"/>
        <v>-245.07999999999993</v>
      </c>
    </row>
    <row r="2113" spans="1:25" ht="15" x14ac:dyDescent="0.25">
      <c r="A2113" s="4">
        <v>1914</v>
      </c>
      <c r="C2113" s="41" t="s">
        <v>4324</v>
      </c>
      <c r="D2113" s="42"/>
      <c r="E2113" s="5" t="str">
        <f t="shared" si="40"/>
        <v>https://www.screener.in/company//consolidated/</v>
      </c>
      <c r="F2113" s="4">
        <v>443059</v>
      </c>
      <c r="G2113" s="4">
        <v>3832241897</v>
      </c>
      <c r="H2113" s="6" t="e">
        <f t="shared" ca="1" si="41"/>
        <v>#VALUE!</v>
      </c>
      <c r="I2113" s="7" t="str">
        <f ca="1">IFERROR(__xludf.DUMMYFUNCTION("IMPORTXML(E2113,""/html/body/main/div[3]/div[3]/div[2]/ul/li[5]/span[2]/span"")"),"Loading...")</f>
        <v>Loading...</v>
      </c>
      <c r="J2113" s="7" t="str">
        <f ca="1">IFERROR(__xludf.DUMMYFUNCTION("GOOGLEFINANCE(""NSE:""&amp;D2113,""marketcap"")"),"#N/A")</f>
        <v>#N/A</v>
      </c>
      <c r="K2113" s="7">
        <v>992.8</v>
      </c>
      <c r="L2113" s="8" t="str">
        <f ca="1">IFERROR(__xludf.DUMMYFUNCTION("GOOGLEFINANCE(""NSE:""&amp;D2113,""price"")"),"#N/A")</f>
        <v>#N/A</v>
      </c>
      <c r="M2113" s="9" t="e">
        <f t="shared" ca="1" si="42"/>
        <v>#VALUE!</v>
      </c>
      <c r="N2113" s="10" t="e">
        <f t="shared" ca="1" si="43"/>
        <v>#VALUE!</v>
      </c>
      <c r="O2113" s="7" t="str">
        <f ca="1">IFERROR(__xludf.DUMMYFUNCTION("GOOGLEFINANCE(""NSE:""&amp;D2113,""pe"")"),"#N/A")</f>
        <v>#N/A</v>
      </c>
      <c r="P2113" s="7" t="str">
        <f ca="1">IFERROR(__xludf.DUMMYFUNCTION("GOOGLEFINANCE(""NSE:""&amp;D2113,""EPS"")"),"#N/A")</f>
        <v>#N/A</v>
      </c>
      <c r="Q2113" s="7">
        <v>13.5</v>
      </c>
      <c r="R2113" s="7" t="str">
        <f ca="1">IFERROR(__xludf.DUMMYFUNCTION("IMPORTXML(E2113,""/html/body/main/div[3]/div[3]/div[2]/ul/li[7]/span[2]/span"")"),"Loading...")</f>
        <v>Loading...</v>
      </c>
      <c r="S2113" s="7" t="str">
        <f ca="1">IFERROR(__xludf.DUMMYFUNCTION("IMPORTXML(E2113,""/html/body/main/div[3]/div[3]/div[2]/ul/li[8]/span[2]/span"")"),"Loading...")</f>
        <v>Loading...</v>
      </c>
      <c r="T2113" s="4">
        <v>34.6</v>
      </c>
      <c r="U2113" s="4">
        <v>22.7</v>
      </c>
      <c r="V2113" s="4">
        <v>2.6</v>
      </c>
      <c r="W2113" s="4">
        <v>5.7</v>
      </c>
      <c r="X2113" s="4">
        <v>519.92999999999995</v>
      </c>
      <c r="Y2113" s="7" t="e">
        <f t="shared" ca="1" si="44"/>
        <v>#VALUE!</v>
      </c>
    </row>
    <row r="2114" spans="1:25" ht="15" x14ac:dyDescent="0.25">
      <c r="A2114" s="4">
        <v>1915</v>
      </c>
      <c r="C2114" s="41" t="s">
        <v>4325</v>
      </c>
      <c r="D2114" s="42"/>
      <c r="E2114" s="5" t="str">
        <f t="shared" si="40"/>
        <v>https://www.screener.in/company//consolidated/</v>
      </c>
      <c r="F2114" s="4">
        <v>443059</v>
      </c>
      <c r="G2114" s="4">
        <v>3832241897</v>
      </c>
      <c r="H2114" s="6" t="e">
        <f t="shared" ca="1" si="41"/>
        <v>#VALUE!</v>
      </c>
      <c r="I2114" s="7" t="str">
        <f ca="1">IFERROR(__xludf.DUMMYFUNCTION("IMPORTXML(E2114,""/html/body/main/div[3]/div[3]/div[2]/ul/li[5]/span[2]/span"")"),"Loading...")</f>
        <v>Loading...</v>
      </c>
      <c r="J2114" s="7" t="str">
        <f ca="1">IFERROR(__xludf.DUMMYFUNCTION("GOOGLEFINANCE(""NSE:""&amp;D2114,""marketcap"")"),"#N/A")</f>
        <v>#N/A</v>
      </c>
      <c r="K2114" s="7">
        <v>992.8</v>
      </c>
      <c r="L2114" s="8" t="str">
        <f ca="1">IFERROR(__xludf.DUMMYFUNCTION("GOOGLEFINANCE(""NSE:""&amp;D2114,""price"")"),"#N/A")</f>
        <v>#N/A</v>
      </c>
      <c r="M2114" s="9" t="e">
        <f t="shared" ca="1" si="42"/>
        <v>#VALUE!</v>
      </c>
      <c r="N2114" s="10" t="e">
        <f t="shared" ca="1" si="43"/>
        <v>#VALUE!</v>
      </c>
      <c r="O2114" s="7" t="str">
        <f ca="1">IFERROR(__xludf.DUMMYFUNCTION("GOOGLEFINANCE(""NSE:""&amp;D2114,""pe"")"),"#N/A")</f>
        <v>#N/A</v>
      </c>
      <c r="P2114" s="7" t="str">
        <f ca="1">IFERROR(__xludf.DUMMYFUNCTION("GOOGLEFINANCE(""NSE:""&amp;D2114,""EPS"")"),"#N/A")</f>
        <v>#N/A</v>
      </c>
      <c r="Q2114" s="7">
        <v>13.5</v>
      </c>
      <c r="R2114" s="7" t="str">
        <f ca="1">IFERROR(__xludf.DUMMYFUNCTION("IMPORTXML(E2114,""/html/body/main/div[3]/div[3]/div[2]/ul/li[7]/span[2]/span"")"),"Loading...")</f>
        <v>Loading...</v>
      </c>
      <c r="S2114" s="7" t="str">
        <f ca="1">IFERROR(__xludf.DUMMYFUNCTION("IMPORTXML(E2114,""/html/body/main/div[3]/div[3]/div[2]/ul/li[8]/span[2]/span"")"),"Loading...")</f>
        <v>Loading...</v>
      </c>
      <c r="T2114" s="4">
        <v>34.6</v>
      </c>
      <c r="U2114" s="4">
        <v>22.7</v>
      </c>
      <c r="V2114" s="4">
        <v>2.6</v>
      </c>
      <c r="W2114" s="4">
        <v>5.7</v>
      </c>
      <c r="X2114" s="4">
        <v>519.92999999999995</v>
      </c>
      <c r="Y2114" s="7" t="e">
        <f t="shared" ca="1" si="44"/>
        <v>#VALUE!</v>
      </c>
    </row>
    <row r="2115" spans="1:25" ht="15" x14ac:dyDescent="0.25">
      <c r="A2115" s="4">
        <v>1916</v>
      </c>
      <c r="C2115" s="41" t="s">
        <v>4326</v>
      </c>
      <c r="D2115" s="42"/>
      <c r="E2115" s="5" t="str">
        <f t="shared" si="40"/>
        <v>https://www.screener.in/company//consolidated/</v>
      </c>
      <c r="F2115" s="4">
        <v>443059</v>
      </c>
      <c r="G2115" s="4">
        <v>3832241897</v>
      </c>
      <c r="H2115" s="6" t="e">
        <f t="shared" ca="1" si="41"/>
        <v>#VALUE!</v>
      </c>
      <c r="I2115" s="7" t="str">
        <f ca="1">IFERROR(__xludf.DUMMYFUNCTION("IMPORTXML(E2115,""/html/body/main/div[3]/div[3]/div[2]/ul/li[5]/span[2]/span"")"),"Loading...")</f>
        <v>Loading...</v>
      </c>
      <c r="J2115" s="7" t="str">
        <f ca="1">IFERROR(__xludf.DUMMYFUNCTION("GOOGLEFINANCE(""NSE:""&amp;D2115,""marketcap"")"),"#N/A")</f>
        <v>#N/A</v>
      </c>
      <c r="K2115" s="7">
        <v>992.8</v>
      </c>
      <c r="L2115" s="8" t="str">
        <f ca="1">IFERROR(__xludf.DUMMYFUNCTION("GOOGLEFINANCE(""NSE:""&amp;D2115,""price"")"),"#N/A")</f>
        <v>#N/A</v>
      </c>
      <c r="M2115" s="9" t="e">
        <f t="shared" ca="1" si="42"/>
        <v>#VALUE!</v>
      </c>
      <c r="N2115" s="10" t="e">
        <f t="shared" ca="1" si="43"/>
        <v>#VALUE!</v>
      </c>
      <c r="O2115" s="7" t="str">
        <f ca="1">IFERROR(__xludf.DUMMYFUNCTION("GOOGLEFINANCE(""NSE:""&amp;D2115,""pe"")"),"#N/A")</f>
        <v>#N/A</v>
      </c>
      <c r="P2115" s="7" t="str">
        <f ca="1">IFERROR(__xludf.DUMMYFUNCTION("GOOGLEFINANCE(""NSE:""&amp;D2115,""EPS"")"),"#N/A")</f>
        <v>#N/A</v>
      </c>
      <c r="Q2115" s="7">
        <v>13.5</v>
      </c>
      <c r="R2115" s="7" t="str">
        <f ca="1">IFERROR(__xludf.DUMMYFUNCTION("IMPORTXML(E2115,""/html/body/main/div[3]/div[3]/div[2]/ul/li[7]/span[2]/span"")"),"Loading...")</f>
        <v>Loading...</v>
      </c>
      <c r="S2115" s="7" t="str">
        <f ca="1">IFERROR(__xludf.DUMMYFUNCTION("IMPORTXML(E2115,""/html/body/main/div[3]/div[3]/div[2]/ul/li[8]/span[2]/span"")"),"Loading...")</f>
        <v>Loading...</v>
      </c>
      <c r="T2115" s="4">
        <v>34.6</v>
      </c>
      <c r="U2115" s="4">
        <v>22.7</v>
      </c>
      <c r="V2115" s="4">
        <v>2.6</v>
      </c>
      <c r="W2115" s="4">
        <v>5.7</v>
      </c>
      <c r="X2115" s="4">
        <v>519.92999999999995</v>
      </c>
      <c r="Y2115" s="7" t="e">
        <f t="shared" ca="1" si="44"/>
        <v>#VALUE!</v>
      </c>
    </row>
    <row r="2116" spans="1:25" ht="15" x14ac:dyDescent="0.25">
      <c r="A2116" s="4">
        <v>1917</v>
      </c>
      <c r="C2116" s="41" t="s">
        <v>4327</v>
      </c>
      <c r="D2116" s="42"/>
      <c r="E2116" s="5" t="str">
        <f t="shared" si="40"/>
        <v>https://www.screener.in/company//consolidated/</v>
      </c>
      <c r="F2116" s="4">
        <v>443059</v>
      </c>
      <c r="G2116" s="4">
        <v>3832241897</v>
      </c>
      <c r="H2116" s="6" t="e">
        <f t="shared" ca="1" si="41"/>
        <v>#VALUE!</v>
      </c>
      <c r="I2116" s="7" t="str">
        <f ca="1">IFERROR(__xludf.DUMMYFUNCTION("IMPORTXML(E2116,""/html/body/main/div[3]/div[3]/div[2]/ul/li[5]/span[2]/span"")"),"Loading...")</f>
        <v>Loading...</v>
      </c>
      <c r="J2116" s="7" t="str">
        <f ca="1">IFERROR(__xludf.DUMMYFUNCTION("GOOGLEFINANCE(""NSE:""&amp;D2116,""marketcap"")"),"#N/A")</f>
        <v>#N/A</v>
      </c>
      <c r="K2116" s="7">
        <v>992.8</v>
      </c>
      <c r="L2116" s="8" t="str">
        <f ca="1">IFERROR(__xludf.DUMMYFUNCTION("GOOGLEFINANCE(""NSE:""&amp;D2116,""price"")"),"#N/A")</f>
        <v>#N/A</v>
      </c>
      <c r="M2116" s="9" t="e">
        <f t="shared" ca="1" si="42"/>
        <v>#VALUE!</v>
      </c>
      <c r="N2116" s="10" t="e">
        <f t="shared" ca="1" si="43"/>
        <v>#VALUE!</v>
      </c>
      <c r="O2116" s="7" t="str">
        <f ca="1">IFERROR(__xludf.DUMMYFUNCTION("GOOGLEFINANCE(""NSE:""&amp;D2116,""pe"")"),"#N/A")</f>
        <v>#N/A</v>
      </c>
      <c r="P2116" s="7" t="str">
        <f ca="1">IFERROR(__xludf.DUMMYFUNCTION("GOOGLEFINANCE(""NSE:""&amp;D2116,""EPS"")"),"#N/A")</f>
        <v>#N/A</v>
      </c>
      <c r="Q2116" s="7">
        <v>13.5</v>
      </c>
      <c r="R2116" s="7" t="str">
        <f ca="1">IFERROR(__xludf.DUMMYFUNCTION("IMPORTXML(E2116,""/html/body/main/div[3]/div[3]/div[2]/ul/li[7]/span[2]/span"")"),"Loading...")</f>
        <v>Loading...</v>
      </c>
      <c r="S2116" s="7" t="str">
        <f ca="1">IFERROR(__xludf.DUMMYFUNCTION("IMPORTXML(E2116,""/html/body/main/div[3]/div[3]/div[2]/ul/li[8]/span[2]/span"")"),"Loading...")</f>
        <v>Loading...</v>
      </c>
      <c r="T2116" s="4">
        <v>34.6</v>
      </c>
      <c r="U2116" s="4">
        <v>22.7</v>
      </c>
      <c r="V2116" s="4">
        <v>2.6</v>
      </c>
      <c r="W2116" s="4">
        <v>5.7</v>
      </c>
      <c r="X2116" s="4">
        <v>519.92999999999995</v>
      </c>
      <c r="Y2116" s="7" t="e">
        <f t="shared" ca="1" si="44"/>
        <v>#VALUE!</v>
      </c>
    </row>
    <row r="2117" spans="1:25" ht="15" x14ac:dyDescent="0.25">
      <c r="A2117" s="4">
        <v>1921</v>
      </c>
      <c r="C2117" s="41" t="s">
        <v>4328</v>
      </c>
      <c r="D2117" s="42"/>
      <c r="E2117" s="5" t="str">
        <f t="shared" si="40"/>
        <v>https://www.screener.in/company//consolidated/</v>
      </c>
      <c r="F2117" s="4">
        <v>443059</v>
      </c>
      <c r="G2117" s="4">
        <v>3832241897</v>
      </c>
      <c r="H2117" s="6" t="e">
        <f t="shared" ca="1" si="41"/>
        <v>#VALUE!</v>
      </c>
      <c r="I2117" s="7" t="str">
        <f ca="1">IFERROR(__xludf.DUMMYFUNCTION("IMPORTXML(E2117,""/html/body/main/div[3]/div[3]/div[2]/ul/li[5]/span[2]/span"")"),"Loading...")</f>
        <v>Loading...</v>
      </c>
      <c r="J2117" s="7" t="str">
        <f ca="1">IFERROR(__xludf.DUMMYFUNCTION("GOOGLEFINANCE(""NSE:""&amp;D2117,""marketcap"")"),"#N/A")</f>
        <v>#N/A</v>
      </c>
      <c r="K2117" s="7">
        <v>992.8</v>
      </c>
      <c r="L2117" s="8" t="str">
        <f ca="1">IFERROR(__xludf.DUMMYFUNCTION("GOOGLEFINANCE(""NSE:""&amp;D2117,""price"")"),"#N/A")</f>
        <v>#N/A</v>
      </c>
      <c r="M2117" s="9" t="e">
        <f t="shared" ca="1" si="42"/>
        <v>#VALUE!</v>
      </c>
      <c r="N2117" s="10" t="e">
        <f t="shared" ca="1" si="43"/>
        <v>#VALUE!</v>
      </c>
      <c r="O2117" s="7" t="str">
        <f ca="1">IFERROR(__xludf.DUMMYFUNCTION("GOOGLEFINANCE(""NSE:""&amp;D2117,""pe"")"),"#N/A")</f>
        <v>#N/A</v>
      </c>
      <c r="P2117" s="7" t="str">
        <f ca="1">IFERROR(__xludf.DUMMYFUNCTION("GOOGLEFINANCE(""NSE:""&amp;D2117,""EPS"")"),"#N/A")</f>
        <v>#N/A</v>
      </c>
      <c r="Q2117" s="7">
        <v>13.5</v>
      </c>
      <c r="R2117" s="7" t="str">
        <f ca="1">IFERROR(__xludf.DUMMYFUNCTION("IMPORTXML(E2117,""/html/body/main/div[3]/div[3]/div[2]/ul/li[7]/span[2]/span"")"),"Loading...")</f>
        <v>Loading...</v>
      </c>
      <c r="S2117" s="7" t="str">
        <f ca="1">IFERROR(__xludf.DUMMYFUNCTION("IMPORTXML(E2117,""/html/body/main/div[3]/div[3]/div[2]/ul/li[8]/span[2]/span"")"),"Loading...")</f>
        <v>Loading...</v>
      </c>
      <c r="T2117" s="4">
        <v>34.6</v>
      </c>
      <c r="U2117" s="4">
        <v>22.7</v>
      </c>
      <c r="V2117" s="4">
        <v>2.6</v>
      </c>
      <c r="W2117" s="4">
        <v>5.7</v>
      </c>
      <c r="X2117" s="4">
        <v>519.92999999999995</v>
      </c>
      <c r="Y2117" s="7" t="e">
        <f t="shared" ca="1" si="44"/>
        <v>#VALUE!</v>
      </c>
    </row>
    <row r="2118" spans="1:25" ht="15" x14ac:dyDescent="0.25">
      <c r="A2118" s="4">
        <v>1922</v>
      </c>
      <c r="C2118" s="12" t="s">
        <v>4329</v>
      </c>
      <c r="D2118" s="12" t="s">
        <v>4330</v>
      </c>
      <c r="E2118" s="5" t="str">
        <f t="shared" si="40"/>
        <v>https://www.screener.in/company/PRAXIS/consolidated/</v>
      </c>
      <c r="F2118" s="4">
        <v>443059</v>
      </c>
      <c r="G2118" s="4">
        <v>3832241897</v>
      </c>
      <c r="H2118" s="6">
        <f t="shared" ca="1" si="41"/>
        <v>5047.0625783489995</v>
      </c>
      <c r="I2118" s="7" t="str">
        <f ca="1">IFERROR(__xludf.DUMMYFUNCTION("IMPORTXML(E2118,""/html/body/main/div[3]/div[3]/div[2]/ul/li[5]/span[2]/span"")"),"Loading...")</f>
        <v>Loading...</v>
      </c>
      <c r="J2118" s="7">
        <f ca="1">IFERROR(__xludf.DUMMYFUNCTION("GOOGLEFINANCE(""NSE:""&amp;D2118,""marketcap"")"),2435568625)</f>
        <v>2435568625</v>
      </c>
      <c r="K2118" s="7">
        <v>992.8</v>
      </c>
      <c r="L2118" s="8">
        <f ca="1">IFERROR(__xludf.DUMMYFUNCTION("GOOGLEFINANCE(""NSE:""&amp;D2118,""price"")"),13.17)</f>
        <v>13.17</v>
      </c>
      <c r="M2118" s="9">
        <f t="shared" ca="1" si="42"/>
        <v>-979.63</v>
      </c>
      <c r="N2118" s="10">
        <f t="shared" ca="1" si="43"/>
        <v>-98.673448831587436</v>
      </c>
      <c r="O2118" s="7" t="str">
        <f ca="1">IFERROR(__xludf.DUMMYFUNCTION("GOOGLEFINANCE(""NSE:""&amp;D2118,""pe"")"),"#N/A")</f>
        <v>#N/A</v>
      </c>
      <c r="P2118" s="7">
        <f ca="1">IFERROR(__xludf.DUMMYFUNCTION("GOOGLEFINANCE(""NSE:""&amp;D2118,""EPS"")"),-3.1)</f>
        <v>-3.1</v>
      </c>
      <c r="Q2118" s="7">
        <v>13.5</v>
      </c>
      <c r="R2118" s="7" t="str">
        <f ca="1">IFERROR(__xludf.DUMMYFUNCTION("IMPORTXML(E2118,""/html/body/main/div[3]/div[3]/div[2]/ul/li[7]/span[2]/span"")"),"Loading...")</f>
        <v>Loading...</v>
      </c>
      <c r="S2118" s="7" t="str">
        <f ca="1">IFERROR(__xludf.DUMMYFUNCTION("IMPORTXML(E2118,""/html/body/main/div[3]/div[3]/div[2]/ul/li[8]/span[2]/span"")"),"Loading...")</f>
        <v>Loading...</v>
      </c>
      <c r="T2118" s="4">
        <v>34.6</v>
      </c>
      <c r="U2118" s="4">
        <v>22.7</v>
      </c>
      <c r="V2118" s="4">
        <v>2.6</v>
      </c>
      <c r="W2118" s="4">
        <v>5.7</v>
      </c>
      <c r="X2118" s="4">
        <v>519.92999999999995</v>
      </c>
      <c r="Y2118" s="7">
        <f t="shared" ca="1" si="44"/>
        <v>-506.75999999999993</v>
      </c>
    </row>
    <row r="2119" spans="1:25" ht="15" x14ac:dyDescent="0.25">
      <c r="A2119" s="4">
        <v>1923</v>
      </c>
      <c r="C2119" s="41" t="s">
        <v>4331</v>
      </c>
      <c r="D2119" s="42"/>
      <c r="E2119" s="5" t="str">
        <f t="shared" si="40"/>
        <v>https://www.screener.in/company//consolidated/</v>
      </c>
      <c r="F2119" s="4">
        <v>443059</v>
      </c>
      <c r="G2119" s="4">
        <v>3832241897</v>
      </c>
      <c r="H2119" s="6" t="e">
        <f t="shared" ca="1" si="41"/>
        <v>#VALUE!</v>
      </c>
      <c r="I2119" s="7" t="str">
        <f ca="1">IFERROR(__xludf.DUMMYFUNCTION("IMPORTXML(E2119,""/html/body/main/div[3]/div[3]/div[2]/ul/li[5]/span[2]/span"")"),"Loading...")</f>
        <v>Loading...</v>
      </c>
      <c r="J2119" s="7" t="str">
        <f ca="1">IFERROR(__xludf.DUMMYFUNCTION("GOOGLEFINANCE(""NSE:""&amp;D2119,""marketcap"")"),"#N/A")</f>
        <v>#N/A</v>
      </c>
      <c r="K2119" s="7">
        <v>992.8</v>
      </c>
      <c r="L2119" s="8" t="str">
        <f ca="1">IFERROR(__xludf.DUMMYFUNCTION("GOOGLEFINANCE(""NSE:""&amp;D2119,""price"")"),"#N/A")</f>
        <v>#N/A</v>
      </c>
      <c r="M2119" s="9" t="e">
        <f t="shared" ca="1" si="42"/>
        <v>#VALUE!</v>
      </c>
      <c r="N2119" s="10" t="e">
        <f t="shared" ca="1" si="43"/>
        <v>#VALUE!</v>
      </c>
      <c r="O2119" s="7" t="str">
        <f ca="1">IFERROR(__xludf.DUMMYFUNCTION("GOOGLEFINANCE(""NSE:""&amp;D2119,""pe"")"),"#N/A")</f>
        <v>#N/A</v>
      </c>
      <c r="P2119" s="7" t="str">
        <f ca="1">IFERROR(__xludf.DUMMYFUNCTION("GOOGLEFINANCE(""NSE:""&amp;D2119,""EPS"")"),"#N/A")</f>
        <v>#N/A</v>
      </c>
      <c r="Q2119" s="7">
        <v>13.5</v>
      </c>
      <c r="R2119" s="7" t="str">
        <f ca="1">IFERROR(__xludf.DUMMYFUNCTION("IMPORTXML(E2119,""/html/body/main/div[3]/div[3]/div[2]/ul/li[7]/span[2]/span"")"),"Loading...")</f>
        <v>Loading...</v>
      </c>
      <c r="S2119" s="7" t="str">
        <f ca="1">IFERROR(__xludf.DUMMYFUNCTION("IMPORTXML(E2119,""/html/body/main/div[3]/div[3]/div[2]/ul/li[8]/span[2]/span"")"),"Loading...")</f>
        <v>Loading...</v>
      </c>
      <c r="T2119" s="4">
        <v>34.6</v>
      </c>
      <c r="U2119" s="4">
        <v>22.7</v>
      </c>
      <c r="V2119" s="4">
        <v>2.6</v>
      </c>
      <c r="W2119" s="4">
        <v>5.7</v>
      </c>
      <c r="X2119" s="4">
        <v>519.92999999999995</v>
      </c>
      <c r="Y2119" s="7" t="e">
        <f t="shared" ca="1" si="44"/>
        <v>#VALUE!</v>
      </c>
    </row>
    <row r="2120" spans="1:25" ht="15" x14ac:dyDescent="0.25">
      <c r="A2120" s="4">
        <v>1924</v>
      </c>
      <c r="C2120" s="41" t="s">
        <v>4332</v>
      </c>
      <c r="D2120" s="42"/>
      <c r="E2120" s="5" t="str">
        <f t="shared" si="40"/>
        <v>https://www.screener.in/company//consolidated/</v>
      </c>
      <c r="F2120" s="4">
        <v>443059</v>
      </c>
      <c r="G2120" s="4">
        <v>3832241897</v>
      </c>
      <c r="H2120" s="6" t="e">
        <f t="shared" ca="1" si="41"/>
        <v>#VALUE!</v>
      </c>
      <c r="I2120" s="7" t="str">
        <f ca="1">IFERROR(__xludf.DUMMYFUNCTION("IMPORTXML(E2120,""/html/body/main/div[3]/div[3]/div[2]/ul/li[5]/span[2]/span"")"),"Loading...")</f>
        <v>Loading...</v>
      </c>
      <c r="J2120" s="7" t="str">
        <f ca="1">IFERROR(__xludf.DUMMYFUNCTION("GOOGLEFINANCE(""NSE:""&amp;D2120,""marketcap"")"),"#N/A")</f>
        <v>#N/A</v>
      </c>
      <c r="K2120" s="7">
        <v>992.8</v>
      </c>
      <c r="L2120" s="8" t="str">
        <f ca="1">IFERROR(__xludf.DUMMYFUNCTION("GOOGLEFINANCE(""NSE:""&amp;D2120,""price"")"),"#N/A")</f>
        <v>#N/A</v>
      </c>
      <c r="M2120" s="9" t="e">
        <f t="shared" ca="1" si="42"/>
        <v>#VALUE!</v>
      </c>
      <c r="N2120" s="10" t="e">
        <f t="shared" ca="1" si="43"/>
        <v>#VALUE!</v>
      </c>
      <c r="O2120" s="7" t="str">
        <f ca="1">IFERROR(__xludf.DUMMYFUNCTION("GOOGLEFINANCE(""NSE:""&amp;D2120,""pe"")"),"#N/A")</f>
        <v>#N/A</v>
      </c>
      <c r="P2120" s="7" t="str">
        <f ca="1">IFERROR(__xludf.DUMMYFUNCTION("GOOGLEFINANCE(""NSE:""&amp;D2120,""EPS"")"),"#N/A")</f>
        <v>#N/A</v>
      </c>
      <c r="Q2120" s="7">
        <v>13.5</v>
      </c>
      <c r="R2120" s="7" t="str">
        <f ca="1">IFERROR(__xludf.DUMMYFUNCTION("IMPORTXML(E2120,""/html/body/main/div[3]/div[3]/div[2]/ul/li[7]/span[2]/span"")"),"Loading...")</f>
        <v>Loading...</v>
      </c>
      <c r="S2120" s="7" t="str">
        <f ca="1">IFERROR(__xludf.DUMMYFUNCTION("IMPORTXML(E2120,""/html/body/main/div[3]/div[3]/div[2]/ul/li[8]/span[2]/span"")"),"Loading...")</f>
        <v>Loading...</v>
      </c>
      <c r="T2120" s="4">
        <v>34.6</v>
      </c>
      <c r="U2120" s="4">
        <v>22.7</v>
      </c>
      <c r="V2120" s="4">
        <v>2.6</v>
      </c>
      <c r="W2120" s="4">
        <v>5.7</v>
      </c>
      <c r="X2120" s="4">
        <v>519.92999999999995</v>
      </c>
      <c r="Y2120" s="7" t="e">
        <f t="shared" ca="1" si="44"/>
        <v>#VALUE!</v>
      </c>
    </row>
    <row r="2121" spans="1:25" ht="15" x14ac:dyDescent="0.25">
      <c r="A2121" s="4">
        <v>1925</v>
      </c>
      <c r="C2121" s="41" t="s">
        <v>4333</v>
      </c>
      <c r="D2121" s="42"/>
      <c r="E2121" s="5" t="str">
        <f t="shared" si="40"/>
        <v>https://www.screener.in/company//consolidated/</v>
      </c>
      <c r="F2121" s="4">
        <v>443059</v>
      </c>
      <c r="G2121" s="4">
        <v>3832241897</v>
      </c>
      <c r="H2121" s="6" t="e">
        <f t="shared" ca="1" si="41"/>
        <v>#VALUE!</v>
      </c>
      <c r="I2121" s="7" t="str">
        <f ca="1">IFERROR(__xludf.DUMMYFUNCTION("IMPORTXML(E2121,""/html/body/main/div[3]/div[3]/div[2]/ul/li[5]/span[2]/span"")"),"Loading...")</f>
        <v>Loading...</v>
      </c>
      <c r="J2121" s="7" t="str">
        <f ca="1">IFERROR(__xludf.DUMMYFUNCTION("GOOGLEFINANCE(""NSE:""&amp;D2121,""marketcap"")"),"#N/A")</f>
        <v>#N/A</v>
      </c>
      <c r="K2121" s="7">
        <v>992.8</v>
      </c>
      <c r="L2121" s="8" t="str">
        <f ca="1">IFERROR(__xludf.DUMMYFUNCTION("GOOGLEFINANCE(""NSE:""&amp;D2121,""price"")"),"#N/A")</f>
        <v>#N/A</v>
      </c>
      <c r="M2121" s="9" t="e">
        <f t="shared" ca="1" si="42"/>
        <v>#VALUE!</v>
      </c>
      <c r="N2121" s="10" t="e">
        <f t="shared" ca="1" si="43"/>
        <v>#VALUE!</v>
      </c>
      <c r="O2121" s="7" t="str">
        <f ca="1">IFERROR(__xludf.DUMMYFUNCTION("GOOGLEFINANCE(""NSE:""&amp;D2121,""pe"")"),"#N/A")</f>
        <v>#N/A</v>
      </c>
      <c r="P2121" s="7" t="str">
        <f ca="1">IFERROR(__xludf.DUMMYFUNCTION("GOOGLEFINANCE(""NSE:""&amp;D2121,""EPS"")"),"#N/A")</f>
        <v>#N/A</v>
      </c>
      <c r="Q2121" s="7">
        <v>13.5</v>
      </c>
      <c r="R2121" s="7" t="str">
        <f ca="1">IFERROR(__xludf.DUMMYFUNCTION("IMPORTXML(E2121,""/html/body/main/div[3]/div[3]/div[2]/ul/li[7]/span[2]/span"")"),"Loading...")</f>
        <v>Loading...</v>
      </c>
      <c r="S2121" s="7" t="str">
        <f ca="1">IFERROR(__xludf.DUMMYFUNCTION("IMPORTXML(E2121,""/html/body/main/div[3]/div[3]/div[2]/ul/li[8]/span[2]/span"")"),"Loading...")</f>
        <v>Loading...</v>
      </c>
      <c r="T2121" s="4">
        <v>34.6</v>
      </c>
      <c r="U2121" s="4">
        <v>22.7</v>
      </c>
      <c r="V2121" s="4">
        <v>2.6</v>
      </c>
      <c r="W2121" s="4">
        <v>5.7</v>
      </c>
      <c r="X2121" s="4">
        <v>519.92999999999995</v>
      </c>
      <c r="Y2121" s="7" t="e">
        <f t="shared" ca="1" si="44"/>
        <v>#VALUE!</v>
      </c>
    </row>
    <row r="2122" spans="1:25" ht="15" x14ac:dyDescent="0.25">
      <c r="A2122" s="4">
        <v>1926</v>
      </c>
      <c r="C2122" s="41" t="s">
        <v>4334</v>
      </c>
      <c r="D2122" s="42"/>
      <c r="E2122" s="5" t="str">
        <f t="shared" si="40"/>
        <v>https://www.screener.in/company//consolidated/</v>
      </c>
      <c r="F2122" s="4">
        <v>443059</v>
      </c>
      <c r="G2122" s="4">
        <v>3832241897</v>
      </c>
      <c r="H2122" s="6" t="e">
        <f t="shared" ca="1" si="41"/>
        <v>#VALUE!</v>
      </c>
      <c r="I2122" s="7" t="str">
        <f ca="1">IFERROR(__xludf.DUMMYFUNCTION("IMPORTXML(E2122,""/html/body/main/div[3]/div[3]/div[2]/ul/li[5]/span[2]/span"")"),"Loading...")</f>
        <v>Loading...</v>
      </c>
      <c r="J2122" s="7" t="str">
        <f ca="1">IFERROR(__xludf.DUMMYFUNCTION("GOOGLEFINANCE(""NSE:""&amp;D2122,""marketcap"")"),"#N/A")</f>
        <v>#N/A</v>
      </c>
      <c r="K2122" s="7">
        <v>992.8</v>
      </c>
      <c r="L2122" s="8" t="str">
        <f ca="1">IFERROR(__xludf.DUMMYFUNCTION("GOOGLEFINANCE(""NSE:""&amp;D2122,""price"")"),"#N/A")</f>
        <v>#N/A</v>
      </c>
      <c r="M2122" s="9" t="e">
        <f t="shared" ca="1" si="42"/>
        <v>#VALUE!</v>
      </c>
      <c r="N2122" s="10" t="e">
        <f t="shared" ca="1" si="43"/>
        <v>#VALUE!</v>
      </c>
      <c r="O2122" s="7" t="str">
        <f ca="1">IFERROR(__xludf.DUMMYFUNCTION("GOOGLEFINANCE(""NSE:""&amp;D2122,""pe"")"),"#N/A")</f>
        <v>#N/A</v>
      </c>
      <c r="P2122" s="7" t="str">
        <f ca="1">IFERROR(__xludf.DUMMYFUNCTION("GOOGLEFINANCE(""NSE:""&amp;D2122,""EPS"")"),"#N/A")</f>
        <v>#N/A</v>
      </c>
      <c r="Q2122" s="7">
        <v>13.5</v>
      </c>
      <c r="R2122" s="7" t="str">
        <f ca="1">IFERROR(__xludf.DUMMYFUNCTION("IMPORTXML(E2122,""/html/body/main/div[3]/div[3]/div[2]/ul/li[7]/span[2]/span"")"),"Loading...")</f>
        <v>Loading...</v>
      </c>
      <c r="S2122" s="7" t="str">
        <f ca="1">IFERROR(__xludf.DUMMYFUNCTION("IMPORTXML(E2122,""/html/body/main/div[3]/div[3]/div[2]/ul/li[8]/span[2]/span"")"),"Loading...")</f>
        <v>Loading...</v>
      </c>
      <c r="T2122" s="4">
        <v>34.6</v>
      </c>
      <c r="U2122" s="4">
        <v>22.7</v>
      </c>
      <c r="V2122" s="4">
        <v>2.6</v>
      </c>
      <c r="W2122" s="4">
        <v>5.7</v>
      </c>
      <c r="X2122" s="4">
        <v>519.92999999999995</v>
      </c>
      <c r="Y2122" s="7" t="e">
        <f t="shared" ca="1" si="44"/>
        <v>#VALUE!</v>
      </c>
    </row>
    <row r="2123" spans="1:25" ht="15" x14ac:dyDescent="0.25">
      <c r="A2123" s="4">
        <v>1927</v>
      </c>
      <c r="C2123" s="41" t="s">
        <v>4335</v>
      </c>
      <c r="D2123" s="42"/>
      <c r="E2123" s="5" t="str">
        <f t="shared" si="40"/>
        <v>https://www.screener.in/company//consolidated/</v>
      </c>
      <c r="F2123" s="4">
        <v>443059</v>
      </c>
      <c r="G2123" s="4">
        <v>3832241897</v>
      </c>
      <c r="H2123" s="6" t="e">
        <f t="shared" ca="1" si="41"/>
        <v>#VALUE!</v>
      </c>
      <c r="I2123" s="7" t="str">
        <f ca="1">IFERROR(__xludf.DUMMYFUNCTION("IMPORTXML(E2123,""/html/body/main/div[3]/div[3]/div[2]/ul/li[5]/span[2]/span"")"),"Loading...")</f>
        <v>Loading...</v>
      </c>
      <c r="J2123" s="7" t="str">
        <f ca="1">IFERROR(__xludf.DUMMYFUNCTION("GOOGLEFINANCE(""NSE:""&amp;D2123,""marketcap"")"),"#N/A")</f>
        <v>#N/A</v>
      </c>
      <c r="K2123" s="7">
        <v>992.8</v>
      </c>
      <c r="L2123" s="8" t="str">
        <f ca="1">IFERROR(__xludf.DUMMYFUNCTION("GOOGLEFINANCE(""NSE:""&amp;D2123,""price"")"),"#N/A")</f>
        <v>#N/A</v>
      </c>
      <c r="M2123" s="9" t="e">
        <f t="shared" ca="1" si="42"/>
        <v>#VALUE!</v>
      </c>
      <c r="N2123" s="10" t="e">
        <f t="shared" ca="1" si="43"/>
        <v>#VALUE!</v>
      </c>
      <c r="O2123" s="7" t="str">
        <f ca="1">IFERROR(__xludf.DUMMYFUNCTION("GOOGLEFINANCE(""NSE:""&amp;D2123,""pe"")"),"#N/A")</f>
        <v>#N/A</v>
      </c>
      <c r="P2123" s="7" t="str">
        <f ca="1">IFERROR(__xludf.DUMMYFUNCTION("GOOGLEFINANCE(""NSE:""&amp;D2123,""EPS"")"),"#N/A")</f>
        <v>#N/A</v>
      </c>
      <c r="Q2123" s="7">
        <v>13.5</v>
      </c>
      <c r="R2123" s="7" t="str">
        <f ca="1">IFERROR(__xludf.DUMMYFUNCTION("IMPORTXML(E2123,""/html/body/main/div[3]/div[3]/div[2]/ul/li[7]/span[2]/span"")"),"Loading...")</f>
        <v>Loading...</v>
      </c>
      <c r="S2123" s="7" t="str">
        <f ca="1">IFERROR(__xludf.DUMMYFUNCTION("IMPORTXML(E2123,""/html/body/main/div[3]/div[3]/div[2]/ul/li[8]/span[2]/span"")"),"Loading...")</f>
        <v>Loading...</v>
      </c>
      <c r="T2123" s="4">
        <v>34.6</v>
      </c>
      <c r="U2123" s="4">
        <v>22.7</v>
      </c>
      <c r="V2123" s="4">
        <v>2.6</v>
      </c>
      <c r="W2123" s="4">
        <v>5.7</v>
      </c>
      <c r="X2123" s="4">
        <v>519.92999999999995</v>
      </c>
      <c r="Y2123" s="7" t="e">
        <f t="shared" ca="1" si="44"/>
        <v>#VALUE!</v>
      </c>
    </row>
    <row r="2124" spans="1:25" ht="15" x14ac:dyDescent="0.25">
      <c r="A2124" s="4">
        <v>1928</v>
      </c>
      <c r="C2124" s="12" t="s">
        <v>4336</v>
      </c>
      <c r="D2124" s="12" t="s">
        <v>4337</v>
      </c>
      <c r="E2124" s="5" t="str">
        <f t="shared" si="40"/>
        <v>https://www.screener.in/company/EQUIPPP/consolidated/</v>
      </c>
      <c r="F2124" s="4">
        <v>443059</v>
      </c>
      <c r="G2124" s="4">
        <v>3832241897</v>
      </c>
      <c r="H2124" s="6">
        <f t="shared" ca="1" si="41"/>
        <v>6890.3709308059997</v>
      </c>
      <c r="I2124" s="7" t="str">
        <f ca="1">IFERROR(__xludf.DUMMYFUNCTION("IMPORTXML(E2124,""/html/body/main/div[3]/div[3]/div[2]/ul/li[5]/span[2]/span"")"),"Loading...")</f>
        <v>Loading...</v>
      </c>
      <c r="J2124" s="7">
        <f ca="1">IFERROR(__xludf.DUMMYFUNCTION("GOOGLEFINANCE(""NSE:""&amp;D2124,""marketcap"")"),1853651648)</f>
        <v>1853651648</v>
      </c>
      <c r="K2124" s="7">
        <v>992.8</v>
      </c>
      <c r="L2124" s="8">
        <f ca="1">IFERROR(__xludf.DUMMYFUNCTION("GOOGLEFINANCE(""NSE:""&amp;D2124,""price"")"),17.98)</f>
        <v>17.98</v>
      </c>
      <c r="M2124" s="9">
        <f t="shared" ca="1" si="42"/>
        <v>-974.81999999999994</v>
      </c>
      <c r="N2124" s="10">
        <f t="shared" ca="1" si="43"/>
        <v>-98.188960515713134</v>
      </c>
      <c r="O2124" s="7">
        <f ca="1">IFERROR(__xludf.DUMMYFUNCTION("GOOGLEFINANCE(""NSE:""&amp;D2124,""pe"")"),185.65)</f>
        <v>185.65</v>
      </c>
      <c r="P2124" s="7">
        <f ca="1">IFERROR(__xludf.DUMMYFUNCTION("GOOGLEFINANCE(""NSE:""&amp;D2124,""EPS"")"),0.1)</f>
        <v>0.1</v>
      </c>
      <c r="Q2124" s="7">
        <v>13.5</v>
      </c>
      <c r="R2124" s="7" t="str">
        <f ca="1">IFERROR(__xludf.DUMMYFUNCTION("IMPORTXML(E2124,""/html/body/main/div[3]/div[3]/div[2]/ul/li[7]/span[2]/span"")"),"Loading...")</f>
        <v>Loading...</v>
      </c>
      <c r="S2124" s="7" t="str">
        <f ca="1">IFERROR(__xludf.DUMMYFUNCTION("IMPORTXML(E2124,""/html/body/main/div[3]/div[3]/div[2]/ul/li[8]/span[2]/span"")"),"Loading...")</f>
        <v>Loading...</v>
      </c>
      <c r="T2124" s="4">
        <v>34.6</v>
      </c>
      <c r="U2124" s="4">
        <v>22.7</v>
      </c>
      <c r="V2124" s="4">
        <v>2.6</v>
      </c>
      <c r="W2124" s="4">
        <v>5.7</v>
      </c>
      <c r="X2124" s="4">
        <v>519.92999999999995</v>
      </c>
      <c r="Y2124" s="7">
        <f t="shared" ca="1" si="44"/>
        <v>-501.94999999999993</v>
      </c>
    </row>
    <row r="2125" spans="1:25" ht="15" x14ac:dyDescent="0.25">
      <c r="A2125" s="4">
        <v>1929</v>
      </c>
      <c r="C2125" s="41" t="s">
        <v>4338</v>
      </c>
      <c r="D2125" s="42"/>
      <c r="E2125" s="5" t="str">
        <f t="shared" si="40"/>
        <v>https://www.screener.in/company//consolidated/</v>
      </c>
      <c r="F2125" s="4">
        <v>443059</v>
      </c>
      <c r="G2125" s="4">
        <v>3832241897</v>
      </c>
      <c r="H2125" s="6" t="e">
        <f t="shared" ca="1" si="41"/>
        <v>#VALUE!</v>
      </c>
      <c r="I2125" s="7" t="str">
        <f ca="1">IFERROR(__xludf.DUMMYFUNCTION("IMPORTXML(E2125,""/html/body/main/div[3]/div[3]/div[2]/ul/li[5]/span[2]/span"")"),"Loading...")</f>
        <v>Loading...</v>
      </c>
      <c r="J2125" s="7" t="str">
        <f ca="1">IFERROR(__xludf.DUMMYFUNCTION("GOOGLEFINANCE(""NSE:""&amp;D2125,""marketcap"")"),"#N/A")</f>
        <v>#N/A</v>
      </c>
      <c r="K2125" s="7">
        <v>992.8</v>
      </c>
      <c r="L2125" s="8" t="str">
        <f ca="1">IFERROR(__xludf.DUMMYFUNCTION("GOOGLEFINANCE(""NSE:""&amp;D2125,""price"")"),"#N/A")</f>
        <v>#N/A</v>
      </c>
      <c r="M2125" s="9" t="e">
        <f t="shared" ca="1" si="42"/>
        <v>#VALUE!</v>
      </c>
      <c r="N2125" s="10" t="e">
        <f t="shared" ca="1" si="43"/>
        <v>#VALUE!</v>
      </c>
      <c r="O2125" s="7" t="str">
        <f ca="1">IFERROR(__xludf.DUMMYFUNCTION("GOOGLEFINANCE(""NSE:""&amp;D2125,""pe"")"),"#N/A")</f>
        <v>#N/A</v>
      </c>
      <c r="P2125" s="7" t="str">
        <f ca="1">IFERROR(__xludf.DUMMYFUNCTION("GOOGLEFINANCE(""NSE:""&amp;D2125,""EPS"")"),"#N/A")</f>
        <v>#N/A</v>
      </c>
      <c r="Q2125" s="7">
        <v>13.5</v>
      </c>
      <c r="R2125" s="7" t="str">
        <f ca="1">IFERROR(__xludf.DUMMYFUNCTION("IMPORTXML(E2125,""/html/body/main/div[3]/div[3]/div[2]/ul/li[7]/span[2]/span"")"),"Loading...")</f>
        <v>Loading...</v>
      </c>
      <c r="S2125" s="7" t="str">
        <f ca="1">IFERROR(__xludf.DUMMYFUNCTION("IMPORTXML(E2125,""/html/body/main/div[3]/div[3]/div[2]/ul/li[8]/span[2]/span"")"),"Loading...")</f>
        <v>Loading...</v>
      </c>
      <c r="T2125" s="4">
        <v>34.6</v>
      </c>
      <c r="U2125" s="4">
        <v>22.7</v>
      </c>
      <c r="V2125" s="4">
        <v>2.6</v>
      </c>
      <c r="W2125" s="4">
        <v>5.7</v>
      </c>
      <c r="X2125" s="4">
        <v>519.92999999999995</v>
      </c>
      <c r="Y2125" s="7" t="e">
        <f t="shared" ca="1" si="44"/>
        <v>#VALUE!</v>
      </c>
    </row>
    <row r="2126" spans="1:25" ht="15" x14ac:dyDescent="0.25">
      <c r="A2126" s="4">
        <v>1931</v>
      </c>
      <c r="C2126" s="41" t="s">
        <v>4339</v>
      </c>
      <c r="D2126" s="42"/>
      <c r="E2126" s="5" t="str">
        <f t="shared" si="40"/>
        <v>https://www.screener.in/company//consolidated/</v>
      </c>
      <c r="F2126" s="4">
        <v>443059</v>
      </c>
      <c r="G2126" s="4">
        <v>3832241897</v>
      </c>
      <c r="H2126" s="6" t="e">
        <f t="shared" ca="1" si="41"/>
        <v>#VALUE!</v>
      </c>
      <c r="I2126" s="7" t="str">
        <f ca="1">IFERROR(__xludf.DUMMYFUNCTION("IMPORTXML(E2126,""/html/body/main/div[3]/div[3]/div[2]/ul/li[5]/span[2]/span"")"),"Loading...")</f>
        <v>Loading...</v>
      </c>
      <c r="J2126" s="7" t="str">
        <f ca="1">IFERROR(__xludf.DUMMYFUNCTION("GOOGLEFINANCE(""NSE:""&amp;D2126,""marketcap"")"),"#N/A")</f>
        <v>#N/A</v>
      </c>
      <c r="K2126" s="7">
        <v>992.8</v>
      </c>
      <c r="L2126" s="8" t="str">
        <f ca="1">IFERROR(__xludf.DUMMYFUNCTION("GOOGLEFINANCE(""NSE:""&amp;D2126,""price"")"),"#N/A")</f>
        <v>#N/A</v>
      </c>
      <c r="M2126" s="9" t="e">
        <f t="shared" ca="1" si="42"/>
        <v>#VALUE!</v>
      </c>
      <c r="N2126" s="10" t="e">
        <f t="shared" ca="1" si="43"/>
        <v>#VALUE!</v>
      </c>
      <c r="O2126" s="7" t="str">
        <f ca="1">IFERROR(__xludf.DUMMYFUNCTION("GOOGLEFINANCE(""NSE:""&amp;D2126,""pe"")"),"#N/A")</f>
        <v>#N/A</v>
      </c>
      <c r="P2126" s="7" t="str">
        <f ca="1">IFERROR(__xludf.DUMMYFUNCTION("GOOGLEFINANCE(""NSE:""&amp;D2126,""EPS"")"),"#N/A")</f>
        <v>#N/A</v>
      </c>
      <c r="Q2126" s="7">
        <v>13.5</v>
      </c>
      <c r="R2126" s="7" t="str">
        <f ca="1">IFERROR(__xludf.DUMMYFUNCTION("IMPORTXML(E2126,""/html/body/main/div[3]/div[3]/div[2]/ul/li[7]/span[2]/span"")"),"Loading...")</f>
        <v>Loading...</v>
      </c>
      <c r="S2126" s="7" t="str">
        <f ca="1">IFERROR(__xludf.DUMMYFUNCTION("IMPORTXML(E2126,""/html/body/main/div[3]/div[3]/div[2]/ul/li[8]/span[2]/span"")"),"Loading...")</f>
        <v>Loading...</v>
      </c>
      <c r="T2126" s="4">
        <v>34.6</v>
      </c>
      <c r="U2126" s="4">
        <v>22.7</v>
      </c>
      <c r="V2126" s="4">
        <v>2.6</v>
      </c>
      <c r="W2126" s="4">
        <v>5.7</v>
      </c>
      <c r="X2126" s="4">
        <v>519.92999999999995</v>
      </c>
      <c r="Y2126" s="7" t="e">
        <f t="shared" ca="1" si="44"/>
        <v>#VALUE!</v>
      </c>
    </row>
    <row r="2127" spans="1:25" ht="15" x14ac:dyDescent="0.25">
      <c r="A2127" s="4">
        <v>1934</v>
      </c>
      <c r="C2127" s="41" t="s">
        <v>4340</v>
      </c>
      <c r="D2127" s="42"/>
      <c r="E2127" s="5" t="str">
        <f t="shared" si="40"/>
        <v>https://www.screener.in/company//consolidated/</v>
      </c>
      <c r="F2127" s="4">
        <v>443059</v>
      </c>
      <c r="G2127" s="4">
        <v>3832241897</v>
      </c>
      <c r="H2127" s="6" t="e">
        <f t="shared" ca="1" si="41"/>
        <v>#VALUE!</v>
      </c>
      <c r="I2127" s="7" t="str">
        <f ca="1">IFERROR(__xludf.DUMMYFUNCTION("IMPORTXML(E2127,""/html/body/main/div[3]/div[3]/div[2]/ul/li[5]/span[2]/span"")"),"Loading...")</f>
        <v>Loading...</v>
      </c>
      <c r="J2127" s="7" t="str">
        <f ca="1">IFERROR(__xludf.DUMMYFUNCTION("GOOGLEFINANCE(""NSE:""&amp;D2127,""marketcap"")"),"#N/A")</f>
        <v>#N/A</v>
      </c>
      <c r="K2127" s="7">
        <v>992.8</v>
      </c>
      <c r="L2127" s="8" t="str">
        <f ca="1">IFERROR(__xludf.DUMMYFUNCTION("GOOGLEFINANCE(""NSE:""&amp;D2127,""price"")"),"#N/A")</f>
        <v>#N/A</v>
      </c>
      <c r="M2127" s="9" t="e">
        <f t="shared" ca="1" si="42"/>
        <v>#VALUE!</v>
      </c>
      <c r="N2127" s="10" t="e">
        <f t="shared" ca="1" si="43"/>
        <v>#VALUE!</v>
      </c>
      <c r="O2127" s="7" t="str">
        <f ca="1">IFERROR(__xludf.DUMMYFUNCTION("GOOGLEFINANCE(""NSE:""&amp;D2127,""pe"")"),"#N/A")</f>
        <v>#N/A</v>
      </c>
      <c r="P2127" s="7" t="str">
        <f ca="1">IFERROR(__xludf.DUMMYFUNCTION("GOOGLEFINANCE(""NSE:""&amp;D2127,""EPS"")"),"#N/A")</f>
        <v>#N/A</v>
      </c>
      <c r="Q2127" s="7">
        <v>13.5</v>
      </c>
      <c r="R2127" s="7" t="str">
        <f ca="1">IFERROR(__xludf.DUMMYFUNCTION("IMPORTXML(E2127,""/html/body/main/div[3]/div[3]/div[2]/ul/li[7]/span[2]/span"")"),"Loading...")</f>
        <v>Loading...</v>
      </c>
      <c r="S2127" s="7" t="str">
        <f ca="1">IFERROR(__xludf.DUMMYFUNCTION("IMPORTXML(E2127,""/html/body/main/div[3]/div[3]/div[2]/ul/li[8]/span[2]/span"")"),"Loading...")</f>
        <v>Loading...</v>
      </c>
      <c r="T2127" s="4">
        <v>34.6</v>
      </c>
      <c r="U2127" s="4">
        <v>22.7</v>
      </c>
      <c r="V2127" s="4">
        <v>2.6</v>
      </c>
      <c r="W2127" s="4">
        <v>5.7</v>
      </c>
      <c r="X2127" s="4">
        <v>519.92999999999995</v>
      </c>
      <c r="Y2127" s="7" t="e">
        <f t="shared" ca="1" si="44"/>
        <v>#VALUE!</v>
      </c>
    </row>
    <row r="2128" spans="1:25" ht="15" x14ac:dyDescent="0.25">
      <c r="A2128" s="4">
        <v>1935</v>
      </c>
      <c r="C2128" s="41" t="s">
        <v>4341</v>
      </c>
      <c r="D2128" s="42"/>
      <c r="E2128" s="5" t="str">
        <f t="shared" si="40"/>
        <v>https://www.screener.in/company//consolidated/</v>
      </c>
      <c r="F2128" s="4">
        <v>443059</v>
      </c>
      <c r="G2128" s="4">
        <v>3832241897</v>
      </c>
      <c r="H2128" s="6" t="e">
        <f t="shared" ca="1" si="41"/>
        <v>#VALUE!</v>
      </c>
      <c r="I2128" s="7" t="str">
        <f ca="1">IFERROR(__xludf.DUMMYFUNCTION("IMPORTXML(E2128,""/html/body/main/div[3]/div[3]/div[2]/ul/li[5]/span[2]/span"")"),"Loading...")</f>
        <v>Loading...</v>
      </c>
      <c r="J2128" s="7" t="str">
        <f ca="1">IFERROR(__xludf.DUMMYFUNCTION("GOOGLEFINANCE(""NSE:""&amp;D2128,""marketcap"")"),"#N/A")</f>
        <v>#N/A</v>
      </c>
      <c r="K2128" s="7">
        <v>992.8</v>
      </c>
      <c r="L2128" s="8" t="str">
        <f ca="1">IFERROR(__xludf.DUMMYFUNCTION("GOOGLEFINANCE(""NSE:""&amp;D2128,""price"")"),"#N/A")</f>
        <v>#N/A</v>
      </c>
      <c r="M2128" s="9" t="e">
        <f t="shared" ca="1" si="42"/>
        <v>#VALUE!</v>
      </c>
      <c r="N2128" s="10" t="e">
        <f t="shared" ca="1" si="43"/>
        <v>#VALUE!</v>
      </c>
      <c r="O2128" s="7" t="str">
        <f ca="1">IFERROR(__xludf.DUMMYFUNCTION("GOOGLEFINANCE(""NSE:""&amp;D2128,""pe"")"),"#N/A")</f>
        <v>#N/A</v>
      </c>
      <c r="P2128" s="7" t="str">
        <f ca="1">IFERROR(__xludf.DUMMYFUNCTION("GOOGLEFINANCE(""NSE:""&amp;D2128,""EPS"")"),"#N/A")</f>
        <v>#N/A</v>
      </c>
      <c r="Q2128" s="7">
        <v>13.5</v>
      </c>
      <c r="R2128" s="7" t="str">
        <f ca="1">IFERROR(__xludf.DUMMYFUNCTION("IMPORTXML(E2128,""/html/body/main/div[3]/div[3]/div[2]/ul/li[7]/span[2]/span"")"),"Loading...")</f>
        <v>Loading...</v>
      </c>
      <c r="S2128" s="7" t="str">
        <f ca="1">IFERROR(__xludf.DUMMYFUNCTION("IMPORTXML(E2128,""/html/body/main/div[3]/div[3]/div[2]/ul/li[8]/span[2]/span"")"),"Loading...")</f>
        <v>Loading...</v>
      </c>
      <c r="T2128" s="4">
        <v>34.6</v>
      </c>
      <c r="U2128" s="4">
        <v>22.7</v>
      </c>
      <c r="V2128" s="4">
        <v>2.6</v>
      </c>
      <c r="W2128" s="4">
        <v>5.7</v>
      </c>
      <c r="X2128" s="4">
        <v>519.92999999999995</v>
      </c>
      <c r="Y2128" s="7" t="e">
        <f t="shared" ca="1" si="44"/>
        <v>#VALUE!</v>
      </c>
    </row>
    <row r="2129" spans="1:25" ht="15" x14ac:dyDescent="0.25">
      <c r="A2129" s="4">
        <v>1936</v>
      </c>
      <c r="C2129" s="12" t="s">
        <v>4342</v>
      </c>
      <c r="D2129" s="12" t="s">
        <v>4343</v>
      </c>
      <c r="E2129" s="5" t="str">
        <f t="shared" si="40"/>
        <v>https://www.screener.in/company/PRAENG/consolidated/</v>
      </c>
      <c r="F2129" s="4">
        <v>443059</v>
      </c>
      <c r="G2129" s="4">
        <v>3832241897</v>
      </c>
      <c r="H2129" s="6">
        <f t="shared" ca="1" si="41"/>
        <v>10270.408283960001</v>
      </c>
      <c r="I2129" s="7" t="str">
        <f ca="1">IFERROR(__xludf.DUMMYFUNCTION("IMPORTXML(E2129,""/html/body/main/div[3]/div[3]/div[2]/ul/li[5]/span[2]/span"")"),"Loading...")</f>
        <v>Loading...</v>
      </c>
      <c r="J2129" s="7">
        <f ca="1">IFERROR(__xludf.DUMMYFUNCTION("GOOGLEFINANCE(""NSE:""&amp;D2129,""marketcap"")"),1874278582)</f>
        <v>1874278582</v>
      </c>
      <c r="K2129" s="7">
        <v>992.8</v>
      </c>
      <c r="L2129" s="8">
        <f ca="1">IFERROR(__xludf.DUMMYFUNCTION("GOOGLEFINANCE(""NSE:""&amp;D2129,""price"")"),26.8)</f>
        <v>26.8</v>
      </c>
      <c r="M2129" s="9">
        <f t="shared" ca="1" si="42"/>
        <v>-966</v>
      </c>
      <c r="N2129" s="10">
        <f t="shared" ca="1" si="43"/>
        <v>-97.300564061240934</v>
      </c>
      <c r="O2129" s="7" t="str">
        <f ca="1">IFERROR(__xludf.DUMMYFUNCTION("GOOGLEFINANCE(""NSE:""&amp;D2129,""pe"")"),"#N/A")</f>
        <v>#N/A</v>
      </c>
      <c r="P2129" s="7">
        <f ca="1">IFERROR(__xludf.DUMMYFUNCTION("GOOGLEFINANCE(""NSE:""&amp;D2129,""EPS"")"),-3.99)</f>
        <v>-3.99</v>
      </c>
      <c r="Q2129" s="7">
        <v>13.5</v>
      </c>
      <c r="R2129" s="7" t="str">
        <f ca="1">IFERROR(__xludf.DUMMYFUNCTION("IMPORTXML(E2129,""/html/body/main/div[3]/div[3]/div[2]/ul/li[7]/span[2]/span"")"),"Loading...")</f>
        <v>Loading...</v>
      </c>
      <c r="S2129" s="7" t="str">
        <f ca="1">IFERROR(__xludf.DUMMYFUNCTION("IMPORTXML(E2129,""/html/body/main/div[3]/div[3]/div[2]/ul/li[8]/span[2]/span"")"),"Loading...")</f>
        <v>Loading...</v>
      </c>
      <c r="T2129" s="4">
        <v>34.6</v>
      </c>
      <c r="U2129" s="4">
        <v>22.7</v>
      </c>
      <c r="V2129" s="4">
        <v>2.6</v>
      </c>
      <c r="W2129" s="4">
        <v>5.7</v>
      </c>
      <c r="X2129" s="4">
        <v>519.92999999999995</v>
      </c>
      <c r="Y2129" s="7">
        <f t="shared" ca="1" si="44"/>
        <v>-493.12999999999994</v>
      </c>
    </row>
    <row r="2130" spans="1:25" ht="15" x14ac:dyDescent="0.25">
      <c r="A2130" s="4">
        <v>1937</v>
      </c>
      <c r="C2130" s="41" t="s">
        <v>4344</v>
      </c>
      <c r="D2130" s="42"/>
      <c r="E2130" s="5" t="str">
        <f t="shared" si="40"/>
        <v>https://www.screener.in/company//consolidated/</v>
      </c>
      <c r="F2130" s="4">
        <v>443059</v>
      </c>
      <c r="G2130" s="4">
        <v>3832241897</v>
      </c>
      <c r="H2130" s="6" t="e">
        <f t="shared" ca="1" si="41"/>
        <v>#VALUE!</v>
      </c>
      <c r="I2130" s="7" t="str">
        <f ca="1">IFERROR(__xludf.DUMMYFUNCTION("IMPORTXML(E2130,""/html/body/main/div[3]/div[3]/div[2]/ul/li[5]/span[2]/span"")"),"Loading...")</f>
        <v>Loading...</v>
      </c>
      <c r="J2130" s="7" t="str">
        <f ca="1">IFERROR(__xludf.DUMMYFUNCTION("GOOGLEFINANCE(""NSE:""&amp;D2130,""marketcap"")"),"#N/A")</f>
        <v>#N/A</v>
      </c>
      <c r="K2130" s="7">
        <v>992.8</v>
      </c>
      <c r="L2130" s="8" t="str">
        <f ca="1">IFERROR(__xludf.DUMMYFUNCTION("GOOGLEFINANCE(""NSE:""&amp;D2130,""price"")"),"#N/A")</f>
        <v>#N/A</v>
      </c>
      <c r="M2130" s="9" t="e">
        <f t="shared" ca="1" si="42"/>
        <v>#VALUE!</v>
      </c>
      <c r="N2130" s="10" t="e">
        <f t="shared" ca="1" si="43"/>
        <v>#VALUE!</v>
      </c>
      <c r="O2130" s="7" t="str">
        <f ca="1">IFERROR(__xludf.DUMMYFUNCTION("GOOGLEFINANCE(""NSE:""&amp;D2130,""pe"")"),"#N/A")</f>
        <v>#N/A</v>
      </c>
      <c r="P2130" s="7" t="str">
        <f ca="1">IFERROR(__xludf.DUMMYFUNCTION("GOOGLEFINANCE(""NSE:""&amp;D2130,""EPS"")"),"#N/A")</f>
        <v>#N/A</v>
      </c>
      <c r="Q2130" s="7">
        <v>13.5</v>
      </c>
      <c r="R2130" s="7" t="str">
        <f ca="1">IFERROR(__xludf.DUMMYFUNCTION("IMPORTXML(E2130,""/html/body/main/div[3]/div[3]/div[2]/ul/li[7]/span[2]/span"")"),"Loading...")</f>
        <v>Loading...</v>
      </c>
      <c r="S2130" s="7" t="str">
        <f ca="1">IFERROR(__xludf.DUMMYFUNCTION("IMPORTXML(E2130,""/html/body/main/div[3]/div[3]/div[2]/ul/li[8]/span[2]/span"")"),"Loading...")</f>
        <v>Loading...</v>
      </c>
      <c r="T2130" s="4">
        <v>34.6</v>
      </c>
      <c r="U2130" s="4">
        <v>22.7</v>
      </c>
      <c r="V2130" s="4">
        <v>2.6</v>
      </c>
      <c r="W2130" s="4">
        <v>5.7</v>
      </c>
      <c r="X2130" s="4">
        <v>519.92999999999995</v>
      </c>
      <c r="Y2130" s="7" t="e">
        <f t="shared" ca="1" si="44"/>
        <v>#VALUE!</v>
      </c>
    </row>
    <row r="2131" spans="1:25" ht="15" x14ac:dyDescent="0.25">
      <c r="A2131" s="4">
        <v>1939</v>
      </c>
      <c r="C2131" s="12" t="s">
        <v>4345</v>
      </c>
      <c r="D2131" s="37"/>
      <c r="E2131" s="5" t="str">
        <f t="shared" si="40"/>
        <v>https://www.screener.in/company//consolidated/</v>
      </c>
      <c r="F2131" s="4">
        <v>443059</v>
      </c>
      <c r="G2131" s="4">
        <v>3832241897</v>
      </c>
      <c r="H2131" s="6" t="e">
        <f t="shared" ca="1" si="41"/>
        <v>#VALUE!</v>
      </c>
      <c r="I2131" s="7" t="str">
        <f ca="1">IFERROR(__xludf.DUMMYFUNCTION("IMPORTXML(E2131,""/html/body/main/div[3]/div[3]/div[2]/ul/li[5]/span[2]/span"")"),"Loading...")</f>
        <v>Loading...</v>
      </c>
      <c r="J2131" s="7" t="str">
        <f ca="1">IFERROR(__xludf.DUMMYFUNCTION("GOOGLEFINANCE(""NSE:""&amp;D2131,""marketcap"")"),"#N/A")</f>
        <v>#N/A</v>
      </c>
      <c r="K2131" s="7">
        <v>992.8</v>
      </c>
      <c r="L2131" s="8" t="str">
        <f ca="1">IFERROR(__xludf.DUMMYFUNCTION("GOOGLEFINANCE(""NSE:""&amp;D2131,""price"")"),"#N/A")</f>
        <v>#N/A</v>
      </c>
      <c r="M2131" s="9" t="e">
        <f t="shared" ca="1" si="42"/>
        <v>#VALUE!</v>
      </c>
      <c r="N2131" s="10" t="e">
        <f t="shared" ca="1" si="43"/>
        <v>#VALUE!</v>
      </c>
      <c r="O2131" s="7" t="str">
        <f ca="1">IFERROR(__xludf.DUMMYFUNCTION("GOOGLEFINANCE(""NSE:""&amp;D2131,""pe"")"),"#N/A")</f>
        <v>#N/A</v>
      </c>
      <c r="P2131" s="7" t="str">
        <f ca="1">IFERROR(__xludf.DUMMYFUNCTION("GOOGLEFINANCE(""NSE:""&amp;D2131,""EPS"")"),"#N/A")</f>
        <v>#N/A</v>
      </c>
      <c r="Q2131" s="7">
        <v>13.5</v>
      </c>
      <c r="R2131" s="7" t="str">
        <f ca="1">IFERROR(__xludf.DUMMYFUNCTION("IMPORTXML(E2131,""/html/body/main/div[3]/div[3]/div[2]/ul/li[7]/span[2]/span"")"),"Loading...")</f>
        <v>Loading...</v>
      </c>
      <c r="S2131" s="7" t="str">
        <f ca="1">IFERROR(__xludf.DUMMYFUNCTION("IMPORTXML(E2131,""/html/body/main/div[3]/div[3]/div[2]/ul/li[8]/span[2]/span"")"),"Loading...")</f>
        <v>Loading...</v>
      </c>
      <c r="T2131" s="4">
        <v>34.6</v>
      </c>
      <c r="U2131" s="4">
        <v>22.7</v>
      </c>
      <c r="V2131" s="4">
        <v>2.6</v>
      </c>
      <c r="W2131" s="4">
        <v>5.7</v>
      </c>
      <c r="X2131" s="4">
        <v>519.92999999999995</v>
      </c>
      <c r="Y2131" s="7" t="e">
        <f t="shared" ca="1" si="44"/>
        <v>#VALUE!</v>
      </c>
    </row>
    <row r="2132" spans="1:25" ht="15" x14ac:dyDescent="0.25">
      <c r="A2132" s="4">
        <v>1940</v>
      </c>
      <c r="C2132" s="41" t="s">
        <v>4346</v>
      </c>
      <c r="D2132" s="42"/>
      <c r="E2132" s="5" t="str">
        <f t="shared" si="40"/>
        <v>https://www.screener.in/company//consolidated/</v>
      </c>
      <c r="F2132" s="4">
        <v>443059</v>
      </c>
      <c r="G2132" s="4">
        <v>3832241897</v>
      </c>
      <c r="H2132" s="6" t="e">
        <f t="shared" ca="1" si="41"/>
        <v>#VALUE!</v>
      </c>
      <c r="I2132" s="7" t="str">
        <f ca="1">IFERROR(__xludf.DUMMYFUNCTION("IMPORTXML(E2132,""/html/body/main/div[3]/div[3]/div[2]/ul/li[5]/span[2]/span"")"),"Loading...")</f>
        <v>Loading...</v>
      </c>
      <c r="J2132" s="7" t="str">
        <f ca="1">IFERROR(__xludf.DUMMYFUNCTION("GOOGLEFINANCE(""NSE:""&amp;D2132,""marketcap"")"),"#N/A")</f>
        <v>#N/A</v>
      </c>
      <c r="K2132" s="7">
        <v>992.8</v>
      </c>
      <c r="L2132" s="8" t="str">
        <f ca="1">IFERROR(__xludf.DUMMYFUNCTION("GOOGLEFINANCE(""NSE:""&amp;D2132,""price"")"),"#N/A")</f>
        <v>#N/A</v>
      </c>
      <c r="M2132" s="9" t="e">
        <f t="shared" ca="1" si="42"/>
        <v>#VALUE!</v>
      </c>
      <c r="N2132" s="10" t="e">
        <f t="shared" ca="1" si="43"/>
        <v>#VALUE!</v>
      </c>
      <c r="O2132" s="7" t="str">
        <f ca="1">IFERROR(__xludf.DUMMYFUNCTION("GOOGLEFINANCE(""NSE:""&amp;D2132,""pe"")"),"#N/A")</f>
        <v>#N/A</v>
      </c>
      <c r="P2132" s="7" t="str">
        <f ca="1">IFERROR(__xludf.DUMMYFUNCTION("GOOGLEFINANCE(""NSE:""&amp;D2132,""EPS"")"),"#N/A")</f>
        <v>#N/A</v>
      </c>
      <c r="Q2132" s="7">
        <v>13.5</v>
      </c>
      <c r="R2132" s="7" t="str">
        <f ca="1">IFERROR(__xludf.DUMMYFUNCTION("IMPORTXML(E2132,""/html/body/main/div[3]/div[3]/div[2]/ul/li[7]/span[2]/span"")"),"Loading...")</f>
        <v>Loading...</v>
      </c>
      <c r="S2132" s="7" t="str">
        <f ca="1">IFERROR(__xludf.DUMMYFUNCTION("IMPORTXML(E2132,""/html/body/main/div[3]/div[3]/div[2]/ul/li[8]/span[2]/span"")"),"Loading...")</f>
        <v>Loading...</v>
      </c>
      <c r="T2132" s="4">
        <v>34.6</v>
      </c>
      <c r="U2132" s="4">
        <v>22.7</v>
      </c>
      <c r="V2132" s="4">
        <v>2.6</v>
      </c>
      <c r="W2132" s="4">
        <v>5.7</v>
      </c>
      <c r="X2132" s="4">
        <v>519.92999999999995</v>
      </c>
      <c r="Y2132" s="7" t="e">
        <f t="shared" ca="1" si="44"/>
        <v>#VALUE!</v>
      </c>
    </row>
    <row r="2133" spans="1:25" ht="15" x14ac:dyDescent="0.25">
      <c r="A2133" s="4">
        <v>1941</v>
      </c>
      <c r="C2133" s="12" t="s">
        <v>4347</v>
      </c>
      <c r="D2133" s="12" t="s">
        <v>4348</v>
      </c>
      <c r="E2133" s="5" t="str">
        <f t="shared" si="40"/>
        <v>https://www.screener.in/company/LOYALTEX/consolidated/</v>
      </c>
      <c r="F2133" s="4">
        <v>443059</v>
      </c>
      <c r="G2133" s="4">
        <v>3832241897</v>
      </c>
      <c r="H2133" s="6">
        <f t="shared" ca="1" si="41"/>
        <v>121673.68022975</v>
      </c>
      <c r="I2133" s="7" t="str">
        <f ca="1">IFERROR(__xludf.DUMMYFUNCTION("IMPORTXML(E2133,""/html/body/main/div[3]/div[3]/div[2]/ul/li[5]/span[2]/span"")"),"Loading...")</f>
        <v>Loading...</v>
      </c>
      <c r="J2133" s="7">
        <f ca="1">IFERROR(__xludf.DUMMYFUNCTION("GOOGLEFINANCE(""NSE:""&amp;D2133,""marketcap"")"),1529221922)</f>
        <v>1529221922</v>
      </c>
      <c r="K2133" s="7">
        <v>992.8</v>
      </c>
      <c r="L2133" s="8">
        <f ca="1">IFERROR(__xludf.DUMMYFUNCTION("GOOGLEFINANCE(""NSE:""&amp;D2133,""price"")"),317.5)</f>
        <v>317.5</v>
      </c>
      <c r="M2133" s="9">
        <f t="shared" ca="1" si="42"/>
        <v>-675.3</v>
      </c>
      <c r="N2133" s="10">
        <f t="shared" ca="1" si="43"/>
        <v>-68.019742143432723</v>
      </c>
      <c r="O2133" s="7" t="str">
        <f ca="1">IFERROR(__xludf.DUMMYFUNCTION("GOOGLEFINANCE(""NSE:""&amp;D2133,""pe"")"),"#N/A")</f>
        <v>#N/A</v>
      </c>
      <c r="P2133" s="7">
        <f ca="1">IFERROR(__xludf.DUMMYFUNCTION("GOOGLEFINANCE(""NSE:""&amp;D2133,""EPS"")"),-113.34)</f>
        <v>-113.34</v>
      </c>
      <c r="Q2133" s="7">
        <v>13.5</v>
      </c>
      <c r="R2133" s="7" t="str">
        <f ca="1">IFERROR(__xludf.DUMMYFUNCTION("IMPORTXML(E2133,""/html/body/main/div[3]/div[3]/div[2]/ul/li[7]/span[2]/span"")"),"Loading...")</f>
        <v>Loading...</v>
      </c>
      <c r="S2133" s="7" t="str">
        <f ca="1">IFERROR(__xludf.DUMMYFUNCTION("IMPORTXML(E2133,""/html/body/main/div[3]/div[3]/div[2]/ul/li[8]/span[2]/span"")"),"Loading...")</f>
        <v>Loading...</v>
      </c>
      <c r="T2133" s="4">
        <v>34.6</v>
      </c>
      <c r="U2133" s="4">
        <v>22.7</v>
      </c>
      <c r="V2133" s="4">
        <v>2.6</v>
      </c>
      <c r="W2133" s="4">
        <v>5.7</v>
      </c>
      <c r="X2133" s="4">
        <v>519.92999999999995</v>
      </c>
      <c r="Y2133" s="7">
        <f t="shared" ca="1" si="44"/>
        <v>-202.42999999999995</v>
      </c>
    </row>
    <row r="2134" spans="1:25" ht="15" x14ac:dyDescent="0.25">
      <c r="A2134" s="4">
        <v>1943</v>
      </c>
      <c r="C2134" s="41" t="s">
        <v>4349</v>
      </c>
      <c r="D2134" s="42"/>
      <c r="E2134" s="5" t="str">
        <f t="shared" si="40"/>
        <v>https://www.screener.in/company//consolidated/</v>
      </c>
      <c r="F2134" s="4">
        <v>443059</v>
      </c>
      <c r="G2134" s="4">
        <v>3832241897</v>
      </c>
      <c r="H2134" s="6" t="e">
        <f t="shared" ca="1" si="41"/>
        <v>#VALUE!</v>
      </c>
      <c r="I2134" s="7" t="str">
        <f ca="1">IFERROR(__xludf.DUMMYFUNCTION("IMPORTXML(E2134,""/html/body/main/div[3]/div[3]/div[2]/ul/li[5]/span[2]/span"")"),"Loading...")</f>
        <v>Loading...</v>
      </c>
      <c r="J2134" s="7" t="str">
        <f ca="1">IFERROR(__xludf.DUMMYFUNCTION("GOOGLEFINANCE(""NSE:""&amp;D2134,""marketcap"")"),"#N/A")</f>
        <v>#N/A</v>
      </c>
      <c r="K2134" s="7">
        <v>992.8</v>
      </c>
      <c r="L2134" s="8" t="str">
        <f ca="1">IFERROR(__xludf.DUMMYFUNCTION("GOOGLEFINANCE(""NSE:""&amp;D2134,""price"")"),"#N/A")</f>
        <v>#N/A</v>
      </c>
      <c r="M2134" s="9" t="e">
        <f t="shared" ca="1" si="42"/>
        <v>#VALUE!</v>
      </c>
      <c r="N2134" s="10" t="e">
        <f t="shared" ca="1" si="43"/>
        <v>#VALUE!</v>
      </c>
      <c r="O2134" s="7" t="str">
        <f ca="1">IFERROR(__xludf.DUMMYFUNCTION("GOOGLEFINANCE(""NSE:""&amp;D2134,""pe"")"),"#N/A")</f>
        <v>#N/A</v>
      </c>
      <c r="P2134" s="7" t="str">
        <f ca="1">IFERROR(__xludf.DUMMYFUNCTION("GOOGLEFINANCE(""NSE:""&amp;D2134,""EPS"")"),"#N/A")</f>
        <v>#N/A</v>
      </c>
      <c r="Q2134" s="7">
        <v>13.5</v>
      </c>
      <c r="R2134" s="7" t="str">
        <f ca="1">IFERROR(__xludf.DUMMYFUNCTION("IMPORTXML(E2134,""/html/body/main/div[3]/div[3]/div[2]/ul/li[7]/span[2]/span"")"),"Loading...")</f>
        <v>Loading...</v>
      </c>
      <c r="S2134" s="7" t="str">
        <f ca="1">IFERROR(__xludf.DUMMYFUNCTION("IMPORTXML(E2134,""/html/body/main/div[3]/div[3]/div[2]/ul/li[8]/span[2]/span"")"),"Loading...")</f>
        <v>Loading...</v>
      </c>
      <c r="T2134" s="4">
        <v>34.6</v>
      </c>
      <c r="U2134" s="4">
        <v>22.7</v>
      </c>
      <c r="V2134" s="4">
        <v>2.6</v>
      </c>
      <c r="W2134" s="4">
        <v>5.7</v>
      </c>
      <c r="X2134" s="4">
        <v>519.92999999999995</v>
      </c>
      <c r="Y2134" s="7" t="e">
        <f t="shared" ca="1" si="44"/>
        <v>#VALUE!</v>
      </c>
    </row>
    <row r="2135" spans="1:25" ht="15" x14ac:dyDescent="0.25">
      <c r="A2135" s="4">
        <v>1944</v>
      </c>
      <c r="C2135" s="41" t="s">
        <v>4350</v>
      </c>
      <c r="D2135" s="42"/>
      <c r="E2135" s="5" t="str">
        <f t="shared" si="40"/>
        <v>https://www.screener.in/company//consolidated/</v>
      </c>
      <c r="F2135" s="4">
        <v>443059</v>
      </c>
      <c r="G2135" s="4">
        <v>3832241897</v>
      </c>
      <c r="H2135" s="6" t="e">
        <f t="shared" ca="1" si="41"/>
        <v>#VALUE!</v>
      </c>
      <c r="I2135" s="7" t="str">
        <f ca="1">IFERROR(__xludf.DUMMYFUNCTION("IMPORTXML(E2135,""/html/body/main/div[3]/div[3]/div[2]/ul/li[5]/span[2]/span"")"),"Loading...")</f>
        <v>Loading...</v>
      </c>
      <c r="J2135" s="7" t="str">
        <f ca="1">IFERROR(__xludf.DUMMYFUNCTION("GOOGLEFINANCE(""NSE:""&amp;D2135,""marketcap"")"),"#N/A")</f>
        <v>#N/A</v>
      </c>
      <c r="K2135" s="7">
        <v>992.8</v>
      </c>
      <c r="L2135" s="8" t="str">
        <f ca="1">IFERROR(__xludf.DUMMYFUNCTION("GOOGLEFINANCE(""NSE:""&amp;D2135,""price"")"),"#N/A")</f>
        <v>#N/A</v>
      </c>
      <c r="M2135" s="9" t="e">
        <f t="shared" ca="1" si="42"/>
        <v>#VALUE!</v>
      </c>
      <c r="N2135" s="10" t="e">
        <f t="shared" ca="1" si="43"/>
        <v>#VALUE!</v>
      </c>
      <c r="O2135" s="7" t="str">
        <f ca="1">IFERROR(__xludf.DUMMYFUNCTION("GOOGLEFINANCE(""NSE:""&amp;D2135,""pe"")"),"#N/A")</f>
        <v>#N/A</v>
      </c>
      <c r="P2135" s="7" t="str">
        <f ca="1">IFERROR(__xludf.DUMMYFUNCTION("GOOGLEFINANCE(""NSE:""&amp;D2135,""EPS"")"),"#N/A")</f>
        <v>#N/A</v>
      </c>
      <c r="Q2135" s="7">
        <v>13.5</v>
      </c>
      <c r="R2135" s="7" t="str">
        <f ca="1">IFERROR(__xludf.DUMMYFUNCTION("IMPORTXML(E2135,""/html/body/main/div[3]/div[3]/div[2]/ul/li[7]/span[2]/span"")"),"Loading...")</f>
        <v>Loading...</v>
      </c>
      <c r="S2135" s="7" t="str">
        <f ca="1">IFERROR(__xludf.DUMMYFUNCTION("IMPORTXML(E2135,""/html/body/main/div[3]/div[3]/div[2]/ul/li[8]/span[2]/span"")"),"Loading...")</f>
        <v>Loading...</v>
      </c>
      <c r="T2135" s="4">
        <v>34.6</v>
      </c>
      <c r="U2135" s="4">
        <v>22.7</v>
      </c>
      <c r="V2135" s="4">
        <v>2.6</v>
      </c>
      <c r="W2135" s="4">
        <v>5.7</v>
      </c>
      <c r="X2135" s="4">
        <v>519.92999999999995</v>
      </c>
      <c r="Y2135" s="7" t="e">
        <f t="shared" ca="1" si="44"/>
        <v>#VALUE!</v>
      </c>
    </row>
    <row r="2136" spans="1:25" ht="15" x14ac:dyDescent="0.25">
      <c r="A2136" s="4">
        <v>1945</v>
      </c>
      <c r="C2136" s="41" t="s">
        <v>4351</v>
      </c>
      <c r="D2136" s="42"/>
      <c r="E2136" s="5" t="str">
        <f t="shared" si="40"/>
        <v>https://www.screener.in/company//consolidated/</v>
      </c>
      <c r="F2136" s="4">
        <v>443059</v>
      </c>
      <c r="G2136" s="4">
        <v>3832241897</v>
      </c>
      <c r="H2136" s="6" t="e">
        <f t="shared" ca="1" si="41"/>
        <v>#VALUE!</v>
      </c>
      <c r="I2136" s="7" t="str">
        <f ca="1">IFERROR(__xludf.DUMMYFUNCTION("IMPORTXML(E2136,""/html/body/main/div[3]/div[3]/div[2]/ul/li[5]/span[2]/span"")"),"Loading...")</f>
        <v>Loading...</v>
      </c>
      <c r="J2136" s="7" t="str">
        <f ca="1">IFERROR(__xludf.DUMMYFUNCTION("GOOGLEFINANCE(""NSE:""&amp;D2136,""marketcap"")"),"#N/A")</f>
        <v>#N/A</v>
      </c>
      <c r="K2136" s="7">
        <v>992.8</v>
      </c>
      <c r="L2136" s="8" t="str">
        <f ca="1">IFERROR(__xludf.DUMMYFUNCTION("GOOGLEFINANCE(""NSE:""&amp;D2136,""price"")"),"#N/A")</f>
        <v>#N/A</v>
      </c>
      <c r="M2136" s="9" t="e">
        <f t="shared" ca="1" si="42"/>
        <v>#VALUE!</v>
      </c>
      <c r="N2136" s="10" t="e">
        <f t="shared" ca="1" si="43"/>
        <v>#VALUE!</v>
      </c>
      <c r="O2136" s="7" t="str">
        <f ca="1">IFERROR(__xludf.DUMMYFUNCTION("GOOGLEFINANCE(""NSE:""&amp;D2136,""pe"")"),"#N/A")</f>
        <v>#N/A</v>
      </c>
      <c r="P2136" s="7" t="str">
        <f ca="1">IFERROR(__xludf.DUMMYFUNCTION("GOOGLEFINANCE(""NSE:""&amp;D2136,""EPS"")"),"#N/A")</f>
        <v>#N/A</v>
      </c>
      <c r="Q2136" s="7">
        <v>13.5</v>
      </c>
      <c r="R2136" s="7" t="str">
        <f ca="1">IFERROR(__xludf.DUMMYFUNCTION("IMPORTXML(E2136,""/html/body/main/div[3]/div[3]/div[2]/ul/li[7]/span[2]/span"")"),"Loading...")</f>
        <v>Loading...</v>
      </c>
      <c r="S2136" s="7" t="str">
        <f ca="1">IFERROR(__xludf.DUMMYFUNCTION("IMPORTXML(E2136,""/html/body/main/div[3]/div[3]/div[2]/ul/li[8]/span[2]/span"")"),"Loading...")</f>
        <v>Loading...</v>
      </c>
      <c r="T2136" s="4">
        <v>34.6</v>
      </c>
      <c r="U2136" s="4">
        <v>22.7</v>
      </c>
      <c r="V2136" s="4">
        <v>2.6</v>
      </c>
      <c r="W2136" s="4">
        <v>5.7</v>
      </c>
      <c r="X2136" s="4">
        <v>519.92999999999995</v>
      </c>
      <c r="Y2136" s="7" t="e">
        <f t="shared" ca="1" si="44"/>
        <v>#VALUE!</v>
      </c>
    </row>
    <row r="2137" spans="1:25" ht="15" x14ac:dyDescent="0.25">
      <c r="A2137" s="4">
        <v>1948</v>
      </c>
      <c r="C2137" s="41" t="s">
        <v>4352</v>
      </c>
      <c r="D2137" s="42"/>
      <c r="E2137" s="5" t="str">
        <f t="shared" si="40"/>
        <v>https://www.screener.in/company//consolidated/</v>
      </c>
      <c r="F2137" s="4">
        <v>443059</v>
      </c>
      <c r="G2137" s="4">
        <v>3832241897</v>
      </c>
      <c r="H2137" s="6" t="e">
        <f t="shared" ca="1" si="41"/>
        <v>#VALUE!</v>
      </c>
      <c r="I2137" s="7" t="str">
        <f ca="1">IFERROR(__xludf.DUMMYFUNCTION("IMPORTXML(E2137,""/html/body/main/div[3]/div[3]/div[2]/ul/li[5]/span[2]/span"")"),"Loading...")</f>
        <v>Loading...</v>
      </c>
      <c r="J2137" s="7" t="str">
        <f ca="1">IFERROR(__xludf.DUMMYFUNCTION("GOOGLEFINANCE(""NSE:""&amp;D2137,""marketcap"")"),"#N/A")</f>
        <v>#N/A</v>
      </c>
      <c r="K2137" s="7">
        <v>992.8</v>
      </c>
      <c r="L2137" s="8" t="str">
        <f ca="1">IFERROR(__xludf.DUMMYFUNCTION("GOOGLEFINANCE(""NSE:""&amp;D2137,""price"")"),"#N/A")</f>
        <v>#N/A</v>
      </c>
      <c r="M2137" s="9" t="e">
        <f t="shared" ca="1" si="42"/>
        <v>#VALUE!</v>
      </c>
      <c r="N2137" s="10" t="e">
        <f t="shared" ca="1" si="43"/>
        <v>#VALUE!</v>
      </c>
      <c r="O2137" s="7" t="str">
        <f ca="1">IFERROR(__xludf.DUMMYFUNCTION("GOOGLEFINANCE(""NSE:""&amp;D2137,""pe"")"),"#N/A")</f>
        <v>#N/A</v>
      </c>
      <c r="P2137" s="7" t="str">
        <f ca="1">IFERROR(__xludf.DUMMYFUNCTION("GOOGLEFINANCE(""NSE:""&amp;D2137,""EPS"")"),"#N/A")</f>
        <v>#N/A</v>
      </c>
      <c r="Q2137" s="7">
        <v>13.5</v>
      </c>
      <c r="R2137" s="7" t="str">
        <f ca="1">IFERROR(__xludf.DUMMYFUNCTION("IMPORTXML(E2137,""/html/body/main/div[3]/div[3]/div[2]/ul/li[7]/span[2]/span"")"),"Loading...")</f>
        <v>Loading...</v>
      </c>
      <c r="S2137" s="7" t="str">
        <f ca="1">IFERROR(__xludf.DUMMYFUNCTION("IMPORTXML(E2137,""/html/body/main/div[3]/div[3]/div[2]/ul/li[8]/span[2]/span"")"),"Loading...")</f>
        <v>Loading...</v>
      </c>
      <c r="T2137" s="4">
        <v>34.6</v>
      </c>
      <c r="U2137" s="4">
        <v>22.7</v>
      </c>
      <c r="V2137" s="4">
        <v>2.6</v>
      </c>
      <c r="W2137" s="4">
        <v>5.7</v>
      </c>
      <c r="X2137" s="4">
        <v>519.92999999999995</v>
      </c>
      <c r="Y2137" s="7" t="e">
        <f t="shared" ca="1" si="44"/>
        <v>#VALUE!</v>
      </c>
    </row>
    <row r="2138" spans="1:25" ht="15" x14ac:dyDescent="0.25">
      <c r="A2138" s="4">
        <v>1949</v>
      </c>
      <c r="C2138" s="12" t="s">
        <v>4353</v>
      </c>
      <c r="D2138" s="12" t="s">
        <v>4354</v>
      </c>
      <c r="E2138" s="5" t="str">
        <f t="shared" si="40"/>
        <v>https://www.screener.in/company/GINNIFILA/consolidated/</v>
      </c>
      <c r="F2138" s="4">
        <v>443059</v>
      </c>
      <c r="G2138" s="4">
        <v>3832241897</v>
      </c>
      <c r="H2138" s="6">
        <f t="shared" ca="1" si="41"/>
        <v>17666.635145170003</v>
      </c>
      <c r="I2138" s="7" t="str">
        <f ca="1">IFERROR(__xludf.DUMMYFUNCTION("IMPORTXML(E2138,""/html/body/main/div[3]/div[3]/div[2]/ul/li[5]/span[2]/span"")"),"Loading...")</f>
        <v>Loading...</v>
      </c>
      <c r="J2138" s="7">
        <f ca="1">IFERROR(__xludf.DUMMYFUNCTION("GOOGLEFINANCE(""NSE:""&amp;D2138,""marketcap"")"),3947610817)</f>
        <v>3947610817</v>
      </c>
      <c r="K2138" s="7">
        <v>992.8</v>
      </c>
      <c r="L2138" s="8">
        <f ca="1">IFERROR(__xludf.DUMMYFUNCTION("GOOGLEFINANCE(""NSE:""&amp;D2138,""price"")"),46.1)</f>
        <v>46.1</v>
      </c>
      <c r="M2138" s="9">
        <f t="shared" ca="1" si="42"/>
        <v>-946.69999999999993</v>
      </c>
      <c r="N2138" s="10">
        <f t="shared" ca="1" si="43"/>
        <v>-95.356567284448019</v>
      </c>
      <c r="O2138" s="7">
        <f ca="1">IFERROR(__xludf.DUMMYFUNCTION("GOOGLEFINANCE(""NSE:""&amp;D2138,""pe"")"),26.96)</f>
        <v>26.96</v>
      </c>
      <c r="P2138" s="7">
        <f ca="1">IFERROR(__xludf.DUMMYFUNCTION("GOOGLEFINANCE(""NSE:""&amp;D2138,""EPS"")"),1.71)</f>
        <v>1.71</v>
      </c>
      <c r="Q2138" s="7">
        <v>13.5</v>
      </c>
      <c r="R2138" s="7" t="str">
        <f ca="1">IFERROR(__xludf.DUMMYFUNCTION("IMPORTXML(E2138,""/html/body/main/div[3]/div[3]/div[2]/ul/li[7]/span[2]/span"")"),"Loading...")</f>
        <v>Loading...</v>
      </c>
      <c r="S2138" s="7" t="str">
        <f ca="1">IFERROR(__xludf.DUMMYFUNCTION("IMPORTXML(E2138,""/html/body/main/div[3]/div[3]/div[2]/ul/li[8]/span[2]/span"")"),"Loading...")</f>
        <v>Loading...</v>
      </c>
      <c r="T2138" s="4">
        <v>34.6</v>
      </c>
      <c r="U2138" s="4">
        <v>22.7</v>
      </c>
      <c r="V2138" s="4">
        <v>2.6</v>
      </c>
      <c r="W2138" s="4">
        <v>5.7</v>
      </c>
      <c r="X2138" s="4">
        <v>519.92999999999995</v>
      </c>
      <c r="Y2138" s="7">
        <f t="shared" ca="1" si="44"/>
        <v>-473.82999999999993</v>
      </c>
    </row>
    <row r="2139" spans="1:25" ht="15" x14ac:dyDescent="0.25">
      <c r="A2139" s="4">
        <v>1950</v>
      </c>
      <c r="C2139" s="12" t="s">
        <v>4355</v>
      </c>
      <c r="D2139" s="12" t="s">
        <v>4356</v>
      </c>
      <c r="E2139" s="5" t="str">
        <f t="shared" si="40"/>
        <v>https://www.screener.in/company/TIPSFILMS/consolidated/</v>
      </c>
      <c r="F2139" s="4">
        <v>443059</v>
      </c>
      <c r="G2139" s="4">
        <v>3832241897</v>
      </c>
      <c r="H2139" s="6">
        <f t="shared" ca="1" si="41"/>
        <v>171607.79214766002</v>
      </c>
      <c r="I2139" s="7" t="str">
        <f ca="1">IFERROR(__xludf.DUMMYFUNCTION("IMPORTXML(E2139,""/html/body/main/div[3]/div[3]/div[2]/ul/li[5]/span[2]/span"")"),"Loading...")</f>
        <v>Loading...</v>
      </c>
      <c r="J2139" s="7">
        <f ca="1">IFERROR(__xludf.DUMMYFUNCTION("GOOGLEFINANCE(""NSE:""&amp;D2139,""marketcap"")"),1935787850)</f>
        <v>1935787850</v>
      </c>
      <c r="K2139" s="7">
        <v>992.8</v>
      </c>
      <c r="L2139" s="8">
        <f ca="1">IFERROR(__xludf.DUMMYFUNCTION("GOOGLEFINANCE(""NSE:""&amp;D2139,""price"")"),447.8)</f>
        <v>447.8</v>
      </c>
      <c r="M2139" s="9">
        <f t="shared" ca="1" si="42"/>
        <v>-545</v>
      </c>
      <c r="N2139" s="10">
        <f t="shared" ca="1" si="43"/>
        <v>-54.895245769540693</v>
      </c>
      <c r="O2139" s="7" t="str">
        <f ca="1">IFERROR(__xludf.DUMMYFUNCTION("GOOGLEFINANCE(""NSE:""&amp;D2139,""pe"")"),"#N/A")</f>
        <v>#N/A</v>
      </c>
      <c r="P2139" s="7">
        <f ca="1">IFERROR(__xludf.DUMMYFUNCTION("GOOGLEFINANCE(""NSE:""&amp;D2139,""EPS"")"),-78.39)</f>
        <v>-78.39</v>
      </c>
      <c r="Q2139" s="7">
        <v>13.5</v>
      </c>
      <c r="R2139" s="7" t="str">
        <f ca="1">IFERROR(__xludf.DUMMYFUNCTION("IMPORTXML(E2139,""/html/body/main/div[3]/div[3]/div[2]/ul/li[7]/span[2]/span"")"),"Loading...")</f>
        <v>Loading...</v>
      </c>
      <c r="S2139" s="7" t="str">
        <f ca="1">IFERROR(__xludf.DUMMYFUNCTION("IMPORTXML(E2139,""/html/body/main/div[3]/div[3]/div[2]/ul/li[8]/span[2]/span"")"),"Loading...")</f>
        <v>Loading...</v>
      </c>
      <c r="T2139" s="4">
        <v>34.6</v>
      </c>
      <c r="U2139" s="4">
        <v>22.7</v>
      </c>
      <c r="V2139" s="4">
        <v>2.6</v>
      </c>
      <c r="W2139" s="4">
        <v>5.7</v>
      </c>
      <c r="X2139" s="4">
        <v>519.92999999999995</v>
      </c>
      <c r="Y2139" s="7">
        <f t="shared" ca="1" si="44"/>
        <v>-72.129999999999939</v>
      </c>
    </row>
    <row r="2140" spans="1:25" ht="15" x14ac:dyDescent="0.25">
      <c r="A2140" s="4">
        <v>1952</v>
      </c>
      <c r="C2140" s="41" t="s">
        <v>4357</v>
      </c>
      <c r="D2140" s="42"/>
      <c r="E2140" s="5" t="str">
        <f t="shared" si="40"/>
        <v>https://www.screener.in/company//consolidated/</v>
      </c>
      <c r="F2140" s="4">
        <v>443059</v>
      </c>
      <c r="G2140" s="4">
        <v>3832241897</v>
      </c>
      <c r="H2140" s="6" t="e">
        <f t="shared" ca="1" si="41"/>
        <v>#VALUE!</v>
      </c>
      <c r="I2140" s="7" t="str">
        <f ca="1">IFERROR(__xludf.DUMMYFUNCTION("IMPORTXML(E2140,""/html/body/main/div[3]/div[3]/div[2]/ul/li[5]/span[2]/span"")"),"Loading...")</f>
        <v>Loading...</v>
      </c>
      <c r="J2140" s="7" t="str">
        <f ca="1">IFERROR(__xludf.DUMMYFUNCTION("GOOGLEFINANCE(""NSE:""&amp;D2140,""marketcap"")"),"#N/A")</f>
        <v>#N/A</v>
      </c>
      <c r="K2140" s="7">
        <v>992.8</v>
      </c>
      <c r="L2140" s="8" t="str">
        <f ca="1">IFERROR(__xludf.DUMMYFUNCTION("GOOGLEFINANCE(""NSE:""&amp;D2140,""price"")"),"#N/A")</f>
        <v>#N/A</v>
      </c>
      <c r="M2140" s="9" t="e">
        <f t="shared" ca="1" si="42"/>
        <v>#VALUE!</v>
      </c>
      <c r="N2140" s="10" t="e">
        <f t="shared" ca="1" si="43"/>
        <v>#VALUE!</v>
      </c>
      <c r="O2140" s="7" t="str">
        <f ca="1">IFERROR(__xludf.DUMMYFUNCTION("GOOGLEFINANCE(""NSE:""&amp;D2140,""pe"")"),"#N/A")</f>
        <v>#N/A</v>
      </c>
      <c r="P2140" s="7" t="str">
        <f ca="1">IFERROR(__xludf.DUMMYFUNCTION("GOOGLEFINANCE(""NSE:""&amp;D2140,""EPS"")"),"#N/A")</f>
        <v>#N/A</v>
      </c>
      <c r="Q2140" s="7">
        <v>13.5</v>
      </c>
      <c r="R2140" s="7" t="str">
        <f ca="1">IFERROR(__xludf.DUMMYFUNCTION("IMPORTXML(E2140,""/html/body/main/div[3]/div[3]/div[2]/ul/li[7]/span[2]/span"")"),"Loading...")</f>
        <v>Loading...</v>
      </c>
      <c r="S2140" s="7" t="str">
        <f ca="1">IFERROR(__xludf.DUMMYFUNCTION("IMPORTXML(E2140,""/html/body/main/div[3]/div[3]/div[2]/ul/li[8]/span[2]/span"")"),"Loading...")</f>
        <v>Loading...</v>
      </c>
      <c r="T2140" s="4">
        <v>34.6</v>
      </c>
      <c r="U2140" s="4">
        <v>22.7</v>
      </c>
      <c r="V2140" s="4">
        <v>2.6</v>
      </c>
      <c r="W2140" s="4">
        <v>5.7</v>
      </c>
      <c r="X2140" s="4">
        <v>519.92999999999995</v>
      </c>
      <c r="Y2140" s="7" t="e">
        <f t="shared" ca="1" si="44"/>
        <v>#VALUE!</v>
      </c>
    </row>
    <row r="2141" spans="1:25" ht="15" x14ac:dyDescent="0.25">
      <c r="A2141" s="4">
        <v>1953</v>
      </c>
      <c r="C2141" s="41" t="s">
        <v>4358</v>
      </c>
      <c r="D2141" s="42"/>
      <c r="E2141" s="5" t="str">
        <f t="shared" si="40"/>
        <v>https://www.screener.in/company//consolidated/</v>
      </c>
      <c r="F2141" s="4">
        <v>443059</v>
      </c>
      <c r="G2141" s="4">
        <v>3832241897</v>
      </c>
      <c r="H2141" s="6" t="e">
        <f t="shared" ca="1" si="41"/>
        <v>#VALUE!</v>
      </c>
      <c r="I2141" s="7" t="str">
        <f ca="1">IFERROR(__xludf.DUMMYFUNCTION("IMPORTXML(E2141,""/html/body/main/div[3]/div[3]/div[2]/ul/li[5]/span[2]/span"")"),"Loading...")</f>
        <v>Loading...</v>
      </c>
      <c r="J2141" s="7" t="str">
        <f ca="1">IFERROR(__xludf.DUMMYFUNCTION("GOOGLEFINANCE(""NSE:""&amp;D2141,""marketcap"")"),"#N/A")</f>
        <v>#N/A</v>
      </c>
      <c r="K2141" s="7">
        <v>992.8</v>
      </c>
      <c r="L2141" s="8" t="str">
        <f ca="1">IFERROR(__xludf.DUMMYFUNCTION("GOOGLEFINANCE(""NSE:""&amp;D2141,""price"")"),"#N/A")</f>
        <v>#N/A</v>
      </c>
      <c r="M2141" s="9" t="e">
        <f t="shared" ca="1" si="42"/>
        <v>#VALUE!</v>
      </c>
      <c r="N2141" s="10" t="e">
        <f t="shared" ca="1" si="43"/>
        <v>#VALUE!</v>
      </c>
      <c r="O2141" s="7" t="str">
        <f ca="1">IFERROR(__xludf.DUMMYFUNCTION("GOOGLEFINANCE(""NSE:""&amp;D2141,""pe"")"),"#N/A")</f>
        <v>#N/A</v>
      </c>
      <c r="P2141" s="7" t="str">
        <f ca="1">IFERROR(__xludf.DUMMYFUNCTION("GOOGLEFINANCE(""NSE:""&amp;D2141,""EPS"")"),"#N/A")</f>
        <v>#N/A</v>
      </c>
      <c r="Q2141" s="7">
        <v>13.5</v>
      </c>
      <c r="R2141" s="7" t="str">
        <f ca="1">IFERROR(__xludf.DUMMYFUNCTION("IMPORTXML(E2141,""/html/body/main/div[3]/div[3]/div[2]/ul/li[7]/span[2]/span"")"),"Loading...")</f>
        <v>Loading...</v>
      </c>
      <c r="S2141" s="7" t="str">
        <f ca="1">IFERROR(__xludf.DUMMYFUNCTION("IMPORTXML(E2141,""/html/body/main/div[3]/div[3]/div[2]/ul/li[8]/span[2]/span"")"),"Loading...")</f>
        <v>Loading...</v>
      </c>
      <c r="T2141" s="4">
        <v>34.6</v>
      </c>
      <c r="U2141" s="4">
        <v>22.7</v>
      </c>
      <c r="V2141" s="4">
        <v>2.6</v>
      </c>
      <c r="W2141" s="4">
        <v>5.7</v>
      </c>
      <c r="X2141" s="4">
        <v>519.92999999999995</v>
      </c>
      <c r="Y2141" s="7" t="e">
        <f t="shared" ca="1" si="44"/>
        <v>#VALUE!</v>
      </c>
    </row>
    <row r="2142" spans="1:25" ht="15" x14ac:dyDescent="0.25">
      <c r="A2142" s="4">
        <v>1955</v>
      </c>
      <c r="C2142" s="12" t="s">
        <v>4359</v>
      </c>
      <c r="D2142" s="12" t="s">
        <v>4360</v>
      </c>
      <c r="E2142" s="5" t="str">
        <f t="shared" si="40"/>
        <v>https://www.screener.in/company/SADBHIN/consolidated/</v>
      </c>
      <c r="F2142" s="4">
        <v>443059</v>
      </c>
      <c r="G2142" s="4">
        <v>3832241897</v>
      </c>
      <c r="H2142" s="6">
        <f t="shared" ca="1" si="41"/>
        <v>1640.1995319160001</v>
      </c>
      <c r="I2142" s="7" t="str">
        <f ca="1">IFERROR(__xludf.DUMMYFUNCTION("IMPORTXML(E2142,""/html/body/main/div[3]/div[3]/div[2]/ul/li[5]/span[2]/span"")"),"Loading...")</f>
        <v>Loading...</v>
      </c>
      <c r="J2142" s="7">
        <f ca="1">IFERROR(__xludf.DUMMYFUNCTION("GOOGLEFINANCE(""NSE:""&amp;D2142,""marketcap"")"),1507523501)</f>
        <v>1507523501</v>
      </c>
      <c r="K2142" s="7">
        <v>992.8</v>
      </c>
      <c r="L2142" s="8">
        <f ca="1">IFERROR(__xludf.DUMMYFUNCTION("GOOGLEFINANCE(""NSE:""&amp;D2142,""price"")"),4.28)</f>
        <v>4.28</v>
      </c>
      <c r="M2142" s="9">
        <f t="shared" ca="1" si="42"/>
        <v>-988.52</v>
      </c>
      <c r="N2142" s="10">
        <f t="shared" ca="1" si="43"/>
        <v>-99.568896051571315</v>
      </c>
      <c r="O2142" s="7" t="str">
        <f ca="1">IFERROR(__xludf.DUMMYFUNCTION("GOOGLEFINANCE(""NSE:""&amp;D2142,""pe"")"),"#N/A")</f>
        <v>#N/A</v>
      </c>
      <c r="P2142" s="7">
        <f ca="1">IFERROR(__xludf.DUMMYFUNCTION("GOOGLEFINANCE(""NSE:""&amp;D2142,""EPS"")"),-1.2)</f>
        <v>-1.2</v>
      </c>
      <c r="Q2142" s="7">
        <v>13.5</v>
      </c>
      <c r="R2142" s="7" t="str">
        <f ca="1">IFERROR(__xludf.DUMMYFUNCTION("IMPORTXML(E2142,""/html/body/main/div[3]/div[3]/div[2]/ul/li[7]/span[2]/span"")"),"Loading...")</f>
        <v>Loading...</v>
      </c>
      <c r="S2142" s="7" t="str">
        <f ca="1">IFERROR(__xludf.DUMMYFUNCTION("IMPORTXML(E2142,""/html/body/main/div[3]/div[3]/div[2]/ul/li[8]/span[2]/span"")"),"Loading...")</f>
        <v>Loading...</v>
      </c>
      <c r="T2142" s="4">
        <v>34.6</v>
      </c>
      <c r="U2142" s="4">
        <v>22.7</v>
      </c>
      <c r="V2142" s="4">
        <v>2.6</v>
      </c>
      <c r="W2142" s="4">
        <v>5.7</v>
      </c>
      <c r="X2142" s="4">
        <v>519.92999999999995</v>
      </c>
      <c r="Y2142" s="7">
        <f t="shared" ca="1" si="44"/>
        <v>-515.65</v>
      </c>
    </row>
    <row r="2143" spans="1:25" ht="15" x14ac:dyDescent="0.25">
      <c r="A2143" s="4">
        <v>1956</v>
      </c>
      <c r="C2143" s="12" t="s">
        <v>4361</v>
      </c>
      <c r="D2143" s="12" t="s">
        <v>4362</v>
      </c>
      <c r="E2143" s="5" t="str">
        <f t="shared" si="40"/>
        <v>https://www.screener.in/company/ARCHIDPLY/consolidated/</v>
      </c>
      <c r="F2143" s="4">
        <v>443059</v>
      </c>
      <c r="G2143" s="4">
        <v>3832241897</v>
      </c>
      <c r="H2143" s="6">
        <f t="shared" ca="1" si="41"/>
        <v>37950.691505991002</v>
      </c>
      <c r="I2143" s="7" t="str">
        <f ca="1">IFERROR(__xludf.DUMMYFUNCTION("IMPORTXML(E2143,""/html/body/main/div[3]/div[3]/div[2]/ul/li[5]/span[2]/span"")"),"Loading...")</f>
        <v>Loading...</v>
      </c>
      <c r="J2143" s="7">
        <f ca="1">IFERROR(__xludf.DUMMYFUNCTION("GOOGLEFINANCE(""NSE:""&amp;D2143,""marketcap"")"),1976369000)</f>
        <v>1976369000</v>
      </c>
      <c r="K2143" s="7">
        <v>992.8</v>
      </c>
      <c r="L2143" s="8">
        <f ca="1">IFERROR(__xludf.DUMMYFUNCTION("GOOGLEFINANCE(""NSE:""&amp;D2143,""price"")"),99.03)</f>
        <v>99.03</v>
      </c>
      <c r="M2143" s="9">
        <f t="shared" ca="1" si="42"/>
        <v>-893.77</v>
      </c>
      <c r="N2143" s="10">
        <f t="shared" ca="1" si="43"/>
        <v>-90.025181305398874</v>
      </c>
      <c r="O2143" s="7" t="str">
        <f ca="1">IFERROR(__xludf.DUMMYFUNCTION("GOOGLEFINANCE(""NSE:""&amp;D2143,""pe"")"),"#N/A")</f>
        <v>#N/A</v>
      </c>
      <c r="P2143" s="7">
        <f ca="1">IFERROR(__xludf.DUMMYFUNCTION("GOOGLEFINANCE(""NSE:""&amp;D2143,""EPS"")"),-2.15)</f>
        <v>-2.15</v>
      </c>
      <c r="Q2143" s="7">
        <v>13.5</v>
      </c>
      <c r="R2143" s="7" t="str">
        <f ca="1">IFERROR(__xludf.DUMMYFUNCTION("IMPORTXML(E2143,""/html/body/main/div[3]/div[3]/div[2]/ul/li[7]/span[2]/span"")"),"Loading...")</f>
        <v>Loading...</v>
      </c>
      <c r="S2143" s="7" t="str">
        <f ca="1">IFERROR(__xludf.DUMMYFUNCTION("IMPORTXML(E2143,""/html/body/main/div[3]/div[3]/div[2]/ul/li[8]/span[2]/span"")"),"Loading...")</f>
        <v>Loading...</v>
      </c>
      <c r="T2143" s="4">
        <v>34.6</v>
      </c>
      <c r="U2143" s="4">
        <v>22.7</v>
      </c>
      <c r="V2143" s="4">
        <v>2.6</v>
      </c>
      <c r="W2143" s="4">
        <v>5.7</v>
      </c>
      <c r="X2143" s="4">
        <v>519.92999999999995</v>
      </c>
      <c r="Y2143" s="7">
        <f t="shared" ca="1" si="44"/>
        <v>-420.9</v>
      </c>
    </row>
    <row r="2144" spans="1:25" ht="15" x14ac:dyDescent="0.25">
      <c r="A2144" s="4">
        <v>1957</v>
      </c>
      <c r="C2144" s="41" t="s">
        <v>4363</v>
      </c>
      <c r="D2144" s="42"/>
      <c r="E2144" s="5" t="str">
        <f t="shared" si="40"/>
        <v>https://www.screener.in/company//consolidated/</v>
      </c>
      <c r="F2144" s="4">
        <v>443059</v>
      </c>
      <c r="G2144" s="4">
        <v>3832241897</v>
      </c>
      <c r="H2144" s="6" t="e">
        <f t="shared" ca="1" si="41"/>
        <v>#VALUE!</v>
      </c>
      <c r="I2144" s="7" t="str">
        <f ca="1">IFERROR(__xludf.DUMMYFUNCTION("IMPORTXML(E2144,""/html/body/main/div[3]/div[3]/div[2]/ul/li[5]/span[2]/span"")"),"Loading...")</f>
        <v>Loading...</v>
      </c>
      <c r="J2144" s="7" t="str">
        <f ca="1">IFERROR(__xludf.DUMMYFUNCTION("GOOGLEFINANCE(""NSE:""&amp;D2144,""marketcap"")"),"#N/A")</f>
        <v>#N/A</v>
      </c>
      <c r="K2144" s="7">
        <v>992.8</v>
      </c>
      <c r="L2144" s="8" t="str">
        <f ca="1">IFERROR(__xludf.DUMMYFUNCTION("GOOGLEFINANCE(""NSE:""&amp;D2144,""price"")"),"#N/A")</f>
        <v>#N/A</v>
      </c>
      <c r="M2144" s="9" t="e">
        <f t="shared" ca="1" si="42"/>
        <v>#VALUE!</v>
      </c>
      <c r="N2144" s="10" t="e">
        <f t="shared" ca="1" si="43"/>
        <v>#VALUE!</v>
      </c>
      <c r="O2144" s="7" t="str">
        <f ca="1">IFERROR(__xludf.DUMMYFUNCTION("GOOGLEFINANCE(""NSE:""&amp;D2144,""pe"")"),"#N/A")</f>
        <v>#N/A</v>
      </c>
      <c r="P2144" s="7" t="str">
        <f ca="1">IFERROR(__xludf.DUMMYFUNCTION("GOOGLEFINANCE(""NSE:""&amp;D2144,""EPS"")"),"#N/A")</f>
        <v>#N/A</v>
      </c>
      <c r="Q2144" s="7">
        <v>13.5</v>
      </c>
      <c r="R2144" s="7" t="str">
        <f ca="1">IFERROR(__xludf.DUMMYFUNCTION("IMPORTXML(E2144,""/html/body/main/div[3]/div[3]/div[2]/ul/li[7]/span[2]/span"")"),"Loading...")</f>
        <v>Loading...</v>
      </c>
      <c r="S2144" s="7" t="str">
        <f ca="1">IFERROR(__xludf.DUMMYFUNCTION("IMPORTXML(E2144,""/html/body/main/div[3]/div[3]/div[2]/ul/li[8]/span[2]/span"")"),"Loading...")</f>
        <v>Loading...</v>
      </c>
      <c r="T2144" s="4">
        <v>34.6</v>
      </c>
      <c r="U2144" s="4">
        <v>22.7</v>
      </c>
      <c r="V2144" s="4">
        <v>2.6</v>
      </c>
      <c r="W2144" s="4">
        <v>5.7</v>
      </c>
      <c r="X2144" s="4">
        <v>519.92999999999995</v>
      </c>
      <c r="Y2144" s="7" t="e">
        <f t="shared" ca="1" si="44"/>
        <v>#VALUE!</v>
      </c>
    </row>
    <row r="2145" spans="1:25" ht="15" x14ac:dyDescent="0.25">
      <c r="A2145" s="4">
        <v>1958</v>
      </c>
      <c r="C2145" s="41" t="s">
        <v>4364</v>
      </c>
      <c r="D2145" s="42"/>
      <c r="E2145" s="5" t="str">
        <f t="shared" si="40"/>
        <v>https://www.screener.in/company//consolidated/</v>
      </c>
      <c r="F2145" s="4">
        <v>443059</v>
      </c>
      <c r="G2145" s="4">
        <v>3832241897</v>
      </c>
      <c r="H2145" s="6" t="e">
        <f t="shared" ca="1" si="41"/>
        <v>#VALUE!</v>
      </c>
      <c r="I2145" s="7" t="str">
        <f ca="1">IFERROR(__xludf.DUMMYFUNCTION("IMPORTXML(E2145,""/html/body/main/div[3]/div[3]/div[2]/ul/li[5]/span[2]/span"")"),"Loading...")</f>
        <v>Loading...</v>
      </c>
      <c r="J2145" s="7" t="str">
        <f ca="1">IFERROR(__xludf.DUMMYFUNCTION("GOOGLEFINANCE(""NSE:""&amp;D2145,""marketcap"")"),"#N/A")</f>
        <v>#N/A</v>
      </c>
      <c r="K2145" s="7">
        <v>992.8</v>
      </c>
      <c r="L2145" s="8" t="str">
        <f ca="1">IFERROR(__xludf.DUMMYFUNCTION("GOOGLEFINANCE(""NSE:""&amp;D2145,""price"")"),"#N/A")</f>
        <v>#N/A</v>
      </c>
      <c r="M2145" s="9" t="e">
        <f t="shared" ca="1" si="42"/>
        <v>#VALUE!</v>
      </c>
      <c r="N2145" s="10" t="e">
        <f t="shared" ca="1" si="43"/>
        <v>#VALUE!</v>
      </c>
      <c r="O2145" s="7" t="str">
        <f ca="1">IFERROR(__xludf.DUMMYFUNCTION("GOOGLEFINANCE(""NSE:""&amp;D2145,""pe"")"),"#N/A")</f>
        <v>#N/A</v>
      </c>
      <c r="P2145" s="7" t="str">
        <f ca="1">IFERROR(__xludf.DUMMYFUNCTION("GOOGLEFINANCE(""NSE:""&amp;D2145,""EPS"")"),"#N/A")</f>
        <v>#N/A</v>
      </c>
      <c r="Q2145" s="7">
        <v>13.5</v>
      </c>
      <c r="R2145" s="7" t="str">
        <f ca="1">IFERROR(__xludf.DUMMYFUNCTION("IMPORTXML(E2145,""/html/body/main/div[3]/div[3]/div[2]/ul/li[7]/span[2]/span"")"),"Loading...")</f>
        <v>Loading...</v>
      </c>
      <c r="S2145" s="7" t="str">
        <f ca="1">IFERROR(__xludf.DUMMYFUNCTION("IMPORTXML(E2145,""/html/body/main/div[3]/div[3]/div[2]/ul/li[8]/span[2]/span"")"),"Loading...")</f>
        <v>Loading...</v>
      </c>
      <c r="T2145" s="4">
        <v>34.6</v>
      </c>
      <c r="U2145" s="4">
        <v>22.7</v>
      </c>
      <c r="V2145" s="4">
        <v>2.6</v>
      </c>
      <c r="W2145" s="4">
        <v>5.7</v>
      </c>
      <c r="X2145" s="4">
        <v>519.92999999999995</v>
      </c>
      <c r="Y2145" s="7" t="e">
        <f t="shared" ca="1" si="44"/>
        <v>#VALUE!</v>
      </c>
    </row>
    <row r="2146" spans="1:25" ht="15" x14ac:dyDescent="0.25">
      <c r="A2146" s="4">
        <v>1959</v>
      </c>
      <c r="C2146" s="41" t="s">
        <v>4365</v>
      </c>
      <c r="D2146" s="42"/>
      <c r="E2146" s="5" t="str">
        <f t="shared" si="40"/>
        <v>https://www.screener.in/company//consolidated/</v>
      </c>
      <c r="F2146" s="4">
        <v>443059</v>
      </c>
      <c r="G2146" s="4">
        <v>3832241897</v>
      </c>
      <c r="H2146" s="6" t="e">
        <f t="shared" ca="1" si="41"/>
        <v>#VALUE!</v>
      </c>
      <c r="I2146" s="7" t="str">
        <f ca="1">IFERROR(__xludf.DUMMYFUNCTION("IMPORTXML(E2146,""/html/body/main/div[3]/div[3]/div[2]/ul/li[5]/span[2]/span"")"),"Loading...")</f>
        <v>Loading...</v>
      </c>
      <c r="J2146" s="7" t="str">
        <f ca="1">IFERROR(__xludf.DUMMYFUNCTION("GOOGLEFINANCE(""NSE:""&amp;D2146,""marketcap"")"),"#N/A")</f>
        <v>#N/A</v>
      </c>
      <c r="K2146" s="7">
        <v>992.8</v>
      </c>
      <c r="L2146" s="8" t="str">
        <f ca="1">IFERROR(__xludf.DUMMYFUNCTION("GOOGLEFINANCE(""NSE:""&amp;D2146,""price"")"),"#N/A")</f>
        <v>#N/A</v>
      </c>
      <c r="M2146" s="9" t="e">
        <f t="shared" ca="1" si="42"/>
        <v>#VALUE!</v>
      </c>
      <c r="N2146" s="10" t="e">
        <f t="shared" ca="1" si="43"/>
        <v>#VALUE!</v>
      </c>
      <c r="O2146" s="7" t="str">
        <f ca="1">IFERROR(__xludf.DUMMYFUNCTION("GOOGLEFINANCE(""NSE:""&amp;D2146,""pe"")"),"#N/A")</f>
        <v>#N/A</v>
      </c>
      <c r="P2146" s="7" t="str">
        <f ca="1">IFERROR(__xludf.DUMMYFUNCTION("GOOGLEFINANCE(""NSE:""&amp;D2146,""EPS"")"),"#N/A")</f>
        <v>#N/A</v>
      </c>
      <c r="Q2146" s="7">
        <v>13.5</v>
      </c>
      <c r="R2146" s="7" t="str">
        <f ca="1">IFERROR(__xludf.DUMMYFUNCTION("IMPORTXML(E2146,""/html/body/main/div[3]/div[3]/div[2]/ul/li[7]/span[2]/span"")"),"Loading...")</f>
        <v>Loading...</v>
      </c>
      <c r="S2146" s="7" t="str">
        <f ca="1">IFERROR(__xludf.DUMMYFUNCTION("IMPORTXML(E2146,""/html/body/main/div[3]/div[3]/div[2]/ul/li[8]/span[2]/span"")"),"Loading...")</f>
        <v>Loading...</v>
      </c>
      <c r="T2146" s="4">
        <v>34.6</v>
      </c>
      <c r="U2146" s="4">
        <v>22.7</v>
      </c>
      <c r="V2146" s="4">
        <v>2.6</v>
      </c>
      <c r="W2146" s="4">
        <v>5.7</v>
      </c>
      <c r="X2146" s="4">
        <v>519.92999999999995</v>
      </c>
      <c r="Y2146" s="7" t="e">
        <f t="shared" ca="1" si="44"/>
        <v>#VALUE!</v>
      </c>
    </row>
    <row r="2147" spans="1:25" ht="15" x14ac:dyDescent="0.25">
      <c r="A2147" s="4">
        <v>1960</v>
      </c>
      <c r="C2147" s="41" t="s">
        <v>4366</v>
      </c>
      <c r="D2147" s="42"/>
      <c r="E2147" s="5" t="str">
        <f t="shared" si="40"/>
        <v>https://www.screener.in/company//consolidated/</v>
      </c>
      <c r="F2147" s="4">
        <v>443059</v>
      </c>
      <c r="G2147" s="4">
        <v>3832241897</v>
      </c>
      <c r="H2147" s="6" t="e">
        <f t="shared" ca="1" si="41"/>
        <v>#VALUE!</v>
      </c>
      <c r="I2147" s="7" t="str">
        <f ca="1">IFERROR(__xludf.DUMMYFUNCTION("IMPORTXML(E2147,""/html/body/main/div[3]/div[3]/div[2]/ul/li[5]/span[2]/span"")"),"Loading...")</f>
        <v>Loading...</v>
      </c>
      <c r="J2147" s="7" t="str">
        <f ca="1">IFERROR(__xludf.DUMMYFUNCTION("GOOGLEFINANCE(""NSE:""&amp;D2147,""marketcap"")"),"#N/A")</f>
        <v>#N/A</v>
      </c>
      <c r="K2147" s="7">
        <v>992.8</v>
      </c>
      <c r="L2147" s="8" t="str">
        <f ca="1">IFERROR(__xludf.DUMMYFUNCTION("GOOGLEFINANCE(""NSE:""&amp;D2147,""price"")"),"#N/A")</f>
        <v>#N/A</v>
      </c>
      <c r="M2147" s="9" t="e">
        <f t="shared" ca="1" si="42"/>
        <v>#VALUE!</v>
      </c>
      <c r="N2147" s="10" t="e">
        <f t="shared" ca="1" si="43"/>
        <v>#VALUE!</v>
      </c>
      <c r="O2147" s="7" t="str">
        <f ca="1">IFERROR(__xludf.DUMMYFUNCTION("GOOGLEFINANCE(""NSE:""&amp;D2147,""pe"")"),"#N/A")</f>
        <v>#N/A</v>
      </c>
      <c r="P2147" s="7" t="str">
        <f ca="1">IFERROR(__xludf.DUMMYFUNCTION("GOOGLEFINANCE(""NSE:""&amp;D2147,""EPS"")"),"#N/A")</f>
        <v>#N/A</v>
      </c>
      <c r="Q2147" s="7">
        <v>13.5</v>
      </c>
      <c r="R2147" s="7" t="str">
        <f ca="1">IFERROR(__xludf.DUMMYFUNCTION("IMPORTXML(E2147,""/html/body/main/div[3]/div[3]/div[2]/ul/li[7]/span[2]/span"")"),"Loading...")</f>
        <v>Loading...</v>
      </c>
      <c r="S2147" s="7" t="str">
        <f ca="1">IFERROR(__xludf.DUMMYFUNCTION("IMPORTXML(E2147,""/html/body/main/div[3]/div[3]/div[2]/ul/li[8]/span[2]/span"")"),"Loading...")</f>
        <v>Loading...</v>
      </c>
      <c r="T2147" s="4">
        <v>34.6</v>
      </c>
      <c r="U2147" s="4">
        <v>22.7</v>
      </c>
      <c r="V2147" s="4">
        <v>2.6</v>
      </c>
      <c r="W2147" s="4">
        <v>5.7</v>
      </c>
      <c r="X2147" s="4">
        <v>519.92999999999995</v>
      </c>
      <c r="Y2147" s="7" t="e">
        <f t="shared" ca="1" si="44"/>
        <v>#VALUE!</v>
      </c>
    </row>
    <row r="2148" spans="1:25" ht="15" x14ac:dyDescent="0.25">
      <c r="A2148" s="4">
        <v>1961</v>
      </c>
      <c r="C2148" s="41" t="s">
        <v>4367</v>
      </c>
      <c r="D2148" s="42"/>
      <c r="E2148" s="5" t="str">
        <f t="shared" si="40"/>
        <v>https://www.screener.in/company//consolidated/</v>
      </c>
      <c r="F2148" s="4">
        <v>443059</v>
      </c>
      <c r="G2148" s="4">
        <v>3832241897</v>
      </c>
      <c r="H2148" s="6" t="e">
        <f t="shared" ca="1" si="41"/>
        <v>#VALUE!</v>
      </c>
      <c r="I2148" s="7" t="str">
        <f ca="1">IFERROR(__xludf.DUMMYFUNCTION("IMPORTXML(E2148,""/html/body/main/div[3]/div[3]/div[2]/ul/li[5]/span[2]/span"")"),"Loading...")</f>
        <v>Loading...</v>
      </c>
      <c r="J2148" s="7" t="str">
        <f ca="1">IFERROR(__xludf.DUMMYFUNCTION("GOOGLEFINANCE(""NSE:""&amp;D2148,""marketcap"")"),"#N/A")</f>
        <v>#N/A</v>
      </c>
      <c r="K2148" s="7">
        <v>992.8</v>
      </c>
      <c r="L2148" s="8" t="str">
        <f ca="1">IFERROR(__xludf.DUMMYFUNCTION("GOOGLEFINANCE(""NSE:""&amp;D2148,""price"")"),"#N/A")</f>
        <v>#N/A</v>
      </c>
      <c r="M2148" s="9" t="e">
        <f t="shared" ca="1" si="42"/>
        <v>#VALUE!</v>
      </c>
      <c r="N2148" s="10" t="e">
        <f t="shared" ca="1" si="43"/>
        <v>#VALUE!</v>
      </c>
      <c r="O2148" s="7" t="str">
        <f ca="1">IFERROR(__xludf.DUMMYFUNCTION("GOOGLEFINANCE(""NSE:""&amp;D2148,""pe"")"),"#N/A")</f>
        <v>#N/A</v>
      </c>
      <c r="P2148" s="7" t="str">
        <f ca="1">IFERROR(__xludf.DUMMYFUNCTION("GOOGLEFINANCE(""NSE:""&amp;D2148,""EPS"")"),"#N/A")</f>
        <v>#N/A</v>
      </c>
      <c r="Q2148" s="7">
        <v>13.5</v>
      </c>
      <c r="R2148" s="7" t="str">
        <f ca="1">IFERROR(__xludf.DUMMYFUNCTION("IMPORTXML(E2148,""/html/body/main/div[3]/div[3]/div[2]/ul/li[7]/span[2]/span"")"),"Loading...")</f>
        <v>Loading...</v>
      </c>
      <c r="S2148" s="7" t="str">
        <f ca="1">IFERROR(__xludf.DUMMYFUNCTION("IMPORTXML(E2148,""/html/body/main/div[3]/div[3]/div[2]/ul/li[8]/span[2]/span"")"),"Loading...")</f>
        <v>Loading...</v>
      </c>
      <c r="T2148" s="4">
        <v>34.6</v>
      </c>
      <c r="U2148" s="4">
        <v>22.7</v>
      </c>
      <c r="V2148" s="4">
        <v>2.6</v>
      </c>
      <c r="W2148" s="4">
        <v>5.7</v>
      </c>
      <c r="X2148" s="4">
        <v>519.92999999999995</v>
      </c>
      <c r="Y2148" s="7" t="e">
        <f t="shared" ca="1" si="44"/>
        <v>#VALUE!</v>
      </c>
    </row>
    <row r="2149" spans="1:25" ht="15" x14ac:dyDescent="0.25">
      <c r="A2149" s="4">
        <v>1963</v>
      </c>
      <c r="C2149" s="41" t="s">
        <v>4368</v>
      </c>
      <c r="D2149" s="42"/>
      <c r="E2149" s="5" t="str">
        <f t="shared" si="40"/>
        <v>https://www.screener.in/company//consolidated/</v>
      </c>
      <c r="F2149" s="4">
        <v>443059</v>
      </c>
      <c r="G2149" s="4">
        <v>3832241897</v>
      </c>
      <c r="H2149" s="6" t="e">
        <f t="shared" ca="1" si="41"/>
        <v>#VALUE!</v>
      </c>
      <c r="I2149" s="7" t="str">
        <f ca="1">IFERROR(__xludf.DUMMYFUNCTION("IMPORTXML(E2149,""/html/body/main/div[3]/div[3]/div[2]/ul/li[5]/span[2]/span"")"),"Loading...")</f>
        <v>Loading...</v>
      </c>
      <c r="J2149" s="7" t="str">
        <f ca="1">IFERROR(__xludf.DUMMYFUNCTION("GOOGLEFINANCE(""NSE:""&amp;D2149,""marketcap"")"),"#N/A")</f>
        <v>#N/A</v>
      </c>
      <c r="K2149" s="7">
        <v>992.8</v>
      </c>
      <c r="L2149" s="8" t="str">
        <f ca="1">IFERROR(__xludf.DUMMYFUNCTION("GOOGLEFINANCE(""NSE:""&amp;D2149,""price"")"),"#N/A")</f>
        <v>#N/A</v>
      </c>
      <c r="M2149" s="9" t="e">
        <f t="shared" ca="1" si="42"/>
        <v>#VALUE!</v>
      </c>
      <c r="N2149" s="10" t="e">
        <f t="shared" ca="1" si="43"/>
        <v>#VALUE!</v>
      </c>
      <c r="O2149" s="7" t="str">
        <f ca="1">IFERROR(__xludf.DUMMYFUNCTION("GOOGLEFINANCE(""NSE:""&amp;D2149,""pe"")"),"#N/A")</f>
        <v>#N/A</v>
      </c>
      <c r="P2149" s="7" t="str">
        <f ca="1">IFERROR(__xludf.DUMMYFUNCTION("GOOGLEFINANCE(""NSE:""&amp;D2149,""EPS"")"),"#N/A")</f>
        <v>#N/A</v>
      </c>
      <c r="Q2149" s="7">
        <v>13.5</v>
      </c>
      <c r="R2149" s="7" t="str">
        <f ca="1">IFERROR(__xludf.DUMMYFUNCTION("IMPORTXML(E2149,""/html/body/main/div[3]/div[3]/div[2]/ul/li[7]/span[2]/span"")"),"Loading...")</f>
        <v>Loading...</v>
      </c>
      <c r="S2149" s="7" t="str">
        <f ca="1">IFERROR(__xludf.DUMMYFUNCTION("IMPORTXML(E2149,""/html/body/main/div[3]/div[3]/div[2]/ul/li[8]/span[2]/span"")"),"Loading...")</f>
        <v>Loading...</v>
      </c>
      <c r="T2149" s="4">
        <v>34.6</v>
      </c>
      <c r="U2149" s="4">
        <v>22.7</v>
      </c>
      <c r="V2149" s="4">
        <v>2.6</v>
      </c>
      <c r="W2149" s="4">
        <v>5.7</v>
      </c>
      <c r="X2149" s="4">
        <v>519.92999999999995</v>
      </c>
      <c r="Y2149" s="7" t="e">
        <f t="shared" ca="1" si="44"/>
        <v>#VALUE!</v>
      </c>
    </row>
    <row r="2150" spans="1:25" ht="15" x14ac:dyDescent="0.25">
      <c r="A2150" s="4">
        <v>1964</v>
      </c>
      <c r="C2150" s="12" t="s">
        <v>4369</v>
      </c>
      <c r="D2150" s="12" t="s">
        <v>4370</v>
      </c>
      <c r="E2150" s="5" t="str">
        <f t="shared" si="40"/>
        <v>https://www.screener.in/company/ANIKINDS/consolidated/</v>
      </c>
      <c r="F2150" s="4">
        <v>443059</v>
      </c>
      <c r="G2150" s="4">
        <v>3832241897</v>
      </c>
      <c r="H2150" s="6">
        <f t="shared" ca="1" si="41"/>
        <v>32957.280314199998</v>
      </c>
      <c r="I2150" s="7" t="str">
        <f ca="1">IFERROR(__xludf.DUMMYFUNCTION("IMPORTXML(E2150,""/html/body/main/div[3]/div[3]/div[2]/ul/li[5]/span[2]/span"")"),"Loading...")</f>
        <v>Loading...</v>
      </c>
      <c r="J2150" s="7">
        <f ca="1">IFERROR(__xludf.DUMMYFUNCTION("GOOGLEFINANCE(""NSE:""&amp;D2150,""marketcap"")"),2366817000)</f>
        <v>2366817000</v>
      </c>
      <c r="K2150" s="7">
        <v>992.8</v>
      </c>
      <c r="L2150" s="8">
        <f ca="1">IFERROR(__xludf.DUMMYFUNCTION("GOOGLEFINANCE(""NSE:""&amp;D2150,""price"")"),86)</f>
        <v>86</v>
      </c>
      <c r="M2150" s="9">
        <f t="shared" ca="1" si="42"/>
        <v>-906.8</v>
      </c>
      <c r="N2150" s="10">
        <f t="shared" ca="1" si="43"/>
        <v>-91.337630942788067</v>
      </c>
      <c r="O2150" s="7">
        <f ca="1">IFERROR(__xludf.DUMMYFUNCTION("GOOGLEFINANCE(""NSE:""&amp;D2150,""pe"")"),106.84)</f>
        <v>106.84</v>
      </c>
      <c r="P2150" s="7">
        <f ca="1">IFERROR(__xludf.DUMMYFUNCTION("GOOGLEFINANCE(""NSE:""&amp;D2150,""EPS"")"),0.8)</f>
        <v>0.8</v>
      </c>
      <c r="Q2150" s="7">
        <v>13.5</v>
      </c>
      <c r="R2150" s="7" t="str">
        <f ca="1">IFERROR(__xludf.DUMMYFUNCTION("IMPORTXML(E2150,""/html/body/main/div[3]/div[3]/div[2]/ul/li[7]/span[2]/span"")"),"Loading...")</f>
        <v>Loading...</v>
      </c>
      <c r="S2150" s="7" t="str">
        <f ca="1">IFERROR(__xludf.DUMMYFUNCTION("IMPORTXML(E2150,""/html/body/main/div[3]/div[3]/div[2]/ul/li[8]/span[2]/span"")"),"Loading...")</f>
        <v>Loading...</v>
      </c>
      <c r="T2150" s="4">
        <v>34.6</v>
      </c>
      <c r="U2150" s="4">
        <v>22.7</v>
      </c>
      <c r="V2150" s="4">
        <v>2.6</v>
      </c>
      <c r="W2150" s="4">
        <v>5.7</v>
      </c>
      <c r="X2150" s="4">
        <v>519.92999999999995</v>
      </c>
      <c r="Y2150" s="7">
        <f t="shared" ca="1" si="44"/>
        <v>-433.92999999999995</v>
      </c>
    </row>
    <row r="2151" spans="1:25" ht="15" x14ac:dyDescent="0.25">
      <c r="A2151" s="4">
        <v>1966</v>
      </c>
      <c r="C2151" s="41" t="s">
        <v>4371</v>
      </c>
      <c r="D2151" s="42"/>
      <c r="E2151" s="5" t="str">
        <f t="shared" si="40"/>
        <v>https://www.screener.in/company//consolidated/</v>
      </c>
      <c r="F2151" s="4">
        <v>443059</v>
      </c>
      <c r="G2151" s="4">
        <v>3832241897</v>
      </c>
      <c r="H2151" s="6" t="e">
        <f t="shared" ca="1" si="41"/>
        <v>#VALUE!</v>
      </c>
      <c r="I2151" s="7" t="str">
        <f ca="1">IFERROR(__xludf.DUMMYFUNCTION("IMPORTXML(E2151,""/html/body/main/div[3]/div[3]/div[2]/ul/li[5]/span[2]/span"")"),"Loading...")</f>
        <v>Loading...</v>
      </c>
      <c r="J2151" s="7" t="str">
        <f ca="1">IFERROR(__xludf.DUMMYFUNCTION("GOOGLEFINANCE(""NSE:""&amp;D2151,""marketcap"")"),"#N/A")</f>
        <v>#N/A</v>
      </c>
      <c r="K2151" s="7">
        <v>992.8</v>
      </c>
      <c r="L2151" s="8" t="str">
        <f ca="1">IFERROR(__xludf.DUMMYFUNCTION("GOOGLEFINANCE(""NSE:""&amp;D2151,""price"")"),"#N/A")</f>
        <v>#N/A</v>
      </c>
      <c r="M2151" s="9" t="e">
        <f t="shared" ca="1" si="42"/>
        <v>#VALUE!</v>
      </c>
      <c r="N2151" s="10" t="e">
        <f t="shared" ca="1" si="43"/>
        <v>#VALUE!</v>
      </c>
      <c r="O2151" s="7" t="str">
        <f ca="1">IFERROR(__xludf.DUMMYFUNCTION("GOOGLEFINANCE(""NSE:""&amp;D2151,""pe"")"),"#N/A")</f>
        <v>#N/A</v>
      </c>
      <c r="P2151" s="7" t="str">
        <f ca="1">IFERROR(__xludf.DUMMYFUNCTION("GOOGLEFINANCE(""NSE:""&amp;D2151,""EPS"")"),"#N/A")</f>
        <v>#N/A</v>
      </c>
      <c r="Q2151" s="7">
        <v>13.5</v>
      </c>
      <c r="R2151" s="7" t="str">
        <f ca="1">IFERROR(__xludf.DUMMYFUNCTION("IMPORTXML(E2151,""/html/body/main/div[3]/div[3]/div[2]/ul/li[7]/span[2]/span"")"),"Loading...")</f>
        <v>Loading...</v>
      </c>
      <c r="S2151" s="7" t="str">
        <f ca="1">IFERROR(__xludf.DUMMYFUNCTION("IMPORTXML(E2151,""/html/body/main/div[3]/div[3]/div[2]/ul/li[8]/span[2]/span"")"),"Loading...")</f>
        <v>Loading...</v>
      </c>
      <c r="T2151" s="4">
        <v>34.6</v>
      </c>
      <c r="U2151" s="4">
        <v>22.7</v>
      </c>
      <c r="V2151" s="4">
        <v>2.6</v>
      </c>
      <c r="W2151" s="4">
        <v>5.7</v>
      </c>
      <c r="X2151" s="4">
        <v>519.92999999999995</v>
      </c>
      <c r="Y2151" s="7" t="e">
        <f t="shared" ca="1" si="44"/>
        <v>#VALUE!</v>
      </c>
    </row>
    <row r="2152" spans="1:25" ht="15" x14ac:dyDescent="0.25">
      <c r="A2152" s="4">
        <v>1967</v>
      </c>
      <c r="C2152" s="12" t="s">
        <v>4372</v>
      </c>
      <c r="D2152" s="37"/>
      <c r="E2152" s="5" t="str">
        <f t="shared" si="40"/>
        <v>https://www.screener.in/company//consolidated/</v>
      </c>
      <c r="F2152" s="4">
        <v>443059</v>
      </c>
      <c r="G2152" s="4">
        <v>3832241897</v>
      </c>
      <c r="H2152" s="6" t="e">
        <f t="shared" ca="1" si="41"/>
        <v>#VALUE!</v>
      </c>
      <c r="I2152" s="7" t="str">
        <f ca="1">IFERROR(__xludf.DUMMYFUNCTION("IMPORTXML(E2152,""/html/body/main/div[3]/div[3]/div[2]/ul/li[5]/span[2]/span"")"),"Loading...")</f>
        <v>Loading...</v>
      </c>
      <c r="J2152" s="7" t="str">
        <f ca="1">IFERROR(__xludf.DUMMYFUNCTION("GOOGLEFINANCE(""NSE:""&amp;D2152,""marketcap"")"),"#N/A")</f>
        <v>#N/A</v>
      </c>
      <c r="K2152" s="7">
        <v>992.8</v>
      </c>
      <c r="L2152" s="8" t="str">
        <f ca="1">IFERROR(__xludf.DUMMYFUNCTION("GOOGLEFINANCE(""NSE:""&amp;D2152,""price"")"),"#N/A")</f>
        <v>#N/A</v>
      </c>
      <c r="M2152" s="9" t="e">
        <f t="shared" ca="1" si="42"/>
        <v>#VALUE!</v>
      </c>
      <c r="N2152" s="10" t="e">
        <f t="shared" ca="1" si="43"/>
        <v>#VALUE!</v>
      </c>
      <c r="O2152" s="7" t="str">
        <f ca="1">IFERROR(__xludf.DUMMYFUNCTION("GOOGLEFINANCE(""NSE:""&amp;D2152,""pe"")"),"#N/A")</f>
        <v>#N/A</v>
      </c>
      <c r="P2152" s="7" t="str">
        <f ca="1">IFERROR(__xludf.DUMMYFUNCTION("GOOGLEFINANCE(""NSE:""&amp;D2152,""EPS"")"),"#N/A")</f>
        <v>#N/A</v>
      </c>
      <c r="Q2152" s="7">
        <v>13.5</v>
      </c>
      <c r="R2152" s="7" t="str">
        <f ca="1">IFERROR(__xludf.DUMMYFUNCTION("IMPORTXML(E2152,""/html/body/main/div[3]/div[3]/div[2]/ul/li[7]/span[2]/span"")"),"Loading...")</f>
        <v>Loading...</v>
      </c>
      <c r="S2152" s="7" t="str">
        <f ca="1">IFERROR(__xludf.DUMMYFUNCTION("IMPORTXML(E2152,""/html/body/main/div[3]/div[3]/div[2]/ul/li[8]/span[2]/span"")"),"Loading...")</f>
        <v>Loading...</v>
      </c>
      <c r="T2152" s="4">
        <v>34.6</v>
      </c>
      <c r="U2152" s="4">
        <v>22.7</v>
      </c>
      <c r="V2152" s="4">
        <v>2.6</v>
      </c>
      <c r="W2152" s="4">
        <v>5.7</v>
      </c>
      <c r="X2152" s="4">
        <v>519.92999999999995</v>
      </c>
      <c r="Y2152" s="7" t="e">
        <f t="shared" ca="1" si="44"/>
        <v>#VALUE!</v>
      </c>
    </row>
    <row r="2153" spans="1:25" ht="15" x14ac:dyDescent="0.25">
      <c r="A2153" s="4">
        <v>1968</v>
      </c>
      <c r="C2153" s="41" t="s">
        <v>4373</v>
      </c>
      <c r="D2153" s="42"/>
      <c r="E2153" s="5" t="str">
        <f t="shared" si="40"/>
        <v>https://www.screener.in/company//consolidated/</v>
      </c>
      <c r="F2153" s="4">
        <v>443059</v>
      </c>
      <c r="G2153" s="4">
        <v>3832241897</v>
      </c>
      <c r="H2153" s="6" t="e">
        <f t="shared" ca="1" si="41"/>
        <v>#VALUE!</v>
      </c>
      <c r="I2153" s="7" t="str">
        <f ca="1">IFERROR(__xludf.DUMMYFUNCTION("IMPORTXML(E2153,""/html/body/main/div[3]/div[3]/div[2]/ul/li[5]/span[2]/span"")"),"Loading...")</f>
        <v>Loading...</v>
      </c>
      <c r="J2153" s="7" t="str">
        <f ca="1">IFERROR(__xludf.DUMMYFUNCTION("GOOGLEFINANCE(""NSE:""&amp;D2153,""marketcap"")"),"#N/A")</f>
        <v>#N/A</v>
      </c>
      <c r="K2153" s="7">
        <v>992.8</v>
      </c>
      <c r="L2153" s="8" t="str">
        <f ca="1">IFERROR(__xludf.DUMMYFUNCTION("GOOGLEFINANCE(""NSE:""&amp;D2153,""price"")"),"#N/A")</f>
        <v>#N/A</v>
      </c>
      <c r="M2153" s="9" t="e">
        <f t="shared" ca="1" si="42"/>
        <v>#VALUE!</v>
      </c>
      <c r="N2153" s="10" t="e">
        <f t="shared" ca="1" si="43"/>
        <v>#VALUE!</v>
      </c>
      <c r="O2153" s="7" t="str">
        <f ca="1">IFERROR(__xludf.DUMMYFUNCTION("GOOGLEFINANCE(""NSE:""&amp;D2153,""pe"")"),"#N/A")</f>
        <v>#N/A</v>
      </c>
      <c r="P2153" s="7" t="str">
        <f ca="1">IFERROR(__xludf.DUMMYFUNCTION("GOOGLEFINANCE(""NSE:""&amp;D2153,""EPS"")"),"#N/A")</f>
        <v>#N/A</v>
      </c>
      <c r="Q2153" s="7">
        <v>13.5</v>
      </c>
      <c r="R2153" s="7" t="str">
        <f ca="1">IFERROR(__xludf.DUMMYFUNCTION("IMPORTXML(E2153,""/html/body/main/div[3]/div[3]/div[2]/ul/li[7]/span[2]/span"")"),"Loading...")</f>
        <v>Loading...</v>
      </c>
      <c r="S2153" s="7" t="str">
        <f ca="1">IFERROR(__xludf.DUMMYFUNCTION("IMPORTXML(E2153,""/html/body/main/div[3]/div[3]/div[2]/ul/li[8]/span[2]/span"")"),"Loading...")</f>
        <v>Loading...</v>
      </c>
      <c r="T2153" s="4">
        <v>34.6</v>
      </c>
      <c r="U2153" s="4">
        <v>22.7</v>
      </c>
      <c r="V2153" s="4">
        <v>2.6</v>
      </c>
      <c r="W2153" s="4">
        <v>5.7</v>
      </c>
      <c r="X2153" s="4">
        <v>519.92999999999995</v>
      </c>
      <c r="Y2153" s="7" t="e">
        <f t="shared" ca="1" si="44"/>
        <v>#VALUE!</v>
      </c>
    </row>
    <row r="2154" spans="1:25" ht="15" x14ac:dyDescent="0.25">
      <c r="A2154" s="4">
        <v>1970</v>
      </c>
      <c r="C2154" s="41" t="s">
        <v>4374</v>
      </c>
      <c r="D2154" s="42"/>
      <c r="E2154" s="5" t="str">
        <f t="shared" si="40"/>
        <v>https://www.screener.in/company//consolidated/</v>
      </c>
      <c r="F2154" s="4">
        <v>443059</v>
      </c>
      <c r="G2154" s="4">
        <v>3832241897</v>
      </c>
      <c r="H2154" s="6" t="e">
        <f t="shared" ca="1" si="41"/>
        <v>#VALUE!</v>
      </c>
      <c r="I2154" s="7" t="str">
        <f ca="1">IFERROR(__xludf.DUMMYFUNCTION("IMPORTXML(E2154,""/html/body/main/div[3]/div[3]/div[2]/ul/li[5]/span[2]/span"")"),"Loading...")</f>
        <v>Loading...</v>
      </c>
      <c r="J2154" s="7" t="str">
        <f ca="1">IFERROR(__xludf.DUMMYFUNCTION("GOOGLEFINANCE(""NSE:""&amp;D2154,""marketcap"")"),"#N/A")</f>
        <v>#N/A</v>
      </c>
      <c r="K2154" s="7">
        <v>992.8</v>
      </c>
      <c r="L2154" s="8" t="str">
        <f ca="1">IFERROR(__xludf.DUMMYFUNCTION("GOOGLEFINANCE(""NSE:""&amp;D2154,""price"")"),"#N/A")</f>
        <v>#N/A</v>
      </c>
      <c r="M2154" s="9" t="e">
        <f t="shared" ca="1" si="42"/>
        <v>#VALUE!</v>
      </c>
      <c r="N2154" s="10" t="e">
        <f t="shared" ca="1" si="43"/>
        <v>#VALUE!</v>
      </c>
      <c r="O2154" s="7" t="str">
        <f ca="1">IFERROR(__xludf.DUMMYFUNCTION("GOOGLEFINANCE(""NSE:""&amp;D2154,""pe"")"),"#N/A")</f>
        <v>#N/A</v>
      </c>
      <c r="P2154" s="7" t="str">
        <f ca="1">IFERROR(__xludf.DUMMYFUNCTION("GOOGLEFINANCE(""NSE:""&amp;D2154,""EPS"")"),"#N/A")</f>
        <v>#N/A</v>
      </c>
      <c r="Q2154" s="7">
        <v>13.5</v>
      </c>
      <c r="R2154" s="7" t="str">
        <f ca="1">IFERROR(__xludf.DUMMYFUNCTION("IMPORTXML(E2154,""/html/body/main/div[3]/div[3]/div[2]/ul/li[7]/span[2]/span"")"),"Loading...")</f>
        <v>Loading...</v>
      </c>
      <c r="S2154" s="7" t="str">
        <f ca="1">IFERROR(__xludf.DUMMYFUNCTION("IMPORTXML(E2154,""/html/body/main/div[3]/div[3]/div[2]/ul/li[8]/span[2]/span"")"),"Loading...")</f>
        <v>Loading...</v>
      </c>
      <c r="T2154" s="4">
        <v>34.6</v>
      </c>
      <c r="U2154" s="4">
        <v>22.7</v>
      </c>
      <c r="V2154" s="4">
        <v>2.6</v>
      </c>
      <c r="W2154" s="4">
        <v>5.7</v>
      </c>
      <c r="X2154" s="4">
        <v>519.92999999999995</v>
      </c>
      <c r="Y2154" s="7" t="e">
        <f t="shared" ca="1" si="44"/>
        <v>#VALUE!</v>
      </c>
    </row>
    <row r="2155" spans="1:25" ht="15" x14ac:dyDescent="0.25">
      <c r="A2155" s="4">
        <v>1972</v>
      </c>
      <c r="C2155" s="41" t="s">
        <v>4375</v>
      </c>
      <c r="D2155" s="42"/>
      <c r="E2155" s="5" t="str">
        <f t="shared" si="40"/>
        <v>https://www.screener.in/company//consolidated/</v>
      </c>
      <c r="F2155" s="4">
        <v>443059</v>
      </c>
      <c r="G2155" s="4">
        <v>3832241897</v>
      </c>
      <c r="H2155" s="6" t="e">
        <f t="shared" ca="1" si="41"/>
        <v>#VALUE!</v>
      </c>
      <c r="I2155" s="7" t="str">
        <f ca="1">IFERROR(__xludf.DUMMYFUNCTION("IMPORTXML(E2155,""/html/body/main/div[3]/div[3]/div[2]/ul/li[5]/span[2]/span"")"),"Loading...")</f>
        <v>Loading...</v>
      </c>
      <c r="J2155" s="7" t="str">
        <f ca="1">IFERROR(__xludf.DUMMYFUNCTION("GOOGLEFINANCE(""NSE:""&amp;D2155,""marketcap"")"),"#N/A")</f>
        <v>#N/A</v>
      </c>
      <c r="K2155" s="7">
        <v>992.8</v>
      </c>
      <c r="L2155" s="8" t="str">
        <f ca="1">IFERROR(__xludf.DUMMYFUNCTION("GOOGLEFINANCE(""NSE:""&amp;D2155,""price"")"),"#N/A")</f>
        <v>#N/A</v>
      </c>
      <c r="M2155" s="9" t="e">
        <f t="shared" ca="1" si="42"/>
        <v>#VALUE!</v>
      </c>
      <c r="N2155" s="10" t="e">
        <f t="shared" ca="1" si="43"/>
        <v>#VALUE!</v>
      </c>
      <c r="O2155" s="7" t="str">
        <f ca="1">IFERROR(__xludf.DUMMYFUNCTION("GOOGLEFINANCE(""NSE:""&amp;D2155,""pe"")"),"#N/A")</f>
        <v>#N/A</v>
      </c>
      <c r="P2155" s="7" t="str">
        <f ca="1">IFERROR(__xludf.DUMMYFUNCTION("GOOGLEFINANCE(""NSE:""&amp;D2155,""EPS"")"),"#N/A")</f>
        <v>#N/A</v>
      </c>
      <c r="Q2155" s="7">
        <v>13.5</v>
      </c>
      <c r="R2155" s="7" t="str">
        <f ca="1">IFERROR(__xludf.DUMMYFUNCTION("IMPORTXML(E2155,""/html/body/main/div[3]/div[3]/div[2]/ul/li[7]/span[2]/span"")"),"Loading...")</f>
        <v>Loading...</v>
      </c>
      <c r="S2155" s="7" t="str">
        <f ca="1">IFERROR(__xludf.DUMMYFUNCTION("IMPORTXML(E2155,""/html/body/main/div[3]/div[3]/div[2]/ul/li[8]/span[2]/span"")"),"Loading...")</f>
        <v>Loading...</v>
      </c>
      <c r="T2155" s="4">
        <v>34.6</v>
      </c>
      <c r="U2155" s="4">
        <v>22.7</v>
      </c>
      <c r="V2155" s="4">
        <v>2.6</v>
      </c>
      <c r="W2155" s="4">
        <v>5.7</v>
      </c>
      <c r="X2155" s="4">
        <v>519.92999999999995</v>
      </c>
      <c r="Y2155" s="7" t="e">
        <f t="shared" ca="1" si="44"/>
        <v>#VALUE!</v>
      </c>
    </row>
    <row r="2156" spans="1:25" ht="15" x14ac:dyDescent="0.25">
      <c r="A2156" s="4">
        <v>1974</v>
      </c>
      <c r="C2156" s="41" t="s">
        <v>4376</v>
      </c>
      <c r="D2156" s="42"/>
      <c r="E2156" s="5" t="str">
        <f t="shared" si="40"/>
        <v>https://www.screener.in/company//consolidated/</v>
      </c>
      <c r="F2156" s="4">
        <v>443059</v>
      </c>
      <c r="G2156" s="4">
        <v>3832241897</v>
      </c>
      <c r="H2156" s="6" t="e">
        <f t="shared" ca="1" si="41"/>
        <v>#VALUE!</v>
      </c>
      <c r="I2156" s="7" t="str">
        <f ca="1">IFERROR(__xludf.DUMMYFUNCTION("IMPORTXML(E2156,""/html/body/main/div[3]/div[3]/div[2]/ul/li[5]/span[2]/span"")"),"Loading...")</f>
        <v>Loading...</v>
      </c>
      <c r="J2156" s="7" t="str">
        <f ca="1">IFERROR(__xludf.DUMMYFUNCTION("GOOGLEFINANCE(""NSE:""&amp;D2156,""marketcap"")"),"#N/A")</f>
        <v>#N/A</v>
      </c>
      <c r="K2156" s="7">
        <v>992.8</v>
      </c>
      <c r="L2156" s="8" t="str">
        <f ca="1">IFERROR(__xludf.DUMMYFUNCTION("GOOGLEFINANCE(""NSE:""&amp;D2156,""price"")"),"#N/A")</f>
        <v>#N/A</v>
      </c>
      <c r="M2156" s="9" t="e">
        <f t="shared" ca="1" si="42"/>
        <v>#VALUE!</v>
      </c>
      <c r="N2156" s="10" t="e">
        <f t="shared" ca="1" si="43"/>
        <v>#VALUE!</v>
      </c>
      <c r="O2156" s="7" t="str">
        <f ca="1">IFERROR(__xludf.DUMMYFUNCTION("GOOGLEFINANCE(""NSE:""&amp;D2156,""pe"")"),"#N/A")</f>
        <v>#N/A</v>
      </c>
      <c r="P2156" s="7" t="str">
        <f ca="1">IFERROR(__xludf.DUMMYFUNCTION("GOOGLEFINANCE(""NSE:""&amp;D2156,""EPS"")"),"#N/A")</f>
        <v>#N/A</v>
      </c>
      <c r="Q2156" s="7">
        <v>13.5</v>
      </c>
      <c r="R2156" s="7" t="str">
        <f ca="1">IFERROR(__xludf.DUMMYFUNCTION("IMPORTXML(E2156,""/html/body/main/div[3]/div[3]/div[2]/ul/li[7]/span[2]/span"")"),"Loading...")</f>
        <v>Loading...</v>
      </c>
      <c r="S2156" s="7" t="str">
        <f ca="1">IFERROR(__xludf.DUMMYFUNCTION("IMPORTXML(E2156,""/html/body/main/div[3]/div[3]/div[2]/ul/li[8]/span[2]/span"")"),"Loading...")</f>
        <v>Loading...</v>
      </c>
      <c r="T2156" s="4">
        <v>34.6</v>
      </c>
      <c r="U2156" s="4">
        <v>22.7</v>
      </c>
      <c r="V2156" s="4">
        <v>2.6</v>
      </c>
      <c r="W2156" s="4">
        <v>5.7</v>
      </c>
      <c r="X2156" s="4">
        <v>519.92999999999995</v>
      </c>
      <c r="Y2156" s="7" t="e">
        <f t="shared" ca="1" si="44"/>
        <v>#VALUE!</v>
      </c>
    </row>
    <row r="2157" spans="1:25" ht="15" x14ac:dyDescent="0.25">
      <c r="A2157" s="4">
        <v>1975</v>
      </c>
      <c r="C2157" s="41" t="s">
        <v>4377</v>
      </c>
      <c r="D2157" s="42"/>
      <c r="E2157" s="5" t="str">
        <f t="shared" si="40"/>
        <v>https://www.screener.in/company//consolidated/</v>
      </c>
      <c r="F2157" s="4">
        <v>443059</v>
      </c>
      <c r="G2157" s="4">
        <v>3832241897</v>
      </c>
      <c r="H2157" s="6" t="e">
        <f t="shared" ca="1" si="41"/>
        <v>#VALUE!</v>
      </c>
      <c r="I2157" s="7" t="str">
        <f ca="1">IFERROR(__xludf.DUMMYFUNCTION("IMPORTXML(E2157,""/html/body/main/div[3]/div[3]/div[2]/ul/li[5]/span[2]/span"")"),"Loading...")</f>
        <v>Loading...</v>
      </c>
      <c r="J2157" s="7" t="str">
        <f ca="1">IFERROR(__xludf.DUMMYFUNCTION("GOOGLEFINANCE(""NSE:""&amp;D2157,""marketcap"")"),"#N/A")</f>
        <v>#N/A</v>
      </c>
      <c r="K2157" s="7">
        <v>992.8</v>
      </c>
      <c r="L2157" s="8" t="str">
        <f ca="1">IFERROR(__xludf.DUMMYFUNCTION("GOOGLEFINANCE(""NSE:""&amp;D2157,""price"")"),"#N/A")</f>
        <v>#N/A</v>
      </c>
      <c r="M2157" s="9" t="e">
        <f t="shared" ca="1" si="42"/>
        <v>#VALUE!</v>
      </c>
      <c r="N2157" s="10" t="e">
        <f t="shared" ca="1" si="43"/>
        <v>#VALUE!</v>
      </c>
      <c r="O2157" s="7" t="str">
        <f ca="1">IFERROR(__xludf.DUMMYFUNCTION("GOOGLEFINANCE(""NSE:""&amp;D2157,""pe"")"),"#N/A")</f>
        <v>#N/A</v>
      </c>
      <c r="P2157" s="7" t="str">
        <f ca="1">IFERROR(__xludf.DUMMYFUNCTION("GOOGLEFINANCE(""NSE:""&amp;D2157,""EPS"")"),"#N/A")</f>
        <v>#N/A</v>
      </c>
      <c r="Q2157" s="7">
        <v>13.5</v>
      </c>
      <c r="R2157" s="7" t="str">
        <f ca="1">IFERROR(__xludf.DUMMYFUNCTION("IMPORTXML(E2157,""/html/body/main/div[3]/div[3]/div[2]/ul/li[7]/span[2]/span"")"),"Loading...")</f>
        <v>Loading...</v>
      </c>
      <c r="S2157" s="7" t="str">
        <f ca="1">IFERROR(__xludf.DUMMYFUNCTION("IMPORTXML(E2157,""/html/body/main/div[3]/div[3]/div[2]/ul/li[8]/span[2]/span"")"),"Loading...")</f>
        <v>Loading...</v>
      </c>
      <c r="T2157" s="4">
        <v>34.6</v>
      </c>
      <c r="U2157" s="4">
        <v>22.7</v>
      </c>
      <c r="V2157" s="4">
        <v>2.6</v>
      </c>
      <c r="W2157" s="4">
        <v>5.7</v>
      </c>
      <c r="X2157" s="4">
        <v>519.92999999999995</v>
      </c>
      <c r="Y2157" s="7" t="e">
        <f t="shared" ca="1" si="44"/>
        <v>#VALUE!</v>
      </c>
    </row>
    <row r="2158" spans="1:25" ht="15" x14ac:dyDescent="0.25">
      <c r="A2158" s="4">
        <v>1976</v>
      </c>
      <c r="C2158" s="12" t="s">
        <v>4378</v>
      </c>
      <c r="D2158" s="12" t="s">
        <v>4379</v>
      </c>
      <c r="E2158" s="5" t="str">
        <f t="shared" si="40"/>
        <v>https://www.screener.in/company/OSWALSEEDS/consolidated/</v>
      </c>
      <c r="F2158" s="4">
        <v>443059</v>
      </c>
      <c r="G2158" s="4">
        <v>3832241897</v>
      </c>
      <c r="H2158" s="6">
        <f t="shared" ca="1" si="41"/>
        <v>5936.1426984529999</v>
      </c>
      <c r="I2158" s="7" t="str">
        <f ca="1">IFERROR(__xludf.DUMMYFUNCTION("IMPORTXML(E2158,""/html/body/main/div[3]/div[3]/div[2]/ul/li[5]/span[2]/span"")"),"Loading...")</f>
        <v>Loading...</v>
      </c>
      <c r="J2158" s="7">
        <f ca="1">IFERROR(__xludf.DUMMYFUNCTION("GOOGLEFINANCE(""NSE:""&amp;D2158,""marketcap"")"),1416869659)</f>
        <v>1416869659</v>
      </c>
      <c r="K2158" s="7">
        <v>992.8</v>
      </c>
      <c r="L2158" s="8">
        <f ca="1">IFERROR(__xludf.DUMMYFUNCTION("GOOGLEFINANCE(""NSE:""&amp;D2158,""price"")"),15.49)</f>
        <v>15.49</v>
      </c>
      <c r="M2158" s="9">
        <f t="shared" ca="1" si="42"/>
        <v>-977.31</v>
      </c>
      <c r="N2158" s="10">
        <f t="shared" ca="1" si="43"/>
        <v>-98.439766317485905</v>
      </c>
      <c r="O2158" s="7">
        <f ca="1">IFERROR(__xludf.DUMMYFUNCTION("GOOGLEFINANCE(""NSE:""&amp;D2158,""pe"")"),857.22)</f>
        <v>857.22</v>
      </c>
      <c r="P2158" s="7">
        <f ca="1">IFERROR(__xludf.DUMMYFUNCTION("GOOGLEFINANCE(""NSE:""&amp;D2158,""EPS"")"),0.02)</f>
        <v>0.02</v>
      </c>
      <c r="Q2158" s="7">
        <v>13.5</v>
      </c>
      <c r="R2158" s="7" t="str">
        <f ca="1">IFERROR(__xludf.DUMMYFUNCTION("IMPORTXML(E2158,""/html/body/main/div[3]/div[3]/div[2]/ul/li[7]/span[2]/span"")"),"Loading...")</f>
        <v>Loading...</v>
      </c>
      <c r="S2158" s="7" t="str">
        <f ca="1">IFERROR(__xludf.DUMMYFUNCTION("IMPORTXML(E2158,""/html/body/main/div[3]/div[3]/div[2]/ul/li[8]/span[2]/span"")"),"Loading...")</f>
        <v>Loading...</v>
      </c>
      <c r="T2158" s="4">
        <v>34.6</v>
      </c>
      <c r="U2158" s="4">
        <v>22.7</v>
      </c>
      <c r="V2158" s="4">
        <v>2.6</v>
      </c>
      <c r="W2158" s="4">
        <v>5.7</v>
      </c>
      <c r="X2158" s="4">
        <v>519.92999999999995</v>
      </c>
      <c r="Y2158" s="7">
        <f t="shared" ca="1" si="44"/>
        <v>-504.43999999999994</v>
      </c>
    </row>
    <row r="2159" spans="1:25" ht="15" x14ac:dyDescent="0.25">
      <c r="A2159" s="4">
        <v>1980</v>
      </c>
      <c r="C2159" s="41" t="s">
        <v>4380</v>
      </c>
      <c r="D2159" s="42"/>
      <c r="E2159" s="5" t="str">
        <f t="shared" si="40"/>
        <v>https://www.screener.in/company//consolidated/</v>
      </c>
      <c r="F2159" s="4">
        <v>443059</v>
      </c>
      <c r="G2159" s="4">
        <v>3832241897</v>
      </c>
      <c r="H2159" s="6" t="e">
        <f t="shared" ca="1" si="41"/>
        <v>#VALUE!</v>
      </c>
      <c r="I2159" s="7" t="str">
        <f ca="1">IFERROR(__xludf.DUMMYFUNCTION("IMPORTXML(E2159,""/html/body/main/div[3]/div[3]/div[2]/ul/li[5]/span[2]/span"")"),"Loading...")</f>
        <v>Loading...</v>
      </c>
      <c r="J2159" s="7" t="str">
        <f ca="1">IFERROR(__xludf.DUMMYFUNCTION("GOOGLEFINANCE(""NSE:""&amp;D2159,""marketcap"")"),"#N/A")</f>
        <v>#N/A</v>
      </c>
      <c r="K2159" s="7">
        <v>992.8</v>
      </c>
      <c r="L2159" s="8" t="str">
        <f ca="1">IFERROR(__xludf.DUMMYFUNCTION("GOOGLEFINANCE(""NSE:""&amp;D2159,""price"")"),"#N/A")</f>
        <v>#N/A</v>
      </c>
      <c r="M2159" s="9" t="e">
        <f t="shared" ca="1" si="42"/>
        <v>#VALUE!</v>
      </c>
      <c r="N2159" s="10" t="e">
        <f t="shared" ca="1" si="43"/>
        <v>#VALUE!</v>
      </c>
      <c r="O2159" s="7" t="str">
        <f ca="1">IFERROR(__xludf.DUMMYFUNCTION("GOOGLEFINANCE(""NSE:""&amp;D2159,""pe"")"),"#N/A")</f>
        <v>#N/A</v>
      </c>
      <c r="P2159" s="7" t="str">
        <f ca="1">IFERROR(__xludf.DUMMYFUNCTION("GOOGLEFINANCE(""NSE:""&amp;D2159,""EPS"")"),"#N/A")</f>
        <v>#N/A</v>
      </c>
      <c r="Q2159" s="7">
        <v>13.5</v>
      </c>
      <c r="R2159" s="7" t="str">
        <f ca="1">IFERROR(__xludf.DUMMYFUNCTION("IMPORTXML(E2159,""/html/body/main/div[3]/div[3]/div[2]/ul/li[7]/span[2]/span"")"),"Loading...")</f>
        <v>Loading...</v>
      </c>
      <c r="S2159" s="7" t="str">
        <f ca="1">IFERROR(__xludf.DUMMYFUNCTION("IMPORTXML(E2159,""/html/body/main/div[3]/div[3]/div[2]/ul/li[8]/span[2]/span"")"),"Loading...")</f>
        <v>Loading...</v>
      </c>
      <c r="T2159" s="4">
        <v>34.6</v>
      </c>
      <c r="U2159" s="4">
        <v>22.7</v>
      </c>
      <c r="V2159" s="4">
        <v>2.6</v>
      </c>
      <c r="W2159" s="4">
        <v>5.7</v>
      </c>
      <c r="X2159" s="4">
        <v>519.92999999999995</v>
      </c>
      <c r="Y2159" s="7" t="e">
        <f t="shared" ca="1" si="44"/>
        <v>#VALUE!</v>
      </c>
    </row>
    <row r="2160" spans="1:25" ht="15" x14ac:dyDescent="0.25">
      <c r="A2160" s="4">
        <v>1981</v>
      </c>
      <c r="C2160" s="12" t="s">
        <v>4381</v>
      </c>
      <c r="D2160" s="12" t="s">
        <v>4382</v>
      </c>
      <c r="E2160" s="5" t="str">
        <f t="shared" si="40"/>
        <v>https://www.screener.in/company/OILCOUNTUB/consolidated/</v>
      </c>
      <c r="F2160" s="4">
        <v>443059</v>
      </c>
      <c r="G2160" s="4">
        <v>3832241897</v>
      </c>
      <c r="H2160" s="6">
        <f t="shared" ca="1" si="41"/>
        <v>31615.995650249999</v>
      </c>
      <c r="I2160" s="7" t="str">
        <f ca="1">IFERROR(__xludf.DUMMYFUNCTION("IMPORTXML(E2160,""/html/body/main/div[3]/div[3]/div[2]/ul/li[5]/span[2]/span"")"),"Loading...")</f>
        <v>Loading...</v>
      </c>
      <c r="J2160" s="7">
        <f ca="1">IFERROR(__xludf.DUMMYFUNCTION("GOOGLEFINANCE(""NSE:""&amp;D2160,""marketcap"")"),3986468000)</f>
        <v>3986468000</v>
      </c>
      <c r="K2160" s="7">
        <v>992.8</v>
      </c>
      <c r="L2160" s="8">
        <f ca="1">IFERROR(__xludf.DUMMYFUNCTION("GOOGLEFINANCE(""NSE:""&amp;D2160,""price"")"),82.5)</f>
        <v>82.5</v>
      </c>
      <c r="M2160" s="9">
        <f t="shared" ca="1" si="42"/>
        <v>-910.3</v>
      </c>
      <c r="N2160" s="10">
        <f t="shared" ca="1" si="43"/>
        <v>-91.690169218372276</v>
      </c>
      <c r="O2160" s="7" t="str">
        <f ca="1">IFERROR(__xludf.DUMMYFUNCTION("GOOGLEFINANCE(""NSE:""&amp;D2160,""pe"")"),"#N/A")</f>
        <v>#N/A</v>
      </c>
      <c r="P2160" s="7">
        <f ca="1">IFERROR(__xludf.DUMMYFUNCTION("GOOGLEFINANCE(""NSE:""&amp;D2160,""EPS"")"),-6.71)</f>
        <v>-6.71</v>
      </c>
      <c r="Q2160" s="7">
        <v>13.5</v>
      </c>
      <c r="R2160" s="7" t="str">
        <f ca="1">IFERROR(__xludf.DUMMYFUNCTION("IMPORTXML(E2160,""/html/body/main/div[3]/div[3]/div[2]/ul/li[7]/span[2]/span"")"),"Loading...")</f>
        <v>Loading...</v>
      </c>
      <c r="S2160" s="7" t="str">
        <f ca="1">IFERROR(__xludf.DUMMYFUNCTION("IMPORTXML(E2160,""/html/body/main/div[3]/div[3]/div[2]/ul/li[8]/span[2]/span"")"),"Loading...")</f>
        <v>Loading...</v>
      </c>
      <c r="T2160" s="4">
        <v>34.6</v>
      </c>
      <c r="U2160" s="4">
        <v>22.7</v>
      </c>
      <c r="V2160" s="4">
        <v>2.6</v>
      </c>
      <c r="W2160" s="4">
        <v>5.7</v>
      </c>
      <c r="X2160" s="4">
        <v>519.92999999999995</v>
      </c>
      <c r="Y2160" s="7">
        <f t="shared" ca="1" si="44"/>
        <v>-437.42999999999995</v>
      </c>
    </row>
    <row r="2161" spans="1:25" ht="15" x14ac:dyDescent="0.25">
      <c r="A2161" s="4">
        <v>1982</v>
      </c>
      <c r="C2161" s="41" t="s">
        <v>4383</v>
      </c>
      <c r="D2161" s="42"/>
      <c r="E2161" s="5" t="str">
        <f t="shared" si="40"/>
        <v>https://www.screener.in/company//consolidated/</v>
      </c>
      <c r="F2161" s="4">
        <v>443059</v>
      </c>
      <c r="G2161" s="4">
        <v>3832241897</v>
      </c>
      <c r="H2161" s="6" t="e">
        <f t="shared" ca="1" si="41"/>
        <v>#VALUE!</v>
      </c>
      <c r="I2161" s="7" t="str">
        <f ca="1">IFERROR(__xludf.DUMMYFUNCTION("IMPORTXML(E2161,""/html/body/main/div[3]/div[3]/div[2]/ul/li[5]/span[2]/span"")"),"Loading...")</f>
        <v>Loading...</v>
      </c>
      <c r="J2161" s="7" t="str">
        <f ca="1">IFERROR(__xludf.DUMMYFUNCTION("GOOGLEFINANCE(""NSE:""&amp;D2161,""marketcap"")"),"#N/A")</f>
        <v>#N/A</v>
      </c>
      <c r="K2161" s="7">
        <v>992.8</v>
      </c>
      <c r="L2161" s="8" t="str">
        <f ca="1">IFERROR(__xludf.DUMMYFUNCTION("GOOGLEFINANCE(""NSE:""&amp;D2161,""price"")"),"#N/A")</f>
        <v>#N/A</v>
      </c>
      <c r="M2161" s="9" t="e">
        <f t="shared" ca="1" si="42"/>
        <v>#VALUE!</v>
      </c>
      <c r="N2161" s="10" t="e">
        <f t="shared" ca="1" si="43"/>
        <v>#VALUE!</v>
      </c>
      <c r="O2161" s="7" t="str">
        <f ca="1">IFERROR(__xludf.DUMMYFUNCTION("GOOGLEFINANCE(""NSE:""&amp;D2161,""pe"")"),"#N/A")</f>
        <v>#N/A</v>
      </c>
      <c r="P2161" s="7" t="str">
        <f ca="1">IFERROR(__xludf.DUMMYFUNCTION("GOOGLEFINANCE(""NSE:""&amp;D2161,""EPS"")"),"#N/A")</f>
        <v>#N/A</v>
      </c>
      <c r="Q2161" s="7">
        <v>13.5</v>
      </c>
      <c r="R2161" s="7" t="str">
        <f ca="1">IFERROR(__xludf.DUMMYFUNCTION("IMPORTXML(E2161,""/html/body/main/div[3]/div[3]/div[2]/ul/li[7]/span[2]/span"")"),"Loading...")</f>
        <v>Loading...</v>
      </c>
      <c r="S2161" s="7" t="str">
        <f ca="1">IFERROR(__xludf.DUMMYFUNCTION("IMPORTXML(E2161,""/html/body/main/div[3]/div[3]/div[2]/ul/li[8]/span[2]/span"")"),"Loading...")</f>
        <v>Loading...</v>
      </c>
      <c r="T2161" s="4">
        <v>34.6</v>
      </c>
      <c r="U2161" s="4">
        <v>22.7</v>
      </c>
      <c r="V2161" s="4">
        <v>2.6</v>
      </c>
      <c r="W2161" s="4">
        <v>5.7</v>
      </c>
      <c r="X2161" s="4">
        <v>519.92999999999995</v>
      </c>
      <c r="Y2161" s="7" t="e">
        <f t="shared" ca="1" si="44"/>
        <v>#VALUE!</v>
      </c>
    </row>
    <row r="2162" spans="1:25" ht="15" x14ac:dyDescent="0.25">
      <c r="A2162" s="4">
        <v>1984</v>
      </c>
      <c r="C2162" s="41" t="s">
        <v>4384</v>
      </c>
      <c r="D2162" s="42"/>
      <c r="E2162" s="5" t="str">
        <f t="shared" si="40"/>
        <v>https://www.screener.in/company//consolidated/</v>
      </c>
      <c r="F2162" s="4">
        <v>443059</v>
      </c>
      <c r="G2162" s="4">
        <v>3832241897</v>
      </c>
      <c r="H2162" s="6" t="e">
        <f t="shared" ca="1" si="41"/>
        <v>#VALUE!</v>
      </c>
      <c r="I2162" s="7" t="str">
        <f ca="1">IFERROR(__xludf.DUMMYFUNCTION("IMPORTXML(E2162,""/html/body/main/div[3]/div[3]/div[2]/ul/li[5]/span[2]/span"")"),"Loading...")</f>
        <v>Loading...</v>
      </c>
      <c r="J2162" s="7" t="str">
        <f ca="1">IFERROR(__xludf.DUMMYFUNCTION("GOOGLEFINANCE(""NSE:""&amp;D2162,""marketcap"")"),"#N/A")</f>
        <v>#N/A</v>
      </c>
      <c r="K2162" s="7">
        <v>992.8</v>
      </c>
      <c r="L2162" s="8" t="str">
        <f ca="1">IFERROR(__xludf.DUMMYFUNCTION("GOOGLEFINANCE(""NSE:""&amp;D2162,""price"")"),"#N/A")</f>
        <v>#N/A</v>
      </c>
      <c r="M2162" s="9" t="e">
        <f t="shared" ca="1" si="42"/>
        <v>#VALUE!</v>
      </c>
      <c r="N2162" s="10" t="e">
        <f t="shared" ca="1" si="43"/>
        <v>#VALUE!</v>
      </c>
      <c r="O2162" s="7" t="str">
        <f ca="1">IFERROR(__xludf.DUMMYFUNCTION("GOOGLEFINANCE(""NSE:""&amp;D2162,""pe"")"),"#N/A")</f>
        <v>#N/A</v>
      </c>
      <c r="P2162" s="7" t="str">
        <f ca="1">IFERROR(__xludf.DUMMYFUNCTION("GOOGLEFINANCE(""NSE:""&amp;D2162,""EPS"")"),"#N/A")</f>
        <v>#N/A</v>
      </c>
      <c r="Q2162" s="7">
        <v>13.5</v>
      </c>
      <c r="R2162" s="7" t="str">
        <f ca="1">IFERROR(__xludf.DUMMYFUNCTION("IMPORTXML(E2162,""/html/body/main/div[3]/div[3]/div[2]/ul/li[7]/span[2]/span"")"),"Loading...")</f>
        <v>Loading...</v>
      </c>
      <c r="S2162" s="7" t="str">
        <f ca="1">IFERROR(__xludf.DUMMYFUNCTION("IMPORTXML(E2162,""/html/body/main/div[3]/div[3]/div[2]/ul/li[8]/span[2]/span"")"),"Loading...")</f>
        <v>Loading...</v>
      </c>
      <c r="T2162" s="4">
        <v>34.6</v>
      </c>
      <c r="U2162" s="4">
        <v>22.7</v>
      </c>
      <c r="V2162" s="4">
        <v>2.6</v>
      </c>
      <c r="W2162" s="4">
        <v>5.7</v>
      </c>
      <c r="X2162" s="4">
        <v>519.92999999999995</v>
      </c>
      <c r="Y2162" s="7" t="e">
        <f t="shared" ca="1" si="44"/>
        <v>#VALUE!</v>
      </c>
    </row>
    <row r="2163" spans="1:25" ht="15" x14ac:dyDescent="0.25">
      <c r="A2163" s="4">
        <v>1988</v>
      </c>
      <c r="C2163" s="41" t="s">
        <v>4385</v>
      </c>
      <c r="D2163" s="42"/>
      <c r="E2163" s="5" t="str">
        <f t="shared" si="40"/>
        <v>https://www.screener.in/company//consolidated/</v>
      </c>
      <c r="F2163" s="4">
        <v>443059</v>
      </c>
      <c r="G2163" s="4">
        <v>3832241897</v>
      </c>
      <c r="H2163" s="6" t="e">
        <f t="shared" ca="1" si="41"/>
        <v>#VALUE!</v>
      </c>
      <c r="I2163" s="7" t="str">
        <f ca="1">IFERROR(__xludf.DUMMYFUNCTION("IMPORTXML(E2163,""/html/body/main/div[3]/div[3]/div[2]/ul/li[5]/span[2]/span"")"),"Loading...")</f>
        <v>Loading...</v>
      </c>
      <c r="J2163" s="7" t="str">
        <f ca="1">IFERROR(__xludf.DUMMYFUNCTION("GOOGLEFINANCE(""NSE:""&amp;D2163,""marketcap"")"),"#N/A")</f>
        <v>#N/A</v>
      </c>
      <c r="K2163" s="7">
        <v>992.8</v>
      </c>
      <c r="L2163" s="8" t="str">
        <f ca="1">IFERROR(__xludf.DUMMYFUNCTION("GOOGLEFINANCE(""NSE:""&amp;D2163,""price"")"),"#N/A")</f>
        <v>#N/A</v>
      </c>
      <c r="M2163" s="9" t="e">
        <f t="shared" ca="1" si="42"/>
        <v>#VALUE!</v>
      </c>
      <c r="N2163" s="10" t="e">
        <f t="shared" ca="1" si="43"/>
        <v>#VALUE!</v>
      </c>
      <c r="O2163" s="7" t="str">
        <f ca="1">IFERROR(__xludf.DUMMYFUNCTION("GOOGLEFINANCE(""NSE:""&amp;D2163,""pe"")"),"#N/A")</f>
        <v>#N/A</v>
      </c>
      <c r="P2163" s="7" t="str">
        <f ca="1">IFERROR(__xludf.DUMMYFUNCTION("GOOGLEFINANCE(""NSE:""&amp;D2163,""EPS"")"),"#N/A")</f>
        <v>#N/A</v>
      </c>
      <c r="Q2163" s="7">
        <v>13.5</v>
      </c>
      <c r="R2163" s="7" t="str">
        <f ca="1">IFERROR(__xludf.DUMMYFUNCTION("IMPORTXML(E2163,""/html/body/main/div[3]/div[3]/div[2]/ul/li[7]/span[2]/span"")"),"Loading...")</f>
        <v>Loading...</v>
      </c>
      <c r="S2163" s="7" t="str">
        <f ca="1">IFERROR(__xludf.DUMMYFUNCTION("IMPORTXML(E2163,""/html/body/main/div[3]/div[3]/div[2]/ul/li[8]/span[2]/span"")"),"Loading...")</f>
        <v>Loading...</v>
      </c>
      <c r="T2163" s="4">
        <v>34.6</v>
      </c>
      <c r="U2163" s="4">
        <v>22.7</v>
      </c>
      <c r="V2163" s="4">
        <v>2.6</v>
      </c>
      <c r="W2163" s="4">
        <v>5.7</v>
      </c>
      <c r="X2163" s="4">
        <v>519.92999999999995</v>
      </c>
      <c r="Y2163" s="7" t="e">
        <f t="shared" ca="1" si="44"/>
        <v>#VALUE!</v>
      </c>
    </row>
    <row r="2164" spans="1:25" ht="15" x14ac:dyDescent="0.25">
      <c r="A2164" s="4">
        <v>1989</v>
      </c>
      <c r="C2164" s="41" t="s">
        <v>4386</v>
      </c>
      <c r="D2164" s="42"/>
      <c r="E2164" s="5" t="str">
        <f t="shared" si="40"/>
        <v>https://www.screener.in/company//consolidated/</v>
      </c>
      <c r="F2164" s="4">
        <v>443059</v>
      </c>
      <c r="G2164" s="4">
        <v>3832241897</v>
      </c>
      <c r="H2164" s="6" t="e">
        <f t="shared" ca="1" si="41"/>
        <v>#VALUE!</v>
      </c>
      <c r="I2164" s="7" t="str">
        <f ca="1">IFERROR(__xludf.DUMMYFUNCTION("IMPORTXML(E2164,""/html/body/main/div[3]/div[3]/div[2]/ul/li[5]/span[2]/span"")"),"Loading...")</f>
        <v>Loading...</v>
      </c>
      <c r="J2164" s="7" t="str">
        <f ca="1">IFERROR(__xludf.DUMMYFUNCTION("GOOGLEFINANCE(""NSE:""&amp;D2164,""marketcap"")"),"#N/A")</f>
        <v>#N/A</v>
      </c>
      <c r="K2164" s="7">
        <v>992.8</v>
      </c>
      <c r="L2164" s="8" t="str">
        <f ca="1">IFERROR(__xludf.DUMMYFUNCTION("GOOGLEFINANCE(""NSE:""&amp;D2164,""price"")"),"#N/A")</f>
        <v>#N/A</v>
      </c>
      <c r="M2164" s="9" t="e">
        <f t="shared" ca="1" si="42"/>
        <v>#VALUE!</v>
      </c>
      <c r="N2164" s="10" t="e">
        <f t="shared" ca="1" si="43"/>
        <v>#VALUE!</v>
      </c>
      <c r="O2164" s="7" t="str">
        <f ca="1">IFERROR(__xludf.DUMMYFUNCTION("GOOGLEFINANCE(""NSE:""&amp;D2164,""pe"")"),"#N/A")</f>
        <v>#N/A</v>
      </c>
      <c r="P2164" s="7" t="str">
        <f ca="1">IFERROR(__xludf.DUMMYFUNCTION("GOOGLEFINANCE(""NSE:""&amp;D2164,""EPS"")"),"#N/A")</f>
        <v>#N/A</v>
      </c>
      <c r="Q2164" s="7">
        <v>13.5</v>
      </c>
      <c r="R2164" s="7" t="str">
        <f ca="1">IFERROR(__xludf.DUMMYFUNCTION("IMPORTXML(E2164,""/html/body/main/div[3]/div[3]/div[2]/ul/li[7]/span[2]/span"")"),"Loading...")</f>
        <v>Loading...</v>
      </c>
      <c r="S2164" s="7" t="str">
        <f ca="1">IFERROR(__xludf.DUMMYFUNCTION("IMPORTXML(E2164,""/html/body/main/div[3]/div[3]/div[2]/ul/li[8]/span[2]/span"")"),"Loading...")</f>
        <v>Loading...</v>
      </c>
      <c r="T2164" s="4">
        <v>34.6</v>
      </c>
      <c r="U2164" s="4">
        <v>22.7</v>
      </c>
      <c r="V2164" s="4">
        <v>2.6</v>
      </c>
      <c r="W2164" s="4">
        <v>5.7</v>
      </c>
      <c r="X2164" s="4">
        <v>519.92999999999995</v>
      </c>
      <c r="Y2164" s="7" t="e">
        <f t="shared" ca="1" si="44"/>
        <v>#VALUE!</v>
      </c>
    </row>
    <row r="2165" spans="1:25" ht="15" x14ac:dyDescent="0.25">
      <c r="A2165" s="4">
        <v>1991</v>
      </c>
      <c r="C2165" s="41" t="s">
        <v>4387</v>
      </c>
      <c r="D2165" s="42"/>
      <c r="E2165" s="5" t="str">
        <f t="shared" si="40"/>
        <v>https://www.screener.in/company//consolidated/</v>
      </c>
      <c r="F2165" s="4">
        <v>443059</v>
      </c>
      <c r="G2165" s="4">
        <v>3832241897</v>
      </c>
      <c r="H2165" s="6" t="e">
        <f t="shared" ca="1" si="41"/>
        <v>#VALUE!</v>
      </c>
      <c r="I2165" s="7" t="str">
        <f ca="1">IFERROR(__xludf.DUMMYFUNCTION("IMPORTXML(E2165,""/html/body/main/div[3]/div[3]/div[2]/ul/li[5]/span[2]/span"")"),"Loading...")</f>
        <v>Loading...</v>
      </c>
      <c r="J2165" s="7" t="str">
        <f ca="1">IFERROR(__xludf.DUMMYFUNCTION("GOOGLEFINANCE(""NSE:""&amp;D2165,""marketcap"")"),"#N/A")</f>
        <v>#N/A</v>
      </c>
      <c r="K2165" s="7">
        <v>992.8</v>
      </c>
      <c r="L2165" s="8" t="str">
        <f ca="1">IFERROR(__xludf.DUMMYFUNCTION("GOOGLEFINANCE(""NSE:""&amp;D2165,""price"")"),"#N/A")</f>
        <v>#N/A</v>
      </c>
      <c r="M2165" s="9" t="e">
        <f t="shared" ca="1" si="42"/>
        <v>#VALUE!</v>
      </c>
      <c r="N2165" s="10" t="e">
        <f t="shared" ca="1" si="43"/>
        <v>#VALUE!</v>
      </c>
      <c r="O2165" s="7" t="str">
        <f ca="1">IFERROR(__xludf.DUMMYFUNCTION("GOOGLEFINANCE(""NSE:""&amp;D2165,""pe"")"),"#N/A")</f>
        <v>#N/A</v>
      </c>
      <c r="P2165" s="7" t="str">
        <f ca="1">IFERROR(__xludf.DUMMYFUNCTION("GOOGLEFINANCE(""NSE:""&amp;D2165,""EPS"")"),"#N/A")</f>
        <v>#N/A</v>
      </c>
      <c r="Q2165" s="7">
        <v>13.5</v>
      </c>
      <c r="R2165" s="7" t="str">
        <f ca="1">IFERROR(__xludf.DUMMYFUNCTION("IMPORTXML(E2165,""/html/body/main/div[3]/div[3]/div[2]/ul/li[7]/span[2]/span"")"),"Loading...")</f>
        <v>Loading...</v>
      </c>
      <c r="S2165" s="7" t="str">
        <f ca="1">IFERROR(__xludf.DUMMYFUNCTION("IMPORTXML(E2165,""/html/body/main/div[3]/div[3]/div[2]/ul/li[8]/span[2]/span"")"),"Loading...")</f>
        <v>Loading...</v>
      </c>
      <c r="T2165" s="4">
        <v>34.6</v>
      </c>
      <c r="U2165" s="4">
        <v>22.7</v>
      </c>
      <c r="V2165" s="4">
        <v>2.6</v>
      </c>
      <c r="W2165" s="4">
        <v>5.7</v>
      </c>
      <c r="X2165" s="4">
        <v>519.92999999999995</v>
      </c>
      <c r="Y2165" s="7" t="e">
        <f t="shared" ca="1" si="44"/>
        <v>#VALUE!</v>
      </c>
    </row>
    <row r="2166" spans="1:25" ht="15" x14ac:dyDescent="0.25">
      <c r="A2166" s="4">
        <v>1996</v>
      </c>
      <c r="C2166" s="41" t="s">
        <v>4388</v>
      </c>
      <c r="D2166" s="42"/>
      <c r="E2166" s="5" t="str">
        <f t="shared" si="40"/>
        <v>https://www.screener.in/company//consolidated/</v>
      </c>
      <c r="F2166" s="4">
        <v>443059</v>
      </c>
      <c r="G2166" s="4">
        <v>3832241897</v>
      </c>
      <c r="H2166" s="6" t="e">
        <f t="shared" ca="1" si="41"/>
        <v>#VALUE!</v>
      </c>
      <c r="I2166" s="7" t="str">
        <f ca="1">IFERROR(__xludf.DUMMYFUNCTION("IMPORTXML(E2166,""/html/body/main/div[3]/div[3]/div[2]/ul/li[5]/span[2]/span"")"),"Loading...")</f>
        <v>Loading...</v>
      </c>
      <c r="J2166" s="7" t="str">
        <f ca="1">IFERROR(__xludf.DUMMYFUNCTION("GOOGLEFINANCE(""NSE:""&amp;D2166,""marketcap"")"),"#N/A")</f>
        <v>#N/A</v>
      </c>
      <c r="K2166" s="7">
        <v>992.8</v>
      </c>
      <c r="L2166" s="8" t="str">
        <f ca="1">IFERROR(__xludf.DUMMYFUNCTION("GOOGLEFINANCE(""NSE:""&amp;D2166,""price"")"),"#N/A")</f>
        <v>#N/A</v>
      </c>
      <c r="M2166" s="9" t="e">
        <f t="shared" ca="1" si="42"/>
        <v>#VALUE!</v>
      </c>
      <c r="N2166" s="10" t="e">
        <f t="shared" ca="1" si="43"/>
        <v>#VALUE!</v>
      </c>
      <c r="O2166" s="7" t="str">
        <f ca="1">IFERROR(__xludf.DUMMYFUNCTION("GOOGLEFINANCE(""NSE:""&amp;D2166,""pe"")"),"#N/A")</f>
        <v>#N/A</v>
      </c>
      <c r="P2166" s="7" t="str">
        <f ca="1">IFERROR(__xludf.DUMMYFUNCTION("GOOGLEFINANCE(""NSE:""&amp;D2166,""EPS"")"),"#N/A")</f>
        <v>#N/A</v>
      </c>
      <c r="Q2166" s="7">
        <v>13.5</v>
      </c>
      <c r="R2166" s="7" t="str">
        <f ca="1">IFERROR(__xludf.DUMMYFUNCTION("IMPORTXML(E2166,""/html/body/main/div[3]/div[3]/div[2]/ul/li[7]/span[2]/span"")"),"Loading...")</f>
        <v>Loading...</v>
      </c>
      <c r="S2166" s="7" t="str">
        <f ca="1">IFERROR(__xludf.DUMMYFUNCTION("IMPORTXML(E2166,""/html/body/main/div[3]/div[3]/div[2]/ul/li[8]/span[2]/span"")"),"Loading...")</f>
        <v>Loading...</v>
      </c>
      <c r="T2166" s="4">
        <v>34.6</v>
      </c>
      <c r="U2166" s="4">
        <v>22.7</v>
      </c>
      <c r="V2166" s="4">
        <v>2.6</v>
      </c>
      <c r="W2166" s="4">
        <v>5.7</v>
      </c>
      <c r="X2166" s="4">
        <v>519.92999999999995</v>
      </c>
      <c r="Y2166" s="7" t="e">
        <f t="shared" ca="1" si="44"/>
        <v>#VALUE!</v>
      </c>
    </row>
    <row r="2167" spans="1:25" ht="15" x14ac:dyDescent="0.25">
      <c r="A2167" s="4">
        <v>1997</v>
      </c>
      <c r="C2167" s="41" t="s">
        <v>4389</v>
      </c>
      <c r="D2167" s="42"/>
      <c r="E2167" s="5" t="str">
        <f t="shared" si="40"/>
        <v>https://www.screener.in/company//consolidated/</v>
      </c>
      <c r="F2167" s="4">
        <v>443059</v>
      </c>
      <c r="G2167" s="4">
        <v>3832241897</v>
      </c>
      <c r="H2167" s="6" t="e">
        <f t="shared" ca="1" si="41"/>
        <v>#VALUE!</v>
      </c>
      <c r="I2167" s="7" t="str">
        <f ca="1">IFERROR(__xludf.DUMMYFUNCTION("IMPORTXML(E2167,""/html/body/main/div[3]/div[3]/div[2]/ul/li[5]/span[2]/span"")"),"Loading...")</f>
        <v>Loading...</v>
      </c>
      <c r="J2167" s="7" t="str">
        <f ca="1">IFERROR(__xludf.DUMMYFUNCTION("GOOGLEFINANCE(""NSE:""&amp;D2167,""marketcap"")"),"#N/A")</f>
        <v>#N/A</v>
      </c>
      <c r="K2167" s="7">
        <v>992.8</v>
      </c>
      <c r="L2167" s="8" t="str">
        <f ca="1">IFERROR(__xludf.DUMMYFUNCTION("GOOGLEFINANCE(""NSE:""&amp;D2167,""price"")"),"#N/A")</f>
        <v>#N/A</v>
      </c>
      <c r="M2167" s="9" t="e">
        <f t="shared" ca="1" si="42"/>
        <v>#VALUE!</v>
      </c>
      <c r="N2167" s="10" t="e">
        <f t="shared" ca="1" si="43"/>
        <v>#VALUE!</v>
      </c>
      <c r="O2167" s="7" t="str">
        <f ca="1">IFERROR(__xludf.DUMMYFUNCTION("GOOGLEFINANCE(""NSE:""&amp;D2167,""pe"")"),"#N/A")</f>
        <v>#N/A</v>
      </c>
      <c r="P2167" s="7" t="str">
        <f ca="1">IFERROR(__xludf.DUMMYFUNCTION("GOOGLEFINANCE(""NSE:""&amp;D2167,""EPS"")"),"#N/A")</f>
        <v>#N/A</v>
      </c>
      <c r="Q2167" s="7">
        <v>13.5</v>
      </c>
      <c r="R2167" s="7" t="str">
        <f ca="1">IFERROR(__xludf.DUMMYFUNCTION("IMPORTXML(E2167,""/html/body/main/div[3]/div[3]/div[2]/ul/li[7]/span[2]/span"")"),"Loading...")</f>
        <v>Loading...</v>
      </c>
      <c r="S2167" s="7" t="str">
        <f ca="1">IFERROR(__xludf.DUMMYFUNCTION("IMPORTXML(E2167,""/html/body/main/div[3]/div[3]/div[2]/ul/li[8]/span[2]/span"")"),"Loading...")</f>
        <v>Loading...</v>
      </c>
      <c r="T2167" s="4">
        <v>34.6</v>
      </c>
      <c r="U2167" s="4">
        <v>22.7</v>
      </c>
      <c r="V2167" s="4">
        <v>2.6</v>
      </c>
      <c r="W2167" s="4">
        <v>5.7</v>
      </c>
      <c r="X2167" s="4">
        <v>519.92999999999995</v>
      </c>
      <c r="Y2167" s="7" t="e">
        <f t="shared" ca="1" si="44"/>
        <v>#VALUE!</v>
      </c>
    </row>
    <row r="2168" spans="1:25" ht="15" x14ac:dyDescent="0.25">
      <c r="A2168" s="4">
        <v>1998</v>
      </c>
      <c r="C2168" s="41" t="s">
        <v>4390</v>
      </c>
      <c r="D2168" s="42"/>
      <c r="E2168" s="5" t="str">
        <f t="shared" si="40"/>
        <v>https://www.screener.in/company//consolidated/</v>
      </c>
      <c r="F2168" s="4">
        <v>443059</v>
      </c>
      <c r="G2168" s="4">
        <v>3832241897</v>
      </c>
      <c r="H2168" s="6" t="e">
        <f t="shared" ca="1" si="41"/>
        <v>#VALUE!</v>
      </c>
      <c r="I2168" s="7" t="str">
        <f ca="1">IFERROR(__xludf.DUMMYFUNCTION("IMPORTXML(E2168,""/html/body/main/div[3]/div[3]/div[2]/ul/li[5]/span[2]/span"")"),"Loading...")</f>
        <v>Loading...</v>
      </c>
      <c r="J2168" s="7" t="str">
        <f ca="1">IFERROR(__xludf.DUMMYFUNCTION("GOOGLEFINANCE(""NSE:""&amp;D2168,""marketcap"")"),"#N/A")</f>
        <v>#N/A</v>
      </c>
      <c r="K2168" s="7">
        <v>992.8</v>
      </c>
      <c r="L2168" s="8" t="str">
        <f ca="1">IFERROR(__xludf.DUMMYFUNCTION("GOOGLEFINANCE(""NSE:""&amp;D2168,""price"")"),"#N/A")</f>
        <v>#N/A</v>
      </c>
      <c r="M2168" s="9" t="e">
        <f t="shared" ca="1" si="42"/>
        <v>#VALUE!</v>
      </c>
      <c r="N2168" s="10" t="e">
        <f t="shared" ca="1" si="43"/>
        <v>#VALUE!</v>
      </c>
      <c r="O2168" s="7" t="str">
        <f ca="1">IFERROR(__xludf.DUMMYFUNCTION("GOOGLEFINANCE(""NSE:""&amp;D2168,""pe"")"),"#N/A")</f>
        <v>#N/A</v>
      </c>
      <c r="P2168" s="7" t="str">
        <f ca="1">IFERROR(__xludf.DUMMYFUNCTION("GOOGLEFINANCE(""NSE:""&amp;D2168,""EPS"")"),"#N/A")</f>
        <v>#N/A</v>
      </c>
      <c r="Q2168" s="7">
        <v>13.5</v>
      </c>
      <c r="R2168" s="7" t="str">
        <f ca="1">IFERROR(__xludf.DUMMYFUNCTION("IMPORTXML(E2168,""/html/body/main/div[3]/div[3]/div[2]/ul/li[7]/span[2]/span"")"),"Loading...")</f>
        <v>Loading...</v>
      </c>
      <c r="S2168" s="7" t="str">
        <f ca="1">IFERROR(__xludf.DUMMYFUNCTION("IMPORTXML(E2168,""/html/body/main/div[3]/div[3]/div[2]/ul/li[8]/span[2]/span"")"),"Loading...")</f>
        <v>Loading...</v>
      </c>
      <c r="T2168" s="4">
        <v>34.6</v>
      </c>
      <c r="U2168" s="4">
        <v>22.7</v>
      </c>
      <c r="V2168" s="4">
        <v>2.6</v>
      </c>
      <c r="W2168" s="4">
        <v>5.7</v>
      </c>
      <c r="X2168" s="4">
        <v>519.92999999999995</v>
      </c>
      <c r="Y2168" s="7" t="e">
        <f t="shared" ca="1" si="44"/>
        <v>#VALUE!</v>
      </c>
    </row>
    <row r="2169" spans="1:25" ht="15" x14ac:dyDescent="0.25">
      <c r="A2169" s="4">
        <v>1999</v>
      </c>
      <c r="C2169" s="41" t="s">
        <v>4391</v>
      </c>
      <c r="D2169" s="42"/>
      <c r="E2169" s="5" t="str">
        <f t="shared" si="40"/>
        <v>https://www.screener.in/company//consolidated/</v>
      </c>
      <c r="F2169" s="4">
        <v>443059</v>
      </c>
      <c r="G2169" s="4">
        <v>3832241897</v>
      </c>
      <c r="H2169" s="6" t="e">
        <f t="shared" ca="1" si="41"/>
        <v>#VALUE!</v>
      </c>
      <c r="I2169" s="7" t="str">
        <f ca="1">IFERROR(__xludf.DUMMYFUNCTION("IMPORTXML(E2169,""/html/body/main/div[3]/div[3]/div[2]/ul/li[5]/span[2]/span"")"),"Loading...")</f>
        <v>Loading...</v>
      </c>
      <c r="J2169" s="7" t="str">
        <f ca="1">IFERROR(__xludf.DUMMYFUNCTION("GOOGLEFINANCE(""NSE:""&amp;D2169,""marketcap"")"),"#N/A")</f>
        <v>#N/A</v>
      </c>
      <c r="K2169" s="7">
        <v>992.8</v>
      </c>
      <c r="L2169" s="8" t="str">
        <f ca="1">IFERROR(__xludf.DUMMYFUNCTION("GOOGLEFINANCE(""NSE:""&amp;D2169,""price"")"),"#N/A")</f>
        <v>#N/A</v>
      </c>
      <c r="M2169" s="9" t="e">
        <f t="shared" ca="1" si="42"/>
        <v>#VALUE!</v>
      </c>
      <c r="N2169" s="10" t="e">
        <f t="shared" ca="1" si="43"/>
        <v>#VALUE!</v>
      </c>
      <c r="O2169" s="7" t="str">
        <f ca="1">IFERROR(__xludf.DUMMYFUNCTION("GOOGLEFINANCE(""NSE:""&amp;D2169,""pe"")"),"#N/A")</f>
        <v>#N/A</v>
      </c>
      <c r="P2169" s="7" t="str">
        <f ca="1">IFERROR(__xludf.DUMMYFUNCTION("GOOGLEFINANCE(""NSE:""&amp;D2169,""EPS"")"),"#N/A")</f>
        <v>#N/A</v>
      </c>
      <c r="Q2169" s="7">
        <v>13.5</v>
      </c>
      <c r="R2169" s="7" t="str">
        <f ca="1">IFERROR(__xludf.DUMMYFUNCTION("IMPORTXML(E2169,""/html/body/main/div[3]/div[3]/div[2]/ul/li[7]/span[2]/span"")"),"Loading...")</f>
        <v>Loading...</v>
      </c>
      <c r="S2169" s="7" t="str">
        <f ca="1">IFERROR(__xludf.DUMMYFUNCTION("IMPORTXML(E2169,""/html/body/main/div[3]/div[3]/div[2]/ul/li[8]/span[2]/span"")"),"Loading...")</f>
        <v>Loading...</v>
      </c>
      <c r="T2169" s="4">
        <v>34.6</v>
      </c>
      <c r="U2169" s="4">
        <v>22.7</v>
      </c>
      <c r="V2169" s="4">
        <v>2.6</v>
      </c>
      <c r="W2169" s="4">
        <v>5.7</v>
      </c>
      <c r="X2169" s="4">
        <v>519.92999999999995</v>
      </c>
      <c r="Y2169" s="7" t="e">
        <f t="shared" ca="1" si="44"/>
        <v>#VALUE!</v>
      </c>
    </row>
    <row r="2170" spans="1:25" ht="15" x14ac:dyDescent="0.25">
      <c r="A2170" s="4">
        <v>2000</v>
      </c>
      <c r="C2170" s="41" t="s">
        <v>4392</v>
      </c>
      <c r="D2170" s="42"/>
      <c r="E2170" s="5" t="str">
        <f t="shared" si="40"/>
        <v>https://www.screener.in/company//consolidated/</v>
      </c>
      <c r="F2170" s="4">
        <v>443059</v>
      </c>
      <c r="G2170" s="4">
        <v>3832241897</v>
      </c>
      <c r="H2170" s="6" t="e">
        <f t="shared" ca="1" si="41"/>
        <v>#VALUE!</v>
      </c>
      <c r="I2170" s="7" t="str">
        <f ca="1">IFERROR(__xludf.DUMMYFUNCTION("IMPORTXML(E2170,""/html/body/main/div[3]/div[3]/div[2]/ul/li[5]/span[2]/span"")"),"Loading...")</f>
        <v>Loading...</v>
      </c>
      <c r="J2170" s="7" t="str">
        <f ca="1">IFERROR(__xludf.DUMMYFUNCTION("GOOGLEFINANCE(""NSE:""&amp;D2170,""marketcap"")"),"#N/A")</f>
        <v>#N/A</v>
      </c>
      <c r="K2170" s="7">
        <v>992.8</v>
      </c>
      <c r="L2170" s="8" t="str">
        <f ca="1">IFERROR(__xludf.DUMMYFUNCTION("GOOGLEFINANCE(""NSE:""&amp;D2170,""price"")"),"#N/A")</f>
        <v>#N/A</v>
      </c>
      <c r="M2170" s="9" t="e">
        <f t="shared" ca="1" si="42"/>
        <v>#VALUE!</v>
      </c>
      <c r="N2170" s="10" t="e">
        <f t="shared" ca="1" si="43"/>
        <v>#VALUE!</v>
      </c>
      <c r="O2170" s="7" t="str">
        <f ca="1">IFERROR(__xludf.DUMMYFUNCTION("GOOGLEFINANCE(""NSE:""&amp;D2170,""pe"")"),"#N/A")</f>
        <v>#N/A</v>
      </c>
      <c r="P2170" s="7" t="str">
        <f ca="1">IFERROR(__xludf.DUMMYFUNCTION("GOOGLEFINANCE(""NSE:""&amp;D2170,""EPS"")"),"#N/A")</f>
        <v>#N/A</v>
      </c>
      <c r="Q2170" s="7">
        <v>13.5</v>
      </c>
      <c r="R2170" s="7" t="str">
        <f ca="1">IFERROR(__xludf.DUMMYFUNCTION("IMPORTXML(E2170,""/html/body/main/div[3]/div[3]/div[2]/ul/li[7]/span[2]/span"")"),"Loading...")</f>
        <v>Loading...</v>
      </c>
      <c r="S2170" s="7" t="str">
        <f ca="1">IFERROR(__xludf.DUMMYFUNCTION("IMPORTXML(E2170,""/html/body/main/div[3]/div[3]/div[2]/ul/li[8]/span[2]/span"")"),"Loading...")</f>
        <v>Loading...</v>
      </c>
      <c r="T2170" s="4">
        <v>34.6</v>
      </c>
      <c r="U2170" s="4">
        <v>22.7</v>
      </c>
      <c r="V2170" s="4">
        <v>2.6</v>
      </c>
      <c r="W2170" s="4">
        <v>5.7</v>
      </c>
      <c r="X2170" s="4">
        <v>519.92999999999995</v>
      </c>
      <c r="Y2170" s="7" t="e">
        <f t="shared" ca="1" si="44"/>
        <v>#VALUE!</v>
      </c>
    </row>
    <row r="2171" spans="1:25" ht="15" x14ac:dyDescent="0.25">
      <c r="A2171" s="4">
        <v>2002</v>
      </c>
      <c r="C2171" s="41" t="s">
        <v>4393</v>
      </c>
      <c r="D2171" s="42"/>
      <c r="E2171" s="5" t="str">
        <f t="shared" si="40"/>
        <v>https://www.screener.in/company//consolidated/</v>
      </c>
      <c r="F2171" s="4">
        <v>443059</v>
      </c>
      <c r="G2171" s="4">
        <v>3832241897</v>
      </c>
      <c r="H2171" s="6" t="e">
        <f t="shared" ca="1" si="41"/>
        <v>#VALUE!</v>
      </c>
      <c r="I2171" s="7" t="str">
        <f ca="1">IFERROR(__xludf.DUMMYFUNCTION("IMPORTXML(E2171,""/html/body/main/div[3]/div[3]/div[2]/ul/li[5]/span[2]/span"")"),"Loading...")</f>
        <v>Loading...</v>
      </c>
      <c r="J2171" s="7" t="str">
        <f ca="1">IFERROR(__xludf.DUMMYFUNCTION("GOOGLEFINANCE(""NSE:""&amp;D2171,""marketcap"")"),"#N/A")</f>
        <v>#N/A</v>
      </c>
      <c r="K2171" s="7">
        <v>992.8</v>
      </c>
      <c r="L2171" s="8" t="str">
        <f ca="1">IFERROR(__xludf.DUMMYFUNCTION("GOOGLEFINANCE(""NSE:""&amp;D2171,""price"")"),"#N/A")</f>
        <v>#N/A</v>
      </c>
      <c r="M2171" s="9" t="e">
        <f t="shared" ca="1" si="42"/>
        <v>#VALUE!</v>
      </c>
      <c r="N2171" s="10" t="e">
        <f t="shared" ca="1" si="43"/>
        <v>#VALUE!</v>
      </c>
      <c r="O2171" s="7" t="str">
        <f ca="1">IFERROR(__xludf.DUMMYFUNCTION("GOOGLEFINANCE(""NSE:""&amp;D2171,""pe"")"),"#N/A")</f>
        <v>#N/A</v>
      </c>
      <c r="P2171" s="7" t="str">
        <f ca="1">IFERROR(__xludf.DUMMYFUNCTION("GOOGLEFINANCE(""NSE:""&amp;D2171,""EPS"")"),"#N/A")</f>
        <v>#N/A</v>
      </c>
      <c r="Q2171" s="7">
        <v>13.5</v>
      </c>
      <c r="R2171" s="7" t="str">
        <f ca="1">IFERROR(__xludf.DUMMYFUNCTION("IMPORTXML(E2171,""/html/body/main/div[3]/div[3]/div[2]/ul/li[7]/span[2]/span"")"),"Loading...")</f>
        <v>Loading...</v>
      </c>
      <c r="S2171" s="7" t="str">
        <f ca="1">IFERROR(__xludf.DUMMYFUNCTION("IMPORTXML(E2171,""/html/body/main/div[3]/div[3]/div[2]/ul/li[8]/span[2]/span"")"),"Loading...")</f>
        <v>Loading...</v>
      </c>
      <c r="T2171" s="4">
        <v>34.6</v>
      </c>
      <c r="U2171" s="4">
        <v>22.7</v>
      </c>
      <c r="V2171" s="4">
        <v>2.6</v>
      </c>
      <c r="W2171" s="4">
        <v>5.7</v>
      </c>
      <c r="X2171" s="4">
        <v>519.92999999999995</v>
      </c>
      <c r="Y2171" s="7" t="e">
        <f t="shared" ca="1" si="44"/>
        <v>#VALUE!</v>
      </c>
    </row>
    <row r="2172" spans="1:25" ht="15" x14ac:dyDescent="0.25">
      <c r="A2172" s="4">
        <v>2003</v>
      </c>
      <c r="C2172" s="41" t="s">
        <v>4394</v>
      </c>
      <c r="D2172" s="42"/>
      <c r="E2172" s="5" t="str">
        <f t="shared" si="40"/>
        <v>https://www.screener.in/company//consolidated/</v>
      </c>
      <c r="F2172" s="4">
        <v>443059</v>
      </c>
      <c r="G2172" s="4">
        <v>3832241897</v>
      </c>
      <c r="H2172" s="6" t="e">
        <f t="shared" ca="1" si="41"/>
        <v>#VALUE!</v>
      </c>
      <c r="I2172" s="7" t="str">
        <f ca="1">IFERROR(__xludf.DUMMYFUNCTION("IMPORTXML(E2172,""/html/body/main/div[3]/div[3]/div[2]/ul/li[5]/span[2]/span"")"),"Loading...")</f>
        <v>Loading...</v>
      </c>
      <c r="J2172" s="7" t="str">
        <f ca="1">IFERROR(__xludf.DUMMYFUNCTION("GOOGLEFINANCE(""NSE:""&amp;D2172,""marketcap"")"),"#N/A")</f>
        <v>#N/A</v>
      </c>
      <c r="K2172" s="7">
        <v>992.8</v>
      </c>
      <c r="L2172" s="8" t="str">
        <f ca="1">IFERROR(__xludf.DUMMYFUNCTION("GOOGLEFINANCE(""NSE:""&amp;D2172,""price"")"),"#N/A")</f>
        <v>#N/A</v>
      </c>
      <c r="M2172" s="9" t="e">
        <f t="shared" ca="1" si="42"/>
        <v>#VALUE!</v>
      </c>
      <c r="N2172" s="10" t="e">
        <f t="shared" ca="1" si="43"/>
        <v>#VALUE!</v>
      </c>
      <c r="O2172" s="7" t="str">
        <f ca="1">IFERROR(__xludf.DUMMYFUNCTION("GOOGLEFINANCE(""NSE:""&amp;D2172,""pe"")"),"#N/A")</f>
        <v>#N/A</v>
      </c>
      <c r="P2172" s="7" t="str">
        <f ca="1">IFERROR(__xludf.DUMMYFUNCTION("GOOGLEFINANCE(""NSE:""&amp;D2172,""EPS"")"),"#N/A")</f>
        <v>#N/A</v>
      </c>
      <c r="Q2172" s="7">
        <v>13.5</v>
      </c>
      <c r="R2172" s="7" t="str">
        <f ca="1">IFERROR(__xludf.DUMMYFUNCTION("IMPORTXML(E2172,""/html/body/main/div[3]/div[3]/div[2]/ul/li[7]/span[2]/span"")"),"Loading...")</f>
        <v>Loading...</v>
      </c>
      <c r="S2172" s="7" t="str">
        <f ca="1">IFERROR(__xludf.DUMMYFUNCTION("IMPORTXML(E2172,""/html/body/main/div[3]/div[3]/div[2]/ul/li[8]/span[2]/span"")"),"Loading...")</f>
        <v>Loading...</v>
      </c>
      <c r="T2172" s="4">
        <v>34.6</v>
      </c>
      <c r="U2172" s="4">
        <v>22.7</v>
      </c>
      <c r="V2172" s="4">
        <v>2.6</v>
      </c>
      <c r="W2172" s="4">
        <v>5.7</v>
      </c>
      <c r="X2172" s="4">
        <v>519.92999999999995</v>
      </c>
      <c r="Y2172" s="7" t="e">
        <f t="shared" ca="1" si="44"/>
        <v>#VALUE!</v>
      </c>
    </row>
    <row r="2173" spans="1:25" ht="15" x14ac:dyDescent="0.25">
      <c r="A2173" s="4">
        <v>2004</v>
      </c>
      <c r="C2173" s="41" t="s">
        <v>4395</v>
      </c>
      <c r="D2173" s="42"/>
      <c r="E2173" s="5" t="str">
        <f t="shared" si="40"/>
        <v>https://www.screener.in/company//consolidated/</v>
      </c>
      <c r="F2173" s="4">
        <v>443059</v>
      </c>
      <c r="G2173" s="4">
        <v>3832241897</v>
      </c>
      <c r="H2173" s="6" t="e">
        <f t="shared" ca="1" si="41"/>
        <v>#VALUE!</v>
      </c>
      <c r="I2173" s="7" t="str">
        <f ca="1">IFERROR(__xludf.DUMMYFUNCTION("IMPORTXML(E2173,""/html/body/main/div[3]/div[3]/div[2]/ul/li[5]/span[2]/span"")"),"Loading...")</f>
        <v>Loading...</v>
      </c>
      <c r="J2173" s="7" t="str">
        <f ca="1">IFERROR(__xludf.DUMMYFUNCTION("GOOGLEFINANCE(""NSE:""&amp;D2173,""marketcap"")"),"#N/A")</f>
        <v>#N/A</v>
      </c>
      <c r="K2173" s="7">
        <v>992.8</v>
      </c>
      <c r="L2173" s="8" t="str">
        <f ca="1">IFERROR(__xludf.DUMMYFUNCTION("GOOGLEFINANCE(""NSE:""&amp;D2173,""price"")"),"#N/A")</f>
        <v>#N/A</v>
      </c>
      <c r="M2173" s="9" t="e">
        <f t="shared" ca="1" si="42"/>
        <v>#VALUE!</v>
      </c>
      <c r="N2173" s="10" t="e">
        <f t="shared" ca="1" si="43"/>
        <v>#VALUE!</v>
      </c>
      <c r="O2173" s="7" t="str">
        <f ca="1">IFERROR(__xludf.DUMMYFUNCTION("GOOGLEFINANCE(""NSE:""&amp;D2173,""pe"")"),"#N/A")</f>
        <v>#N/A</v>
      </c>
      <c r="P2173" s="7" t="str">
        <f ca="1">IFERROR(__xludf.DUMMYFUNCTION("GOOGLEFINANCE(""NSE:""&amp;D2173,""EPS"")"),"#N/A")</f>
        <v>#N/A</v>
      </c>
      <c r="Q2173" s="7">
        <v>13.5</v>
      </c>
      <c r="R2173" s="7" t="str">
        <f ca="1">IFERROR(__xludf.DUMMYFUNCTION("IMPORTXML(E2173,""/html/body/main/div[3]/div[3]/div[2]/ul/li[7]/span[2]/span"")"),"Loading...")</f>
        <v>Loading...</v>
      </c>
      <c r="S2173" s="7" t="str">
        <f ca="1">IFERROR(__xludf.DUMMYFUNCTION("IMPORTXML(E2173,""/html/body/main/div[3]/div[3]/div[2]/ul/li[8]/span[2]/span"")"),"Loading...")</f>
        <v>Loading...</v>
      </c>
      <c r="T2173" s="4">
        <v>34.6</v>
      </c>
      <c r="U2173" s="4">
        <v>22.7</v>
      </c>
      <c r="V2173" s="4">
        <v>2.6</v>
      </c>
      <c r="W2173" s="4">
        <v>5.7</v>
      </c>
      <c r="X2173" s="4">
        <v>519.92999999999995</v>
      </c>
      <c r="Y2173" s="7" t="e">
        <f t="shared" ca="1" si="44"/>
        <v>#VALUE!</v>
      </c>
    </row>
    <row r="2174" spans="1:25" ht="15" x14ac:dyDescent="0.25">
      <c r="A2174" s="4">
        <v>2006</v>
      </c>
      <c r="C2174" s="41" t="s">
        <v>4396</v>
      </c>
      <c r="D2174" s="42"/>
      <c r="E2174" s="5" t="str">
        <f t="shared" si="40"/>
        <v>https://www.screener.in/company//consolidated/</v>
      </c>
      <c r="F2174" s="4">
        <v>443059</v>
      </c>
      <c r="G2174" s="4">
        <v>3832241897</v>
      </c>
      <c r="H2174" s="6" t="e">
        <f t="shared" ca="1" si="41"/>
        <v>#VALUE!</v>
      </c>
      <c r="I2174" s="7" t="str">
        <f ca="1">IFERROR(__xludf.DUMMYFUNCTION("IMPORTXML(E2174,""/html/body/main/div[3]/div[3]/div[2]/ul/li[5]/span[2]/span"")"),"Loading...")</f>
        <v>Loading...</v>
      </c>
      <c r="J2174" s="7" t="str">
        <f ca="1">IFERROR(__xludf.DUMMYFUNCTION("GOOGLEFINANCE(""NSE:""&amp;D2174,""marketcap"")"),"#N/A")</f>
        <v>#N/A</v>
      </c>
      <c r="K2174" s="7">
        <v>992.8</v>
      </c>
      <c r="L2174" s="8" t="str">
        <f ca="1">IFERROR(__xludf.DUMMYFUNCTION("GOOGLEFINANCE(""NSE:""&amp;D2174,""price"")"),"#N/A")</f>
        <v>#N/A</v>
      </c>
      <c r="M2174" s="9" t="e">
        <f t="shared" ca="1" si="42"/>
        <v>#VALUE!</v>
      </c>
      <c r="N2174" s="10" t="e">
        <f t="shared" ca="1" si="43"/>
        <v>#VALUE!</v>
      </c>
      <c r="O2174" s="7" t="str">
        <f ca="1">IFERROR(__xludf.DUMMYFUNCTION("GOOGLEFINANCE(""NSE:""&amp;D2174,""pe"")"),"#N/A")</f>
        <v>#N/A</v>
      </c>
      <c r="P2174" s="7" t="str">
        <f ca="1">IFERROR(__xludf.DUMMYFUNCTION("GOOGLEFINANCE(""NSE:""&amp;D2174,""EPS"")"),"#N/A")</f>
        <v>#N/A</v>
      </c>
      <c r="Q2174" s="7">
        <v>13.5</v>
      </c>
      <c r="R2174" s="7" t="str">
        <f ca="1">IFERROR(__xludf.DUMMYFUNCTION("IMPORTXML(E2174,""/html/body/main/div[3]/div[3]/div[2]/ul/li[7]/span[2]/span"")"),"Loading...")</f>
        <v>Loading...</v>
      </c>
      <c r="S2174" s="7" t="str">
        <f ca="1">IFERROR(__xludf.DUMMYFUNCTION("IMPORTXML(E2174,""/html/body/main/div[3]/div[3]/div[2]/ul/li[8]/span[2]/span"")"),"Loading...")</f>
        <v>Loading...</v>
      </c>
      <c r="T2174" s="4">
        <v>34.6</v>
      </c>
      <c r="U2174" s="4">
        <v>22.7</v>
      </c>
      <c r="V2174" s="4">
        <v>2.6</v>
      </c>
      <c r="W2174" s="4">
        <v>5.7</v>
      </c>
      <c r="X2174" s="4">
        <v>519.92999999999995</v>
      </c>
      <c r="Y2174" s="7" t="e">
        <f t="shared" ca="1" si="44"/>
        <v>#VALUE!</v>
      </c>
    </row>
    <row r="2175" spans="1:25" ht="15" x14ac:dyDescent="0.25">
      <c r="A2175" s="4">
        <v>2007</v>
      </c>
      <c r="C2175" s="41" t="s">
        <v>4397</v>
      </c>
      <c r="D2175" s="42"/>
      <c r="E2175" s="5" t="str">
        <f t="shared" si="40"/>
        <v>https://www.screener.in/company//consolidated/</v>
      </c>
      <c r="F2175" s="4">
        <v>443059</v>
      </c>
      <c r="G2175" s="4">
        <v>3832241897</v>
      </c>
      <c r="H2175" s="6" t="e">
        <f t="shared" ca="1" si="41"/>
        <v>#VALUE!</v>
      </c>
      <c r="I2175" s="7" t="str">
        <f ca="1">IFERROR(__xludf.DUMMYFUNCTION("IMPORTXML(E2175,""/html/body/main/div[3]/div[3]/div[2]/ul/li[5]/span[2]/span"")"),"Loading...")</f>
        <v>Loading...</v>
      </c>
      <c r="J2175" s="7" t="str">
        <f ca="1">IFERROR(__xludf.DUMMYFUNCTION("GOOGLEFINANCE(""NSE:""&amp;D2175,""marketcap"")"),"#N/A")</f>
        <v>#N/A</v>
      </c>
      <c r="K2175" s="7">
        <v>992.8</v>
      </c>
      <c r="L2175" s="8" t="str">
        <f ca="1">IFERROR(__xludf.DUMMYFUNCTION("GOOGLEFINANCE(""NSE:""&amp;D2175,""price"")"),"#N/A")</f>
        <v>#N/A</v>
      </c>
      <c r="M2175" s="9" t="e">
        <f t="shared" ca="1" si="42"/>
        <v>#VALUE!</v>
      </c>
      <c r="N2175" s="10" t="e">
        <f t="shared" ca="1" si="43"/>
        <v>#VALUE!</v>
      </c>
      <c r="O2175" s="7" t="str">
        <f ca="1">IFERROR(__xludf.DUMMYFUNCTION("GOOGLEFINANCE(""NSE:""&amp;D2175,""pe"")"),"#N/A")</f>
        <v>#N/A</v>
      </c>
      <c r="P2175" s="7" t="str">
        <f ca="1">IFERROR(__xludf.DUMMYFUNCTION("GOOGLEFINANCE(""NSE:""&amp;D2175,""EPS"")"),"#N/A")</f>
        <v>#N/A</v>
      </c>
      <c r="Q2175" s="7">
        <v>13.5</v>
      </c>
      <c r="R2175" s="7" t="str">
        <f ca="1">IFERROR(__xludf.DUMMYFUNCTION("IMPORTXML(E2175,""/html/body/main/div[3]/div[3]/div[2]/ul/li[7]/span[2]/span"")"),"Loading...")</f>
        <v>Loading...</v>
      </c>
      <c r="S2175" s="7" t="str">
        <f ca="1">IFERROR(__xludf.DUMMYFUNCTION("IMPORTXML(E2175,""/html/body/main/div[3]/div[3]/div[2]/ul/li[8]/span[2]/span"")"),"Loading...")</f>
        <v>Loading...</v>
      </c>
      <c r="T2175" s="4">
        <v>34.6</v>
      </c>
      <c r="U2175" s="4">
        <v>22.7</v>
      </c>
      <c r="V2175" s="4">
        <v>2.6</v>
      </c>
      <c r="W2175" s="4">
        <v>5.7</v>
      </c>
      <c r="X2175" s="4">
        <v>519.92999999999995</v>
      </c>
      <c r="Y2175" s="7" t="e">
        <f t="shared" ca="1" si="44"/>
        <v>#VALUE!</v>
      </c>
    </row>
    <row r="2176" spans="1:25" ht="15" x14ac:dyDescent="0.25">
      <c r="A2176" s="4">
        <v>2009</v>
      </c>
      <c r="C2176" s="41" t="s">
        <v>4398</v>
      </c>
      <c r="D2176" s="42"/>
      <c r="E2176" s="5" t="str">
        <f t="shared" si="40"/>
        <v>https://www.screener.in/company//consolidated/</v>
      </c>
      <c r="F2176" s="4">
        <v>443059</v>
      </c>
      <c r="G2176" s="4">
        <v>3832241897</v>
      </c>
      <c r="H2176" s="6" t="e">
        <f t="shared" ca="1" si="41"/>
        <v>#VALUE!</v>
      </c>
      <c r="I2176" s="7" t="str">
        <f ca="1">IFERROR(__xludf.DUMMYFUNCTION("IMPORTXML(E2176,""/html/body/main/div[3]/div[3]/div[2]/ul/li[5]/span[2]/span"")"),"Loading...")</f>
        <v>Loading...</v>
      </c>
      <c r="J2176" s="7" t="str">
        <f ca="1">IFERROR(__xludf.DUMMYFUNCTION("GOOGLEFINANCE(""NSE:""&amp;D2176,""marketcap"")"),"#N/A")</f>
        <v>#N/A</v>
      </c>
      <c r="K2176" s="7">
        <v>992.8</v>
      </c>
      <c r="L2176" s="8" t="str">
        <f ca="1">IFERROR(__xludf.DUMMYFUNCTION("GOOGLEFINANCE(""NSE:""&amp;D2176,""price"")"),"#N/A")</f>
        <v>#N/A</v>
      </c>
      <c r="M2176" s="9" t="e">
        <f t="shared" ca="1" si="42"/>
        <v>#VALUE!</v>
      </c>
      <c r="N2176" s="10" t="e">
        <f t="shared" ca="1" si="43"/>
        <v>#VALUE!</v>
      </c>
      <c r="O2176" s="7" t="str">
        <f ca="1">IFERROR(__xludf.DUMMYFUNCTION("GOOGLEFINANCE(""NSE:""&amp;D2176,""pe"")"),"#N/A")</f>
        <v>#N/A</v>
      </c>
      <c r="P2176" s="7" t="str">
        <f ca="1">IFERROR(__xludf.DUMMYFUNCTION("GOOGLEFINANCE(""NSE:""&amp;D2176,""EPS"")"),"#N/A")</f>
        <v>#N/A</v>
      </c>
      <c r="Q2176" s="7">
        <v>13.5</v>
      </c>
      <c r="R2176" s="7" t="str">
        <f ca="1">IFERROR(__xludf.DUMMYFUNCTION("IMPORTXML(E2176,""/html/body/main/div[3]/div[3]/div[2]/ul/li[7]/span[2]/span"")"),"Loading...")</f>
        <v>Loading...</v>
      </c>
      <c r="S2176" s="7" t="str">
        <f ca="1">IFERROR(__xludf.DUMMYFUNCTION("IMPORTXML(E2176,""/html/body/main/div[3]/div[3]/div[2]/ul/li[8]/span[2]/span"")"),"Loading...")</f>
        <v>Loading...</v>
      </c>
      <c r="T2176" s="4">
        <v>34.6</v>
      </c>
      <c r="U2176" s="4">
        <v>22.7</v>
      </c>
      <c r="V2176" s="4">
        <v>2.6</v>
      </c>
      <c r="W2176" s="4">
        <v>5.7</v>
      </c>
      <c r="X2176" s="4">
        <v>519.92999999999995</v>
      </c>
      <c r="Y2176" s="7" t="e">
        <f t="shared" ca="1" si="44"/>
        <v>#VALUE!</v>
      </c>
    </row>
    <row r="2177" spans="1:25" ht="15" x14ac:dyDescent="0.25">
      <c r="A2177" s="4">
        <v>2010</v>
      </c>
      <c r="C2177" s="41" t="s">
        <v>4399</v>
      </c>
      <c r="D2177" s="42"/>
      <c r="E2177" s="5" t="str">
        <f t="shared" si="40"/>
        <v>https://www.screener.in/company//consolidated/</v>
      </c>
      <c r="F2177" s="4">
        <v>443059</v>
      </c>
      <c r="G2177" s="4">
        <v>3832241897</v>
      </c>
      <c r="H2177" s="6" t="e">
        <f t="shared" ca="1" si="41"/>
        <v>#VALUE!</v>
      </c>
      <c r="I2177" s="7" t="str">
        <f ca="1">IFERROR(__xludf.DUMMYFUNCTION("IMPORTXML(E2177,""/html/body/main/div[3]/div[3]/div[2]/ul/li[5]/span[2]/span"")"),"Loading...")</f>
        <v>Loading...</v>
      </c>
      <c r="J2177" s="7" t="str">
        <f ca="1">IFERROR(__xludf.DUMMYFUNCTION("GOOGLEFINANCE(""NSE:""&amp;D2177,""marketcap"")"),"#N/A")</f>
        <v>#N/A</v>
      </c>
      <c r="K2177" s="7">
        <v>992.8</v>
      </c>
      <c r="L2177" s="8" t="str">
        <f ca="1">IFERROR(__xludf.DUMMYFUNCTION("GOOGLEFINANCE(""NSE:""&amp;D2177,""price"")"),"#N/A")</f>
        <v>#N/A</v>
      </c>
      <c r="M2177" s="9" t="e">
        <f t="shared" ca="1" si="42"/>
        <v>#VALUE!</v>
      </c>
      <c r="N2177" s="10" t="e">
        <f t="shared" ca="1" si="43"/>
        <v>#VALUE!</v>
      </c>
      <c r="O2177" s="7" t="str">
        <f ca="1">IFERROR(__xludf.DUMMYFUNCTION("GOOGLEFINANCE(""NSE:""&amp;D2177,""pe"")"),"#N/A")</f>
        <v>#N/A</v>
      </c>
      <c r="P2177" s="7" t="str">
        <f ca="1">IFERROR(__xludf.DUMMYFUNCTION("GOOGLEFINANCE(""NSE:""&amp;D2177,""EPS"")"),"#N/A")</f>
        <v>#N/A</v>
      </c>
      <c r="Q2177" s="7">
        <v>13.5</v>
      </c>
      <c r="R2177" s="7" t="str">
        <f ca="1">IFERROR(__xludf.DUMMYFUNCTION("IMPORTXML(E2177,""/html/body/main/div[3]/div[3]/div[2]/ul/li[7]/span[2]/span"")"),"Loading...")</f>
        <v>Loading...</v>
      </c>
      <c r="S2177" s="7" t="str">
        <f ca="1">IFERROR(__xludf.DUMMYFUNCTION("IMPORTXML(E2177,""/html/body/main/div[3]/div[3]/div[2]/ul/li[8]/span[2]/span"")"),"Loading...")</f>
        <v>Loading...</v>
      </c>
      <c r="T2177" s="4">
        <v>34.6</v>
      </c>
      <c r="U2177" s="4">
        <v>22.7</v>
      </c>
      <c r="V2177" s="4">
        <v>2.6</v>
      </c>
      <c r="W2177" s="4">
        <v>5.7</v>
      </c>
      <c r="X2177" s="4">
        <v>519.92999999999995</v>
      </c>
      <c r="Y2177" s="7" t="e">
        <f t="shared" ca="1" si="44"/>
        <v>#VALUE!</v>
      </c>
    </row>
    <row r="2178" spans="1:25" ht="15" x14ac:dyDescent="0.25">
      <c r="A2178" s="4">
        <v>2011</v>
      </c>
      <c r="C2178" s="41" t="s">
        <v>4400</v>
      </c>
      <c r="D2178" s="42"/>
      <c r="E2178" s="5" t="str">
        <f t="shared" si="40"/>
        <v>https://www.screener.in/company//consolidated/</v>
      </c>
      <c r="F2178" s="4">
        <v>443059</v>
      </c>
      <c r="G2178" s="4">
        <v>3832241897</v>
      </c>
      <c r="H2178" s="6" t="e">
        <f t="shared" ca="1" si="41"/>
        <v>#VALUE!</v>
      </c>
      <c r="I2178" s="7" t="str">
        <f ca="1">IFERROR(__xludf.DUMMYFUNCTION("IMPORTXML(E2178,""/html/body/main/div[3]/div[3]/div[2]/ul/li[5]/span[2]/span"")"),"Loading...")</f>
        <v>Loading...</v>
      </c>
      <c r="J2178" s="7" t="str">
        <f ca="1">IFERROR(__xludf.DUMMYFUNCTION("GOOGLEFINANCE(""NSE:""&amp;D2178,""marketcap"")"),"#N/A")</f>
        <v>#N/A</v>
      </c>
      <c r="K2178" s="7">
        <v>992.8</v>
      </c>
      <c r="L2178" s="8" t="str">
        <f ca="1">IFERROR(__xludf.DUMMYFUNCTION("GOOGLEFINANCE(""NSE:""&amp;D2178,""price"")"),"#N/A")</f>
        <v>#N/A</v>
      </c>
      <c r="M2178" s="9" t="e">
        <f t="shared" ca="1" si="42"/>
        <v>#VALUE!</v>
      </c>
      <c r="N2178" s="10" t="e">
        <f t="shared" ca="1" si="43"/>
        <v>#VALUE!</v>
      </c>
      <c r="O2178" s="7" t="str">
        <f ca="1">IFERROR(__xludf.DUMMYFUNCTION("GOOGLEFINANCE(""NSE:""&amp;D2178,""pe"")"),"#N/A")</f>
        <v>#N/A</v>
      </c>
      <c r="P2178" s="7" t="str">
        <f ca="1">IFERROR(__xludf.DUMMYFUNCTION("GOOGLEFINANCE(""NSE:""&amp;D2178,""EPS"")"),"#N/A")</f>
        <v>#N/A</v>
      </c>
      <c r="Q2178" s="7">
        <v>13.5</v>
      </c>
      <c r="R2178" s="7" t="str">
        <f ca="1">IFERROR(__xludf.DUMMYFUNCTION("IMPORTXML(E2178,""/html/body/main/div[3]/div[3]/div[2]/ul/li[7]/span[2]/span"")"),"Loading...")</f>
        <v>Loading...</v>
      </c>
      <c r="S2178" s="7" t="str">
        <f ca="1">IFERROR(__xludf.DUMMYFUNCTION("IMPORTXML(E2178,""/html/body/main/div[3]/div[3]/div[2]/ul/li[8]/span[2]/span"")"),"Loading...")</f>
        <v>Loading...</v>
      </c>
      <c r="T2178" s="4">
        <v>34.6</v>
      </c>
      <c r="U2178" s="4">
        <v>22.7</v>
      </c>
      <c r="V2178" s="4">
        <v>2.6</v>
      </c>
      <c r="W2178" s="4">
        <v>5.7</v>
      </c>
      <c r="X2178" s="4">
        <v>519.92999999999995</v>
      </c>
      <c r="Y2178" s="7" t="e">
        <f t="shared" ca="1" si="44"/>
        <v>#VALUE!</v>
      </c>
    </row>
    <row r="2179" spans="1:25" ht="15" x14ac:dyDescent="0.25">
      <c r="A2179" s="4">
        <v>2012</v>
      </c>
      <c r="C2179" s="41" t="s">
        <v>4401</v>
      </c>
      <c r="D2179" s="42"/>
      <c r="E2179" s="5" t="str">
        <f t="shared" si="40"/>
        <v>https://www.screener.in/company//consolidated/</v>
      </c>
      <c r="F2179" s="4">
        <v>443059</v>
      </c>
      <c r="G2179" s="4">
        <v>3832241897</v>
      </c>
      <c r="H2179" s="6" t="e">
        <f t="shared" ca="1" si="41"/>
        <v>#VALUE!</v>
      </c>
      <c r="I2179" s="7" t="str">
        <f ca="1">IFERROR(__xludf.DUMMYFUNCTION("IMPORTXML(E2179,""/html/body/main/div[3]/div[3]/div[2]/ul/li[5]/span[2]/span"")"),"Loading...")</f>
        <v>Loading...</v>
      </c>
      <c r="J2179" s="7" t="str">
        <f ca="1">IFERROR(__xludf.DUMMYFUNCTION("GOOGLEFINANCE(""NSE:""&amp;D2179,""marketcap"")"),"#N/A")</f>
        <v>#N/A</v>
      </c>
      <c r="K2179" s="7">
        <v>992.8</v>
      </c>
      <c r="L2179" s="8" t="str">
        <f ca="1">IFERROR(__xludf.DUMMYFUNCTION("GOOGLEFINANCE(""NSE:""&amp;D2179,""price"")"),"#N/A")</f>
        <v>#N/A</v>
      </c>
      <c r="M2179" s="9" t="e">
        <f t="shared" ca="1" si="42"/>
        <v>#VALUE!</v>
      </c>
      <c r="N2179" s="10" t="e">
        <f t="shared" ca="1" si="43"/>
        <v>#VALUE!</v>
      </c>
      <c r="O2179" s="7" t="str">
        <f ca="1">IFERROR(__xludf.DUMMYFUNCTION("GOOGLEFINANCE(""NSE:""&amp;D2179,""pe"")"),"#N/A")</f>
        <v>#N/A</v>
      </c>
      <c r="P2179" s="7" t="str">
        <f ca="1">IFERROR(__xludf.DUMMYFUNCTION("GOOGLEFINANCE(""NSE:""&amp;D2179,""EPS"")"),"#N/A")</f>
        <v>#N/A</v>
      </c>
      <c r="Q2179" s="7">
        <v>13.5</v>
      </c>
      <c r="R2179" s="7" t="str">
        <f ca="1">IFERROR(__xludf.DUMMYFUNCTION("IMPORTXML(E2179,""/html/body/main/div[3]/div[3]/div[2]/ul/li[7]/span[2]/span"")"),"Loading...")</f>
        <v>Loading...</v>
      </c>
      <c r="S2179" s="7" t="str">
        <f ca="1">IFERROR(__xludf.DUMMYFUNCTION("IMPORTXML(E2179,""/html/body/main/div[3]/div[3]/div[2]/ul/li[8]/span[2]/span"")"),"Loading...")</f>
        <v>Loading...</v>
      </c>
      <c r="T2179" s="4">
        <v>34.6</v>
      </c>
      <c r="U2179" s="4">
        <v>22.7</v>
      </c>
      <c r="V2179" s="4">
        <v>2.6</v>
      </c>
      <c r="W2179" s="4">
        <v>5.7</v>
      </c>
      <c r="X2179" s="4">
        <v>519.92999999999995</v>
      </c>
      <c r="Y2179" s="7" t="e">
        <f t="shared" ca="1" si="44"/>
        <v>#VALUE!</v>
      </c>
    </row>
    <row r="2180" spans="1:25" ht="15" x14ac:dyDescent="0.25">
      <c r="A2180" s="4">
        <v>2013</v>
      </c>
      <c r="C2180" s="41" t="s">
        <v>4402</v>
      </c>
      <c r="D2180" s="42"/>
      <c r="E2180" s="5" t="str">
        <f t="shared" si="40"/>
        <v>https://www.screener.in/company//consolidated/</v>
      </c>
      <c r="F2180" s="4">
        <v>443059</v>
      </c>
      <c r="G2180" s="4">
        <v>3832241897</v>
      </c>
      <c r="H2180" s="6" t="e">
        <f t="shared" ca="1" si="41"/>
        <v>#VALUE!</v>
      </c>
      <c r="I2180" s="7" t="str">
        <f ca="1">IFERROR(__xludf.DUMMYFUNCTION("IMPORTXML(E2180,""/html/body/main/div[3]/div[3]/div[2]/ul/li[5]/span[2]/span"")"),"Loading...")</f>
        <v>Loading...</v>
      </c>
      <c r="J2180" s="7" t="str">
        <f ca="1">IFERROR(__xludf.DUMMYFUNCTION("GOOGLEFINANCE(""NSE:""&amp;D2180,""marketcap"")"),"#N/A")</f>
        <v>#N/A</v>
      </c>
      <c r="K2180" s="7">
        <v>992.8</v>
      </c>
      <c r="L2180" s="8" t="str">
        <f ca="1">IFERROR(__xludf.DUMMYFUNCTION("GOOGLEFINANCE(""NSE:""&amp;D2180,""price"")"),"#N/A")</f>
        <v>#N/A</v>
      </c>
      <c r="M2180" s="9" t="e">
        <f t="shared" ca="1" si="42"/>
        <v>#VALUE!</v>
      </c>
      <c r="N2180" s="10" t="e">
        <f t="shared" ca="1" si="43"/>
        <v>#VALUE!</v>
      </c>
      <c r="O2180" s="7" t="str">
        <f ca="1">IFERROR(__xludf.DUMMYFUNCTION("GOOGLEFINANCE(""NSE:""&amp;D2180,""pe"")"),"#N/A")</f>
        <v>#N/A</v>
      </c>
      <c r="P2180" s="7" t="str">
        <f ca="1">IFERROR(__xludf.DUMMYFUNCTION("GOOGLEFINANCE(""NSE:""&amp;D2180,""EPS"")"),"#N/A")</f>
        <v>#N/A</v>
      </c>
      <c r="Q2180" s="7">
        <v>13.5</v>
      </c>
      <c r="R2180" s="7" t="str">
        <f ca="1">IFERROR(__xludf.DUMMYFUNCTION("IMPORTXML(E2180,""/html/body/main/div[3]/div[3]/div[2]/ul/li[7]/span[2]/span"")"),"Loading...")</f>
        <v>Loading...</v>
      </c>
      <c r="S2180" s="7" t="str">
        <f ca="1">IFERROR(__xludf.DUMMYFUNCTION("IMPORTXML(E2180,""/html/body/main/div[3]/div[3]/div[2]/ul/li[8]/span[2]/span"")"),"Loading...")</f>
        <v>Loading...</v>
      </c>
      <c r="T2180" s="4">
        <v>34.6</v>
      </c>
      <c r="U2180" s="4">
        <v>22.7</v>
      </c>
      <c r="V2180" s="4">
        <v>2.6</v>
      </c>
      <c r="W2180" s="4">
        <v>5.7</v>
      </c>
      <c r="X2180" s="4">
        <v>519.92999999999995</v>
      </c>
      <c r="Y2180" s="7" t="e">
        <f t="shared" ca="1" si="44"/>
        <v>#VALUE!</v>
      </c>
    </row>
    <row r="2181" spans="1:25" ht="15" x14ac:dyDescent="0.25">
      <c r="A2181" s="4">
        <v>2016</v>
      </c>
      <c r="C2181" s="12" t="s">
        <v>4403</v>
      </c>
      <c r="D2181" s="37"/>
      <c r="E2181" s="5" t="str">
        <f t="shared" si="40"/>
        <v>https://www.screener.in/company//consolidated/</v>
      </c>
      <c r="F2181" s="4">
        <v>443059</v>
      </c>
      <c r="G2181" s="4">
        <v>3832241897</v>
      </c>
      <c r="H2181" s="6" t="e">
        <f t="shared" ca="1" si="41"/>
        <v>#VALUE!</v>
      </c>
      <c r="I2181" s="7" t="str">
        <f ca="1">IFERROR(__xludf.DUMMYFUNCTION("IMPORTXML(E2181,""/html/body/main/div[3]/div[3]/div[2]/ul/li[5]/span[2]/span"")"),"Loading...")</f>
        <v>Loading...</v>
      </c>
      <c r="J2181" s="7" t="str">
        <f ca="1">IFERROR(__xludf.DUMMYFUNCTION("GOOGLEFINANCE(""NSE:""&amp;D2181,""marketcap"")"),"#N/A")</f>
        <v>#N/A</v>
      </c>
      <c r="K2181" s="7">
        <v>992.8</v>
      </c>
      <c r="L2181" s="8" t="str">
        <f ca="1">IFERROR(__xludf.DUMMYFUNCTION("GOOGLEFINANCE(""NSE:""&amp;D2181,""price"")"),"#N/A")</f>
        <v>#N/A</v>
      </c>
      <c r="M2181" s="9" t="e">
        <f t="shared" ca="1" si="42"/>
        <v>#VALUE!</v>
      </c>
      <c r="N2181" s="10" t="e">
        <f t="shared" ca="1" si="43"/>
        <v>#VALUE!</v>
      </c>
      <c r="O2181" s="7" t="str">
        <f ca="1">IFERROR(__xludf.DUMMYFUNCTION("GOOGLEFINANCE(""NSE:""&amp;D2181,""pe"")"),"#N/A")</f>
        <v>#N/A</v>
      </c>
      <c r="P2181" s="7" t="str">
        <f ca="1">IFERROR(__xludf.DUMMYFUNCTION("GOOGLEFINANCE(""NSE:""&amp;D2181,""EPS"")"),"#N/A")</f>
        <v>#N/A</v>
      </c>
      <c r="Q2181" s="7">
        <v>13.5</v>
      </c>
      <c r="R2181" s="7" t="str">
        <f ca="1">IFERROR(__xludf.DUMMYFUNCTION("IMPORTXML(E2181,""/html/body/main/div[3]/div[3]/div[2]/ul/li[7]/span[2]/span"")"),"Loading...")</f>
        <v>Loading...</v>
      </c>
      <c r="S2181" s="7" t="str">
        <f ca="1">IFERROR(__xludf.DUMMYFUNCTION("IMPORTXML(E2181,""/html/body/main/div[3]/div[3]/div[2]/ul/li[8]/span[2]/span"")"),"Loading...")</f>
        <v>Loading...</v>
      </c>
      <c r="T2181" s="4">
        <v>34.6</v>
      </c>
      <c r="U2181" s="4">
        <v>22.7</v>
      </c>
      <c r="V2181" s="4">
        <v>2.6</v>
      </c>
      <c r="W2181" s="4">
        <v>5.7</v>
      </c>
      <c r="X2181" s="4">
        <v>519.92999999999995</v>
      </c>
      <c r="Y2181" s="7" t="e">
        <f t="shared" ca="1" si="44"/>
        <v>#VALUE!</v>
      </c>
    </row>
    <row r="2182" spans="1:25" ht="15" x14ac:dyDescent="0.25">
      <c r="A2182" s="4">
        <v>2017</v>
      </c>
      <c r="C2182" s="41" t="s">
        <v>4404</v>
      </c>
      <c r="D2182" s="42"/>
      <c r="E2182" s="5" t="str">
        <f t="shared" si="40"/>
        <v>https://www.screener.in/company//consolidated/</v>
      </c>
      <c r="F2182" s="4">
        <v>443059</v>
      </c>
      <c r="G2182" s="4">
        <v>3832241897</v>
      </c>
      <c r="H2182" s="6" t="e">
        <f t="shared" ca="1" si="41"/>
        <v>#VALUE!</v>
      </c>
      <c r="I2182" s="7" t="str">
        <f ca="1">IFERROR(__xludf.DUMMYFUNCTION("IMPORTXML(E2182,""/html/body/main/div[3]/div[3]/div[2]/ul/li[5]/span[2]/span"")"),"Loading...")</f>
        <v>Loading...</v>
      </c>
      <c r="J2182" s="7" t="str">
        <f ca="1">IFERROR(__xludf.DUMMYFUNCTION("GOOGLEFINANCE(""NSE:""&amp;D2182,""marketcap"")"),"#N/A")</f>
        <v>#N/A</v>
      </c>
      <c r="K2182" s="7">
        <v>992.8</v>
      </c>
      <c r="L2182" s="8" t="str">
        <f ca="1">IFERROR(__xludf.DUMMYFUNCTION("GOOGLEFINANCE(""NSE:""&amp;D2182,""price"")"),"#N/A")</f>
        <v>#N/A</v>
      </c>
      <c r="M2182" s="9" t="e">
        <f t="shared" ca="1" si="42"/>
        <v>#VALUE!</v>
      </c>
      <c r="N2182" s="10" t="e">
        <f t="shared" ca="1" si="43"/>
        <v>#VALUE!</v>
      </c>
      <c r="O2182" s="7" t="str">
        <f ca="1">IFERROR(__xludf.DUMMYFUNCTION("GOOGLEFINANCE(""NSE:""&amp;D2182,""pe"")"),"#N/A")</f>
        <v>#N/A</v>
      </c>
      <c r="P2182" s="7" t="str">
        <f ca="1">IFERROR(__xludf.DUMMYFUNCTION("GOOGLEFINANCE(""NSE:""&amp;D2182,""EPS"")"),"#N/A")</f>
        <v>#N/A</v>
      </c>
      <c r="Q2182" s="7">
        <v>13.5</v>
      </c>
      <c r="R2182" s="7" t="str">
        <f ca="1">IFERROR(__xludf.DUMMYFUNCTION("IMPORTXML(E2182,""/html/body/main/div[3]/div[3]/div[2]/ul/li[7]/span[2]/span"")"),"Loading...")</f>
        <v>Loading...</v>
      </c>
      <c r="S2182" s="7" t="str">
        <f ca="1">IFERROR(__xludf.DUMMYFUNCTION("IMPORTXML(E2182,""/html/body/main/div[3]/div[3]/div[2]/ul/li[8]/span[2]/span"")"),"Loading...")</f>
        <v>Loading...</v>
      </c>
      <c r="T2182" s="4">
        <v>34.6</v>
      </c>
      <c r="U2182" s="4">
        <v>22.7</v>
      </c>
      <c r="V2182" s="4">
        <v>2.6</v>
      </c>
      <c r="W2182" s="4">
        <v>5.7</v>
      </c>
      <c r="X2182" s="4">
        <v>519.92999999999995</v>
      </c>
      <c r="Y2182" s="7" t="e">
        <f t="shared" ca="1" si="44"/>
        <v>#VALUE!</v>
      </c>
    </row>
    <row r="2183" spans="1:25" ht="15" x14ac:dyDescent="0.25">
      <c r="A2183" s="4">
        <v>2018</v>
      </c>
      <c r="C2183" s="41" t="s">
        <v>4405</v>
      </c>
      <c r="D2183" s="42"/>
      <c r="E2183" s="5" t="str">
        <f t="shared" si="40"/>
        <v>https://www.screener.in/company//consolidated/</v>
      </c>
      <c r="F2183" s="4">
        <v>443059</v>
      </c>
      <c r="G2183" s="4">
        <v>3832241897</v>
      </c>
      <c r="H2183" s="6" t="e">
        <f t="shared" ca="1" si="41"/>
        <v>#VALUE!</v>
      </c>
      <c r="I2183" s="7" t="str">
        <f ca="1">IFERROR(__xludf.DUMMYFUNCTION("IMPORTXML(E2183,""/html/body/main/div[3]/div[3]/div[2]/ul/li[5]/span[2]/span"")"),"Loading...")</f>
        <v>Loading...</v>
      </c>
      <c r="J2183" s="7" t="str">
        <f ca="1">IFERROR(__xludf.DUMMYFUNCTION("GOOGLEFINANCE(""NSE:""&amp;D2183,""marketcap"")"),"#N/A")</f>
        <v>#N/A</v>
      </c>
      <c r="K2183" s="7">
        <v>992.8</v>
      </c>
      <c r="L2183" s="8" t="str">
        <f ca="1">IFERROR(__xludf.DUMMYFUNCTION("GOOGLEFINANCE(""NSE:""&amp;D2183,""price"")"),"#N/A")</f>
        <v>#N/A</v>
      </c>
      <c r="M2183" s="9" t="e">
        <f t="shared" ca="1" si="42"/>
        <v>#VALUE!</v>
      </c>
      <c r="N2183" s="10" t="e">
        <f t="shared" ca="1" si="43"/>
        <v>#VALUE!</v>
      </c>
      <c r="O2183" s="7" t="str">
        <f ca="1">IFERROR(__xludf.DUMMYFUNCTION("GOOGLEFINANCE(""NSE:""&amp;D2183,""pe"")"),"#N/A")</f>
        <v>#N/A</v>
      </c>
      <c r="P2183" s="7" t="str">
        <f ca="1">IFERROR(__xludf.DUMMYFUNCTION("GOOGLEFINANCE(""NSE:""&amp;D2183,""EPS"")"),"#N/A")</f>
        <v>#N/A</v>
      </c>
      <c r="Q2183" s="7">
        <v>13.5</v>
      </c>
      <c r="R2183" s="7" t="str">
        <f ca="1">IFERROR(__xludf.DUMMYFUNCTION("IMPORTXML(E2183,""/html/body/main/div[3]/div[3]/div[2]/ul/li[7]/span[2]/span"")"),"Loading...")</f>
        <v>Loading...</v>
      </c>
      <c r="S2183" s="7" t="str">
        <f ca="1">IFERROR(__xludf.DUMMYFUNCTION("IMPORTXML(E2183,""/html/body/main/div[3]/div[3]/div[2]/ul/li[8]/span[2]/span"")"),"Loading...")</f>
        <v>Loading...</v>
      </c>
      <c r="T2183" s="4">
        <v>34.6</v>
      </c>
      <c r="U2183" s="4">
        <v>22.7</v>
      </c>
      <c r="V2183" s="4">
        <v>2.6</v>
      </c>
      <c r="W2183" s="4">
        <v>5.7</v>
      </c>
      <c r="X2183" s="4">
        <v>519.92999999999995</v>
      </c>
      <c r="Y2183" s="7" t="e">
        <f t="shared" ca="1" si="44"/>
        <v>#VALUE!</v>
      </c>
    </row>
    <row r="2184" spans="1:25" ht="15" x14ac:dyDescent="0.25">
      <c r="A2184" s="4">
        <v>2020</v>
      </c>
      <c r="C2184" s="41" t="s">
        <v>4406</v>
      </c>
      <c r="D2184" s="42"/>
      <c r="E2184" s="5" t="str">
        <f t="shared" si="40"/>
        <v>https://www.screener.in/company//consolidated/</v>
      </c>
      <c r="F2184" s="4">
        <v>443059</v>
      </c>
      <c r="G2184" s="4">
        <v>3832241897</v>
      </c>
      <c r="H2184" s="6" t="e">
        <f t="shared" ca="1" si="41"/>
        <v>#VALUE!</v>
      </c>
      <c r="I2184" s="7" t="str">
        <f ca="1">IFERROR(__xludf.DUMMYFUNCTION("IMPORTXML(E2184,""/html/body/main/div[3]/div[3]/div[2]/ul/li[5]/span[2]/span"")"),"Loading...")</f>
        <v>Loading...</v>
      </c>
      <c r="J2184" s="7" t="str">
        <f ca="1">IFERROR(__xludf.DUMMYFUNCTION("GOOGLEFINANCE(""NSE:""&amp;D2184,""marketcap"")"),"#N/A")</f>
        <v>#N/A</v>
      </c>
      <c r="K2184" s="7">
        <v>992.8</v>
      </c>
      <c r="L2184" s="8" t="str">
        <f ca="1">IFERROR(__xludf.DUMMYFUNCTION("GOOGLEFINANCE(""NSE:""&amp;D2184,""price"")"),"#N/A")</f>
        <v>#N/A</v>
      </c>
      <c r="M2184" s="9" t="e">
        <f t="shared" ca="1" si="42"/>
        <v>#VALUE!</v>
      </c>
      <c r="N2184" s="10" t="e">
        <f t="shared" ca="1" si="43"/>
        <v>#VALUE!</v>
      </c>
      <c r="O2184" s="7" t="str">
        <f ca="1">IFERROR(__xludf.DUMMYFUNCTION("GOOGLEFINANCE(""NSE:""&amp;D2184,""pe"")"),"#N/A")</f>
        <v>#N/A</v>
      </c>
      <c r="P2184" s="7" t="str">
        <f ca="1">IFERROR(__xludf.DUMMYFUNCTION("GOOGLEFINANCE(""NSE:""&amp;D2184,""EPS"")"),"#N/A")</f>
        <v>#N/A</v>
      </c>
      <c r="Q2184" s="7">
        <v>13.5</v>
      </c>
      <c r="R2184" s="7" t="str">
        <f ca="1">IFERROR(__xludf.DUMMYFUNCTION("IMPORTXML(E2184,""/html/body/main/div[3]/div[3]/div[2]/ul/li[7]/span[2]/span"")"),"Loading...")</f>
        <v>Loading...</v>
      </c>
      <c r="S2184" s="7" t="str">
        <f ca="1">IFERROR(__xludf.DUMMYFUNCTION("IMPORTXML(E2184,""/html/body/main/div[3]/div[3]/div[2]/ul/li[8]/span[2]/span"")"),"Loading...")</f>
        <v>Loading...</v>
      </c>
      <c r="T2184" s="4">
        <v>34.6</v>
      </c>
      <c r="U2184" s="4">
        <v>22.7</v>
      </c>
      <c r="V2184" s="4">
        <v>2.6</v>
      </c>
      <c r="W2184" s="4">
        <v>5.7</v>
      </c>
      <c r="X2184" s="4">
        <v>519.92999999999995</v>
      </c>
      <c r="Y2184" s="7" t="e">
        <f t="shared" ca="1" si="44"/>
        <v>#VALUE!</v>
      </c>
    </row>
    <row r="2185" spans="1:25" ht="15" x14ac:dyDescent="0.25">
      <c r="A2185" s="4">
        <v>2021</v>
      </c>
      <c r="C2185" s="41" t="s">
        <v>4407</v>
      </c>
      <c r="D2185" s="42"/>
      <c r="E2185" s="5" t="str">
        <f t="shared" si="40"/>
        <v>https://www.screener.in/company//consolidated/</v>
      </c>
      <c r="F2185" s="4">
        <v>443059</v>
      </c>
      <c r="G2185" s="4">
        <v>3832241897</v>
      </c>
      <c r="H2185" s="6" t="e">
        <f t="shared" ca="1" si="41"/>
        <v>#VALUE!</v>
      </c>
      <c r="I2185" s="7" t="str">
        <f ca="1">IFERROR(__xludf.DUMMYFUNCTION("IMPORTXML(E2185,""/html/body/main/div[3]/div[3]/div[2]/ul/li[5]/span[2]/span"")"),"Loading...")</f>
        <v>Loading...</v>
      </c>
      <c r="J2185" s="7" t="str">
        <f ca="1">IFERROR(__xludf.DUMMYFUNCTION("GOOGLEFINANCE(""NSE:""&amp;D2185,""marketcap"")"),"#N/A")</f>
        <v>#N/A</v>
      </c>
      <c r="K2185" s="7">
        <v>992.8</v>
      </c>
      <c r="L2185" s="8" t="str">
        <f ca="1">IFERROR(__xludf.DUMMYFUNCTION("GOOGLEFINANCE(""NSE:""&amp;D2185,""price"")"),"#N/A")</f>
        <v>#N/A</v>
      </c>
      <c r="M2185" s="9" t="e">
        <f t="shared" ca="1" si="42"/>
        <v>#VALUE!</v>
      </c>
      <c r="N2185" s="10" t="e">
        <f t="shared" ca="1" si="43"/>
        <v>#VALUE!</v>
      </c>
      <c r="O2185" s="7" t="str">
        <f ca="1">IFERROR(__xludf.DUMMYFUNCTION("GOOGLEFINANCE(""NSE:""&amp;D2185,""pe"")"),"#N/A")</f>
        <v>#N/A</v>
      </c>
      <c r="P2185" s="7" t="str">
        <f ca="1">IFERROR(__xludf.DUMMYFUNCTION("GOOGLEFINANCE(""NSE:""&amp;D2185,""EPS"")"),"#N/A")</f>
        <v>#N/A</v>
      </c>
      <c r="Q2185" s="7">
        <v>13.5</v>
      </c>
      <c r="R2185" s="7" t="str">
        <f ca="1">IFERROR(__xludf.DUMMYFUNCTION("IMPORTXML(E2185,""/html/body/main/div[3]/div[3]/div[2]/ul/li[7]/span[2]/span"")"),"Loading...")</f>
        <v>Loading...</v>
      </c>
      <c r="S2185" s="7" t="str">
        <f ca="1">IFERROR(__xludf.DUMMYFUNCTION("IMPORTXML(E2185,""/html/body/main/div[3]/div[3]/div[2]/ul/li[8]/span[2]/span"")"),"Loading...")</f>
        <v>Loading...</v>
      </c>
      <c r="T2185" s="4">
        <v>34.6</v>
      </c>
      <c r="U2185" s="4">
        <v>22.7</v>
      </c>
      <c r="V2185" s="4">
        <v>2.6</v>
      </c>
      <c r="W2185" s="4">
        <v>5.7</v>
      </c>
      <c r="X2185" s="4">
        <v>519.92999999999995</v>
      </c>
      <c r="Y2185" s="7" t="e">
        <f t="shared" ca="1" si="44"/>
        <v>#VALUE!</v>
      </c>
    </row>
    <row r="2186" spans="1:25" ht="15" x14ac:dyDescent="0.25">
      <c r="A2186" s="4">
        <v>2022</v>
      </c>
      <c r="C2186" s="41" t="s">
        <v>4408</v>
      </c>
      <c r="D2186" s="42"/>
      <c r="E2186" s="5" t="str">
        <f t="shared" si="40"/>
        <v>https://www.screener.in/company//consolidated/</v>
      </c>
      <c r="F2186" s="4">
        <v>443059</v>
      </c>
      <c r="G2186" s="4">
        <v>3832241897</v>
      </c>
      <c r="H2186" s="6" t="e">
        <f t="shared" ca="1" si="41"/>
        <v>#VALUE!</v>
      </c>
      <c r="I2186" s="7" t="str">
        <f ca="1">IFERROR(__xludf.DUMMYFUNCTION("IMPORTXML(E2186,""/html/body/main/div[3]/div[3]/div[2]/ul/li[5]/span[2]/span"")"),"Loading...")</f>
        <v>Loading...</v>
      </c>
      <c r="J2186" s="7" t="str">
        <f ca="1">IFERROR(__xludf.DUMMYFUNCTION("GOOGLEFINANCE(""NSE:""&amp;D2186,""marketcap"")"),"#N/A")</f>
        <v>#N/A</v>
      </c>
      <c r="K2186" s="7">
        <v>992.8</v>
      </c>
      <c r="L2186" s="8" t="str">
        <f ca="1">IFERROR(__xludf.DUMMYFUNCTION("GOOGLEFINANCE(""NSE:""&amp;D2186,""price"")"),"#N/A")</f>
        <v>#N/A</v>
      </c>
      <c r="M2186" s="9" t="e">
        <f t="shared" ca="1" si="42"/>
        <v>#VALUE!</v>
      </c>
      <c r="N2186" s="10" t="e">
        <f t="shared" ca="1" si="43"/>
        <v>#VALUE!</v>
      </c>
      <c r="O2186" s="7" t="str">
        <f ca="1">IFERROR(__xludf.DUMMYFUNCTION("GOOGLEFINANCE(""NSE:""&amp;D2186,""pe"")"),"#N/A")</f>
        <v>#N/A</v>
      </c>
      <c r="P2186" s="7" t="str">
        <f ca="1">IFERROR(__xludf.DUMMYFUNCTION("GOOGLEFINANCE(""NSE:""&amp;D2186,""EPS"")"),"#N/A")</f>
        <v>#N/A</v>
      </c>
      <c r="Q2186" s="7">
        <v>13.5</v>
      </c>
      <c r="R2186" s="7" t="str">
        <f ca="1">IFERROR(__xludf.DUMMYFUNCTION("IMPORTXML(E2186,""/html/body/main/div[3]/div[3]/div[2]/ul/li[7]/span[2]/span"")"),"Loading...")</f>
        <v>Loading...</v>
      </c>
      <c r="S2186" s="7" t="str">
        <f ca="1">IFERROR(__xludf.DUMMYFUNCTION("IMPORTXML(E2186,""/html/body/main/div[3]/div[3]/div[2]/ul/li[8]/span[2]/span"")"),"Loading...")</f>
        <v>Loading...</v>
      </c>
      <c r="T2186" s="4">
        <v>34.6</v>
      </c>
      <c r="U2186" s="4">
        <v>22.7</v>
      </c>
      <c r="V2186" s="4">
        <v>2.6</v>
      </c>
      <c r="W2186" s="4">
        <v>5.7</v>
      </c>
      <c r="X2186" s="4">
        <v>519.92999999999995</v>
      </c>
      <c r="Y2186" s="7" t="e">
        <f t="shared" ca="1" si="44"/>
        <v>#VALUE!</v>
      </c>
    </row>
    <row r="2187" spans="1:25" ht="15" x14ac:dyDescent="0.25">
      <c r="A2187" s="4">
        <v>2025</v>
      </c>
      <c r="C2187" s="41" t="s">
        <v>4409</v>
      </c>
      <c r="D2187" s="42"/>
      <c r="E2187" s="5" t="str">
        <f t="shared" si="40"/>
        <v>https://www.screener.in/company//consolidated/</v>
      </c>
      <c r="F2187" s="4">
        <v>443059</v>
      </c>
      <c r="G2187" s="4">
        <v>3832241897</v>
      </c>
      <c r="H2187" s="6" t="e">
        <f t="shared" ca="1" si="41"/>
        <v>#VALUE!</v>
      </c>
      <c r="I2187" s="7" t="str">
        <f ca="1">IFERROR(__xludf.DUMMYFUNCTION("IMPORTXML(E2187,""/html/body/main/div[3]/div[3]/div[2]/ul/li[5]/span[2]/span"")"),"Loading...")</f>
        <v>Loading...</v>
      </c>
      <c r="J2187" s="7" t="str">
        <f ca="1">IFERROR(__xludf.DUMMYFUNCTION("GOOGLEFINANCE(""NSE:""&amp;D2187,""marketcap"")"),"#N/A")</f>
        <v>#N/A</v>
      </c>
      <c r="K2187" s="7">
        <v>992.8</v>
      </c>
      <c r="L2187" s="8" t="str">
        <f ca="1">IFERROR(__xludf.DUMMYFUNCTION("GOOGLEFINANCE(""NSE:""&amp;D2187,""price"")"),"#N/A")</f>
        <v>#N/A</v>
      </c>
      <c r="M2187" s="9" t="e">
        <f t="shared" ca="1" si="42"/>
        <v>#VALUE!</v>
      </c>
      <c r="N2187" s="10" t="e">
        <f t="shared" ca="1" si="43"/>
        <v>#VALUE!</v>
      </c>
      <c r="O2187" s="7" t="str">
        <f ca="1">IFERROR(__xludf.DUMMYFUNCTION("GOOGLEFINANCE(""NSE:""&amp;D2187,""pe"")"),"#N/A")</f>
        <v>#N/A</v>
      </c>
      <c r="P2187" s="7" t="str">
        <f ca="1">IFERROR(__xludf.DUMMYFUNCTION("GOOGLEFINANCE(""NSE:""&amp;D2187,""EPS"")"),"#N/A")</f>
        <v>#N/A</v>
      </c>
      <c r="Q2187" s="7">
        <v>13.5</v>
      </c>
      <c r="R2187" s="7" t="str">
        <f ca="1">IFERROR(__xludf.DUMMYFUNCTION("IMPORTXML(E2187,""/html/body/main/div[3]/div[3]/div[2]/ul/li[7]/span[2]/span"")"),"Loading...")</f>
        <v>Loading...</v>
      </c>
      <c r="S2187" s="7" t="str">
        <f ca="1">IFERROR(__xludf.DUMMYFUNCTION("IMPORTXML(E2187,""/html/body/main/div[3]/div[3]/div[2]/ul/li[8]/span[2]/span"")"),"Loading...")</f>
        <v>Loading...</v>
      </c>
      <c r="T2187" s="4">
        <v>34.6</v>
      </c>
      <c r="U2187" s="4">
        <v>22.7</v>
      </c>
      <c r="V2187" s="4">
        <v>2.6</v>
      </c>
      <c r="W2187" s="4">
        <v>5.7</v>
      </c>
      <c r="X2187" s="4">
        <v>519.92999999999995</v>
      </c>
      <c r="Y2187" s="7" t="e">
        <f t="shared" ca="1" si="44"/>
        <v>#VALUE!</v>
      </c>
    </row>
    <row r="2188" spans="1:25" ht="15" x14ac:dyDescent="0.25">
      <c r="A2188" s="4">
        <v>2026</v>
      </c>
      <c r="C2188" s="41" t="s">
        <v>4410</v>
      </c>
      <c r="D2188" s="42"/>
      <c r="E2188" s="5" t="str">
        <f t="shared" si="40"/>
        <v>https://www.screener.in/company//consolidated/</v>
      </c>
      <c r="F2188" s="4">
        <v>443059</v>
      </c>
      <c r="G2188" s="4">
        <v>3832241897</v>
      </c>
      <c r="H2188" s="6" t="e">
        <f t="shared" ca="1" si="41"/>
        <v>#VALUE!</v>
      </c>
      <c r="I2188" s="7" t="str">
        <f ca="1">IFERROR(__xludf.DUMMYFUNCTION("IMPORTXML(E2188,""/html/body/main/div[3]/div[3]/div[2]/ul/li[5]/span[2]/span"")"),"Loading...")</f>
        <v>Loading...</v>
      </c>
      <c r="J2188" s="7" t="str">
        <f ca="1">IFERROR(__xludf.DUMMYFUNCTION("GOOGLEFINANCE(""NSE:""&amp;D2188,""marketcap"")"),"#N/A")</f>
        <v>#N/A</v>
      </c>
      <c r="K2188" s="7">
        <v>992.8</v>
      </c>
      <c r="L2188" s="8" t="str">
        <f ca="1">IFERROR(__xludf.DUMMYFUNCTION("GOOGLEFINANCE(""NSE:""&amp;D2188,""price"")"),"#N/A")</f>
        <v>#N/A</v>
      </c>
      <c r="M2188" s="9" t="e">
        <f t="shared" ca="1" si="42"/>
        <v>#VALUE!</v>
      </c>
      <c r="N2188" s="10" t="e">
        <f t="shared" ca="1" si="43"/>
        <v>#VALUE!</v>
      </c>
      <c r="O2188" s="7" t="str">
        <f ca="1">IFERROR(__xludf.DUMMYFUNCTION("GOOGLEFINANCE(""NSE:""&amp;D2188,""pe"")"),"#N/A")</f>
        <v>#N/A</v>
      </c>
      <c r="P2188" s="7" t="str">
        <f ca="1">IFERROR(__xludf.DUMMYFUNCTION("GOOGLEFINANCE(""NSE:""&amp;D2188,""EPS"")"),"#N/A")</f>
        <v>#N/A</v>
      </c>
      <c r="Q2188" s="7">
        <v>13.5</v>
      </c>
      <c r="R2188" s="7" t="str">
        <f ca="1">IFERROR(__xludf.DUMMYFUNCTION("IMPORTXML(E2188,""/html/body/main/div[3]/div[3]/div[2]/ul/li[7]/span[2]/span"")"),"Loading...")</f>
        <v>Loading...</v>
      </c>
      <c r="S2188" s="7" t="str">
        <f ca="1">IFERROR(__xludf.DUMMYFUNCTION("IMPORTXML(E2188,""/html/body/main/div[3]/div[3]/div[2]/ul/li[8]/span[2]/span"")"),"Loading...")</f>
        <v>Loading...</v>
      </c>
      <c r="T2188" s="4">
        <v>34.6</v>
      </c>
      <c r="U2188" s="4">
        <v>22.7</v>
      </c>
      <c r="V2188" s="4">
        <v>2.6</v>
      </c>
      <c r="W2188" s="4">
        <v>5.7</v>
      </c>
      <c r="X2188" s="4">
        <v>519.92999999999995</v>
      </c>
      <c r="Y2188" s="7" t="e">
        <f t="shared" ca="1" si="44"/>
        <v>#VALUE!</v>
      </c>
    </row>
    <row r="2189" spans="1:25" ht="15" x14ac:dyDescent="0.25">
      <c r="A2189" s="4">
        <v>2028</v>
      </c>
      <c r="C2189" s="12" t="s">
        <v>4411</v>
      </c>
      <c r="D2189" s="12" t="s">
        <v>4412</v>
      </c>
      <c r="E2189" s="5" t="str">
        <f t="shared" si="40"/>
        <v>https://www.screener.in/company/LOVABLE/consolidated/</v>
      </c>
      <c r="F2189" s="4">
        <v>443059</v>
      </c>
      <c r="G2189" s="4">
        <v>3832241897</v>
      </c>
      <c r="H2189" s="6">
        <f t="shared" ca="1" si="41"/>
        <v>36406.298021499999</v>
      </c>
      <c r="I2189" s="7" t="str">
        <f ca="1">IFERROR(__xludf.DUMMYFUNCTION("IMPORTXML(E2189,""/html/body/main/div[3]/div[3]/div[2]/ul/li[5]/span[2]/span"")"),"Loading...")</f>
        <v>Loading...</v>
      </c>
      <c r="J2189" s="7">
        <f ca="1">IFERROR(__xludf.DUMMYFUNCTION("GOOGLEFINANCE(""NSE:""&amp;D2189,""marketcap"")"),1395788000)</f>
        <v>1395788000</v>
      </c>
      <c r="K2189" s="7">
        <v>992.8</v>
      </c>
      <c r="L2189" s="8">
        <f ca="1">IFERROR(__xludf.DUMMYFUNCTION("GOOGLEFINANCE(""NSE:""&amp;D2189,""price"")"),95)</f>
        <v>95</v>
      </c>
      <c r="M2189" s="9">
        <f t="shared" ca="1" si="42"/>
        <v>-897.8</v>
      </c>
      <c r="N2189" s="10">
        <f t="shared" ca="1" si="43"/>
        <v>-90.431103948428685</v>
      </c>
      <c r="O2189" s="7">
        <f ca="1">IFERROR(__xludf.DUMMYFUNCTION("GOOGLEFINANCE(""NSE:""&amp;D2189,""pe"")"),51.91)</f>
        <v>51.91</v>
      </c>
      <c r="P2189" s="7">
        <f ca="1">IFERROR(__xludf.DUMMYFUNCTION("GOOGLEFINANCE(""NSE:""&amp;D2189,""EPS"")"),1.83)</f>
        <v>1.83</v>
      </c>
      <c r="Q2189" s="7">
        <v>13.5</v>
      </c>
      <c r="R2189" s="7" t="str">
        <f ca="1">IFERROR(__xludf.DUMMYFUNCTION("IMPORTXML(E2189,""/html/body/main/div[3]/div[3]/div[2]/ul/li[7]/span[2]/span"")"),"Loading...")</f>
        <v>Loading...</v>
      </c>
      <c r="S2189" s="7" t="str">
        <f ca="1">IFERROR(__xludf.DUMMYFUNCTION("IMPORTXML(E2189,""/html/body/main/div[3]/div[3]/div[2]/ul/li[8]/span[2]/span"")"),"Loading...")</f>
        <v>Loading...</v>
      </c>
      <c r="T2189" s="4">
        <v>34.6</v>
      </c>
      <c r="U2189" s="4">
        <v>22.7</v>
      </c>
      <c r="V2189" s="4">
        <v>2.6</v>
      </c>
      <c r="W2189" s="4">
        <v>5.7</v>
      </c>
      <c r="X2189" s="4">
        <v>519.92999999999995</v>
      </c>
      <c r="Y2189" s="7">
        <f t="shared" ca="1" si="44"/>
        <v>-424.92999999999995</v>
      </c>
    </row>
    <row r="2190" spans="1:25" ht="15" x14ac:dyDescent="0.25">
      <c r="A2190" s="4">
        <v>2033</v>
      </c>
      <c r="C2190" s="41" t="s">
        <v>4413</v>
      </c>
      <c r="D2190" s="42"/>
      <c r="E2190" s="5" t="str">
        <f t="shared" si="40"/>
        <v>https://www.screener.in/company//consolidated/</v>
      </c>
      <c r="F2190" s="4">
        <v>443059</v>
      </c>
      <c r="G2190" s="4">
        <v>3832241897</v>
      </c>
      <c r="H2190" s="6" t="e">
        <f t="shared" ca="1" si="41"/>
        <v>#VALUE!</v>
      </c>
      <c r="I2190" s="7" t="str">
        <f ca="1">IFERROR(__xludf.DUMMYFUNCTION("IMPORTXML(E2190,""/html/body/main/div[3]/div[3]/div[2]/ul/li[5]/span[2]/span"")"),"Loading...")</f>
        <v>Loading...</v>
      </c>
      <c r="J2190" s="7" t="str">
        <f ca="1">IFERROR(__xludf.DUMMYFUNCTION("GOOGLEFINANCE(""NSE:""&amp;D2190,""marketcap"")"),"#N/A")</f>
        <v>#N/A</v>
      </c>
      <c r="K2190" s="7">
        <v>992.8</v>
      </c>
      <c r="L2190" s="8" t="str">
        <f ca="1">IFERROR(__xludf.DUMMYFUNCTION("GOOGLEFINANCE(""NSE:""&amp;D2190,""price"")"),"#N/A")</f>
        <v>#N/A</v>
      </c>
      <c r="M2190" s="9" t="e">
        <f t="shared" ca="1" si="42"/>
        <v>#VALUE!</v>
      </c>
      <c r="N2190" s="10" t="e">
        <f t="shared" ca="1" si="43"/>
        <v>#VALUE!</v>
      </c>
      <c r="O2190" s="7" t="str">
        <f ca="1">IFERROR(__xludf.DUMMYFUNCTION("GOOGLEFINANCE(""NSE:""&amp;D2190,""pe"")"),"#N/A")</f>
        <v>#N/A</v>
      </c>
      <c r="P2190" s="7" t="str">
        <f ca="1">IFERROR(__xludf.DUMMYFUNCTION("GOOGLEFINANCE(""NSE:""&amp;D2190,""EPS"")"),"#N/A")</f>
        <v>#N/A</v>
      </c>
      <c r="Q2190" s="7">
        <v>13.5</v>
      </c>
      <c r="R2190" s="7" t="str">
        <f ca="1">IFERROR(__xludf.DUMMYFUNCTION("IMPORTXML(E2190,""/html/body/main/div[3]/div[3]/div[2]/ul/li[7]/span[2]/span"")"),"Loading...")</f>
        <v>Loading...</v>
      </c>
      <c r="S2190" s="7" t="str">
        <f ca="1">IFERROR(__xludf.DUMMYFUNCTION("IMPORTXML(E2190,""/html/body/main/div[3]/div[3]/div[2]/ul/li[8]/span[2]/span"")"),"Loading...")</f>
        <v>Loading...</v>
      </c>
      <c r="T2190" s="4">
        <v>34.6</v>
      </c>
      <c r="U2190" s="4">
        <v>22.7</v>
      </c>
      <c r="V2190" s="4">
        <v>2.6</v>
      </c>
      <c r="W2190" s="4">
        <v>5.7</v>
      </c>
      <c r="X2190" s="4">
        <v>519.92999999999995</v>
      </c>
      <c r="Y2190" s="7" t="e">
        <f t="shared" ca="1" si="44"/>
        <v>#VALUE!</v>
      </c>
    </row>
    <row r="2191" spans="1:25" ht="15" x14ac:dyDescent="0.25">
      <c r="A2191" s="4">
        <v>2034</v>
      </c>
      <c r="C2191" s="41" t="s">
        <v>4414</v>
      </c>
      <c r="D2191" s="42"/>
      <c r="E2191" s="5" t="str">
        <f t="shared" si="40"/>
        <v>https://www.screener.in/company//consolidated/</v>
      </c>
      <c r="F2191" s="4">
        <v>443059</v>
      </c>
      <c r="G2191" s="4">
        <v>3832241897</v>
      </c>
      <c r="H2191" s="6" t="e">
        <f t="shared" ca="1" si="41"/>
        <v>#VALUE!</v>
      </c>
      <c r="I2191" s="7" t="str">
        <f ca="1">IFERROR(__xludf.DUMMYFUNCTION("IMPORTXML(E2191,""/html/body/main/div[3]/div[3]/div[2]/ul/li[5]/span[2]/span"")"),"Loading...")</f>
        <v>Loading...</v>
      </c>
      <c r="J2191" s="7" t="str">
        <f ca="1">IFERROR(__xludf.DUMMYFUNCTION("GOOGLEFINANCE(""NSE:""&amp;D2191,""marketcap"")"),"#N/A")</f>
        <v>#N/A</v>
      </c>
      <c r="K2191" s="7">
        <v>992.8</v>
      </c>
      <c r="L2191" s="8" t="str">
        <f ca="1">IFERROR(__xludf.DUMMYFUNCTION("GOOGLEFINANCE(""NSE:""&amp;D2191,""price"")"),"#N/A")</f>
        <v>#N/A</v>
      </c>
      <c r="M2191" s="9" t="e">
        <f t="shared" ca="1" si="42"/>
        <v>#VALUE!</v>
      </c>
      <c r="N2191" s="10" t="e">
        <f t="shared" ca="1" si="43"/>
        <v>#VALUE!</v>
      </c>
      <c r="O2191" s="7" t="str">
        <f ca="1">IFERROR(__xludf.DUMMYFUNCTION("GOOGLEFINANCE(""NSE:""&amp;D2191,""pe"")"),"#N/A")</f>
        <v>#N/A</v>
      </c>
      <c r="P2191" s="7" t="str">
        <f ca="1">IFERROR(__xludf.DUMMYFUNCTION("GOOGLEFINANCE(""NSE:""&amp;D2191,""EPS"")"),"#N/A")</f>
        <v>#N/A</v>
      </c>
      <c r="Q2191" s="7">
        <v>13.5</v>
      </c>
      <c r="R2191" s="7" t="str">
        <f ca="1">IFERROR(__xludf.DUMMYFUNCTION("IMPORTXML(E2191,""/html/body/main/div[3]/div[3]/div[2]/ul/li[7]/span[2]/span"")"),"Loading...")</f>
        <v>Loading...</v>
      </c>
      <c r="S2191" s="7" t="str">
        <f ca="1">IFERROR(__xludf.DUMMYFUNCTION("IMPORTXML(E2191,""/html/body/main/div[3]/div[3]/div[2]/ul/li[8]/span[2]/span"")"),"Loading...")</f>
        <v>Loading...</v>
      </c>
      <c r="T2191" s="4">
        <v>34.6</v>
      </c>
      <c r="U2191" s="4">
        <v>22.7</v>
      </c>
      <c r="V2191" s="4">
        <v>2.6</v>
      </c>
      <c r="W2191" s="4">
        <v>5.7</v>
      </c>
      <c r="X2191" s="4">
        <v>519.92999999999995</v>
      </c>
      <c r="Y2191" s="7" t="e">
        <f t="shared" ca="1" si="44"/>
        <v>#VALUE!</v>
      </c>
    </row>
    <row r="2192" spans="1:25" ht="15" x14ac:dyDescent="0.25">
      <c r="A2192" s="4">
        <v>2035</v>
      </c>
      <c r="C2192" s="41" t="s">
        <v>4415</v>
      </c>
      <c r="D2192" s="42"/>
      <c r="E2192" s="5" t="str">
        <f t="shared" si="40"/>
        <v>https://www.screener.in/company//consolidated/</v>
      </c>
      <c r="F2192" s="4">
        <v>443059</v>
      </c>
      <c r="G2192" s="4">
        <v>3832241897</v>
      </c>
      <c r="H2192" s="6" t="e">
        <f t="shared" ca="1" si="41"/>
        <v>#VALUE!</v>
      </c>
      <c r="I2192" s="7" t="str">
        <f ca="1">IFERROR(__xludf.DUMMYFUNCTION("IMPORTXML(E2192,""/html/body/main/div[3]/div[3]/div[2]/ul/li[5]/span[2]/span"")"),"Loading...")</f>
        <v>Loading...</v>
      </c>
      <c r="J2192" s="7" t="str">
        <f ca="1">IFERROR(__xludf.DUMMYFUNCTION("GOOGLEFINANCE(""NSE:""&amp;D2192,""marketcap"")"),"#N/A")</f>
        <v>#N/A</v>
      </c>
      <c r="K2192" s="7">
        <v>992.8</v>
      </c>
      <c r="L2192" s="8" t="str">
        <f ca="1">IFERROR(__xludf.DUMMYFUNCTION("GOOGLEFINANCE(""NSE:""&amp;D2192,""price"")"),"#N/A")</f>
        <v>#N/A</v>
      </c>
      <c r="M2192" s="9" t="e">
        <f t="shared" ca="1" si="42"/>
        <v>#VALUE!</v>
      </c>
      <c r="N2192" s="10" t="e">
        <f t="shared" ca="1" si="43"/>
        <v>#VALUE!</v>
      </c>
      <c r="O2192" s="7" t="str">
        <f ca="1">IFERROR(__xludf.DUMMYFUNCTION("GOOGLEFINANCE(""NSE:""&amp;D2192,""pe"")"),"#N/A")</f>
        <v>#N/A</v>
      </c>
      <c r="P2192" s="7" t="str">
        <f ca="1">IFERROR(__xludf.DUMMYFUNCTION("GOOGLEFINANCE(""NSE:""&amp;D2192,""EPS"")"),"#N/A")</f>
        <v>#N/A</v>
      </c>
      <c r="Q2192" s="7">
        <v>13.5</v>
      </c>
      <c r="R2192" s="7" t="str">
        <f ca="1">IFERROR(__xludf.DUMMYFUNCTION("IMPORTXML(E2192,""/html/body/main/div[3]/div[3]/div[2]/ul/li[7]/span[2]/span"")"),"Loading...")</f>
        <v>Loading...</v>
      </c>
      <c r="S2192" s="7" t="str">
        <f ca="1">IFERROR(__xludf.DUMMYFUNCTION("IMPORTXML(E2192,""/html/body/main/div[3]/div[3]/div[2]/ul/li[8]/span[2]/span"")"),"Loading...")</f>
        <v>Loading...</v>
      </c>
      <c r="T2192" s="4">
        <v>34.6</v>
      </c>
      <c r="U2192" s="4">
        <v>22.7</v>
      </c>
      <c r="V2192" s="4">
        <v>2.6</v>
      </c>
      <c r="W2192" s="4">
        <v>5.7</v>
      </c>
      <c r="X2192" s="4">
        <v>519.92999999999995</v>
      </c>
      <c r="Y2192" s="7" t="e">
        <f t="shared" ca="1" si="44"/>
        <v>#VALUE!</v>
      </c>
    </row>
    <row r="2193" spans="1:25" ht="15" x14ac:dyDescent="0.25">
      <c r="A2193" s="4">
        <v>2036</v>
      </c>
      <c r="C2193" s="41" t="s">
        <v>4416</v>
      </c>
      <c r="D2193" s="42"/>
      <c r="E2193" s="5" t="str">
        <f t="shared" si="40"/>
        <v>https://www.screener.in/company//consolidated/</v>
      </c>
      <c r="F2193" s="4">
        <v>443059</v>
      </c>
      <c r="G2193" s="4">
        <v>3832241897</v>
      </c>
      <c r="H2193" s="6" t="e">
        <f t="shared" ca="1" si="41"/>
        <v>#VALUE!</v>
      </c>
      <c r="I2193" s="7" t="str">
        <f ca="1">IFERROR(__xludf.DUMMYFUNCTION("IMPORTXML(E2193,""/html/body/main/div[3]/div[3]/div[2]/ul/li[5]/span[2]/span"")"),"Loading...")</f>
        <v>Loading...</v>
      </c>
      <c r="J2193" s="7" t="str">
        <f ca="1">IFERROR(__xludf.DUMMYFUNCTION("GOOGLEFINANCE(""NSE:""&amp;D2193,""marketcap"")"),"#N/A")</f>
        <v>#N/A</v>
      </c>
      <c r="K2193" s="7">
        <v>992.8</v>
      </c>
      <c r="L2193" s="8" t="str">
        <f ca="1">IFERROR(__xludf.DUMMYFUNCTION("GOOGLEFINANCE(""NSE:""&amp;D2193,""price"")"),"#N/A")</f>
        <v>#N/A</v>
      </c>
      <c r="M2193" s="9" t="e">
        <f t="shared" ca="1" si="42"/>
        <v>#VALUE!</v>
      </c>
      <c r="N2193" s="10" t="e">
        <f t="shared" ca="1" si="43"/>
        <v>#VALUE!</v>
      </c>
      <c r="O2193" s="7" t="str">
        <f ca="1">IFERROR(__xludf.DUMMYFUNCTION("GOOGLEFINANCE(""NSE:""&amp;D2193,""pe"")"),"#N/A")</f>
        <v>#N/A</v>
      </c>
      <c r="P2193" s="7" t="str">
        <f ca="1">IFERROR(__xludf.DUMMYFUNCTION("GOOGLEFINANCE(""NSE:""&amp;D2193,""EPS"")"),"#N/A")</f>
        <v>#N/A</v>
      </c>
      <c r="Q2193" s="7">
        <v>13.5</v>
      </c>
      <c r="R2193" s="7" t="str">
        <f ca="1">IFERROR(__xludf.DUMMYFUNCTION("IMPORTXML(E2193,""/html/body/main/div[3]/div[3]/div[2]/ul/li[7]/span[2]/span"")"),"Loading...")</f>
        <v>Loading...</v>
      </c>
      <c r="S2193" s="7" t="str">
        <f ca="1">IFERROR(__xludf.DUMMYFUNCTION("IMPORTXML(E2193,""/html/body/main/div[3]/div[3]/div[2]/ul/li[8]/span[2]/span"")"),"Loading...")</f>
        <v>Loading...</v>
      </c>
      <c r="T2193" s="4">
        <v>34.6</v>
      </c>
      <c r="U2193" s="4">
        <v>22.7</v>
      </c>
      <c r="V2193" s="4">
        <v>2.6</v>
      </c>
      <c r="W2193" s="4">
        <v>5.7</v>
      </c>
      <c r="X2193" s="4">
        <v>519.92999999999995</v>
      </c>
      <c r="Y2193" s="7" t="e">
        <f t="shared" ca="1" si="44"/>
        <v>#VALUE!</v>
      </c>
    </row>
    <row r="2194" spans="1:25" ht="15" x14ac:dyDescent="0.25">
      <c r="A2194" s="4">
        <v>2037</v>
      </c>
      <c r="C2194" s="41" t="s">
        <v>4417</v>
      </c>
      <c r="D2194" s="42"/>
      <c r="E2194" s="5" t="str">
        <f t="shared" si="40"/>
        <v>https://www.screener.in/company//consolidated/</v>
      </c>
      <c r="F2194" s="4">
        <v>443059</v>
      </c>
      <c r="G2194" s="4">
        <v>3832241897</v>
      </c>
      <c r="H2194" s="6" t="e">
        <f t="shared" ca="1" si="41"/>
        <v>#VALUE!</v>
      </c>
      <c r="I2194" s="7" t="str">
        <f ca="1">IFERROR(__xludf.DUMMYFUNCTION("IMPORTXML(E2194,""/html/body/main/div[3]/div[3]/div[2]/ul/li[5]/span[2]/span"")"),"Loading...")</f>
        <v>Loading...</v>
      </c>
      <c r="J2194" s="7" t="str">
        <f ca="1">IFERROR(__xludf.DUMMYFUNCTION("GOOGLEFINANCE(""NSE:""&amp;D2194,""marketcap"")"),"#N/A")</f>
        <v>#N/A</v>
      </c>
      <c r="K2194" s="7">
        <v>992.8</v>
      </c>
      <c r="L2194" s="8" t="str">
        <f ca="1">IFERROR(__xludf.DUMMYFUNCTION("GOOGLEFINANCE(""NSE:""&amp;D2194,""price"")"),"#N/A")</f>
        <v>#N/A</v>
      </c>
      <c r="M2194" s="9" t="e">
        <f t="shared" ca="1" si="42"/>
        <v>#VALUE!</v>
      </c>
      <c r="N2194" s="10" t="e">
        <f t="shared" ca="1" si="43"/>
        <v>#VALUE!</v>
      </c>
      <c r="O2194" s="7" t="str">
        <f ca="1">IFERROR(__xludf.DUMMYFUNCTION("GOOGLEFINANCE(""NSE:""&amp;D2194,""pe"")"),"#N/A")</f>
        <v>#N/A</v>
      </c>
      <c r="P2194" s="7" t="str">
        <f ca="1">IFERROR(__xludf.DUMMYFUNCTION("GOOGLEFINANCE(""NSE:""&amp;D2194,""EPS"")"),"#N/A")</f>
        <v>#N/A</v>
      </c>
      <c r="Q2194" s="7">
        <v>13.5</v>
      </c>
      <c r="R2194" s="7" t="str">
        <f ca="1">IFERROR(__xludf.DUMMYFUNCTION("IMPORTXML(E2194,""/html/body/main/div[3]/div[3]/div[2]/ul/li[7]/span[2]/span"")"),"Loading...")</f>
        <v>Loading...</v>
      </c>
      <c r="S2194" s="7" t="str">
        <f ca="1">IFERROR(__xludf.DUMMYFUNCTION("IMPORTXML(E2194,""/html/body/main/div[3]/div[3]/div[2]/ul/li[8]/span[2]/span"")"),"Loading...")</f>
        <v>Loading...</v>
      </c>
      <c r="T2194" s="4">
        <v>34.6</v>
      </c>
      <c r="U2194" s="4">
        <v>22.7</v>
      </c>
      <c r="V2194" s="4">
        <v>2.6</v>
      </c>
      <c r="W2194" s="4">
        <v>5.7</v>
      </c>
      <c r="X2194" s="4">
        <v>519.92999999999995</v>
      </c>
      <c r="Y2194" s="7" t="e">
        <f t="shared" ca="1" si="44"/>
        <v>#VALUE!</v>
      </c>
    </row>
    <row r="2195" spans="1:25" ht="15" x14ac:dyDescent="0.25">
      <c r="A2195" s="4">
        <v>2038</v>
      </c>
      <c r="C2195" s="41" t="s">
        <v>4418</v>
      </c>
      <c r="D2195" s="42"/>
      <c r="E2195" s="5" t="str">
        <f t="shared" si="40"/>
        <v>https://www.screener.in/company//consolidated/</v>
      </c>
      <c r="F2195" s="4">
        <v>443059</v>
      </c>
      <c r="G2195" s="4">
        <v>3832241897</v>
      </c>
      <c r="H2195" s="6" t="e">
        <f t="shared" ca="1" si="41"/>
        <v>#VALUE!</v>
      </c>
      <c r="I2195" s="7" t="str">
        <f ca="1">IFERROR(__xludf.DUMMYFUNCTION("IMPORTXML(E2195,""/html/body/main/div[3]/div[3]/div[2]/ul/li[5]/span[2]/span"")"),"Loading...")</f>
        <v>Loading...</v>
      </c>
      <c r="J2195" s="7" t="str">
        <f ca="1">IFERROR(__xludf.DUMMYFUNCTION("GOOGLEFINANCE(""NSE:""&amp;D2195,""marketcap"")"),"#N/A")</f>
        <v>#N/A</v>
      </c>
      <c r="K2195" s="7">
        <v>992.8</v>
      </c>
      <c r="L2195" s="8" t="str">
        <f ca="1">IFERROR(__xludf.DUMMYFUNCTION("GOOGLEFINANCE(""NSE:""&amp;D2195,""price"")"),"#N/A")</f>
        <v>#N/A</v>
      </c>
      <c r="M2195" s="9" t="e">
        <f t="shared" ca="1" si="42"/>
        <v>#VALUE!</v>
      </c>
      <c r="N2195" s="10" t="e">
        <f t="shared" ca="1" si="43"/>
        <v>#VALUE!</v>
      </c>
      <c r="O2195" s="7" t="str">
        <f ca="1">IFERROR(__xludf.DUMMYFUNCTION("GOOGLEFINANCE(""NSE:""&amp;D2195,""pe"")"),"#N/A")</f>
        <v>#N/A</v>
      </c>
      <c r="P2195" s="7" t="str">
        <f ca="1">IFERROR(__xludf.DUMMYFUNCTION("GOOGLEFINANCE(""NSE:""&amp;D2195,""EPS"")"),"#N/A")</f>
        <v>#N/A</v>
      </c>
      <c r="Q2195" s="7">
        <v>13.5</v>
      </c>
      <c r="R2195" s="7" t="str">
        <f ca="1">IFERROR(__xludf.DUMMYFUNCTION("IMPORTXML(E2195,""/html/body/main/div[3]/div[3]/div[2]/ul/li[7]/span[2]/span"")"),"Loading...")</f>
        <v>Loading...</v>
      </c>
      <c r="S2195" s="7" t="str">
        <f ca="1">IFERROR(__xludf.DUMMYFUNCTION("IMPORTXML(E2195,""/html/body/main/div[3]/div[3]/div[2]/ul/li[8]/span[2]/span"")"),"Loading...")</f>
        <v>Loading...</v>
      </c>
      <c r="T2195" s="4">
        <v>34.6</v>
      </c>
      <c r="U2195" s="4">
        <v>22.7</v>
      </c>
      <c r="V2195" s="4">
        <v>2.6</v>
      </c>
      <c r="W2195" s="4">
        <v>5.7</v>
      </c>
      <c r="X2195" s="4">
        <v>519.92999999999995</v>
      </c>
      <c r="Y2195" s="7" t="e">
        <f t="shared" ca="1" si="44"/>
        <v>#VALUE!</v>
      </c>
    </row>
    <row r="2196" spans="1:25" ht="15" x14ac:dyDescent="0.25">
      <c r="A2196" s="4">
        <v>2039</v>
      </c>
      <c r="C2196" s="41" t="s">
        <v>4419</v>
      </c>
      <c r="D2196" s="42"/>
      <c r="E2196" s="5" t="str">
        <f t="shared" si="40"/>
        <v>https://www.screener.in/company//consolidated/</v>
      </c>
      <c r="F2196" s="4">
        <v>443059</v>
      </c>
      <c r="G2196" s="4">
        <v>3832241897</v>
      </c>
      <c r="H2196" s="6" t="e">
        <f t="shared" ca="1" si="41"/>
        <v>#VALUE!</v>
      </c>
      <c r="I2196" s="7" t="str">
        <f ca="1">IFERROR(__xludf.DUMMYFUNCTION("IMPORTXML(E2196,""/html/body/main/div[3]/div[3]/div[2]/ul/li[5]/span[2]/span"")"),"Loading...")</f>
        <v>Loading...</v>
      </c>
      <c r="J2196" s="7" t="str">
        <f ca="1">IFERROR(__xludf.DUMMYFUNCTION("GOOGLEFINANCE(""NSE:""&amp;D2196,""marketcap"")"),"#N/A")</f>
        <v>#N/A</v>
      </c>
      <c r="K2196" s="7">
        <v>992.8</v>
      </c>
      <c r="L2196" s="8" t="str">
        <f ca="1">IFERROR(__xludf.DUMMYFUNCTION("GOOGLEFINANCE(""NSE:""&amp;D2196,""price"")"),"#N/A")</f>
        <v>#N/A</v>
      </c>
      <c r="M2196" s="9" t="e">
        <f t="shared" ca="1" si="42"/>
        <v>#VALUE!</v>
      </c>
      <c r="N2196" s="10" t="e">
        <f t="shared" ca="1" si="43"/>
        <v>#VALUE!</v>
      </c>
      <c r="O2196" s="7" t="str">
        <f ca="1">IFERROR(__xludf.DUMMYFUNCTION("GOOGLEFINANCE(""NSE:""&amp;D2196,""pe"")"),"#N/A")</f>
        <v>#N/A</v>
      </c>
      <c r="P2196" s="7" t="str">
        <f ca="1">IFERROR(__xludf.DUMMYFUNCTION("GOOGLEFINANCE(""NSE:""&amp;D2196,""EPS"")"),"#N/A")</f>
        <v>#N/A</v>
      </c>
      <c r="Q2196" s="7">
        <v>13.5</v>
      </c>
      <c r="R2196" s="7" t="str">
        <f ca="1">IFERROR(__xludf.DUMMYFUNCTION("IMPORTXML(E2196,""/html/body/main/div[3]/div[3]/div[2]/ul/li[7]/span[2]/span"")"),"Loading...")</f>
        <v>Loading...</v>
      </c>
      <c r="S2196" s="7" t="str">
        <f ca="1">IFERROR(__xludf.DUMMYFUNCTION("IMPORTXML(E2196,""/html/body/main/div[3]/div[3]/div[2]/ul/li[8]/span[2]/span"")"),"Loading...")</f>
        <v>Loading...</v>
      </c>
      <c r="T2196" s="4">
        <v>34.6</v>
      </c>
      <c r="U2196" s="4">
        <v>22.7</v>
      </c>
      <c r="V2196" s="4">
        <v>2.6</v>
      </c>
      <c r="W2196" s="4">
        <v>5.7</v>
      </c>
      <c r="X2196" s="4">
        <v>519.92999999999995</v>
      </c>
      <c r="Y2196" s="7" t="e">
        <f t="shared" ca="1" si="44"/>
        <v>#VALUE!</v>
      </c>
    </row>
    <row r="2197" spans="1:25" ht="15" x14ac:dyDescent="0.25">
      <c r="A2197" s="4">
        <v>2040</v>
      </c>
      <c r="C2197" s="41" t="s">
        <v>4420</v>
      </c>
      <c r="D2197" s="42"/>
      <c r="E2197" s="5" t="str">
        <f t="shared" si="40"/>
        <v>https://www.screener.in/company//consolidated/</v>
      </c>
      <c r="F2197" s="4">
        <v>443059</v>
      </c>
      <c r="G2197" s="4">
        <v>3832241897</v>
      </c>
      <c r="H2197" s="6" t="e">
        <f t="shared" ca="1" si="41"/>
        <v>#VALUE!</v>
      </c>
      <c r="I2197" s="7" t="str">
        <f ca="1">IFERROR(__xludf.DUMMYFUNCTION("IMPORTXML(E2197,""/html/body/main/div[3]/div[3]/div[2]/ul/li[5]/span[2]/span"")"),"Loading...")</f>
        <v>Loading...</v>
      </c>
      <c r="J2197" s="7" t="str">
        <f ca="1">IFERROR(__xludf.DUMMYFUNCTION("GOOGLEFINANCE(""NSE:""&amp;D2197,""marketcap"")"),"#N/A")</f>
        <v>#N/A</v>
      </c>
      <c r="K2197" s="7">
        <v>992.8</v>
      </c>
      <c r="L2197" s="8" t="str">
        <f ca="1">IFERROR(__xludf.DUMMYFUNCTION("GOOGLEFINANCE(""NSE:""&amp;D2197,""price"")"),"#N/A")</f>
        <v>#N/A</v>
      </c>
      <c r="M2197" s="9" t="e">
        <f t="shared" ca="1" si="42"/>
        <v>#VALUE!</v>
      </c>
      <c r="N2197" s="10" t="e">
        <f t="shared" ca="1" si="43"/>
        <v>#VALUE!</v>
      </c>
      <c r="O2197" s="7" t="str">
        <f ca="1">IFERROR(__xludf.DUMMYFUNCTION("GOOGLEFINANCE(""NSE:""&amp;D2197,""pe"")"),"#N/A")</f>
        <v>#N/A</v>
      </c>
      <c r="P2197" s="7" t="str">
        <f ca="1">IFERROR(__xludf.DUMMYFUNCTION("GOOGLEFINANCE(""NSE:""&amp;D2197,""EPS"")"),"#N/A")</f>
        <v>#N/A</v>
      </c>
      <c r="Q2197" s="7">
        <v>13.5</v>
      </c>
      <c r="R2197" s="7" t="str">
        <f ca="1">IFERROR(__xludf.DUMMYFUNCTION("IMPORTXML(E2197,""/html/body/main/div[3]/div[3]/div[2]/ul/li[7]/span[2]/span"")"),"Loading...")</f>
        <v>Loading...</v>
      </c>
      <c r="S2197" s="7" t="str">
        <f ca="1">IFERROR(__xludf.DUMMYFUNCTION("IMPORTXML(E2197,""/html/body/main/div[3]/div[3]/div[2]/ul/li[8]/span[2]/span"")"),"Loading...")</f>
        <v>Loading...</v>
      </c>
      <c r="T2197" s="4">
        <v>34.6</v>
      </c>
      <c r="U2197" s="4">
        <v>22.7</v>
      </c>
      <c r="V2197" s="4">
        <v>2.6</v>
      </c>
      <c r="W2197" s="4">
        <v>5.7</v>
      </c>
      <c r="X2197" s="4">
        <v>519.92999999999995</v>
      </c>
      <c r="Y2197" s="7" t="e">
        <f t="shared" ca="1" si="44"/>
        <v>#VALUE!</v>
      </c>
    </row>
    <row r="2198" spans="1:25" ht="15" x14ac:dyDescent="0.25">
      <c r="A2198" s="4">
        <v>2041</v>
      </c>
      <c r="C2198" s="41" t="s">
        <v>4421</v>
      </c>
      <c r="D2198" s="42"/>
      <c r="E2198" s="5" t="str">
        <f t="shared" si="40"/>
        <v>https://www.screener.in/company//consolidated/</v>
      </c>
      <c r="F2198" s="4">
        <v>443059</v>
      </c>
      <c r="G2198" s="4">
        <v>3832241897</v>
      </c>
      <c r="H2198" s="6" t="e">
        <f t="shared" ca="1" si="41"/>
        <v>#VALUE!</v>
      </c>
      <c r="I2198" s="7" t="str">
        <f ca="1">IFERROR(__xludf.DUMMYFUNCTION("IMPORTXML(E2198,""/html/body/main/div[3]/div[3]/div[2]/ul/li[5]/span[2]/span"")"),"Loading...")</f>
        <v>Loading...</v>
      </c>
      <c r="J2198" s="7" t="str">
        <f ca="1">IFERROR(__xludf.DUMMYFUNCTION("GOOGLEFINANCE(""NSE:""&amp;D2198,""marketcap"")"),"#N/A")</f>
        <v>#N/A</v>
      </c>
      <c r="K2198" s="7">
        <v>992.8</v>
      </c>
      <c r="L2198" s="8" t="str">
        <f ca="1">IFERROR(__xludf.DUMMYFUNCTION("GOOGLEFINANCE(""NSE:""&amp;D2198,""price"")"),"#N/A")</f>
        <v>#N/A</v>
      </c>
      <c r="M2198" s="9" t="e">
        <f t="shared" ca="1" si="42"/>
        <v>#VALUE!</v>
      </c>
      <c r="N2198" s="10" t="e">
        <f t="shared" ca="1" si="43"/>
        <v>#VALUE!</v>
      </c>
      <c r="O2198" s="7" t="str">
        <f ca="1">IFERROR(__xludf.DUMMYFUNCTION("GOOGLEFINANCE(""NSE:""&amp;D2198,""pe"")"),"#N/A")</f>
        <v>#N/A</v>
      </c>
      <c r="P2198" s="7" t="str">
        <f ca="1">IFERROR(__xludf.DUMMYFUNCTION("GOOGLEFINANCE(""NSE:""&amp;D2198,""EPS"")"),"#N/A")</f>
        <v>#N/A</v>
      </c>
      <c r="Q2198" s="7">
        <v>13.5</v>
      </c>
      <c r="R2198" s="7" t="str">
        <f ca="1">IFERROR(__xludf.DUMMYFUNCTION("IMPORTXML(E2198,""/html/body/main/div[3]/div[3]/div[2]/ul/li[7]/span[2]/span"")"),"Loading...")</f>
        <v>Loading...</v>
      </c>
      <c r="S2198" s="7" t="str">
        <f ca="1">IFERROR(__xludf.DUMMYFUNCTION("IMPORTXML(E2198,""/html/body/main/div[3]/div[3]/div[2]/ul/li[8]/span[2]/span"")"),"Loading...")</f>
        <v>Loading...</v>
      </c>
      <c r="T2198" s="4">
        <v>34.6</v>
      </c>
      <c r="U2198" s="4">
        <v>22.7</v>
      </c>
      <c r="V2198" s="4">
        <v>2.6</v>
      </c>
      <c r="W2198" s="4">
        <v>5.7</v>
      </c>
      <c r="X2198" s="4">
        <v>519.92999999999995</v>
      </c>
      <c r="Y2198" s="7" t="e">
        <f t="shared" ca="1" si="44"/>
        <v>#VALUE!</v>
      </c>
    </row>
    <row r="2199" spans="1:25" ht="15" x14ac:dyDescent="0.25">
      <c r="A2199" s="4">
        <v>2042</v>
      </c>
      <c r="C2199" s="41" t="s">
        <v>4422</v>
      </c>
      <c r="D2199" s="42"/>
      <c r="E2199" s="5" t="str">
        <f t="shared" si="40"/>
        <v>https://www.screener.in/company//consolidated/</v>
      </c>
      <c r="F2199" s="4">
        <v>443059</v>
      </c>
      <c r="G2199" s="4">
        <v>3832241897</v>
      </c>
      <c r="H2199" s="6" t="e">
        <f t="shared" ca="1" si="41"/>
        <v>#VALUE!</v>
      </c>
      <c r="I2199" s="7" t="str">
        <f ca="1">IFERROR(__xludf.DUMMYFUNCTION("IMPORTXML(E2199,""/html/body/main/div[3]/div[3]/div[2]/ul/li[5]/span[2]/span"")"),"Loading...")</f>
        <v>Loading...</v>
      </c>
      <c r="J2199" s="7" t="str">
        <f ca="1">IFERROR(__xludf.DUMMYFUNCTION("GOOGLEFINANCE(""NSE:""&amp;D2199,""marketcap"")"),"#N/A")</f>
        <v>#N/A</v>
      </c>
      <c r="K2199" s="7">
        <v>992.8</v>
      </c>
      <c r="L2199" s="8" t="str">
        <f ca="1">IFERROR(__xludf.DUMMYFUNCTION("GOOGLEFINANCE(""NSE:""&amp;D2199,""price"")"),"#N/A")</f>
        <v>#N/A</v>
      </c>
      <c r="M2199" s="9" t="e">
        <f t="shared" ca="1" si="42"/>
        <v>#VALUE!</v>
      </c>
      <c r="N2199" s="10" t="e">
        <f t="shared" ca="1" si="43"/>
        <v>#VALUE!</v>
      </c>
      <c r="O2199" s="7" t="str">
        <f ca="1">IFERROR(__xludf.DUMMYFUNCTION("GOOGLEFINANCE(""NSE:""&amp;D2199,""pe"")"),"#N/A")</f>
        <v>#N/A</v>
      </c>
      <c r="P2199" s="7" t="str">
        <f ca="1">IFERROR(__xludf.DUMMYFUNCTION("GOOGLEFINANCE(""NSE:""&amp;D2199,""EPS"")"),"#N/A")</f>
        <v>#N/A</v>
      </c>
      <c r="Q2199" s="7">
        <v>13.5</v>
      </c>
      <c r="R2199" s="7" t="str">
        <f ca="1">IFERROR(__xludf.DUMMYFUNCTION("IMPORTXML(E2199,""/html/body/main/div[3]/div[3]/div[2]/ul/li[7]/span[2]/span"")"),"Loading...")</f>
        <v>Loading...</v>
      </c>
      <c r="S2199" s="7" t="str">
        <f ca="1">IFERROR(__xludf.DUMMYFUNCTION("IMPORTXML(E2199,""/html/body/main/div[3]/div[3]/div[2]/ul/li[8]/span[2]/span"")"),"Loading...")</f>
        <v>Loading...</v>
      </c>
      <c r="T2199" s="4">
        <v>34.6</v>
      </c>
      <c r="U2199" s="4">
        <v>22.7</v>
      </c>
      <c r="V2199" s="4">
        <v>2.6</v>
      </c>
      <c r="W2199" s="4">
        <v>5.7</v>
      </c>
      <c r="X2199" s="4">
        <v>519.92999999999995</v>
      </c>
      <c r="Y2199" s="7" t="e">
        <f t="shared" ca="1" si="44"/>
        <v>#VALUE!</v>
      </c>
    </row>
    <row r="2200" spans="1:25" ht="15" x14ac:dyDescent="0.25">
      <c r="A2200" s="4">
        <v>2043</v>
      </c>
      <c r="C2200" s="41" t="s">
        <v>4423</v>
      </c>
      <c r="D2200" s="42"/>
      <c r="E2200" s="5" t="str">
        <f t="shared" si="40"/>
        <v>https://www.screener.in/company//consolidated/</v>
      </c>
      <c r="F2200" s="4">
        <v>443059</v>
      </c>
      <c r="G2200" s="4">
        <v>3832241897</v>
      </c>
      <c r="H2200" s="6" t="e">
        <f t="shared" ca="1" si="41"/>
        <v>#VALUE!</v>
      </c>
      <c r="I2200" s="7" t="str">
        <f ca="1">IFERROR(__xludf.DUMMYFUNCTION("IMPORTXML(E2200,""/html/body/main/div[3]/div[3]/div[2]/ul/li[5]/span[2]/span"")"),"Loading...")</f>
        <v>Loading...</v>
      </c>
      <c r="J2200" s="7" t="str">
        <f ca="1">IFERROR(__xludf.DUMMYFUNCTION("GOOGLEFINANCE(""NSE:""&amp;D2200,""marketcap"")"),"#N/A")</f>
        <v>#N/A</v>
      </c>
      <c r="K2200" s="7">
        <v>992.8</v>
      </c>
      <c r="L2200" s="8" t="str">
        <f ca="1">IFERROR(__xludf.DUMMYFUNCTION("GOOGLEFINANCE(""NSE:""&amp;D2200,""price"")"),"#N/A")</f>
        <v>#N/A</v>
      </c>
      <c r="M2200" s="9" t="e">
        <f t="shared" ca="1" si="42"/>
        <v>#VALUE!</v>
      </c>
      <c r="N2200" s="10" t="e">
        <f t="shared" ca="1" si="43"/>
        <v>#VALUE!</v>
      </c>
      <c r="O2200" s="7" t="str">
        <f ca="1">IFERROR(__xludf.DUMMYFUNCTION("GOOGLEFINANCE(""NSE:""&amp;D2200,""pe"")"),"#N/A")</f>
        <v>#N/A</v>
      </c>
      <c r="P2200" s="7" t="str">
        <f ca="1">IFERROR(__xludf.DUMMYFUNCTION("GOOGLEFINANCE(""NSE:""&amp;D2200,""EPS"")"),"#N/A")</f>
        <v>#N/A</v>
      </c>
      <c r="Q2200" s="7">
        <v>13.5</v>
      </c>
      <c r="R2200" s="7" t="str">
        <f ca="1">IFERROR(__xludf.DUMMYFUNCTION("IMPORTXML(E2200,""/html/body/main/div[3]/div[3]/div[2]/ul/li[7]/span[2]/span"")"),"Loading...")</f>
        <v>Loading...</v>
      </c>
      <c r="S2200" s="7" t="str">
        <f ca="1">IFERROR(__xludf.DUMMYFUNCTION("IMPORTXML(E2200,""/html/body/main/div[3]/div[3]/div[2]/ul/li[8]/span[2]/span"")"),"Loading...")</f>
        <v>Loading...</v>
      </c>
      <c r="T2200" s="4">
        <v>34.6</v>
      </c>
      <c r="U2200" s="4">
        <v>22.7</v>
      </c>
      <c r="V2200" s="4">
        <v>2.6</v>
      </c>
      <c r="W2200" s="4">
        <v>5.7</v>
      </c>
      <c r="X2200" s="4">
        <v>519.92999999999995</v>
      </c>
      <c r="Y2200" s="7" t="e">
        <f t="shared" ca="1" si="44"/>
        <v>#VALUE!</v>
      </c>
    </row>
    <row r="2201" spans="1:25" ht="15" x14ac:dyDescent="0.25">
      <c r="A2201" s="4">
        <v>2044</v>
      </c>
      <c r="C2201" s="41" t="s">
        <v>4424</v>
      </c>
      <c r="D2201" s="42"/>
      <c r="E2201" s="5" t="str">
        <f t="shared" si="40"/>
        <v>https://www.screener.in/company//consolidated/</v>
      </c>
      <c r="F2201" s="4">
        <v>443059</v>
      </c>
      <c r="G2201" s="4">
        <v>3832241897</v>
      </c>
      <c r="H2201" s="6" t="e">
        <f t="shared" ca="1" si="41"/>
        <v>#VALUE!</v>
      </c>
      <c r="I2201" s="7" t="str">
        <f ca="1">IFERROR(__xludf.DUMMYFUNCTION("IMPORTXML(E2201,""/html/body/main/div[3]/div[3]/div[2]/ul/li[5]/span[2]/span"")"),"Loading...")</f>
        <v>Loading...</v>
      </c>
      <c r="J2201" s="7" t="str">
        <f ca="1">IFERROR(__xludf.DUMMYFUNCTION("GOOGLEFINANCE(""NSE:""&amp;D2201,""marketcap"")"),"#N/A")</f>
        <v>#N/A</v>
      </c>
      <c r="K2201" s="7">
        <v>992.8</v>
      </c>
      <c r="L2201" s="8" t="str">
        <f ca="1">IFERROR(__xludf.DUMMYFUNCTION("GOOGLEFINANCE(""NSE:""&amp;D2201,""price"")"),"#N/A")</f>
        <v>#N/A</v>
      </c>
      <c r="M2201" s="9" t="e">
        <f t="shared" ca="1" si="42"/>
        <v>#VALUE!</v>
      </c>
      <c r="N2201" s="10" t="e">
        <f t="shared" ca="1" si="43"/>
        <v>#VALUE!</v>
      </c>
      <c r="O2201" s="7" t="str">
        <f ca="1">IFERROR(__xludf.DUMMYFUNCTION("GOOGLEFINANCE(""NSE:""&amp;D2201,""pe"")"),"#N/A")</f>
        <v>#N/A</v>
      </c>
      <c r="P2201" s="7" t="str">
        <f ca="1">IFERROR(__xludf.DUMMYFUNCTION("GOOGLEFINANCE(""NSE:""&amp;D2201,""EPS"")"),"#N/A")</f>
        <v>#N/A</v>
      </c>
      <c r="Q2201" s="7">
        <v>13.5</v>
      </c>
      <c r="R2201" s="7" t="str">
        <f ca="1">IFERROR(__xludf.DUMMYFUNCTION("IMPORTXML(E2201,""/html/body/main/div[3]/div[3]/div[2]/ul/li[7]/span[2]/span"")"),"Loading...")</f>
        <v>Loading...</v>
      </c>
      <c r="S2201" s="7" t="str">
        <f ca="1">IFERROR(__xludf.DUMMYFUNCTION("IMPORTXML(E2201,""/html/body/main/div[3]/div[3]/div[2]/ul/li[8]/span[2]/span"")"),"Loading...")</f>
        <v>Loading...</v>
      </c>
      <c r="T2201" s="4">
        <v>34.6</v>
      </c>
      <c r="U2201" s="4">
        <v>22.7</v>
      </c>
      <c r="V2201" s="4">
        <v>2.6</v>
      </c>
      <c r="W2201" s="4">
        <v>5.7</v>
      </c>
      <c r="X2201" s="4">
        <v>519.92999999999995</v>
      </c>
      <c r="Y2201" s="7" t="e">
        <f t="shared" ca="1" si="44"/>
        <v>#VALUE!</v>
      </c>
    </row>
    <row r="2202" spans="1:25" ht="15" x14ac:dyDescent="0.25">
      <c r="A2202" s="4">
        <v>2045</v>
      </c>
      <c r="C2202" s="12" t="s">
        <v>4425</v>
      </c>
      <c r="D2202" s="12" t="s">
        <v>4426</v>
      </c>
      <c r="E2202" s="5" t="str">
        <f t="shared" si="40"/>
        <v>https://www.screener.in/company/CTE/consolidated/</v>
      </c>
      <c r="F2202" s="4">
        <v>443059</v>
      </c>
      <c r="G2202" s="4">
        <v>3832241897</v>
      </c>
      <c r="H2202" s="6">
        <f t="shared" ca="1" si="41"/>
        <v>15865.48145358</v>
      </c>
      <c r="I2202" s="7" t="str">
        <f ca="1">IFERROR(__xludf.DUMMYFUNCTION("IMPORTXML(E2202,""/html/body/main/div[3]/div[3]/div[2]/ul/li[5]/span[2]/span"")"),"Loading...")</f>
        <v>Loading...</v>
      </c>
      <c r="J2202" s="7">
        <f ca="1">IFERROR(__xludf.DUMMYFUNCTION("GOOGLEFINANCE(""NSE:""&amp;D2202,""marketcap"")"),796981900)</f>
        <v>796981900</v>
      </c>
      <c r="K2202" s="7">
        <v>992.8</v>
      </c>
      <c r="L2202" s="8">
        <f ca="1">IFERROR(__xludf.DUMMYFUNCTION("GOOGLEFINANCE(""NSE:""&amp;D2202,""price"")"),41.4)</f>
        <v>41.4</v>
      </c>
      <c r="M2202" s="9">
        <f t="shared" ca="1" si="42"/>
        <v>-951.4</v>
      </c>
      <c r="N2202" s="10">
        <f t="shared" ca="1" si="43"/>
        <v>-95.829975825946818</v>
      </c>
      <c r="O2202" s="7" t="str">
        <f ca="1">IFERROR(__xludf.DUMMYFUNCTION("GOOGLEFINANCE(""NSE:""&amp;D2202,""pe"")"),"#N/A")</f>
        <v>#N/A</v>
      </c>
      <c r="P2202" s="7">
        <f ca="1">IFERROR(__xludf.DUMMYFUNCTION("GOOGLEFINANCE(""NSE:""&amp;D2202,""EPS"")"),-19.88)</f>
        <v>-19.88</v>
      </c>
      <c r="Q2202" s="7">
        <v>13.5</v>
      </c>
      <c r="R2202" s="7" t="str">
        <f ca="1">IFERROR(__xludf.DUMMYFUNCTION("IMPORTXML(E2202,""/html/body/main/div[3]/div[3]/div[2]/ul/li[7]/span[2]/span"")"),"Loading...")</f>
        <v>Loading...</v>
      </c>
      <c r="S2202" s="7" t="str">
        <f ca="1">IFERROR(__xludf.DUMMYFUNCTION("IMPORTXML(E2202,""/html/body/main/div[3]/div[3]/div[2]/ul/li[8]/span[2]/span"")"),"Loading...")</f>
        <v>Loading...</v>
      </c>
      <c r="T2202" s="4">
        <v>34.6</v>
      </c>
      <c r="U2202" s="4">
        <v>22.7</v>
      </c>
      <c r="V2202" s="4">
        <v>2.6</v>
      </c>
      <c r="W2202" s="4">
        <v>5.7</v>
      </c>
      <c r="X2202" s="4">
        <v>519.92999999999995</v>
      </c>
      <c r="Y2202" s="7">
        <f t="shared" ca="1" si="44"/>
        <v>-478.53</v>
      </c>
    </row>
    <row r="2203" spans="1:25" ht="15" x14ac:dyDescent="0.25">
      <c r="A2203" s="4">
        <v>2048</v>
      </c>
      <c r="C2203" s="12" t="s">
        <v>4427</v>
      </c>
      <c r="D2203" s="37"/>
      <c r="E2203" s="5" t="str">
        <f t="shared" ref="E2203:E2457" si="45">"https://www.screener.in/company/"&amp; D2203&amp;"/consolidated/"</f>
        <v>https://www.screener.in/company//consolidated/</v>
      </c>
      <c r="F2203" s="4">
        <v>443059</v>
      </c>
      <c r="G2203" s="4">
        <v>3832241897</v>
      </c>
      <c r="H2203" s="6" t="e">
        <f t="shared" ref="H2203:H2457" ca="1" si="46">(G2203*L2203)/10^7</f>
        <v>#VALUE!</v>
      </c>
      <c r="I2203" s="7" t="str">
        <f ca="1">IFERROR(__xludf.DUMMYFUNCTION("IMPORTXML(E2203,""/html/body/main/div[3]/div[3]/div[2]/ul/li[5]/span[2]/span"")"),"Loading...")</f>
        <v>Loading...</v>
      </c>
      <c r="J2203" s="7" t="str">
        <f ca="1">IFERROR(__xludf.DUMMYFUNCTION("GOOGLEFINANCE(""NSE:""&amp;D2203,""marketcap"")"),"#N/A")</f>
        <v>#N/A</v>
      </c>
      <c r="K2203" s="7">
        <v>992.8</v>
      </c>
      <c r="L2203" s="8" t="str">
        <f ca="1">IFERROR(__xludf.DUMMYFUNCTION("GOOGLEFINANCE(""NSE:""&amp;D2203,""price"")"),"#N/A")</f>
        <v>#N/A</v>
      </c>
      <c r="M2203" s="9" t="e">
        <f t="shared" ref="M2203:M2457" ca="1" si="47">L2203-K2203</f>
        <v>#VALUE!</v>
      </c>
      <c r="N2203" s="10" t="e">
        <f t="shared" ref="N2203:N2457" ca="1" si="48">(M2203/K2203)*100</f>
        <v>#VALUE!</v>
      </c>
      <c r="O2203" s="7" t="str">
        <f ca="1">IFERROR(__xludf.DUMMYFUNCTION("GOOGLEFINANCE(""NSE:""&amp;D2203,""pe"")"),"#N/A")</f>
        <v>#N/A</v>
      </c>
      <c r="P2203" s="7" t="str">
        <f ca="1">IFERROR(__xludf.DUMMYFUNCTION("GOOGLEFINANCE(""NSE:""&amp;D2203,""EPS"")"),"#N/A")</f>
        <v>#N/A</v>
      </c>
      <c r="Q2203" s="7">
        <v>13.5</v>
      </c>
      <c r="R2203" s="7" t="str">
        <f ca="1">IFERROR(__xludf.DUMMYFUNCTION("IMPORTXML(E2203,""/html/body/main/div[3]/div[3]/div[2]/ul/li[7]/span[2]/span"")"),"Loading...")</f>
        <v>Loading...</v>
      </c>
      <c r="S2203" s="7" t="str">
        <f ca="1">IFERROR(__xludf.DUMMYFUNCTION("IMPORTXML(E2203,""/html/body/main/div[3]/div[3]/div[2]/ul/li[8]/span[2]/span"")"),"Loading...")</f>
        <v>Loading...</v>
      </c>
      <c r="T2203" s="4">
        <v>34.6</v>
      </c>
      <c r="U2203" s="4">
        <v>22.7</v>
      </c>
      <c r="V2203" s="4">
        <v>2.6</v>
      </c>
      <c r="W2203" s="4">
        <v>5.7</v>
      </c>
      <c r="X2203" s="4">
        <v>519.92999999999995</v>
      </c>
      <c r="Y2203" s="7" t="e">
        <f t="shared" ref="Y2203:Y2457" ca="1" si="49">L2203-X2203</f>
        <v>#VALUE!</v>
      </c>
    </row>
    <row r="2204" spans="1:25" ht="15" x14ac:dyDescent="0.25">
      <c r="A2204" s="4">
        <v>2049</v>
      </c>
      <c r="C2204" s="12" t="s">
        <v>4428</v>
      </c>
      <c r="D2204" s="12" t="s">
        <v>4429</v>
      </c>
      <c r="E2204" s="5" t="str">
        <f t="shared" si="45"/>
        <v>https://www.screener.in/company/IL&amp;FSTRANS/consolidated/</v>
      </c>
      <c r="F2204" s="4">
        <v>443059</v>
      </c>
      <c r="G2204" s="4">
        <v>3832241897</v>
      </c>
      <c r="H2204" s="6">
        <f t="shared" ca="1" si="46"/>
        <v>1214.8206813489999</v>
      </c>
      <c r="I2204" s="7" t="str">
        <f ca="1">IFERROR(__xludf.DUMMYFUNCTION("IMPORTXML(E2204,""/html/body/main/div[3]/div[3]/div[2]/ul/li[5]/span[2]/span"")"),"Loading...")</f>
        <v>Loading...</v>
      </c>
      <c r="J2204" s="7">
        <f ca="1">IFERROR(__xludf.DUMMYFUNCTION("GOOGLEFINANCE(""NSE:""&amp;D2204,""marketcap"")"),1053790000)</f>
        <v>1053790000</v>
      </c>
      <c r="K2204" s="7">
        <v>992.8</v>
      </c>
      <c r="L2204" s="8">
        <f ca="1">IFERROR(__xludf.DUMMYFUNCTION("GOOGLEFINANCE(""NSE:""&amp;D2204,""price"")"),3.17)</f>
        <v>3.17</v>
      </c>
      <c r="M2204" s="9">
        <f t="shared" ca="1" si="47"/>
        <v>-989.63</v>
      </c>
      <c r="N2204" s="10">
        <f t="shared" ca="1" si="48"/>
        <v>-99.680701047542314</v>
      </c>
      <c r="O2204" s="7" t="str">
        <f ca="1">IFERROR(__xludf.DUMMYFUNCTION("GOOGLEFINANCE(""NSE:""&amp;D2204,""pe"")"),"#N/A")</f>
        <v>#N/A</v>
      </c>
      <c r="P2204" s="7" t="str">
        <f ca="1">IFERROR(__xludf.DUMMYFUNCTION("GOOGLEFINANCE(""NSE:""&amp;D2204,""EPS"")"),"#N/A")</f>
        <v>#N/A</v>
      </c>
      <c r="Q2204" s="7">
        <v>13.5</v>
      </c>
      <c r="R2204" s="7" t="str">
        <f ca="1">IFERROR(__xludf.DUMMYFUNCTION("IMPORTXML(E2204,""/html/body/main/div[3]/div[3]/div[2]/ul/li[7]/span[2]/span"")"),"Loading...")</f>
        <v>Loading...</v>
      </c>
      <c r="S2204" s="7" t="str">
        <f ca="1">IFERROR(__xludf.DUMMYFUNCTION("IMPORTXML(E2204,""/html/body/main/div[3]/div[3]/div[2]/ul/li[8]/span[2]/span"")"),"Loading...")</f>
        <v>Loading...</v>
      </c>
      <c r="T2204" s="4">
        <v>34.6</v>
      </c>
      <c r="U2204" s="4">
        <v>22.7</v>
      </c>
      <c r="V2204" s="4">
        <v>2.6</v>
      </c>
      <c r="W2204" s="4">
        <v>5.7</v>
      </c>
      <c r="X2204" s="4">
        <v>519.92999999999995</v>
      </c>
      <c r="Y2204" s="7">
        <f t="shared" ca="1" si="49"/>
        <v>-516.76</v>
      </c>
    </row>
    <row r="2205" spans="1:25" ht="15" x14ac:dyDescent="0.25">
      <c r="A2205" s="4">
        <v>2051</v>
      </c>
      <c r="C2205" s="41" t="s">
        <v>4430</v>
      </c>
      <c r="D2205" s="42"/>
      <c r="E2205" s="5" t="str">
        <f t="shared" si="45"/>
        <v>https://www.screener.in/company//consolidated/</v>
      </c>
      <c r="F2205" s="4">
        <v>443059</v>
      </c>
      <c r="G2205" s="4">
        <v>3832241897</v>
      </c>
      <c r="H2205" s="6" t="e">
        <f t="shared" ca="1" si="46"/>
        <v>#VALUE!</v>
      </c>
      <c r="I2205" s="7" t="str">
        <f ca="1">IFERROR(__xludf.DUMMYFUNCTION("IMPORTXML(E2205,""/html/body/main/div[3]/div[3]/div[2]/ul/li[5]/span[2]/span"")"),"Loading...")</f>
        <v>Loading...</v>
      </c>
      <c r="J2205" s="7" t="str">
        <f ca="1">IFERROR(__xludf.DUMMYFUNCTION("GOOGLEFINANCE(""NSE:""&amp;D2205,""marketcap"")"),"#N/A")</f>
        <v>#N/A</v>
      </c>
      <c r="K2205" s="7">
        <v>992.8</v>
      </c>
      <c r="L2205" s="8" t="str">
        <f ca="1">IFERROR(__xludf.DUMMYFUNCTION("GOOGLEFINANCE(""NSE:""&amp;D2205,""price"")"),"#N/A")</f>
        <v>#N/A</v>
      </c>
      <c r="M2205" s="9" t="e">
        <f t="shared" ca="1" si="47"/>
        <v>#VALUE!</v>
      </c>
      <c r="N2205" s="10" t="e">
        <f t="shared" ca="1" si="48"/>
        <v>#VALUE!</v>
      </c>
      <c r="O2205" s="7" t="str">
        <f ca="1">IFERROR(__xludf.DUMMYFUNCTION("GOOGLEFINANCE(""NSE:""&amp;D2205,""pe"")"),"#N/A")</f>
        <v>#N/A</v>
      </c>
      <c r="P2205" s="7" t="str">
        <f ca="1">IFERROR(__xludf.DUMMYFUNCTION("GOOGLEFINANCE(""NSE:""&amp;D2205,""EPS"")"),"#N/A")</f>
        <v>#N/A</v>
      </c>
      <c r="Q2205" s="7">
        <v>13.5</v>
      </c>
      <c r="R2205" s="7" t="str">
        <f ca="1">IFERROR(__xludf.DUMMYFUNCTION("IMPORTXML(E2205,""/html/body/main/div[3]/div[3]/div[2]/ul/li[7]/span[2]/span"")"),"Loading...")</f>
        <v>Loading...</v>
      </c>
      <c r="S2205" s="7" t="str">
        <f ca="1">IFERROR(__xludf.DUMMYFUNCTION("IMPORTXML(E2205,""/html/body/main/div[3]/div[3]/div[2]/ul/li[8]/span[2]/span"")"),"Loading...")</f>
        <v>Loading...</v>
      </c>
      <c r="T2205" s="4">
        <v>34.6</v>
      </c>
      <c r="U2205" s="4">
        <v>22.7</v>
      </c>
      <c r="V2205" s="4">
        <v>2.6</v>
      </c>
      <c r="W2205" s="4">
        <v>5.7</v>
      </c>
      <c r="X2205" s="4">
        <v>519.92999999999995</v>
      </c>
      <c r="Y2205" s="7" t="e">
        <f t="shared" ca="1" si="49"/>
        <v>#VALUE!</v>
      </c>
    </row>
    <row r="2206" spans="1:25" ht="15" x14ac:dyDescent="0.25">
      <c r="A2206" s="4">
        <v>2052</v>
      </c>
      <c r="C2206" s="41" t="s">
        <v>4431</v>
      </c>
      <c r="D2206" s="42"/>
      <c r="E2206" s="5" t="str">
        <f t="shared" si="45"/>
        <v>https://www.screener.in/company//consolidated/</v>
      </c>
      <c r="F2206" s="4">
        <v>443059</v>
      </c>
      <c r="G2206" s="4">
        <v>3832241897</v>
      </c>
      <c r="H2206" s="6" t="e">
        <f t="shared" ca="1" si="46"/>
        <v>#VALUE!</v>
      </c>
      <c r="I2206" s="7" t="str">
        <f ca="1">IFERROR(__xludf.DUMMYFUNCTION("IMPORTXML(E2206,""/html/body/main/div[3]/div[3]/div[2]/ul/li[5]/span[2]/span"")"),"Loading...")</f>
        <v>Loading...</v>
      </c>
      <c r="J2206" s="7" t="str">
        <f ca="1">IFERROR(__xludf.DUMMYFUNCTION("GOOGLEFINANCE(""NSE:""&amp;D2206,""marketcap"")"),"#N/A")</f>
        <v>#N/A</v>
      </c>
      <c r="K2206" s="7">
        <v>992.8</v>
      </c>
      <c r="L2206" s="8" t="str">
        <f ca="1">IFERROR(__xludf.DUMMYFUNCTION("GOOGLEFINANCE(""NSE:""&amp;D2206,""price"")"),"#N/A")</f>
        <v>#N/A</v>
      </c>
      <c r="M2206" s="9" t="e">
        <f t="shared" ca="1" si="47"/>
        <v>#VALUE!</v>
      </c>
      <c r="N2206" s="10" t="e">
        <f t="shared" ca="1" si="48"/>
        <v>#VALUE!</v>
      </c>
      <c r="O2206" s="7" t="str">
        <f ca="1">IFERROR(__xludf.DUMMYFUNCTION("GOOGLEFINANCE(""NSE:""&amp;D2206,""pe"")"),"#N/A")</f>
        <v>#N/A</v>
      </c>
      <c r="P2206" s="7" t="str">
        <f ca="1">IFERROR(__xludf.DUMMYFUNCTION("GOOGLEFINANCE(""NSE:""&amp;D2206,""EPS"")"),"#N/A")</f>
        <v>#N/A</v>
      </c>
      <c r="Q2206" s="7">
        <v>13.5</v>
      </c>
      <c r="R2206" s="7" t="str">
        <f ca="1">IFERROR(__xludf.DUMMYFUNCTION("IMPORTXML(E2206,""/html/body/main/div[3]/div[3]/div[2]/ul/li[7]/span[2]/span"")"),"Loading...")</f>
        <v>Loading...</v>
      </c>
      <c r="S2206" s="7" t="str">
        <f ca="1">IFERROR(__xludf.DUMMYFUNCTION("IMPORTXML(E2206,""/html/body/main/div[3]/div[3]/div[2]/ul/li[8]/span[2]/span"")"),"Loading...")</f>
        <v>Loading...</v>
      </c>
      <c r="T2206" s="4">
        <v>34.6</v>
      </c>
      <c r="U2206" s="4">
        <v>22.7</v>
      </c>
      <c r="V2206" s="4">
        <v>2.6</v>
      </c>
      <c r="W2206" s="4">
        <v>5.7</v>
      </c>
      <c r="X2206" s="4">
        <v>519.92999999999995</v>
      </c>
      <c r="Y2206" s="7" t="e">
        <f t="shared" ca="1" si="49"/>
        <v>#VALUE!</v>
      </c>
    </row>
    <row r="2207" spans="1:25" ht="15" x14ac:dyDescent="0.25">
      <c r="A2207" s="4">
        <v>2053</v>
      </c>
      <c r="C2207" s="41" t="s">
        <v>4432</v>
      </c>
      <c r="D2207" s="42"/>
      <c r="E2207" s="5" t="str">
        <f t="shared" si="45"/>
        <v>https://www.screener.in/company//consolidated/</v>
      </c>
      <c r="F2207" s="4">
        <v>443059</v>
      </c>
      <c r="G2207" s="4">
        <v>3832241897</v>
      </c>
      <c r="H2207" s="6" t="e">
        <f t="shared" ca="1" si="46"/>
        <v>#VALUE!</v>
      </c>
      <c r="I2207" s="7" t="str">
        <f ca="1">IFERROR(__xludf.DUMMYFUNCTION("IMPORTXML(E2207,""/html/body/main/div[3]/div[3]/div[2]/ul/li[5]/span[2]/span"")"),"Loading...")</f>
        <v>Loading...</v>
      </c>
      <c r="J2207" s="7" t="str">
        <f ca="1">IFERROR(__xludf.DUMMYFUNCTION("GOOGLEFINANCE(""NSE:""&amp;D2207,""marketcap"")"),"#N/A")</f>
        <v>#N/A</v>
      </c>
      <c r="K2207" s="7">
        <v>992.8</v>
      </c>
      <c r="L2207" s="8" t="str">
        <f ca="1">IFERROR(__xludf.DUMMYFUNCTION("GOOGLEFINANCE(""NSE:""&amp;D2207,""price"")"),"#N/A")</f>
        <v>#N/A</v>
      </c>
      <c r="M2207" s="9" t="e">
        <f t="shared" ca="1" si="47"/>
        <v>#VALUE!</v>
      </c>
      <c r="N2207" s="10" t="e">
        <f t="shared" ca="1" si="48"/>
        <v>#VALUE!</v>
      </c>
      <c r="O2207" s="7" t="str">
        <f ca="1">IFERROR(__xludf.DUMMYFUNCTION("GOOGLEFINANCE(""NSE:""&amp;D2207,""pe"")"),"#N/A")</f>
        <v>#N/A</v>
      </c>
      <c r="P2207" s="7" t="str">
        <f ca="1">IFERROR(__xludf.DUMMYFUNCTION("GOOGLEFINANCE(""NSE:""&amp;D2207,""EPS"")"),"#N/A")</f>
        <v>#N/A</v>
      </c>
      <c r="Q2207" s="7">
        <v>13.5</v>
      </c>
      <c r="R2207" s="7" t="str">
        <f ca="1">IFERROR(__xludf.DUMMYFUNCTION("IMPORTXML(E2207,""/html/body/main/div[3]/div[3]/div[2]/ul/li[7]/span[2]/span"")"),"Loading...")</f>
        <v>Loading...</v>
      </c>
      <c r="S2207" s="7" t="str">
        <f ca="1">IFERROR(__xludf.DUMMYFUNCTION("IMPORTXML(E2207,""/html/body/main/div[3]/div[3]/div[2]/ul/li[8]/span[2]/span"")"),"Loading...")</f>
        <v>Loading...</v>
      </c>
      <c r="T2207" s="4">
        <v>34.6</v>
      </c>
      <c r="U2207" s="4">
        <v>22.7</v>
      </c>
      <c r="V2207" s="4">
        <v>2.6</v>
      </c>
      <c r="W2207" s="4">
        <v>5.7</v>
      </c>
      <c r="X2207" s="4">
        <v>519.92999999999995</v>
      </c>
      <c r="Y2207" s="7" t="e">
        <f t="shared" ca="1" si="49"/>
        <v>#VALUE!</v>
      </c>
    </row>
    <row r="2208" spans="1:25" ht="15" x14ac:dyDescent="0.25">
      <c r="A2208" s="4">
        <v>2056</v>
      </c>
      <c r="C2208" s="41" t="s">
        <v>4433</v>
      </c>
      <c r="D2208" s="42"/>
      <c r="E2208" s="5" t="str">
        <f t="shared" si="45"/>
        <v>https://www.screener.in/company//consolidated/</v>
      </c>
      <c r="F2208" s="4">
        <v>443059</v>
      </c>
      <c r="G2208" s="4">
        <v>3832241897</v>
      </c>
      <c r="H2208" s="6" t="e">
        <f t="shared" ca="1" si="46"/>
        <v>#VALUE!</v>
      </c>
      <c r="I2208" s="7" t="str">
        <f ca="1">IFERROR(__xludf.DUMMYFUNCTION("IMPORTXML(E2208,""/html/body/main/div[3]/div[3]/div[2]/ul/li[5]/span[2]/span"")"),"Loading...")</f>
        <v>Loading...</v>
      </c>
      <c r="J2208" s="7" t="str">
        <f ca="1">IFERROR(__xludf.DUMMYFUNCTION("GOOGLEFINANCE(""NSE:""&amp;D2208,""marketcap"")"),"#N/A")</f>
        <v>#N/A</v>
      </c>
      <c r="K2208" s="7">
        <v>992.8</v>
      </c>
      <c r="L2208" s="8" t="str">
        <f ca="1">IFERROR(__xludf.DUMMYFUNCTION("GOOGLEFINANCE(""NSE:""&amp;D2208,""price"")"),"#N/A")</f>
        <v>#N/A</v>
      </c>
      <c r="M2208" s="9" t="e">
        <f t="shared" ca="1" si="47"/>
        <v>#VALUE!</v>
      </c>
      <c r="N2208" s="10" t="e">
        <f t="shared" ca="1" si="48"/>
        <v>#VALUE!</v>
      </c>
      <c r="O2208" s="7" t="str">
        <f ca="1">IFERROR(__xludf.DUMMYFUNCTION("GOOGLEFINANCE(""NSE:""&amp;D2208,""pe"")"),"#N/A")</f>
        <v>#N/A</v>
      </c>
      <c r="P2208" s="7" t="str">
        <f ca="1">IFERROR(__xludf.DUMMYFUNCTION("GOOGLEFINANCE(""NSE:""&amp;D2208,""EPS"")"),"#N/A")</f>
        <v>#N/A</v>
      </c>
      <c r="Q2208" s="7">
        <v>13.5</v>
      </c>
      <c r="R2208" s="7" t="str">
        <f ca="1">IFERROR(__xludf.DUMMYFUNCTION("IMPORTXML(E2208,""/html/body/main/div[3]/div[3]/div[2]/ul/li[7]/span[2]/span"")"),"Loading...")</f>
        <v>Loading...</v>
      </c>
      <c r="S2208" s="7" t="str">
        <f ca="1">IFERROR(__xludf.DUMMYFUNCTION("IMPORTXML(E2208,""/html/body/main/div[3]/div[3]/div[2]/ul/li[8]/span[2]/span"")"),"Loading...")</f>
        <v>Loading...</v>
      </c>
      <c r="T2208" s="4">
        <v>34.6</v>
      </c>
      <c r="U2208" s="4">
        <v>22.7</v>
      </c>
      <c r="V2208" s="4">
        <v>2.6</v>
      </c>
      <c r="W2208" s="4">
        <v>5.7</v>
      </c>
      <c r="X2208" s="4">
        <v>519.92999999999995</v>
      </c>
      <c r="Y2208" s="7" t="e">
        <f t="shared" ca="1" si="49"/>
        <v>#VALUE!</v>
      </c>
    </row>
    <row r="2209" spans="1:25" ht="15" x14ac:dyDescent="0.25">
      <c r="A2209" s="4">
        <v>2057</v>
      </c>
      <c r="C2209" s="41" t="s">
        <v>4434</v>
      </c>
      <c r="D2209" s="42"/>
      <c r="E2209" s="5" t="str">
        <f t="shared" si="45"/>
        <v>https://www.screener.in/company//consolidated/</v>
      </c>
      <c r="F2209" s="4">
        <v>443059</v>
      </c>
      <c r="G2209" s="4">
        <v>3832241897</v>
      </c>
      <c r="H2209" s="6" t="e">
        <f t="shared" ca="1" si="46"/>
        <v>#VALUE!</v>
      </c>
      <c r="I2209" s="7" t="str">
        <f ca="1">IFERROR(__xludf.DUMMYFUNCTION("IMPORTXML(E2209,""/html/body/main/div[3]/div[3]/div[2]/ul/li[5]/span[2]/span"")"),"Loading...")</f>
        <v>Loading...</v>
      </c>
      <c r="J2209" s="7" t="str">
        <f ca="1">IFERROR(__xludf.DUMMYFUNCTION("GOOGLEFINANCE(""NSE:""&amp;D2209,""marketcap"")"),"#N/A")</f>
        <v>#N/A</v>
      </c>
      <c r="K2209" s="7">
        <v>992.8</v>
      </c>
      <c r="L2209" s="8" t="str">
        <f ca="1">IFERROR(__xludf.DUMMYFUNCTION("GOOGLEFINANCE(""NSE:""&amp;D2209,""price"")"),"#N/A")</f>
        <v>#N/A</v>
      </c>
      <c r="M2209" s="9" t="e">
        <f t="shared" ca="1" si="47"/>
        <v>#VALUE!</v>
      </c>
      <c r="N2209" s="10" t="e">
        <f t="shared" ca="1" si="48"/>
        <v>#VALUE!</v>
      </c>
      <c r="O2209" s="7" t="str">
        <f ca="1">IFERROR(__xludf.DUMMYFUNCTION("GOOGLEFINANCE(""NSE:""&amp;D2209,""pe"")"),"#N/A")</f>
        <v>#N/A</v>
      </c>
      <c r="P2209" s="7" t="str">
        <f ca="1">IFERROR(__xludf.DUMMYFUNCTION("GOOGLEFINANCE(""NSE:""&amp;D2209,""EPS"")"),"#N/A")</f>
        <v>#N/A</v>
      </c>
      <c r="Q2209" s="7">
        <v>13.5</v>
      </c>
      <c r="R2209" s="7" t="str">
        <f ca="1">IFERROR(__xludf.DUMMYFUNCTION("IMPORTXML(E2209,""/html/body/main/div[3]/div[3]/div[2]/ul/li[7]/span[2]/span"")"),"Loading...")</f>
        <v>Loading...</v>
      </c>
      <c r="S2209" s="7" t="str">
        <f ca="1">IFERROR(__xludf.DUMMYFUNCTION("IMPORTXML(E2209,""/html/body/main/div[3]/div[3]/div[2]/ul/li[8]/span[2]/span"")"),"Loading...")</f>
        <v>Loading...</v>
      </c>
      <c r="T2209" s="4">
        <v>34.6</v>
      </c>
      <c r="U2209" s="4">
        <v>22.7</v>
      </c>
      <c r="V2209" s="4">
        <v>2.6</v>
      </c>
      <c r="W2209" s="4">
        <v>5.7</v>
      </c>
      <c r="X2209" s="4">
        <v>519.92999999999995</v>
      </c>
      <c r="Y2209" s="7" t="e">
        <f t="shared" ca="1" si="49"/>
        <v>#VALUE!</v>
      </c>
    </row>
    <row r="2210" spans="1:25" ht="15" x14ac:dyDescent="0.25">
      <c r="A2210" s="4">
        <v>2058</v>
      </c>
      <c r="C2210" s="41" t="s">
        <v>4435</v>
      </c>
      <c r="D2210" s="42"/>
      <c r="E2210" s="5" t="str">
        <f t="shared" si="45"/>
        <v>https://www.screener.in/company//consolidated/</v>
      </c>
      <c r="F2210" s="4">
        <v>443059</v>
      </c>
      <c r="G2210" s="4">
        <v>3832241897</v>
      </c>
      <c r="H2210" s="6" t="e">
        <f t="shared" ca="1" si="46"/>
        <v>#VALUE!</v>
      </c>
      <c r="I2210" s="7" t="str">
        <f ca="1">IFERROR(__xludf.DUMMYFUNCTION("IMPORTXML(E2210,""/html/body/main/div[3]/div[3]/div[2]/ul/li[5]/span[2]/span"")"),"Loading...")</f>
        <v>Loading...</v>
      </c>
      <c r="J2210" s="7" t="str">
        <f ca="1">IFERROR(__xludf.DUMMYFUNCTION("GOOGLEFINANCE(""NSE:""&amp;D2210,""marketcap"")"),"#N/A")</f>
        <v>#N/A</v>
      </c>
      <c r="K2210" s="7">
        <v>992.8</v>
      </c>
      <c r="L2210" s="8" t="str">
        <f ca="1">IFERROR(__xludf.DUMMYFUNCTION("GOOGLEFINANCE(""NSE:""&amp;D2210,""price"")"),"#N/A")</f>
        <v>#N/A</v>
      </c>
      <c r="M2210" s="9" t="e">
        <f t="shared" ca="1" si="47"/>
        <v>#VALUE!</v>
      </c>
      <c r="N2210" s="10" t="e">
        <f t="shared" ca="1" si="48"/>
        <v>#VALUE!</v>
      </c>
      <c r="O2210" s="7" t="str">
        <f ca="1">IFERROR(__xludf.DUMMYFUNCTION("GOOGLEFINANCE(""NSE:""&amp;D2210,""pe"")"),"#N/A")</f>
        <v>#N/A</v>
      </c>
      <c r="P2210" s="7" t="str">
        <f ca="1">IFERROR(__xludf.DUMMYFUNCTION("GOOGLEFINANCE(""NSE:""&amp;D2210,""EPS"")"),"#N/A")</f>
        <v>#N/A</v>
      </c>
      <c r="Q2210" s="7">
        <v>13.5</v>
      </c>
      <c r="R2210" s="7" t="str">
        <f ca="1">IFERROR(__xludf.DUMMYFUNCTION("IMPORTXML(E2210,""/html/body/main/div[3]/div[3]/div[2]/ul/li[7]/span[2]/span"")"),"Loading...")</f>
        <v>Loading...</v>
      </c>
      <c r="S2210" s="7" t="str">
        <f ca="1">IFERROR(__xludf.DUMMYFUNCTION("IMPORTXML(E2210,""/html/body/main/div[3]/div[3]/div[2]/ul/li[8]/span[2]/span"")"),"Loading...")</f>
        <v>Loading...</v>
      </c>
      <c r="T2210" s="4">
        <v>34.6</v>
      </c>
      <c r="U2210" s="4">
        <v>22.7</v>
      </c>
      <c r="V2210" s="4">
        <v>2.6</v>
      </c>
      <c r="W2210" s="4">
        <v>5.7</v>
      </c>
      <c r="X2210" s="4">
        <v>519.92999999999995</v>
      </c>
      <c r="Y2210" s="7" t="e">
        <f t="shared" ca="1" si="49"/>
        <v>#VALUE!</v>
      </c>
    </row>
    <row r="2211" spans="1:25" ht="15" x14ac:dyDescent="0.25">
      <c r="A2211" s="4">
        <v>2059</v>
      </c>
      <c r="C2211" s="41" t="s">
        <v>4436</v>
      </c>
      <c r="D2211" s="42"/>
      <c r="E2211" s="5" t="str">
        <f t="shared" si="45"/>
        <v>https://www.screener.in/company//consolidated/</v>
      </c>
      <c r="F2211" s="4">
        <v>443059</v>
      </c>
      <c r="G2211" s="4">
        <v>3832241897</v>
      </c>
      <c r="H2211" s="6" t="e">
        <f t="shared" ca="1" si="46"/>
        <v>#VALUE!</v>
      </c>
      <c r="I2211" s="7" t="str">
        <f ca="1">IFERROR(__xludf.DUMMYFUNCTION("IMPORTXML(E2211,""/html/body/main/div[3]/div[3]/div[2]/ul/li[5]/span[2]/span"")"),"Loading...")</f>
        <v>Loading...</v>
      </c>
      <c r="J2211" s="7" t="str">
        <f ca="1">IFERROR(__xludf.DUMMYFUNCTION("GOOGLEFINANCE(""NSE:""&amp;D2211,""marketcap"")"),"#N/A")</f>
        <v>#N/A</v>
      </c>
      <c r="K2211" s="7">
        <v>992.8</v>
      </c>
      <c r="L2211" s="8" t="str">
        <f ca="1">IFERROR(__xludf.DUMMYFUNCTION("GOOGLEFINANCE(""NSE:""&amp;D2211,""price"")"),"#N/A")</f>
        <v>#N/A</v>
      </c>
      <c r="M2211" s="9" t="e">
        <f t="shared" ca="1" si="47"/>
        <v>#VALUE!</v>
      </c>
      <c r="N2211" s="10" t="e">
        <f t="shared" ca="1" si="48"/>
        <v>#VALUE!</v>
      </c>
      <c r="O2211" s="7" t="str">
        <f ca="1">IFERROR(__xludf.DUMMYFUNCTION("GOOGLEFINANCE(""NSE:""&amp;D2211,""pe"")"),"#N/A")</f>
        <v>#N/A</v>
      </c>
      <c r="P2211" s="7" t="str">
        <f ca="1">IFERROR(__xludf.DUMMYFUNCTION("GOOGLEFINANCE(""NSE:""&amp;D2211,""EPS"")"),"#N/A")</f>
        <v>#N/A</v>
      </c>
      <c r="Q2211" s="7">
        <v>13.5</v>
      </c>
      <c r="R2211" s="7" t="str">
        <f ca="1">IFERROR(__xludf.DUMMYFUNCTION("IMPORTXML(E2211,""/html/body/main/div[3]/div[3]/div[2]/ul/li[7]/span[2]/span"")"),"Loading...")</f>
        <v>Loading...</v>
      </c>
      <c r="S2211" s="7" t="str">
        <f ca="1">IFERROR(__xludf.DUMMYFUNCTION("IMPORTXML(E2211,""/html/body/main/div[3]/div[3]/div[2]/ul/li[8]/span[2]/span"")"),"Loading...")</f>
        <v>Loading...</v>
      </c>
      <c r="T2211" s="4">
        <v>34.6</v>
      </c>
      <c r="U2211" s="4">
        <v>22.7</v>
      </c>
      <c r="V2211" s="4">
        <v>2.6</v>
      </c>
      <c r="W2211" s="4">
        <v>5.7</v>
      </c>
      <c r="X2211" s="4">
        <v>519.92999999999995</v>
      </c>
      <c r="Y2211" s="7" t="e">
        <f t="shared" ca="1" si="49"/>
        <v>#VALUE!</v>
      </c>
    </row>
    <row r="2212" spans="1:25" ht="15" x14ac:dyDescent="0.25">
      <c r="A2212" s="4">
        <v>2060</v>
      </c>
      <c r="C2212" s="41" t="s">
        <v>4437</v>
      </c>
      <c r="D2212" s="42"/>
      <c r="E2212" s="5" t="str">
        <f t="shared" si="45"/>
        <v>https://www.screener.in/company//consolidated/</v>
      </c>
      <c r="F2212" s="4">
        <v>443059</v>
      </c>
      <c r="G2212" s="4">
        <v>3832241897</v>
      </c>
      <c r="H2212" s="6" t="e">
        <f t="shared" ca="1" si="46"/>
        <v>#VALUE!</v>
      </c>
      <c r="I2212" s="7" t="str">
        <f ca="1">IFERROR(__xludf.DUMMYFUNCTION("IMPORTXML(E2212,""/html/body/main/div[3]/div[3]/div[2]/ul/li[5]/span[2]/span"")"),"Loading...")</f>
        <v>Loading...</v>
      </c>
      <c r="J2212" s="7" t="str">
        <f ca="1">IFERROR(__xludf.DUMMYFUNCTION("GOOGLEFINANCE(""NSE:""&amp;D2212,""marketcap"")"),"#N/A")</f>
        <v>#N/A</v>
      </c>
      <c r="K2212" s="7">
        <v>992.8</v>
      </c>
      <c r="L2212" s="8" t="str">
        <f ca="1">IFERROR(__xludf.DUMMYFUNCTION("GOOGLEFINANCE(""NSE:""&amp;D2212,""price"")"),"#N/A")</f>
        <v>#N/A</v>
      </c>
      <c r="M2212" s="9" t="e">
        <f t="shared" ca="1" si="47"/>
        <v>#VALUE!</v>
      </c>
      <c r="N2212" s="10" t="e">
        <f t="shared" ca="1" si="48"/>
        <v>#VALUE!</v>
      </c>
      <c r="O2212" s="7" t="str">
        <f ca="1">IFERROR(__xludf.DUMMYFUNCTION("GOOGLEFINANCE(""NSE:""&amp;D2212,""pe"")"),"#N/A")</f>
        <v>#N/A</v>
      </c>
      <c r="P2212" s="7" t="str">
        <f ca="1">IFERROR(__xludf.DUMMYFUNCTION("GOOGLEFINANCE(""NSE:""&amp;D2212,""EPS"")"),"#N/A")</f>
        <v>#N/A</v>
      </c>
      <c r="Q2212" s="7">
        <v>13.5</v>
      </c>
      <c r="R2212" s="7" t="str">
        <f ca="1">IFERROR(__xludf.DUMMYFUNCTION("IMPORTXML(E2212,""/html/body/main/div[3]/div[3]/div[2]/ul/li[7]/span[2]/span"")"),"Loading...")</f>
        <v>Loading...</v>
      </c>
      <c r="S2212" s="7" t="str">
        <f ca="1">IFERROR(__xludf.DUMMYFUNCTION("IMPORTXML(E2212,""/html/body/main/div[3]/div[3]/div[2]/ul/li[8]/span[2]/span"")"),"Loading...")</f>
        <v>Loading...</v>
      </c>
      <c r="T2212" s="4">
        <v>34.6</v>
      </c>
      <c r="U2212" s="4">
        <v>22.7</v>
      </c>
      <c r="V2212" s="4">
        <v>2.6</v>
      </c>
      <c r="W2212" s="4">
        <v>5.7</v>
      </c>
      <c r="X2212" s="4">
        <v>519.92999999999995</v>
      </c>
      <c r="Y2212" s="7" t="e">
        <f t="shared" ca="1" si="49"/>
        <v>#VALUE!</v>
      </c>
    </row>
    <row r="2213" spans="1:25" ht="15" x14ac:dyDescent="0.25">
      <c r="A2213" s="4">
        <v>2063</v>
      </c>
      <c r="C2213" s="41" t="s">
        <v>4438</v>
      </c>
      <c r="D2213" s="42"/>
      <c r="E2213" s="5" t="str">
        <f t="shared" si="45"/>
        <v>https://www.screener.in/company//consolidated/</v>
      </c>
      <c r="F2213" s="4">
        <v>443059</v>
      </c>
      <c r="G2213" s="4">
        <v>3832241897</v>
      </c>
      <c r="H2213" s="6" t="e">
        <f t="shared" ca="1" si="46"/>
        <v>#VALUE!</v>
      </c>
      <c r="I2213" s="7" t="str">
        <f ca="1">IFERROR(__xludf.DUMMYFUNCTION("IMPORTXML(E2213,""/html/body/main/div[3]/div[3]/div[2]/ul/li[5]/span[2]/span"")"),"Loading...")</f>
        <v>Loading...</v>
      </c>
      <c r="J2213" s="7" t="str">
        <f ca="1">IFERROR(__xludf.DUMMYFUNCTION("GOOGLEFINANCE(""NSE:""&amp;D2213,""marketcap"")"),"#N/A")</f>
        <v>#N/A</v>
      </c>
      <c r="K2213" s="7">
        <v>992.8</v>
      </c>
      <c r="L2213" s="8" t="str">
        <f ca="1">IFERROR(__xludf.DUMMYFUNCTION("GOOGLEFINANCE(""NSE:""&amp;D2213,""price"")"),"#N/A")</f>
        <v>#N/A</v>
      </c>
      <c r="M2213" s="9" t="e">
        <f t="shared" ca="1" si="47"/>
        <v>#VALUE!</v>
      </c>
      <c r="N2213" s="10" t="e">
        <f t="shared" ca="1" si="48"/>
        <v>#VALUE!</v>
      </c>
      <c r="O2213" s="7" t="str">
        <f ca="1">IFERROR(__xludf.DUMMYFUNCTION("GOOGLEFINANCE(""NSE:""&amp;D2213,""pe"")"),"#N/A")</f>
        <v>#N/A</v>
      </c>
      <c r="P2213" s="7" t="str">
        <f ca="1">IFERROR(__xludf.DUMMYFUNCTION("GOOGLEFINANCE(""NSE:""&amp;D2213,""EPS"")"),"#N/A")</f>
        <v>#N/A</v>
      </c>
      <c r="Q2213" s="7">
        <v>13.5</v>
      </c>
      <c r="R2213" s="7" t="str">
        <f ca="1">IFERROR(__xludf.DUMMYFUNCTION("IMPORTXML(E2213,""/html/body/main/div[3]/div[3]/div[2]/ul/li[7]/span[2]/span"")"),"Loading...")</f>
        <v>Loading...</v>
      </c>
      <c r="S2213" s="7" t="str">
        <f ca="1">IFERROR(__xludf.DUMMYFUNCTION("IMPORTXML(E2213,""/html/body/main/div[3]/div[3]/div[2]/ul/li[8]/span[2]/span"")"),"Loading...")</f>
        <v>Loading...</v>
      </c>
      <c r="T2213" s="4">
        <v>34.6</v>
      </c>
      <c r="U2213" s="4">
        <v>22.7</v>
      </c>
      <c r="V2213" s="4">
        <v>2.6</v>
      </c>
      <c r="W2213" s="4">
        <v>5.7</v>
      </c>
      <c r="X2213" s="4">
        <v>519.92999999999995</v>
      </c>
      <c r="Y2213" s="7" t="e">
        <f t="shared" ca="1" si="49"/>
        <v>#VALUE!</v>
      </c>
    </row>
    <row r="2214" spans="1:25" ht="15" x14ac:dyDescent="0.25">
      <c r="A2214" s="4">
        <v>2066</v>
      </c>
      <c r="C2214" s="41" t="s">
        <v>4439</v>
      </c>
      <c r="D2214" s="42"/>
      <c r="E2214" s="5" t="str">
        <f t="shared" si="45"/>
        <v>https://www.screener.in/company//consolidated/</v>
      </c>
      <c r="F2214" s="4">
        <v>443059</v>
      </c>
      <c r="G2214" s="4">
        <v>3832241897</v>
      </c>
      <c r="H2214" s="6" t="e">
        <f t="shared" ca="1" si="46"/>
        <v>#VALUE!</v>
      </c>
      <c r="I2214" s="7" t="str">
        <f ca="1">IFERROR(__xludf.DUMMYFUNCTION("IMPORTXML(E2214,""/html/body/main/div[3]/div[3]/div[2]/ul/li[5]/span[2]/span"")"),"Loading...")</f>
        <v>Loading...</v>
      </c>
      <c r="J2214" s="7" t="str">
        <f ca="1">IFERROR(__xludf.DUMMYFUNCTION("GOOGLEFINANCE(""NSE:""&amp;D2214,""marketcap"")"),"#N/A")</f>
        <v>#N/A</v>
      </c>
      <c r="K2214" s="7">
        <v>992.8</v>
      </c>
      <c r="L2214" s="8" t="str">
        <f ca="1">IFERROR(__xludf.DUMMYFUNCTION("GOOGLEFINANCE(""NSE:""&amp;D2214,""price"")"),"#N/A")</f>
        <v>#N/A</v>
      </c>
      <c r="M2214" s="9" t="e">
        <f t="shared" ca="1" si="47"/>
        <v>#VALUE!</v>
      </c>
      <c r="N2214" s="10" t="e">
        <f t="shared" ca="1" si="48"/>
        <v>#VALUE!</v>
      </c>
      <c r="O2214" s="7" t="str">
        <f ca="1">IFERROR(__xludf.DUMMYFUNCTION("GOOGLEFINANCE(""NSE:""&amp;D2214,""pe"")"),"#N/A")</f>
        <v>#N/A</v>
      </c>
      <c r="P2214" s="7" t="str">
        <f ca="1">IFERROR(__xludf.DUMMYFUNCTION("GOOGLEFINANCE(""NSE:""&amp;D2214,""EPS"")"),"#N/A")</f>
        <v>#N/A</v>
      </c>
      <c r="Q2214" s="7">
        <v>13.5</v>
      </c>
      <c r="R2214" s="7" t="str">
        <f ca="1">IFERROR(__xludf.DUMMYFUNCTION("IMPORTXML(E2214,""/html/body/main/div[3]/div[3]/div[2]/ul/li[7]/span[2]/span"")"),"Loading...")</f>
        <v>Loading...</v>
      </c>
      <c r="S2214" s="7" t="str">
        <f ca="1">IFERROR(__xludf.DUMMYFUNCTION("IMPORTXML(E2214,""/html/body/main/div[3]/div[3]/div[2]/ul/li[8]/span[2]/span"")"),"Loading...")</f>
        <v>Loading...</v>
      </c>
      <c r="T2214" s="4">
        <v>34.6</v>
      </c>
      <c r="U2214" s="4">
        <v>22.7</v>
      </c>
      <c r="V2214" s="4">
        <v>2.6</v>
      </c>
      <c r="W2214" s="4">
        <v>5.7</v>
      </c>
      <c r="X2214" s="4">
        <v>519.92999999999995</v>
      </c>
      <c r="Y2214" s="7" t="e">
        <f t="shared" ca="1" si="49"/>
        <v>#VALUE!</v>
      </c>
    </row>
    <row r="2215" spans="1:25" ht="15" x14ac:dyDescent="0.25">
      <c r="A2215" s="4">
        <v>2067</v>
      </c>
      <c r="C2215" s="41" t="s">
        <v>4440</v>
      </c>
      <c r="D2215" s="42"/>
      <c r="E2215" s="5" t="str">
        <f t="shared" si="45"/>
        <v>https://www.screener.in/company//consolidated/</v>
      </c>
      <c r="F2215" s="4">
        <v>443059</v>
      </c>
      <c r="G2215" s="4">
        <v>3832241897</v>
      </c>
      <c r="H2215" s="6" t="e">
        <f t="shared" ca="1" si="46"/>
        <v>#VALUE!</v>
      </c>
      <c r="I2215" s="7" t="str">
        <f ca="1">IFERROR(__xludf.DUMMYFUNCTION("IMPORTXML(E2215,""/html/body/main/div[3]/div[3]/div[2]/ul/li[5]/span[2]/span"")"),"Loading...")</f>
        <v>Loading...</v>
      </c>
      <c r="J2215" s="7" t="str">
        <f ca="1">IFERROR(__xludf.DUMMYFUNCTION("GOOGLEFINANCE(""NSE:""&amp;D2215,""marketcap"")"),"#N/A")</f>
        <v>#N/A</v>
      </c>
      <c r="K2215" s="7">
        <v>992.8</v>
      </c>
      <c r="L2215" s="8" t="str">
        <f ca="1">IFERROR(__xludf.DUMMYFUNCTION("GOOGLEFINANCE(""NSE:""&amp;D2215,""price"")"),"#N/A")</f>
        <v>#N/A</v>
      </c>
      <c r="M2215" s="9" t="e">
        <f t="shared" ca="1" si="47"/>
        <v>#VALUE!</v>
      </c>
      <c r="N2215" s="10" t="e">
        <f t="shared" ca="1" si="48"/>
        <v>#VALUE!</v>
      </c>
      <c r="O2215" s="7" t="str">
        <f ca="1">IFERROR(__xludf.DUMMYFUNCTION("GOOGLEFINANCE(""NSE:""&amp;D2215,""pe"")"),"#N/A")</f>
        <v>#N/A</v>
      </c>
      <c r="P2215" s="7" t="str">
        <f ca="1">IFERROR(__xludf.DUMMYFUNCTION("GOOGLEFINANCE(""NSE:""&amp;D2215,""EPS"")"),"#N/A")</f>
        <v>#N/A</v>
      </c>
      <c r="Q2215" s="7">
        <v>13.5</v>
      </c>
      <c r="R2215" s="7" t="str">
        <f ca="1">IFERROR(__xludf.DUMMYFUNCTION("IMPORTXML(E2215,""/html/body/main/div[3]/div[3]/div[2]/ul/li[7]/span[2]/span"")"),"Loading...")</f>
        <v>Loading...</v>
      </c>
      <c r="S2215" s="7" t="str">
        <f ca="1">IFERROR(__xludf.DUMMYFUNCTION("IMPORTXML(E2215,""/html/body/main/div[3]/div[3]/div[2]/ul/li[8]/span[2]/span"")"),"Loading...")</f>
        <v>Loading...</v>
      </c>
      <c r="T2215" s="4">
        <v>34.6</v>
      </c>
      <c r="U2215" s="4">
        <v>22.7</v>
      </c>
      <c r="V2215" s="4">
        <v>2.6</v>
      </c>
      <c r="W2215" s="4">
        <v>5.7</v>
      </c>
      <c r="X2215" s="4">
        <v>519.92999999999995</v>
      </c>
      <c r="Y2215" s="7" t="e">
        <f t="shared" ca="1" si="49"/>
        <v>#VALUE!</v>
      </c>
    </row>
    <row r="2216" spans="1:25" ht="15" x14ac:dyDescent="0.25">
      <c r="A2216" s="4">
        <v>2068</v>
      </c>
      <c r="C2216" s="12" t="s">
        <v>4441</v>
      </c>
      <c r="D2216" s="12" t="s">
        <v>4442</v>
      </c>
      <c r="E2216" s="5" t="str">
        <f t="shared" si="45"/>
        <v>https://www.screener.in/company/HDIL/consolidated/</v>
      </c>
      <c r="F2216" s="4">
        <v>443059</v>
      </c>
      <c r="G2216" s="4">
        <v>3832241897</v>
      </c>
      <c r="H2216" s="6">
        <f t="shared" ca="1" si="46"/>
        <v>1214.8206813489999</v>
      </c>
      <c r="I2216" s="7" t="str">
        <f ca="1">IFERROR(__xludf.DUMMYFUNCTION("IMPORTXML(E2216,""/html/body/main/div[3]/div[3]/div[2]/ul/li[5]/span[2]/span"")"),"Loading...")</f>
        <v>Loading...</v>
      </c>
      <c r="J2216" s="7">
        <f ca="1">IFERROR(__xludf.DUMMYFUNCTION("GOOGLEFINANCE(""NSE:""&amp;D2216,""marketcap"")"),1464672000)</f>
        <v>1464672000</v>
      </c>
      <c r="K2216" s="7">
        <v>992.8</v>
      </c>
      <c r="L2216" s="8">
        <f ca="1">IFERROR(__xludf.DUMMYFUNCTION("GOOGLEFINANCE(""NSE:""&amp;D2216,""price"")"),3.17)</f>
        <v>3.17</v>
      </c>
      <c r="M2216" s="9">
        <f t="shared" ca="1" si="47"/>
        <v>-989.63</v>
      </c>
      <c r="N2216" s="10">
        <f t="shared" ca="1" si="48"/>
        <v>-99.680701047542314</v>
      </c>
      <c r="O2216" s="7" t="str">
        <f ca="1">IFERROR(__xludf.DUMMYFUNCTION("GOOGLEFINANCE(""NSE:""&amp;D2216,""pe"")"),"#N/A")</f>
        <v>#N/A</v>
      </c>
      <c r="P2216" s="7" t="str">
        <f ca="1">IFERROR(__xludf.DUMMYFUNCTION("GOOGLEFINANCE(""NSE:""&amp;D2216,""EPS"")"),"#N/A")</f>
        <v>#N/A</v>
      </c>
      <c r="Q2216" s="7">
        <v>13.5</v>
      </c>
      <c r="R2216" s="7" t="str">
        <f ca="1">IFERROR(__xludf.DUMMYFUNCTION("IMPORTXML(E2216,""/html/body/main/div[3]/div[3]/div[2]/ul/li[7]/span[2]/span"")"),"Loading...")</f>
        <v>Loading...</v>
      </c>
      <c r="S2216" s="7" t="str">
        <f ca="1">IFERROR(__xludf.DUMMYFUNCTION("IMPORTXML(E2216,""/html/body/main/div[3]/div[3]/div[2]/ul/li[8]/span[2]/span"")"),"Loading...")</f>
        <v>Loading...</v>
      </c>
      <c r="T2216" s="4">
        <v>34.6</v>
      </c>
      <c r="U2216" s="4">
        <v>22.7</v>
      </c>
      <c r="V2216" s="4">
        <v>2.6</v>
      </c>
      <c r="W2216" s="4">
        <v>5.7</v>
      </c>
      <c r="X2216" s="4">
        <v>519.92999999999995</v>
      </c>
      <c r="Y2216" s="7">
        <f t="shared" ca="1" si="49"/>
        <v>-516.76</v>
      </c>
    </row>
    <row r="2217" spans="1:25" ht="15" x14ac:dyDescent="0.25">
      <c r="A2217" s="4">
        <v>2069</v>
      </c>
      <c r="C2217" s="12" t="s">
        <v>4443</v>
      </c>
      <c r="D2217" s="12" t="s">
        <v>4444</v>
      </c>
      <c r="E2217" s="5" t="str">
        <f t="shared" si="45"/>
        <v>https://www.screener.in/company/MITCON/consolidated/</v>
      </c>
      <c r="F2217" s="4">
        <v>443059</v>
      </c>
      <c r="G2217" s="4">
        <v>3832241897</v>
      </c>
      <c r="H2217" s="6">
        <f t="shared" ca="1" si="46"/>
        <v>26492.288233960997</v>
      </c>
      <c r="I2217" s="7" t="str">
        <f ca="1">IFERROR(__xludf.DUMMYFUNCTION("IMPORTXML(E2217,""/html/body/main/div[3]/div[3]/div[2]/ul/li[5]/span[2]/span"")"),"Loading...")</f>
        <v>Loading...</v>
      </c>
      <c r="J2217" s="7">
        <f ca="1">IFERROR(__xludf.DUMMYFUNCTION("GOOGLEFINANCE(""NSE:""&amp;D2217,""marketcap"")"),1340573745)</f>
        <v>1340573745</v>
      </c>
      <c r="K2217" s="7">
        <v>992.8</v>
      </c>
      <c r="L2217" s="8">
        <f ca="1">IFERROR(__xludf.DUMMYFUNCTION("GOOGLEFINANCE(""NSE:""&amp;D2217,""price"")"),69.13)</f>
        <v>69.13</v>
      </c>
      <c r="M2217" s="9">
        <f t="shared" ca="1" si="47"/>
        <v>-923.67</v>
      </c>
      <c r="N2217" s="10">
        <f t="shared" ca="1" si="48"/>
        <v>-93.036865431103948</v>
      </c>
      <c r="O2217" s="7">
        <f ca="1">IFERROR(__xludf.DUMMYFUNCTION("GOOGLEFINANCE(""NSE:""&amp;D2217,""pe"")"),23.2)</f>
        <v>23.2</v>
      </c>
      <c r="P2217" s="7">
        <f ca="1">IFERROR(__xludf.DUMMYFUNCTION("GOOGLEFINANCE(""NSE:""&amp;D2217,""EPS"")"),2.98)</f>
        <v>2.98</v>
      </c>
      <c r="Q2217" s="7">
        <v>13.5</v>
      </c>
      <c r="R2217" s="7" t="str">
        <f ca="1">IFERROR(__xludf.DUMMYFUNCTION("IMPORTXML(E2217,""/html/body/main/div[3]/div[3]/div[2]/ul/li[7]/span[2]/span"")"),"Loading...")</f>
        <v>Loading...</v>
      </c>
      <c r="S2217" s="7" t="str">
        <f ca="1">IFERROR(__xludf.DUMMYFUNCTION("IMPORTXML(E2217,""/html/body/main/div[3]/div[3]/div[2]/ul/li[8]/span[2]/span"")"),"Loading...")</f>
        <v>Loading...</v>
      </c>
      <c r="T2217" s="4">
        <v>34.6</v>
      </c>
      <c r="U2217" s="4">
        <v>22.7</v>
      </c>
      <c r="V2217" s="4">
        <v>2.6</v>
      </c>
      <c r="W2217" s="4">
        <v>5.7</v>
      </c>
      <c r="X2217" s="4">
        <v>519.92999999999995</v>
      </c>
      <c r="Y2217" s="7">
        <f t="shared" ca="1" si="49"/>
        <v>-450.79999999999995</v>
      </c>
    </row>
    <row r="2218" spans="1:25" ht="15" x14ac:dyDescent="0.25">
      <c r="A2218" s="4">
        <v>2071</v>
      </c>
      <c r="C2218" s="41" t="s">
        <v>4445</v>
      </c>
      <c r="D2218" s="42"/>
      <c r="E2218" s="5" t="str">
        <f t="shared" si="45"/>
        <v>https://www.screener.in/company//consolidated/</v>
      </c>
      <c r="F2218" s="4">
        <v>443059</v>
      </c>
      <c r="G2218" s="4">
        <v>3832241897</v>
      </c>
      <c r="H2218" s="6" t="e">
        <f t="shared" ca="1" si="46"/>
        <v>#VALUE!</v>
      </c>
      <c r="I2218" s="7" t="str">
        <f ca="1">IFERROR(__xludf.DUMMYFUNCTION("IMPORTXML(E2218,""/html/body/main/div[3]/div[3]/div[2]/ul/li[5]/span[2]/span"")"),"Loading...")</f>
        <v>Loading...</v>
      </c>
      <c r="J2218" s="7" t="str">
        <f ca="1">IFERROR(__xludf.DUMMYFUNCTION("GOOGLEFINANCE(""NSE:""&amp;D2218,""marketcap"")"),"#N/A")</f>
        <v>#N/A</v>
      </c>
      <c r="K2218" s="7">
        <v>992.8</v>
      </c>
      <c r="L2218" s="8" t="str">
        <f ca="1">IFERROR(__xludf.DUMMYFUNCTION("GOOGLEFINANCE(""NSE:""&amp;D2218,""price"")"),"#N/A")</f>
        <v>#N/A</v>
      </c>
      <c r="M2218" s="9" t="e">
        <f t="shared" ca="1" si="47"/>
        <v>#VALUE!</v>
      </c>
      <c r="N2218" s="10" t="e">
        <f t="shared" ca="1" si="48"/>
        <v>#VALUE!</v>
      </c>
      <c r="O2218" s="7" t="str">
        <f ca="1">IFERROR(__xludf.DUMMYFUNCTION("GOOGLEFINANCE(""NSE:""&amp;D2218,""pe"")"),"#N/A")</f>
        <v>#N/A</v>
      </c>
      <c r="P2218" s="7" t="str">
        <f ca="1">IFERROR(__xludf.DUMMYFUNCTION("GOOGLEFINANCE(""NSE:""&amp;D2218,""EPS"")"),"#N/A")</f>
        <v>#N/A</v>
      </c>
      <c r="Q2218" s="7">
        <v>13.5</v>
      </c>
      <c r="R2218" s="7" t="str">
        <f ca="1">IFERROR(__xludf.DUMMYFUNCTION("IMPORTXML(E2218,""/html/body/main/div[3]/div[3]/div[2]/ul/li[7]/span[2]/span"")"),"Loading...")</f>
        <v>Loading...</v>
      </c>
      <c r="S2218" s="7" t="str">
        <f ca="1">IFERROR(__xludf.DUMMYFUNCTION("IMPORTXML(E2218,""/html/body/main/div[3]/div[3]/div[2]/ul/li[8]/span[2]/span"")"),"Loading...")</f>
        <v>Loading...</v>
      </c>
      <c r="T2218" s="4">
        <v>34.6</v>
      </c>
      <c r="U2218" s="4">
        <v>22.7</v>
      </c>
      <c r="V2218" s="4">
        <v>2.6</v>
      </c>
      <c r="W2218" s="4">
        <v>5.7</v>
      </c>
      <c r="X2218" s="4">
        <v>519.92999999999995</v>
      </c>
      <c r="Y2218" s="7" t="e">
        <f t="shared" ca="1" si="49"/>
        <v>#VALUE!</v>
      </c>
    </row>
    <row r="2219" spans="1:25" ht="15" x14ac:dyDescent="0.25">
      <c r="A2219" s="4">
        <v>2073</v>
      </c>
      <c r="C2219" s="41" t="s">
        <v>4446</v>
      </c>
      <c r="D2219" s="42"/>
      <c r="E2219" s="5" t="str">
        <f t="shared" si="45"/>
        <v>https://www.screener.in/company//consolidated/</v>
      </c>
      <c r="F2219" s="4">
        <v>443059</v>
      </c>
      <c r="G2219" s="4">
        <v>3832241897</v>
      </c>
      <c r="H2219" s="6" t="e">
        <f t="shared" ca="1" si="46"/>
        <v>#VALUE!</v>
      </c>
      <c r="I2219" s="7" t="str">
        <f ca="1">IFERROR(__xludf.DUMMYFUNCTION("IMPORTXML(E2219,""/html/body/main/div[3]/div[3]/div[2]/ul/li[5]/span[2]/span"")"),"Loading...")</f>
        <v>Loading...</v>
      </c>
      <c r="J2219" s="7" t="str">
        <f ca="1">IFERROR(__xludf.DUMMYFUNCTION("GOOGLEFINANCE(""NSE:""&amp;D2219,""marketcap"")"),"#N/A")</f>
        <v>#N/A</v>
      </c>
      <c r="K2219" s="7">
        <v>992.8</v>
      </c>
      <c r="L2219" s="8" t="str">
        <f ca="1">IFERROR(__xludf.DUMMYFUNCTION("GOOGLEFINANCE(""NSE:""&amp;D2219,""price"")"),"#N/A")</f>
        <v>#N/A</v>
      </c>
      <c r="M2219" s="9" t="e">
        <f t="shared" ca="1" si="47"/>
        <v>#VALUE!</v>
      </c>
      <c r="N2219" s="10" t="e">
        <f t="shared" ca="1" si="48"/>
        <v>#VALUE!</v>
      </c>
      <c r="O2219" s="7" t="str">
        <f ca="1">IFERROR(__xludf.DUMMYFUNCTION("GOOGLEFINANCE(""NSE:""&amp;D2219,""pe"")"),"#N/A")</f>
        <v>#N/A</v>
      </c>
      <c r="P2219" s="7" t="str">
        <f ca="1">IFERROR(__xludf.DUMMYFUNCTION("GOOGLEFINANCE(""NSE:""&amp;D2219,""EPS"")"),"#N/A")</f>
        <v>#N/A</v>
      </c>
      <c r="Q2219" s="7">
        <v>13.5</v>
      </c>
      <c r="R2219" s="7" t="str">
        <f ca="1">IFERROR(__xludf.DUMMYFUNCTION("IMPORTXML(E2219,""/html/body/main/div[3]/div[3]/div[2]/ul/li[7]/span[2]/span"")"),"Loading...")</f>
        <v>Loading...</v>
      </c>
      <c r="S2219" s="7" t="str">
        <f ca="1">IFERROR(__xludf.DUMMYFUNCTION("IMPORTXML(E2219,""/html/body/main/div[3]/div[3]/div[2]/ul/li[8]/span[2]/span"")"),"Loading...")</f>
        <v>Loading...</v>
      </c>
      <c r="T2219" s="4">
        <v>34.6</v>
      </c>
      <c r="U2219" s="4">
        <v>22.7</v>
      </c>
      <c r="V2219" s="4">
        <v>2.6</v>
      </c>
      <c r="W2219" s="4">
        <v>5.7</v>
      </c>
      <c r="X2219" s="4">
        <v>519.92999999999995</v>
      </c>
      <c r="Y2219" s="7" t="e">
        <f t="shared" ca="1" si="49"/>
        <v>#VALUE!</v>
      </c>
    </row>
    <row r="2220" spans="1:25" ht="15" x14ac:dyDescent="0.25">
      <c r="A2220" s="4">
        <v>2074</v>
      </c>
      <c r="C2220" s="41" t="s">
        <v>4447</v>
      </c>
      <c r="D2220" s="42"/>
      <c r="E2220" s="5" t="str">
        <f t="shared" si="45"/>
        <v>https://www.screener.in/company//consolidated/</v>
      </c>
      <c r="F2220" s="4">
        <v>443059</v>
      </c>
      <c r="G2220" s="4">
        <v>3832241897</v>
      </c>
      <c r="H2220" s="6" t="e">
        <f t="shared" ca="1" si="46"/>
        <v>#VALUE!</v>
      </c>
      <c r="I2220" s="7" t="str">
        <f ca="1">IFERROR(__xludf.DUMMYFUNCTION("IMPORTXML(E2220,""/html/body/main/div[3]/div[3]/div[2]/ul/li[5]/span[2]/span"")"),"Loading...")</f>
        <v>Loading...</v>
      </c>
      <c r="J2220" s="7" t="str">
        <f ca="1">IFERROR(__xludf.DUMMYFUNCTION("GOOGLEFINANCE(""NSE:""&amp;D2220,""marketcap"")"),"#N/A")</f>
        <v>#N/A</v>
      </c>
      <c r="K2220" s="7">
        <v>992.8</v>
      </c>
      <c r="L2220" s="8" t="str">
        <f ca="1">IFERROR(__xludf.DUMMYFUNCTION("GOOGLEFINANCE(""NSE:""&amp;D2220,""price"")"),"#N/A")</f>
        <v>#N/A</v>
      </c>
      <c r="M2220" s="9" t="e">
        <f t="shared" ca="1" si="47"/>
        <v>#VALUE!</v>
      </c>
      <c r="N2220" s="10" t="e">
        <f t="shared" ca="1" si="48"/>
        <v>#VALUE!</v>
      </c>
      <c r="O2220" s="7" t="str">
        <f ca="1">IFERROR(__xludf.DUMMYFUNCTION("GOOGLEFINANCE(""NSE:""&amp;D2220,""pe"")"),"#N/A")</f>
        <v>#N/A</v>
      </c>
      <c r="P2220" s="7" t="str">
        <f ca="1">IFERROR(__xludf.DUMMYFUNCTION("GOOGLEFINANCE(""NSE:""&amp;D2220,""EPS"")"),"#N/A")</f>
        <v>#N/A</v>
      </c>
      <c r="Q2220" s="7">
        <v>13.5</v>
      </c>
      <c r="R2220" s="7" t="str">
        <f ca="1">IFERROR(__xludf.DUMMYFUNCTION("IMPORTXML(E2220,""/html/body/main/div[3]/div[3]/div[2]/ul/li[7]/span[2]/span"")"),"Loading...")</f>
        <v>Loading...</v>
      </c>
      <c r="S2220" s="7" t="str">
        <f ca="1">IFERROR(__xludf.DUMMYFUNCTION("IMPORTXML(E2220,""/html/body/main/div[3]/div[3]/div[2]/ul/li[8]/span[2]/span"")"),"Loading...")</f>
        <v>Loading...</v>
      </c>
      <c r="T2220" s="4">
        <v>34.6</v>
      </c>
      <c r="U2220" s="4">
        <v>22.7</v>
      </c>
      <c r="V2220" s="4">
        <v>2.6</v>
      </c>
      <c r="W2220" s="4">
        <v>5.7</v>
      </c>
      <c r="X2220" s="4">
        <v>519.92999999999995</v>
      </c>
      <c r="Y2220" s="7" t="e">
        <f t="shared" ca="1" si="49"/>
        <v>#VALUE!</v>
      </c>
    </row>
    <row r="2221" spans="1:25" ht="15" x14ac:dyDescent="0.25">
      <c r="A2221" s="4">
        <v>2075</v>
      </c>
      <c r="C2221" s="41" t="s">
        <v>4448</v>
      </c>
      <c r="D2221" s="42"/>
      <c r="E2221" s="5" t="str">
        <f t="shared" si="45"/>
        <v>https://www.screener.in/company//consolidated/</v>
      </c>
      <c r="F2221" s="4">
        <v>443059</v>
      </c>
      <c r="G2221" s="4">
        <v>3832241897</v>
      </c>
      <c r="H2221" s="6" t="e">
        <f t="shared" ca="1" si="46"/>
        <v>#VALUE!</v>
      </c>
      <c r="I2221" s="7" t="str">
        <f ca="1">IFERROR(__xludf.DUMMYFUNCTION("IMPORTXML(E2221,""/html/body/main/div[3]/div[3]/div[2]/ul/li[5]/span[2]/span"")"),"Loading...")</f>
        <v>Loading...</v>
      </c>
      <c r="J2221" s="7" t="str">
        <f ca="1">IFERROR(__xludf.DUMMYFUNCTION("GOOGLEFINANCE(""NSE:""&amp;D2221,""marketcap"")"),"#N/A")</f>
        <v>#N/A</v>
      </c>
      <c r="K2221" s="7">
        <v>992.8</v>
      </c>
      <c r="L2221" s="8" t="str">
        <f ca="1">IFERROR(__xludf.DUMMYFUNCTION("GOOGLEFINANCE(""NSE:""&amp;D2221,""price"")"),"#N/A")</f>
        <v>#N/A</v>
      </c>
      <c r="M2221" s="9" t="e">
        <f t="shared" ca="1" si="47"/>
        <v>#VALUE!</v>
      </c>
      <c r="N2221" s="10" t="e">
        <f t="shared" ca="1" si="48"/>
        <v>#VALUE!</v>
      </c>
      <c r="O2221" s="7" t="str">
        <f ca="1">IFERROR(__xludf.DUMMYFUNCTION("GOOGLEFINANCE(""NSE:""&amp;D2221,""pe"")"),"#N/A")</f>
        <v>#N/A</v>
      </c>
      <c r="P2221" s="7" t="str">
        <f ca="1">IFERROR(__xludf.DUMMYFUNCTION("GOOGLEFINANCE(""NSE:""&amp;D2221,""EPS"")"),"#N/A")</f>
        <v>#N/A</v>
      </c>
      <c r="Q2221" s="7">
        <v>13.5</v>
      </c>
      <c r="R2221" s="7" t="str">
        <f ca="1">IFERROR(__xludf.DUMMYFUNCTION("IMPORTXML(E2221,""/html/body/main/div[3]/div[3]/div[2]/ul/li[7]/span[2]/span"")"),"Loading...")</f>
        <v>Loading...</v>
      </c>
      <c r="S2221" s="7" t="str">
        <f ca="1">IFERROR(__xludf.DUMMYFUNCTION("IMPORTXML(E2221,""/html/body/main/div[3]/div[3]/div[2]/ul/li[8]/span[2]/span"")"),"Loading...")</f>
        <v>Loading...</v>
      </c>
      <c r="T2221" s="4">
        <v>34.6</v>
      </c>
      <c r="U2221" s="4">
        <v>22.7</v>
      </c>
      <c r="V2221" s="4">
        <v>2.6</v>
      </c>
      <c r="W2221" s="4">
        <v>5.7</v>
      </c>
      <c r="X2221" s="4">
        <v>519.92999999999995</v>
      </c>
      <c r="Y2221" s="7" t="e">
        <f t="shared" ca="1" si="49"/>
        <v>#VALUE!</v>
      </c>
    </row>
    <row r="2222" spans="1:25" ht="15" x14ac:dyDescent="0.25">
      <c r="A2222" s="4">
        <v>2077</v>
      </c>
      <c r="C2222" s="41" t="s">
        <v>4449</v>
      </c>
      <c r="D2222" s="42"/>
      <c r="E2222" s="5" t="str">
        <f t="shared" si="45"/>
        <v>https://www.screener.in/company//consolidated/</v>
      </c>
      <c r="F2222" s="4">
        <v>443059</v>
      </c>
      <c r="G2222" s="4">
        <v>3832241897</v>
      </c>
      <c r="H2222" s="6" t="e">
        <f t="shared" ca="1" si="46"/>
        <v>#VALUE!</v>
      </c>
      <c r="I2222" s="7" t="str">
        <f ca="1">IFERROR(__xludf.DUMMYFUNCTION("IMPORTXML(E2222,""/html/body/main/div[3]/div[3]/div[2]/ul/li[5]/span[2]/span"")"),"Loading...")</f>
        <v>Loading...</v>
      </c>
      <c r="J2222" s="7" t="str">
        <f ca="1">IFERROR(__xludf.DUMMYFUNCTION("GOOGLEFINANCE(""NSE:""&amp;D2222,""marketcap"")"),"#N/A")</f>
        <v>#N/A</v>
      </c>
      <c r="K2222" s="7">
        <v>992.8</v>
      </c>
      <c r="L2222" s="8" t="str">
        <f ca="1">IFERROR(__xludf.DUMMYFUNCTION("GOOGLEFINANCE(""NSE:""&amp;D2222,""price"")"),"#N/A")</f>
        <v>#N/A</v>
      </c>
      <c r="M2222" s="9" t="e">
        <f t="shared" ca="1" si="47"/>
        <v>#VALUE!</v>
      </c>
      <c r="N2222" s="10" t="e">
        <f t="shared" ca="1" si="48"/>
        <v>#VALUE!</v>
      </c>
      <c r="O2222" s="7" t="str">
        <f ca="1">IFERROR(__xludf.DUMMYFUNCTION("GOOGLEFINANCE(""NSE:""&amp;D2222,""pe"")"),"#N/A")</f>
        <v>#N/A</v>
      </c>
      <c r="P2222" s="7" t="str">
        <f ca="1">IFERROR(__xludf.DUMMYFUNCTION("GOOGLEFINANCE(""NSE:""&amp;D2222,""EPS"")"),"#N/A")</f>
        <v>#N/A</v>
      </c>
      <c r="Q2222" s="7">
        <v>13.5</v>
      </c>
      <c r="R2222" s="7" t="str">
        <f ca="1">IFERROR(__xludf.DUMMYFUNCTION("IMPORTXML(E2222,""/html/body/main/div[3]/div[3]/div[2]/ul/li[7]/span[2]/span"")"),"Loading...")</f>
        <v>Loading...</v>
      </c>
      <c r="S2222" s="7" t="str">
        <f ca="1">IFERROR(__xludf.DUMMYFUNCTION("IMPORTXML(E2222,""/html/body/main/div[3]/div[3]/div[2]/ul/li[8]/span[2]/span"")"),"Loading...")</f>
        <v>Loading...</v>
      </c>
      <c r="T2222" s="4">
        <v>34.6</v>
      </c>
      <c r="U2222" s="4">
        <v>22.7</v>
      </c>
      <c r="V2222" s="4">
        <v>2.6</v>
      </c>
      <c r="W2222" s="4">
        <v>5.7</v>
      </c>
      <c r="X2222" s="4">
        <v>519.92999999999995</v>
      </c>
      <c r="Y2222" s="7" t="e">
        <f t="shared" ca="1" si="49"/>
        <v>#VALUE!</v>
      </c>
    </row>
    <row r="2223" spans="1:25" ht="15" x14ac:dyDescent="0.25">
      <c r="A2223" s="4">
        <v>2078</v>
      </c>
      <c r="C2223" s="12" t="s">
        <v>4450</v>
      </c>
      <c r="D2223" s="12" t="s">
        <v>4451</v>
      </c>
      <c r="E2223" s="5" t="str">
        <f t="shared" si="45"/>
        <v>https://www.screener.in/company/JHS/consolidated/</v>
      </c>
      <c r="F2223" s="4">
        <v>443059</v>
      </c>
      <c r="G2223" s="4">
        <v>3832241897</v>
      </c>
      <c r="H2223" s="6">
        <f t="shared" ca="1" si="46"/>
        <v>4437.7361167260005</v>
      </c>
      <c r="I2223" s="7" t="str">
        <f ca="1">IFERROR(__xludf.DUMMYFUNCTION("IMPORTXML(E2223,""/html/body/main/div[3]/div[3]/div[2]/ul/li[5]/span[2]/span"")"),"Loading...")</f>
        <v>Loading...</v>
      </c>
      <c r="J2223" s="7">
        <f ca="1">IFERROR(__xludf.DUMMYFUNCTION("GOOGLEFINANCE(""NSE:""&amp;D2223,""marketcap"")"),991293966)</f>
        <v>991293966</v>
      </c>
      <c r="K2223" s="7">
        <v>992.8</v>
      </c>
      <c r="L2223" s="8">
        <f ca="1">IFERROR(__xludf.DUMMYFUNCTION("GOOGLEFINANCE(""NSE:""&amp;D2223,""price"")"),11.58)</f>
        <v>11.58</v>
      </c>
      <c r="M2223" s="9">
        <f t="shared" ca="1" si="47"/>
        <v>-981.21999999999991</v>
      </c>
      <c r="N2223" s="10">
        <f t="shared" ca="1" si="48"/>
        <v>-98.833601933924257</v>
      </c>
      <c r="O2223" s="7" t="str">
        <f ca="1">IFERROR(__xludf.DUMMYFUNCTION("GOOGLEFINANCE(""NSE:""&amp;D2223,""pe"")"),"#N/A")</f>
        <v>#N/A</v>
      </c>
      <c r="P2223" s="7">
        <f ca="1">IFERROR(__xludf.DUMMYFUNCTION("GOOGLEFINANCE(""NSE:""&amp;D2223,""EPS"")"),-2.17)</f>
        <v>-2.17</v>
      </c>
      <c r="Q2223" s="7">
        <v>13.5</v>
      </c>
      <c r="R2223" s="7" t="str">
        <f ca="1">IFERROR(__xludf.DUMMYFUNCTION("IMPORTXML(E2223,""/html/body/main/div[3]/div[3]/div[2]/ul/li[7]/span[2]/span"")"),"Loading...")</f>
        <v>Loading...</v>
      </c>
      <c r="S2223" s="7" t="str">
        <f ca="1">IFERROR(__xludf.DUMMYFUNCTION("IMPORTXML(E2223,""/html/body/main/div[3]/div[3]/div[2]/ul/li[8]/span[2]/span"")"),"Loading...")</f>
        <v>Loading...</v>
      </c>
      <c r="T2223" s="4">
        <v>34.6</v>
      </c>
      <c r="U2223" s="4">
        <v>22.7</v>
      </c>
      <c r="V2223" s="4">
        <v>2.6</v>
      </c>
      <c r="W2223" s="4">
        <v>5.7</v>
      </c>
      <c r="X2223" s="4">
        <v>519.92999999999995</v>
      </c>
      <c r="Y2223" s="7">
        <f t="shared" ca="1" si="49"/>
        <v>-508.34999999999997</v>
      </c>
    </row>
    <row r="2224" spans="1:25" ht="15" x14ac:dyDescent="0.25">
      <c r="A2224" s="4">
        <v>2080</v>
      </c>
      <c r="C2224" s="41" t="s">
        <v>4452</v>
      </c>
      <c r="D2224" s="42"/>
      <c r="E2224" s="5" t="str">
        <f t="shared" si="45"/>
        <v>https://www.screener.in/company//consolidated/</v>
      </c>
      <c r="F2224" s="4">
        <v>443059</v>
      </c>
      <c r="G2224" s="4">
        <v>3832241897</v>
      </c>
      <c r="H2224" s="6" t="e">
        <f t="shared" ca="1" si="46"/>
        <v>#VALUE!</v>
      </c>
      <c r="I2224" s="7" t="str">
        <f ca="1">IFERROR(__xludf.DUMMYFUNCTION("IMPORTXML(E2224,""/html/body/main/div[3]/div[3]/div[2]/ul/li[5]/span[2]/span"")"),"Loading...")</f>
        <v>Loading...</v>
      </c>
      <c r="J2224" s="7" t="str">
        <f ca="1">IFERROR(__xludf.DUMMYFUNCTION("GOOGLEFINANCE(""NSE:""&amp;D2224,""marketcap"")"),"#N/A")</f>
        <v>#N/A</v>
      </c>
      <c r="K2224" s="7">
        <v>992.8</v>
      </c>
      <c r="L2224" s="8" t="str">
        <f ca="1">IFERROR(__xludf.DUMMYFUNCTION("GOOGLEFINANCE(""NSE:""&amp;D2224,""price"")"),"#N/A")</f>
        <v>#N/A</v>
      </c>
      <c r="M2224" s="9" t="e">
        <f t="shared" ca="1" si="47"/>
        <v>#VALUE!</v>
      </c>
      <c r="N2224" s="10" t="e">
        <f t="shared" ca="1" si="48"/>
        <v>#VALUE!</v>
      </c>
      <c r="O2224" s="7" t="str">
        <f ca="1">IFERROR(__xludf.DUMMYFUNCTION("GOOGLEFINANCE(""NSE:""&amp;D2224,""pe"")"),"#N/A")</f>
        <v>#N/A</v>
      </c>
      <c r="P2224" s="7" t="str">
        <f ca="1">IFERROR(__xludf.DUMMYFUNCTION("GOOGLEFINANCE(""NSE:""&amp;D2224,""EPS"")"),"#N/A")</f>
        <v>#N/A</v>
      </c>
      <c r="Q2224" s="7">
        <v>13.5</v>
      </c>
      <c r="R2224" s="7" t="str">
        <f ca="1">IFERROR(__xludf.DUMMYFUNCTION("IMPORTXML(E2224,""/html/body/main/div[3]/div[3]/div[2]/ul/li[7]/span[2]/span"")"),"Loading...")</f>
        <v>Loading...</v>
      </c>
      <c r="S2224" s="7" t="str">
        <f ca="1">IFERROR(__xludf.DUMMYFUNCTION("IMPORTXML(E2224,""/html/body/main/div[3]/div[3]/div[2]/ul/li[8]/span[2]/span"")"),"Loading...")</f>
        <v>Loading...</v>
      </c>
      <c r="T2224" s="4">
        <v>34.6</v>
      </c>
      <c r="U2224" s="4">
        <v>22.7</v>
      </c>
      <c r="V2224" s="4">
        <v>2.6</v>
      </c>
      <c r="W2224" s="4">
        <v>5.7</v>
      </c>
      <c r="X2224" s="4">
        <v>519.92999999999995</v>
      </c>
      <c r="Y2224" s="7" t="e">
        <f t="shared" ca="1" si="49"/>
        <v>#VALUE!</v>
      </c>
    </row>
    <row r="2225" spans="1:25" ht="15" x14ac:dyDescent="0.25">
      <c r="A2225" s="4">
        <v>2082</v>
      </c>
      <c r="C2225" s="41" t="s">
        <v>4453</v>
      </c>
      <c r="D2225" s="42"/>
      <c r="E2225" s="5" t="str">
        <f t="shared" si="45"/>
        <v>https://www.screener.in/company//consolidated/</v>
      </c>
      <c r="F2225" s="4">
        <v>443059</v>
      </c>
      <c r="G2225" s="4">
        <v>3832241897</v>
      </c>
      <c r="H2225" s="6" t="e">
        <f t="shared" ca="1" si="46"/>
        <v>#VALUE!</v>
      </c>
      <c r="I2225" s="7" t="str">
        <f ca="1">IFERROR(__xludf.DUMMYFUNCTION("IMPORTXML(E2225,""/html/body/main/div[3]/div[3]/div[2]/ul/li[5]/span[2]/span"")"),"Loading...")</f>
        <v>Loading...</v>
      </c>
      <c r="J2225" s="7" t="str">
        <f ca="1">IFERROR(__xludf.DUMMYFUNCTION("GOOGLEFINANCE(""NSE:""&amp;D2225,""marketcap"")"),"#N/A")</f>
        <v>#N/A</v>
      </c>
      <c r="K2225" s="7">
        <v>992.8</v>
      </c>
      <c r="L2225" s="8" t="str">
        <f ca="1">IFERROR(__xludf.DUMMYFUNCTION("GOOGLEFINANCE(""NSE:""&amp;D2225,""price"")"),"#N/A")</f>
        <v>#N/A</v>
      </c>
      <c r="M2225" s="9" t="e">
        <f t="shared" ca="1" si="47"/>
        <v>#VALUE!</v>
      </c>
      <c r="N2225" s="10" t="e">
        <f t="shared" ca="1" si="48"/>
        <v>#VALUE!</v>
      </c>
      <c r="O2225" s="7" t="str">
        <f ca="1">IFERROR(__xludf.DUMMYFUNCTION("GOOGLEFINANCE(""NSE:""&amp;D2225,""pe"")"),"#N/A")</f>
        <v>#N/A</v>
      </c>
      <c r="P2225" s="7" t="str">
        <f ca="1">IFERROR(__xludf.DUMMYFUNCTION("GOOGLEFINANCE(""NSE:""&amp;D2225,""EPS"")"),"#N/A")</f>
        <v>#N/A</v>
      </c>
      <c r="Q2225" s="7">
        <v>13.5</v>
      </c>
      <c r="R2225" s="7" t="str">
        <f ca="1">IFERROR(__xludf.DUMMYFUNCTION("IMPORTXML(E2225,""/html/body/main/div[3]/div[3]/div[2]/ul/li[7]/span[2]/span"")"),"Loading...")</f>
        <v>Loading...</v>
      </c>
      <c r="S2225" s="7" t="str">
        <f ca="1">IFERROR(__xludf.DUMMYFUNCTION("IMPORTXML(E2225,""/html/body/main/div[3]/div[3]/div[2]/ul/li[8]/span[2]/span"")"),"Loading...")</f>
        <v>Loading...</v>
      </c>
      <c r="T2225" s="4">
        <v>34.6</v>
      </c>
      <c r="U2225" s="4">
        <v>22.7</v>
      </c>
      <c r="V2225" s="4">
        <v>2.6</v>
      </c>
      <c r="W2225" s="4">
        <v>5.7</v>
      </c>
      <c r="X2225" s="4">
        <v>519.92999999999995</v>
      </c>
      <c r="Y2225" s="7" t="e">
        <f t="shared" ca="1" si="49"/>
        <v>#VALUE!</v>
      </c>
    </row>
    <row r="2226" spans="1:25" ht="15" x14ac:dyDescent="0.25">
      <c r="A2226" s="4">
        <v>2083</v>
      </c>
      <c r="C2226" s="41" t="s">
        <v>4454</v>
      </c>
      <c r="D2226" s="42"/>
      <c r="E2226" s="5" t="str">
        <f t="shared" si="45"/>
        <v>https://www.screener.in/company//consolidated/</v>
      </c>
      <c r="F2226" s="4">
        <v>443059</v>
      </c>
      <c r="G2226" s="4">
        <v>3832241897</v>
      </c>
      <c r="H2226" s="6" t="e">
        <f t="shared" ca="1" si="46"/>
        <v>#VALUE!</v>
      </c>
      <c r="I2226" s="7" t="str">
        <f ca="1">IFERROR(__xludf.DUMMYFUNCTION("IMPORTXML(E2226,""/html/body/main/div[3]/div[3]/div[2]/ul/li[5]/span[2]/span"")"),"Loading...")</f>
        <v>Loading...</v>
      </c>
      <c r="J2226" s="7" t="str">
        <f ca="1">IFERROR(__xludf.DUMMYFUNCTION("GOOGLEFINANCE(""NSE:""&amp;D2226,""marketcap"")"),"#N/A")</f>
        <v>#N/A</v>
      </c>
      <c r="K2226" s="7">
        <v>992.8</v>
      </c>
      <c r="L2226" s="8" t="str">
        <f ca="1">IFERROR(__xludf.DUMMYFUNCTION("GOOGLEFINANCE(""NSE:""&amp;D2226,""price"")"),"#N/A")</f>
        <v>#N/A</v>
      </c>
      <c r="M2226" s="9" t="e">
        <f t="shared" ca="1" si="47"/>
        <v>#VALUE!</v>
      </c>
      <c r="N2226" s="10" t="e">
        <f t="shared" ca="1" si="48"/>
        <v>#VALUE!</v>
      </c>
      <c r="O2226" s="7" t="str">
        <f ca="1">IFERROR(__xludf.DUMMYFUNCTION("GOOGLEFINANCE(""NSE:""&amp;D2226,""pe"")"),"#N/A")</f>
        <v>#N/A</v>
      </c>
      <c r="P2226" s="7" t="str">
        <f ca="1">IFERROR(__xludf.DUMMYFUNCTION("GOOGLEFINANCE(""NSE:""&amp;D2226,""EPS"")"),"#N/A")</f>
        <v>#N/A</v>
      </c>
      <c r="Q2226" s="7">
        <v>13.5</v>
      </c>
      <c r="R2226" s="7" t="str">
        <f ca="1">IFERROR(__xludf.DUMMYFUNCTION("IMPORTXML(E2226,""/html/body/main/div[3]/div[3]/div[2]/ul/li[7]/span[2]/span"")"),"Loading...")</f>
        <v>Loading...</v>
      </c>
      <c r="S2226" s="7" t="str">
        <f ca="1">IFERROR(__xludf.DUMMYFUNCTION("IMPORTXML(E2226,""/html/body/main/div[3]/div[3]/div[2]/ul/li[8]/span[2]/span"")"),"Loading...")</f>
        <v>Loading...</v>
      </c>
      <c r="T2226" s="4">
        <v>34.6</v>
      </c>
      <c r="U2226" s="4">
        <v>22.7</v>
      </c>
      <c r="V2226" s="4">
        <v>2.6</v>
      </c>
      <c r="W2226" s="4">
        <v>5.7</v>
      </c>
      <c r="X2226" s="4">
        <v>519.92999999999995</v>
      </c>
      <c r="Y2226" s="7" t="e">
        <f t="shared" ca="1" si="49"/>
        <v>#VALUE!</v>
      </c>
    </row>
    <row r="2227" spans="1:25" ht="15" x14ac:dyDescent="0.25">
      <c r="A2227" s="4">
        <v>2084</v>
      </c>
      <c r="C2227" s="12" t="s">
        <v>4455</v>
      </c>
      <c r="D2227" s="37"/>
      <c r="E2227" s="5" t="str">
        <f t="shared" si="45"/>
        <v>https://www.screener.in/company//consolidated/</v>
      </c>
      <c r="F2227" s="4">
        <v>443059</v>
      </c>
      <c r="G2227" s="4">
        <v>3832241897</v>
      </c>
      <c r="H2227" s="6" t="e">
        <f t="shared" ca="1" si="46"/>
        <v>#VALUE!</v>
      </c>
      <c r="I2227" s="7" t="str">
        <f ca="1">IFERROR(__xludf.DUMMYFUNCTION("IMPORTXML(E2227,""/html/body/main/div[3]/div[3]/div[2]/ul/li[5]/span[2]/span"")"),"Loading...")</f>
        <v>Loading...</v>
      </c>
      <c r="J2227" s="7" t="str">
        <f ca="1">IFERROR(__xludf.DUMMYFUNCTION("GOOGLEFINANCE(""NSE:""&amp;D2227,""marketcap"")"),"#N/A")</f>
        <v>#N/A</v>
      </c>
      <c r="K2227" s="7">
        <v>992.8</v>
      </c>
      <c r="L2227" s="8" t="str">
        <f ca="1">IFERROR(__xludf.DUMMYFUNCTION("GOOGLEFINANCE(""NSE:""&amp;D2227,""price"")"),"#N/A")</f>
        <v>#N/A</v>
      </c>
      <c r="M2227" s="9" t="e">
        <f t="shared" ca="1" si="47"/>
        <v>#VALUE!</v>
      </c>
      <c r="N2227" s="10" t="e">
        <f t="shared" ca="1" si="48"/>
        <v>#VALUE!</v>
      </c>
      <c r="O2227" s="7" t="str">
        <f ca="1">IFERROR(__xludf.DUMMYFUNCTION("GOOGLEFINANCE(""NSE:""&amp;D2227,""pe"")"),"#N/A")</f>
        <v>#N/A</v>
      </c>
      <c r="P2227" s="7" t="str">
        <f ca="1">IFERROR(__xludf.DUMMYFUNCTION("GOOGLEFINANCE(""NSE:""&amp;D2227,""EPS"")"),"#N/A")</f>
        <v>#N/A</v>
      </c>
      <c r="Q2227" s="7">
        <v>13.5</v>
      </c>
      <c r="R2227" s="7" t="str">
        <f ca="1">IFERROR(__xludf.DUMMYFUNCTION("IMPORTXML(E2227,""/html/body/main/div[3]/div[3]/div[2]/ul/li[7]/span[2]/span"")"),"Loading...")</f>
        <v>Loading...</v>
      </c>
      <c r="S2227" s="7" t="str">
        <f ca="1">IFERROR(__xludf.DUMMYFUNCTION("IMPORTXML(E2227,""/html/body/main/div[3]/div[3]/div[2]/ul/li[8]/span[2]/span"")"),"Loading...")</f>
        <v>Loading...</v>
      </c>
      <c r="T2227" s="4">
        <v>34.6</v>
      </c>
      <c r="U2227" s="4">
        <v>22.7</v>
      </c>
      <c r="V2227" s="4">
        <v>2.6</v>
      </c>
      <c r="W2227" s="4">
        <v>5.7</v>
      </c>
      <c r="X2227" s="4">
        <v>519.92999999999995</v>
      </c>
      <c r="Y2227" s="7" t="e">
        <f t="shared" ca="1" si="49"/>
        <v>#VALUE!</v>
      </c>
    </row>
    <row r="2228" spans="1:25" ht="15" x14ac:dyDescent="0.25">
      <c r="A2228" s="4">
        <v>2085</v>
      </c>
      <c r="C2228" s="41" t="s">
        <v>4456</v>
      </c>
      <c r="D2228" s="42"/>
      <c r="E2228" s="5" t="str">
        <f t="shared" si="45"/>
        <v>https://www.screener.in/company//consolidated/</v>
      </c>
      <c r="F2228" s="4">
        <v>443059</v>
      </c>
      <c r="G2228" s="4">
        <v>3832241897</v>
      </c>
      <c r="H2228" s="6" t="e">
        <f t="shared" ca="1" si="46"/>
        <v>#VALUE!</v>
      </c>
      <c r="I2228" s="7" t="str">
        <f ca="1">IFERROR(__xludf.DUMMYFUNCTION("IMPORTXML(E2228,""/html/body/main/div[3]/div[3]/div[2]/ul/li[5]/span[2]/span"")"),"Loading...")</f>
        <v>Loading...</v>
      </c>
      <c r="J2228" s="7" t="str">
        <f ca="1">IFERROR(__xludf.DUMMYFUNCTION("GOOGLEFINANCE(""NSE:""&amp;D2228,""marketcap"")"),"#N/A")</f>
        <v>#N/A</v>
      </c>
      <c r="K2228" s="7">
        <v>992.8</v>
      </c>
      <c r="L2228" s="8" t="str">
        <f ca="1">IFERROR(__xludf.DUMMYFUNCTION("GOOGLEFINANCE(""NSE:""&amp;D2228,""price"")"),"#N/A")</f>
        <v>#N/A</v>
      </c>
      <c r="M2228" s="9" t="e">
        <f t="shared" ca="1" si="47"/>
        <v>#VALUE!</v>
      </c>
      <c r="N2228" s="10" t="e">
        <f t="shared" ca="1" si="48"/>
        <v>#VALUE!</v>
      </c>
      <c r="O2228" s="7" t="str">
        <f ca="1">IFERROR(__xludf.DUMMYFUNCTION("GOOGLEFINANCE(""NSE:""&amp;D2228,""pe"")"),"#N/A")</f>
        <v>#N/A</v>
      </c>
      <c r="P2228" s="7" t="str">
        <f ca="1">IFERROR(__xludf.DUMMYFUNCTION("GOOGLEFINANCE(""NSE:""&amp;D2228,""EPS"")"),"#N/A")</f>
        <v>#N/A</v>
      </c>
      <c r="Q2228" s="7">
        <v>13.5</v>
      </c>
      <c r="R2228" s="7" t="str">
        <f ca="1">IFERROR(__xludf.DUMMYFUNCTION("IMPORTXML(E2228,""/html/body/main/div[3]/div[3]/div[2]/ul/li[7]/span[2]/span"")"),"Loading...")</f>
        <v>Loading...</v>
      </c>
      <c r="S2228" s="7" t="str">
        <f ca="1">IFERROR(__xludf.DUMMYFUNCTION("IMPORTXML(E2228,""/html/body/main/div[3]/div[3]/div[2]/ul/li[8]/span[2]/span"")"),"Loading...")</f>
        <v>Loading...</v>
      </c>
      <c r="T2228" s="4">
        <v>34.6</v>
      </c>
      <c r="U2228" s="4">
        <v>22.7</v>
      </c>
      <c r="V2228" s="4">
        <v>2.6</v>
      </c>
      <c r="W2228" s="4">
        <v>5.7</v>
      </c>
      <c r="X2228" s="4">
        <v>519.92999999999995</v>
      </c>
      <c r="Y2228" s="7" t="e">
        <f t="shared" ca="1" si="49"/>
        <v>#VALUE!</v>
      </c>
    </row>
    <row r="2229" spans="1:25" ht="15" x14ac:dyDescent="0.25">
      <c r="A2229" s="4">
        <v>2087</v>
      </c>
      <c r="C2229" s="41" t="s">
        <v>4457</v>
      </c>
      <c r="D2229" s="42"/>
      <c r="E2229" s="5" t="str">
        <f t="shared" si="45"/>
        <v>https://www.screener.in/company//consolidated/</v>
      </c>
      <c r="F2229" s="4">
        <v>443059</v>
      </c>
      <c r="G2229" s="4">
        <v>3832241897</v>
      </c>
      <c r="H2229" s="6" t="e">
        <f t="shared" ca="1" si="46"/>
        <v>#VALUE!</v>
      </c>
      <c r="I2229" s="7" t="str">
        <f ca="1">IFERROR(__xludf.DUMMYFUNCTION("IMPORTXML(E2229,""/html/body/main/div[3]/div[3]/div[2]/ul/li[5]/span[2]/span"")"),"Loading...")</f>
        <v>Loading...</v>
      </c>
      <c r="J2229" s="7" t="str">
        <f ca="1">IFERROR(__xludf.DUMMYFUNCTION("GOOGLEFINANCE(""NSE:""&amp;D2229,""marketcap"")"),"#N/A")</f>
        <v>#N/A</v>
      </c>
      <c r="K2229" s="7">
        <v>992.8</v>
      </c>
      <c r="L2229" s="8" t="str">
        <f ca="1">IFERROR(__xludf.DUMMYFUNCTION("GOOGLEFINANCE(""NSE:""&amp;D2229,""price"")"),"#N/A")</f>
        <v>#N/A</v>
      </c>
      <c r="M2229" s="9" t="e">
        <f t="shared" ca="1" si="47"/>
        <v>#VALUE!</v>
      </c>
      <c r="N2229" s="10" t="e">
        <f t="shared" ca="1" si="48"/>
        <v>#VALUE!</v>
      </c>
      <c r="O2229" s="7" t="str">
        <f ca="1">IFERROR(__xludf.DUMMYFUNCTION("GOOGLEFINANCE(""NSE:""&amp;D2229,""pe"")"),"#N/A")</f>
        <v>#N/A</v>
      </c>
      <c r="P2229" s="7" t="str">
        <f ca="1">IFERROR(__xludf.DUMMYFUNCTION("GOOGLEFINANCE(""NSE:""&amp;D2229,""EPS"")"),"#N/A")</f>
        <v>#N/A</v>
      </c>
      <c r="Q2229" s="7">
        <v>13.5</v>
      </c>
      <c r="R2229" s="7" t="str">
        <f ca="1">IFERROR(__xludf.DUMMYFUNCTION("IMPORTXML(E2229,""/html/body/main/div[3]/div[3]/div[2]/ul/li[7]/span[2]/span"")"),"Loading...")</f>
        <v>Loading...</v>
      </c>
      <c r="S2229" s="7" t="str">
        <f ca="1">IFERROR(__xludf.DUMMYFUNCTION("IMPORTXML(E2229,""/html/body/main/div[3]/div[3]/div[2]/ul/li[8]/span[2]/span"")"),"Loading...")</f>
        <v>Loading...</v>
      </c>
      <c r="T2229" s="4">
        <v>34.6</v>
      </c>
      <c r="U2229" s="4">
        <v>22.7</v>
      </c>
      <c r="V2229" s="4">
        <v>2.6</v>
      </c>
      <c r="W2229" s="4">
        <v>5.7</v>
      </c>
      <c r="X2229" s="4">
        <v>519.92999999999995</v>
      </c>
      <c r="Y2229" s="7" t="e">
        <f t="shared" ca="1" si="49"/>
        <v>#VALUE!</v>
      </c>
    </row>
    <row r="2230" spans="1:25" ht="15" x14ac:dyDescent="0.25">
      <c r="A2230" s="4">
        <v>2088</v>
      </c>
      <c r="C2230" s="41" t="s">
        <v>4458</v>
      </c>
      <c r="D2230" s="42"/>
      <c r="E2230" s="5" t="str">
        <f t="shared" si="45"/>
        <v>https://www.screener.in/company//consolidated/</v>
      </c>
      <c r="F2230" s="4">
        <v>443059</v>
      </c>
      <c r="G2230" s="4">
        <v>3832241897</v>
      </c>
      <c r="H2230" s="6" t="e">
        <f t="shared" ca="1" si="46"/>
        <v>#VALUE!</v>
      </c>
      <c r="I2230" s="7" t="str">
        <f ca="1">IFERROR(__xludf.DUMMYFUNCTION("IMPORTXML(E2230,""/html/body/main/div[3]/div[3]/div[2]/ul/li[5]/span[2]/span"")"),"Loading...")</f>
        <v>Loading...</v>
      </c>
      <c r="J2230" s="7" t="str">
        <f ca="1">IFERROR(__xludf.DUMMYFUNCTION("GOOGLEFINANCE(""NSE:""&amp;D2230,""marketcap"")"),"#N/A")</f>
        <v>#N/A</v>
      </c>
      <c r="K2230" s="7">
        <v>992.8</v>
      </c>
      <c r="L2230" s="8" t="str">
        <f ca="1">IFERROR(__xludf.DUMMYFUNCTION("GOOGLEFINANCE(""NSE:""&amp;D2230,""price"")"),"#N/A")</f>
        <v>#N/A</v>
      </c>
      <c r="M2230" s="9" t="e">
        <f t="shared" ca="1" si="47"/>
        <v>#VALUE!</v>
      </c>
      <c r="N2230" s="10" t="e">
        <f t="shared" ca="1" si="48"/>
        <v>#VALUE!</v>
      </c>
      <c r="O2230" s="7" t="str">
        <f ca="1">IFERROR(__xludf.DUMMYFUNCTION("GOOGLEFINANCE(""NSE:""&amp;D2230,""pe"")"),"#N/A")</f>
        <v>#N/A</v>
      </c>
      <c r="P2230" s="7" t="str">
        <f ca="1">IFERROR(__xludf.DUMMYFUNCTION("GOOGLEFINANCE(""NSE:""&amp;D2230,""EPS"")"),"#N/A")</f>
        <v>#N/A</v>
      </c>
      <c r="Q2230" s="7">
        <v>13.5</v>
      </c>
      <c r="R2230" s="7" t="str">
        <f ca="1">IFERROR(__xludf.DUMMYFUNCTION("IMPORTXML(E2230,""/html/body/main/div[3]/div[3]/div[2]/ul/li[7]/span[2]/span"")"),"Loading...")</f>
        <v>Loading...</v>
      </c>
      <c r="S2230" s="7" t="str">
        <f ca="1">IFERROR(__xludf.DUMMYFUNCTION("IMPORTXML(E2230,""/html/body/main/div[3]/div[3]/div[2]/ul/li[8]/span[2]/span"")"),"Loading...")</f>
        <v>Loading...</v>
      </c>
      <c r="T2230" s="4">
        <v>34.6</v>
      </c>
      <c r="U2230" s="4">
        <v>22.7</v>
      </c>
      <c r="V2230" s="4">
        <v>2.6</v>
      </c>
      <c r="W2230" s="4">
        <v>5.7</v>
      </c>
      <c r="X2230" s="4">
        <v>519.92999999999995</v>
      </c>
      <c r="Y2230" s="7" t="e">
        <f t="shared" ca="1" si="49"/>
        <v>#VALUE!</v>
      </c>
    </row>
    <row r="2231" spans="1:25" ht="15" x14ac:dyDescent="0.25">
      <c r="A2231" s="4">
        <v>2089</v>
      </c>
      <c r="C2231" s="41" t="s">
        <v>4459</v>
      </c>
      <c r="D2231" s="42"/>
      <c r="E2231" s="5" t="str">
        <f t="shared" si="45"/>
        <v>https://www.screener.in/company//consolidated/</v>
      </c>
      <c r="F2231" s="4">
        <v>443059</v>
      </c>
      <c r="G2231" s="4">
        <v>3832241897</v>
      </c>
      <c r="H2231" s="6" t="e">
        <f t="shared" ca="1" si="46"/>
        <v>#VALUE!</v>
      </c>
      <c r="I2231" s="7" t="str">
        <f ca="1">IFERROR(__xludf.DUMMYFUNCTION("IMPORTXML(E2231,""/html/body/main/div[3]/div[3]/div[2]/ul/li[5]/span[2]/span"")"),"Loading...")</f>
        <v>Loading...</v>
      </c>
      <c r="J2231" s="7" t="str">
        <f ca="1">IFERROR(__xludf.DUMMYFUNCTION("GOOGLEFINANCE(""NSE:""&amp;D2231,""marketcap"")"),"#N/A")</f>
        <v>#N/A</v>
      </c>
      <c r="K2231" s="7">
        <v>992.8</v>
      </c>
      <c r="L2231" s="8" t="str">
        <f ca="1">IFERROR(__xludf.DUMMYFUNCTION("GOOGLEFINANCE(""NSE:""&amp;D2231,""price"")"),"#N/A")</f>
        <v>#N/A</v>
      </c>
      <c r="M2231" s="9" t="e">
        <f t="shared" ca="1" si="47"/>
        <v>#VALUE!</v>
      </c>
      <c r="N2231" s="10" t="e">
        <f t="shared" ca="1" si="48"/>
        <v>#VALUE!</v>
      </c>
      <c r="O2231" s="7" t="str">
        <f ca="1">IFERROR(__xludf.DUMMYFUNCTION("GOOGLEFINANCE(""NSE:""&amp;D2231,""pe"")"),"#N/A")</f>
        <v>#N/A</v>
      </c>
      <c r="P2231" s="7" t="str">
        <f ca="1">IFERROR(__xludf.DUMMYFUNCTION("GOOGLEFINANCE(""NSE:""&amp;D2231,""EPS"")"),"#N/A")</f>
        <v>#N/A</v>
      </c>
      <c r="Q2231" s="7">
        <v>13.5</v>
      </c>
      <c r="R2231" s="7" t="str">
        <f ca="1">IFERROR(__xludf.DUMMYFUNCTION("IMPORTXML(E2231,""/html/body/main/div[3]/div[3]/div[2]/ul/li[7]/span[2]/span"")"),"Loading...")</f>
        <v>Loading...</v>
      </c>
      <c r="S2231" s="7" t="str">
        <f ca="1">IFERROR(__xludf.DUMMYFUNCTION("IMPORTXML(E2231,""/html/body/main/div[3]/div[3]/div[2]/ul/li[8]/span[2]/span"")"),"Loading...")</f>
        <v>Loading...</v>
      </c>
      <c r="T2231" s="4">
        <v>34.6</v>
      </c>
      <c r="U2231" s="4">
        <v>22.7</v>
      </c>
      <c r="V2231" s="4">
        <v>2.6</v>
      </c>
      <c r="W2231" s="4">
        <v>5.7</v>
      </c>
      <c r="X2231" s="4">
        <v>519.92999999999995</v>
      </c>
      <c r="Y2231" s="7" t="e">
        <f t="shared" ca="1" si="49"/>
        <v>#VALUE!</v>
      </c>
    </row>
    <row r="2232" spans="1:25" ht="15" x14ac:dyDescent="0.25">
      <c r="A2232" s="4">
        <v>2093</v>
      </c>
      <c r="C2232" s="12" t="s">
        <v>4460</v>
      </c>
      <c r="D2232" s="12" t="s">
        <v>4461</v>
      </c>
      <c r="E2232" s="5" t="str">
        <f t="shared" si="45"/>
        <v>https://www.screener.in/company/KREBSBIO/consolidated/</v>
      </c>
      <c r="F2232" s="4">
        <v>443059</v>
      </c>
      <c r="G2232" s="4">
        <v>3832241897</v>
      </c>
      <c r="H2232" s="6">
        <f t="shared" ca="1" si="46"/>
        <v>28166.977942950001</v>
      </c>
      <c r="I2232" s="7" t="str">
        <f ca="1">IFERROR(__xludf.DUMMYFUNCTION("IMPORTXML(E2232,""/html/body/main/div[3]/div[3]/div[2]/ul/li[5]/span[2]/span"")"),"Loading...")</f>
        <v>Loading...</v>
      </c>
      <c r="J2232" s="7">
        <f ca="1">IFERROR(__xludf.DUMMYFUNCTION("GOOGLEFINANCE(""NSE:""&amp;D2232,""marketcap"")"),1563142000)</f>
        <v>1563142000</v>
      </c>
      <c r="K2232" s="7">
        <v>992.8</v>
      </c>
      <c r="L2232" s="8">
        <f ca="1">IFERROR(__xludf.DUMMYFUNCTION("GOOGLEFINANCE(""NSE:""&amp;D2232,""price"")"),73.5)</f>
        <v>73.5</v>
      </c>
      <c r="M2232" s="9">
        <f t="shared" ca="1" si="47"/>
        <v>-919.3</v>
      </c>
      <c r="N2232" s="10">
        <f t="shared" ca="1" si="48"/>
        <v>-92.596696212731672</v>
      </c>
      <c r="O2232" s="7" t="str">
        <f ca="1">IFERROR(__xludf.DUMMYFUNCTION("GOOGLEFINANCE(""NSE:""&amp;D2232,""pe"")"),"#N/A")</f>
        <v>#N/A</v>
      </c>
      <c r="P2232" s="7">
        <f ca="1">IFERROR(__xludf.DUMMYFUNCTION("GOOGLEFINANCE(""NSE:""&amp;D2232,""EPS"")"),-12.56)</f>
        <v>-12.56</v>
      </c>
      <c r="Q2232" s="7">
        <v>13.5</v>
      </c>
      <c r="R2232" s="7" t="str">
        <f ca="1">IFERROR(__xludf.DUMMYFUNCTION("IMPORTXML(E2232,""/html/body/main/div[3]/div[3]/div[2]/ul/li[7]/span[2]/span"")"),"Loading...")</f>
        <v>Loading...</v>
      </c>
      <c r="S2232" s="7" t="str">
        <f ca="1">IFERROR(__xludf.DUMMYFUNCTION("IMPORTXML(E2232,""/html/body/main/div[3]/div[3]/div[2]/ul/li[8]/span[2]/span"")"),"Loading...")</f>
        <v>Loading...</v>
      </c>
      <c r="T2232" s="4">
        <v>34.6</v>
      </c>
      <c r="U2232" s="4">
        <v>22.7</v>
      </c>
      <c r="V2232" s="4">
        <v>2.6</v>
      </c>
      <c r="W2232" s="4">
        <v>5.7</v>
      </c>
      <c r="X2232" s="4">
        <v>519.92999999999995</v>
      </c>
      <c r="Y2232" s="7">
        <f t="shared" ca="1" si="49"/>
        <v>-446.42999999999995</v>
      </c>
    </row>
    <row r="2233" spans="1:25" ht="15" x14ac:dyDescent="0.25">
      <c r="A2233" s="4">
        <v>2096</v>
      </c>
      <c r="C2233" s="41" t="s">
        <v>4462</v>
      </c>
      <c r="D2233" s="42"/>
      <c r="E2233" s="5" t="str">
        <f t="shared" si="45"/>
        <v>https://www.screener.in/company//consolidated/</v>
      </c>
      <c r="F2233" s="4">
        <v>443059</v>
      </c>
      <c r="G2233" s="4">
        <v>3832241897</v>
      </c>
      <c r="H2233" s="6" t="e">
        <f t="shared" ca="1" si="46"/>
        <v>#VALUE!</v>
      </c>
      <c r="I2233" s="7" t="str">
        <f ca="1">IFERROR(__xludf.DUMMYFUNCTION("IMPORTXML(E2233,""/html/body/main/div[3]/div[3]/div[2]/ul/li[5]/span[2]/span"")"),"Loading...")</f>
        <v>Loading...</v>
      </c>
      <c r="J2233" s="7" t="str">
        <f ca="1">IFERROR(__xludf.DUMMYFUNCTION("GOOGLEFINANCE(""NSE:""&amp;D2233,""marketcap"")"),"#N/A")</f>
        <v>#N/A</v>
      </c>
      <c r="K2233" s="7">
        <v>992.8</v>
      </c>
      <c r="L2233" s="8" t="str">
        <f ca="1">IFERROR(__xludf.DUMMYFUNCTION("GOOGLEFINANCE(""NSE:""&amp;D2233,""price"")"),"#N/A")</f>
        <v>#N/A</v>
      </c>
      <c r="M2233" s="9" t="e">
        <f t="shared" ca="1" si="47"/>
        <v>#VALUE!</v>
      </c>
      <c r="N2233" s="10" t="e">
        <f t="shared" ca="1" si="48"/>
        <v>#VALUE!</v>
      </c>
      <c r="O2233" s="7" t="str">
        <f ca="1">IFERROR(__xludf.DUMMYFUNCTION("GOOGLEFINANCE(""NSE:""&amp;D2233,""pe"")"),"#N/A")</f>
        <v>#N/A</v>
      </c>
      <c r="P2233" s="7" t="str">
        <f ca="1">IFERROR(__xludf.DUMMYFUNCTION("GOOGLEFINANCE(""NSE:""&amp;D2233,""EPS"")"),"#N/A")</f>
        <v>#N/A</v>
      </c>
      <c r="Q2233" s="7">
        <v>13.5</v>
      </c>
      <c r="R2233" s="7" t="str">
        <f ca="1">IFERROR(__xludf.DUMMYFUNCTION("IMPORTXML(E2233,""/html/body/main/div[3]/div[3]/div[2]/ul/li[7]/span[2]/span"")"),"Loading...")</f>
        <v>Loading...</v>
      </c>
      <c r="S2233" s="7" t="str">
        <f ca="1">IFERROR(__xludf.DUMMYFUNCTION("IMPORTXML(E2233,""/html/body/main/div[3]/div[3]/div[2]/ul/li[8]/span[2]/span"")"),"Loading...")</f>
        <v>Loading...</v>
      </c>
      <c r="T2233" s="4">
        <v>34.6</v>
      </c>
      <c r="U2233" s="4">
        <v>22.7</v>
      </c>
      <c r="V2233" s="4">
        <v>2.6</v>
      </c>
      <c r="W2233" s="4">
        <v>5.7</v>
      </c>
      <c r="X2233" s="4">
        <v>519.92999999999995</v>
      </c>
      <c r="Y2233" s="7" t="e">
        <f t="shared" ca="1" si="49"/>
        <v>#VALUE!</v>
      </c>
    </row>
    <row r="2234" spans="1:25" ht="15" x14ac:dyDescent="0.25">
      <c r="A2234" s="4">
        <v>2097</v>
      </c>
      <c r="C2234" s="12" t="s">
        <v>4463</v>
      </c>
      <c r="D2234" s="37"/>
      <c r="E2234" s="5" t="str">
        <f t="shared" si="45"/>
        <v>https://www.screener.in/company//consolidated/</v>
      </c>
      <c r="F2234" s="4">
        <v>443059</v>
      </c>
      <c r="G2234" s="4">
        <v>3832241897</v>
      </c>
      <c r="H2234" s="6" t="e">
        <f t="shared" ca="1" si="46"/>
        <v>#VALUE!</v>
      </c>
      <c r="I2234" s="7" t="str">
        <f ca="1">IFERROR(__xludf.DUMMYFUNCTION("IMPORTXML(E2234,""/html/body/main/div[3]/div[3]/div[2]/ul/li[5]/span[2]/span"")"),"Loading...")</f>
        <v>Loading...</v>
      </c>
      <c r="J2234" s="7" t="str">
        <f ca="1">IFERROR(__xludf.DUMMYFUNCTION("GOOGLEFINANCE(""NSE:""&amp;D2234,""marketcap"")"),"#N/A")</f>
        <v>#N/A</v>
      </c>
      <c r="K2234" s="7">
        <v>992.8</v>
      </c>
      <c r="L2234" s="8" t="str">
        <f ca="1">IFERROR(__xludf.DUMMYFUNCTION("GOOGLEFINANCE(""NSE:""&amp;D2234,""price"")"),"#N/A")</f>
        <v>#N/A</v>
      </c>
      <c r="M2234" s="9" t="e">
        <f t="shared" ca="1" si="47"/>
        <v>#VALUE!</v>
      </c>
      <c r="N2234" s="10" t="e">
        <f t="shared" ca="1" si="48"/>
        <v>#VALUE!</v>
      </c>
      <c r="O2234" s="7" t="str">
        <f ca="1">IFERROR(__xludf.DUMMYFUNCTION("GOOGLEFINANCE(""NSE:""&amp;D2234,""pe"")"),"#N/A")</f>
        <v>#N/A</v>
      </c>
      <c r="P2234" s="7" t="str">
        <f ca="1">IFERROR(__xludf.DUMMYFUNCTION("GOOGLEFINANCE(""NSE:""&amp;D2234,""EPS"")"),"#N/A")</f>
        <v>#N/A</v>
      </c>
      <c r="Q2234" s="7">
        <v>13.5</v>
      </c>
      <c r="R2234" s="7" t="str">
        <f ca="1">IFERROR(__xludf.DUMMYFUNCTION("IMPORTXML(E2234,""/html/body/main/div[3]/div[3]/div[2]/ul/li[7]/span[2]/span"")"),"Loading...")</f>
        <v>Loading...</v>
      </c>
      <c r="S2234" s="7" t="str">
        <f ca="1">IFERROR(__xludf.DUMMYFUNCTION("IMPORTXML(E2234,""/html/body/main/div[3]/div[3]/div[2]/ul/li[8]/span[2]/span"")"),"Loading...")</f>
        <v>Loading...</v>
      </c>
      <c r="T2234" s="4">
        <v>34.6</v>
      </c>
      <c r="U2234" s="4">
        <v>22.7</v>
      </c>
      <c r="V2234" s="4">
        <v>2.6</v>
      </c>
      <c r="W2234" s="4">
        <v>5.7</v>
      </c>
      <c r="X2234" s="4">
        <v>519.92999999999995</v>
      </c>
      <c r="Y2234" s="7" t="e">
        <f t="shared" ca="1" si="49"/>
        <v>#VALUE!</v>
      </c>
    </row>
    <row r="2235" spans="1:25" ht="15" x14ac:dyDescent="0.25">
      <c r="A2235" s="4">
        <v>2098</v>
      </c>
      <c r="C2235" s="41" t="s">
        <v>4464</v>
      </c>
      <c r="D2235" s="42"/>
      <c r="E2235" s="5" t="str">
        <f t="shared" si="45"/>
        <v>https://www.screener.in/company//consolidated/</v>
      </c>
      <c r="F2235" s="4">
        <v>443059</v>
      </c>
      <c r="G2235" s="4">
        <v>3832241897</v>
      </c>
      <c r="H2235" s="6" t="e">
        <f t="shared" ca="1" si="46"/>
        <v>#VALUE!</v>
      </c>
      <c r="I2235" s="7" t="str">
        <f ca="1">IFERROR(__xludf.DUMMYFUNCTION("IMPORTXML(E2235,""/html/body/main/div[3]/div[3]/div[2]/ul/li[5]/span[2]/span"")"),"Loading...")</f>
        <v>Loading...</v>
      </c>
      <c r="J2235" s="7" t="str">
        <f ca="1">IFERROR(__xludf.DUMMYFUNCTION("GOOGLEFINANCE(""NSE:""&amp;D2235,""marketcap"")"),"#N/A")</f>
        <v>#N/A</v>
      </c>
      <c r="K2235" s="7">
        <v>992.8</v>
      </c>
      <c r="L2235" s="8" t="str">
        <f ca="1">IFERROR(__xludf.DUMMYFUNCTION("GOOGLEFINANCE(""NSE:""&amp;D2235,""price"")"),"#N/A")</f>
        <v>#N/A</v>
      </c>
      <c r="M2235" s="9" t="e">
        <f t="shared" ca="1" si="47"/>
        <v>#VALUE!</v>
      </c>
      <c r="N2235" s="10" t="e">
        <f t="shared" ca="1" si="48"/>
        <v>#VALUE!</v>
      </c>
      <c r="O2235" s="7" t="str">
        <f ca="1">IFERROR(__xludf.DUMMYFUNCTION("GOOGLEFINANCE(""NSE:""&amp;D2235,""pe"")"),"#N/A")</f>
        <v>#N/A</v>
      </c>
      <c r="P2235" s="7" t="str">
        <f ca="1">IFERROR(__xludf.DUMMYFUNCTION("GOOGLEFINANCE(""NSE:""&amp;D2235,""EPS"")"),"#N/A")</f>
        <v>#N/A</v>
      </c>
      <c r="Q2235" s="7">
        <v>13.5</v>
      </c>
      <c r="R2235" s="7" t="str">
        <f ca="1">IFERROR(__xludf.DUMMYFUNCTION("IMPORTXML(E2235,""/html/body/main/div[3]/div[3]/div[2]/ul/li[7]/span[2]/span"")"),"Loading...")</f>
        <v>Loading...</v>
      </c>
      <c r="S2235" s="7" t="str">
        <f ca="1">IFERROR(__xludf.DUMMYFUNCTION("IMPORTXML(E2235,""/html/body/main/div[3]/div[3]/div[2]/ul/li[8]/span[2]/span"")"),"Loading...")</f>
        <v>Loading...</v>
      </c>
      <c r="T2235" s="4">
        <v>34.6</v>
      </c>
      <c r="U2235" s="4">
        <v>22.7</v>
      </c>
      <c r="V2235" s="4">
        <v>2.6</v>
      </c>
      <c r="W2235" s="4">
        <v>5.7</v>
      </c>
      <c r="X2235" s="4">
        <v>519.92999999999995</v>
      </c>
      <c r="Y2235" s="7" t="e">
        <f t="shared" ca="1" si="49"/>
        <v>#VALUE!</v>
      </c>
    </row>
    <row r="2236" spans="1:25" ht="15" x14ac:dyDescent="0.25">
      <c r="A2236" s="4">
        <v>2099</v>
      </c>
      <c r="C2236" s="41" t="s">
        <v>4465</v>
      </c>
      <c r="D2236" s="42"/>
      <c r="E2236" s="5" t="str">
        <f t="shared" si="45"/>
        <v>https://www.screener.in/company//consolidated/</v>
      </c>
      <c r="F2236" s="4">
        <v>443059</v>
      </c>
      <c r="G2236" s="4">
        <v>3832241897</v>
      </c>
      <c r="H2236" s="6" t="e">
        <f t="shared" ca="1" si="46"/>
        <v>#VALUE!</v>
      </c>
      <c r="I2236" s="7" t="str">
        <f ca="1">IFERROR(__xludf.DUMMYFUNCTION("IMPORTXML(E2236,""/html/body/main/div[3]/div[3]/div[2]/ul/li[5]/span[2]/span"")"),"Loading...")</f>
        <v>Loading...</v>
      </c>
      <c r="J2236" s="7" t="str">
        <f ca="1">IFERROR(__xludf.DUMMYFUNCTION("GOOGLEFINANCE(""NSE:""&amp;D2236,""marketcap"")"),"#N/A")</f>
        <v>#N/A</v>
      </c>
      <c r="K2236" s="7">
        <v>992.8</v>
      </c>
      <c r="L2236" s="8" t="str">
        <f ca="1">IFERROR(__xludf.DUMMYFUNCTION("GOOGLEFINANCE(""NSE:""&amp;D2236,""price"")"),"#N/A")</f>
        <v>#N/A</v>
      </c>
      <c r="M2236" s="9" t="e">
        <f t="shared" ca="1" si="47"/>
        <v>#VALUE!</v>
      </c>
      <c r="N2236" s="10" t="e">
        <f t="shared" ca="1" si="48"/>
        <v>#VALUE!</v>
      </c>
      <c r="O2236" s="7" t="str">
        <f ca="1">IFERROR(__xludf.DUMMYFUNCTION("GOOGLEFINANCE(""NSE:""&amp;D2236,""pe"")"),"#N/A")</f>
        <v>#N/A</v>
      </c>
      <c r="P2236" s="7" t="str">
        <f ca="1">IFERROR(__xludf.DUMMYFUNCTION("GOOGLEFINANCE(""NSE:""&amp;D2236,""EPS"")"),"#N/A")</f>
        <v>#N/A</v>
      </c>
      <c r="Q2236" s="7">
        <v>13.5</v>
      </c>
      <c r="R2236" s="7" t="str">
        <f ca="1">IFERROR(__xludf.DUMMYFUNCTION("IMPORTXML(E2236,""/html/body/main/div[3]/div[3]/div[2]/ul/li[7]/span[2]/span"")"),"Loading...")</f>
        <v>Loading...</v>
      </c>
      <c r="S2236" s="7" t="str">
        <f ca="1">IFERROR(__xludf.DUMMYFUNCTION("IMPORTXML(E2236,""/html/body/main/div[3]/div[3]/div[2]/ul/li[8]/span[2]/span"")"),"Loading...")</f>
        <v>Loading...</v>
      </c>
      <c r="T2236" s="4">
        <v>34.6</v>
      </c>
      <c r="U2236" s="4">
        <v>22.7</v>
      </c>
      <c r="V2236" s="4">
        <v>2.6</v>
      </c>
      <c r="W2236" s="4">
        <v>5.7</v>
      </c>
      <c r="X2236" s="4">
        <v>519.92999999999995</v>
      </c>
      <c r="Y2236" s="7" t="e">
        <f t="shared" ca="1" si="49"/>
        <v>#VALUE!</v>
      </c>
    </row>
    <row r="2237" spans="1:25" ht="15" x14ac:dyDescent="0.25">
      <c r="A2237" s="4">
        <v>2100</v>
      </c>
      <c r="C2237" s="41" t="s">
        <v>4466</v>
      </c>
      <c r="D2237" s="42"/>
      <c r="E2237" s="5" t="str">
        <f t="shared" si="45"/>
        <v>https://www.screener.in/company//consolidated/</v>
      </c>
      <c r="F2237" s="4">
        <v>443059</v>
      </c>
      <c r="G2237" s="4">
        <v>3832241897</v>
      </c>
      <c r="H2237" s="6" t="e">
        <f t="shared" ca="1" si="46"/>
        <v>#VALUE!</v>
      </c>
      <c r="I2237" s="7" t="str">
        <f ca="1">IFERROR(__xludf.DUMMYFUNCTION("IMPORTXML(E2237,""/html/body/main/div[3]/div[3]/div[2]/ul/li[5]/span[2]/span"")"),"Loading...")</f>
        <v>Loading...</v>
      </c>
      <c r="J2237" s="7" t="str">
        <f ca="1">IFERROR(__xludf.DUMMYFUNCTION("GOOGLEFINANCE(""NSE:""&amp;D2237,""marketcap"")"),"#N/A")</f>
        <v>#N/A</v>
      </c>
      <c r="K2237" s="7">
        <v>992.8</v>
      </c>
      <c r="L2237" s="8" t="str">
        <f ca="1">IFERROR(__xludf.DUMMYFUNCTION("GOOGLEFINANCE(""NSE:""&amp;D2237,""price"")"),"#N/A")</f>
        <v>#N/A</v>
      </c>
      <c r="M2237" s="9" t="e">
        <f t="shared" ca="1" si="47"/>
        <v>#VALUE!</v>
      </c>
      <c r="N2237" s="10" t="e">
        <f t="shared" ca="1" si="48"/>
        <v>#VALUE!</v>
      </c>
      <c r="O2237" s="7" t="str">
        <f ca="1">IFERROR(__xludf.DUMMYFUNCTION("GOOGLEFINANCE(""NSE:""&amp;D2237,""pe"")"),"#N/A")</f>
        <v>#N/A</v>
      </c>
      <c r="P2237" s="7" t="str">
        <f ca="1">IFERROR(__xludf.DUMMYFUNCTION("GOOGLEFINANCE(""NSE:""&amp;D2237,""EPS"")"),"#N/A")</f>
        <v>#N/A</v>
      </c>
      <c r="Q2237" s="7">
        <v>13.5</v>
      </c>
      <c r="R2237" s="7" t="str">
        <f ca="1">IFERROR(__xludf.DUMMYFUNCTION("IMPORTXML(E2237,""/html/body/main/div[3]/div[3]/div[2]/ul/li[7]/span[2]/span"")"),"Loading...")</f>
        <v>Loading...</v>
      </c>
      <c r="S2237" s="7" t="str">
        <f ca="1">IFERROR(__xludf.DUMMYFUNCTION("IMPORTXML(E2237,""/html/body/main/div[3]/div[3]/div[2]/ul/li[8]/span[2]/span"")"),"Loading...")</f>
        <v>Loading...</v>
      </c>
      <c r="T2237" s="4">
        <v>34.6</v>
      </c>
      <c r="U2237" s="4">
        <v>22.7</v>
      </c>
      <c r="V2237" s="4">
        <v>2.6</v>
      </c>
      <c r="W2237" s="4">
        <v>5.7</v>
      </c>
      <c r="X2237" s="4">
        <v>519.92999999999995</v>
      </c>
      <c r="Y2237" s="7" t="e">
        <f t="shared" ca="1" si="49"/>
        <v>#VALUE!</v>
      </c>
    </row>
    <row r="2238" spans="1:25" ht="15" x14ac:dyDescent="0.25">
      <c r="A2238" s="4">
        <v>2101</v>
      </c>
      <c r="C2238" s="41" t="s">
        <v>4467</v>
      </c>
      <c r="D2238" s="42"/>
      <c r="E2238" s="5" t="str">
        <f t="shared" si="45"/>
        <v>https://www.screener.in/company//consolidated/</v>
      </c>
      <c r="F2238" s="4">
        <v>443059</v>
      </c>
      <c r="G2238" s="4">
        <v>3832241897</v>
      </c>
      <c r="H2238" s="6" t="e">
        <f t="shared" ca="1" si="46"/>
        <v>#VALUE!</v>
      </c>
      <c r="I2238" s="7" t="str">
        <f ca="1">IFERROR(__xludf.DUMMYFUNCTION("IMPORTXML(E2238,""/html/body/main/div[3]/div[3]/div[2]/ul/li[5]/span[2]/span"")"),"Loading...")</f>
        <v>Loading...</v>
      </c>
      <c r="J2238" s="7" t="str">
        <f ca="1">IFERROR(__xludf.DUMMYFUNCTION("GOOGLEFINANCE(""NSE:""&amp;D2238,""marketcap"")"),"#N/A")</f>
        <v>#N/A</v>
      </c>
      <c r="K2238" s="7">
        <v>992.8</v>
      </c>
      <c r="L2238" s="8" t="str">
        <f ca="1">IFERROR(__xludf.DUMMYFUNCTION("GOOGLEFINANCE(""NSE:""&amp;D2238,""price"")"),"#N/A")</f>
        <v>#N/A</v>
      </c>
      <c r="M2238" s="9" t="e">
        <f t="shared" ca="1" si="47"/>
        <v>#VALUE!</v>
      </c>
      <c r="N2238" s="10" t="e">
        <f t="shared" ca="1" si="48"/>
        <v>#VALUE!</v>
      </c>
      <c r="O2238" s="7" t="str">
        <f ca="1">IFERROR(__xludf.DUMMYFUNCTION("GOOGLEFINANCE(""NSE:""&amp;D2238,""pe"")"),"#N/A")</f>
        <v>#N/A</v>
      </c>
      <c r="P2238" s="7" t="str">
        <f ca="1">IFERROR(__xludf.DUMMYFUNCTION("GOOGLEFINANCE(""NSE:""&amp;D2238,""EPS"")"),"#N/A")</f>
        <v>#N/A</v>
      </c>
      <c r="Q2238" s="7">
        <v>13.5</v>
      </c>
      <c r="R2238" s="7" t="str">
        <f ca="1">IFERROR(__xludf.DUMMYFUNCTION("IMPORTXML(E2238,""/html/body/main/div[3]/div[3]/div[2]/ul/li[7]/span[2]/span"")"),"Loading...")</f>
        <v>Loading...</v>
      </c>
      <c r="S2238" s="7" t="str">
        <f ca="1">IFERROR(__xludf.DUMMYFUNCTION("IMPORTXML(E2238,""/html/body/main/div[3]/div[3]/div[2]/ul/li[8]/span[2]/span"")"),"Loading...")</f>
        <v>Loading...</v>
      </c>
      <c r="T2238" s="4">
        <v>34.6</v>
      </c>
      <c r="U2238" s="4">
        <v>22.7</v>
      </c>
      <c r="V2238" s="4">
        <v>2.6</v>
      </c>
      <c r="W2238" s="4">
        <v>5.7</v>
      </c>
      <c r="X2238" s="4">
        <v>519.92999999999995</v>
      </c>
      <c r="Y2238" s="7" t="e">
        <f t="shared" ca="1" si="49"/>
        <v>#VALUE!</v>
      </c>
    </row>
    <row r="2239" spans="1:25" ht="15" x14ac:dyDescent="0.25">
      <c r="A2239" s="4">
        <v>2102</v>
      </c>
      <c r="C2239" s="41" t="s">
        <v>4468</v>
      </c>
      <c r="D2239" s="42"/>
      <c r="E2239" s="5" t="str">
        <f t="shared" si="45"/>
        <v>https://www.screener.in/company//consolidated/</v>
      </c>
      <c r="F2239" s="4">
        <v>443059</v>
      </c>
      <c r="G2239" s="4">
        <v>3832241897</v>
      </c>
      <c r="H2239" s="6" t="e">
        <f t="shared" ca="1" si="46"/>
        <v>#VALUE!</v>
      </c>
      <c r="I2239" s="7" t="str">
        <f ca="1">IFERROR(__xludf.DUMMYFUNCTION("IMPORTXML(E2239,""/html/body/main/div[3]/div[3]/div[2]/ul/li[5]/span[2]/span"")"),"Loading...")</f>
        <v>Loading...</v>
      </c>
      <c r="J2239" s="7" t="str">
        <f ca="1">IFERROR(__xludf.DUMMYFUNCTION("GOOGLEFINANCE(""NSE:""&amp;D2239,""marketcap"")"),"#N/A")</f>
        <v>#N/A</v>
      </c>
      <c r="K2239" s="7">
        <v>992.8</v>
      </c>
      <c r="L2239" s="8" t="str">
        <f ca="1">IFERROR(__xludf.DUMMYFUNCTION("GOOGLEFINANCE(""NSE:""&amp;D2239,""price"")"),"#N/A")</f>
        <v>#N/A</v>
      </c>
      <c r="M2239" s="9" t="e">
        <f t="shared" ca="1" si="47"/>
        <v>#VALUE!</v>
      </c>
      <c r="N2239" s="10" t="e">
        <f t="shared" ca="1" si="48"/>
        <v>#VALUE!</v>
      </c>
      <c r="O2239" s="7" t="str">
        <f ca="1">IFERROR(__xludf.DUMMYFUNCTION("GOOGLEFINANCE(""NSE:""&amp;D2239,""pe"")"),"#N/A")</f>
        <v>#N/A</v>
      </c>
      <c r="P2239" s="7" t="str">
        <f ca="1">IFERROR(__xludf.DUMMYFUNCTION("GOOGLEFINANCE(""NSE:""&amp;D2239,""EPS"")"),"#N/A")</f>
        <v>#N/A</v>
      </c>
      <c r="Q2239" s="7">
        <v>13.5</v>
      </c>
      <c r="R2239" s="7" t="str">
        <f ca="1">IFERROR(__xludf.DUMMYFUNCTION("IMPORTXML(E2239,""/html/body/main/div[3]/div[3]/div[2]/ul/li[7]/span[2]/span"")"),"Loading...")</f>
        <v>Loading...</v>
      </c>
      <c r="S2239" s="7" t="str">
        <f ca="1">IFERROR(__xludf.DUMMYFUNCTION("IMPORTXML(E2239,""/html/body/main/div[3]/div[3]/div[2]/ul/li[8]/span[2]/span"")"),"Loading...")</f>
        <v>Loading...</v>
      </c>
      <c r="T2239" s="4">
        <v>34.6</v>
      </c>
      <c r="U2239" s="4">
        <v>22.7</v>
      </c>
      <c r="V2239" s="4">
        <v>2.6</v>
      </c>
      <c r="W2239" s="4">
        <v>5.7</v>
      </c>
      <c r="X2239" s="4">
        <v>519.92999999999995</v>
      </c>
      <c r="Y2239" s="7" t="e">
        <f t="shared" ca="1" si="49"/>
        <v>#VALUE!</v>
      </c>
    </row>
    <row r="2240" spans="1:25" ht="15" x14ac:dyDescent="0.25">
      <c r="A2240" s="4">
        <v>2103</v>
      </c>
      <c r="C2240" s="41" t="s">
        <v>4469</v>
      </c>
      <c r="D2240" s="42"/>
      <c r="E2240" s="5" t="str">
        <f t="shared" si="45"/>
        <v>https://www.screener.in/company//consolidated/</v>
      </c>
      <c r="F2240" s="4">
        <v>443059</v>
      </c>
      <c r="G2240" s="4">
        <v>3832241897</v>
      </c>
      <c r="H2240" s="6" t="e">
        <f t="shared" ca="1" si="46"/>
        <v>#VALUE!</v>
      </c>
      <c r="I2240" s="7" t="str">
        <f ca="1">IFERROR(__xludf.DUMMYFUNCTION("IMPORTXML(E2240,""/html/body/main/div[3]/div[3]/div[2]/ul/li[5]/span[2]/span"")"),"Loading...")</f>
        <v>Loading...</v>
      </c>
      <c r="J2240" s="7" t="str">
        <f ca="1">IFERROR(__xludf.DUMMYFUNCTION("GOOGLEFINANCE(""NSE:""&amp;D2240,""marketcap"")"),"#N/A")</f>
        <v>#N/A</v>
      </c>
      <c r="K2240" s="7">
        <v>992.8</v>
      </c>
      <c r="L2240" s="8" t="str">
        <f ca="1">IFERROR(__xludf.DUMMYFUNCTION("GOOGLEFINANCE(""NSE:""&amp;D2240,""price"")"),"#N/A")</f>
        <v>#N/A</v>
      </c>
      <c r="M2240" s="9" t="e">
        <f t="shared" ca="1" si="47"/>
        <v>#VALUE!</v>
      </c>
      <c r="N2240" s="10" t="e">
        <f t="shared" ca="1" si="48"/>
        <v>#VALUE!</v>
      </c>
      <c r="O2240" s="7" t="str">
        <f ca="1">IFERROR(__xludf.DUMMYFUNCTION("GOOGLEFINANCE(""NSE:""&amp;D2240,""pe"")"),"#N/A")</f>
        <v>#N/A</v>
      </c>
      <c r="P2240" s="7" t="str">
        <f ca="1">IFERROR(__xludf.DUMMYFUNCTION("GOOGLEFINANCE(""NSE:""&amp;D2240,""EPS"")"),"#N/A")</f>
        <v>#N/A</v>
      </c>
      <c r="Q2240" s="7">
        <v>13.5</v>
      </c>
      <c r="R2240" s="7" t="str">
        <f ca="1">IFERROR(__xludf.DUMMYFUNCTION("IMPORTXML(E2240,""/html/body/main/div[3]/div[3]/div[2]/ul/li[7]/span[2]/span"")"),"Loading...")</f>
        <v>Loading...</v>
      </c>
      <c r="S2240" s="7" t="str">
        <f ca="1">IFERROR(__xludf.DUMMYFUNCTION("IMPORTXML(E2240,""/html/body/main/div[3]/div[3]/div[2]/ul/li[8]/span[2]/span"")"),"Loading...")</f>
        <v>Loading...</v>
      </c>
      <c r="T2240" s="4">
        <v>34.6</v>
      </c>
      <c r="U2240" s="4">
        <v>22.7</v>
      </c>
      <c r="V2240" s="4">
        <v>2.6</v>
      </c>
      <c r="W2240" s="4">
        <v>5.7</v>
      </c>
      <c r="X2240" s="4">
        <v>519.92999999999995</v>
      </c>
      <c r="Y2240" s="7" t="e">
        <f t="shared" ca="1" si="49"/>
        <v>#VALUE!</v>
      </c>
    </row>
    <row r="2241" spans="1:25" ht="15" x14ac:dyDescent="0.25">
      <c r="A2241" s="4">
        <v>2104</v>
      </c>
      <c r="C2241" s="41" t="s">
        <v>4470</v>
      </c>
      <c r="D2241" s="42"/>
      <c r="E2241" s="5" t="str">
        <f t="shared" si="45"/>
        <v>https://www.screener.in/company//consolidated/</v>
      </c>
      <c r="F2241" s="4">
        <v>443059</v>
      </c>
      <c r="G2241" s="4">
        <v>3832241897</v>
      </c>
      <c r="H2241" s="6" t="e">
        <f t="shared" ca="1" si="46"/>
        <v>#VALUE!</v>
      </c>
      <c r="I2241" s="7" t="str">
        <f ca="1">IFERROR(__xludf.DUMMYFUNCTION("IMPORTXML(E2241,""/html/body/main/div[3]/div[3]/div[2]/ul/li[5]/span[2]/span"")"),"Loading...")</f>
        <v>Loading...</v>
      </c>
      <c r="J2241" s="7" t="str">
        <f ca="1">IFERROR(__xludf.DUMMYFUNCTION("GOOGLEFINANCE(""NSE:""&amp;D2241,""marketcap"")"),"#N/A")</f>
        <v>#N/A</v>
      </c>
      <c r="K2241" s="7">
        <v>992.8</v>
      </c>
      <c r="L2241" s="8" t="str">
        <f ca="1">IFERROR(__xludf.DUMMYFUNCTION("GOOGLEFINANCE(""NSE:""&amp;D2241,""price"")"),"#N/A")</f>
        <v>#N/A</v>
      </c>
      <c r="M2241" s="9" t="e">
        <f t="shared" ca="1" si="47"/>
        <v>#VALUE!</v>
      </c>
      <c r="N2241" s="10" t="e">
        <f t="shared" ca="1" si="48"/>
        <v>#VALUE!</v>
      </c>
      <c r="O2241" s="7" t="str">
        <f ca="1">IFERROR(__xludf.DUMMYFUNCTION("GOOGLEFINANCE(""NSE:""&amp;D2241,""pe"")"),"#N/A")</f>
        <v>#N/A</v>
      </c>
      <c r="P2241" s="7" t="str">
        <f ca="1">IFERROR(__xludf.DUMMYFUNCTION("GOOGLEFINANCE(""NSE:""&amp;D2241,""EPS"")"),"#N/A")</f>
        <v>#N/A</v>
      </c>
      <c r="Q2241" s="7">
        <v>13.5</v>
      </c>
      <c r="R2241" s="7" t="str">
        <f ca="1">IFERROR(__xludf.DUMMYFUNCTION("IMPORTXML(E2241,""/html/body/main/div[3]/div[3]/div[2]/ul/li[7]/span[2]/span"")"),"Loading...")</f>
        <v>Loading...</v>
      </c>
      <c r="S2241" s="7" t="str">
        <f ca="1">IFERROR(__xludf.DUMMYFUNCTION("IMPORTXML(E2241,""/html/body/main/div[3]/div[3]/div[2]/ul/li[8]/span[2]/span"")"),"Loading...")</f>
        <v>Loading...</v>
      </c>
      <c r="T2241" s="4">
        <v>34.6</v>
      </c>
      <c r="U2241" s="4">
        <v>22.7</v>
      </c>
      <c r="V2241" s="4">
        <v>2.6</v>
      </c>
      <c r="W2241" s="4">
        <v>5.7</v>
      </c>
      <c r="X2241" s="4">
        <v>519.92999999999995</v>
      </c>
      <c r="Y2241" s="7" t="e">
        <f t="shared" ca="1" si="49"/>
        <v>#VALUE!</v>
      </c>
    </row>
    <row r="2242" spans="1:25" ht="15" x14ac:dyDescent="0.25">
      <c r="A2242" s="4">
        <v>2105</v>
      </c>
      <c r="C2242" s="41" t="s">
        <v>4471</v>
      </c>
      <c r="D2242" s="42"/>
      <c r="E2242" s="5" t="str">
        <f t="shared" si="45"/>
        <v>https://www.screener.in/company//consolidated/</v>
      </c>
      <c r="F2242" s="4">
        <v>443059</v>
      </c>
      <c r="G2242" s="4">
        <v>3832241897</v>
      </c>
      <c r="H2242" s="6" t="e">
        <f t="shared" ca="1" si="46"/>
        <v>#VALUE!</v>
      </c>
      <c r="I2242" s="7" t="str">
        <f ca="1">IFERROR(__xludf.DUMMYFUNCTION("IMPORTXML(E2242,""/html/body/main/div[3]/div[3]/div[2]/ul/li[5]/span[2]/span"")"),"Loading...")</f>
        <v>Loading...</v>
      </c>
      <c r="J2242" s="7" t="str">
        <f ca="1">IFERROR(__xludf.DUMMYFUNCTION("GOOGLEFINANCE(""NSE:""&amp;D2242,""marketcap"")"),"#N/A")</f>
        <v>#N/A</v>
      </c>
      <c r="K2242" s="7">
        <v>992.8</v>
      </c>
      <c r="L2242" s="8" t="str">
        <f ca="1">IFERROR(__xludf.DUMMYFUNCTION("GOOGLEFINANCE(""NSE:""&amp;D2242,""price"")"),"#N/A")</f>
        <v>#N/A</v>
      </c>
      <c r="M2242" s="9" t="e">
        <f t="shared" ca="1" si="47"/>
        <v>#VALUE!</v>
      </c>
      <c r="N2242" s="10" t="e">
        <f t="shared" ca="1" si="48"/>
        <v>#VALUE!</v>
      </c>
      <c r="O2242" s="7" t="str">
        <f ca="1">IFERROR(__xludf.DUMMYFUNCTION("GOOGLEFINANCE(""NSE:""&amp;D2242,""pe"")"),"#N/A")</f>
        <v>#N/A</v>
      </c>
      <c r="P2242" s="7" t="str">
        <f ca="1">IFERROR(__xludf.DUMMYFUNCTION("GOOGLEFINANCE(""NSE:""&amp;D2242,""EPS"")"),"#N/A")</f>
        <v>#N/A</v>
      </c>
      <c r="Q2242" s="7">
        <v>13.5</v>
      </c>
      <c r="R2242" s="7" t="str">
        <f ca="1">IFERROR(__xludf.DUMMYFUNCTION("IMPORTXML(E2242,""/html/body/main/div[3]/div[3]/div[2]/ul/li[7]/span[2]/span"")"),"Loading...")</f>
        <v>Loading...</v>
      </c>
      <c r="S2242" s="7" t="str">
        <f ca="1">IFERROR(__xludf.DUMMYFUNCTION("IMPORTXML(E2242,""/html/body/main/div[3]/div[3]/div[2]/ul/li[8]/span[2]/span"")"),"Loading...")</f>
        <v>Loading...</v>
      </c>
      <c r="T2242" s="4">
        <v>34.6</v>
      </c>
      <c r="U2242" s="4">
        <v>22.7</v>
      </c>
      <c r="V2242" s="4">
        <v>2.6</v>
      </c>
      <c r="W2242" s="4">
        <v>5.7</v>
      </c>
      <c r="X2242" s="4">
        <v>519.92999999999995</v>
      </c>
      <c r="Y2242" s="7" t="e">
        <f t="shared" ca="1" si="49"/>
        <v>#VALUE!</v>
      </c>
    </row>
    <row r="2243" spans="1:25" ht="15" x14ac:dyDescent="0.25">
      <c r="A2243" s="4">
        <v>2106</v>
      </c>
      <c r="C2243" s="41" t="s">
        <v>4472</v>
      </c>
      <c r="D2243" s="42"/>
      <c r="E2243" s="5" t="str">
        <f t="shared" si="45"/>
        <v>https://www.screener.in/company//consolidated/</v>
      </c>
      <c r="F2243" s="4">
        <v>443059</v>
      </c>
      <c r="G2243" s="4">
        <v>3832241897</v>
      </c>
      <c r="H2243" s="6" t="e">
        <f t="shared" ca="1" si="46"/>
        <v>#VALUE!</v>
      </c>
      <c r="I2243" s="7" t="str">
        <f ca="1">IFERROR(__xludf.DUMMYFUNCTION("IMPORTXML(E2243,""/html/body/main/div[3]/div[3]/div[2]/ul/li[5]/span[2]/span"")"),"Loading...")</f>
        <v>Loading...</v>
      </c>
      <c r="J2243" s="7" t="str">
        <f ca="1">IFERROR(__xludf.DUMMYFUNCTION("GOOGLEFINANCE(""NSE:""&amp;D2243,""marketcap"")"),"#N/A")</f>
        <v>#N/A</v>
      </c>
      <c r="K2243" s="7">
        <v>992.8</v>
      </c>
      <c r="L2243" s="8" t="str">
        <f ca="1">IFERROR(__xludf.DUMMYFUNCTION("GOOGLEFINANCE(""NSE:""&amp;D2243,""price"")"),"#N/A")</f>
        <v>#N/A</v>
      </c>
      <c r="M2243" s="9" t="e">
        <f t="shared" ca="1" si="47"/>
        <v>#VALUE!</v>
      </c>
      <c r="N2243" s="10" t="e">
        <f t="shared" ca="1" si="48"/>
        <v>#VALUE!</v>
      </c>
      <c r="O2243" s="7" t="str">
        <f ca="1">IFERROR(__xludf.DUMMYFUNCTION("GOOGLEFINANCE(""NSE:""&amp;D2243,""pe"")"),"#N/A")</f>
        <v>#N/A</v>
      </c>
      <c r="P2243" s="7" t="str">
        <f ca="1">IFERROR(__xludf.DUMMYFUNCTION("GOOGLEFINANCE(""NSE:""&amp;D2243,""EPS"")"),"#N/A")</f>
        <v>#N/A</v>
      </c>
      <c r="Q2243" s="7">
        <v>13.5</v>
      </c>
      <c r="R2243" s="7" t="str">
        <f ca="1">IFERROR(__xludf.DUMMYFUNCTION("IMPORTXML(E2243,""/html/body/main/div[3]/div[3]/div[2]/ul/li[7]/span[2]/span"")"),"Loading...")</f>
        <v>Loading...</v>
      </c>
      <c r="S2243" s="7" t="str">
        <f ca="1">IFERROR(__xludf.DUMMYFUNCTION("IMPORTXML(E2243,""/html/body/main/div[3]/div[3]/div[2]/ul/li[8]/span[2]/span"")"),"Loading...")</f>
        <v>Loading...</v>
      </c>
      <c r="T2243" s="4">
        <v>34.6</v>
      </c>
      <c r="U2243" s="4">
        <v>22.7</v>
      </c>
      <c r="V2243" s="4">
        <v>2.6</v>
      </c>
      <c r="W2243" s="4">
        <v>5.7</v>
      </c>
      <c r="X2243" s="4">
        <v>519.92999999999995</v>
      </c>
      <c r="Y2243" s="7" t="e">
        <f t="shared" ca="1" si="49"/>
        <v>#VALUE!</v>
      </c>
    </row>
    <row r="2244" spans="1:25" ht="15" x14ac:dyDescent="0.25">
      <c r="A2244" s="4">
        <v>2108</v>
      </c>
      <c r="C2244" s="12" t="s">
        <v>4473</v>
      </c>
      <c r="D2244" s="12" t="s">
        <v>4474</v>
      </c>
      <c r="E2244" s="5" t="str">
        <f t="shared" si="45"/>
        <v>https://www.screener.in/company/XELPMOC/consolidated/</v>
      </c>
      <c r="F2244" s="4">
        <v>443059</v>
      </c>
      <c r="G2244" s="4">
        <v>3832241897</v>
      </c>
      <c r="H2244" s="6">
        <f t="shared" ca="1" si="46"/>
        <v>36597.910116350002</v>
      </c>
      <c r="I2244" s="7" t="str">
        <f ca="1">IFERROR(__xludf.DUMMYFUNCTION("IMPORTXML(E2244,""/html/body/main/div[3]/div[3]/div[2]/ul/li[5]/span[2]/span"")"),"Loading...")</f>
        <v>Loading...</v>
      </c>
      <c r="J2244" s="7">
        <f ca="1">IFERROR(__xludf.DUMMYFUNCTION("GOOGLEFINANCE(""NSE:""&amp;D2244,""marketcap"")"),1409531295)</f>
        <v>1409531295</v>
      </c>
      <c r="K2244" s="7">
        <v>992.8</v>
      </c>
      <c r="L2244" s="8">
        <f ca="1">IFERROR(__xludf.DUMMYFUNCTION("GOOGLEFINANCE(""NSE:""&amp;D2244,""price"")"),95.5)</f>
        <v>95.5</v>
      </c>
      <c r="M2244" s="9">
        <f t="shared" ca="1" si="47"/>
        <v>-897.3</v>
      </c>
      <c r="N2244" s="10">
        <f t="shared" ca="1" si="48"/>
        <v>-90.380741337630937</v>
      </c>
      <c r="O2244" s="7" t="str">
        <f ca="1">IFERROR(__xludf.DUMMYFUNCTION("GOOGLEFINANCE(""NSE:""&amp;D2244,""pe"")"),"#N/A")</f>
        <v>#N/A</v>
      </c>
      <c r="P2244" s="7">
        <f ca="1">IFERROR(__xludf.DUMMYFUNCTION("GOOGLEFINANCE(""NSE:""&amp;D2244,""EPS"")"),-4.72)</f>
        <v>-4.72</v>
      </c>
      <c r="Q2244" s="7">
        <v>13.5</v>
      </c>
      <c r="R2244" s="7" t="str">
        <f ca="1">IFERROR(__xludf.DUMMYFUNCTION("IMPORTXML(E2244,""/html/body/main/div[3]/div[3]/div[2]/ul/li[7]/span[2]/span"")"),"Loading...")</f>
        <v>Loading...</v>
      </c>
      <c r="S2244" s="7" t="str">
        <f ca="1">IFERROR(__xludf.DUMMYFUNCTION("IMPORTXML(E2244,""/html/body/main/div[3]/div[3]/div[2]/ul/li[8]/span[2]/span"")"),"Loading...")</f>
        <v>Loading...</v>
      </c>
      <c r="T2244" s="4">
        <v>34.6</v>
      </c>
      <c r="U2244" s="4">
        <v>22.7</v>
      </c>
      <c r="V2244" s="4">
        <v>2.6</v>
      </c>
      <c r="W2244" s="4">
        <v>5.7</v>
      </c>
      <c r="X2244" s="4">
        <v>519.92999999999995</v>
      </c>
      <c r="Y2244" s="7">
        <f t="shared" ca="1" si="49"/>
        <v>-424.42999999999995</v>
      </c>
    </row>
    <row r="2245" spans="1:25" ht="15" x14ac:dyDescent="0.25">
      <c r="A2245" s="4">
        <v>2109</v>
      </c>
      <c r="C2245" s="41" t="s">
        <v>4475</v>
      </c>
      <c r="D2245" s="42"/>
      <c r="E2245" s="5" t="str">
        <f t="shared" si="45"/>
        <v>https://www.screener.in/company//consolidated/</v>
      </c>
      <c r="F2245" s="4">
        <v>443059</v>
      </c>
      <c r="G2245" s="4">
        <v>3832241897</v>
      </c>
      <c r="H2245" s="6" t="e">
        <f t="shared" ca="1" si="46"/>
        <v>#VALUE!</v>
      </c>
      <c r="I2245" s="7" t="str">
        <f ca="1">IFERROR(__xludf.DUMMYFUNCTION("IMPORTXML(E2245,""/html/body/main/div[3]/div[3]/div[2]/ul/li[5]/span[2]/span"")"),"Loading...")</f>
        <v>Loading...</v>
      </c>
      <c r="J2245" s="7" t="str">
        <f ca="1">IFERROR(__xludf.DUMMYFUNCTION("GOOGLEFINANCE(""NSE:""&amp;D2245,""marketcap"")"),"#N/A")</f>
        <v>#N/A</v>
      </c>
      <c r="K2245" s="7">
        <v>992.8</v>
      </c>
      <c r="L2245" s="8" t="str">
        <f ca="1">IFERROR(__xludf.DUMMYFUNCTION("GOOGLEFINANCE(""NSE:""&amp;D2245,""price"")"),"#N/A")</f>
        <v>#N/A</v>
      </c>
      <c r="M2245" s="9" t="e">
        <f t="shared" ca="1" si="47"/>
        <v>#VALUE!</v>
      </c>
      <c r="N2245" s="10" t="e">
        <f t="shared" ca="1" si="48"/>
        <v>#VALUE!</v>
      </c>
      <c r="O2245" s="7" t="str">
        <f ca="1">IFERROR(__xludf.DUMMYFUNCTION("GOOGLEFINANCE(""NSE:""&amp;D2245,""pe"")"),"#N/A")</f>
        <v>#N/A</v>
      </c>
      <c r="P2245" s="7" t="str">
        <f ca="1">IFERROR(__xludf.DUMMYFUNCTION("GOOGLEFINANCE(""NSE:""&amp;D2245,""EPS"")"),"#N/A")</f>
        <v>#N/A</v>
      </c>
      <c r="Q2245" s="7">
        <v>13.5</v>
      </c>
      <c r="R2245" s="7" t="str">
        <f ca="1">IFERROR(__xludf.DUMMYFUNCTION("IMPORTXML(E2245,""/html/body/main/div[3]/div[3]/div[2]/ul/li[7]/span[2]/span"")"),"Loading...")</f>
        <v>Loading...</v>
      </c>
      <c r="S2245" s="7" t="str">
        <f ca="1">IFERROR(__xludf.DUMMYFUNCTION("IMPORTXML(E2245,""/html/body/main/div[3]/div[3]/div[2]/ul/li[8]/span[2]/span"")"),"Loading...")</f>
        <v>Loading...</v>
      </c>
      <c r="T2245" s="4">
        <v>34.6</v>
      </c>
      <c r="U2245" s="4">
        <v>22.7</v>
      </c>
      <c r="V2245" s="4">
        <v>2.6</v>
      </c>
      <c r="W2245" s="4">
        <v>5.7</v>
      </c>
      <c r="X2245" s="4">
        <v>519.92999999999995</v>
      </c>
      <c r="Y2245" s="7" t="e">
        <f t="shared" ca="1" si="49"/>
        <v>#VALUE!</v>
      </c>
    </row>
    <row r="2246" spans="1:25" ht="15" x14ac:dyDescent="0.25">
      <c r="A2246" s="4">
        <v>2110</v>
      </c>
      <c r="C2246" s="41" t="s">
        <v>4476</v>
      </c>
      <c r="D2246" s="42"/>
      <c r="E2246" s="5" t="str">
        <f t="shared" si="45"/>
        <v>https://www.screener.in/company//consolidated/</v>
      </c>
      <c r="F2246" s="4">
        <v>443059</v>
      </c>
      <c r="G2246" s="4">
        <v>3832241897</v>
      </c>
      <c r="H2246" s="6" t="e">
        <f t="shared" ca="1" si="46"/>
        <v>#VALUE!</v>
      </c>
      <c r="I2246" s="7" t="str">
        <f ca="1">IFERROR(__xludf.DUMMYFUNCTION("IMPORTXML(E2246,""/html/body/main/div[3]/div[3]/div[2]/ul/li[5]/span[2]/span"")"),"Loading...")</f>
        <v>Loading...</v>
      </c>
      <c r="J2246" s="7" t="str">
        <f ca="1">IFERROR(__xludf.DUMMYFUNCTION("GOOGLEFINANCE(""NSE:""&amp;D2246,""marketcap"")"),"#N/A")</f>
        <v>#N/A</v>
      </c>
      <c r="K2246" s="7">
        <v>992.8</v>
      </c>
      <c r="L2246" s="8" t="str">
        <f ca="1">IFERROR(__xludf.DUMMYFUNCTION("GOOGLEFINANCE(""NSE:""&amp;D2246,""price"")"),"#N/A")</f>
        <v>#N/A</v>
      </c>
      <c r="M2246" s="9" t="e">
        <f t="shared" ca="1" si="47"/>
        <v>#VALUE!</v>
      </c>
      <c r="N2246" s="10" t="e">
        <f t="shared" ca="1" si="48"/>
        <v>#VALUE!</v>
      </c>
      <c r="O2246" s="7" t="str">
        <f ca="1">IFERROR(__xludf.DUMMYFUNCTION("GOOGLEFINANCE(""NSE:""&amp;D2246,""pe"")"),"#N/A")</f>
        <v>#N/A</v>
      </c>
      <c r="P2246" s="7" t="str">
        <f ca="1">IFERROR(__xludf.DUMMYFUNCTION("GOOGLEFINANCE(""NSE:""&amp;D2246,""EPS"")"),"#N/A")</f>
        <v>#N/A</v>
      </c>
      <c r="Q2246" s="7">
        <v>13.5</v>
      </c>
      <c r="R2246" s="7" t="str">
        <f ca="1">IFERROR(__xludf.DUMMYFUNCTION("IMPORTXML(E2246,""/html/body/main/div[3]/div[3]/div[2]/ul/li[7]/span[2]/span"")"),"Loading...")</f>
        <v>Loading...</v>
      </c>
      <c r="S2246" s="7" t="str">
        <f ca="1">IFERROR(__xludf.DUMMYFUNCTION("IMPORTXML(E2246,""/html/body/main/div[3]/div[3]/div[2]/ul/li[8]/span[2]/span"")"),"Loading...")</f>
        <v>Loading...</v>
      </c>
      <c r="T2246" s="4">
        <v>34.6</v>
      </c>
      <c r="U2246" s="4">
        <v>22.7</v>
      </c>
      <c r="V2246" s="4">
        <v>2.6</v>
      </c>
      <c r="W2246" s="4">
        <v>5.7</v>
      </c>
      <c r="X2246" s="4">
        <v>519.92999999999995</v>
      </c>
      <c r="Y2246" s="7" t="e">
        <f t="shared" ca="1" si="49"/>
        <v>#VALUE!</v>
      </c>
    </row>
    <row r="2247" spans="1:25" ht="15" x14ac:dyDescent="0.25">
      <c r="A2247" s="4">
        <v>2111</v>
      </c>
      <c r="C2247" s="41" t="s">
        <v>4477</v>
      </c>
      <c r="D2247" s="42"/>
      <c r="E2247" s="5" t="str">
        <f t="shared" si="45"/>
        <v>https://www.screener.in/company//consolidated/</v>
      </c>
      <c r="F2247" s="4">
        <v>443059</v>
      </c>
      <c r="G2247" s="4">
        <v>3832241897</v>
      </c>
      <c r="H2247" s="6" t="e">
        <f t="shared" ca="1" si="46"/>
        <v>#VALUE!</v>
      </c>
      <c r="I2247" s="7" t="str">
        <f ca="1">IFERROR(__xludf.DUMMYFUNCTION("IMPORTXML(E2247,""/html/body/main/div[3]/div[3]/div[2]/ul/li[5]/span[2]/span"")"),"Loading...")</f>
        <v>Loading...</v>
      </c>
      <c r="J2247" s="7" t="str">
        <f ca="1">IFERROR(__xludf.DUMMYFUNCTION("GOOGLEFINANCE(""NSE:""&amp;D2247,""marketcap"")"),"#N/A")</f>
        <v>#N/A</v>
      </c>
      <c r="K2247" s="7">
        <v>992.8</v>
      </c>
      <c r="L2247" s="8" t="str">
        <f ca="1">IFERROR(__xludf.DUMMYFUNCTION("GOOGLEFINANCE(""NSE:""&amp;D2247,""price"")"),"#N/A")</f>
        <v>#N/A</v>
      </c>
      <c r="M2247" s="9" t="e">
        <f t="shared" ca="1" si="47"/>
        <v>#VALUE!</v>
      </c>
      <c r="N2247" s="10" t="e">
        <f t="shared" ca="1" si="48"/>
        <v>#VALUE!</v>
      </c>
      <c r="O2247" s="7" t="str">
        <f ca="1">IFERROR(__xludf.DUMMYFUNCTION("GOOGLEFINANCE(""NSE:""&amp;D2247,""pe"")"),"#N/A")</f>
        <v>#N/A</v>
      </c>
      <c r="P2247" s="7" t="str">
        <f ca="1">IFERROR(__xludf.DUMMYFUNCTION("GOOGLEFINANCE(""NSE:""&amp;D2247,""EPS"")"),"#N/A")</f>
        <v>#N/A</v>
      </c>
      <c r="Q2247" s="7">
        <v>13.5</v>
      </c>
      <c r="R2247" s="7" t="str">
        <f ca="1">IFERROR(__xludf.DUMMYFUNCTION("IMPORTXML(E2247,""/html/body/main/div[3]/div[3]/div[2]/ul/li[7]/span[2]/span"")"),"Loading...")</f>
        <v>Loading...</v>
      </c>
      <c r="S2247" s="7" t="str">
        <f ca="1">IFERROR(__xludf.DUMMYFUNCTION("IMPORTXML(E2247,""/html/body/main/div[3]/div[3]/div[2]/ul/li[8]/span[2]/span"")"),"Loading...")</f>
        <v>Loading...</v>
      </c>
      <c r="T2247" s="4">
        <v>34.6</v>
      </c>
      <c r="U2247" s="4">
        <v>22.7</v>
      </c>
      <c r="V2247" s="4">
        <v>2.6</v>
      </c>
      <c r="W2247" s="4">
        <v>5.7</v>
      </c>
      <c r="X2247" s="4">
        <v>519.92999999999995</v>
      </c>
      <c r="Y2247" s="7" t="e">
        <f t="shared" ca="1" si="49"/>
        <v>#VALUE!</v>
      </c>
    </row>
    <row r="2248" spans="1:25" ht="15" x14ac:dyDescent="0.25">
      <c r="A2248" s="4">
        <v>2112</v>
      </c>
      <c r="C2248" s="41" t="s">
        <v>4478</v>
      </c>
      <c r="D2248" s="42"/>
      <c r="E2248" s="5" t="str">
        <f t="shared" si="45"/>
        <v>https://www.screener.in/company//consolidated/</v>
      </c>
      <c r="F2248" s="4">
        <v>443059</v>
      </c>
      <c r="G2248" s="4">
        <v>3832241897</v>
      </c>
      <c r="H2248" s="6" t="e">
        <f t="shared" ca="1" si="46"/>
        <v>#VALUE!</v>
      </c>
      <c r="I2248" s="7" t="str">
        <f ca="1">IFERROR(__xludf.DUMMYFUNCTION("IMPORTXML(E2248,""/html/body/main/div[3]/div[3]/div[2]/ul/li[5]/span[2]/span"")"),"Loading...")</f>
        <v>Loading...</v>
      </c>
      <c r="J2248" s="7" t="str">
        <f ca="1">IFERROR(__xludf.DUMMYFUNCTION("GOOGLEFINANCE(""NSE:""&amp;D2248,""marketcap"")"),"#N/A")</f>
        <v>#N/A</v>
      </c>
      <c r="K2248" s="7">
        <v>992.8</v>
      </c>
      <c r="L2248" s="8" t="str">
        <f ca="1">IFERROR(__xludf.DUMMYFUNCTION("GOOGLEFINANCE(""NSE:""&amp;D2248,""price"")"),"#N/A")</f>
        <v>#N/A</v>
      </c>
      <c r="M2248" s="9" t="e">
        <f t="shared" ca="1" si="47"/>
        <v>#VALUE!</v>
      </c>
      <c r="N2248" s="10" t="e">
        <f t="shared" ca="1" si="48"/>
        <v>#VALUE!</v>
      </c>
      <c r="O2248" s="7" t="str">
        <f ca="1">IFERROR(__xludf.DUMMYFUNCTION("GOOGLEFINANCE(""NSE:""&amp;D2248,""pe"")"),"#N/A")</f>
        <v>#N/A</v>
      </c>
      <c r="P2248" s="7" t="str">
        <f ca="1">IFERROR(__xludf.DUMMYFUNCTION("GOOGLEFINANCE(""NSE:""&amp;D2248,""EPS"")"),"#N/A")</f>
        <v>#N/A</v>
      </c>
      <c r="Q2248" s="7">
        <v>13.5</v>
      </c>
      <c r="R2248" s="7" t="str">
        <f ca="1">IFERROR(__xludf.DUMMYFUNCTION("IMPORTXML(E2248,""/html/body/main/div[3]/div[3]/div[2]/ul/li[7]/span[2]/span"")"),"Loading...")</f>
        <v>Loading...</v>
      </c>
      <c r="S2248" s="7" t="str">
        <f ca="1">IFERROR(__xludf.DUMMYFUNCTION("IMPORTXML(E2248,""/html/body/main/div[3]/div[3]/div[2]/ul/li[8]/span[2]/span"")"),"Loading...")</f>
        <v>Loading...</v>
      </c>
      <c r="T2248" s="4">
        <v>34.6</v>
      </c>
      <c r="U2248" s="4">
        <v>22.7</v>
      </c>
      <c r="V2248" s="4">
        <v>2.6</v>
      </c>
      <c r="W2248" s="4">
        <v>5.7</v>
      </c>
      <c r="X2248" s="4">
        <v>519.92999999999995</v>
      </c>
      <c r="Y2248" s="7" t="e">
        <f t="shared" ca="1" si="49"/>
        <v>#VALUE!</v>
      </c>
    </row>
    <row r="2249" spans="1:25" ht="15" x14ac:dyDescent="0.25">
      <c r="A2249" s="4">
        <v>2113</v>
      </c>
      <c r="C2249" s="41" t="s">
        <v>4479</v>
      </c>
      <c r="D2249" s="42"/>
      <c r="E2249" s="5" t="str">
        <f t="shared" si="45"/>
        <v>https://www.screener.in/company//consolidated/</v>
      </c>
      <c r="F2249" s="4">
        <v>443059</v>
      </c>
      <c r="G2249" s="4">
        <v>3832241897</v>
      </c>
      <c r="H2249" s="6" t="e">
        <f t="shared" ca="1" si="46"/>
        <v>#VALUE!</v>
      </c>
      <c r="I2249" s="7" t="str">
        <f ca="1">IFERROR(__xludf.DUMMYFUNCTION("IMPORTXML(E2249,""/html/body/main/div[3]/div[3]/div[2]/ul/li[5]/span[2]/span"")"),"Loading...")</f>
        <v>Loading...</v>
      </c>
      <c r="J2249" s="7" t="str">
        <f ca="1">IFERROR(__xludf.DUMMYFUNCTION("GOOGLEFINANCE(""NSE:""&amp;D2249,""marketcap"")"),"#N/A")</f>
        <v>#N/A</v>
      </c>
      <c r="K2249" s="7">
        <v>992.8</v>
      </c>
      <c r="L2249" s="8" t="str">
        <f ca="1">IFERROR(__xludf.DUMMYFUNCTION("GOOGLEFINANCE(""NSE:""&amp;D2249,""price"")"),"#N/A")</f>
        <v>#N/A</v>
      </c>
      <c r="M2249" s="9" t="e">
        <f t="shared" ca="1" si="47"/>
        <v>#VALUE!</v>
      </c>
      <c r="N2249" s="10" t="e">
        <f t="shared" ca="1" si="48"/>
        <v>#VALUE!</v>
      </c>
      <c r="O2249" s="7" t="str">
        <f ca="1">IFERROR(__xludf.DUMMYFUNCTION("GOOGLEFINANCE(""NSE:""&amp;D2249,""pe"")"),"#N/A")</f>
        <v>#N/A</v>
      </c>
      <c r="P2249" s="7" t="str">
        <f ca="1">IFERROR(__xludf.DUMMYFUNCTION("GOOGLEFINANCE(""NSE:""&amp;D2249,""EPS"")"),"#N/A")</f>
        <v>#N/A</v>
      </c>
      <c r="Q2249" s="7">
        <v>13.5</v>
      </c>
      <c r="R2249" s="7" t="str">
        <f ca="1">IFERROR(__xludf.DUMMYFUNCTION("IMPORTXML(E2249,""/html/body/main/div[3]/div[3]/div[2]/ul/li[7]/span[2]/span"")"),"Loading...")</f>
        <v>Loading...</v>
      </c>
      <c r="S2249" s="7" t="str">
        <f ca="1">IFERROR(__xludf.DUMMYFUNCTION("IMPORTXML(E2249,""/html/body/main/div[3]/div[3]/div[2]/ul/li[8]/span[2]/span"")"),"Loading...")</f>
        <v>Loading...</v>
      </c>
      <c r="T2249" s="4">
        <v>34.6</v>
      </c>
      <c r="U2249" s="4">
        <v>22.7</v>
      </c>
      <c r="V2249" s="4">
        <v>2.6</v>
      </c>
      <c r="W2249" s="4">
        <v>5.7</v>
      </c>
      <c r="X2249" s="4">
        <v>519.92999999999995</v>
      </c>
      <c r="Y2249" s="7" t="e">
        <f t="shared" ca="1" si="49"/>
        <v>#VALUE!</v>
      </c>
    </row>
    <row r="2250" spans="1:25" ht="15" x14ac:dyDescent="0.25">
      <c r="A2250" s="4">
        <v>2117</v>
      </c>
      <c r="C2250" s="41" t="s">
        <v>4480</v>
      </c>
      <c r="D2250" s="42"/>
      <c r="E2250" s="5" t="str">
        <f t="shared" si="45"/>
        <v>https://www.screener.in/company//consolidated/</v>
      </c>
      <c r="F2250" s="4">
        <v>443059</v>
      </c>
      <c r="G2250" s="4">
        <v>3832241897</v>
      </c>
      <c r="H2250" s="6" t="e">
        <f t="shared" ca="1" si="46"/>
        <v>#VALUE!</v>
      </c>
      <c r="I2250" s="7" t="str">
        <f ca="1">IFERROR(__xludf.DUMMYFUNCTION("IMPORTXML(E2250,""/html/body/main/div[3]/div[3]/div[2]/ul/li[5]/span[2]/span"")"),"Loading...")</f>
        <v>Loading...</v>
      </c>
      <c r="J2250" s="7" t="str">
        <f ca="1">IFERROR(__xludf.DUMMYFUNCTION("GOOGLEFINANCE(""NSE:""&amp;D2250,""marketcap"")"),"#N/A")</f>
        <v>#N/A</v>
      </c>
      <c r="K2250" s="7">
        <v>992.8</v>
      </c>
      <c r="L2250" s="8" t="str">
        <f ca="1">IFERROR(__xludf.DUMMYFUNCTION("GOOGLEFINANCE(""NSE:""&amp;D2250,""price"")"),"#N/A")</f>
        <v>#N/A</v>
      </c>
      <c r="M2250" s="9" t="e">
        <f t="shared" ca="1" si="47"/>
        <v>#VALUE!</v>
      </c>
      <c r="N2250" s="10" t="e">
        <f t="shared" ca="1" si="48"/>
        <v>#VALUE!</v>
      </c>
      <c r="O2250" s="7" t="str">
        <f ca="1">IFERROR(__xludf.DUMMYFUNCTION("GOOGLEFINANCE(""NSE:""&amp;D2250,""pe"")"),"#N/A")</f>
        <v>#N/A</v>
      </c>
      <c r="P2250" s="7" t="str">
        <f ca="1">IFERROR(__xludf.DUMMYFUNCTION("GOOGLEFINANCE(""NSE:""&amp;D2250,""EPS"")"),"#N/A")</f>
        <v>#N/A</v>
      </c>
      <c r="Q2250" s="7">
        <v>13.5</v>
      </c>
      <c r="R2250" s="7" t="str">
        <f ca="1">IFERROR(__xludf.DUMMYFUNCTION("IMPORTXML(E2250,""/html/body/main/div[3]/div[3]/div[2]/ul/li[7]/span[2]/span"")"),"Loading...")</f>
        <v>Loading...</v>
      </c>
      <c r="S2250" s="7" t="str">
        <f ca="1">IFERROR(__xludf.DUMMYFUNCTION("IMPORTXML(E2250,""/html/body/main/div[3]/div[3]/div[2]/ul/li[8]/span[2]/span"")"),"Loading...")</f>
        <v>Loading...</v>
      </c>
      <c r="T2250" s="4">
        <v>34.6</v>
      </c>
      <c r="U2250" s="4">
        <v>22.7</v>
      </c>
      <c r="V2250" s="4">
        <v>2.6</v>
      </c>
      <c r="W2250" s="4">
        <v>5.7</v>
      </c>
      <c r="X2250" s="4">
        <v>519.92999999999995</v>
      </c>
      <c r="Y2250" s="7" t="e">
        <f t="shared" ca="1" si="49"/>
        <v>#VALUE!</v>
      </c>
    </row>
    <row r="2251" spans="1:25" ht="15" x14ac:dyDescent="0.25">
      <c r="A2251" s="4">
        <v>2119</v>
      </c>
      <c r="C2251" s="41" t="s">
        <v>4481</v>
      </c>
      <c r="D2251" s="42"/>
      <c r="E2251" s="5" t="str">
        <f t="shared" si="45"/>
        <v>https://www.screener.in/company//consolidated/</v>
      </c>
      <c r="F2251" s="4">
        <v>443059</v>
      </c>
      <c r="G2251" s="4">
        <v>3832241897</v>
      </c>
      <c r="H2251" s="6" t="e">
        <f t="shared" ca="1" si="46"/>
        <v>#VALUE!</v>
      </c>
      <c r="I2251" s="7" t="str">
        <f ca="1">IFERROR(__xludf.DUMMYFUNCTION("IMPORTXML(E2251,""/html/body/main/div[3]/div[3]/div[2]/ul/li[5]/span[2]/span"")"),"Loading...")</f>
        <v>Loading...</v>
      </c>
      <c r="J2251" s="7" t="str">
        <f ca="1">IFERROR(__xludf.DUMMYFUNCTION("GOOGLEFINANCE(""NSE:""&amp;D2251,""marketcap"")"),"#N/A")</f>
        <v>#N/A</v>
      </c>
      <c r="K2251" s="7">
        <v>992.8</v>
      </c>
      <c r="L2251" s="8" t="str">
        <f ca="1">IFERROR(__xludf.DUMMYFUNCTION("GOOGLEFINANCE(""NSE:""&amp;D2251,""price"")"),"#N/A")</f>
        <v>#N/A</v>
      </c>
      <c r="M2251" s="9" t="e">
        <f t="shared" ca="1" si="47"/>
        <v>#VALUE!</v>
      </c>
      <c r="N2251" s="10" t="e">
        <f t="shared" ca="1" si="48"/>
        <v>#VALUE!</v>
      </c>
      <c r="O2251" s="7" t="str">
        <f ca="1">IFERROR(__xludf.DUMMYFUNCTION("GOOGLEFINANCE(""NSE:""&amp;D2251,""pe"")"),"#N/A")</f>
        <v>#N/A</v>
      </c>
      <c r="P2251" s="7" t="str">
        <f ca="1">IFERROR(__xludf.DUMMYFUNCTION("GOOGLEFINANCE(""NSE:""&amp;D2251,""EPS"")"),"#N/A")</f>
        <v>#N/A</v>
      </c>
      <c r="Q2251" s="7">
        <v>13.5</v>
      </c>
      <c r="R2251" s="7" t="str">
        <f ca="1">IFERROR(__xludf.DUMMYFUNCTION("IMPORTXML(E2251,""/html/body/main/div[3]/div[3]/div[2]/ul/li[7]/span[2]/span"")"),"Loading...")</f>
        <v>Loading...</v>
      </c>
      <c r="S2251" s="7" t="str">
        <f ca="1">IFERROR(__xludf.DUMMYFUNCTION("IMPORTXML(E2251,""/html/body/main/div[3]/div[3]/div[2]/ul/li[8]/span[2]/span"")"),"Loading...")</f>
        <v>Loading...</v>
      </c>
      <c r="T2251" s="4">
        <v>34.6</v>
      </c>
      <c r="U2251" s="4">
        <v>22.7</v>
      </c>
      <c r="V2251" s="4">
        <v>2.6</v>
      </c>
      <c r="W2251" s="4">
        <v>5.7</v>
      </c>
      <c r="X2251" s="4">
        <v>519.92999999999995</v>
      </c>
      <c r="Y2251" s="7" t="e">
        <f t="shared" ca="1" si="49"/>
        <v>#VALUE!</v>
      </c>
    </row>
    <row r="2252" spans="1:25" ht="15" x14ac:dyDescent="0.25">
      <c r="A2252" s="4">
        <v>2120</v>
      </c>
      <c r="C2252" s="12" t="s">
        <v>4482</v>
      </c>
      <c r="D2252" s="12" t="s">
        <v>4483</v>
      </c>
      <c r="E2252" s="5" t="str">
        <f t="shared" si="45"/>
        <v>https://www.screener.in/company/MUKTAARTS/consolidated/</v>
      </c>
      <c r="F2252" s="4">
        <v>443059</v>
      </c>
      <c r="G2252" s="4">
        <v>3832241897</v>
      </c>
      <c r="H2252" s="6">
        <f t="shared" ca="1" si="46"/>
        <v>26745.216199163002</v>
      </c>
      <c r="I2252" s="7" t="str">
        <f ca="1">IFERROR(__xludf.DUMMYFUNCTION("IMPORTXML(E2252,""/html/body/main/div[3]/div[3]/div[2]/ul/li[5]/span[2]/span"")"),"Loading...")</f>
        <v>Loading...</v>
      </c>
      <c r="J2252" s="7">
        <f ca="1">IFERROR(__xludf.DUMMYFUNCTION("GOOGLEFINANCE(""NSE:""&amp;D2252,""marketcap"")"),1541723862)</f>
        <v>1541723862</v>
      </c>
      <c r="K2252" s="7">
        <v>992.8</v>
      </c>
      <c r="L2252" s="8">
        <f ca="1">IFERROR(__xludf.DUMMYFUNCTION("GOOGLEFINANCE(""NSE:""&amp;D2252,""price"")"),69.79)</f>
        <v>69.790000000000006</v>
      </c>
      <c r="M2252" s="9">
        <f t="shared" ca="1" si="47"/>
        <v>-923.01</v>
      </c>
      <c r="N2252" s="10">
        <f t="shared" ca="1" si="48"/>
        <v>-92.97038678485093</v>
      </c>
      <c r="O2252" s="7" t="str">
        <f ca="1">IFERROR(__xludf.DUMMYFUNCTION("GOOGLEFINANCE(""NSE:""&amp;D2252,""pe"")"),"#N/A")</f>
        <v>#N/A</v>
      </c>
      <c r="P2252" s="7">
        <f ca="1">IFERROR(__xludf.DUMMYFUNCTION("GOOGLEFINANCE(""NSE:""&amp;D2252,""EPS"")"),-7.29)</f>
        <v>-7.29</v>
      </c>
      <c r="Q2252" s="7">
        <v>13.5</v>
      </c>
      <c r="R2252" s="7">
        <f ca="1">IFERROR(__xludf.DUMMYFUNCTION("IMPORTXML(E2252,""/html/body/main/div[3]/div[3]/div[2]/ul/li[7]/span[2]/span"")"),-2.11)</f>
        <v>-2.11</v>
      </c>
      <c r="S2252" s="7" t="str">
        <f ca="1">IFERROR(__xludf.DUMMYFUNCTION("IMPORTXML(E2252,""/html/body/main/div[3]/div[3]/div[2]/ul/li[8]/span[2]/span"")"),"Loading...")</f>
        <v>Loading...</v>
      </c>
      <c r="T2252" s="4">
        <v>34.6</v>
      </c>
      <c r="U2252" s="4">
        <v>22.7</v>
      </c>
      <c r="V2252" s="4">
        <v>2.6</v>
      </c>
      <c r="W2252" s="4">
        <v>5.7</v>
      </c>
      <c r="X2252" s="4">
        <v>519.92999999999995</v>
      </c>
      <c r="Y2252" s="7">
        <f t="shared" ca="1" si="49"/>
        <v>-450.13999999999993</v>
      </c>
    </row>
    <row r="2253" spans="1:25" ht="15" x14ac:dyDescent="0.25">
      <c r="A2253" s="4">
        <v>2121</v>
      </c>
      <c r="C2253" s="41" t="s">
        <v>4484</v>
      </c>
      <c r="D2253" s="42"/>
      <c r="E2253" s="5" t="str">
        <f t="shared" si="45"/>
        <v>https://www.screener.in/company//consolidated/</v>
      </c>
      <c r="F2253" s="4">
        <v>443059</v>
      </c>
      <c r="G2253" s="4">
        <v>3832241897</v>
      </c>
      <c r="H2253" s="6" t="e">
        <f t="shared" ca="1" si="46"/>
        <v>#VALUE!</v>
      </c>
      <c r="I2253" s="7" t="str">
        <f ca="1">IFERROR(__xludf.DUMMYFUNCTION("IMPORTXML(E2253,""/html/body/main/div[3]/div[3]/div[2]/ul/li[5]/span[2]/span"")"),"Loading...")</f>
        <v>Loading...</v>
      </c>
      <c r="J2253" s="7" t="str">
        <f ca="1">IFERROR(__xludf.DUMMYFUNCTION("GOOGLEFINANCE(""NSE:""&amp;D2253,""marketcap"")"),"#N/A")</f>
        <v>#N/A</v>
      </c>
      <c r="K2253" s="7">
        <v>992.8</v>
      </c>
      <c r="L2253" s="8" t="str">
        <f ca="1">IFERROR(__xludf.DUMMYFUNCTION("GOOGLEFINANCE(""NSE:""&amp;D2253,""price"")"),"#N/A")</f>
        <v>#N/A</v>
      </c>
      <c r="M2253" s="9" t="e">
        <f t="shared" ca="1" si="47"/>
        <v>#VALUE!</v>
      </c>
      <c r="N2253" s="10" t="e">
        <f t="shared" ca="1" si="48"/>
        <v>#VALUE!</v>
      </c>
      <c r="O2253" s="7" t="str">
        <f ca="1">IFERROR(__xludf.DUMMYFUNCTION("GOOGLEFINANCE(""NSE:""&amp;D2253,""pe"")"),"#N/A")</f>
        <v>#N/A</v>
      </c>
      <c r="P2253" s="7" t="str">
        <f ca="1">IFERROR(__xludf.DUMMYFUNCTION("GOOGLEFINANCE(""NSE:""&amp;D2253,""EPS"")"),"#N/A")</f>
        <v>#N/A</v>
      </c>
      <c r="Q2253" s="7">
        <v>13.5</v>
      </c>
      <c r="R2253" s="7" t="str">
        <f ca="1">IFERROR(__xludf.DUMMYFUNCTION("IMPORTXML(E2253,""/html/body/main/div[3]/div[3]/div[2]/ul/li[7]/span[2]/span"")"),"Loading...")</f>
        <v>Loading...</v>
      </c>
      <c r="S2253" s="7" t="str">
        <f ca="1">IFERROR(__xludf.DUMMYFUNCTION("IMPORTXML(E2253,""/html/body/main/div[3]/div[3]/div[2]/ul/li[8]/span[2]/span"")"),"Loading...")</f>
        <v>Loading...</v>
      </c>
      <c r="T2253" s="4">
        <v>34.6</v>
      </c>
      <c r="U2253" s="4">
        <v>22.7</v>
      </c>
      <c r="V2253" s="4">
        <v>2.6</v>
      </c>
      <c r="W2253" s="4">
        <v>5.7</v>
      </c>
      <c r="X2253" s="4">
        <v>519.92999999999995</v>
      </c>
      <c r="Y2253" s="7" t="e">
        <f t="shared" ca="1" si="49"/>
        <v>#VALUE!</v>
      </c>
    </row>
    <row r="2254" spans="1:25" ht="15" x14ac:dyDescent="0.25">
      <c r="A2254" s="4">
        <v>2122</v>
      </c>
      <c r="C2254" s="41" t="s">
        <v>4485</v>
      </c>
      <c r="D2254" s="42"/>
      <c r="E2254" s="5" t="str">
        <f t="shared" si="45"/>
        <v>https://www.screener.in/company//consolidated/</v>
      </c>
      <c r="F2254" s="4">
        <v>443059</v>
      </c>
      <c r="G2254" s="4">
        <v>3832241897</v>
      </c>
      <c r="H2254" s="6" t="e">
        <f t="shared" ca="1" si="46"/>
        <v>#VALUE!</v>
      </c>
      <c r="I2254" s="7" t="str">
        <f ca="1">IFERROR(__xludf.DUMMYFUNCTION("IMPORTXML(E2254,""/html/body/main/div[3]/div[3]/div[2]/ul/li[5]/span[2]/span"")"),"Loading...")</f>
        <v>Loading...</v>
      </c>
      <c r="J2254" s="7" t="str">
        <f ca="1">IFERROR(__xludf.DUMMYFUNCTION("GOOGLEFINANCE(""NSE:""&amp;D2254,""marketcap"")"),"#N/A")</f>
        <v>#N/A</v>
      </c>
      <c r="K2254" s="7">
        <v>992.8</v>
      </c>
      <c r="L2254" s="8" t="str">
        <f ca="1">IFERROR(__xludf.DUMMYFUNCTION("GOOGLEFINANCE(""NSE:""&amp;D2254,""price"")"),"#N/A")</f>
        <v>#N/A</v>
      </c>
      <c r="M2254" s="9" t="e">
        <f t="shared" ca="1" si="47"/>
        <v>#VALUE!</v>
      </c>
      <c r="N2254" s="10" t="e">
        <f t="shared" ca="1" si="48"/>
        <v>#VALUE!</v>
      </c>
      <c r="O2254" s="7" t="str">
        <f ca="1">IFERROR(__xludf.DUMMYFUNCTION("GOOGLEFINANCE(""NSE:""&amp;D2254,""pe"")"),"#N/A")</f>
        <v>#N/A</v>
      </c>
      <c r="P2254" s="7" t="str">
        <f ca="1">IFERROR(__xludf.DUMMYFUNCTION("GOOGLEFINANCE(""NSE:""&amp;D2254,""EPS"")"),"#N/A")</f>
        <v>#N/A</v>
      </c>
      <c r="Q2254" s="7">
        <v>13.5</v>
      </c>
      <c r="R2254" s="7" t="str">
        <f ca="1">IFERROR(__xludf.DUMMYFUNCTION("IMPORTXML(E2254,""/html/body/main/div[3]/div[3]/div[2]/ul/li[7]/span[2]/span"")"),"Loading...")</f>
        <v>Loading...</v>
      </c>
      <c r="S2254" s="7" t="str">
        <f ca="1">IFERROR(__xludf.DUMMYFUNCTION("IMPORTXML(E2254,""/html/body/main/div[3]/div[3]/div[2]/ul/li[8]/span[2]/span"")"),"Loading...")</f>
        <v>Loading...</v>
      </c>
      <c r="T2254" s="4">
        <v>34.6</v>
      </c>
      <c r="U2254" s="4">
        <v>22.7</v>
      </c>
      <c r="V2254" s="4">
        <v>2.6</v>
      </c>
      <c r="W2254" s="4">
        <v>5.7</v>
      </c>
      <c r="X2254" s="4">
        <v>519.92999999999995</v>
      </c>
      <c r="Y2254" s="7" t="e">
        <f t="shared" ca="1" si="49"/>
        <v>#VALUE!</v>
      </c>
    </row>
    <row r="2255" spans="1:25" ht="15" x14ac:dyDescent="0.25">
      <c r="A2255" s="4">
        <v>2123</v>
      </c>
      <c r="C2255" s="41" t="s">
        <v>4486</v>
      </c>
      <c r="D2255" s="42"/>
      <c r="E2255" s="5" t="str">
        <f t="shared" si="45"/>
        <v>https://www.screener.in/company//consolidated/</v>
      </c>
      <c r="F2255" s="4">
        <v>443059</v>
      </c>
      <c r="G2255" s="4">
        <v>3832241897</v>
      </c>
      <c r="H2255" s="6" t="e">
        <f t="shared" ca="1" si="46"/>
        <v>#VALUE!</v>
      </c>
      <c r="I2255" s="7" t="str">
        <f ca="1">IFERROR(__xludf.DUMMYFUNCTION("IMPORTXML(E2255,""/html/body/main/div[3]/div[3]/div[2]/ul/li[5]/span[2]/span"")"),"Loading...")</f>
        <v>Loading...</v>
      </c>
      <c r="J2255" s="7" t="str">
        <f ca="1">IFERROR(__xludf.DUMMYFUNCTION("GOOGLEFINANCE(""NSE:""&amp;D2255,""marketcap"")"),"#N/A")</f>
        <v>#N/A</v>
      </c>
      <c r="K2255" s="7">
        <v>992.8</v>
      </c>
      <c r="L2255" s="8" t="str">
        <f ca="1">IFERROR(__xludf.DUMMYFUNCTION("GOOGLEFINANCE(""NSE:""&amp;D2255,""price"")"),"#N/A")</f>
        <v>#N/A</v>
      </c>
      <c r="M2255" s="9" t="e">
        <f t="shared" ca="1" si="47"/>
        <v>#VALUE!</v>
      </c>
      <c r="N2255" s="10" t="e">
        <f t="shared" ca="1" si="48"/>
        <v>#VALUE!</v>
      </c>
      <c r="O2255" s="7" t="str">
        <f ca="1">IFERROR(__xludf.DUMMYFUNCTION("GOOGLEFINANCE(""NSE:""&amp;D2255,""pe"")"),"#N/A")</f>
        <v>#N/A</v>
      </c>
      <c r="P2255" s="7" t="str">
        <f ca="1">IFERROR(__xludf.DUMMYFUNCTION("GOOGLEFINANCE(""NSE:""&amp;D2255,""EPS"")"),"#N/A")</f>
        <v>#N/A</v>
      </c>
      <c r="Q2255" s="7">
        <v>13.5</v>
      </c>
      <c r="R2255" s="7" t="str">
        <f ca="1">IFERROR(__xludf.DUMMYFUNCTION("IMPORTXML(E2255,""/html/body/main/div[3]/div[3]/div[2]/ul/li[7]/span[2]/span"")"),"Loading...")</f>
        <v>Loading...</v>
      </c>
      <c r="S2255" s="7" t="str">
        <f ca="1">IFERROR(__xludf.DUMMYFUNCTION("IMPORTXML(E2255,""/html/body/main/div[3]/div[3]/div[2]/ul/li[8]/span[2]/span"")"),"Loading...")</f>
        <v>Loading...</v>
      </c>
      <c r="T2255" s="4">
        <v>34.6</v>
      </c>
      <c r="U2255" s="4">
        <v>22.7</v>
      </c>
      <c r="V2255" s="4">
        <v>2.6</v>
      </c>
      <c r="W2255" s="4">
        <v>5.7</v>
      </c>
      <c r="X2255" s="4">
        <v>519.92999999999995</v>
      </c>
      <c r="Y2255" s="7" t="e">
        <f t="shared" ca="1" si="49"/>
        <v>#VALUE!</v>
      </c>
    </row>
    <row r="2256" spans="1:25" ht="15" x14ac:dyDescent="0.25">
      <c r="A2256" s="4">
        <v>2124</v>
      </c>
      <c r="C2256" s="41" t="s">
        <v>4487</v>
      </c>
      <c r="D2256" s="42"/>
      <c r="E2256" s="5" t="str">
        <f t="shared" si="45"/>
        <v>https://www.screener.in/company//consolidated/</v>
      </c>
      <c r="F2256" s="4">
        <v>443059</v>
      </c>
      <c r="G2256" s="4">
        <v>3832241897</v>
      </c>
      <c r="H2256" s="6" t="e">
        <f t="shared" ca="1" si="46"/>
        <v>#VALUE!</v>
      </c>
      <c r="I2256" s="7" t="str">
        <f ca="1">IFERROR(__xludf.DUMMYFUNCTION("IMPORTXML(E2256,""/html/body/main/div[3]/div[3]/div[2]/ul/li[5]/span[2]/span"")"),"Loading...")</f>
        <v>Loading...</v>
      </c>
      <c r="J2256" s="7" t="str">
        <f ca="1">IFERROR(__xludf.DUMMYFUNCTION("GOOGLEFINANCE(""NSE:""&amp;D2256,""marketcap"")"),"#N/A")</f>
        <v>#N/A</v>
      </c>
      <c r="K2256" s="7">
        <v>992.8</v>
      </c>
      <c r="L2256" s="8" t="str">
        <f ca="1">IFERROR(__xludf.DUMMYFUNCTION("GOOGLEFINANCE(""NSE:""&amp;D2256,""price"")"),"#N/A")</f>
        <v>#N/A</v>
      </c>
      <c r="M2256" s="9" t="e">
        <f t="shared" ca="1" si="47"/>
        <v>#VALUE!</v>
      </c>
      <c r="N2256" s="10" t="e">
        <f t="shared" ca="1" si="48"/>
        <v>#VALUE!</v>
      </c>
      <c r="O2256" s="7" t="str">
        <f ca="1">IFERROR(__xludf.DUMMYFUNCTION("GOOGLEFINANCE(""NSE:""&amp;D2256,""pe"")"),"#N/A")</f>
        <v>#N/A</v>
      </c>
      <c r="P2256" s="7" t="str">
        <f ca="1">IFERROR(__xludf.DUMMYFUNCTION("GOOGLEFINANCE(""NSE:""&amp;D2256,""EPS"")"),"#N/A")</f>
        <v>#N/A</v>
      </c>
      <c r="Q2256" s="7">
        <v>13.5</v>
      </c>
      <c r="R2256" s="7" t="str">
        <f ca="1">IFERROR(__xludf.DUMMYFUNCTION("IMPORTXML(E2256,""/html/body/main/div[3]/div[3]/div[2]/ul/li[7]/span[2]/span"")"),"Loading...")</f>
        <v>Loading...</v>
      </c>
      <c r="S2256" s="7" t="str">
        <f ca="1">IFERROR(__xludf.DUMMYFUNCTION("IMPORTXML(E2256,""/html/body/main/div[3]/div[3]/div[2]/ul/li[8]/span[2]/span"")"),"Loading...")</f>
        <v>Loading...</v>
      </c>
      <c r="T2256" s="4">
        <v>34.6</v>
      </c>
      <c r="U2256" s="4">
        <v>22.7</v>
      </c>
      <c r="V2256" s="4">
        <v>2.6</v>
      </c>
      <c r="W2256" s="4">
        <v>5.7</v>
      </c>
      <c r="X2256" s="4">
        <v>519.92999999999995</v>
      </c>
      <c r="Y2256" s="7" t="e">
        <f t="shared" ca="1" si="49"/>
        <v>#VALUE!</v>
      </c>
    </row>
    <row r="2257" spans="1:25" ht="15" x14ac:dyDescent="0.25">
      <c r="A2257" s="4">
        <v>2126</v>
      </c>
      <c r="C2257" s="41" t="s">
        <v>4488</v>
      </c>
      <c r="D2257" s="42"/>
      <c r="E2257" s="5" t="str">
        <f t="shared" si="45"/>
        <v>https://www.screener.in/company//consolidated/</v>
      </c>
      <c r="F2257" s="4">
        <v>443059</v>
      </c>
      <c r="G2257" s="4">
        <v>3832241897</v>
      </c>
      <c r="H2257" s="6" t="e">
        <f t="shared" ca="1" si="46"/>
        <v>#VALUE!</v>
      </c>
      <c r="I2257" s="7" t="str">
        <f ca="1">IFERROR(__xludf.DUMMYFUNCTION("IMPORTXML(E2257,""/html/body/main/div[3]/div[3]/div[2]/ul/li[5]/span[2]/span"")"),"Loading...")</f>
        <v>Loading...</v>
      </c>
      <c r="J2257" s="7" t="str">
        <f ca="1">IFERROR(__xludf.DUMMYFUNCTION("GOOGLEFINANCE(""NSE:""&amp;D2257,""marketcap"")"),"#N/A")</f>
        <v>#N/A</v>
      </c>
      <c r="K2257" s="7">
        <v>992.8</v>
      </c>
      <c r="L2257" s="8" t="str">
        <f ca="1">IFERROR(__xludf.DUMMYFUNCTION("GOOGLEFINANCE(""NSE:""&amp;D2257,""price"")"),"#N/A")</f>
        <v>#N/A</v>
      </c>
      <c r="M2257" s="9" t="e">
        <f t="shared" ca="1" si="47"/>
        <v>#VALUE!</v>
      </c>
      <c r="N2257" s="10" t="e">
        <f t="shared" ca="1" si="48"/>
        <v>#VALUE!</v>
      </c>
      <c r="O2257" s="7" t="str">
        <f ca="1">IFERROR(__xludf.DUMMYFUNCTION("GOOGLEFINANCE(""NSE:""&amp;D2257,""pe"")"),"#N/A")</f>
        <v>#N/A</v>
      </c>
      <c r="P2257" s="7" t="str">
        <f ca="1">IFERROR(__xludf.DUMMYFUNCTION("GOOGLEFINANCE(""NSE:""&amp;D2257,""EPS"")"),"#N/A")</f>
        <v>#N/A</v>
      </c>
      <c r="Q2257" s="7">
        <v>13.5</v>
      </c>
      <c r="R2257" s="7" t="str">
        <f ca="1">IFERROR(__xludf.DUMMYFUNCTION("IMPORTXML(E2257,""/html/body/main/div[3]/div[3]/div[2]/ul/li[7]/span[2]/span"")"),"Loading...")</f>
        <v>Loading...</v>
      </c>
      <c r="S2257" s="7" t="str">
        <f ca="1">IFERROR(__xludf.DUMMYFUNCTION("IMPORTXML(E2257,""/html/body/main/div[3]/div[3]/div[2]/ul/li[8]/span[2]/span"")"),"Loading...")</f>
        <v>Loading...</v>
      </c>
      <c r="T2257" s="4">
        <v>34.6</v>
      </c>
      <c r="U2257" s="4">
        <v>22.7</v>
      </c>
      <c r="V2257" s="4">
        <v>2.6</v>
      </c>
      <c r="W2257" s="4">
        <v>5.7</v>
      </c>
      <c r="X2257" s="4">
        <v>519.92999999999995</v>
      </c>
      <c r="Y2257" s="7" t="e">
        <f t="shared" ca="1" si="49"/>
        <v>#VALUE!</v>
      </c>
    </row>
    <row r="2258" spans="1:25" ht="15" x14ac:dyDescent="0.25">
      <c r="A2258" s="4">
        <v>2127</v>
      </c>
      <c r="C2258" s="41" t="s">
        <v>4489</v>
      </c>
      <c r="D2258" s="42"/>
      <c r="E2258" s="5" t="str">
        <f t="shared" si="45"/>
        <v>https://www.screener.in/company//consolidated/</v>
      </c>
      <c r="F2258" s="4">
        <v>443059</v>
      </c>
      <c r="G2258" s="4">
        <v>3832241897</v>
      </c>
      <c r="H2258" s="6" t="e">
        <f t="shared" ca="1" si="46"/>
        <v>#VALUE!</v>
      </c>
      <c r="I2258" s="7" t="str">
        <f ca="1">IFERROR(__xludf.DUMMYFUNCTION("IMPORTXML(E2258,""/html/body/main/div[3]/div[3]/div[2]/ul/li[5]/span[2]/span"")"),"Loading...")</f>
        <v>Loading...</v>
      </c>
      <c r="J2258" s="7" t="str">
        <f ca="1">IFERROR(__xludf.DUMMYFUNCTION("GOOGLEFINANCE(""NSE:""&amp;D2258,""marketcap"")"),"#N/A")</f>
        <v>#N/A</v>
      </c>
      <c r="K2258" s="7">
        <v>992.8</v>
      </c>
      <c r="L2258" s="8" t="str">
        <f ca="1">IFERROR(__xludf.DUMMYFUNCTION("GOOGLEFINANCE(""NSE:""&amp;D2258,""price"")"),"#N/A")</f>
        <v>#N/A</v>
      </c>
      <c r="M2258" s="9" t="e">
        <f t="shared" ca="1" si="47"/>
        <v>#VALUE!</v>
      </c>
      <c r="N2258" s="10" t="e">
        <f t="shared" ca="1" si="48"/>
        <v>#VALUE!</v>
      </c>
      <c r="O2258" s="7" t="str">
        <f ca="1">IFERROR(__xludf.DUMMYFUNCTION("GOOGLEFINANCE(""NSE:""&amp;D2258,""pe"")"),"#N/A")</f>
        <v>#N/A</v>
      </c>
      <c r="P2258" s="7" t="str">
        <f ca="1">IFERROR(__xludf.DUMMYFUNCTION("GOOGLEFINANCE(""NSE:""&amp;D2258,""EPS"")"),"#N/A")</f>
        <v>#N/A</v>
      </c>
      <c r="Q2258" s="7">
        <v>13.5</v>
      </c>
      <c r="R2258" s="7" t="str">
        <f ca="1">IFERROR(__xludf.DUMMYFUNCTION("IMPORTXML(E2258,""/html/body/main/div[3]/div[3]/div[2]/ul/li[7]/span[2]/span"")"),"Loading...")</f>
        <v>Loading...</v>
      </c>
      <c r="S2258" s="7" t="str">
        <f ca="1">IFERROR(__xludf.DUMMYFUNCTION("IMPORTXML(E2258,""/html/body/main/div[3]/div[3]/div[2]/ul/li[8]/span[2]/span"")"),"Loading...")</f>
        <v>Loading...</v>
      </c>
      <c r="T2258" s="4">
        <v>34.6</v>
      </c>
      <c r="U2258" s="4">
        <v>22.7</v>
      </c>
      <c r="V2258" s="4">
        <v>2.6</v>
      </c>
      <c r="W2258" s="4">
        <v>5.7</v>
      </c>
      <c r="X2258" s="4">
        <v>519.92999999999995</v>
      </c>
      <c r="Y2258" s="7" t="e">
        <f t="shared" ca="1" si="49"/>
        <v>#VALUE!</v>
      </c>
    </row>
    <row r="2259" spans="1:25" ht="15" x14ac:dyDescent="0.25">
      <c r="A2259" s="4">
        <v>2128</v>
      </c>
      <c r="C2259" s="41" t="s">
        <v>4490</v>
      </c>
      <c r="D2259" s="42"/>
      <c r="E2259" s="5" t="str">
        <f t="shared" si="45"/>
        <v>https://www.screener.in/company//consolidated/</v>
      </c>
      <c r="F2259" s="4">
        <v>443059</v>
      </c>
      <c r="G2259" s="4">
        <v>3832241897</v>
      </c>
      <c r="H2259" s="6" t="e">
        <f t="shared" ca="1" si="46"/>
        <v>#VALUE!</v>
      </c>
      <c r="I2259" s="7" t="str">
        <f ca="1">IFERROR(__xludf.DUMMYFUNCTION("IMPORTXML(E2259,""/html/body/main/div[3]/div[3]/div[2]/ul/li[5]/span[2]/span"")"),"Loading...")</f>
        <v>Loading...</v>
      </c>
      <c r="J2259" s="7" t="str">
        <f ca="1">IFERROR(__xludf.DUMMYFUNCTION("GOOGLEFINANCE(""NSE:""&amp;D2259,""marketcap"")"),"#N/A")</f>
        <v>#N/A</v>
      </c>
      <c r="K2259" s="7">
        <v>992.8</v>
      </c>
      <c r="L2259" s="8" t="str">
        <f ca="1">IFERROR(__xludf.DUMMYFUNCTION("GOOGLEFINANCE(""NSE:""&amp;D2259,""price"")"),"#N/A")</f>
        <v>#N/A</v>
      </c>
      <c r="M2259" s="9" t="e">
        <f t="shared" ca="1" si="47"/>
        <v>#VALUE!</v>
      </c>
      <c r="N2259" s="10" t="e">
        <f t="shared" ca="1" si="48"/>
        <v>#VALUE!</v>
      </c>
      <c r="O2259" s="7" t="str">
        <f ca="1">IFERROR(__xludf.DUMMYFUNCTION("GOOGLEFINANCE(""NSE:""&amp;D2259,""pe"")"),"#N/A")</f>
        <v>#N/A</v>
      </c>
      <c r="P2259" s="7" t="str">
        <f ca="1">IFERROR(__xludf.DUMMYFUNCTION("GOOGLEFINANCE(""NSE:""&amp;D2259,""EPS"")"),"#N/A")</f>
        <v>#N/A</v>
      </c>
      <c r="Q2259" s="7">
        <v>13.5</v>
      </c>
      <c r="R2259" s="7" t="str">
        <f ca="1">IFERROR(__xludf.DUMMYFUNCTION("IMPORTXML(E2259,""/html/body/main/div[3]/div[3]/div[2]/ul/li[7]/span[2]/span"")"),"Loading...")</f>
        <v>Loading...</v>
      </c>
      <c r="S2259" s="7" t="str">
        <f ca="1">IFERROR(__xludf.DUMMYFUNCTION("IMPORTXML(E2259,""/html/body/main/div[3]/div[3]/div[2]/ul/li[8]/span[2]/span"")"),"Loading...")</f>
        <v>Loading...</v>
      </c>
      <c r="T2259" s="4">
        <v>34.6</v>
      </c>
      <c r="U2259" s="4">
        <v>22.7</v>
      </c>
      <c r="V2259" s="4">
        <v>2.6</v>
      </c>
      <c r="W2259" s="4">
        <v>5.7</v>
      </c>
      <c r="X2259" s="4">
        <v>519.92999999999995</v>
      </c>
      <c r="Y2259" s="7" t="e">
        <f t="shared" ca="1" si="49"/>
        <v>#VALUE!</v>
      </c>
    </row>
    <row r="2260" spans="1:25" ht="15" x14ac:dyDescent="0.25">
      <c r="A2260" s="4">
        <v>2129</v>
      </c>
      <c r="C2260" s="41" t="s">
        <v>4491</v>
      </c>
      <c r="D2260" s="42"/>
      <c r="E2260" s="5" t="str">
        <f t="shared" si="45"/>
        <v>https://www.screener.in/company//consolidated/</v>
      </c>
      <c r="F2260" s="4">
        <v>443059</v>
      </c>
      <c r="G2260" s="4">
        <v>3832241897</v>
      </c>
      <c r="H2260" s="6" t="e">
        <f t="shared" ca="1" si="46"/>
        <v>#VALUE!</v>
      </c>
      <c r="I2260" s="7" t="str">
        <f ca="1">IFERROR(__xludf.DUMMYFUNCTION("IMPORTXML(E2260,""/html/body/main/div[3]/div[3]/div[2]/ul/li[5]/span[2]/span"")"),"Loading...")</f>
        <v>Loading...</v>
      </c>
      <c r="J2260" s="7" t="str">
        <f ca="1">IFERROR(__xludf.DUMMYFUNCTION("GOOGLEFINANCE(""NSE:""&amp;D2260,""marketcap"")"),"#N/A")</f>
        <v>#N/A</v>
      </c>
      <c r="K2260" s="7">
        <v>992.8</v>
      </c>
      <c r="L2260" s="8" t="str">
        <f ca="1">IFERROR(__xludf.DUMMYFUNCTION("GOOGLEFINANCE(""NSE:""&amp;D2260,""price"")"),"#N/A")</f>
        <v>#N/A</v>
      </c>
      <c r="M2260" s="9" t="e">
        <f t="shared" ca="1" si="47"/>
        <v>#VALUE!</v>
      </c>
      <c r="N2260" s="10" t="e">
        <f t="shared" ca="1" si="48"/>
        <v>#VALUE!</v>
      </c>
      <c r="O2260" s="7" t="str">
        <f ca="1">IFERROR(__xludf.DUMMYFUNCTION("GOOGLEFINANCE(""NSE:""&amp;D2260,""pe"")"),"#N/A")</f>
        <v>#N/A</v>
      </c>
      <c r="P2260" s="7" t="str">
        <f ca="1">IFERROR(__xludf.DUMMYFUNCTION("GOOGLEFINANCE(""NSE:""&amp;D2260,""EPS"")"),"#N/A")</f>
        <v>#N/A</v>
      </c>
      <c r="Q2260" s="7">
        <v>13.5</v>
      </c>
      <c r="R2260" s="7" t="str">
        <f ca="1">IFERROR(__xludf.DUMMYFUNCTION("IMPORTXML(E2260,""/html/body/main/div[3]/div[3]/div[2]/ul/li[7]/span[2]/span"")"),"Loading...")</f>
        <v>Loading...</v>
      </c>
      <c r="S2260" s="7" t="str">
        <f ca="1">IFERROR(__xludf.DUMMYFUNCTION("IMPORTXML(E2260,""/html/body/main/div[3]/div[3]/div[2]/ul/li[8]/span[2]/span"")"),"Loading...")</f>
        <v>Loading...</v>
      </c>
      <c r="T2260" s="4">
        <v>34.6</v>
      </c>
      <c r="U2260" s="4">
        <v>22.7</v>
      </c>
      <c r="V2260" s="4">
        <v>2.6</v>
      </c>
      <c r="W2260" s="4">
        <v>5.7</v>
      </c>
      <c r="X2260" s="4">
        <v>519.92999999999995</v>
      </c>
      <c r="Y2260" s="7" t="e">
        <f t="shared" ca="1" si="49"/>
        <v>#VALUE!</v>
      </c>
    </row>
    <row r="2261" spans="1:25" ht="15" x14ac:dyDescent="0.25">
      <c r="A2261" s="4">
        <v>2131</v>
      </c>
      <c r="C2261" s="41" t="s">
        <v>4492</v>
      </c>
      <c r="D2261" s="42"/>
      <c r="E2261" s="5" t="str">
        <f t="shared" si="45"/>
        <v>https://www.screener.in/company//consolidated/</v>
      </c>
      <c r="F2261" s="4">
        <v>443059</v>
      </c>
      <c r="G2261" s="4">
        <v>3832241897</v>
      </c>
      <c r="H2261" s="6" t="e">
        <f t="shared" ca="1" si="46"/>
        <v>#VALUE!</v>
      </c>
      <c r="I2261" s="7" t="str">
        <f ca="1">IFERROR(__xludf.DUMMYFUNCTION("IMPORTXML(E2261,""/html/body/main/div[3]/div[3]/div[2]/ul/li[5]/span[2]/span"")"),"Loading...")</f>
        <v>Loading...</v>
      </c>
      <c r="J2261" s="7" t="str">
        <f ca="1">IFERROR(__xludf.DUMMYFUNCTION("GOOGLEFINANCE(""NSE:""&amp;D2261,""marketcap"")"),"#N/A")</f>
        <v>#N/A</v>
      </c>
      <c r="K2261" s="7">
        <v>992.8</v>
      </c>
      <c r="L2261" s="8" t="str">
        <f ca="1">IFERROR(__xludf.DUMMYFUNCTION("GOOGLEFINANCE(""NSE:""&amp;D2261,""price"")"),"#N/A")</f>
        <v>#N/A</v>
      </c>
      <c r="M2261" s="9" t="e">
        <f t="shared" ca="1" si="47"/>
        <v>#VALUE!</v>
      </c>
      <c r="N2261" s="10" t="e">
        <f t="shared" ca="1" si="48"/>
        <v>#VALUE!</v>
      </c>
      <c r="O2261" s="7" t="str">
        <f ca="1">IFERROR(__xludf.DUMMYFUNCTION("GOOGLEFINANCE(""NSE:""&amp;D2261,""pe"")"),"#N/A")</f>
        <v>#N/A</v>
      </c>
      <c r="P2261" s="7" t="str">
        <f ca="1">IFERROR(__xludf.DUMMYFUNCTION("GOOGLEFINANCE(""NSE:""&amp;D2261,""EPS"")"),"#N/A")</f>
        <v>#N/A</v>
      </c>
      <c r="Q2261" s="7">
        <v>13.5</v>
      </c>
      <c r="R2261" s="7" t="str">
        <f ca="1">IFERROR(__xludf.DUMMYFUNCTION("IMPORTXML(E2261,""/html/body/main/div[3]/div[3]/div[2]/ul/li[7]/span[2]/span"")"),"Loading...")</f>
        <v>Loading...</v>
      </c>
      <c r="S2261" s="7" t="str">
        <f ca="1">IFERROR(__xludf.DUMMYFUNCTION("IMPORTXML(E2261,""/html/body/main/div[3]/div[3]/div[2]/ul/li[8]/span[2]/span"")"),"Loading...")</f>
        <v>Loading...</v>
      </c>
      <c r="T2261" s="4">
        <v>34.6</v>
      </c>
      <c r="U2261" s="4">
        <v>22.7</v>
      </c>
      <c r="V2261" s="4">
        <v>2.6</v>
      </c>
      <c r="W2261" s="4">
        <v>5.7</v>
      </c>
      <c r="X2261" s="4">
        <v>519.92999999999995</v>
      </c>
      <c r="Y2261" s="7" t="e">
        <f t="shared" ca="1" si="49"/>
        <v>#VALUE!</v>
      </c>
    </row>
    <row r="2262" spans="1:25" ht="15" x14ac:dyDescent="0.25">
      <c r="A2262" s="4">
        <v>2132</v>
      </c>
      <c r="C2262" s="41" t="s">
        <v>4493</v>
      </c>
      <c r="D2262" s="42"/>
      <c r="E2262" s="5" t="str">
        <f t="shared" si="45"/>
        <v>https://www.screener.in/company//consolidated/</v>
      </c>
      <c r="F2262" s="4">
        <v>443059</v>
      </c>
      <c r="G2262" s="4">
        <v>3832241897</v>
      </c>
      <c r="H2262" s="6" t="e">
        <f t="shared" ca="1" si="46"/>
        <v>#VALUE!</v>
      </c>
      <c r="I2262" s="7" t="str">
        <f ca="1">IFERROR(__xludf.DUMMYFUNCTION("IMPORTXML(E2262,""/html/body/main/div[3]/div[3]/div[2]/ul/li[5]/span[2]/span"")"),"Loading...")</f>
        <v>Loading...</v>
      </c>
      <c r="J2262" s="7" t="str">
        <f ca="1">IFERROR(__xludf.DUMMYFUNCTION("GOOGLEFINANCE(""NSE:""&amp;D2262,""marketcap"")"),"#N/A")</f>
        <v>#N/A</v>
      </c>
      <c r="K2262" s="7">
        <v>992.8</v>
      </c>
      <c r="L2262" s="8" t="str">
        <f ca="1">IFERROR(__xludf.DUMMYFUNCTION("GOOGLEFINANCE(""NSE:""&amp;D2262,""price"")"),"#N/A")</f>
        <v>#N/A</v>
      </c>
      <c r="M2262" s="9" t="e">
        <f t="shared" ca="1" si="47"/>
        <v>#VALUE!</v>
      </c>
      <c r="N2262" s="10" t="e">
        <f t="shared" ca="1" si="48"/>
        <v>#VALUE!</v>
      </c>
      <c r="O2262" s="7" t="str">
        <f ca="1">IFERROR(__xludf.DUMMYFUNCTION("GOOGLEFINANCE(""NSE:""&amp;D2262,""pe"")"),"#N/A")</f>
        <v>#N/A</v>
      </c>
      <c r="P2262" s="7" t="str">
        <f ca="1">IFERROR(__xludf.DUMMYFUNCTION("GOOGLEFINANCE(""NSE:""&amp;D2262,""EPS"")"),"#N/A")</f>
        <v>#N/A</v>
      </c>
      <c r="Q2262" s="7">
        <v>13.5</v>
      </c>
      <c r="R2262" s="7" t="str">
        <f ca="1">IFERROR(__xludf.DUMMYFUNCTION("IMPORTXML(E2262,""/html/body/main/div[3]/div[3]/div[2]/ul/li[7]/span[2]/span"")"),"Loading...")</f>
        <v>Loading...</v>
      </c>
      <c r="S2262" s="7" t="str">
        <f ca="1">IFERROR(__xludf.DUMMYFUNCTION("IMPORTXML(E2262,""/html/body/main/div[3]/div[3]/div[2]/ul/li[8]/span[2]/span"")"),"Loading...")</f>
        <v>Loading...</v>
      </c>
      <c r="T2262" s="4">
        <v>34.6</v>
      </c>
      <c r="U2262" s="4">
        <v>22.7</v>
      </c>
      <c r="V2262" s="4">
        <v>2.6</v>
      </c>
      <c r="W2262" s="4">
        <v>5.7</v>
      </c>
      <c r="X2262" s="4">
        <v>519.92999999999995</v>
      </c>
      <c r="Y2262" s="7" t="e">
        <f t="shared" ca="1" si="49"/>
        <v>#VALUE!</v>
      </c>
    </row>
    <row r="2263" spans="1:25" ht="15" x14ac:dyDescent="0.25">
      <c r="A2263" s="4">
        <v>2135</v>
      </c>
      <c r="C2263" s="12" t="s">
        <v>4494</v>
      </c>
      <c r="D2263" s="12" t="s">
        <v>4495</v>
      </c>
      <c r="E2263" s="5" t="str">
        <f t="shared" si="45"/>
        <v>https://www.screener.in/company/SELMC/consolidated/</v>
      </c>
      <c r="F2263" s="4">
        <v>443059</v>
      </c>
      <c r="G2263" s="4">
        <v>3832241897</v>
      </c>
      <c r="H2263" s="6">
        <f t="shared" ca="1" si="46"/>
        <v>11630.854157395001</v>
      </c>
      <c r="I2263" s="7" t="str">
        <f ca="1">IFERROR(__xludf.DUMMYFUNCTION("IMPORTXML(E2263,""/html/body/main/div[3]/div[3]/div[2]/ul/li[5]/span[2]/span"")"),"Loading...")</f>
        <v>Loading...</v>
      </c>
      <c r="J2263" s="7">
        <f ca="1">IFERROR(__xludf.DUMMYFUNCTION("GOOGLEFINANCE(""NSE:""&amp;D2263,""marketcap"")"),998685520)</f>
        <v>998685520</v>
      </c>
      <c r="K2263" s="7">
        <v>992.8</v>
      </c>
      <c r="L2263" s="8">
        <f ca="1">IFERROR(__xludf.DUMMYFUNCTION("GOOGLEFINANCE(""NSE:""&amp;D2263,""price"")"),30.35)</f>
        <v>30.35</v>
      </c>
      <c r="M2263" s="9">
        <f t="shared" ca="1" si="47"/>
        <v>-962.44999999999993</v>
      </c>
      <c r="N2263" s="10">
        <f t="shared" ca="1" si="48"/>
        <v>-96.942989524576944</v>
      </c>
      <c r="O2263" s="7" t="str">
        <f ca="1">IFERROR(__xludf.DUMMYFUNCTION("GOOGLEFINANCE(""NSE:""&amp;D2263,""pe"")"),"#N/A")</f>
        <v>#N/A</v>
      </c>
      <c r="P2263" s="7">
        <f ca="1">IFERROR(__xludf.DUMMYFUNCTION("GOOGLEFINANCE(""NSE:""&amp;D2263,""EPS"")"),-42.3)</f>
        <v>-42.3</v>
      </c>
      <c r="Q2263" s="7">
        <v>13.5</v>
      </c>
      <c r="R2263" s="7" t="str">
        <f ca="1">IFERROR(__xludf.DUMMYFUNCTION("IMPORTXML(E2263,""/html/body/main/div[3]/div[3]/div[2]/ul/li[7]/span[2]/span"")"),"Loading...")</f>
        <v>Loading...</v>
      </c>
      <c r="S2263" s="7" t="str">
        <f ca="1">IFERROR(__xludf.DUMMYFUNCTION("IMPORTXML(E2263,""/html/body/main/div[3]/div[3]/div[2]/ul/li[8]/span[2]/span"")"),"Loading...")</f>
        <v>Loading...</v>
      </c>
      <c r="T2263" s="4">
        <v>34.6</v>
      </c>
      <c r="U2263" s="4">
        <v>22.7</v>
      </c>
      <c r="V2263" s="4">
        <v>2.6</v>
      </c>
      <c r="W2263" s="4">
        <v>5.7</v>
      </c>
      <c r="X2263" s="4">
        <v>519.92999999999995</v>
      </c>
      <c r="Y2263" s="7">
        <f t="shared" ca="1" si="49"/>
        <v>-489.57999999999993</v>
      </c>
    </row>
    <row r="2264" spans="1:25" ht="15" x14ac:dyDescent="0.25">
      <c r="A2264" s="4">
        <v>2136</v>
      </c>
      <c r="C2264" s="41" t="s">
        <v>4496</v>
      </c>
      <c r="D2264" s="42"/>
      <c r="E2264" s="5" t="str">
        <f t="shared" si="45"/>
        <v>https://www.screener.in/company//consolidated/</v>
      </c>
      <c r="F2264" s="4">
        <v>443059</v>
      </c>
      <c r="G2264" s="4">
        <v>3832241897</v>
      </c>
      <c r="H2264" s="6" t="e">
        <f t="shared" ca="1" si="46"/>
        <v>#VALUE!</v>
      </c>
      <c r="I2264" s="7" t="str">
        <f ca="1">IFERROR(__xludf.DUMMYFUNCTION("IMPORTXML(E2264,""/html/body/main/div[3]/div[3]/div[2]/ul/li[5]/span[2]/span"")"),"Loading...")</f>
        <v>Loading...</v>
      </c>
      <c r="J2264" s="7" t="str">
        <f ca="1">IFERROR(__xludf.DUMMYFUNCTION("GOOGLEFINANCE(""NSE:""&amp;D2264,""marketcap"")"),"#N/A")</f>
        <v>#N/A</v>
      </c>
      <c r="K2264" s="7">
        <v>992.8</v>
      </c>
      <c r="L2264" s="8" t="str">
        <f ca="1">IFERROR(__xludf.DUMMYFUNCTION("GOOGLEFINANCE(""NSE:""&amp;D2264,""price"")"),"#N/A")</f>
        <v>#N/A</v>
      </c>
      <c r="M2264" s="9" t="e">
        <f t="shared" ca="1" si="47"/>
        <v>#VALUE!</v>
      </c>
      <c r="N2264" s="10" t="e">
        <f t="shared" ca="1" si="48"/>
        <v>#VALUE!</v>
      </c>
      <c r="O2264" s="7" t="str">
        <f ca="1">IFERROR(__xludf.DUMMYFUNCTION("GOOGLEFINANCE(""NSE:""&amp;D2264,""pe"")"),"#N/A")</f>
        <v>#N/A</v>
      </c>
      <c r="P2264" s="7" t="str">
        <f ca="1">IFERROR(__xludf.DUMMYFUNCTION("GOOGLEFINANCE(""NSE:""&amp;D2264,""EPS"")"),"#N/A")</f>
        <v>#N/A</v>
      </c>
      <c r="Q2264" s="7">
        <v>13.5</v>
      </c>
      <c r="R2264" s="7" t="str">
        <f ca="1">IFERROR(__xludf.DUMMYFUNCTION("IMPORTXML(E2264,""/html/body/main/div[3]/div[3]/div[2]/ul/li[7]/span[2]/span"")"),"Loading...")</f>
        <v>Loading...</v>
      </c>
      <c r="S2264" s="7" t="str">
        <f ca="1">IFERROR(__xludf.DUMMYFUNCTION("IMPORTXML(E2264,""/html/body/main/div[3]/div[3]/div[2]/ul/li[8]/span[2]/span"")"),"Loading...")</f>
        <v>Loading...</v>
      </c>
      <c r="T2264" s="4">
        <v>34.6</v>
      </c>
      <c r="U2264" s="4">
        <v>22.7</v>
      </c>
      <c r="V2264" s="4">
        <v>2.6</v>
      </c>
      <c r="W2264" s="4">
        <v>5.7</v>
      </c>
      <c r="X2264" s="4">
        <v>519.92999999999995</v>
      </c>
      <c r="Y2264" s="7" t="e">
        <f t="shared" ca="1" si="49"/>
        <v>#VALUE!</v>
      </c>
    </row>
    <row r="2265" spans="1:25" ht="15" x14ac:dyDescent="0.25">
      <c r="A2265" s="4">
        <v>2137</v>
      </c>
      <c r="C2265" s="41" t="s">
        <v>4497</v>
      </c>
      <c r="D2265" s="42"/>
      <c r="E2265" s="5" t="str">
        <f t="shared" si="45"/>
        <v>https://www.screener.in/company//consolidated/</v>
      </c>
      <c r="F2265" s="4">
        <v>443059</v>
      </c>
      <c r="G2265" s="4">
        <v>3832241897</v>
      </c>
      <c r="H2265" s="6" t="e">
        <f t="shared" ca="1" si="46"/>
        <v>#VALUE!</v>
      </c>
      <c r="I2265" s="7" t="str">
        <f ca="1">IFERROR(__xludf.DUMMYFUNCTION("IMPORTXML(E2265,""/html/body/main/div[3]/div[3]/div[2]/ul/li[5]/span[2]/span"")"),"Loading...")</f>
        <v>Loading...</v>
      </c>
      <c r="J2265" s="7" t="str">
        <f ca="1">IFERROR(__xludf.DUMMYFUNCTION("GOOGLEFINANCE(""NSE:""&amp;D2265,""marketcap"")"),"#N/A")</f>
        <v>#N/A</v>
      </c>
      <c r="K2265" s="7">
        <v>992.8</v>
      </c>
      <c r="L2265" s="8" t="str">
        <f ca="1">IFERROR(__xludf.DUMMYFUNCTION("GOOGLEFINANCE(""NSE:""&amp;D2265,""price"")"),"#N/A")</f>
        <v>#N/A</v>
      </c>
      <c r="M2265" s="9" t="e">
        <f t="shared" ca="1" si="47"/>
        <v>#VALUE!</v>
      </c>
      <c r="N2265" s="10" t="e">
        <f t="shared" ca="1" si="48"/>
        <v>#VALUE!</v>
      </c>
      <c r="O2265" s="7" t="str">
        <f ca="1">IFERROR(__xludf.DUMMYFUNCTION("GOOGLEFINANCE(""NSE:""&amp;D2265,""pe"")"),"#N/A")</f>
        <v>#N/A</v>
      </c>
      <c r="P2265" s="7" t="str">
        <f ca="1">IFERROR(__xludf.DUMMYFUNCTION("GOOGLEFINANCE(""NSE:""&amp;D2265,""EPS"")"),"#N/A")</f>
        <v>#N/A</v>
      </c>
      <c r="Q2265" s="7">
        <v>13.5</v>
      </c>
      <c r="R2265" s="7" t="str">
        <f ca="1">IFERROR(__xludf.DUMMYFUNCTION("IMPORTXML(E2265,""/html/body/main/div[3]/div[3]/div[2]/ul/li[7]/span[2]/span"")"),"Loading...")</f>
        <v>Loading...</v>
      </c>
      <c r="S2265" s="7" t="str">
        <f ca="1">IFERROR(__xludf.DUMMYFUNCTION("IMPORTXML(E2265,""/html/body/main/div[3]/div[3]/div[2]/ul/li[8]/span[2]/span"")"),"Loading...")</f>
        <v>Loading...</v>
      </c>
      <c r="T2265" s="4">
        <v>34.6</v>
      </c>
      <c r="U2265" s="4">
        <v>22.7</v>
      </c>
      <c r="V2265" s="4">
        <v>2.6</v>
      </c>
      <c r="W2265" s="4">
        <v>5.7</v>
      </c>
      <c r="X2265" s="4">
        <v>519.92999999999995</v>
      </c>
      <c r="Y2265" s="7" t="e">
        <f t="shared" ca="1" si="49"/>
        <v>#VALUE!</v>
      </c>
    </row>
    <row r="2266" spans="1:25" ht="15" x14ac:dyDescent="0.25">
      <c r="A2266" s="4">
        <v>2138</v>
      </c>
      <c r="C2266" s="41" t="s">
        <v>4498</v>
      </c>
      <c r="D2266" s="42"/>
      <c r="E2266" s="5" t="str">
        <f t="shared" si="45"/>
        <v>https://www.screener.in/company//consolidated/</v>
      </c>
      <c r="F2266" s="4">
        <v>443059</v>
      </c>
      <c r="G2266" s="4">
        <v>3832241897</v>
      </c>
      <c r="H2266" s="6" t="e">
        <f t="shared" ca="1" si="46"/>
        <v>#VALUE!</v>
      </c>
      <c r="I2266" s="7" t="str">
        <f ca="1">IFERROR(__xludf.DUMMYFUNCTION("IMPORTXML(E2266,""/html/body/main/div[3]/div[3]/div[2]/ul/li[5]/span[2]/span"")"),"Loading...")</f>
        <v>Loading...</v>
      </c>
      <c r="J2266" s="7" t="str">
        <f ca="1">IFERROR(__xludf.DUMMYFUNCTION("GOOGLEFINANCE(""NSE:""&amp;D2266,""marketcap"")"),"#N/A")</f>
        <v>#N/A</v>
      </c>
      <c r="K2266" s="7">
        <v>992.8</v>
      </c>
      <c r="L2266" s="8" t="str">
        <f ca="1">IFERROR(__xludf.DUMMYFUNCTION("GOOGLEFINANCE(""NSE:""&amp;D2266,""price"")"),"#N/A")</f>
        <v>#N/A</v>
      </c>
      <c r="M2266" s="9" t="e">
        <f t="shared" ca="1" si="47"/>
        <v>#VALUE!</v>
      </c>
      <c r="N2266" s="10" t="e">
        <f t="shared" ca="1" si="48"/>
        <v>#VALUE!</v>
      </c>
      <c r="O2266" s="7" t="str">
        <f ca="1">IFERROR(__xludf.DUMMYFUNCTION("GOOGLEFINANCE(""NSE:""&amp;D2266,""pe"")"),"#N/A")</f>
        <v>#N/A</v>
      </c>
      <c r="P2266" s="7" t="str">
        <f ca="1">IFERROR(__xludf.DUMMYFUNCTION("GOOGLEFINANCE(""NSE:""&amp;D2266,""EPS"")"),"#N/A")</f>
        <v>#N/A</v>
      </c>
      <c r="Q2266" s="7">
        <v>13.5</v>
      </c>
      <c r="R2266" s="7" t="str">
        <f ca="1">IFERROR(__xludf.DUMMYFUNCTION("IMPORTXML(E2266,""/html/body/main/div[3]/div[3]/div[2]/ul/li[7]/span[2]/span"")"),"Loading...")</f>
        <v>Loading...</v>
      </c>
      <c r="S2266" s="7" t="str">
        <f ca="1">IFERROR(__xludf.DUMMYFUNCTION("IMPORTXML(E2266,""/html/body/main/div[3]/div[3]/div[2]/ul/li[8]/span[2]/span"")"),"Loading...")</f>
        <v>Loading...</v>
      </c>
      <c r="T2266" s="4">
        <v>34.6</v>
      </c>
      <c r="U2266" s="4">
        <v>22.7</v>
      </c>
      <c r="V2266" s="4">
        <v>2.6</v>
      </c>
      <c r="W2266" s="4">
        <v>5.7</v>
      </c>
      <c r="X2266" s="4">
        <v>519.92999999999995</v>
      </c>
      <c r="Y2266" s="7" t="e">
        <f t="shared" ca="1" si="49"/>
        <v>#VALUE!</v>
      </c>
    </row>
    <row r="2267" spans="1:25" ht="15" x14ac:dyDescent="0.25">
      <c r="A2267" s="4">
        <v>2140</v>
      </c>
      <c r="C2267" s="12" t="s">
        <v>4499</v>
      </c>
      <c r="D2267" s="12" t="s">
        <v>4500</v>
      </c>
      <c r="E2267" s="5" t="str">
        <f t="shared" si="45"/>
        <v>https://www.screener.in/company/TARMAT/consolidated/</v>
      </c>
      <c r="F2267" s="4">
        <v>443059</v>
      </c>
      <c r="G2267" s="4">
        <v>3832241897</v>
      </c>
      <c r="H2267" s="6">
        <f t="shared" ca="1" si="46"/>
        <v>19709.220076270998</v>
      </c>
      <c r="I2267" s="7" t="str">
        <f ca="1">IFERROR(__xludf.DUMMYFUNCTION("IMPORTXML(E2267,""/html/body/main/div[3]/div[3]/div[2]/ul/li[5]/span[2]/span"")"),"Loading...")</f>
        <v>Loading...</v>
      </c>
      <c r="J2267" s="7">
        <f ca="1">IFERROR(__xludf.DUMMYFUNCTION("GOOGLEFINANCE(""NSE:""&amp;D2267,""marketcap"")"),1244122000)</f>
        <v>1244122000</v>
      </c>
      <c r="K2267" s="7">
        <v>992.8</v>
      </c>
      <c r="L2267" s="8">
        <f ca="1">IFERROR(__xludf.DUMMYFUNCTION("GOOGLEFINANCE(""NSE:""&amp;D2267,""price"")"),51.43)</f>
        <v>51.43</v>
      </c>
      <c r="M2267" s="9">
        <f t="shared" ca="1" si="47"/>
        <v>-941.37</v>
      </c>
      <c r="N2267" s="10">
        <f t="shared" ca="1" si="48"/>
        <v>-94.819701853344085</v>
      </c>
      <c r="O2267" s="7">
        <f ca="1">IFERROR(__xludf.DUMMYFUNCTION("GOOGLEFINANCE(""NSE:""&amp;D2267,""pe"")"),61.23)</f>
        <v>61.23</v>
      </c>
      <c r="P2267" s="7">
        <f ca="1">IFERROR(__xludf.DUMMYFUNCTION("GOOGLEFINANCE(""NSE:""&amp;D2267,""EPS"")"),0.84)</f>
        <v>0.84</v>
      </c>
      <c r="Q2267" s="7">
        <v>13.5</v>
      </c>
      <c r="R2267" s="7" t="str">
        <f ca="1">IFERROR(__xludf.DUMMYFUNCTION("IMPORTXML(E2267,""/html/body/main/div[3]/div[3]/div[2]/ul/li[7]/span[2]/span"")"),"Loading...")</f>
        <v>Loading...</v>
      </c>
      <c r="S2267" s="7" t="str">
        <f ca="1">IFERROR(__xludf.DUMMYFUNCTION("IMPORTXML(E2267,""/html/body/main/div[3]/div[3]/div[2]/ul/li[8]/span[2]/span"")"),"Loading...")</f>
        <v>Loading...</v>
      </c>
      <c r="T2267" s="4">
        <v>34.6</v>
      </c>
      <c r="U2267" s="4">
        <v>22.7</v>
      </c>
      <c r="V2267" s="4">
        <v>2.6</v>
      </c>
      <c r="W2267" s="4">
        <v>5.7</v>
      </c>
      <c r="X2267" s="4">
        <v>519.92999999999995</v>
      </c>
      <c r="Y2267" s="7">
        <f t="shared" ca="1" si="49"/>
        <v>-468.49999999999994</v>
      </c>
    </row>
    <row r="2268" spans="1:25" ht="15" x14ac:dyDescent="0.25">
      <c r="A2268" s="4">
        <v>2142</v>
      </c>
      <c r="C2268" s="41" t="s">
        <v>4501</v>
      </c>
      <c r="D2268" s="42"/>
      <c r="E2268" s="5" t="str">
        <f t="shared" si="45"/>
        <v>https://www.screener.in/company//consolidated/</v>
      </c>
      <c r="F2268" s="4">
        <v>443059</v>
      </c>
      <c r="G2268" s="4">
        <v>3832241897</v>
      </c>
      <c r="H2268" s="6" t="e">
        <f t="shared" ca="1" si="46"/>
        <v>#VALUE!</v>
      </c>
      <c r="I2268" s="7" t="str">
        <f ca="1">IFERROR(__xludf.DUMMYFUNCTION("IMPORTXML(E2268,""/html/body/main/div[3]/div[3]/div[2]/ul/li[5]/span[2]/span"")"),"Loading...")</f>
        <v>Loading...</v>
      </c>
      <c r="J2268" s="7" t="str">
        <f ca="1">IFERROR(__xludf.DUMMYFUNCTION("GOOGLEFINANCE(""NSE:""&amp;D2268,""marketcap"")"),"#N/A")</f>
        <v>#N/A</v>
      </c>
      <c r="K2268" s="7">
        <v>992.8</v>
      </c>
      <c r="L2268" s="8" t="str">
        <f ca="1">IFERROR(__xludf.DUMMYFUNCTION("GOOGLEFINANCE(""NSE:""&amp;D2268,""price"")"),"#N/A")</f>
        <v>#N/A</v>
      </c>
      <c r="M2268" s="9" t="e">
        <f t="shared" ca="1" si="47"/>
        <v>#VALUE!</v>
      </c>
      <c r="N2268" s="10" t="e">
        <f t="shared" ca="1" si="48"/>
        <v>#VALUE!</v>
      </c>
      <c r="O2268" s="7" t="str">
        <f ca="1">IFERROR(__xludf.DUMMYFUNCTION("GOOGLEFINANCE(""NSE:""&amp;D2268,""pe"")"),"#N/A")</f>
        <v>#N/A</v>
      </c>
      <c r="P2268" s="7" t="str">
        <f ca="1">IFERROR(__xludf.DUMMYFUNCTION("GOOGLEFINANCE(""NSE:""&amp;D2268,""EPS"")"),"#N/A")</f>
        <v>#N/A</v>
      </c>
      <c r="Q2268" s="7">
        <v>13.5</v>
      </c>
      <c r="R2268" s="7" t="str">
        <f ca="1">IFERROR(__xludf.DUMMYFUNCTION("IMPORTXML(E2268,""/html/body/main/div[3]/div[3]/div[2]/ul/li[7]/span[2]/span"")"),"Loading...")</f>
        <v>Loading...</v>
      </c>
      <c r="S2268" s="7" t="str">
        <f ca="1">IFERROR(__xludf.DUMMYFUNCTION("IMPORTXML(E2268,""/html/body/main/div[3]/div[3]/div[2]/ul/li[8]/span[2]/span"")"),"Loading...")</f>
        <v>Loading...</v>
      </c>
      <c r="T2268" s="4">
        <v>34.6</v>
      </c>
      <c r="U2268" s="4">
        <v>22.7</v>
      </c>
      <c r="V2268" s="4">
        <v>2.6</v>
      </c>
      <c r="W2268" s="4">
        <v>5.7</v>
      </c>
      <c r="X2268" s="4">
        <v>519.92999999999995</v>
      </c>
      <c r="Y2268" s="7" t="e">
        <f t="shared" ca="1" si="49"/>
        <v>#VALUE!</v>
      </c>
    </row>
    <row r="2269" spans="1:25" ht="15" x14ac:dyDescent="0.25">
      <c r="A2269" s="4">
        <v>2144</v>
      </c>
      <c r="C2269" s="41" t="s">
        <v>4502</v>
      </c>
      <c r="D2269" s="42"/>
      <c r="E2269" s="5" t="str">
        <f t="shared" si="45"/>
        <v>https://www.screener.in/company//consolidated/</v>
      </c>
      <c r="F2269" s="4">
        <v>443059</v>
      </c>
      <c r="G2269" s="4">
        <v>3832241897</v>
      </c>
      <c r="H2269" s="6" t="e">
        <f t="shared" ca="1" si="46"/>
        <v>#VALUE!</v>
      </c>
      <c r="I2269" s="7" t="str">
        <f ca="1">IFERROR(__xludf.DUMMYFUNCTION("IMPORTXML(E2269,""/html/body/main/div[3]/div[3]/div[2]/ul/li[5]/span[2]/span"")"),"Loading...")</f>
        <v>Loading...</v>
      </c>
      <c r="J2269" s="7" t="str">
        <f ca="1">IFERROR(__xludf.DUMMYFUNCTION("GOOGLEFINANCE(""NSE:""&amp;D2269,""marketcap"")"),"#N/A")</f>
        <v>#N/A</v>
      </c>
      <c r="K2269" s="7">
        <v>992.8</v>
      </c>
      <c r="L2269" s="8" t="str">
        <f ca="1">IFERROR(__xludf.DUMMYFUNCTION("GOOGLEFINANCE(""NSE:""&amp;D2269,""price"")"),"#N/A")</f>
        <v>#N/A</v>
      </c>
      <c r="M2269" s="9" t="e">
        <f t="shared" ca="1" si="47"/>
        <v>#VALUE!</v>
      </c>
      <c r="N2269" s="10" t="e">
        <f t="shared" ca="1" si="48"/>
        <v>#VALUE!</v>
      </c>
      <c r="O2269" s="7" t="str">
        <f ca="1">IFERROR(__xludf.DUMMYFUNCTION("GOOGLEFINANCE(""NSE:""&amp;D2269,""pe"")"),"#N/A")</f>
        <v>#N/A</v>
      </c>
      <c r="P2269" s="7" t="str">
        <f ca="1">IFERROR(__xludf.DUMMYFUNCTION("GOOGLEFINANCE(""NSE:""&amp;D2269,""EPS"")"),"#N/A")</f>
        <v>#N/A</v>
      </c>
      <c r="Q2269" s="7">
        <v>13.5</v>
      </c>
      <c r="R2269" s="7" t="str">
        <f ca="1">IFERROR(__xludf.DUMMYFUNCTION("IMPORTXML(E2269,""/html/body/main/div[3]/div[3]/div[2]/ul/li[7]/span[2]/span"")"),"Loading...")</f>
        <v>Loading...</v>
      </c>
      <c r="S2269" s="7" t="str">
        <f ca="1">IFERROR(__xludf.DUMMYFUNCTION("IMPORTXML(E2269,""/html/body/main/div[3]/div[3]/div[2]/ul/li[8]/span[2]/span"")"),"Loading...")</f>
        <v>Loading...</v>
      </c>
      <c r="T2269" s="4">
        <v>34.6</v>
      </c>
      <c r="U2269" s="4">
        <v>22.7</v>
      </c>
      <c r="V2269" s="4">
        <v>2.6</v>
      </c>
      <c r="W2269" s="4">
        <v>5.7</v>
      </c>
      <c r="X2269" s="4">
        <v>519.92999999999995</v>
      </c>
      <c r="Y2269" s="7" t="e">
        <f t="shared" ca="1" si="49"/>
        <v>#VALUE!</v>
      </c>
    </row>
    <row r="2270" spans="1:25" ht="15" x14ac:dyDescent="0.25">
      <c r="A2270" s="4">
        <v>2145</v>
      </c>
      <c r="C2270" s="41" t="s">
        <v>4503</v>
      </c>
      <c r="D2270" s="42"/>
      <c r="E2270" s="5" t="str">
        <f t="shared" si="45"/>
        <v>https://www.screener.in/company//consolidated/</v>
      </c>
      <c r="F2270" s="4">
        <v>443059</v>
      </c>
      <c r="G2270" s="4">
        <v>3832241897</v>
      </c>
      <c r="H2270" s="6" t="e">
        <f t="shared" ca="1" si="46"/>
        <v>#VALUE!</v>
      </c>
      <c r="I2270" s="7" t="str">
        <f ca="1">IFERROR(__xludf.DUMMYFUNCTION("IMPORTXML(E2270,""/html/body/main/div[3]/div[3]/div[2]/ul/li[5]/span[2]/span"")"),"Loading...")</f>
        <v>Loading...</v>
      </c>
      <c r="J2270" s="7" t="str">
        <f ca="1">IFERROR(__xludf.DUMMYFUNCTION("GOOGLEFINANCE(""NSE:""&amp;D2270,""marketcap"")"),"#N/A")</f>
        <v>#N/A</v>
      </c>
      <c r="K2270" s="7">
        <v>992.8</v>
      </c>
      <c r="L2270" s="8" t="str">
        <f ca="1">IFERROR(__xludf.DUMMYFUNCTION("GOOGLEFINANCE(""NSE:""&amp;D2270,""price"")"),"#N/A")</f>
        <v>#N/A</v>
      </c>
      <c r="M2270" s="9" t="e">
        <f t="shared" ca="1" si="47"/>
        <v>#VALUE!</v>
      </c>
      <c r="N2270" s="10" t="e">
        <f t="shared" ca="1" si="48"/>
        <v>#VALUE!</v>
      </c>
      <c r="O2270" s="7" t="str">
        <f ca="1">IFERROR(__xludf.DUMMYFUNCTION("GOOGLEFINANCE(""NSE:""&amp;D2270,""pe"")"),"#N/A")</f>
        <v>#N/A</v>
      </c>
      <c r="P2270" s="7" t="str">
        <f ca="1">IFERROR(__xludf.DUMMYFUNCTION("GOOGLEFINANCE(""NSE:""&amp;D2270,""EPS"")"),"#N/A")</f>
        <v>#N/A</v>
      </c>
      <c r="Q2270" s="7">
        <v>13.5</v>
      </c>
      <c r="R2270" s="7" t="str">
        <f ca="1">IFERROR(__xludf.DUMMYFUNCTION("IMPORTXML(E2270,""/html/body/main/div[3]/div[3]/div[2]/ul/li[7]/span[2]/span"")"),"Loading...")</f>
        <v>Loading...</v>
      </c>
      <c r="S2270" s="7" t="str">
        <f ca="1">IFERROR(__xludf.DUMMYFUNCTION("IMPORTXML(E2270,""/html/body/main/div[3]/div[3]/div[2]/ul/li[8]/span[2]/span"")"),"Loading...")</f>
        <v>Loading...</v>
      </c>
      <c r="T2270" s="4">
        <v>34.6</v>
      </c>
      <c r="U2270" s="4">
        <v>22.7</v>
      </c>
      <c r="V2270" s="4">
        <v>2.6</v>
      </c>
      <c r="W2270" s="4">
        <v>5.7</v>
      </c>
      <c r="X2270" s="4">
        <v>519.92999999999995</v>
      </c>
      <c r="Y2270" s="7" t="e">
        <f t="shared" ca="1" si="49"/>
        <v>#VALUE!</v>
      </c>
    </row>
    <row r="2271" spans="1:25" ht="15" x14ac:dyDescent="0.25">
      <c r="A2271" s="4">
        <v>2146</v>
      </c>
      <c r="C2271" s="41" t="s">
        <v>4504</v>
      </c>
      <c r="D2271" s="42"/>
      <c r="E2271" s="5" t="str">
        <f t="shared" si="45"/>
        <v>https://www.screener.in/company//consolidated/</v>
      </c>
      <c r="F2271" s="4">
        <v>443059</v>
      </c>
      <c r="G2271" s="4">
        <v>3832241897</v>
      </c>
      <c r="H2271" s="6" t="e">
        <f t="shared" ca="1" si="46"/>
        <v>#VALUE!</v>
      </c>
      <c r="I2271" s="7" t="str">
        <f ca="1">IFERROR(__xludf.DUMMYFUNCTION("IMPORTXML(E2271,""/html/body/main/div[3]/div[3]/div[2]/ul/li[5]/span[2]/span"")"),"Loading...")</f>
        <v>Loading...</v>
      </c>
      <c r="J2271" s="7" t="str">
        <f ca="1">IFERROR(__xludf.DUMMYFUNCTION("GOOGLEFINANCE(""NSE:""&amp;D2271,""marketcap"")"),"#N/A")</f>
        <v>#N/A</v>
      </c>
      <c r="K2271" s="7">
        <v>992.8</v>
      </c>
      <c r="L2271" s="8" t="str">
        <f ca="1">IFERROR(__xludf.DUMMYFUNCTION("GOOGLEFINANCE(""NSE:""&amp;D2271,""price"")"),"#N/A")</f>
        <v>#N/A</v>
      </c>
      <c r="M2271" s="9" t="e">
        <f t="shared" ca="1" si="47"/>
        <v>#VALUE!</v>
      </c>
      <c r="N2271" s="10" t="e">
        <f t="shared" ca="1" si="48"/>
        <v>#VALUE!</v>
      </c>
      <c r="O2271" s="7" t="str">
        <f ca="1">IFERROR(__xludf.DUMMYFUNCTION("GOOGLEFINANCE(""NSE:""&amp;D2271,""pe"")"),"#N/A")</f>
        <v>#N/A</v>
      </c>
      <c r="P2271" s="7" t="str">
        <f ca="1">IFERROR(__xludf.DUMMYFUNCTION("GOOGLEFINANCE(""NSE:""&amp;D2271,""EPS"")"),"#N/A")</f>
        <v>#N/A</v>
      </c>
      <c r="Q2271" s="7">
        <v>13.5</v>
      </c>
      <c r="R2271" s="7" t="str">
        <f ca="1">IFERROR(__xludf.DUMMYFUNCTION("IMPORTXML(E2271,""/html/body/main/div[3]/div[3]/div[2]/ul/li[7]/span[2]/span"")"),"Loading...")</f>
        <v>Loading...</v>
      </c>
      <c r="S2271" s="7" t="str">
        <f ca="1">IFERROR(__xludf.DUMMYFUNCTION("IMPORTXML(E2271,""/html/body/main/div[3]/div[3]/div[2]/ul/li[8]/span[2]/span"")"),"Loading...")</f>
        <v>Loading...</v>
      </c>
      <c r="T2271" s="4">
        <v>34.6</v>
      </c>
      <c r="U2271" s="4">
        <v>22.7</v>
      </c>
      <c r="V2271" s="4">
        <v>2.6</v>
      </c>
      <c r="W2271" s="4">
        <v>5.7</v>
      </c>
      <c r="X2271" s="4">
        <v>519.92999999999995</v>
      </c>
      <c r="Y2271" s="7" t="e">
        <f t="shared" ca="1" si="49"/>
        <v>#VALUE!</v>
      </c>
    </row>
    <row r="2272" spans="1:25" ht="15" x14ac:dyDescent="0.25">
      <c r="A2272" s="4">
        <v>2147</v>
      </c>
      <c r="C2272" s="41" t="s">
        <v>4505</v>
      </c>
      <c r="D2272" s="42"/>
      <c r="E2272" s="5" t="str">
        <f t="shared" si="45"/>
        <v>https://www.screener.in/company//consolidated/</v>
      </c>
      <c r="F2272" s="4">
        <v>443059</v>
      </c>
      <c r="G2272" s="4">
        <v>3832241897</v>
      </c>
      <c r="H2272" s="6" t="e">
        <f t="shared" ca="1" si="46"/>
        <v>#VALUE!</v>
      </c>
      <c r="I2272" s="7" t="str">
        <f ca="1">IFERROR(__xludf.DUMMYFUNCTION("IMPORTXML(E2272,""/html/body/main/div[3]/div[3]/div[2]/ul/li[5]/span[2]/span"")"),"Loading...")</f>
        <v>Loading...</v>
      </c>
      <c r="J2272" s="7" t="str">
        <f ca="1">IFERROR(__xludf.DUMMYFUNCTION("GOOGLEFINANCE(""NSE:""&amp;D2272,""marketcap"")"),"#N/A")</f>
        <v>#N/A</v>
      </c>
      <c r="K2272" s="7">
        <v>992.8</v>
      </c>
      <c r="L2272" s="8" t="str">
        <f ca="1">IFERROR(__xludf.DUMMYFUNCTION("GOOGLEFINANCE(""NSE:""&amp;D2272,""price"")"),"#N/A")</f>
        <v>#N/A</v>
      </c>
      <c r="M2272" s="9" t="e">
        <f t="shared" ca="1" si="47"/>
        <v>#VALUE!</v>
      </c>
      <c r="N2272" s="10" t="e">
        <f t="shared" ca="1" si="48"/>
        <v>#VALUE!</v>
      </c>
      <c r="O2272" s="7" t="str">
        <f ca="1">IFERROR(__xludf.DUMMYFUNCTION("GOOGLEFINANCE(""NSE:""&amp;D2272,""pe"")"),"#N/A")</f>
        <v>#N/A</v>
      </c>
      <c r="P2272" s="7" t="str">
        <f ca="1">IFERROR(__xludf.DUMMYFUNCTION("GOOGLEFINANCE(""NSE:""&amp;D2272,""EPS"")"),"#N/A")</f>
        <v>#N/A</v>
      </c>
      <c r="Q2272" s="7">
        <v>13.5</v>
      </c>
      <c r="R2272" s="7" t="str">
        <f ca="1">IFERROR(__xludf.DUMMYFUNCTION("IMPORTXML(E2272,""/html/body/main/div[3]/div[3]/div[2]/ul/li[7]/span[2]/span"")"),"Loading...")</f>
        <v>Loading...</v>
      </c>
      <c r="S2272" s="7" t="str">
        <f ca="1">IFERROR(__xludf.DUMMYFUNCTION("IMPORTXML(E2272,""/html/body/main/div[3]/div[3]/div[2]/ul/li[8]/span[2]/span"")"),"Loading...")</f>
        <v>Loading...</v>
      </c>
      <c r="T2272" s="4">
        <v>34.6</v>
      </c>
      <c r="U2272" s="4">
        <v>22.7</v>
      </c>
      <c r="V2272" s="4">
        <v>2.6</v>
      </c>
      <c r="W2272" s="4">
        <v>5.7</v>
      </c>
      <c r="X2272" s="4">
        <v>519.92999999999995</v>
      </c>
      <c r="Y2272" s="7" t="e">
        <f t="shared" ca="1" si="49"/>
        <v>#VALUE!</v>
      </c>
    </row>
    <row r="2273" spans="1:25" ht="15" x14ac:dyDescent="0.25">
      <c r="A2273" s="4">
        <v>2148</v>
      </c>
      <c r="C2273" s="12" t="s">
        <v>4506</v>
      </c>
      <c r="D2273" s="37"/>
      <c r="E2273" s="5" t="str">
        <f t="shared" si="45"/>
        <v>https://www.screener.in/company//consolidated/</v>
      </c>
      <c r="F2273" s="4">
        <v>443059</v>
      </c>
      <c r="G2273" s="4">
        <v>3832241897</v>
      </c>
      <c r="H2273" s="6" t="e">
        <f t="shared" ca="1" si="46"/>
        <v>#VALUE!</v>
      </c>
      <c r="I2273" s="7" t="str">
        <f ca="1">IFERROR(__xludf.DUMMYFUNCTION("IMPORTXML(E2273,""/html/body/main/div[3]/div[3]/div[2]/ul/li[5]/span[2]/span"")"),"Loading...")</f>
        <v>Loading...</v>
      </c>
      <c r="J2273" s="7" t="str">
        <f ca="1">IFERROR(__xludf.DUMMYFUNCTION("GOOGLEFINANCE(""NSE:""&amp;D2273,""marketcap"")"),"#N/A")</f>
        <v>#N/A</v>
      </c>
      <c r="K2273" s="7">
        <v>992.8</v>
      </c>
      <c r="L2273" s="8" t="str">
        <f ca="1">IFERROR(__xludf.DUMMYFUNCTION("GOOGLEFINANCE(""NSE:""&amp;D2273,""price"")"),"#N/A")</f>
        <v>#N/A</v>
      </c>
      <c r="M2273" s="9" t="e">
        <f t="shared" ca="1" si="47"/>
        <v>#VALUE!</v>
      </c>
      <c r="N2273" s="10" t="e">
        <f t="shared" ca="1" si="48"/>
        <v>#VALUE!</v>
      </c>
      <c r="O2273" s="7" t="str">
        <f ca="1">IFERROR(__xludf.DUMMYFUNCTION("GOOGLEFINANCE(""NSE:""&amp;D2273,""pe"")"),"#N/A")</f>
        <v>#N/A</v>
      </c>
      <c r="P2273" s="7" t="str">
        <f ca="1">IFERROR(__xludf.DUMMYFUNCTION("GOOGLEFINANCE(""NSE:""&amp;D2273,""EPS"")"),"#N/A")</f>
        <v>#N/A</v>
      </c>
      <c r="Q2273" s="7">
        <v>13.5</v>
      </c>
      <c r="R2273" s="7" t="str">
        <f ca="1">IFERROR(__xludf.DUMMYFUNCTION("IMPORTXML(E2273,""/html/body/main/div[3]/div[3]/div[2]/ul/li[7]/span[2]/span"")"),"Loading...")</f>
        <v>Loading...</v>
      </c>
      <c r="S2273" s="7" t="str">
        <f ca="1">IFERROR(__xludf.DUMMYFUNCTION("IMPORTXML(E2273,""/html/body/main/div[3]/div[3]/div[2]/ul/li[8]/span[2]/span"")"),"Loading...")</f>
        <v>Loading...</v>
      </c>
      <c r="T2273" s="4">
        <v>34.6</v>
      </c>
      <c r="U2273" s="4">
        <v>22.7</v>
      </c>
      <c r="V2273" s="4">
        <v>2.6</v>
      </c>
      <c r="W2273" s="4">
        <v>5.7</v>
      </c>
      <c r="X2273" s="4">
        <v>519.92999999999995</v>
      </c>
      <c r="Y2273" s="7" t="e">
        <f t="shared" ca="1" si="49"/>
        <v>#VALUE!</v>
      </c>
    </row>
    <row r="2274" spans="1:25" ht="15" x14ac:dyDescent="0.25">
      <c r="A2274" s="4">
        <v>2149</v>
      </c>
      <c r="C2274" s="41" t="s">
        <v>4507</v>
      </c>
      <c r="D2274" s="42"/>
      <c r="E2274" s="5" t="str">
        <f t="shared" si="45"/>
        <v>https://www.screener.in/company//consolidated/</v>
      </c>
      <c r="F2274" s="4">
        <v>443059</v>
      </c>
      <c r="G2274" s="4">
        <v>3832241897</v>
      </c>
      <c r="H2274" s="6" t="e">
        <f t="shared" ca="1" si="46"/>
        <v>#VALUE!</v>
      </c>
      <c r="I2274" s="7" t="str">
        <f ca="1">IFERROR(__xludf.DUMMYFUNCTION("IMPORTXML(E2274,""/html/body/main/div[3]/div[3]/div[2]/ul/li[5]/span[2]/span"")"),"Loading...")</f>
        <v>Loading...</v>
      </c>
      <c r="J2274" s="7" t="str">
        <f ca="1">IFERROR(__xludf.DUMMYFUNCTION("GOOGLEFINANCE(""NSE:""&amp;D2274,""marketcap"")"),"#N/A")</f>
        <v>#N/A</v>
      </c>
      <c r="K2274" s="7">
        <v>992.8</v>
      </c>
      <c r="L2274" s="8" t="str">
        <f ca="1">IFERROR(__xludf.DUMMYFUNCTION("GOOGLEFINANCE(""NSE:""&amp;D2274,""price"")"),"#N/A")</f>
        <v>#N/A</v>
      </c>
      <c r="M2274" s="9" t="e">
        <f t="shared" ca="1" si="47"/>
        <v>#VALUE!</v>
      </c>
      <c r="N2274" s="10" t="e">
        <f t="shared" ca="1" si="48"/>
        <v>#VALUE!</v>
      </c>
      <c r="O2274" s="7" t="str">
        <f ca="1">IFERROR(__xludf.DUMMYFUNCTION("GOOGLEFINANCE(""NSE:""&amp;D2274,""pe"")"),"#N/A")</f>
        <v>#N/A</v>
      </c>
      <c r="P2274" s="7" t="str">
        <f ca="1">IFERROR(__xludf.DUMMYFUNCTION("GOOGLEFINANCE(""NSE:""&amp;D2274,""EPS"")"),"#N/A")</f>
        <v>#N/A</v>
      </c>
      <c r="Q2274" s="7">
        <v>13.5</v>
      </c>
      <c r="R2274" s="7" t="str">
        <f ca="1">IFERROR(__xludf.DUMMYFUNCTION("IMPORTXML(E2274,""/html/body/main/div[3]/div[3]/div[2]/ul/li[7]/span[2]/span"")"),"Loading...")</f>
        <v>Loading...</v>
      </c>
      <c r="S2274" s="7" t="str">
        <f ca="1">IFERROR(__xludf.DUMMYFUNCTION("IMPORTXML(E2274,""/html/body/main/div[3]/div[3]/div[2]/ul/li[8]/span[2]/span"")"),"Loading...")</f>
        <v>Loading...</v>
      </c>
      <c r="T2274" s="4">
        <v>34.6</v>
      </c>
      <c r="U2274" s="4">
        <v>22.7</v>
      </c>
      <c r="V2274" s="4">
        <v>2.6</v>
      </c>
      <c r="W2274" s="4">
        <v>5.7</v>
      </c>
      <c r="X2274" s="4">
        <v>519.92999999999995</v>
      </c>
      <c r="Y2274" s="7" t="e">
        <f t="shared" ca="1" si="49"/>
        <v>#VALUE!</v>
      </c>
    </row>
    <row r="2275" spans="1:25" ht="15" x14ac:dyDescent="0.25">
      <c r="A2275" s="4">
        <v>2150</v>
      </c>
      <c r="C2275" s="41" t="s">
        <v>4508</v>
      </c>
      <c r="D2275" s="42"/>
      <c r="E2275" s="5" t="str">
        <f t="shared" si="45"/>
        <v>https://www.screener.in/company//consolidated/</v>
      </c>
      <c r="F2275" s="4">
        <v>443059</v>
      </c>
      <c r="G2275" s="4">
        <v>3832241897</v>
      </c>
      <c r="H2275" s="6" t="e">
        <f t="shared" ca="1" si="46"/>
        <v>#VALUE!</v>
      </c>
      <c r="I2275" s="7" t="str">
        <f ca="1">IFERROR(__xludf.DUMMYFUNCTION("IMPORTXML(E2275,""/html/body/main/div[3]/div[3]/div[2]/ul/li[5]/span[2]/span"")"),"Loading...")</f>
        <v>Loading...</v>
      </c>
      <c r="J2275" s="7" t="str">
        <f ca="1">IFERROR(__xludf.DUMMYFUNCTION("GOOGLEFINANCE(""NSE:""&amp;D2275,""marketcap"")"),"#N/A")</f>
        <v>#N/A</v>
      </c>
      <c r="K2275" s="7">
        <v>992.8</v>
      </c>
      <c r="L2275" s="8" t="str">
        <f ca="1">IFERROR(__xludf.DUMMYFUNCTION("GOOGLEFINANCE(""NSE:""&amp;D2275,""price"")"),"#N/A")</f>
        <v>#N/A</v>
      </c>
      <c r="M2275" s="9" t="e">
        <f t="shared" ca="1" si="47"/>
        <v>#VALUE!</v>
      </c>
      <c r="N2275" s="10" t="e">
        <f t="shared" ca="1" si="48"/>
        <v>#VALUE!</v>
      </c>
      <c r="O2275" s="7" t="str">
        <f ca="1">IFERROR(__xludf.DUMMYFUNCTION("GOOGLEFINANCE(""NSE:""&amp;D2275,""pe"")"),"#N/A")</f>
        <v>#N/A</v>
      </c>
      <c r="P2275" s="7" t="str">
        <f ca="1">IFERROR(__xludf.DUMMYFUNCTION("GOOGLEFINANCE(""NSE:""&amp;D2275,""EPS"")"),"#N/A")</f>
        <v>#N/A</v>
      </c>
      <c r="Q2275" s="7">
        <v>13.5</v>
      </c>
      <c r="R2275" s="7" t="str">
        <f ca="1">IFERROR(__xludf.DUMMYFUNCTION("IMPORTXML(E2275,""/html/body/main/div[3]/div[3]/div[2]/ul/li[7]/span[2]/span"")"),"Loading...")</f>
        <v>Loading...</v>
      </c>
      <c r="S2275" s="7" t="str">
        <f ca="1">IFERROR(__xludf.DUMMYFUNCTION("IMPORTXML(E2275,""/html/body/main/div[3]/div[3]/div[2]/ul/li[8]/span[2]/span"")"),"Loading...")</f>
        <v>Loading...</v>
      </c>
      <c r="T2275" s="4">
        <v>34.6</v>
      </c>
      <c r="U2275" s="4">
        <v>22.7</v>
      </c>
      <c r="V2275" s="4">
        <v>2.6</v>
      </c>
      <c r="W2275" s="4">
        <v>5.7</v>
      </c>
      <c r="X2275" s="4">
        <v>519.92999999999995</v>
      </c>
      <c r="Y2275" s="7" t="e">
        <f t="shared" ca="1" si="49"/>
        <v>#VALUE!</v>
      </c>
    </row>
    <row r="2276" spans="1:25" ht="15" x14ac:dyDescent="0.25">
      <c r="A2276" s="4">
        <v>2151</v>
      </c>
      <c r="C2276" s="12" t="s">
        <v>4509</v>
      </c>
      <c r="D2276" s="12" t="s">
        <v>4510</v>
      </c>
      <c r="E2276" s="5" t="str">
        <f t="shared" si="45"/>
        <v>https://www.screener.in/company/SETCO/consolidated/</v>
      </c>
      <c r="F2276" s="4">
        <v>443059</v>
      </c>
      <c r="G2276" s="4">
        <v>3832241897</v>
      </c>
      <c r="H2276" s="6">
        <f t="shared" ca="1" si="46"/>
        <v>5825.0076834399997</v>
      </c>
      <c r="I2276" s="7" t="str">
        <f ca="1">IFERROR(__xludf.DUMMYFUNCTION("IMPORTXML(E2276,""/html/body/main/div[3]/div[3]/div[2]/ul/li[5]/span[2]/span"")"),"Loading...")</f>
        <v>Loading...</v>
      </c>
      <c r="J2276" s="7">
        <f ca="1">IFERROR(__xludf.DUMMYFUNCTION("GOOGLEFINANCE(""NSE:""&amp;D2276,""marketcap"")"),2034600000)</f>
        <v>2034600000</v>
      </c>
      <c r="K2276" s="7">
        <v>992.8</v>
      </c>
      <c r="L2276" s="8">
        <f ca="1">IFERROR(__xludf.DUMMYFUNCTION("GOOGLEFINANCE(""NSE:""&amp;D2276,""price"")"),15.2)</f>
        <v>15.2</v>
      </c>
      <c r="M2276" s="9">
        <f t="shared" ca="1" si="47"/>
        <v>-977.59999999999991</v>
      </c>
      <c r="N2276" s="10">
        <f t="shared" ca="1" si="48"/>
        <v>-98.468976631748589</v>
      </c>
      <c r="O2276" s="7" t="str">
        <f ca="1">IFERROR(__xludf.DUMMYFUNCTION("GOOGLEFINANCE(""NSE:""&amp;D2276,""pe"")"),"#N/A")</f>
        <v>#N/A</v>
      </c>
      <c r="P2276" s="7">
        <f ca="1">IFERROR(__xludf.DUMMYFUNCTION("GOOGLEFINANCE(""NSE:""&amp;D2276,""EPS"")"),-8.28)</f>
        <v>-8.2799999999999994</v>
      </c>
      <c r="Q2276" s="7">
        <v>13.5</v>
      </c>
      <c r="R2276" s="7" t="str">
        <f ca="1">IFERROR(__xludf.DUMMYFUNCTION("IMPORTXML(E2276,""/html/body/main/div[3]/div[3]/div[2]/ul/li[7]/span[2]/span"")"),"Loading...")</f>
        <v>Loading...</v>
      </c>
      <c r="S2276" s="7" t="str">
        <f ca="1">IFERROR(__xludf.DUMMYFUNCTION("IMPORTXML(E2276,""/html/body/main/div[3]/div[3]/div[2]/ul/li[8]/span[2]/span"")"),"Loading...")</f>
        <v>Loading...</v>
      </c>
      <c r="T2276" s="4">
        <v>34.6</v>
      </c>
      <c r="U2276" s="4">
        <v>22.7</v>
      </c>
      <c r="V2276" s="4">
        <v>2.6</v>
      </c>
      <c r="W2276" s="4">
        <v>5.7</v>
      </c>
      <c r="X2276" s="4">
        <v>519.92999999999995</v>
      </c>
      <c r="Y2276" s="7">
        <f t="shared" ca="1" si="49"/>
        <v>-504.72999999999996</v>
      </c>
    </row>
    <row r="2277" spans="1:25" ht="15" x14ac:dyDescent="0.25">
      <c r="A2277" s="4">
        <v>2154</v>
      </c>
      <c r="C2277" s="12" t="s">
        <v>4511</v>
      </c>
      <c r="D2277" s="12" t="s">
        <v>4512</v>
      </c>
      <c r="E2277" s="5" t="str">
        <f t="shared" si="45"/>
        <v>https://www.screener.in/company/ANSALAPI/consolidated/</v>
      </c>
      <c r="F2277" s="4">
        <v>443059</v>
      </c>
      <c r="G2277" s="4">
        <v>3832241897</v>
      </c>
      <c r="H2277" s="6">
        <f t="shared" ca="1" si="46"/>
        <v>1973.6045769550003</v>
      </c>
      <c r="I2277" s="7" t="str">
        <f ca="1">IFERROR(__xludf.DUMMYFUNCTION("IMPORTXML(E2277,""/html/body/main/div[3]/div[3]/div[2]/ul/li[5]/span[2]/span"")"),"Loading...")</f>
        <v>Loading...</v>
      </c>
      <c r="J2277" s="7">
        <f ca="1">IFERROR(__xludf.DUMMYFUNCTION("GOOGLEFINANCE(""NSE:""&amp;D2277,""marketcap"")"),815357200)</f>
        <v>815357200</v>
      </c>
      <c r="K2277" s="7">
        <v>992.8</v>
      </c>
      <c r="L2277" s="8">
        <f ca="1">IFERROR(__xludf.DUMMYFUNCTION("GOOGLEFINANCE(""NSE:""&amp;D2277,""price"")"),5.15)</f>
        <v>5.15</v>
      </c>
      <c r="M2277" s="9">
        <f t="shared" ca="1" si="47"/>
        <v>-987.65</v>
      </c>
      <c r="N2277" s="10">
        <f t="shared" ca="1" si="48"/>
        <v>-99.481265108783248</v>
      </c>
      <c r="O2277" s="7" t="str">
        <f ca="1">IFERROR(__xludf.DUMMYFUNCTION("GOOGLEFINANCE(""NSE:""&amp;D2277,""pe"")"),"#N/A")</f>
        <v>#N/A</v>
      </c>
      <c r="P2277" s="7">
        <f ca="1">IFERROR(__xludf.DUMMYFUNCTION("GOOGLEFINANCE(""NSE:""&amp;D2277,""EPS"")"),-10.72)</f>
        <v>-10.72</v>
      </c>
      <c r="Q2277" s="7">
        <v>13.5</v>
      </c>
      <c r="R2277" s="7" t="str">
        <f ca="1">IFERROR(__xludf.DUMMYFUNCTION("IMPORTXML(E2277,""/html/body/main/div[3]/div[3]/div[2]/ul/li[7]/span[2]/span"")"),"Loading...")</f>
        <v>Loading...</v>
      </c>
      <c r="S2277" s="7" t="str">
        <f ca="1">IFERROR(__xludf.DUMMYFUNCTION("IMPORTXML(E2277,""/html/body/main/div[3]/div[3]/div[2]/ul/li[8]/span[2]/span"")"),"Loading...")</f>
        <v>Loading...</v>
      </c>
      <c r="T2277" s="4">
        <v>34.6</v>
      </c>
      <c r="U2277" s="4">
        <v>22.7</v>
      </c>
      <c r="V2277" s="4">
        <v>2.6</v>
      </c>
      <c r="W2277" s="4">
        <v>5.7</v>
      </c>
      <c r="X2277" s="4">
        <v>519.92999999999995</v>
      </c>
      <c r="Y2277" s="7">
        <f t="shared" ca="1" si="49"/>
        <v>-514.78</v>
      </c>
    </row>
    <row r="2278" spans="1:25" ht="15" x14ac:dyDescent="0.25">
      <c r="A2278" s="4">
        <v>2155</v>
      </c>
      <c r="C2278" s="41" t="s">
        <v>4513</v>
      </c>
      <c r="D2278" s="42"/>
      <c r="E2278" s="5" t="str">
        <f t="shared" si="45"/>
        <v>https://www.screener.in/company//consolidated/</v>
      </c>
      <c r="F2278" s="4">
        <v>443059</v>
      </c>
      <c r="G2278" s="4">
        <v>3832241897</v>
      </c>
      <c r="H2278" s="6" t="e">
        <f t="shared" ca="1" si="46"/>
        <v>#VALUE!</v>
      </c>
      <c r="I2278" s="7" t="str">
        <f ca="1">IFERROR(__xludf.DUMMYFUNCTION("IMPORTXML(E2278,""/html/body/main/div[3]/div[3]/div[2]/ul/li[5]/span[2]/span"")"),"Loading...")</f>
        <v>Loading...</v>
      </c>
      <c r="J2278" s="7" t="str">
        <f ca="1">IFERROR(__xludf.DUMMYFUNCTION("GOOGLEFINANCE(""NSE:""&amp;D2278,""marketcap"")"),"#N/A")</f>
        <v>#N/A</v>
      </c>
      <c r="K2278" s="7">
        <v>992.8</v>
      </c>
      <c r="L2278" s="8" t="str">
        <f ca="1">IFERROR(__xludf.DUMMYFUNCTION("GOOGLEFINANCE(""NSE:""&amp;D2278,""price"")"),"#N/A")</f>
        <v>#N/A</v>
      </c>
      <c r="M2278" s="9" t="e">
        <f t="shared" ca="1" si="47"/>
        <v>#VALUE!</v>
      </c>
      <c r="N2278" s="10" t="e">
        <f t="shared" ca="1" si="48"/>
        <v>#VALUE!</v>
      </c>
      <c r="O2278" s="7" t="str">
        <f ca="1">IFERROR(__xludf.DUMMYFUNCTION("GOOGLEFINANCE(""NSE:""&amp;D2278,""pe"")"),"#N/A")</f>
        <v>#N/A</v>
      </c>
      <c r="P2278" s="7" t="str">
        <f ca="1">IFERROR(__xludf.DUMMYFUNCTION("GOOGLEFINANCE(""NSE:""&amp;D2278,""EPS"")"),"#N/A")</f>
        <v>#N/A</v>
      </c>
      <c r="Q2278" s="7">
        <v>13.5</v>
      </c>
      <c r="R2278" s="7" t="str">
        <f ca="1">IFERROR(__xludf.DUMMYFUNCTION("IMPORTXML(E2278,""/html/body/main/div[3]/div[3]/div[2]/ul/li[7]/span[2]/span"")"),"Loading...")</f>
        <v>Loading...</v>
      </c>
      <c r="S2278" s="7" t="str">
        <f ca="1">IFERROR(__xludf.DUMMYFUNCTION("IMPORTXML(E2278,""/html/body/main/div[3]/div[3]/div[2]/ul/li[8]/span[2]/span"")"),"Loading...")</f>
        <v>Loading...</v>
      </c>
      <c r="T2278" s="4">
        <v>34.6</v>
      </c>
      <c r="U2278" s="4">
        <v>22.7</v>
      </c>
      <c r="V2278" s="4">
        <v>2.6</v>
      </c>
      <c r="W2278" s="4">
        <v>5.7</v>
      </c>
      <c r="X2278" s="4">
        <v>519.92999999999995</v>
      </c>
      <c r="Y2278" s="7" t="e">
        <f t="shared" ca="1" si="49"/>
        <v>#VALUE!</v>
      </c>
    </row>
    <row r="2279" spans="1:25" ht="15" x14ac:dyDescent="0.25">
      <c r="A2279" s="4">
        <v>2156</v>
      </c>
      <c r="C2279" s="41" t="s">
        <v>4514</v>
      </c>
      <c r="D2279" s="42"/>
      <c r="E2279" s="5" t="str">
        <f t="shared" si="45"/>
        <v>https://www.screener.in/company//consolidated/</v>
      </c>
      <c r="F2279" s="4">
        <v>443059</v>
      </c>
      <c r="G2279" s="4">
        <v>3832241897</v>
      </c>
      <c r="H2279" s="6" t="e">
        <f t="shared" ca="1" si="46"/>
        <v>#VALUE!</v>
      </c>
      <c r="I2279" s="7" t="str">
        <f ca="1">IFERROR(__xludf.DUMMYFUNCTION("IMPORTXML(E2279,""/html/body/main/div[3]/div[3]/div[2]/ul/li[5]/span[2]/span"")"),"Loading...")</f>
        <v>Loading...</v>
      </c>
      <c r="J2279" s="7" t="str">
        <f ca="1">IFERROR(__xludf.DUMMYFUNCTION("GOOGLEFINANCE(""NSE:""&amp;D2279,""marketcap"")"),"#N/A")</f>
        <v>#N/A</v>
      </c>
      <c r="K2279" s="7">
        <v>992.8</v>
      </c>
      <c r="L2279" s="8" t="str">
        <f ca="1">IFERROR(__xludf.DUMMYFUNCTION("GOOGLEFINANCE(""NSE:""&amp;D2279,""price"")"),"#N/A")</f>
        <v>#N/A</v>
      </c>
      <c r="M2279" s="9" t="e">
        <f t="shared" ca="1" si="47"/>
        <v>#VALUE!</v>
      </c>
      <c r="N2279" s="10" t="e">
        <f t="shared" ca="1" si="48"/>
        <v>#VALUE!</v>
      </c>
      <c r="O2279" s="7" t="str">
        <f ca="1">IFERROR(__xludf.DUMMYFUNCTION("GOOGLEFINANCE(""NSE:""&amp;D2279,""pe"")"),"#N/A")</f>
        <v>#N/A</v>
      </c>
      <c r="P2279" s="7" t="str">
        <f ca="1">IFERROR(__xludf.DUMMYFUNCTION("GOOGLEFINANCE(""NSE:""&amp;D2279,""EPS"")"),"#N/A")</f>
        <v>#N/A</v>
      </c>
      <c r="Q2279" s="7">
        <v>13.5</v>
      </c>
      <c r="R2279" s="7" t="str">
        <f ca="1">IFERROR(__xludf.DUMMYFUNCTION("IMPORTXML(E2279,""/html/body/main/div[3]/div[3]/div[2]/ul/li[7]/span[2]/span"")"),"Loading...")</f>
        <v>Loading...</v>
      </c>
      <c r="S2279" s="7" t="str">
        <f ca="1">IFERROR(__xludf.DUMMYFUNCTION("IMPORTXML(E2279,""/html/body/main/div[3]/div[3]/div[2]/ul/li[8]/span[2]/span"")"),"Loading...")</f>
        <v>Loading...</v>
      </c>
      <c r="T2279" s="4">
        <v>34.6</v>
      </c>
      <c r="U2279" s="4">
        <v>22.7</v>
      </c>
      <c r="V2279" s="4">
        <v>2.6</v>
      </c>
      <c r="W2279" s="4">
        <v>5.7</v>
      </c>
      <c r="X2279" s="4">
        <v>519.92999999999995</v>
      </c>
      <c r="Y2279" s="7" t="e">
        <f t="shared" ca="1" si="49"/>
        <v>#VALUE!</v>
      </c>
    </row>
    <row r="2280" spans="1:25" ht="15" x14ac:dyDescent="0.25">
      <c r="A2280" s="4">
        <v>2157</v>
      </c>
      <c r="C2280" s="41" t="s">
        <v>4515</v>
      </c>
      <c r="D2280" s="42"/>
      <c r="E2280" s="5" t="str">
        <f t="shared" si="45"/>
        <v>https://www.screener.in/company//consolidated/</v>
      </c>
      <c r="F2280" s="4">
        <v>443059</v>
      </c>
      <c r="G2280" s="4">
        <v>3832241897</v>
      </c>
      <c r="H2280" s="6" t="e">
        <f t="shared" ca="1" si="46"/>
        <v>#VALUE!</v>
      </c>
      <c r="I2280" s="7" t="str">
        <f ca="1">IFERROR(__xludf.DUMMYFUNCTION("IMPORTXML(E2280,""/html/body/main/div[3]/div[3]/div[2]/ul/li[5]/span[2]/span"")"),"Loading...")</f>
        <v>Loading...</v>
      </c>
      <c r="J2280" s="7" t="str">
        <f ca="1">IFERROR(__xludf.DUMMYFUNCTION("GOOGLEFINANCE(""NSE:""&amp;D2280,""marketcap"")"),"#N/A")</f>
        <v>#N/A</v>
      </c>
      <c r="K2280" s="7">
        <v>992.8</v>
      </c>
      <c r="L2280" s="8" t="str">
        <f ca="1">IFERROR(__xludf.DUMMYFUNCTION("GOOGLEFINANCE(""NSE:""&amp;D2280,""price"")"),"#N/A")</f>
        <v>#N/A</v>
      </c>
      <c r="M2280" s="9" t="e">
        <f t="shared" ca="1" si="47"/>
        <v>#VALUE!</v>
      </c>
      <c r="N2280" s="10" t="e">
        <f t="shared" ca="1" si="48"/>
        <v>#VALUE!</v>
      </c>
      <c r="O2280" s="7" t="str">
        <f ca="1">IFERROR(__xludf.DUMMYFUNCTION("GOOGLEFINANCE(""NSE:""&amp;D2280,""pe"")"),"#N/A")</f>
        <v>#N/A</v>
      </c>
      <c r="P2280" s="7" t="str">
        <f ca="1">IFERROR(__xludf.DUMMYFUNCTION("GOOGLEFINANCE(""NSE:""&amp;D2280,""EPS"")"),"#N/A")</f>
        <v>#N/A</v>
      </c>
      <c r="Q2280" s="7">
        <v>13.5</v>
      </c>
      <c r="R2280" s="7" t="str">
        <f ca="1">IFERROR(__xludf.DUMMYFUNCTION("IMPORTXML(E2280,""/html/body/main/div[3]/div[3]/div[2]/ul/li[7]/span[2]/span"")"),"Loading...")</f>
        <v>Loading...</v>
      </c>
      <c r="S2280" s="7" t="str">
        <f ca="1">IFERROR(__xludf.DUMMYFUNCTION("IMPORTXML(E2280,""/html/body/main/div[3]/div[3]/div[2]/ul/li[8]/span[2]/span"")"),"Loading...")</f>
        <v>Loading...</v>
      </c>
      <c r="T2280" s="4">
        <v>34.6</v>
      </c>
      <c r="U2280" s="4">
        <v>22.7</v>
      </c>
      <c r="V2280" s="4">
        <v>2.6</v>
      </c>
      <c r="W2280" s="4">
        <v>5.7</v>
      </c>
      <c r="X2280" s="4">
        <v>519.92999999999995</v>
      </c>
      <c r="Y2280" s="7" t="e">
        <f t="shared" ca="1" si="49"/>
        <v>#VALUE!</v>
      </c>
    </row>
    <row r="2281" spans="1:25" ht="15" x14ac:dyDescent="0.25">
      <c r="A2281" s="4">
        <v>2159</v>
      </c>
      <c r="C2281" s="12" t="s">
        <v>4516</v>
      </c>
      <c r="D2281" s="37"/>
      <c r="E2281" s="5" t="str">
        <f t="shared" si="45"/>
        <v>https://www.screener.in/company//consolidated/</v>
      </c>
      <c r="F2281" s="4">
        <v>443059</v>
      </c>
      <c r="G2281" s="4">
        <v>3832241897</v>
      </c>
      <c r="H2281" s="6" t="e">
        <f t="shared" ca="1" si="46"/>
        <v>#VALUE!</v>
      </c>
      <c r="I2281" s="7" t="str">
        <f ca="1">IFERROR(__xludf.DUMMYFUNCTION("IMPORTXML(E2281,""/html/body/main/div[3]/div[3]/div[2]/ul/li[5]/span[2]/span"")"),"Loading...")</f>
        <v>Loading...</v>
      </c>
      <c r="J2281" s="7" t="str">
        <f ca="1">IFERROR(__xludf.DUMMYFUNCTION("GOOGLEFINANCE(""NSE:""&amp;D2281,""marketcap"")"),"#N/A")</f>
        <v>#N/A</v>
      </c>
      <c r="K2281" s="7">
        <v>992.8</v>
      </c>
      <c r="L2281" s="8" t="str">
        <f ca="1">IFERROR(__xludf.DUMMYFUNCTION("GOOGLEFINANCE(""NSE:""&amp;D2281,""price"")"),"#N/A")</f>
        <v>#N/A</v>
      </c>
      <c r="M2281" s="9" t="e">
        <f t="shared" ca="1" si="47"/>
        <v>#VALUE!</v>
      </c>
      <c r="N2281" s="10" t="e">
        <f t="shared" ca="1" si="48"/>
        <v>#VALUE!</v>
      </c>
      <c r="O2281" s="7" t="str">
        <f ca="1">IFERROR(__xludf.DUMMYFUNCTION("GOOGLEFINANCE(""NSE:""&amp;D2281,""pe"")"),"#N/A")</f>
        <v>#N/A</v>
      </c>
      <c r="P2281" s="7" t="str">
        <f ca="1">IFERROR(__xludf.DUMMYFUNCTION("GOOGLEFINANCE(""NSE:""&amp;D2281,""EPS"")"),"#N/A")</f>
        <v>#N/A</v>
      </c>
      <c r="Q2281" s="7">
        <v>13.5</v>
      </c>
      <c r="R2281" s="7" t="str">
        <f ca="1">IFERROR(__xludf.DUMMYFUNCTION("IMPORTXML(E2281,""/html/body/main/div[3]/div[3]/div[2]/ul/li[7]/span[2]/span"")"),"Loading...")</f>
        <v>Loading...</v>
      </c>
      <c r="S2281" s="7" t="str">
        <f ca="1">IFERROR(__xludf.DUMMYFUNCTION("IMPORTXML(E2281,""/html/body/main/div[3]/div[3]/div[2]/ul/li[8]/span[2]/span"")"),"Loading...")</f>
        <v>Loading...</v>
      </c>
      <c r="T2281" s="4">
        <v>34.6</v>
      </c>
      <c r="U2281" s="4">
        <v>22.7</v>
      </c>
      <c r="V2281" s="4">
        <v>2.6</v>
      </c>
      <c r="W2281" s="4">
        <v>5.7</v>
      </c>
      <c r="X2281" s="4">
        <v>519.92999999999995</v>
      </c>
      <c r="Y2281" s="7" t="e">
        <f t="shared" ca="1" si="49"/>
        <v>#VALUE!</v>
      </c>
    </row>
    <row r="2282" spans="1:25" ht="15" x14ac:dyDescent="0.25">
      <c r="A2282" s="4">
        <v>2160</v>
      </c>
      <c r="C2282" s="41" t="s">
        <v>4517</v>
      </c>
      <c r="D2282" s="42"/>
      <c r="E2282" s="5" t="str">
        <f t="shared" si="45"/>
        <v>https://www.screener.in/company//consolidated/</v>
      </c>
      <c r="F2282" s="4">
        <v>443059</v>
      </c>
      <c r="G2282" s="4">
        <v>3832241897</v>
      </c>
      <c r="H2282" s="6" t="e">
        <f t="shared" ca="1" si="46"/>
        <v>#VALUE!</v>
      </c>
      <c r="I2282" s="7" t="str">
        <f ca="1">IFERROR(__xludf.DUMMYFUNCTION("IMPORTXML(E2282,""/html/body/main/div[3]/div[3]/div[2]/ul/li[5]/span[2]/span"")"),"Loading...")</f>
        <v>Loading...</v>
      </c>
      <c r="J2282" s="7" t="str">
        <f ca="1">IFERROR(__xludf.DUMMYFUNCTION("GOOGLEFINANCE(""NSE:""&amp;D2282,""marketcap"")"),"#N/A")</f>
        <v>#N/A</v>
      </c>
      <c r="K2282" s="7">
        <v>992.8</v>
      </c>
      <c r="L2282" s="8" t="str">
        <f ca="1">IFERROR(__xludf.DUMMYFUNCTION("GOOGLEFINANCE(""NSE:""&amp;D2282,""price"")"),"#N/A")</f>
        <v>#N/A</v>
      </c>
      <c r="M2282" s="9" t="e">
        <f t="shared" ca="1" si="47"/>
        <v>#VALUE!</v>
      </c>
      <c r="N2282" s="10" t="e">
        <f t="shared" ca="1" si="48"/>
        <v>#VALUE!</v>
      </c>
      <c r="O2282" s="7" t="str">
        <f ca="1">IFERROR(__xludf.DUMMYFUNCTION("GOOGLEFINANCE(""NSE:""&amp;D2282,""pe"")"),"#N/A")</f>
        <v>#N/A</v>
      </c>
      <c r="P2282" s="7" t="str">
        <f ca="1">IFERROR(__xludf.DUMMYFUNCTION("GOOGLEFINANCE(""NSE:""&amp;D2282,""EPS"")"),"#N/A")</f>
        <v>#N/A</v>
      </c>
      <c r="Q2282" s="7">
        <v>13.5</v>
      </c>
      <c r="R2282" s="7" t="str">
        <f ca="1">IFERROR(__xludf.DUMMYFUNCTION("IMPORTXML(E2282,""/html/body/main/div[3]/div[3]/div[2]/ul/li[7]/span[2]/span"")"),"Loading...")</f>
        <v>Loading...</v>
      </c>
      <c r="S2282" s="7" t="str">
        <f ca="1">IFERROR(__xludf.DUMMYFUNCTION("IMPORTXML(E2282,""/html/body/main/div[3]/div[3]/div[2]/ul/li[8]/span[2]/span"")"),"Loading...")</f>
        <v>Loading...</v>
      </c>
      <c r="T2282" s="4">
        <v>34.6</v>
      </c>
      <c r="U2282" s="4">
        <v>22.7</v>
      </c>
      <c r="V2282" s="4">
        <v>2.6</v>
      </c>
      <c r="W2282" s="4">
        <v>5.7</v>
      </c>
      <c r="X2282" s="4">
        <v>519.92999999999995</v>
      </c>
      <c r="Y2282" s="7" t="e">
        <f t="shared" ca="1" si="49"/>
        <v>#VALUE!</v>
      </c>
    </row>
    <row r="2283" spans="1:25" ht="15" x14ac:dyDescent="0.25">
      <c r="A2283" s="4">
        <v>2161</v>
      </c>
      <c r="C2283" s="41" t="s">
        <v>4518</v>
      </c>
      <c r="D2283" s="42"/>
      <c r="E2283" s="5" t="str">
        <f t="shared" si="45"/>
        <v>https://www.screener.in/company//consolidated/</v>
      </c>
      <c r="F2283" s="4">
        <v>443059</v>
      </c>
      <c r="G2283" s="4">
        <v>3832241897</v>
      </c>
      <c r="H2283" s="6" t="e">
        <f t="shared" ca="1" si="46"/>
        <v>#VALUE!</v>
      </c>
      <c r="I2283" s="7" t="str">
        <f ca="1">IFERROR(__xludf.DUMMYFUNCTION("IMPORTXML(E2283,""/html/body/main/div[3]/div[3]/div[2]/ul/li[5]/span[2]/span"")"),"Loading...")</f>
        <v>Loading...</v>
      </c>
      <c r="J2283" s="7" t="str">
        <f ca="1">IFERROR(__xludf.DUMMYFUNCTION("GOOGLEFINANCE(""NSE:""&amp;D2283,""marketcap"")"),"#N/A")</f>
        <v>#N/A</v>
      </c>
      <c r="K2283" s="7">
        <v>992.8</v>
      </c>
      <c r="L2283" s="8" t="str">
        <f ca="1">IFERROR(__xludf.DUMMYFUNCTION("GOOGLEFINANCE(""NSE:""&amp;D2283,""price"")"),"#N/A")</f>
        <v>#N/A</v>
      </c>
      <c r="M2283" s="9" t="e">
        <f t="shared" ca="1" si="47"/>
        <v>#VALUE!</v>
      </c>
      <c r="N2283" s="10" t="e">
        <f t="shared" ca="1" si="48"/>
        <v>#VALUE!</v>
      </c>
      <c r="O2283" s="7" t="str">
        <f ca="1">IFERROR(__xludf.DUMMYFUNCTION("GOOGLEFINANCE(""NSE:""&amp;D2283,""pe"")"),"#N/A")</f>
        <v>#N/A</v>
      </c>
      <c r="P2283" s="7" t="str">
        <f ca="1">IFERROR(__xludf.DUMMYFUNCTION("GOOGLEFINANCE(""NSE:""&amp;D2283,""EPS"")"),"#N/A")</f>
        <v>#N/A</v>
      </c>
      <c r="Q2283" s="7">
        <v>13.5</v>
      </c>
      <c r="R2283" s="7" t="str">
        <f ca="1">IFERROR(__xludf.DUMMYFUNCTION("IMPORTXML(E2283,""/html/body/main/div[3]/div[3]/div[2]/ul/li[7]/span[2]/span"")"),"Loading...")</f>
        <v>Loading...</v>
      </c>
      <c r="S2283" s="7" t="str">
        <f ca="1">IFERROR(__xludf.DUMMYFUNCTION("IMPORTXML(E2283,""/html/body/main/div[3]/div[3]/div[2]/ul/li[8]/span[2]/span"")"),"Loading...")</f>
        <v>Loading...</v>
      </c>
      <c r="T2283" s="4">
        <v>34.6</v>
      </c>
      <c r="U2283" s="4">
        <v>22.7</v>
      </c>
      <c r="V2283" s="4">
        <v>2.6</v>
      </c>
      <c r="W2283" s="4">
        <v>5.7</v>
      </c>
      <c r="X2283" s="4">
        <v>519.92999999999995</v>
      </c>
      <c r="Y2283" s="7" t="e">
        <f t="shared" ca="1" si="49"/>
        <v>#VALUE!</v>
      </c>
    </row>
    <row r="2284" spans="1:25" ht="15" x14ac:dyDescent="0.25">
      <c r="A2284" s="4">
        <v>2162</v>
      </c>
      <c r="C2284" s="41" t="s">
        <v>4519</v>
      </c>
      <c r="D2284" s="42"/>
      <c r="E2284" s="5" t="str">
        <f t="shared" si="45"/>
        <v>https://www.screener.in/company//consolidated/</v>
      </c>
      <c r="F2284" s="4">
        <v>443059</v>
      </c>
      <c r="G2284" s="4">
        <v>3832241897</v>
      </c>
      <c r="H2284" s="6" t="e">
        <f t="shared" ca="1" si="46"/>
        <v>#VALUE!</v>
      </c>
      <c r="I2284" s="7" t="str">
        <f ca="1">IFERROR(__xludf.DUMMYFUNCTION("IMPORTXML(E2284,""/html/body/main/div[3]/div[3]/div[2]/ul/li[5]/span[2]/span"")"),"Loading...")</f>
        <v>Loading...</v>
      </c>
      <c r="J2284" s="7" t="str">
        <f ca="1">IFERROR(__xludf.DUMMYFUNCTION("GOOGLEFINANCE(""NSE:""&amp;D2284,""marketcap"")"),"#N/A")</f>
        <v>#N/A</v>
      </c>
      <c r="K2284" s="7">
        <v>992.8</v>
      </c>
      <c r="L2284" s="8" t="str">
        <f ca="1">IFERROR(__xludf.DUMMYFUNCTION("GOOGLEFINANCE(""NSE:""&amp;D2284,""price"")"),"#N/A")</f>
        <v>#N/A</v>
      </c>
      <c r="M2284" s="9" t="e">
        <f t="shared" ca="1" si="47"/>
        <v>#VALUE!</v>
      </c>
      <c r="N2284" s="10" t="e">
        <f t="shared" ca="1" si="48"/>
        <v>#VALUE!</v>
      </c>
      <c r="O2284" s="7" t="str">
        <f ca="1">IFERROR(__xludf.DUMMYFUNCTION("GOOGLEFINANCE(""NSE:""&amp;D2284,""pe"")"),"#N/A")</f>
        <v>#N/A</v>
      </c>
      <c r="P2284" s="7" t="str">
        <f ca="1">IFERROR(__xludf.DUMMYFUNCTION("GOOGLEFINANCE(""NSE:""&amp;D2284,""EPS"")"),"#N/A")</f>
        <v>#N/A</v>
      </c>
      <c r="Q2284" s="7">
        <v>13.5</v>
      </c>
      <c r="R2284" s="7" t="str">
        <f ca="1">IFERROR(__xludf.DUMMYFUNCTION("IMPORTXML(E2284,""/html/body/main/div[3]/div[3]/div[2]/ul/li[7]/span[2]/span"")"),"Loading...")</f>
        <v>Loading...</v>
      </c>
      <c r="S2284" s="7" t="str">
        <f ca="1">IFERROR(__xludf.DUMMYFUNCTION("IMPORTXML(E2284,""/html/body/main/div[3]/div[3]/div[2]/ul/li[8]/span[2]/span"")"),"Loading...")</f>
        <v>Loading...</v>
      </c>
      <c r="T2284" s="4">
        <v>34.6</v>
      </c>
      <c r="U2284" s="4">
        <v>22.7</v>
      </c>
      <c r="V2284" s="4">
        <v>2.6</v>
      </c>
      <c r="W2284" s="4">
        <v>5.7</v>
      </c>
      <c r="X2284" s="4">
        <v>519.92999999999995</v>
      </c>
      <c r="Y2284" s="7" t="e">
        <f t="shared" ca="1" si="49"/>
        <v>#VALUE!</v>
      </c>
    </row>
    <row r="2285" spans="1:25" ht="15" x14ac:dyDescent="0.25">
      <c r="A2285" s="4">
        <v>2163</v>
      </c>
      <c r="C2285" s="41" t="s">
        <v>4520</v>
      </c>
      <c r="D2285" s="42"/>
      <c r="E2285" s="5" t="str">
        <f t="shared" si="45"/>
        <v>https://www.screener.in/company//consolidated/</v>
      </c>
      <c r="F2285" s="4">
        <v>443059</v>
      </c>
      <c r="G2285" s="4">
        <v>3832241897</v>
      </c>
      <c r="H2285" s="6" t="e">
        <f t="shared" ca="1" si="46"/>
        <v>#VALUE!</v>
      </c>
      <c r="I2285" s="7" t="str">
        <f ca="1">IFERROR(__xludf.DUMMYFUNCTION("IMPORTXML(E2285,""/html/body/main/div[3]/div[3]/div[2]/ul/li[5]/span[2]/span"")"),"Loading...")</f>
        <v>Loading...</v>
      </c>
      <c r="J2285" s="7" t="str">
        <f ca="1">IFERROR(__xludf.DUMMYFUNCTION("GOOGLEFINANCE(""NSE:""&amp;D2285,""marketcap"")"),"#N/A")</f>
        <v>#N/A</v>
      </c>
      <c r="K2285" s="7">
        <v>992.8</v>
      </c>
      <c r="L2285" s="8" t="str">
        <f ca="1">IFERROR(__xludf.DUMMYFUNCTION("GOOGLEFINANCE(""NSE:""&amp;D2285,""price"")"),"#N/A")</f>
        <v>#N/A</v>
      </c>
      <c r="M2285" s="9" t="e">
        <f t="shared" ca="1" si="47"/>
        <v>#VALUE!</v>
      </c>
      <c r="N2285" s="10" t="e">
        <f t="shared" ca="1" si="48"/>
        <v>#VALUE!</v>
      </c>
      <c r="O2285" s="7" t="str">
        <f ca="1">IFERROR(__xludf.DUMMYFUNCTION("GOOGLEFINANCE(""NSE:""&amp;D2285,""pe"")"),"#N/A")</f>
        <v>#N/A</v>
      </c>
      <c r="P2285" s="7" t="str">
        <f ca="1">IFERROR(__xludf.DUMMYFUNCTION("GOOGLEFINANCE(""NSE:""&amp;D2285,""EPS"")"),"#N/A")</f>
        <v>#N/A</v>
      </c>
      <c r="Q2285" s="7">
        <v>13.5</v>
      </c>
      <c r="R2285" s="7" t="str">
        <f ca="1">IFERROR(__xludf.DUMMYFUNCTION("IMPORTXML(E2285,""/html/body/main/div[3]/div[3]/div[2]/ul/li[7]/span[2]/span"")"),"Loading...")</f>
        <v>Loading...</v>
      </c>
      <c r="S2285" s="7" t="str">
        <f ca="1">IFERROR(__xludf.DUMMYFUNCTION("IMPORTXML(E2285,""/html/body/main/div[3]/div[3]/div[2]/ul/li[8]/span[2]/span"")"),"Loading...")</f>
        <v>Loading...</v>
      </c>
      <c r="T2285" s="4">
        <v>34.6</v>
      </c>
      <c r="U2285" s="4">
        <v>22.7</v>
      </c>
      <c r="V2285" s="4">
        <v>2.6</v>
      </c>
      <c r="W2285" s="4">
        <v>5.7</v>
      </c>
      <c r="X2285" s="4">
        <v>519.92999999999995</v>
      </c>
      <c r="Y2285" s="7" t="e">
        <f t="shared" ca="1" si="49"/>
        <v>#VALUE!</v>
      </c>
    </row>
    <row r="2286" spans="1:25" ht="15" x14ac:dyDescent="0.25">
      <c r="A2286" s="4">
        <v>2164</v>
      </c>
      <c r="C2286" s="41" t="s">
        <v>4521</v>
      </c>
      <c r="D2286" s="42"/>
      <c r="E2286" s="5" t="str">
        <f t="shared" si="45"/>
        <v>https://www.screener.in/company//consolidated/</v>
      </c>
      <c r="F2286" s="4">
        <v>443059</v>
      </c>
      <c r="G2286" s="4">
        <v>3832241897</v>
      </c>
      <c r="H2286" s="6" t="e">
        <f t="shared" ca="1" si="46"/>
        <v>#VALUE!</v>
      </c>
      <c r="I2286" s="7" t="str">
        <f ca="1">IFERROR(__xludf.DUMMYFUNCTION("IMPORTXML(E2286,""/html/body/main/div[3]/div[3]/div[2]/ul/li[5]/span[2]/span"")"),"Loading...")</f>
        <v>Loading...</v>
      </c>
      <c r="J2286" s="7" t="str">
        <f ca="1">IFERROR(__xludf.DUMMYFUNCTION("GOOGLEFINANCE(""NSE:""&amp;D2286,""marketcap"")"),"#N/A")</f>
        <v>#N/A</v>
      </c>
      <c r="K2286" s="7">
        <v>992.8</v>
      </c>
      <c r="L2286" s="8" t="str">
        <f ca="1">IFERROR(__xludf.DUMMYFUNCTION("GOOGLEFINANCE(""NSE:""&amp;D2286,""price"")"),"#N/A")</f>
        <v>#N/A</v>
      </c>
      <c r="M2286" s="9" t="e">
        <f t="shared" ca="1" si="47"/>
        <v>#VALUE!</v>
      </c>
      <c r="N2286" s="10" t="e">
        <f t="shared" ca="1" si="48"/>
        <v>#VALUE!</v>
      </c>
      <c r="O2286" s="7" t="str">
        <f ca="1">IFERROR(__xludf.DUMMYFUNCTION("GOOGLEFINANCE(""NSE:""&amp;D2286,""pe"")"),"#N/A")</f>
        <v>#N/A</v>
      </c>
      <c r="P2286" s="7" t="str">
        <f ca="1">IFERROR(__xludf.DUMMYFUNCTION("GOOGLEFINANCE(""NSE:""&amp;D2286,""EPS"")"),"#N/A")</f>
        <v>#N/A</v>
      </c>
      <c r="Q2286" s="7">
        <v>13.5</v>
      </c>
      <c r="R2286" s="7" t="str">
        <f ca="1">IFERROR(__xludf.DUMMYFUNCTION("IMPORTXML(E2286,""/html/body/main/div[3]/div[3]/div[2]/ul/li[7]/span[2]/span"")"),"Loading...")</f>
        <v>Loading...</v>
      </c>
      <c r="S2286" s="7" t="str">
        <f ca="1">IFERROR(__xludf.DUMMYFUNCTION("IMPORTXML(E2286,""/html/body/main/div[3]/div[3]/div[2]/ul/li[8]/span[2]/span"")"),"Loading...")</f>
        <v>Loading...</v>
      </c>
      <c r="T2286" s="4">
        <v>34.6</v>
      </c>
      <c r="U2286" s="4">
        <v>22.7</v>
      </c>
      <c r="V2286" s="4">
        <v>2.6</v>
      </c>
      <c r="W2286" s="4">
        <v>5.7</v>
      </c>
      <c r="X2286" s="4">
        <v>519.92999999999995</v>
      </c>
      <c r="Y2286" s="7" t="e">
        <f t="shared" ca="1" si="49"/>
        <v>#VALUE!</v>
      </c>
    </row>
    <row r="2287" spans="1:25" ht="15" x14ac:dyDescent="0.25">
      <c r="A2287" s="4">
        <v>2165</v>
      </c>
      <c r="C2287" s="41" t="s">
        <v>4522</v>
      </c>
      <c r="D2287" s="42"/>
      <c r="E2287" s="5" t="str">
        <f t="shared" si="45"/>
        <v>https://www.screener.in/company//consolidated/</v>
      </c>
      <c r="F2287" s="4">
        <v>443059</v>
      </c>
      <c r="G2287" s="4">
        <v>3832241897</v>
      </c>
      <c r="H2287" s="6" t="e">
        <f t="shared" ca="1" si="46"/>
        <v>#VALUE!</v>
      </c>
      <c r="I2287" s="7" t="str">
        <f ca="1">IFERROR(__xludf.DUMMYFUNCTION("IMPORTXML(E2287,""/html/body/main/div[3]/div[3]/div[2]/ul/li[5]/span[2]/span"")"),"Loading...")</f>
        <v>Loading...</v>
      </c>
      <c r="J2287" s="7" t="str">
        <f ca="1">IFERROR(__xludf.DUMMYFUNCTION("GOOGLEFINANCE(""NSE:""&amp;D2287,""marketcap"")"),"#N/A")</f>
        <v>#N/A</v>
      </c>
      <c r="K2287" s="7">
        <v>992.8</v>
      </c>
      <c r="L2287" s="8" t="str">
        <f ca="1">IFERROR(__xludf.DUMMYFUNCTION("GOOGLEFINANCE(""NSE:""&amp;D2287,""price"")"),"#N/A")</f>
        <v>#N/A</v>
      </c>
      <c r="M2287" s="9" t="e">
        <f t="shared" ca="1" si="47"/>
        <v>#VALUE!</v>
      </c>
      <c r="N2287" s="10" t="e">
        <f t="shared" ca="1" si="48"/>
        <v>#VALUE!</v>
      </c>
      <c r="O2287" s="7" t="str">
        <f ca="1">IFERROR(__xludf.DUMMYFUNCTION("GOOGLEFINANCE(""NSE:""&amp;D2287,""pe"")"),"#N/A")</f>
        <v>#N/A</v>
      </c>
      <c r="P2287" s="7" t="str">
        <f ca="1">IFERROR(__xludf.DUMMYFUNCTION("GOOGLEFINANCE(""NSE:""&amp;D2287,""EPS"")"),"#N/A")</f>
        <v>#N/A</v>
      </c>
      <c r="Q2287" s="7">
        <v>13.5</v>
      </c>
      <c r="R2287" s="7" t="str">
        <f ca="1">IFERROR(__xludf.DUMMYFUNCTION("IMPORTXML(E2287,""/html/body/main/div[3]/div[3]/div[2]/ul/li[7]/span[2]/span"")"),"Loading...")</f>
        <v>Loading...</v>
      </c>
      <c r="S2287" s="7" t="str">
        <f ca="1">IFERROR(__xludf.DUMMYFUNCTION("IMPORTXML(E2287,""/html/body/main/div[3]/div[3]/div[2]/ul/li[8]/span[2]/span"")"),"Loading...")</f>
        <v>Loading...</v>
      </c>
      <c r="T2287" s="4">
        <v>34.6</v>
      </c>
      <c r="U2287" s="4">
        <v>22.7</v>
      </c>
      <c r="V2287" s="4">
        <v>2.6</v>
      </c>
      <c r="W2287" s="4">
        <v>5.7</v>
      </c>
      <c r="X2287" s="4">
        <v>519.92999999999995</v>
      </c>
      <c r="Y2287" s="7" t="e">
        <f t="shared" ca="1" si="49"/>
        <v>#VALUE!</v>
      </c>
    </row>
    <row r="2288" spans="1:25" ht="15" x14ac:dyDescent="0.25">
      <c r="A2288" s="4">
        <v>2166</v>
      </c>
      <c r="C2288" s="41" t="s">
        <v>4523</v>
      </c>
      <c r="D2288" s="42"/>
      <c r="E2288" s="5" t="str">
        <f t="shared" si="45"/>
        <v>https://www.screener.in/company//consolidated/</v>
      </c>
      <c r="F2288" s="4">
        <v>443059</v>
      </c>
      <c r="G2288" s="4">
        <v>3832241897</v>
      </c>
      <c r="H2288" s="6" t="e">
        <f t="shared" ca="1" si="46"/>
        <v>#VALUE!</v>
      </c>
      <c r="I2288" s="7" t="str">
        <f ca="1">IFERROR(__xludf.DUMMYFUNCTION("IMPORTXML(E2288,""/html/body/main/div[3]/div[3]/div[2]/ul/li[5]/span[2]/span"")"),"Loading...")</f>
        <v>Loading...</v>
      </c>
      <c r="J2288" s="7" t="str">
        <f ca="1">IFERROR(__xludf.DUMMYFUNCTION("GOOGLEFINANCE(""NSE:""&amp;D2288,""marketcap"")"),"#N/A")</f>
        <v>#N/A</v>
      </c>
      <c r="K2288" s="7">
        <v>992.8</v>
      </c>
      <c r="L2288" s="8" t="str">
        <f ca="1">IFERROR(__xludf.DUMMYFUNCTION("GOOGLEFINANCE(""NSE:""&amp;D2288,""price"")"),"#N/A")</f>
        <v>#N/A</v>
      </c>
      <c r="M2288" s="9" t="e">
        <f t="shared" ca="1" si="47"/>
        <v>#VALUE!</v>
      </c>
      <c r="N2288" s="10" t="e">
        <f t="shared" ca="1" si="48"/>
        <v>#VALUE!</v>
      </c>
      <c r="O2288" s="7" t="str">
        <f ca="1">IFERROR(__xludf.DUMMYFUNCTION("GOOGLEFINANCE(""NSE:""&amp;D2288,""pe"")"),"#N/A")</f>
        <v>#N/A</v>
      </c>
      <c r="P2288" s="7" t="str">
        <f ca="1">IFERROR(__xludf.DUMMYFUNCTION("GOOGLEFINANCE(""NSE:""&amp;D2288,""EPS"")"),"#N/A")</f>
        <v>#N/A</v>
      </c>
      <c r="Q2288" s="7">
        <v>13.5</v>
      </c>
      <c r="R2288" s="7" t="str">
        <f ca="1">IFERROR(__xludf.DUMMYFUNCTION("IMPORTXML(E2288,""/html/body/main/div[3]/div[3]/div[2]/ul/li[7]/span[2]/span"")"),"Loading...")</f>
        <v>Loading...</v>
      </c>
      <c r="S2288" s="7" t="str">
        <f ca="1">IFERROR(__xludf.DUMMYFUNCTION("IMPORTXML(E2288,""/html/body/main/div[3]/div[3]/div[2]/ul/li[8]/span[2]/span"")"),"Loading...")</f>
        <v>Loading...</v>
      </c>
      <c r="T2288" s="4">
        <v>34.6</v>
      </c>
      <c r="U2288" s="4">
        <v>22.7</v>
      </c>
      <c r="V2288" s="4">
        <v>2.6</v>
      </c>
      <c r="W2288" s="4">
        <v>5.7</v>
      </c>
      <c r="X2288" s="4">
        <v>519.92999999999995</v>
      </c>
      <c r="Y2288" s="7" t="e">
        <f t="shared" ca="1" si="49"/>
        <v>#VALUE!</v>
      </c>
    </row>
    <row r="2289" spans="1:25" ht="15" x14ac:dyDescent="0.25">
      <c r="A2289" s="4">
        <v>2167</v>
      </c>
      <c r="C2289" s="12" t="s">
        <v>4524</v>
      </c>
      <c r="D2289" s="12" t="s">
        <v>4525</v>
      </c>
      <c r="E2289" s="5" t="str">
        <f t="shared" si="45"/>
        <v>https://www.screener.in/company/EROSMEDIA/consolidated/</v>
      </c>
      <c r="F2289" s="4">
        <v>443059</v>
      </c>
      <c r="G2289" s="4">
        <v>3832241897</v>
      </c>
      <c r="H2289" s="6" t="e">
        <f t="shared" ca="1" si="46"/>
        <v>#VALUE!</v>
      </c>
      <c r="I2289" s="7" t="str">
        <f ca="1">IFERROR(__xludf.DUMMYFUNCTION("IMPORTXML(E2289,""/html/body/main/div[3]/div[3]/div[2]/ul/li[5]/span[2]/span"")"),"Loading...")</f>
        <v>Loading...</v>
      </c>
      <c r="J2289" s="7" t="str">
        <f ca="1">IFERROR(__xludf.DUMMYFUNCTION("GOOGLEFINANCE(""NSE:""&amp;D2289,""marketcap"")"),"#N/A")</f>
        <v>#N/A</v>
      </c>
      <c r="K2289" s="7">
        <v>992.8</v>
      </c>
      <c r="L2289" s="8" t="str">
        <f ca="1">IFERROR(__xludf.DUMMYFUNCTION("GOOGLEFINANCE(""NSE:""&amp;D2289,""price"")"),"#N/A")</f>
        <v>#N/A</v>
      </c>
      <c r="M2289" s="9" t="e">
        <f t="shared" ca="1" si="47"/>
        <v>#VALUE!</v>
      </c>
      <c r="N2289" s="10" t="e">
        <f t="shared" ca="1" si="48"/>
        <v>#VALUE!</v>
      </c>
      <c r="O2289" s="7" t="str">
        <f ca="1">IFERROR(__xludf.DUMMYFUNCTION("GOOGLEFINANCE(""NSE:""&amp;D2289,""pe"")"),"#N/A")</f>
        <v>#N/A</v>
      </c>
      <c r="P2289" s="7" t="str">
        <f ca="1">IFERROR(__xludf.DUMMYFUNCTION("GOOGLEFINANCE(""NSE:""&amp;D2289,""EPS"")"),"#N/A")</f>
        <v>#N/A</v>
      </c>
      <c r="Q2289" s="7">
        <v>13.5</v>
      </c>
      <c r="R2289" s="7" t="str">
        <f ca="1">IFERROR(__xludf.DUMMYFUNCTION("IMPORTXML(E2289,""/html/body/main/div[3]/div[3]/div[2]/ul/li[7]/span[2]/span"")"),"Loading...")</f>
        <v>Loading...</v>
      </c>
      <c r="S2289" s="7" t="str">
        <f ca="1">IFERROR(__xludf.DUMMYFUNCTION("IMPORTXML(E2289,""/html/body/main/div[3]/div[3]/div[2]/ul/li[8]/span[2]/span"")"),"Loading...")</f>
        <v>Loading...</v>
      </c>
      <c r="T2289" s="4">
        <v>34.6</v>
      </c>
      <c r="U2289" s="4">
        <v>22.7</v>
      </c>
      <c r="V2289" s="4">
        <v>2.6</v>
      </c>
      <c r="W2289" s="4">
        <v>5.7</v>
      </c>
      <c r="X2289" s="4">
        <v>519.92999999999995</v>
      </c>
      <c r="Y2289" s="7" t="e">
        <f t="shared" ca="1" si="49"/>
        <v>#VALUE!</v>
      </c>
    </row>
    <row r="2290" spans="1:25" ht="15" x14ac:dyDescent="0.25">
      <c r="A2290" s="4">
        <v>2168</v>
      </c>
      <c r="C2290" s="12" t="s">
        <v>4526</v>
      </c>
      <c r="D2290" s="12" t="s">
        <v>4527</v>
      </c>
      <c r="E2290" s="5" t="str">
        <f t="shared" si="45"/>
        <v>https://www.screener.in/company/REGENCERAM/consolidated/</v>
      </c>
      <c r="F2290" s="4">
        <v>443059</v>
      </c>
      <c r="G2290" s="4">
        <v>3832241897</v>
      </c>
      <c r="H2290" s="6">
        <f t="shared" ca="1" si="46"/>
        <v>17459.694082732</v>
      </c>
      <c r="I2290" s="7" t="str">
        <f ca="1">IFERROR(__xludf.DUMMYFUNCTION("IMPORTXML(E2290,""/html/body/main/div[3]/div[3]/div[2]/ul/li[5]/span[2]/span"")"),"Loading...")</f>
        <v>Loading...</v>
      </c>
      <c r="J2290" s="7">
        <f ca="1">IFERROR(__xludf.DUMMYFUNCTION("GOOGLEFINANCE(""NSE:""&amp;D2290,""marketcap"")"),1238788000)</f>
        <v>1238788000</v>
      </c>
      <c r="K2290" s="7">
        <v>992.8</v>
      </c>
      <c r="L2290" s="8">
        <f ca="1">IFERROR(__xludf.DUMMYFUNCTION("GOOGLEFINANCE(""NSE:""&amp;D2290,""price"")"),45.56)</f>
        <v>45.56</v>
      </c>
      <c r="M2290" s="9">
        <f t="shared" ca="1" si="47"/>
        <v>-947.24</v>
      </c>
      <c r="N2290" s="10">
        <f t="shared" ca="1" si="48"/>
        <v>-95.410958904109606</v>
      </c>
      <c r="O2290" s="7">
        <f ca="1">IFERROR(__xludf.DUMMYFUNCTION("GOOGLEFINANCE(""NSE:""&amp;D2290,""pe"")"),38.94)</f>
        <v>38.94</v>
      </c>
      <c r="P2290" s="7">
        <f ca="1">IFERROR(__xludf.DUMMYFUNCTION("GOOGLEFINANCE(""NSE:""&amp;D2290,""EPS"")"),1.17)</f>
        <v>1.17</v>
      </c>
      <c r="Q2290" s="7">
        <v>13.5</v>
      </c>
      <c r="R2290" s="7" t="str">
        <f ca="1">IFERROR(__xludf.DUMMYFUNCTION("IMPORTXML(E2290,""/html/body/main/div[3]/div[3]/div[2]/ul/li[7]/span[2]/span"")"),"Loading...")</f>
        <v>Loading...</v>
      </c>
      <c r="S2290" s="7" t="str">
        <f ca="1">IFERROR(__xludf.DUMMYFUNCTION("IMPORTXML(E2290,""/html/body/main/div[3]/div[3]/div[2]/ul/li[8]/span[2]/span"")"),"Loading...")</f>
        <v>Loading...</v>
      </c>
      <c r="T2290" s="4">
        <v>34.6</v>
      </c>
      <c r="U2290" s="4">
        <v>22.7</v>
      </c>
      <c r="V2290" s="4">
        <v>2.6</v>
      </c>
      <c r="W2290" s="4">
        <v>5.7</v>
      </c>
      <c r="X2290" s="4">
        <v>519.92999999999995</v>
      </c>
      <c r="Y2290" s="7">
        <f t="shared" ca="1" si="49"/>
        <v>-474.36999999999995</v>
      </c>
    </row>
    <row r="2291" spans="1:25" ht="15" x14ac:dyDescent="0.25">
      <c r="A2291" s="4">
        <v>2169</v>
      </c>
      <c r="C2291" s="41" t="s">
        <v>4528</v>
      </c>
      <c r="D2291" s="42"/>
      <c r="E2291" s="5" t="str">
        <f t="shared" si="45"/>
        <v>https://www.screener.in/company//consolidated/</v>
      </c>
      <c r="F2291" s="4">
        <v>443059</v>
      </c>
      <c r="G2291" s="4">
        <v>3832241897</v>
      </c>
      <c r="H2291" s="6" t="e">
        <f t="shared" ca="1" si="46"/>
        <v>#VALUE!</v>
      </c>
      <c r="I2291" s="7" t="str">
        <f ca="1">IFERROR(__xludf.DUMMYFUNCTION("IMPORTXML(E2291,""/html/body/main/div[3]/div[3]/div[2]/ul/li[5]/span[2]/span"")"),"Loading...")</f>
        <v>Loading...</v>
      </c>
      <c r="J2291" s="7" t="str">
        <f ca="1">IFERROR(__xludf.DUMMYFUNCTION("GOOGLEFINANCE(""NSE:""&amp;D2291,""marketcap"")"),"#N/A")</f>
        <v>#N/A</v>
      </c>
      <c r="K2291" s="7">
        <v>992.8</v>
      </c>
      <c r="L2291" s="8" t="str">
        <f ca="1">IFERROR(__xludf.DUMMYFUNCTION("GOOGLEFINANCE(""NSE:""&amp;D2291,""price"")"),"#N/A")</f>
        <v>#N/A</v>
      </c>
      <c r="M2291" s="9" t="e">
        <f t="shared" ca="1" si="47"/>
        <v>#VALUE!</v>
      </c>
      <c r="N2291" s="10" t="e">
        <f t="shared" ca="1" si="48"/>
        <v>#VALUE!</v>
      </c>
      <c r="O2291" s="7" t="str">
        <f ca="1">IFERROR(__xludf.DUMMYFUNCTION("GOOGLEFINANCE(""NSE:""&amp;D2291,""pe"")"),"#N/A")</f>
        <v>#N/A</v>
      </c>
      <c r="P2291" s="7" t="str">
        <f ca="1">IFERROR(__xludf.DUMMYFUNCTION("GOOGLEFINANCE(""NSE:""&amp;D2291,""EPS"")"),"#N/A")</f>
        <v>#N/A</v>
      </c>
      <c r="Q2291" s="7">
        <v>13.5</v>
      </c>
      <c r="R2291" s="7" t="str">
        <f ca="1">IFERROR(__xludf.DUMMYFUNCTION("IMPORTXML(E2291,""/html/body/main/div[3]/div[3]/div[2]/ul/li[7]/span[2]/span"")"),"Loading...")</f>
        <v>Loading...</v>
      </c>
      <c r="S2291" s="7" t="str">
        <f ca="1">IFERROR(__xludf.DUMMYFUNCTION("IMPORTXML(E2291,""/html/body/main/div[3]/div[3]/div[2]/ul/li[8]/span[2]/span"")"),"Loading...")</f>
        <v>Loading...</v>
      </c>
      <c r="T2291" s="4">
        <v>34.6</v>
      </c>
      <c r="U2291" s="4">
        <v>22.7</v>
      </c>
      <c r="V2291" s="4">
        <v>2.6</v>
      </c>
      <c r="W2291" s="4">
        <v>5.7</v>
      </c>
      <c r="X2291" s="4">
        <v>519.92999999999995</v>
      </c>
      <c r="Y2291" s="7" t="e">
        <f t="shared" ca="1" si="49"/>
        <v>#VALUE!</v>
      </c>
    </row>
    <row r="2292" spans="1:25" ht="15" x14ac:dyDescent="0.25">
      <c r="A2292" s="4">
        <v>2170</v>
      </c>
      <c r="C2292" s="41" t="s">
        <v>4529</v>
      </c>
      <c r="D2292" s="42"/>
      <c r="E2292" s="5" t="str">
        <f t="shared" si="45"/>
        <v>https://www.screener.in/company//consolidated/</v>
      </c>
      <c r="F2292" s="4">
        <v>443059</v>
      </c>
      <c r="G2292" s="4">
        <v>3832241897</v>
      </c>
      <c r="H2292" s="6" t="e">
        <f t="shared" ca="1" si="46"/>
        <v>#VALUE!</v>
      </c>
      <c r="I2292" s="7" t="str">
        <f ca="1">IFERROR(__xludf.DUMMYFUNCTION("IMPORTXML(E2292,""/html/body/main/div[3]/div[3]/div[2]/ul/li[5]/span[2]/span"")"),"Loading...")</f>
        <v>Loading...</v>
      </c>
      <c r="J2292" s="7" t="str">
        <f ca="1">IFERROR(__xludf.DUMMYFUNCTION("GOOGLEFINANCE(""NSE:""&amp;D2292,""marketcap"")"),"#N/A")</f>
        <v>#N/A</v>
      </c>
      <c r="K2292" s="7">
        <v>992.8</v>
      </c>
      <c r="L2292" s="8" t="str">
        <f ca="1">IFERROR(__xludf.DUMMYFUNCTION("GOOGLEFINANCE(""NSE:""&amp;D2292,""price"")"),"#N/A")</f>
        <v>#N/A</v>
      </c>
      <c r="M2292" s="9" t="e">
        <f t="shared" ca="1" si="47"/>
        <v>#VALUE!</v>
      </c>
      <c r="N2292" s="10" t="e">
        <f t="shared" ca="1" si="48"/>
        <v>#VALUE!</v>
      </c>
      <c r="O2292" s="7" t="str">
        <f ca="1">IFERROR(__xludf.DUMMYFUNCTION("GOOGLEFINANCE(""NSE:""&amp;D2292,""pe"")"),"#N/A")</f>
        <v>#N/A</v>
      </c>
      <c r="P2292" s="7" t="str">
        <f ca="1">IFERROR(__xludf.DUMMYFUNCTION("GOOGLEFINANCE(""NSE:""&amp;D2292,""EPS"")"),"#N/A")</f>
        <v>#N/A</v>
      </c>
      <c r="Q2292" s="7">
        <v>13.5</v>
      </c>
      <c r="R2292" s="7" t="str">
        <f ca="1">IFERROR(__xludf.DUMMYFUNCTION("IMPORTXML(E2292,""/html/body/main/div[3]/div[3]/div[2]/ul/li[7]/span[2]/span"")"),"Loading...")</f>
        <v>Loading...</v>
      </c>
      <c r="S2292" s="7" t="str">
        <f ca="1">IFERROR(__xludf.DUMMYFUNCTION("IMPORTXML(E2292,""/html/body/main/div[3]/div[3]/div[2]/ul/li[8]/span[2]/span"")"),"Loading...")</f>
        <v>Loading...</v>
      </c>
      <c r="T2292" s="4">
        <v>34.6</v>
      </c>
      <c r="U2292" s="4">
        <v>22.7</v>
      </c>
      <c r="V2292" s="4">
        <v>2.6</v>
      </c>
      <c r="W2292" s="4">
        <v>5.7</v>
      </c>
      <c r="X2292" s="4">
        <v>519.92999999999995</v>
      </c>
      <c r="Y2292" s="7" t="e">
        <f t="shared" ca="1" si="49"/>
        <v>#VALUE!</v>
      </c>
    </row>
    <row r="2293" spans="1:25" ht="15" x14ac:dyDescent="0.25">
      <c r="A2293" s="4">
        <v>2171</v>
      </c>
      <c r="C2293" s="41" t="s">
        <v>4530</v>
      </c>
      <c r="D2293" s="42"/>
      <c r="E2293" s="5" t="str">
        <f t="shared" si="45"/>
        <v>https://www.screener.in/company//consolidated/</v>
      </c>
      <c r="F2293" s="4">
        <v>443059</v>
      </c>
      <c r="G2293" s="4">
        <v>3832241897</v>
      </c>
      <c r="H2293" s="6" t="e">
        <f t="shared" ca="1" si="46"/>
        <v>#VALUE!</v>
      </c>
      <c r="I2293" s="7" t="str">
        <f ca="1">IFERROR(__xludf.DUMMYFUNCTION("IMPORTXML(E2293,""/html/body/main/div[3]/div[3]/div[2]/ul/li[5]/span[2]/span"")"),"Loading...")</f>
        <v>Loading...</v>
      </c>
      <c r="J2293" s="7" t="str">
        <f ca="1">IFERROR(__xludf.DUMMYFUNCTION("GOOGLEFINANCE(""NSE:""&amp;D2293,""marketcap"")"),"#N/A")</f>
        <v>#N/A</v>
      </c>
      <c r="K2293" s="7">
        <v>992.8</v>
      </c>
      <c r="L2293" s="8" t="str">
        <f ca="1">IFERROR(__xludf.DUMMYFUNCTION("GOOGLEFINANCE(""NSE:""&amp;D2293,""price"")"),"#N/A")</f>
        <v>#N/A</v>
      </c>
      <c r="M2293" s="9" t="e">
        <f t="shared" ca="1" si="47"/>
        <v>#VALUE!</v>
      </c>
      <c r="N2293" s="10" t="e">
        <f t="shared" ca="1" si="48"/>
        <v>#VALUE!</v>
      </c>
      <c r="O2293" s="7" t="str">
        <f ca="1">IFERROR(__xludf.DUMMYFUNCTION("GOOGLEFINANCE(""NSE:""&amp;D2293,""pe"")"),"#N/A")</f>
        <v>#N/A</v>
      </c>
      <c r="P2293" s="7" t="str">
        <f ca="1">IFERROR(__xludf.DUMMYFUNCTION("GOOGLEFINANCE(""NSE:""&amp;D2293,""EPS"")"),"#N/A")</f>
        <v>#N/A</v>
      </c>
      <c r="Q2293" s="7">
        <v>13.5</v>
      </c>
      <c r="R2293" s="7" t="str">
        <f ca="1">IFERROR(__xludf.DUMMYFUNCTION("IMPORTXML(E2293,""/html/body/main/div[3]/div[3]/div[2]/ul/li[7]/span[2]/span"")"),"Loading...")</f>
        <v>Loading...</v>
      </c>
      <c r="S2293" s="7" t="str">
        <f ca="1">IFERROR(__xludf.DUMMYFUNCTION("IMPORTXML(E2293,""/html/body/main/div[3]/div[3]/div[2]/ul/li[8]/span[2]/span"")"),"Loading...")</f>
        <v>Loading...</v>
      </c>
      <c r="T2293" s="4">
        <v>34.6</v>
      </c>
      <c r="U2293" s="4">
        <v>22.7</v>
      </c>
      <c r="V2293" s="4">
        <v>2.6</v>
      </c>
      <c r="W2293" s="4">
        <v>5.7</v>
      </c>
      <c r="X2293" s="4">
        <v>519.92999999999995</v>
      </c>
      <c r="Y2293" s="7" t="e">
        <f t="shared" ca="1" si="49"/>
        <v>#VALUE!</v>
      </c>
    </row>
    <row r="2294" spans="1:25" ht="15" x14ac:dyDescent="0.25">
      <c r="A2294" s="4">
        <v>2172</v>
      </c>
      <c r="C2294" s="41" t="s">
        <v>4531</v>
      </c>
      <c r="D2294" s="42"/>
      <c r="E2294" s="5" t="str">
        <f t="shared" si="45"/>
        <v>https://www.screener.in/company//consolidated/</v>
      </c>
      <c r="F2294" s="4">
        <v>443059</v>
      </c>
      <c r="G2294" s="4">
        <v>3832241897</v>
      </c>
      <c r="H2294" s="6" t="e">
        <f t="shared" ca="1" si="46"/>
        <v>#VALUE!</v>
      </c>
      <c r="I2294" s="7" t="str">
        <f ca="1">IFERROR(__xludf.DUMMYFUNCTION("IMPORTXML(E2294,""/html/body/main/div[3]/div[3]/div[2]/ul/li[5]/span[2]/span"")"),"Loading...")</f>
        <v>Loading...</v>
      </c>
      <c r="J2294" s="7" t="str">
        <f ca="1">IFERROR(__xludf.DUMMYFUNCTION("GOOGLEFINANCE(""NSE:""&amp;D2294,""marketcap"")"),"#N/A")</f>
        <v>#N/A</v>
      </c>
      <c r="K2294" s="7">
        <v>992.8</v>
      </c>
      <c r="L2294" s="8" t="str">
        <f ca="1">IFERROR(__xludf.DUMMYFUNCTION("GOOGLEFINANCE(""NSE:""&amp;D2294,""price"")"),"#N/A")</f>
        <v>#N/A</v>
      </c>
      <c r="M2294" s="9" t="e">
        <f t="shared" ca="1" si="47"/>
        <v>#VALUE!</v>
      </c>
      <c r="N2294" s="10" t="e">
        <f t="shared" ca="1" si="48"/>
        <v>#VALUE!</v>
      </c>
      <c r="O2294" s="7" t="str">
        <f ca="1">IFERROR(__xludf.DUMMYFUNCTION("GOOGLEFINANCE(""NSE:""&amp;D2294,""pe"")"),"#N/A")</f>
        <v>#N/A</v>
      </c>
      <c r="P2294" s="7" t="str">
        <f ca="1">IFERROR(__xludf.DUMMYFUNCTION("GOOGLEFINANCE(""NSE:""&amp;D2294,""EPS"")"),"#N/A")</f>
        <v>#N/A</v>
      </c>
      <c r="Q2294" s="7">
        <v>13.5</v>
      </c>
      <c r="R2294" s="7" t="str">
        <f ca="1">IFERROR(__xludf.DUMMYFUNCTION("IMPORTXML(E2294,""/html/body/main/div[3]/div[3]/div[2]/ul/li[7]/span[2]/span"")"),"Loading...")</f>
        <v>Loading...</v>
      </c>
      <c r="S2294" s="7" t="str">
        <f ca="1">IFERROR(__xludf.DUMMYFUNCTION("IMPORTXML(E2294,""/html/body/main/div[3]/div[3]/div[2]/ul/li[8]/span[2]/span"")"),"Loading...")</f>
        <v>Loading...</v>
      </c>
      <c r="T2294" s="4">
        <v>34.6</v>
      </c>
      <c r="U2294" s="4">
        <v>22.7</v>
      </c>
      <c r="V2294" s="4">
        <v>2.6</v>
      </c>
      <c r="W2294" s="4">
        <v>5.7</v>
      </c>
      <c r="X2294" s="4">
        <v>519.92999999999995</v>
      </c>
      <c r="Y2294" s="7" t="e">
        <f t="shared" ca="1" si="49"/>
        <v>#VALUE!</v>
      </c>
    </row>
    <row r="2295" spans="1:25" ht="15" x14ac:dyDescent="0.25">
      <c r="A2295" s="4">
        <v>2174</v>
      </c>
      <c r="C2295" s="41" t="s">
        <v>4532</v>
      </c>
      <c r="D2295" s="42"/>
      <c r="E2295" s="5" t="str">
        <f t="shared" si="45"/>
        <v>https://www.screener.in/company//consolidated/</v>
      </c>
      <c r="F2295" s="4">
        <v>443059</v>
      </c>
      <c r="G2295" s="4">
        <v>3832241897</v>
      </c>
      <c r="H2295" s="6" t="e">
        <f t="shared" ca="1" si="46"/>
        <v>#VALUE!</v>
      </c>
      <c r="I2295" s="7" t="str">
        <f ca="1">IFERROR(__xludf.DUMMYFUNCTION("IMPORTXML(E2295,""/html/body/main/div[3]/div[3]/div[2]/ul/li[5]/span[2]/span"")"),"Loading...")</f>
        <v>Loading...</v>
      </c>
      <c r="J2295" s="7" t="str">
        <f ca="1">IFERROR(__xludf.DUMMYFUNCTION("GOOGLEFINANCE(""NSE:""&amp;D2295,""marketcap"")"),"#N/A")</f>
        <v>#N/A</v>
      </c>
      <c r="K2295" s="7">
        <v>992.8</v>
      </c>
      <c r="L2295" s="8" t="str">
        <f ca="1">IFERROR(__xludf.DUMMYFUNCTION("GOOGLEFINANCE(""NSE:""&amp;D2295,""price"")"),"#N/A")</f>
        <v>#N/A</v>
      </c>
      <c r="M2295" s="9" t="e">
        <f t="shared" ca="1" si="47"/>
        <v>#VALUE!</v>
      </c>
      <c r="N2295" s="10" t="e">
        <f t="shared" ca="1" si="48"/>
        <v>#VALUE!</v>
      </c>
      <c r="O2295" s="7" t="str">
        <f ca="1">IFERROR(__xludf.DUMMYFUNCTION("GOOGLEFINANCE(""NSE:""&amp;D2295,""pe"")"),"#N/A")</f>
        <v>#N/A</v>
      </c>
      <c r="P2295" s="7" t="str">
        <f ca="1">IFERROR(__xludf.DUMMYFUNCTION("GOOGLEFINANCE(""NSE:""&amp;D2295,""EPS"")"),"#N/A")</f>
        <v>#N/A</v>
      </c>
      <c r="Q2295" s="7">
        <v>13.5</v>
      </c>
      <c r="R2295" s="7" t="str">
        <f ca="1">IFERROR(__xludf.DUMMYFUNCTION("IMPORTXML(E2295,""/html/body/main/div[3]/div[3]/div[2]/ul/li[7]/span[2]/span"")"),"Loading...")</f>
        <v>Loading...</v>
      </c>
      <c r="S2295" s="7" t="str">
        <f ca="1">IFERROR(__xludf.DUMMYFUNCTION("IMPORTXML(E2295,""/html/body/main/div[3]/div[3]/div[2]/ul/li[8]/span[2]/span"")"),"Loading...")</f>
        <v>Loading...</v>
      </c>
      <c r="T2295" s="4">
        <v>34.6</v>
      </c>
      <c r="U2295" s="4">
        <v>22.7</v>
      </c>
      <c r="V2295" s="4">
        <v>2.6</v>
      </c>
      <c r="W2295" s="4">
        <v>5.7</v>
      </c>
      <c r="X2295" s="4">
        <v>519.92999999999995</v>
      </c>
      <c r="Y2295" s="7" t="e">
        <f t="shared" ca="1" si="49"/>
        <v>#VALUE!</v>
      </c>
    </row>
    <row r="2296" spans="1:25" ht="15" x14ac:dyDescent="0.25">
      <c r="A2296" s="4">
        <v>2177</v>
      </c>
      <c r="C2296" s="41" t="s">
        <v>4533</v>
      </c>
      <c r="D2296" s="42"/>
      <c r="E2296" s="5" t="str">
        <f t="shared" si="45"/>
        <v>https://www.screener.in/company//consolidated/</v>
      </c>
      <c r="F2296" s="4">
        <v>443059</v>
      </c>
      <c r="G2296" s="4">
        <v>3832241897</v>
      </c>
      <c r="H2296" s="6" t="e">
        <f t="shared" ca="1" si="46"/>
        <v>#VALUE!</v>
      </c>
      <c r="I2296" s="7" t="str">
        <f ca="1">IFERROR(__xludf.DUMMYFUNCTION("IMPORTXML(E2296,""/html/body/main/div[3]/div[3]/div[2]/ul/li[5]/span[2]/span"")"),"Loading...")</f>
        <v>Loading...</v>
      </c>
      <c r="J2296" s="7" t="str">
        <f ca="1">IFERROR(__xludf.DUMMYFUNCTION("GOOGLEFINANCE(""NSE:""&amp;D2296,""marketcap"")"),"#N/A")</f>
        <v>#N/A</v>
      </c>
      <c r="K2296" s="7">
        <v>992.8</v>
      </c>
      <c r="L2296" s="8" t="str">
        <f ca="1">IFERROR(__xludf.DUMMYFUNCTION("GOOGLEFINANCE(""NSE:""&amp;D2296,""price"")"),"#N/A")</f>
        <v>#N/A</v>
      </c>
      <c r="M2296" s="9" t="e">
        <f t="shared" ca="1" si="47"/>
        <v>#VALUE!</v>
      </c>
      <c r="N2296" s="10" t="e">
        <f t="shared" ca="1" si="48"/>
        <v>#VALUE!</v>
      </c>
      <c r="O2296" s="7" t="str">
        <f ca="1">IFERROR(__xludf.DUMMYFUNCTION("GOOGLEFINANCE(""NSE:""&amp;D2296,""pe"")"),"#N/A")</f>
        <v>#N/A</v>
      </c>
      <c r="P2296" s="7" t="str">
        <f ca="1">IFERROR(__xludf.DUMMYFUNCTION("GOOGLEFINANCE(""NSE:""&amp;D2296,""EPS"")"),"#N/A")</f>
        <v>#N/A</v>
      </c>
      <c r="Q2296" s="7">
        <v>13.5</v>
      </c>
      <c r="R2296" s="7" t="str">
        <f ca="1">IFERROR(__xludf.DUMMYFUNCTION("IMPORTXML(E2296,""/html/body/main/div[3]/div[3]/div[2]/ul/li[7]/span[2]/span"")"),"Loading...")</f>
        <v>Loading...</v>
      </c>
      <c r="S2296" s="7" t="str">
        <f ca="1">IFERROR(__xludf.DUMMYFUNCTION("IMPORTXML(E2296,""/html/body/main/div[3]/div[3]/div[2]/ul/li[8]/span[2]/span"")"),"Loading...")</f>
        <v>Loading...</v>
      </c>
      <c r="T2296" s="4">
        <v>34.6</v>
      </c>
      <c r="U2296" s="4">
        <v>22.7</v>
      </c>
      <c r="V2296" s="4">
        <v>2.6</v>
      </c>
      <c r="W2296" s="4">
        <v>5.7</v>
      </c>
      <c r="X2296" s="4">
        <v>519.92999999999995</v>
      </c>
      <c r="Y2296" s="7" t="e">
        <f t="shared" ca="1" si="49"/>
        <v>#VALUE!</v>
      </c>
    </row>
    <row r="2297" spans="1:25" ht="15" x14ac:dyDescent="0.25">
      <c r="A2297" s="4">
        <v>2179</v>
      </c>
      <c r="C2297" s="41" t="s">
        <v>4534</v>
      </c>
      <c r="D2297" s="42"/>
      <c r="E2297" s="5" t="str">
        <f t="shared" si="45"/>
        <v>https://www.screener.in/company//consolidated/</v>
      </c>
      <c r="F2297" s="4">
        <v>443059</v>
      </c>
      <c r="G2297" s="4">
        <v>3832241897</v>
      </c>
      <c r="H2297" s="6" t="e">
        <f t="shared" ca="1" si="46"/>
        <v>#VALUE!</v>
      </c>
      <c r="I2297" s="7" t="str">
        <f ca="1">IFERROR(__xludf.DUMMYFUNCTION("IMPORTXML(E2297,""/html/body/main/div[3]/div[3]/div[2]/ul/li[5]/span[2]/span"")"),"Loading...")</f>
        <v>Loading...</v>
      </c>
      <c r="J2297" s="7" t="str">
        <f ca="1">IFERROR(__xludf.DUMMYFUNCTION("GOOGLEFINANCE(""NSE:""&amp;D2297,""marketcap"")"),"#N/A")</f>
        <v>#N/A</v>
      </c>
      <c r="K2297" s="7">
        <v>992.8</v>
      </c>
      <c r="L2297" s="8" t="str">
        <f ca="1">IFERROR(__xludf.DUMMYFUNCTION("GOOGLEFINANCE(""NSE:""&amp;D2297,""price"")"),"#N/A")</f>
        <v>#N/A</v>
      </c>
      <c r="M2297" s="9" t="e">
        <f t="shared" ca="1" si="47"/>
        <v>#VALUE!</v>
      </c>
      <c r="N2297" s="10" t="e">
        <f t="shared" ca="1" si="48"/>
        <v>#VALUE!</v>
      </c>
      <c r="O2297" s="7" t="str">
        <f ca="1">IFERROR(__xludf.DUMMYFUNCTION("GOOGLEFINANCE(""NSE:""&amp;D2297,""pe"")"),"#N/A")</f>
        <v>#N/A</v>
      </c>
      <c r="P2297" s="7" t="str">
        <f ca="1">IFERROR(__xludf.DUMMYFUNCTION("GOOGLEFINANCE(""NSE:""&amp;D2297,""EPS"")"),"#N/A")</f>
        <v>#N/A</v>
      </c>
      <c r="Q2297" s="7">
        <v>13.5</v>
      </c>
      <c r="R2297" s="7" t="str">
        <f ca="1">IFERROR(__xludf.DUMMYFUNCTION("IMPORTXML(E2297,""/html/body/main/div[3]/div[3]/div[2]/ul/li[7]/span[2]/span"")"),"Loading...")</f>
        <v>Loading...</v>
      </c>
      <c r="S2297" s="7" t="str">
        <f ca="1">IFERROR(__xludf.DUMMYFUNCTION("IMPORTXML(E2297,""/html/body/main/div[3]/div[3]/div[2]/ul/li[8]/span[2]/span"")"),"Loading...")</f>
        <v>Loading...</v>
      </c>
      <c r="T2297" s="4">
        <v>34.6</v>
      </c>
      <c r="U2297" s="4">
        <v>22.7</v>
      </c>
      <c r="V2297" s="4">
        <v>2.6</v>
      </c>
      <c r="W2297" s="4">
        <v>5.7</v>
      </c>
      <c r="X2297" s="4">
        <v>519.92999999999995</v>
      </c>
      <c r="Y2297" s="7" t="e">
        <f t="shared" ca="1" si="49"/>
        <v>#VALUE!</v>
      </c>
    </row>
    <row r="2298" spans="1:25" ht="15" x14ac:dyDescent="0.25">
      <c r="A2298" s="4">
        <v>2181</v>
      </c>
      <c r="C2298" s="41" t="s">
        <v>4535</v>
      </c>
      <c r="D2298" s="42"/>
      <c r="E2298" s="5" t="str">
        <f t="shared" si="45"/>
        <v>https://www.screener.in/company//consolidated/</v>
      </c>
      <c r="F2298" s="4">
        <v>443059</v>
      </c>
      <c r="G2298" s="4">
        <v>3832241897</v>
      </c>
      <c r="H2298" s="6" t="e">
        <f t="shared" ca="1" si="46"/>
        <v>#VALUE!</v>
      </c>
      <c r="I2298" s="7" t="str">
        <f ca="1">IFERROR(__xludf.DUMMYFUNCTION("IMPORTXML(E2298,""/html/body/main/div[3]/div[3]/div[2]/ul/li[5]/span[2]/span"")"),"Loading...")</f>
        <v>Loading...</v>
      </c>
      <c r="J2298" s="7" t="str">
        <f ca="1">IFERROR(__xludf.DUMMYFUNCTION("GOOGLEFINANCE(""NSE:""&amp;D2298,""marketcap"")"),"#N/A")</f>
        <v>#N/A</v>
      </c>
      <c r="K2298" s="7">
        <v>992.8</v>
      </c>
      <c r="L2298" s="8" t="str">
        <f ca="1">IFERROR(__xludf.DUMMYFUNCTION("GOOGLEFINANCE(""NSE:""&amp;D2298,""price"")"),"#N/A")</f>
        <v>#N/A</v>
      </c>
      <c r="M2298" s="9" t="e">
        <f t="shared" ca="1" si="47"/>
        <v>#VALUE!</v>
      </c>
      <c r="N2298" s="10" t="e">
        <f t="shared" ca="1" si="48"/>
        <v>#VALUE!</v>
      </c>
      <c r="O2298" s="7" t="str">
        <f ca="1">IFERROR(__xludf.DUMMYFUNCTION("GOOGLEFINANCE(""NSE:""&amp;D2298,""pe"")"),"#N/A")</f>
        <v>#N/A</v>
      </c>
      <c r="P2298" s="7" t="str">
        <f ca="1">IFERROR(__xludf.DUMMYFUNCTION("GOOGLEFINANCE(""NSE:""&amp;D2298,""EPS"")"),"#N/A")</f>
        <v>#N/A</v>
      </c>
      <c r="Q2298" s="7">
        <v>13.5</v>
      </c>
      <c r="R2298" s="7" t="str">
        <f ca="1">IFERROR(__xludf.DUMMYFUNCTION("IMPORTXML(E2298,""/html/body/main/div[3]/div[3]/div[2]/ul/li[7]/span[2]/span"")"),"Loading...")</f>
        <v>Loading...</v>
      </c>
      <c r="S2298" s="7" t="str">
        <f ca="1">IFERROR(__xludf.DUMMYFUNCTION("IMPORTXML(E2298,""/html/body/main/div[3]/div[3]/div[2]/ul/li[8]/span[2]/span"")"),"Loading...")</f>
        <v>Loading...</v>
      </c>
      <c r="T2298" s="4">
        <v>34.6</v>
      </c>
      <c r="U2298" s="4">
        <v>22.7</v>
      </c>
      <c r="V2298" s="4">
        <v>2.6</v>
      </c>
      <c r="W2298" s="4">
        <v>5.7</v>
      </c>
      <c r="X2298" s="4">
        <v>519.92999999999995</v>
      </c>
      <c r="Y2298" s="7" t="e">
        <f t="shared" ca="1" si="49"/>
        <v>#VALUE!</v>
      </c>
    </row>
    <row r="2299" spans="1:25" ht="15" x14ac:dyDescent="0.25">
      <c r="A2299" s="4">
        <v>2182</v>
      </c>
      <c r="C2299" s="41" t="s">
        <v>4536</v>
      </c>
      <c r="D2299" s="42"/>
      <c r="E2299" s="5" t="str">
        <f t="shared" si="45"/>
        <v>https://www.screener.in/company//consolidated/</v>
      </c>
      <c r="F2299" s="4">
        <v>443059</v>
      </c>
      <c r="G2299" s="4">
        <v>3832241897</v>
      </c>
      <c r="H2299" s="6" t="e">
        <f t="shared" ca="1" si="46"/>
        <v>#VALUE!</v>
      </c>
      <c r="I2299" s="7" t="str">
        <f ca="1">IFERROR(__xludf.DUMMYFUNCTION("IMPORTXML(E2299,""/html/body/main/div[3]/div[3]/div[2]/ul/li[5]/span[2]/span"")"),"Loading...")</f>
        <v>Loading...</v>
      </c>
      <c r="J2299" s="7" t="str">
        <f ca="1">IFERROR(__xludf.DUMMYFUNCTION("GOOGLEFINANCE(""NSE:""&amp;D2299,""marketcap"")"),"#N/A")</f>
        <v>#N/A</v>
      </c>
      <c r="K2299" s="7">
        <v>992.8</v>
      </c>
      <c r="L2299" s="8" t="str">
        <f ca="1">IFERROR(__xludf.DUMMYFUNCTION("GOOGLEFINANCE(""NSE:""&amp;D2299,""price"")"),"#N/A")</f>
        <v>#N/A</v>
      </c>
      <c r="M2299" s="9" t="e">
        <f t="shared" ca="1" si="47"/>
        <v>#VALUE!</v>
      </c>
      <c r="N2299" s="10" t="e">
        <f t="shared" ca="1" si="48"/>
        <v>#VALUE!</v>
      </c>
      <c r="O2299" s="7" t="str">
        <f ca="1">IFERROR(__xludf.DUMMYFUNCTION("GOOGLEFINANCE(""NSE:""&amp;D2299,""pe"")"),"#N/A")</f>
        <v>#N/A</v>
      </c>
      <c r="P2299" s="7" t="str">
        <f ca="1">IFERROR(__xludf.DUMMYFUNCTION("GOOGLEFINANCE(""NSE:""&amp;D2299,""EPS"")"),"#N/A")</f>
        <v>#N/A</v>
      </c>
      <c r="Q2299" s="7">
        <v>13.5</v>
      </c>
      <c r="R2299" s="7" t="str">
        <f ca="1">IFERROR(__xludf.DUMMYFUNCTION("IMPORTXML(E2299,""/html/body/main/div[3]/div[3]/div[2]/ul/li[7]/span[2]/span"")"),"Loading...")</f>
        <v>Loading...</v>
      </c>
      <c r="S2299" s="7" t="str">
        <f ca="1">IFERROR(__xludf.DUMMYFUNCTION("IMPORTXML(E2299,""/html/body/main/div[3]/div[3]/div[2]/ul/li[8]/span[2]/span"")"),"Loading...")</f>
        <v>Loading...</v>
      </c>
      <c r="T2299" s="4">
        <v>34.6</v>
      </c>
      <c r="U2299" s="4">
        <v>22.7</v>
      </c>
      <c r="V2299" s="4">
        <v>2.6</v>
      </c>
      <c r="W2299" s="4">
        <v>5.7</v>
      </c>
      <c r="X2299" s="4">
        <v>519.92999999999995</v>
      </c>
      <c r="Y2299" s="7" t="e">
        <f t="shared" ca="1" si="49"/>
        <v>#VALUE!</v>
      </c>
    </row>
    <row r="2300" spans="1:25" ht="15" x14ac:dyDescent="0.25">
      <c r="A2300" s="4">
        <v>2183</v>
      </c>
      <c r="C2300" s="41" t="s">
        <v>4537</v>
      </c>
      <c r="D2300" s="42"/>
      <c r="E2300" s="5" t="str">
        <f t="shared" si="45"/>
        <v>https://www.screener.in/company//consolidated/</v>
      </c>
      <c r="F2300" s="4">
        <v>443059</v>
      </c>
      <c r="G2300" s="4">
        <v>3832241897</v>
      </c>
      <c r="H2300" s="6" t="e">
        <f t="shared" ca="1" si="46"/>
        <v>#VALUE!</v>
      </c>
      <c r="I2300" s="7" t="str">
        <f ca="1">IFERROR(__xludf.DUMMYFUNCTION("IMPORTXML(E2300,""/html/body/main/div[3]/div[3]/div[2]/ul/li[5]/span[2]/span"")"),"Loading...")</f>
        <v>Loading...</v>
      </c>
      <c r="J2300" s="7" t="str">
        <f ca="1">IFERROR(__xludf.DUMMYFUNCTION("GOOGLEFINANCE(""NSE:""&amp;D2300,""marketcap"")"),"#N/A")</f>
        <v>#N/A</v>
      </c>
      <c r="K2300" s="7">
        <v>992.8</v>
      </c>
      <c r="L2300" s="8" t="str">
        <f ca="1">IFERROR(__xludf.DUMMYFUNCTION("GOOGLEFINANCE(""NSE:""&amp;D2300,""price"")"),"#N/A")</f>
        <v>#N/A</v>
      </c>
      <c r="M2300" s="9" t="e">
        <f t="shared" ca="1" si="47"/>
        <v>#VALUE!</v>
      </c>
      <c r="N2300" s="10" t="e">
        <f t="shared" ca="1" si="48"/>
        <v>#VALUE!</v>
      </c>
      <c r="O2300" s="7" t="str">
        <f ca="1">IFERROR(__xludf.DUMMYFUNCTION("GOOGLEFINANCE(""NSE:""&amp;D2300,""pe"")"),"#N/A")</f>
        <v>#N/A</v>
      </c>
      <c r="P2300" s="7" t="str">
        <f ca="1">IFERROR(__xludf.DUMMYFUNCTION("GOOGLEFINANCE(""NSE:""&amp;D2300,""EPS"")"),"#N/A")</f>
        <v>#N/A</v>
      </c>
      <c r="Q2300" s="7">
        <v>13.5</v>
      </c>
      <c r="R2300" s="7" t="str">
        <f ca="1">IFERROR(__xludf.DUMMYFUNCTION("IMPORTXML(E2300,""/html/body/main/div[3]/div[3]/div[2]/ul/li[7]/span[2]/span"")"),"Loading...")</f>
        <v>Loading...</v>
      </c>
      <c r="S2300" s="7" t="str">
        <f ca="1">IFERROR(__xludf.DUMMYFUNCTION("IMPORTXML(E2300,""/html/body/main/div[3]/div[3]/div[2]/ul/li[8]/span[2]/span"")"),"Loading...")</f>
        <v>Loading...</v>
      </c>
      <c r="T2300" s="4">
        <v>34.6</v>
      </c>
      <c r="U2300" s="4">
        <v>22.7</v>
      </c>
      <c r="V2300" s="4">
        <v>2.6</v>
      </c>
      <c r="W2300" s="4">
        <v>5.7</v>
      </c>
      <c r="X2300" s="4">
        <v>519.92999999999995</v>
      </c>
      <c r="Y2300" s="7" t="e">
        <f t="shared" ca="1" si="49"/>
        <v>#VALUE!</v>
      </c>
    </row>
    <row r="2301" spans="1:25" ht="15" x14ac:dyDescent="0.25">
      <c r="A2301" s="4">
        <v>2184</v>
      </c>
      <c r="C2301" s="41" t="s">
        <v>4538</v>
      </c>
      <c r="D2301" s="42"/>
      <c r="E2301" s="5" t="str">
        <f t="shared" si="45"/>
        <v>https://www.screener.in/company//consolidated/</v>
      </c>
      <c r="F2301" s="4">
        <v>443059</v>
      </c>
      <c r="G2301" s="4">
        <v>3832241897</v>
      </c>
      <c r="H2301" s="6" t="e">
        <f t="shared" ca="1" si="46"/>
        <v>#VALUE!</v>
      </c>
      <c r="I2301" s="7" t="str">
        <f ca="1">IFERROR(__xludf.DUMMYFUNCTION("IMPORTXML(E2301,""/html/body/main/div[3]/div[3]/div[2]/ul/li[5]/span[2]/span"")"),"Loading...")</f>
        <v>Loading...</v>
      </c>
      <c r="J2301" s="7" t="str">
        <f ca="1">IFERROR(__xludf.DUMMYFUNCTION("GOOGLEFINANCE(""NSE:""&amp;D2301,""marketcap"")"),"#N/A")</f>
        <v>#N/A</v>
      </c>
      <c r="K2301" s="7">
        <v>992.8</v>
      </c>
      <c r="L2301" s="8" t="str">
        <f ca="1">IFERROR(__xludf.DUMMYFUNCTION("GOOGLEFINANCE(""NSE:""&amp;D2301,""price"")"),"#N/A")</f>
        <v>#N/A</v>
      </c>
      <c r="M2301" s="9" t="e">
        <f t="shared" ca="1" si="47"/>
        <v>#VALUE!</v>
      </c>
      <c r="N2301" s="10" t="e">
        <f t="shared" ca="1" si="48"/>
        <v>#VALUE!</v>
      </c>
      <c r="O2301" s="7" t="str">
        <f ca="1">IFERROR(__xludf.DUMMYFUNCTION("GOOGLEFINANCE(""NSE:""&amp;D2301,""pe"")"),"#N/A")</f>
        <v>#N/A</v>
      </c>
      <c r="P2301" s="7" t="str">
        <f ca="1">IFERROR(__xludf.DUMMYFUNCTION("GOOGLEFINANCE(""NSE:""&amp;D2301,""EPS"")"),"#N/A")</f>
        <v>#N/A</v>
      </c>
      <c r="Q2301" s="7">
        <v>13.5</v>
      </c>
      <c r="R2301" s="7" t="str">
        <f ca="1">IFERROR(__xludf.DUMMYFUNCTION("IMPORTXML(E2301,""/html/body/main/div[3]/div[3]/div[2]/ul/li[7]/span[2]/span"")"),"Loading...")</f>
        <v>Loading...</v>
      </c>
      <c r="S2301" s="7" t="str">
        <f ca="1">IFERROR(__xludf.DUMMYFUNCTION("IMPORTXML(E2301,""/html/body/main/div[3]/div[3]/div[2]/ul/li[8]/span[2]/span"")"),"Loading...")</f>
        <v>Loading...</v>
      </c>
      <c r="T2301" s="4">
        <v>34.6</v>
      </c>
      <c r="U2301" s="4">
        <v>22.7</v>
      </c>
      <c r="V2301" s="4">
        <v>2.6</v>
      </c>
      <c r="W2301" s="4">
        <v>5.7</v>
      </c>
      <c r="X2301" s="4">
        <v>519.92999999999995</v>
      </c>
      <c r="Y2301" s="7" t="e">
        <f t="shared" ca="1" si="49"/>
        <v>#VALUE!</v>
      </c>
    </row>
    <row r="2302" spans="1:25" ht="15" x14ac:dyDescent="0.25">
      <c r="A2302" s="4">
        <v>2185</v>
      </c>
      <c r="C2302" s="41" t="s">
        <v>4539</v>
      </c>
      <c r="D2302" s="42"/>
      <c r="E2302" s="5" t="str">
        <f t="shared" si="45"/>
        <v>https://www.screener.in/company//consolidated/</v>
      </c>
      <c r="F2302" s="4">
        <v>443059</v>
      </c>
      <c r="G2302" s="4">
        <v>3832241897</v>
      </c>
      <c r="H2302" s="6" t="e">
        <f t="shared" ca="1" si="46"/>
        <v>#VALUE!</v>
      </c>
      <c r="I2302" s="7" t="str">
        <f ca="1">IFERROR(__xludf.DUMMYFUNCTION("IMPORTXML(E2302,""/html/body/main/div[3]/div[3]/div[2]/ul/li[5]/span[2]/span"")"),"Loading...")</f>
        <v>Loading...</v>
      </c>
      <c r="J2302" s="7" t="str">
        <f ca="1">IFERROR(__xludf.DUMMYFUNCTION("GOOGLEFINANCE(""NSE:""&amp;D2302,""marketcap"")"),"#N/A")</f>
        <v>#N/A</v>
      </c>
      <c r="K2302" s="7">
        <v>992.8</v>
      </c>
      <c r="L2302" s="8" t="str">
        <f ca="1">IFERROR(__xludf.DUMMYFUNCTION("GOOGLEFINANCE(""NSE:""&amp;D2302,""price"")"),"#N/A")</f>
        <v>#N/A</v>
      </c>
      <c r="M2302" s="9" t="e">
        <f t="shared" ca="1" si="47"/>
        <v>#VALUE!</v>
      </c>
      <c r="N2302" s="10" t="e">
        <f t="shared" ca="1" si="48"/>
        <v>#VALUE!</v>
      </c>
      <c r="O2302" s="7" t="str">
        <f ca="1">IFERROR(__xludf.DUMMYFUNCTION("GOOGLEFINANCE(""NSE:""&amp;D2302,""pe"")"),"#N/A")</f>
        <v>#N/A</v>
      </c>
      <c r="P2302" s="7" t="str">
        <f ca="1">IFERROR(__xludf.DUMMYFUNCTION("GOOGLEFINANCE(""NSE:""&amp;D2302,""EPS"")"),"#N/A")</f>
        <v>#N/A</v>
      </c>
      <c r="Q2302" s="7">
        <v>13.5</v>
      </c>
      <c r="R2302" s="7" t="str">
        <f ca="1">IFERROR(__xludf.DUMMYFUNCTION("IMPORTXML(E2302,""/html/body/main/div[3]/div[3]/div[2]/ul/li[7]/span[2]/span"")"),"Loading...")</f>
        <v>Loading...</v>
      </c>
      <c r="S2302" s="7" t="str">
        <f ca="1">IFERROR(__xludf.DUMMYFUNCTION("IMPORTXML(E2302,""/html/body/main/div[3]/div[3]/div[2]/ul/li[8]/span[2]/span"")"),"Loading...")</f>
        <v>Loading...</v>
      </c>
      <c r="T2302" s="4">
        <v>34.6</v>
      </c>
      <c r="U2302" s="4">
        <v>22.7</v>
      </c>
      <c r="V2302" s="4">
        <v>2.6</v>
      </c>
      <c r="W2302" s="4">
        <v>5.7</v>
      </c>
      <c r="X2302" s="4">
        <v>519.92999999999995</v>
      </c>
      <c r="Y2302" s="7" t="e">
        <f t="shared" ca="1" si="49"/>
        <v>#VALUE!</v>
      </c>
    </row>
    <row r="2303" spans="1:25" ht="15" x14ac:dyDescent="0.25">
      <c r="A2303" s="4">
        <v>2187</v>
      </c>
      <c r="C2303" s="12" t="s">
        <v>4540</v>
      </c>
      <c r="D2303" s="37"/>
      <c r="E2303" s="5" t="str">
        <f t="shared" si="45"/>
        <v>https://www.screener.in/company//consolidated/</v>
      </c>
      <c r="F2303" s="4">
        <v>443059</v>
      </c>
      <c r="G2303" s="4">
        <v>3832241897</v>
      </c>
      <c r="H2303" s="6" t="e">
        <f t="shared" ca="1" si="46"/>
        <v>#VALUE!</v>
      </c>
      <c r="I2303" s="7" t="str">
        <f ca="1">IFERROR(__xludf.DUMMYFUNCTION("IMPORTXML(E2303,""/html/body/main/div[3]/div[3]/div[2]/ul/li[5]/span[2]/span"")"),"Loading...")</f>
        <v>Loading...</v>
      </c>
      <c r="J2303" s="7" t="str">
        <f ca="1">IFERROR(__xludf.DUMMYFUNCTION("GOOGLEFINANCE(""NSE:""&amp;D2303,""marketcap"")"),"#N/A")</f>
        <v>#N/A</v>
      </c>
      <c r="K2303" s="7">
        <v>992.8</v>
      </c>
      <c r="L2303" s="8" t="str">
        <f ca="1">IFERROR(__xludf.DUMMYFUNCTION("GOOGLEFINANCE(""NSE:""&amp;D2303,""price"")"),"#N/A")</f>
        <v>#N/A</v>
      </c>
      <c r="M2303" s="9" t="e">
        <f t="shared" ca="1" si="47"/>
        <v>#VALUE!</v>
      </c>
      <c r="N2303" s="10" t="e">
        <f t="shared" ca="1" si="48"/>
        <v>#VALUE!</v>
      </c>
      <c r="O2303" s="7" t="str">
        <f ca="1">IFERROR(__xludf.DUMMYFUNCTION("GOOGLEFINANCE(""NSE:""&amp;D2303,""pe"")"),"#N/A")</f>
        <v>#N/A</v>
      </c>
      <c r="P2303" s="7" t="str">
        <f ca="1">IFERROR(__xludf.DUMMYFUNCTION("GOOGLEFINANCE(""NSE:""&amp;D2303,""EPS"")"),"#N/A")</f>
        <v>#N/A</v>
      </c>
      <c r="Q2303" s="7">
        <v>13.5</v>
      </c>
      <c r="R2303" s="7" t="str">
        <f ca="1">IFERROR(__xludf.DUMMYFUNCTION("IMPORTXML(E2303,""/html/body/main/div[3]/div[3]/div[2]/ul/li[7]/span[2]/span"")"),"Loading...")</f>
        <v>Loading...</v>
      </c>
      <c r="S2303" s="7" t="str">
        <f ca="1">IFERROR(__xludf.DUMMYFUNCTION("IMPORTXML(E2303,""/html/body/main/div[3]/div[3]/div[2]/ul/li[8]/span[2]/span"")"),"Loading...")</f>
        <v>Loading...</v>
      </c>
      <c r="T2303" s="4">
        <v>34.6</v>
      </c>
      <c r="U2303" s="4">
        <v>22.7</v>
      </c>
      <c r="V2303" s="4">
        <v>2.6</v>
      </c>
      <c r="W2303" s="4">
        <v>5.7</v>
      </c>
      <c r="X2303" s="4">
        <v>519.92999999999995</v>
      </c>
      <c r="Y2303" s="7" t="e">
        <f t="shared" ca="1" si="49"/>
        <v>#VALUE!</v>
      </c>
    </row>
    <row r="2304" spans="1:25" ht="15" x14ac:dyDescent="0.25">
      <c r="A2304" s="4">
        <v>2190</v>
      </c>
      <c r="C2304" s="12" t="s">
        <v>4541</v>
      </c>
      <c r="D2304" s="12" t="s">
        <v>4542</v>
      </c>
      <c r="E2304" s="5" t="str">
        <f t="shared" si="45"/>
        <v>https://www.screener.in/company/KAKATCEM/consolidated/</v>
      </c>
      <c r="F2304" s="4">
        <v>443059</v>
      </c>
      <c r="G2304" s="4">
        <v>3832241897</v>
      </c>
      <c r="H2304" s="6">
        <f t="shared" ca="1" si="46"/>
        <v>59399.749403499998</v>
      </c>
      <c r="I2304" s="7" t="str">
        <f ca="1">IFERROR(__xludf.DUMMYFUNCTION("IMPORTXML(E2304,""/html/body/main/div[3]/div[3]/div[2]/ul/li[5]/span[2]/span"")"),"Loading...")</f>
        <v>Loading...</v>
      </c>
      <c r="J2304" s="7">
        <f ca="1">IFERROR(__xludf.DUMMYFUNCTION("GOOGLEFINANCE(""NSE:""&amp;D2304,""marketcap"")"),1201916000)</f>
        <v>1201916000</v>
      </c>
      <c r="K2304" s="7">
        <v>992.8</v>
      </c>
      <c r="L2304" s="8">
        <f ca="1">IFERROR(__xludf.DUMMYFUNCTION("GOOGLEFINANCE(""NSE:""&amp;D2304,""price"")"),155)</f>
        <v>155</v>
      </c>
      <c r="M2304" s="9">
        <f t="shared" ca="1" si="47"/>
        <v>-837.8</v>
      </c>
      <c r="N2304" s="10">
        <f t="shared" ca="1" si="48"/>
        <v>-84.387590652699444</v>
      </c>
      <c r="O2304" s="7" t="str">
        <f ca="1">IFERROR(__xludf.DUMMYFUNCTION("GOOGLEFINANCE(""NSE:""&amp;D2304,""pe"")"),"#N/A")</f>
        <v>#N/A</v>
      </c>
      <c r="P2304" s="7">
        <f ca="1">IFERROR(__xludf.DUMMYFUNCTION("GOOGLEFINANCE(""NSE:""&amp;D2304,""EPS"")"),-19.27)</f>
        <v>-19.27</v>
      </c>
      <c r="Q2304" s="7">
        <v>13.5</v>
      </c>
      <c r="R2304" s="7" t="str">
        <f ca="1">IFERROR(__xludf.DUMMYFUNCTION("IMPORTXML(E2304,""/html/body/main/div[3]/div[3]/div[2]/ul/li[7]/span[2]/span"")"),"Loading...")</f>
        <v>Loading...</v>
      </c>
      <c r="S2304" s="7" t="str">
        <f ca="1">IFERROR(__xludf.DUMMYFUNCTION("IMPORTXML(E2304,""/html/body/main/div[3]/div[3]/div[2]/ul/li[8]/span[2]/span"")"),"Loading...")</f>
        <v>Loading...</v>
      </c>
      <c r="T2304" s="4">
        <v>34.6</v>
      </c>
      <c r="U2304" s="4">
        <v>22.7</v>
      </c>
      <c r="V2304" s="4">
        <v>2.6</v>
      </c>
      <c r="W2304" s="4">
        <v>5.7</v>
      </c>
      <c r="X2304" s="4">
        <v>519.92999999999995</v>
      </c>
      <c r="Y2304" s="7">
        <f t="shared" ca="1" si="49"/>
        <v>-364.92999999999995</v>
      </c>
    </row>
    <row r="2305" spans="1:25" ht="15" x14ac:dyDescent="0.25">
      <c r="A2305" s="4">
        <v>2192</v>
      </c>
      <c r="C2305" s="41" t="s">
        <v>4543</v>
      </c>
      <c r="D2305" s="42"/>
      <c r="E2305" s="5" t="str">
        <f t="shared" si="45"/>
        <v>https://www.screener.in/company//consolidated/</v>
      </c>
      <c r="F2305" s="4">
        <v>443059</v>
      </c>
      <c r="G2305" s="4">
        <v>3832241897</v>
      </c>
      <c r="H2305" s="6" t="e">
        <f t="shared" ca="1" si="46"/>
        <v>#VALUE!</v>
      </c>
      <c r="I2305" s="7" t="str">
        <f ca="1">IFERROR(__xludf.DUMMYFUNCTION("IMPORTXML(E2305,""/html/body/main/div[3]/div[3]/div[2]/ul/li[5]/span[2]/span"")"),"Loading...")</f>
        <v>Loading...</v>
      </c>
      <c r="J2305" s="7" t="str">
        <f ca="1">IFERROR(__xludf.DUMMYFUNCTION("GOOGLEFINANCE(""NSE:""&amp;D2305,""marketcap"")"),"#N/A")</f>
        <v>#N/A</v>
      </c>
      <c r="K2305" s="7">
        <v>992.8</v>
      </c>
      <c r="L2305" s="8" t="str">
        <f ca="1">IFERROR(__xludf.DUMMYFUNCTION("GOOGLEFINANCE(""NSE:""&amp;D2305,""price"")"),"#N/A")</f>
        <v>#N/A</v>
      </c>
      <c r="M2305" s="9" t="e">
        <f t="shared" ca="1" si="47"/>
        <v>#VALUE!</v>
      </c>
      <c r="N2305" s="10" t="e">
        <f t="shared" ca="1" si="48"/>
        <v>#VALUE!</v>
      </c>
      <c r="O2305" s="7" t="str">
        <f ca="1">IFERROR(__xludf.DUMMYFUNCTION("GOOGLEFINANCE(""NSE:""&amp;D2305,""pe"")"),"#N/A")</f>
        <v>#N/A</v>
      </c>
      <c r="P2305" s="7" t="str">
        <f ca="1">IFERROR(__xludf.DUMMYFUNCTION("GOOGLEFINANCE(""NSE:""&amp;D2305,""EPS"")"),"#N/A")</f>
        <v>#N/A</v>
      </c>
      <c r="Q2305" s="7">
        <v>13.5</v>
      </c>
      <c r="R2305" s="7" t="str">
        <f ca="1">IFERROR(__xludf.DUMMYFUNCTION("IMPORTXML(E2305,""/html/body/main/div[3]/div[3]/div[2]/ul/li[7]/span[2]/span"")"),"Loading...")</f>
        <v>Loading...</v>
      </c>
      <c r="S2305" s="7" t="str">
        <f ca="1">IFERROR(__xludf.DUMMYFUNCTION("IMPORTXML(E2305,""/html/body/main/div[3]/div[3]/div[2]/ul/li[8]/span[2]/span"")"),"Loading...")</f>
        <v>Loading...</v>
      </c>
      <c r="T2305" s="4">
        <v>34.6</v>
      </c>
      <c r="U2305" s="4">
        <v>22.7</v>
      </c>
      <c r="V2305" s="4">
        <v>2.6</v>
      </c>
      <c r="W2305" s="4">
        <v>5.7</v>
      </c>
      <c r="X2305" s="4">
        <v>519.92999999999995</v>
      </c>
      <c r="Y2305" s="7" t="e">
        <f t="shared" ca="1" si="49"/>
        <v>#VALUE!</v>
      </c>
    </row>
    <row r="2306" spans="1:25" ht="15" x14ac:dyDescent="0.25">
      <c r="A2306" s="4">
        <v>2193</v>
      </c>
      <c r="C2306" s="41" t="s">
        <v>4544</v>
      </c>
      <c r="D2306" s="42"/>
      <c r="E2306" s="5" t="str">
        <f t="shared" si="45"/>
        <v>https://www.screener.in/company//consolidated/</v>
      </c>
      <c r="F2306" s="4">
        <v>443059</v>
      </c>
      <c r="G2306" s="4">
        <v>3832241897</v>
      </c>
      <c r="H2306" s="6" t="e">
        <f t="shared" ca="1" si="46"/>
        <v>#VALUE!</v>
      </c>
      <c r="I2306" s="7" t="str">
        <f ca="1">IFERROR(__xludf.DUMMYFUNCTION("IMPORTXML(E2306,""/html/body/main/div[3]/div[3]/div[2]/ul/li[5]/span[2]/span"")"),"Loading...")</f>
        <v>Loading...</v>
      </c>
      <c r="J2306" s="7" t="str">
        <f ca="1">IFERROR(__xludf.DUMMYFUNCTION("GOOGLEFINANCE(""NSE:""&amp;D2306,""marketcap"")"),"#N/A")</f>
        <v>#N/A</v>
      </c>
      <c r="K2306" s="7">
        <v>992.8</v>
      </c>
      <c r="L2306" s="8" t="str">
        <f ca="1">IFERROR(__xludf.DUMMYFUNCTION("GOOGLEFINANCE(""NSE:""&amp;D2306,""price"")"),"#N/A")</f>
        <v>#N/A</v>
      </c>
      <c r="M2306" s="9" t="e">
        <f t="shared" ca="1" si="47"/>
        <v>#VALUE!</v>
      </c>
      <c r="N2306" s="10" t="e">
        <f t="shared" ca="1" si="48"/>
        <v>#VALUE!</v>
      </c>
      <c r="O2306" s="7" t="str">
        <f ca="1">IFERROR(__xludf.DUMMYFUNCTION("GOOGLEFINANCE(""NSE:""&amp;D2306,""pe"")"),"#N/A")</f>
        <v>#N/A</v>
      </c>
      <c r="P2306" s="7" t="str">
        <f ca="1">IFERROR(__xludf.DUMMYFUNCTION("GOOGLEFINANCE(""NSE:""&amp;D2306,""EPS"")"),"#N/A")</f>
        <v>#N/A</v>
      </c>
      <c r="Q2306" s="7">
        <v>13.5</v>
      </c>
      <c r="R2306" s="7" t="str">
        <f ca="1">IFERROR(__xludf.DUMMYFUNCTION("IMPORTXML(E2306,""/html/body/main/div[3]/div[3]/div[2]/ul/li[7]/span[2]/span"")"),"Loading...")</f>
        <v>Loading...</v>
      </c>
      <c r="S2306" s="7" t="str">
        <f ca="1">IFERROR(__xludf.DUMMYFUNCTION("IMPORTXML(E2306,""/html/body/main/div[3]/div[3]/div[2]/ul/li[8]/span[2]/span"")"),"Loading...")</f>
        <v>Loading...</v>
      </c>
      <c r="T2306" s="4">
        <v>34.6</v>
      </c>
      <c r="U2306" s="4">
        <v>22.7</v>
      </c>
      <c r="V2306" s="4">
        <v>2.6</v>
      </c>
      <c r="W2306" s="4">
        <v>5.7</v>
      </c>
      <c r="X2306" s="4">
        <v>519.92999999999995</v>
      </c>
      <c r="Y2306" s="7" t="e">
        <f t="shared" ca="1" si="49"/>
        <v>#VALUE!</v>
      </c>
    </row>
    <row r="2307" spans="1:25" ht="15" x14ac:dyDescent="0.25">
      <c r="A2307" s="4">
        <v>2194</v>
      </c>
      <c r="C2307" s="41" t="s">
        <v>4545</v>
      </c>
      <c r="D2307" s="42"/>
      <c r="E2307" s="5" t="str">
        <f t="shared" si="45"/>
        <v>https://www.screener.in/company//consolidated/</v>
      </c>
      <c r="F2307" s="4">
        <v>443059</v>
      </c>
      <c r="G2307" s="4">
        <v>3832241897</v>
      </c>
      <c r="H2307" s="6" t="e">
        <f t="shared" ca="1" si="46"/>
        <v>#VALUE!</v>
      </c>
      <c r="I2307" s="7" t="str">
        <f ca="1">IFERROR(__xludf.DUMMYFUNCTION("IMPORTXML(E2307,""/html/body/main/div[3]/div[3]/div[2]/ul/li[5]/span[2]/span"")"),"Loading...")</f>
        <v>Loading...</v>
      </c>
      <c r="J2307" s="7" t="str">
        <f ca="1">IFERROR(__xludf.DUMMYFUNCTION("GOOGLEFINANCE(""NSE:""&amp;D2307,""marketcap"")"),"#N/A")</f>
        <v>#N/A</v>
      </c>
      <c r="K2307" s="7">
        <v>992.8</v>
      </c>
      <c r="L2307" s="8" t="str">
        <f ca="1">IFERROR(__xludf.DUMMYFUNCTION("GOOGLEFINANCE(""NSE:""&amp;D2307,""price"")"),"#N/A")</f>
        <v>#N/A</v>
      </c>
      <c r="M2307" s="9" t="e">
        <f t="shared" ca="1" si="47"/>
        <v>#VALUE!</v>
      </c>
      <c r="N2307" s="10" t="e">
        <f t="shared" ca="1" si="48"/>
        <v>#VALUE!</v>
      </c>
      <c r="O2307" s="7" t="str">
        <f ca="1">IFERROR(__xludf.DUMMYFUNCTION("GOOGLEFINANCE(""NSE:""&amp;D2307,""pe"")"),"#N/A")</f>
        <v>#N/A</v>
      </c>
      <c r="P2307" s="7" t="str">
        <f ca="1">IFERROR(__xludf.DUMMYFUNCTION("GOOGLEFINANCE(""NSE:""&amp;D2307,""EPS"")"),"#N/A")</f>
        <v>#N/A</v>
      </c>
      <c r="Q2307" s="7">
        <v>13.5</v>
      </c>
      <c r="R2307" s="7" t="str">
        <f ca="1">IFERROR(__xludf.DUMMYFUNCTION("IMPORTXML(E2307,""/html/body/main/div[3]/div[3]/div[2]/ul/li[7]/span[2]/span"")"),"Loading...")</f>
        <v>Loading...</v>
      </c>
      <c r="S2307" s="7" t="str">
        <f ca="1">IFERROR(__xludf.DUMMYFUNCTION("IMPORTXML(E2307,""/html/body/main/div[3]/div[3]/div[2]/ul/li[8]/span[2]/span"")"),"Loading...")</f>
        <v>Loading...</v>
      </c>
      <c r="T2307" s="4">
        <v>34.6</v>
      </c>
      <c r="U2307" s="4">
        <v>22.7</v>
      </c>
      <c r="V2307" s="4">
        <v>2.6</v>
      </c>
      <c r="W2307" s="4">
        <v>5.7</v>
      </c>
      <c r="X2307" s="4">
        <v>519.92999999999995</v>
      </c>
      <c r="Y2307" s="7" t="e">
        <f t="shared" ca="1" si="49"/>
        <v>#VALUE!</v>
      </c>
    </row>
    <row r="2308" spans="1:25" ht="15" x14ac:dyDescent="0.25">
      <c r="A2308" s="4">
        <v>2195</v>
      </c>
      <c r="C2308" s="41" t="s">
        <v>4546</v>
      </c>
      <c r="D2308" s="42"/>
      <c r="E2308" s="5" t="str">
        <f t="shared" si="45"/>
        <v>https://www.screener.in/company//consolidated/</v>
      </c>
      <c r="F2308" s="4">
        <v>443059</v>
      </c>
      <c r="G2308" s="4">
        <v>3832241897</v>
      </c>
      <c r="H2308" s="6" t="e">
        <f t="shared" ca="1" si="46"/>
        <v>#VALUE!</v>
      </c>
      <c r="I2308" s="7" t="str">
        <f ca="1">IFERROR(__xludf.DUMMYFUNCTION("IMPORTXML(E2308,""/html/body/main/div[3]/div[3]/div[2]/ul/li[5]/span[2]/span"")"),"Loading...")</f>
        <v>Loading...</v>
      </c>
      <c r="J2308" s="7" t="str">
        <f ca="1">IFERROR(__xludf.DUMMYFUNCTION("GOOGLEFINANCE(""NSE:""&amp;D2308,""marketcap"")"),"#N/A")</f>
        <v>#N/A</v>
      </c>
      <c r="K2308" s="7">
        <v>992.8</v>
      </c>
      <c r="L2308" s="8" t="str">
        <f ca="1">IFERROR(__xludf.DUMMYFUNCTION("GOOGLEFINANCE(""NSE:""&amp;D2308,""price"")"),"#N/A")</f>
        <v>#N/A</v>
      </c>
      <c r="M2308" s="9" t="e">
        <f t="shared" ca="1" si="47"/>
        <v>#VALUE!</v>
      </c>
      <c r="N2308" s="10" t="e">
        <f t="shared" ca="1" si="48"/>
        <v>#VALUE!</v>
      </c>
      <c r="O2308" s="7" t="str">
        <f ca="1">IFERROR(__xludf.DUMMYFUNCTION("GOOGLEFINANCE(""NSE:""&amp;D2308,""pe"")"),"#N/A")</f>
        <v>#N/A</v>
      </c>
      <c r="P2308" s="7" t="str">
        <f ca="1">IFERROR(__xludf.DUMMYFUNCTION("GOOGLEFINANCE(""NSE:""&amp;D2308,""EPS"")"),"#N/A")</f>
        <v>#N/A</v>
      </c>
      <c r="Q2308" s="7">
        <v>13.5</v>
      </c>
      <c r="R2308" s="7" t="str">
        <f ca="1">IFERROR(__xludf.DUMMYFUNCTION("IMPORTXML(E2308,""/html/body/main/div[3]/div[3]/div[2]/ul/li[7]/span[2]/span"")"),"Loading...")</f>
        <v>Loading...</v>
      </c>
      <c r="S2308" s="7" t="str">
        <f ca="1">IFERROR(__xludf.DUMMYFUNCTION("IMPORTXML(E2308,""/html/body/main/div[3]/div[3]/div[2]/ul/li[8]/span[2]/span"")"),"Loading...")</f>
        <v>Loading...</v>
      </c>
      <c r="T2308" s="4">
        <v>34.6</v>
      </c>
      <c r="U2308" s="4">
        <v>22.7</v>
      </c>
      <c r="V2308" s="4">
        <v>2.6</v>
      </c>
      <c r="W2308" s="4">
        <v>5.7</v>
      </c>
      <c r="X2308" s="4">
        <v>519.92999999999995</v>
      </c>
      <c r="Y2308" s="7" t="e">
        <f t="shared" ca="1" si="49"/>
        <v>#VALUE!</v>
      </c>
    </row>
    <row r="2309" spans="1:25" ht="15" x14ac:dyDescent="0.25">
      <c r="A2309" s="4">
        <v>2196</v>
      </c>
      <c r="C2309" s="41" t="s">
        <v>4547</v>
      </c>
      <c r="D2309" s="42"/>
      <c r="E2309" s="5" t="str">
        <f t="shared" si="45"/>
        <v>https://www.screener.in/company//consolidated/</v>
      </c>
      <c r="F2309" s="4">
        <v>443059</v>
      </c>
      <c r="G2309" s="4">
        <v>3832241897</v>
      </c>
      <c r="H2309" s="6" t="e">
        <f t="shared" ca="1" si="46"/>
        <v>#VALUE!</v>
      </c>
      <c r="I2309" s="7" t="str">
        <f ca="1">IFERROR(__xludf.DUMMYFUNCTION("IMPORTXML(E2309,""/html/body/main/div[3]/div[3]/div[2]/ul/li[5]/span[2]/span"")"),"Loading...")</f>
        <v>Loading...</v>
      </c>
      <c r="J2309" s="7" t="str">
        <f ca="1">IFERROR(__xludf.DUMMYFUNCTION("GOOGLEFINANCE(""NSE:""&amp;D2309,""marketcap"")"),"#N/A")</f>
        <v>#N/A</v>
      </c>
      <c r="K2309" s="7">
        <v>992.8</v>
      </c>
      <c r="L2309" s="8" t="str">
        <f ca="1">IFERROR(__xludf.DUMMYFUNCTION("GOOGLEFINANCE(""NSE:""&amp;D2309,""price"")"),"#N/A")</f>
        <v>#N/A</v>
      </c>
      <c r="M2309" s="9" t="e">
        <f t="shared" ca="1" si="47"/>
        <v>#VALUE!</v>
      </c>
      <c r="N2309" s="10" t="e">
        <f t="shared" ca="1" si="48"/>
        <v>#VALUE!</v>
      </c>
      <c r="O2309" s="7" t="str">
        <f ca="1">IFERROR(__xludf.DUMMYFUNCTION("GOOGLEFINANCE(""NSE:""&amp;D2309,""pe"")"),"#N/A")</f>
        <v>#N/A</v>
      </c>
      <c r="P2309" s="7" t="str">
        <f ca="1">IFERROR(__xludf.DUMMYFUNCTION("GOOGLEFINANCE(""NSE:""&amp;D2309,""EPS"")"),"#N/A")</f>
        <v>#N/A</v>
      </c>
      <c r="Q2309" s="7">
        <v>13.5</v>
      </c>
      <c r="R2309" s="7" t="str">
        <f ca="1">IFERROR(__xludf.DUMMYFUNCTION("IMPORTXML(E2309,""/html/body/main/div[3]/div[3]/div[2]/ul/li[7]/span[2]/span"")"),"Loading...")</f>
        <v>Loading...</v>
      </c>
      <c r="S2309" s="7" t="str">
        <f ca="1">IFERROR(__xludf.DUMMYFUNCTION("IMPORTXML(E2309,""/html/body/main/div[3]/div[3]/div[2]/ul/li[8]/span[2]/span"")"),"Loading...")</f>
        <v>Loading...</v>
      </c>
      <c r="T2309" s="4">
        <v>34.6</v>
      </c>
      <c r="U2309" s="4">
        <v>22.7</v>
      </c>
      <c r="V2309" s="4">
        <v>2.6</v>
      </c>
      <c r="W2309" s="4">
        <v>5.7</v>
      </c>
      <c r="X2309" s="4">
        <v>519.92999999999995</v>
      </c>
      <c r="Y2309" s="7" t="e">
        <f t="shared" ca="1" si="49"/>
        <v>#VALUE!</v>
      </c>
    </row>
    <row r="2310" spans="1:25" ht="15" x14ac:dyDescent="0.25">
      <c r="A2310" s="4">
        <v>2198</v>
      </c>
      <c r="C2310" s="41" t="s">
        <v>4548</v>
      </c>
      <c r="D2310" s="42"/>
      <c r="E2310" s="5" t="str">
        <f t="shared" si="45"/>
        <v>https://www.screener.in/company//consolidated/</v>
      </c>
      <c r="F2310" s="4">
        <v>443059</v>
      </c>
      <c r="G2310" s="4">
        <v>3832241897</v>
      </c>
      <c r="H2310" s="6" t="e">
        <f t="shared" ca="1" si="46"/>
        <v>#VALUE!</v>
      </c>
      <c r="I2310" s="7" t="str">
        <f ca="1">IFERROR(__xludf.DUMMYFUNCTION("IMPORTXML(E2310,""/html/body/main/div[3]/div[3]/div[2]/ul/li[5]/span[2]/span"")"),"Loading...")</f>
        <v>Loading...</v>
      </c>
      <c r="J2310" s="7" t="str">
        <f ca="1">IFERROR(__xludf.DUMMYFUNCTION("GOOGLEFINANCE(""NSE:""&amp;D2310,""marketcap"")"),"#N/A")</f>
        <v>#N/A</v>
      </c>
      <c r="K2310" s="7">
        <v>992.8</v>
      </c>
      <c r="L2310" s="8" t="str">
        <f ca="1">IFERROR(__xludf.DUMMYFUNCTION("GOOGLEFINANCE(""NSE:""&amp;D2310,""price"")"),"#N/A")</f>
        <v>#N/A</v>
      </c>
      <c r="M2310" s="9" t="e">
        <f t="shared" ca="1" si="47"/>
        <v>#VALUE!</v>
      </c>
      <c r="N2310" s="10" t="e">
        <f t="shared" ca="1" si="48"/>
        <v>#VALUE!</v>
      </c>
      <c r="O2310" s="7" t="str">
        <f ca="1">IFERROR(__xludf.DUMMYFUNCTION("GOOGLEFINANCE(""NSE:""&amp;D2310,""pe"")"),"#N/A")</f>
        <v>#N/A</v>
      </c>
      <c r="P2310" s="7" t="str">
        <f ca="1">IFERROR(__xludf.DUMMYFUNCTION("GOOGLEFINANCE(""NSE:""&amp;D2310,""EPS"")"),"#N/A")</f>
        <v>#N/A</v>
      </c>
      <c r="Q2310" s="7">
        <v>13.5</v>
      </c>
      <c r="R2310" s="7" t="str">
        <f ca="1">IFERROR(__xludf.DUMMYFUNCTION("IMPORTXML(E2310,""/html/body/main/div[3]/div[3]/div[2]/ul/li[7]/span[2]/span"")"),"Loading...")</f>
        <v>Loading...</v>
      </c>
      <c r="S2310" s="7" t="str">
        <f ca="1">IFERROR(__xludf.DUMMYFUNCTION("IMPORTXML(E2310,""/html/body/main/div[3]/div[3]/div[2]/ul/li[8]/span[2]/span"")"),"Loading...")</f>
        <v>Loading...</v>
      </c>
      <c r="T2310" s="4">
        <v>34.6</v>
      </c>
      <c r="U2310" s="4">
        <v>22.7</v>
      </c>
      <c r="V2310" s="4">
        <v>2.6</v>
      </c>
      <c r="W2310" s="4">
        <v>5.7</v>
      </c>
      <c r="X2310" s="4">
        <v>519.92999999999995</v>
      </c>
      <c r="Y2310" s="7" t="e">
        <f t="shared" ca="1" si="49"/>
        <v>#VALUE!</v>
      </c>
    </row>
    <row r="2311" spans="1:25" ht="15" x14ac:dyDescent="0.25">
      <c r="A2311" s="4">
        <v>2199</v>
      </c>
      <c r="C2311" s="41" t="s">
        <v>4549</v>
      </c>
      <c r="D2311" s="42"/>
      <c r="E2311" s="5" t="str">
        <f t="shared" si="45"/>
        <v>https://www.screener.in/company//consolidated/</v>
      </c>
      <c r="F2311" s="4">
        <v>443059</v>
      </c>
      <c r="G2311" s="4">
        <v>3832241897</v>
      </c>
      <c r="H2311" s="6" t="e">
        <f t="shared" ca="1" si="46"/>
        <v>#VALUE!</v>
      </c>
      <c r="I2311" s="7" t="str">
        <f ca="1">IFERROR(__xludf.DUMMYFUNCTION("IMPORTXML(E2311,""/html/body/main/div[3]/div[3]/div[2]/ul/li[5]/span[2]/span"")"),"Loading...")</f>
        <v>Loading...</v>
      </c>
      <c r="J2311" s="7" t="str">
        <f ca="1">IFERROR(__xludf.DUMMYFUNCTION("GOOGLEFINANCE(""NSE:""&amp;D2311,""marketcap"")"),"#N/A")</f>
        <v>#N/A</v>
      </c>
      <c r="K2311" s="7">
        <v>992.8</v>
      </c>
      <c r="L2311" s="8" t="str">
        <f ca="1">IFERROR(__xludf.DUMMYFUNCTION("GOOGLEFINANCE(""NSE:""&amp;D2311,""price"")"),"#N/A")</f>
        <v>#N/A</v>
      </c>
      <c r="M2311" s="9" t="e">
        <f t="shared" ca="1" si="47"/>
        <v>#VALUE!</v>
      </c>
      <c r="N2311" s="10" t="e">
        <f t="shared" ca="1" si="48"/>
        <v>#VALUE!</v>
      </c>
      <c r="O2311" s="7" t="str">
        <f ca="1">IFERROR(__xludf.DUMMYFUNCTION("GOOGLEFINANCE(""NSE:""&amp;D2311,""pe"")"),"#N/A")</f>
        <v>#N/A</v>
      </c>
      <c r="P2311" s="7" t="str">
        <f ca="1">IFERROR(__xludf.DUMMYFUNCTION("GOOGLEFINANCE(""NSE:""&amp;D2311,""EPS"")"),"#N/A")</f>
        <v>#N/A</v>
      </c>
      <c r="Q2311" s="7">
        <v>13.5</v>
      </c>
      <c r="R2311" s="7" t="str">
        <f ca="1">IFERROR(__xludf.DUMMYFUNCTION("IMPORTXML(E2311,""/html/body/main/div[3]/div[3]/div[2]/ul/li[7]/span[2]/span"")"),"Loading...")</f>
        <v>Loading...</v>
      </c>
      <c r="S2311" s="7" t="str">
        <f ca="1">IFERROR(__xludf.DUMMYFUNCTION("IMPORTXML(E2311,""/html/body/main/div[3]/div[3]/div[2]/ul/li[8]/span[2]/span"")"),"Loading...")</f>
        <v>Loading...</v>
      </c>
      <c r="T2311" s="4">
        <v>34.6</v>
      </c>
      <c r="U2311" s="4">
        <v>22.7</v>
      </c>
      <c r="V2311" s="4">
        <v>2.6</v>
      </c>
      <c r="W2311" s="4">
        <v>5.7</v>
      </c>
      <c r="X2311" s="4">
        <v>519.92999999999995</v>
      </c>
      <c r="Y2311" s="7" t="e">
        <f t="shared" ca="1" si="49"/>
        <v>#VALUE!</v>
      </c>
    </row>
    <row r="2312" spans="1:25" ht="15" x14ac:dyDescent="0.25">
      <c r="A2312" s="4">
        <v>2201</v>
      </c>
      <c r="C2312" s="41" t="s">
        <v>4550</v>
      </c>
      <c r="D2312" s="42"/>
      <c r="E2312" s="5" t="str">
        <f t="shared" si="45"/>
        <v>https://www.screener.in/company//consolidated/</v>
      </c>
      <c r="F2312" s="4">
        <v>443059</v>
      </c>
      <c r="G2312" s="4">
        <v>3832241897</v>
      </c>
      <c r="H2312" s="6" t="e">
        <f t="shared" ca="1" si="46"/>
        <v>#VALUE!</v>
      </c>
      <c r="I2312" s="7" t="str">
        <f ca="1">IFERROR(__xludf.DUMMYFUNCTION("IMPORTXML(E2312,""/html/body/main/div[3]/div[3]/div[2]/ul/li[5]/span[2]/span"")"),"Loading...")</f>
        <v>Loading...</v>
      </c>
      <c r="J2312" s="7" t="str">
        <f ca="1">IFERROR(__xludf.DUMMYFUNCTION("GOOGLEFINANCE(""NSE:""&amp;D2312,""marketcap"")"),"#N/A")</f>
        <v>#N/A</v>
      </c>
      <c r="K2312" s="7">
        <v>992.8</v>
      </c>
      <c r="L2312" s="8" t="str">
        <f ca="1">IFERROR(__xludf.DUMMYFUNCTION("GOOGLEFINANCE(""NSE:""&amp;D2312,""price"")"),"#N/A")</f>
        <v>#N/A</v>
      </c>
      <c r="M2312" s="9" t="e">
        <f t="shared" ca="1" si="47"/>
        <v>#VALUE!</v>
      </c>
      <c r="N2312" s="10" t="e">
        <f t="shared" ca="1" si="48"/>
        <v>#VALUE!</v>
      </c>
      <c r="O2312" s="7" t="str">
        <f ca="1">IFERROR(__xludf.DUMMYFUNCTION("GOOGLEFINANCE(""NSE:""&amp;D2312,""pe"")"),"#N/A")</f>
        <v>#N/A</v>
      </c>
      <c r="P2312" s="7" t="str">
        <f ca="1">IFERROR(__xludf.DUMMYFUNCTION("GOOGLEFINANCE(""NSE:""&amp;D2312,""EPS"")"),"#N/A")</f>
        <v>#N/A</v>
      </c>
      <c r="Q2312" s="7">
        <v>13.5</v>
      </c>
      <c r="R2312" s="7" t="str">
        <f ca="1">IFERROR(__xludf.DUMMYFUNCTION("IMPORTXML(E2312,""/html/body/main/div[3]/div[3]/div[2]/ul/li[7]/span[2]/span"")"),"Loading...")</f>
        <v>Loading...</v>
      </c>
      <c r="S2312" s="7" t="str">
        <f ca="1">IFERROR(__xludf.DUMMYFUNCTION("IMPORTXML(E2312,""/html/body/main/div[3]/div[3]/div[2]/ul/li[8]/span[2]/span"")"),"Loading...")</f>
        <v>Loading...</v>
      </c>
      <c r="T2312" s="4">
        <v>34.6</v>
      </c>
      <c r="U2312" s="4">
        <v>22.7</v>
      </c>
      <c r="V2312" s="4">
        <v>2.6</v>
      </c>
      <c r="W2312" s="4">
        <v>5.7</v>
      </c>
      <c r="X2312" s="4">
        <v>519.92999999999995</v>
      </c>
      <c r="Y2312" s="7" t="e">
        <f t="shared" ca="1" si="49"/>
        <v>#VALUE!</v>
      </c>
    </row>
    <row r="2313" spans="1:25" ht="15" x14ac:dyDescent="0.25">
      <c r="A2313" s="4">
        <v>2202</v>
      </c>
      <c r="C2313" s="41" t="s">
        <v>4551</v>
      </c>
      <c r="D2313" s="42"/>
      <c r="E2313" s="5" t="str">
        <f t="shared" si="45"/>
        <v>https://www.screener.in/company//consolidated/</v>
      </c>
      <c r="F2313" s="4">
        <v>443059</v>
      </c>
      <c r="G2313" s="4">
        <v>3832241897</v>
      </c>
      <c r="H2313" s="6" t="e">
        <f t="shared" ca="1" si="46"/>
        <v>#VALUE!</v>
      </c>
      <c r="I2313" s="7" t="str">
        <f ca="1">IFERROR(__xludf.DUMMYFUNCTION("IMPORTXML(E2313,""/html/body/main/div[3]/div[3]/div[2]/ul/li[5]/span[2]/span"")"),"Loading...")</f>
        <v>Loading...</v>
      </c>
      <c r="J2313" s="7" t="str">
        <f ca="1">IFERROR(__xludf.DUMMYFUNCTION("GOOGLEFINANCE(""NSE:""&amp;D2313,""marketcap"")"),"#N/A")</f>
        <v>#N/A</v>
      </c>
      <c r="K2313" s="7">
        <v>992.8</v>
      </c>
      <c r="L2313" s="8" t="str">
        <f ca="1">IFERROR(__xludf.DUMMYFUNCTION("GOOGLEFINANCE(""NSE:""&amp;D2313,""price"")"),"#N/A")</f>
        <v>#N/A</v>
      </c>
      <c r="M2313" s="9" t="e">
        <f t="shared" ca="1" si="47"/>
        <v>#VALUE!</v>
      </c>
      <c r="N2313" s="10" t="e">
        <f t="shared" ca="1" si="48"/>
        <v>#VALUE!</v>
      </c>
      <c r="O2313" s="7" t="str">
        <f ca="1">IFERROR(__xludf.DUMMYFUNCTION("GOOGLEFINANCE(""NSE:""&amp;D2313,""pe"")"),"#N/A")</f>
        <v>#N/A</v>
      </c>
      <c r="P2313" s="7" t="str">
        <f ca="1">IFERROR(__xludf.DUMMYFUNCTION("GOOGLEFINANCE(""NSE:""&amp;D2313,""EPS"")"),"#N/A")</f>
        <v>#N/A</v>
      </c>
      <c r="Q2313" s="7">
        <v>13.5</v>
      </c>
      <c r="R2313" s="7" t="str">
        <f ca="1">IFERROR(__xludf.DUMMYFUNCTION("IMPORTXML(E2313,""/html/body/main/div[3]/div[3]/div[2]/ul/li[7]/span[2]/span"")"),"Loading...")</f>
        <v>Loading...</v>
      </c>
      <c r="S2313" s="7" t="str">
        <f ca="1">IFERROR(__xludf.DUMMYFUNCTION("IMPORTXML(E2313,""/html/body/main/div[3]/div[3]/div[2]/ul/li[8]/span[2]/span"")"),"Loading...")</f>
        <v>Loading...</v>
      </c>
      <c r="T2313" s="4">
        <v>34.6</v>
      </c>
      <c r="U2313" s="4">
        <v>22.7</v>
      </c>
      <c r="V2313" s="4">
        <v>2.6</v>
      </c>
      <c r="W2313" s="4">
        <v>5.7</v>
      </c>
      <c r="X2313" s="4">
        <v>519.92999999999995</v>
      </c>
      <c r="Y2313" s="7" t="e">
        <f t="shared" ca="1" si="49"/>
        <v>#VALUE!</v>
      </c>
    </row>
    <row r="2314" spans="1:25" ht="15" x14ac:dyDescent="0.25">
      <c r="A2314" s="4">
        <v>2203</v>
      </c>
      <c r="C2314" s="41" t="s">
        <v>4552</v>
      </c>
      <c r="D2314" s="42"/>
      <c r="E2314" s="5" t="str">
        <f t="shared" si="45"/>
        <v>https://www.screener.in/company//consolidated/</v>
      </c>
      <c r="F2314" s="4">
        <v>443059</v>
      </c>
      <c r="G2314" s="4">
        <v>3832241897</v>
      </c>
      <c r="H2314" s="6" t="e">
        <f t="shared" ca="1" si="46"/>
        <v>#VALUE!</v>
      </c>
      <c r="I2314" s="7" t="str">
        <f ca="1">IFERROR(__xludf.DUMMYFUNCTION("IMPORTXML(E2314,""/html/body/main/div[3]/div[3]/div[2]/ul/li[5]/span[2]/span"")"),"Loading...")</f>
        <v>Loading...</v>
      </c>
      <c r="J2314" s="7" t="str">
        <f ca="1">IFERROR(__xludf.DUMMYFUNCTION("GOOGLEFINANCE(""NSE:""&amp;D2314,""marketcap"")"),"#N/A")</f>
        <v>#N/A</v>
      </c>
      <c r="K2314" s="7">
        <v>992.8</v>
      </c>
      <c r="L2314" s="8" t="str">
        <f ca="1">IFERROR(__xludf.DUMMYFUNCTION("GOOGLEFINANCE(""NSE:""&amp;D2314,""price"")"),"#N/A")</f>
        <v>#N/A</v>
      </c>
      <c r="M2314" s="9" t="e">
        <f t="shared" ca="1" si="47"/>
        <v>#VALUE!</v>
      </c>
      <c r="N2314" s="10" t="e">
        <f t="shared" ca="1" si="48"/>
        <v>#VALUE!</v>
      </c>
      <c r="O2314" s="7" t="str">
        <f ca="1">IFERROR(__xludf.DUMMYFUNCTION("GOOGLEFINANCE(""NSE:""&amp;D2314,""pe"")"),"#N/A")</f>
        <v>#N/A</v>
      </c>
      <c r="P2314" s="7" t="str">
        <f ca="1">IFERROR(__xludf.DUMMYFUNCTION("GOOGLEFINANCE(""NSE:""&amp;D2314,""EPS"")"),"#N/A")</f>
        <v>#N/A</v>
      </c>
      <c r="Q2314" s="7">
        <v>13.5</v>
      </c>
      <c r="R2314" s="7" t="str">
        <f ca="1">IFERROR(__xludf.DUMMYFUNCTION("IMPORTXML(E2314,""/html/body/main/div[3]/div[3]/div[2]/ul/li[7]/span[2]/span"")"),"Loading...")</f>
        <v>Loading...</v>
      </c>
      <c r="S2314" s="7" t="str">
        <f ca="1">IFERROR(__xludf.DUMMYFUNCTION("IMPORTXML(E2314,""/html/body/main/div[3]/div[3]/div[2]/ul/li[8]/span[2]/span"")"),"Loading...")</f>
        <v>Loading...</v>
      </c>
      <c r="T2314" s="4">
        <v>34.6</v>
      </c>
      <c r="U2314" s="4">
        <v>22.7</v>
      </c>
      <c r="V2314" s="4">
        <v>2.6</v>
      </c>
      <c r="W2314" s="4">
        <v>5.7</v>
      </c>
      <c r="X2314" s="4">
        <v>519.92999999999995</v>
      </c>
      <c r="Y2314" s="7" t="e">
        <f t="shared" ca="1" si="49"/>
        <v>#VALUE!</v>
      </c>
    </row>
    <row r="2315" spans="1:25" ht="15" x14ac:dyDescent="0.25">
      <c r="A2315" s="4">
        <v>2204</v>
      </c>
      <c r="C2315" s="41" t="s">
        <v>4553</v>
      </c>
      <c r="D2315" s="42"/>
      <c r="E2315" s="5" t="str">
        <f t="shared" si="45"/>
        <v>https://www.screener.in/company//consolidated/</v>
      </c>
      <c r="F2315" s="4">
        <v>443059</v>
      </c>
      <c r="G2315" s="4">
        <v>3832241897</v>
      </c>
      <c r="H2315" s="6" t="e">
        <f t="shared" ca="1" si="46"/>
        <v>#VALUE!</v>
      </c>
      <c r="I2315" s="7" t="str">
        <f ca="1">IFERROR(__xludf.DUMMYFUNCTION("IMPORTXML(E2315,""/html/body/main/div[3]/div[3]/div[2]/ul/li[5]/span[2]/span"")"),"Loading...")</f>
        <v>Loading...</v>
      </c>
      <c r="J2315" s="7" t="str">
        <f ca="1">IFERROR(__xludf.DUMMYFUNCTION("GOOGLEFINANCE(""NSE:""&amp;D2315,""marketcap"")"),"#N/A")</f>
        <v>#N/A</v>
      </c>
      <c r="K2315" s="7">
        <v>992.8</v>
      </c>
      <c r="L2315" s="8" t="str">
        <f ca="1">IFERROR(__xludf.DUMMYFUNCTION("GOOGLEFINANCE(""NSE:""&amp;D2315,""price"")"),"#N/A")</f>
        <v>#N/A</v>
      </c>
      <c r="M2315" s="9" t="e">
        <f t="shared" ca="1" si="47"/>
        <v>#VALUE!</v>
      </c>
      <c r="N2315" s="10" t="e">
        <f t="shared" ca="1" si="48"/>
        <v>#VALUE!</v>
      </c>
      <c r="O2315" s="7" t="str">
        <f ca="1">IFERROR(__xludf.DUMMYFUNCTION("GOOGLEFINANCE(""NSE:""&amp;D2315,""pe"")"),"#N/A")</f>
        <v>#N/A</v>
      </c>
      <c r="P2315" s="7" t="str">
        <f ca="1">IFERROR(__xludf.DUMMYFUNCTION("GOOGLEFINANCE(""NSE:""&amp;D2315,""EPS"")"),"#N/A")</f>
        <v>#N/A</v>
      </c>
      <c r="Q2315" s="7">
        <v>13.5</v>
      </c>
      <c r="R2315" s="7" t="str">
        <f ca="1">IFERROR(__xludf.DUMMYFUNCTION("IMPORTXML(E2315,""/html/body/main/div[3]/div[3]/div[2]/ul/li[7]/span[2]/span"")"),"Loading...")</f>
        <v>Loading...</v>
      </c>
      <c r="S2315" s="7" t="str">
        <f ca="1">IFERROR(__xludf.DUMMYFUNCTION("IMPORTXML(E2315,""/html/body/main/div[3]/div[3]/div[2]/ul/li[8]/span[2]/span"")"),"Loading...")</f>
        <v>Loading...</v>
      </c>
      <c r="T2315" s="4">
        <v>34.6</v>
      </c>
      <c r="U2315" s="4">
        <v>22.7</v>
      </c>
      <c r="V2315" s="4">
        <v>2.6</v>
      </c>
      <c r="W2315" s="4">
        <v>5.7</v>
      </c>
      <c r="X2315" s="4">
        <v>519.92999999999995</v>
      </c>
      <c r="Y2315" s="7" t="e">
        <f t="shared" ca="1" si="49"/>
        <v>#VALUE!</v>
      </c>
    </row>
    <row r="2316" spans="1:25" ht="15" x14ac:dyDescent="0.25">
      <c r="A2316" s="4">
        <v>2205</v>
      </c>
      <c r="C2316" s="41" t="s">
        <v>4554</v>
      </c>
      <c r="D2316" s="42"/>
      <c r="E2316" s="5" t="str">
        <f t="shared" si="45"/>
        <v>https://www.screener.in/company//consolidated/</v>
      </c>
      <c r="F2316" s="4">
        <v>443059</v>
      </c>
      <c r="G2316" s="4">
        <v>3832241897</v>
      </c>
      <c r="H2316" s="6" t="e">
        <f t="shared" ca="1" si="46"/>
        <v>#VALUE!</v>
      </c>
      <c r="I2316" s="7" t="str">
        <f ca="1">IFERROR(__xludf.DUMMYFUNCTION("IMPORTXML(E2316,""/html/body/main/div[3]/div[3]/div[2]/ul/li[5]/span[2]/span"")"),"Loading...")</f>
        <v>Loading...</v>
      </c>
      <c r="J2316" s="7" t="str">
        <f ca="1">IFERROR(__xludf.DUMMYFUNCTION("GOOGLEFINANCE(""NSE:""&amp;D2316,""marketcap"")"),"#N/A")</f>
        <v>#N/A</v>
      </c>
      <c r="K2316" s="7">
        <v>992.8</v>
      </c>
      <c r="L2316" s="8" t="str">
        <f ca="1">IFERROR(__xludf.DUMMYFUNCTION("GOOGLEFINANCE(""NSE:""&amp;D2316,""price"")"),"#N/A")</f>
        <v>#N/A</v>
      </c>
      <c r="M2316" s="9" t="e">
        <f t="shared" ca="1" si="47"/>
        <v>#VALUE!</v>
      </c>
      <c r="N2316" s="10" t="e">
        <f t="shared" ca="1" si="48"/>
        <v>#VALUE!</v>
      </c>
      <c r="O2316" s="7" t="str">
        <f ca="1">IFERROR(__xludf.DUMMYFUNCTION("GOOGLEFINANCE(""NSE:""&amp;D2316,""pe"")"),"#N/A")</f>
        <v>#N/A</v>
      </c>
      <c r="P2316" s="7" t="str">
        <f ca="1">IFERROR(__xludf.DUMMYFUNCTION("GOOGLEFINANCE(""NSE:""&amp;D2316,""EPS"")"),"#N/A")</f>
        <v>#N/A</v>
      </c>
      <c r="Q2316" s="7">
        <v>13.5</v>
      </c>
      <c r="R2316" s="7" t="str">
        <f ca="1">IFERROR(__xludf.DUMMYFUNCTION("IMPORTXML(E2316,""/html/body/main/div[3]/div[3]/div[2]/ul/li[7]/span[2]/span"")"),"Loading...")</f>
        <v>Loading...</v>
      </c>
      <c r="S2316" s="7" t="str">
        <f ca="1">IFERROR(__xludf.DUMMYFUNCTION("IMPORTXML(E2316,""/html/body/main/div[3]/div[3]/div[2]/ul/li[8]/span[2]/span"")"),"Loading...")</f>
        <v>Loading...</v>
      </c>
      <c r="T2316" s="4">
        <v>34.6</v>
      </c>
      <c r="U2316" s="4">
        <v>22.7</v>
      </c>
      <c r="V2316" s="4">
        <v>2.6</v>
      </c>
      <c r="W2316" s="4">
        <v>5.7</v>
      </c>
      <c r="X2316" s="4">
        <v>519.92999999999995</v>
      </c>
      <c r="Y2316" s="7" t="e">
        <f t="shared" ca="1" si="49"/>
        <v>#VALUE!</v>
      </c>
    </row>
    <row r="2317" spans="1:25" ht="15" x14ac:dyDescent="0.25">
      <c r="A2317" s="4">
        <v>2207</v>
      </c>
      <c r="C2317" s="41" t="s">
        <v>4555</v>
      </c>
      <c r="D2317" s="42"/>
      <c r="E2317" s="5" t="str">
        <f t="shared" si="45"/>
        <v>https://www.screener.in/company//consolidated/</v>
      </c>
      <c r="F2317" s="4">
        <v>443059</v>
      </c>
      <c r="G2317" s="4">
        <v>3832241897</v>
      </c>
      <c r="H2317" s="6" t="e">
        <f t="shared" ca="1" si="46"/>
        <v>#VALUE!</v>
      </c>
      <c r="I2317" s="7" t="str">
        <f ca="1">IFERROR(__xludf.DUMMYFUNCTION("IMPORTXML(E2317,""/html/body/main/div[3]/div[3]/div[2]/ul/li[5]/span[2]/span"")"),"Loading...")</f>
        <v>Loading...</v>
      </c>
      <c r="J2317" s="7" t="str">
        <f ca="1">IFERROR(__xludf.DUMMYFUNCTION("GOOGLEFINANCE(""NSE:""&amp;D2317,""marketcap"")"),"#N/A")</f>
        <v>#N/A</v>
      </c>
      <c r="K2317" s="7">
        <v>992.8</v>
      </c>
      <c r="L2317" s="8" t="str">
        <f ca="1">IFERROR(__xludf.DUMMYFUNCTION("GOOGLEFINANCE(""NSE:""&amp;D2317,""price"")"),"#N/A")</f>
        <v>#N/A</v>
      </c>
      <c r="M2317" s="9" t="e">
        <f t="shared" ca="1" si="47"/>
        <v>#VALUE!</v>
      </c>
      <c r="N2317" s="10" t="e">
        <f t="shared" ca="1" si="48"/>
        <v>#VALUE!</v>
      </c>
      <c r="O2317" s="7" t="str">
        <f ca="1">IFERROR(__xludf.DUMMYFUNCTION("GOOGLEFINANCE(""NSE:""&amp;D2317,""pe"")"),"#N/A")</f>
        <v>#N/A</v>
      </c>
      <c r="P2317" s="7" t="str">
        <f ca="1">IFERROR(__xludf.DUMMYFUNCTION("GOOGLEFINANCE(""NSE:""&amp;D2317,""EPS"")"),"#N/A")</f>
        <v>#N/A</v>
      </c>
      <c r="Q2317" s="7">
        <v>13.5</v>
      </c>
      <c r="R2317" s="7" t="str">
        <f ca="1">IFERROR(__xludf.DUMMYFUNCTION("IMPORTXML(E2317,""/html/body/main/div[3]/div[3]/div[2]/ul/li[7]/span[2]/span"")"),"Loading...")</f>
        <v>Loading...</v>
      </c>
      <c r="S2317" s="7" t="str">
        <f ca="1">IFERROR(__xludf.DUMMYFUNCTION("IMPORTXML(E2317,""/html/body/main/div[3]/div[3]/div[2]/ul/li[8]/span[2]/span"")"),"Loading...")</f>
        <v>Loading...</v>
      </c>
      <c r="T2317" s="4">
        <v>34.6</v>
      </c>
      <c r="U2317" s="4">
        <v>22.7</v>
      </c>
      <c r="V2317" s="4">
        <v>2.6</v>
      </c>
      <c r="W2317" s="4">
        <v>5.7</v>
      </c>
      <c r="X2317" s="4">
        <v>519.92999999999995</v>
      </c>
      <c r="Y2317" s="7" t="e">
        <f t="shared" ca="1" si="49"/>
        <v>#VALUE!</v>
      </c>
    </row>
    <row r="2318" spans="1:25" ht="15" x14ac:dyDescent="0.25">
      <c r="A2318" s="4">
        <v>2208</v>
      </c>
      <c r="C2318" s="41" t="s">
        <v>4556</v>
      </c>
      <c r="D2318" s="42"/>
      <c r="E2318" s="5" t="str">
        <f t="shared" si="45"/>
        <v>https://www.screener.in/company//consolidated/</v>
      </c>
      <c r="F2318" s="4">
        <v>443059</v>
      </c>
      <c r="G2318" s="4">
        <v>3832241897</v>
      </c>
      <c r="H2318" s="6" t="e">
        <f t="shared" ca="1" si="46"/>
        <v>#VALUE!</v>
      </c>
      <c r="I2318" s="7" t="str">
        <f ca="1">IFERROR(__xludf.DUMMYFUNCTION("IMPORTXML(E2318,""/html/body/main/div[3]/div[3]/div[2]/ul/li[5]/span[2]/span"")"),"Loading...")</f>
        <v>Loading...</v>
      </c>
      <c r="J2318" s="7" t="str">
        <f ca="1">IFERROR(__xludf.DUMMYFUNCTION("GOOGLEFINANCE(""NSE:""&amp;D2318,""marketcap"")"),"#N/A")</f>
        <v>#N/A</v>
      </c>
      <c r="K2318" s="7">
        <v>992.8</v>
      </c>
      <c r="L2318" s="8" t="str">
        <f ca="1">IFERROR(__xludf.DUMMYFUNCTION("GOOGLEFINANCE(""NSE:""&amp;D2318,""price"")"),"#N/A")</f>
        <v>#N/A</v>
      </c>
      <c r="M2318" s="9" t="e">
        <f t="shared" ca="1" si="47"/>
        <v>#VALUE!</v>
      </c>
      <c r="N2318" s="10" t="e">
        <f t="shared" ca="1" si="48"/>
        <v>#VALUE!</v>
      </c>
      <c r="O2318" s="7" t="str">
        <f ca="1">IFERROR(__xludf.DUMMYFUNCTION("GOOGLEFINANCE(""NSE:""&amp;D2318,""pe"")"),"#N/A")</f>
        <v>#N/A</v>
      </c>
      <c r="P2318" s="7" t="str">
        <f ca="1">IFERROR(__xludf.DUMMYFUNCTION("GOOGLEFINANCE(""NSE:""&amp;D2318,""EPS"")"),"#N/A")</f>
        <v>#N/A</v>
      </c>
      <c r="Q2318" s="7">
        <v>13.5</v>
      </c>
      <c r="R2318" s="7" t="str">
        <f ca="1">IFERROR(__xludf.DUMMYFUNCTION("IMPORTXML(E2318,""/html/body/main/div[3]/div[3]/div[2]/ul/li[7]/span[2]/span"")"),"Loading...")</f>
        <v>Loading...</v>
      </c>
      <c r="S2318" s="7" t="str">
        <f ca="1">IFERROR(__xludf.DUMMYFUNCTION("IMPORTXML(E2318,""/html/body/main/div[3]/div[3]/div[2]/ul/li[8]/span[2]/span"")"),"Loading...")</f>
        <v>Loading...</v>
      </c>
      <c r="T2318" s="4">
        <v>34.6</v>
      </c>
      <c r="U2318" s="4">
        <v>22.7</v>
      </c>
      <c r="V2318" s="4">
        <v>2.6</v>
      </c>
      <c r="W2318" s="4">
        <v>5.7</v>
      </c>
      <c r="X2318" s="4">
        <v>519.92999999999995</v>
      </c>
      <c r="Y2318" s="7" t="e">
        <f t="shared" ca="1" si="49"/>
        <v>#VALUE!</v>
      </c>
    </row>
    <row r="2319" spans="1:25" ht="15" x14ac:dyDescent="0.25">
      <c r="A2319" s="4">
        <v>2209</v>
      </c>
      <c r="C2319" s="41" t="s">
        <v>4557</v>
      </c>
      <c r="D2319" s="42"/>
      <c r="E2319" s="5" t="str">
        <f t="shared" si="45"/>
        <v>https://www.screener.in/company//consolidated/</v>
      </c>
      <c r="F2319" s="4">
        <v>443059</v>
      </c>
      <c r="G2319" s="4">
        <v>3832241897</v>
      </c>
      <c r="H2319" s="6" t="e">
        <f t="shared" ca="1" si="46"/>
        <v>#VALUE!</v>
      </c>
      <c r="I2319" s="7" t="str">
        <f ca="1">IFERROR(__xludf.DUMMYFUNCTION("IMPORTXML(E2319,""/html/body/main/div[3]/div[3]/div[2]/ul/li[5]/span[2]/span"")"),"Loading...")</f>
        <v>Loading...</v>
      </c>
      <c r="J2319" s="7" t="str">
        <f ca="1">IFERROR(__xludf.DUMMYFUNCTION("GOOGLEFINANCE(""NSE:""&amp;D2319,""marketcap"")"),"#N/A")</f>
        <v>#N/A</v>
      </c>
      <c r="K2319" s="7">
        <v>992.8</v>
      </c>
      <c r="L2319" s="8" t="str">
        <f ca="1">IFERROR(__xludf.DUMMYFUNCTION("GOOGLEFINANCE(""NSE:""&amp;D2319,""price"")"),"#N/A")</f>
        <v>#N/A</v>
      </c>
      <c r="M2319" s="9" t="e">
        <f t="shared" ca="1" si="47"/>
        <v>#VALUE!</v>
      </c>
      <c r="N2319" s="10" t="e">
        <f t="shared" ca="1" si="48"/>
        <v>#VALUE!</v>
      </c>
      <c r="O2319" s="7" t="str">
        <f ca="1">IFERROR(__xludf.DUMMYFUNCTION("GOOGLEFINANCE(""NSE:""&amp;D2319,""pe"")"),"#N/A")</f>
        <v>#N/A</v>
      </c>
      <c r="P2319" s="7" t="str">
        <f ca="1">IFERROR(__xludf.DUMMYFUNCTION("GOOGLEFINANCE(""NSE:""&amp;D2319,""EPS"")"),"#N/A")</f>
        <v>#N/A</v>
      </c>
      <c r="Q2319" s="7">
        <v>13.5</v>
      </c>
      <c r="R2319" s="7" t="str">
        <f ca="1">IFERROR(__xludf.DUMMYFUNCTION("IMPORTXML(E2319,""/html/body/main/div[3]/div[3]/div[2]/ul/li[7]/span[2]/span"")"),"Loading...")</f>
        <v>Loading...</v>
      </c>
      <c r="S2319" s="7" t="str">
        <f ca="1">IFERROR(__xludf.DUMMYFUNCTION("IMPORTXML(E2319,""/html/body/main/div[3]/div[3]/div[2]/ul/li[8]/span[2]/span"")"),"Loading...")</f>
        <v>Loading...</v>
      </c>
      <c r="T2319" s="4">
        <v>34.6</v>
      </c>
      <c r="U2319" s="4">
        <v>22.7</v>
      </c>
      <c r="V2319" s="4">
        <v>2.6</v>
      </c>
      <c r="W2319" s="4">
        <v>5.7</v>
      </c>
      <c r="X2319" s="4">
        <v>519.92999999999995</v>
      </c>
      <c r="Y2319" s="7" t="e">
        <f t="shared" ca="1" si="49"/>
        <v>#VALUE!</v>
      </c>
    </row>
    <row r="2320" spans="1:25" ht="15" x14ac:dyDescent="0.25">
      <c r="A2320" s="4">
        <v>2210</v>
      </c>
      <c r="C2320" s="41" t="s">
        <v>4558</v>
      </c>
      <c r="D2320" s="42"/>
      <c r="E2320" s="5" t="str">
        <f t="shared" si="45"/>
        <v>https://www.screener.in/company//consolidated/</v>
      </c>
      <c r="F2320" s="4">
        <v>443059</v>
      </c>
      <c r="G2320" s="4">
        <v>3832241897</v>
      </c>
      <c r="H2320" s="6" t="e">
        <f t="shared" ca="1" si="46"/>
        <v>#VALUE!</v>
      </c>
      <c r="I2320" s="7" t="str">
        <f ca="1">IFERROR(__xludf.DUMMYFUNCTION("IMPORTXML(E2320,""/html/body/main/div[3]/div[3]/div[2]/ul/li[5]/span[2]/span"")"),"Loading...")</f>
        <v>Loading...</v>
      </c>
      <c r="J2320" s="7" t="str">
        <f ca="1">IFERROR(__xludf.DUMMYFUNCTION("GOOGLEFINANCE(""NSE:""&amp;D2320,""marketcap"")"),"#N/A")</f>
        <v>#N/A</v>
      </c>
      <c r="K2320" s="7">
        <v>992.8</v>
      </c>
      <c r="L2320" s="8" t="str">
        <f ca="1">IFERROR(__xludf.DUMMYFUNCTION("GOOGLEFINANCE(""NSE:""&amp;D2320,""price"")"),"#N/A")</f>
        <v>#N/A</v>
      </c>
      <c r="M2320" s="9" t="e">
        <f t="shared" ca="1" si="47"/>
        <v>#VALUE!</v>
      </c>
      <c r="N2320" s="10" t="e">
        <f t="shared" ca="1" si="48"/>
        <v>#VALUE!</v>
      </c>
      <c r="O2320" s="7" t="str">
        <f ca="1">IFERROR(__xludf.DUMMYFUNCTION("GOOGLEFINANCE(""NSE:""&amp;D2320,""pe"")"),"#N/A")</f>
        <v>#N/A</v>
      </c>
      <c r="P2320" s="7" t="str">
        <f ca="1">IFERROR(__xludf.DUMMYFUNCTION("GOOGLEFINANCE(""NSE:""&amp;D2320,""EPS"")"),"#N/A")</f>
        <v>#N/A</v>
      </c>
      <c r="Q2320" s="7">
        <v>13.5</v>
      </c>
      <c r="R2320" s="7" t="str">
        <f ca="1">IFERROR(__xludf.DUMMYFUNCTION("IMPORTXML(E2320,""/html/body/main/div[3]/div[3]/div[2]/ul/li[7]/span[2]/span"")"),"Loading...")</f>
        <v>Loading...</v>
      </c>
      <c r="S2320" s="7" t="str">
        <f ca="1">IFERROR(__xludf.DUMMYFUNCTION("IMPORTXML(E2320,""/html/body/main/div[3]/div[3]/div[2]/ul/li[8]/span[2]/span"")"),"Loading...")</f>
        <v>Loading...</v>
      </c>
      <c r="T2320" s="4">
        <v>34.6</v>
      </c>
      <c r="U2320" s="4">
        <v>22.7</v>
      </c>
      <c r="V2320" s="4">
        <v>2.6</v>
      </c>
      <c r="W2320" s="4">
        <v>5.7</v>
      </c>
      <c r="X2320" s="4">
        <v>519.92999999999995</v>
      </c>
      <c r="Y2320" s="7" t="e">
        <f t="shared" ca="1" si="49"/>
        <v>#VALUE!</v>
      </c>
    </row>
    <row r="2321" spans="1:25" ht="15" x14ac:dyDescent="0.25">
      <c r="A2321" s="4">
        <v>2211</v>
      </c>
      <c r="C2321" s="41" t="s">
        <v>4559</v>
      </c>
      <c r="D2321" s="42"/>
      <c r="E2321" s="5" t="str">
        <f t="shared" si="45"/>
        <v>https://www.screener.in/company//consolidated/</v>
      </c>
      <c r="F2321" s="4">
        <v>443059</v>
      </c>
      <c r="G2321" s="4">
        <v>3832241897</v>
      </c>
      <c r="H2321" s="6" t="e">
        <f t="shared" ca="1" si="46"/>
        <v>#VALUE!</v>
      </c>
      <c r="I2321" s="7" t="str">
        <f ca="1">IFERROR(__xludf.DUMMYFUNCTION("IMPORTXML(E2321,""/html/body/main/div[3]/div[3]/div[2]/ul/li[5]/span[2]/span"")"),"Loading...")</f>
        <v>Loading...</v>
      </c>
      <c r="J2321" s="7" t="str">
        <f ca="1">IFERROR(__xludf.DUMMYFUNCTION("GOOGLEFINANCE(""NSE:""&amp;D2321,""marketcap"")"),"#N/A")</f>
        <v>#N/A</v>
      </c>
      <c r="K2321" s="7">
        <v>992.8</v>
      </c>
      <c r="L2321" s="8" t="str">
        <f ca="1">IFERROR(__xludf.DUMMYFUNCTION("GOOGLEFINANCE(""NSE:""&amp;D2321,""price"")"),"#N/A")</f>
        <v>#N/A</v>
      </c>
      <c r="M2321" s="9" t="e">
        <f t="shared" ca="1" si="47"/>
        <v>#VALUE!</v>
      </c>
      <c r="N2321" s="10" t="e">
        <f t="shared" ca="1" si="48"/>
        <v>#VALUE!</v>
      </c>
      <c r="O2321" s="7" t="str">
        <f ca="1">IFERROR(__xludf.DUMMYFUNCTION("GOOGLEFINANCE(""NSE:""&amp;D2321,""pe"")"),"#N/A")</f>
        <v>#N/A</v>
      </c>
      <c r="P2321" s="7" t="str">
        <f ca="1">IFERROR(__xludf.DUMMYFUNCTION("GOOGLEFINANCE(""NSE:""&amp;D2321,""EPS"")"),"#N/A")</f>
        <v>#N/A</v>
      </c>
      <c r="Q2321" s="7">
        <v>13.5</v>
      </c>
      <c r="R2321" s="7" t="str">
        <f ca="1">IFERROR(__xludf.DUMMYFUNCTION("IMPORTXML(E2321,""/html/body/main/div[3]/div[3]/div[2]/ul/li[7]/span[2]/span"")"),"Loading...")</f>
        <v>Loading...</v>
      </c>
      <c r="S2321" s="7" t="str">
        <f ca="1">IFERROR(__xludf.DUMMYFUNCTION("IMPORTXML(E2321,""/html/body/main/div[3]/div[3]/div[2]/ul/li[8]/span[2]/span"")"),"Loading...")</f>
        <v>Loading...</v>
      </c>
      <c r="T2321" s="4">
        <v>34.6</v>
      </c>
      <c r="U2321" s="4">
        <v>22.7</v>
      </c>
      <c r="V2321" s="4">
        <v>2.6</v>
      </c>
      <c r="W2321" s="4">
        <v>5.7</v>
      </c>
      <c r="X2321" s="4">
        <v>519.92999999999995</v>
      </c>
      <c r="Y2321" s="7" t="e">
        <f t="shared" ca="1" si="49"/>
        <v>#VALUE!</v>
      </c>
    </row>
    <row r="2322" spans="1:25" ht="15" x14ac:dyDescent="0.25">
      <c r="A2322" s="4">
        <v>2212</v>
      </c>
      <c r="C2322" s="12" t="s">
        <v>4560</v>
      </c>
      <c r="D2322" s="12" t="s">
        <v>4561</v>
      </c>
      <c r="E2322" s="5" t="str">
        <f t="shared" si="45"/>
        <v>https://www.screener.in/company/BHARATGEAR/consolidated/</v>
      </c>
      <c r="F2322" s="4">
        <v>443059</v>
      </c>
      <c r="G2322" s="4">
        <v>3832241897</v>
      </c>
      <c r="H2322" s="6">
        <f t="shared" ca="1" si="46"/>
        <v>36785.689969302999</v>
      </c>
      <c r="I2322" s="7" t="str">
        <f ca="1">IFERROR(__xludf.DUMMYFUNCTION("IMPORTXML(E2322,""/html/body/main/div[3]/div[3]/div[2]/ul/li[5]/span[2]/span"")"),"Loading...")</f>
        <v>Loading...</v>
      </c>
      <c r="J2322" s="7">
        <f ca="1">IFERROR(__xludf.DUMMYFUNCTION("GOOGLEFINANCE(""NSE:""&amp;D2322,""marketcap"")"),1473931216)</f>
        <v>1473931216</v>
      </c>
      <c r="K2322" s="7">
        <v>992.8</v>
      </c>
      <c r="L2322" s="8">
        <f ca="1">IFERROR(__xludf.DUMMYFUNCTION("GOOGLEFINANCE(""NSE:""&amp;D2322,""price"")"),95.99)</f>
        <v>95.99</v>
      </c>
      <c r="M2322" s="9">
        <f t="shared" ca="1" si="47"/>
        <v>-896.81</v>
      </c>
      <c r="N2322" s="10">
        <f t="shared" ca="1" si="48"/>
        <v>-90.331385979049145</v>
      </c>
      <c r="O2322" s="7">
        <f ca="1">IFERROR(__xludf.DUMMYFUNCTION("GOOGLEFINANCE(""NSE:""&amp;D2322,""pe"")"),22.14)</f>
        <v>22.14</v>
      </c>
      <c r="P2322" s="7">
        <f ca="1">IFERROR(__xludf.DUMMYFUNCTION("GOOGLEFINANCE(""NSE:""&amp;D2322,""EPS"")"),4.34)</f>
        <v>4.34</v>
      </c>
      <c r="Q2322" s="7">
        <v>13.5</v>
      </c>
      <c r="R2322" s="7" t="str">
        <f ca="1">IFERROR(__xludf.DUMMYFUNCTION("IMPORTXML(E2322,""/html/body/main/div[3]/div[3]/div[2]/ul/li[7]/span[2]/span"")"),"Loading...")</f>
        <v>Loading...</v>
      </c>
      <c r="S2322" s="7" t="str">
        <f ca="1">IFERROR(__xludf.DUMMYFUNCTION("IMPORTXML(E2322,""/html/body/main/div[3]/div[3]/div[2]/ul/li[8]/span[2]/span"")"),"Loading...")</f>
        <v>Loading...</v>
      </c>
      <c r="T2322" s="4">
        <v>34.6</v>
      </c>
      <c r="U2322" s="4">
        <v>22.7</v>
      </c>
      <c r="V2322" s="4">
        <v>2.6</v>
      </c>
      <c r="W2322" s="4">
        <v>5.7</v>
      </c>
      <c r="X2322" s="4">
        <v>519.92999999999995</v>
      </c>
      <c r="Y2322" s="7">
        <f t="shared" ca="1" si="49"/>
        <v>-423.93999999999994</v>
      </c>
    </row>
    <row r="2323" spans="1:25" ht="15" x14ac:dyDescent="0.25">
      <c r="A2323" s="4">
        <v>2213</v>
      </c>
      <c r="C2323" s="41" t="s">
        <v>4562</v>
      </c>
      <c r="D2323" s="42"/>
      <c r="E2323" s="5" t="str">
        <f t="shared" si="45"/>
        <v>https://www.screener.in/company//consolidated/</v>
      </c>
      <c r="F2323" s="4">
        <v>443059</v>
      </c>
      <c r="G2323" s="4">
        <v>3832241897</v>
      </c>
      <c r="H2323" s="6" t="e">
        <f t="shared" ca="1" si="46"/>
        <v>#VALUE!</v>
      </c>
      <c r="I2323" s="7" t="str">
        <f ca="1">IFERROR(__xludf.DUMMYFUNCTION("IMPORTXML(E2323,""/html/body/main/div[3]/div[3]/div[2]/ul/li[5]/span[2]/span"")"),"Loading...")</f>
        <v>Loading...</v>
      </c>
      <c r="J2323" s="7" t="str">
        <f ca="1">IFERROR(__xludf.DUMMYFUNCTION("GOOGLEFINANCE(""NSE:""&amp;D2323,""marketcap"")"),"#N/A")</f>
        <v>#N/A</v>
      </c>
      <c r="K2323" s="7">
        <v>992.8</v>
      </c>
      <c r="L2323" s="8" t="str">
        <f ca="1">IFERROR(__xludf.DUMMYFUNCTION("GOOGLEFINANCE(""NSE:""&amp;D2323,""price"")"),"#N/A")</f>
        <v>#N/A</v>
      </c>
      <c r="M2323" s="9" t="e">
        <f t="shared" ca="1" si="47"/>
        <v>#VALUE!</v>
      </c>
      <c r="N2323" s="10" t="e">
        <f t="shared" ca="1" si="48"/>
        <v>#VALUE!</v>
      </c>
      <c r="O2323" s="7" t="str">
        <f ca="1">IFERROR(__xludf.DUMMYFUNCTION("GOOGLEFINANCE(""NSE:""&amp;D2323,""pe"")"),"#N/A")</f>
        <v>#N/A</v>
      </c>
      <c r="P2323" s="7" t="str">
        <f ca="1">IFERROR(__xludf.DUMMYFUNCTION("GOOGLEFINANCE(""NSE:""&amp;D2323,""EPS"")"),"#N/A")</f>
        <v>#N/A</v>
      </c>
      <c r="Q2323" s="7">
        <v>13.5</v>
      </c>
      <c r="R2323" s="7" t="str">
        <f ca="1">IFERROR(__xludf.DUMMYFUNCTION("IMPORTXML(E2323,""/html/body/main/div[3]/div[3]/div[2]/ul/li[7]/span[2]/span"")"),"Loading...")</f>
        <v>Loading...</v>
      </c>
      <c r="S2323" s="7" t="str">
        <f ca="1">IFERROR(__xludf.DUMMYFUNCTION("IMPORTXML(E2323,""/html/body/main/div[3]/div[3]/div[2]/ul/li[8]/span[2]/span"")"),"Loading...")</f>
        <v>Loading...</v>
      </c>
      <c r="T2323" s="4">
        <v>34.6</v>
      </c>
      <c r="U2323" s="4">
        <v>22.7</v>
      </c>
      <c r="V2323" s="4">
        <v>2.6</v>
      </c>
      <c r="W2323" s="4">
        <v>5.7</v>
      </c>
      <c r="X2323" s="4">
        <v>519.92999999999995</v>
      </c>
      <c r="Y2323" s="7" t="e">
        <f t="shared" ca="1" si="49"/>
        <v>#VALUE!</v>
      </c>
    </row>
    <row r="2324" spans="1:25" ht="15" x14ac:dyDescent="0.25">
      <c r="A2324" s="4">
        <v>2214</v>
      </c>
      <c r="C2324" s="41" t="s">
        <v>4563</v>
      </c>
      <c r="D2324" s="42"/>
      <c r="E2324" s="5" t="str">
        <f t="shared" si="45"/>
        <v>https://www.screener.in/company//consolidated/</v>
      </c>
      <c r="F2324" s="4">
        <v>443059</v>
      </c>
      <c r="G2324" s="4">
        <v>3832241897</v>
      </c>
      <c r="H2324" s="6" t="e">
        <f t="shared" ca="1" si="46"/>
        <v>#VALUE!</v>
      </c>
      <c r="I2324" s="7" t="str">
        <f ca="1">IFERROR(__xludf.DUMMYFUNCTION("IMPORTXML(E2324,""/html/body/main/div[3]/div[3]/div[2]/ul/li[5]/span[2]/span"")"),"Loading...")</f>
        <v>Loading...</v>
      </c>
      <c r="J2324" s="7" t="str">
        <f ca="1">IFERROR(__xludf.DUMMYFUNCTION("GOOGLEFINANCE(""NSE:""&amp;D2324,""marketcap"")"),"#N/A")</f>
        <v>#N/A</v>
      </c>
      <c r="K2324" s="7">
        <v>992.8</v>
      </c>
      <c r="L2324" s="8" t="str">
        <f ca="1">IFERROR(__xludf.DUMMYFUNCTION("GOOGLEFINANCE(""NSE:""&amp;D2324,""price"")"),"#N/A")</f>
        <v>#N/A</v>
      </c>
      <c r="M2324" s="9" t="e">
        <f t="shared" ca="1" si="47"/>
        <v>#VALUE!</v>
      </c>
      <c r="N2324" s="10" t="e">
        <f t="shared" ca="1" si="48"/>
        <v>#VALUE!</v>
      </c>
      <c r="O2324" s="7" t="str">
        <f ca="1">IFERROR(__xludf.DUMMYFUNCTION("GOOGLEFINANCE(""NSE:""&amp;D2324,""pe"")"),"#N/A")</f>
        <v>#N/A</v>
      </c>
      <c r="P2324" s="7" t="str">
        <f ca="1">IFERROR(__xludf.DUMMYFUNCTION("GOOGLEFINANCE(""NSE:""&amp;D2324,""EPS"")"),"#N/A")</f>
        <v>#N/A</v>
      </c>
      <c r="Q2324" s="7">
        <v>13.5</v>
      </c>
      <c r="R2324" s="7" t="str">
        <f ca="1">IFERROR(__xludf.DUMMYFUNCTION("IMPORTXML(E2324,""/html/body/main/div[3]/div[3]/div[2]/ul/li[7]/span[2]/span"")"),"Loading...")</f>
        <v>Loading...</v>
      </c>
      <c r="S2324" s="7" t="str">
        <f ca="1">IFERROR(__xludf.DUMMYFUNCTION("IMPORTXML(E2324,""/html/body/main/div[3]/div[3]/div[2]/ul/li[8]/span[2]/span"")"),"Loading...")</f>
        <v>Loading...</v>
      </c>
      <c r="T2324" s="4">
        <v>34.6</v>
      </c>
      <c r="U2324" s="4">
        <v>22.7</v>
      </c>
      <c r="V2324" s="4">
        <v>2.6</v>
      </c>
      <c r="W2324" s="4">
        <v>5.7</v>
      </c>
      <c r="X2324" s="4">
        <v>519.92999999999995</v>
      </c>
      <c r="Y2324" s="7" t="e">
        <f t="shared" ca="1" si="49"/>
        <v>#VALUE!</v>
      </c>
    </row>
    <row r="2325" spans="1:25" ht="15" x14ac:dyDescent="0.25">
      <c r="A2325" s="4">
        <v>2215</v>
      </c>
      <c r="C2325" s="41" t="s">
        <v>4564</v>
      </c>
      <c r="D2325" s="42"/>
      <c r="E2325" s="5" t="str">
        <f t="shared" si="45"/>
        <v>https://www.screener.in/company//consolidated/</v>
      </c>
      <c r="F2325" s="4">
        <v>443059</v>
      </c>
      <c r="G2325" s="4">
        <v>3832241897</v>
      </c>
      <c r="H2325" s="6" t="e">
        <f t="shared" ca="1" si="46"/>
        <v>#VALUE!</v>
      </c>
      <c r="I2325" s="7" t="str">
        <f ca="1">IFERROR(__xludf.DUMMYFUNCTION("IMPORTXML(E2325,""/html/body/main/div[3]/div[3]/div[2]/ul/li[5]/span[2]/span"")"),"Loading...")</f>
        <v>Loading...</v>
      </c>
      <c r="J2325" s="7" t="str">
        <f ca="1">IFERROR(__xludf.DUMMYFUNCTION("GOOGLEFINANCE(""NSE:""&amp;D2325,""marketcap"")"),"#N/A")</f>
        <v>#N/A</v>
      </c>
      <c r="K2325" s="7">
        <v>992.8</v>
      </c>
      <c r="L2325" s="8" t="str">
        <f ca="1">IFERROR(__xludf.DUMMYFUNCTION("GOOGLEFINANCE(""NSE:""&amp;D2325,""price"")"),"#N/A")</f>
        <v>#N/A</v>
      </c>
      <c r="M2325" s="9" t="e">
        <f t="shared" ca="1" si="47"/>
        <v>#VALUE!</v>
      </c>
      <c r="N2325" s="10" t="e">
        <f t="shared" ca="1" si="48"/>
        <v>#VALUE!</v>
      </c>
      <c r="O2325" s="7" t="str">
        <f ca="1">IFERROR(__xludf.DUMMYFUNCTION("GOOGLEFINANCE(""NSE:""&amp;D2325,""pe"")"),"#N/A")</f>
        <v>#N/A</v>
      </c>
      <c r="P2325" s="7" t="str">
        <f ca="1">IFERROR(__xludf.DUMMYFUNCTION("GOOGLEFINANCE(""NSE:""&amp;D2325,""EPS"")"),"#N/A")</f>
        <v>#N/A</v>
      </c>
      <c r="Q2325" s="7">
        <v>13.5</v>
      </c>
      <c r="R2325" s="7" t="str">
        <f ca="1">IFERROR(__xludf.DUMMYFUNCTION("IMPORTXML(E2325,""/html/body/main/div[3]/div[3]/div[2]/ul/li[7]/span[2]/span"")"),"Loading...")</f>
        <v>Loading...</v>
      </c>
      <c r="S2325" s="7" t="str">
        <f ca="1">IFERROR(__xludf.DUMMYFUNCTION("IMPORTXML(E2325,""/html/body/main/div[3]/div[3]/div[2]/ul/li[8]/span[2]/span"")"),"Loading...")</f>
        <v>Loading...</v>
      </c>
      <c r="T2325" s="4">
        <v>34.6</v>
      </c>
      <c r="U2325" s="4">
        <v>22.7</v>
      </c>
      <c r="V2325" s="4">
        <v>2.6</v>
      </c>
      <c r="W2325" s="4">
        <v>5.7</v>
      </c>
      <c r="X2325" s="4">
        <v>519.92999999999995</v>
      </c>
      <c r="Y2325" s="7" t="e">
        <f t="shared" ca="1" si="49"/>
        <v>#VALUE!</v>
      </c>
    </row>
    <row r="2326" spans="1:25" ht="15" x14ac:dyDescent="0.25">
      <c r="A2326" s="4">
        <v>2216</v>
      </c>
      <c r="C2326" s="12" t="s">
        <v>4565</v>
      </c>
      <c r="D2326" s="12" t="s">
        <v>4566</v>
      </c>
      <c r="E2326" s="5" t="str">
        <f t="shared" si="45"/>
        <v>https://www.screener.in/company/GAYAPROJ/consolidated/</v>
      </c>
      <c r="F2326" s="4">
        <v>443059</v>
      </c>
      <c r="G2326" s="4">
        <v>3832241897</v>
      </c>
      <c r="H2326" s="6">
        <f t="shared" ca="1" si="46"/>
        <v>3245.9088867590003</v>
      </c>
      <c r="I2326" s="7" t="str">
        <f ca="1">IFERROR(__xludf.DUMMYFUNCTION("IMPORTXML(E2326,""/html/body/main/div[3]/div[3]/div[2]/ul/li[5]/span[2]/span"")"),"Loading...")</f>
        <v>Loading...</v>
      </c>
      <c r="J2326" s="7">
        <f ca="1">IFERROR(__xludf.DUMMYFUNCTION("GOOGLEFINANCE(""NSE:""&amp;D2326,""marketcap"")"),1581829000)</f>
        <v>1581829000</v>
      </c>
      <c r="K2326" s="7">
        <v>992.8</v>
      </c>
      <c r="L2326" s="8">
        <f ca="1">IFERROR(__xludf.DUMMYFUNCTION("GOOGLEFINANCE(""NSE:""&amp;D2326,""price"")"),8.47)</f>
        <v>8.4700000000000006</v>
      </c>
      <c r="M2326" s="9">
        <f t="shared" ca="1" si="47"/>
        <v>-984.32999999999993</v>
      </c>
      <c r="N2326" s="10">
        <f t="shared" ca="1" si="48"/>
        <v>-99.14685737308622</v>
      </c>
      <c r="O2326" s="7" t="str">
        <f ca="1">IFERROR(__xludf.DUMMYFUNCTION("GOOGLEFINANCE(""NSE:""&amp;D2326,""pe"")"),"#N/A")</f>
        <v>#N/A</v>
      </c>
      <c r="P2326" s="7" t="str">
        <f ca="1">IFERROR(__xludf.DUMMYFUNCTION("GOOGLEFINANCE(""NSE:""&amp;D2326,""EPS"")"),"#N/A")</f>
        <v>#N/A</v>
      </c>
      <c r="Q2326" s="7">
        <v>13.5</v>
      </c>
      <c r="R2326" s="7" t="str">
        <f ca="1">IFERROR(__xludf.DUMMYFUNCTION("IMPORTXML(E2326,""/html/body/main/div[3]/div[3]/div[2]/ul/li[7]/span[2]/span"")"),"Loading...")</f>
        <v>Loading...</v>
      </c>
      <c r="S2326" s="7" t="str">
        <f ca="1">IFERROR(__xludf.DUMMYFUNCTION("IMPORTXML(E2326,""/html/body/main/div[3]/div[3]/div[2]/ul/li[8]/span[2]/span"")"),"Loading...")</f>
        <v>Loading...</v>
      </c>
      <c r="T2326" s="4">
        <v>34.6</v>
      </c>
      <c r="U2326" s="4">
        <v>22.7</v>
      </c>
      <c r="V2326" s="4">
        <v>2.6</v>
      </c>
      <c r="W2326" s="4">
        <v>5.7</v>
      </c>
      <c r="X2326" s="4">
        <v>519.92999999999995</v>
      </c>
      <c r="Y2326" s="7">
        <f t="shared" ca="1" si="49"/>
        <v>-511.45999999999992</v>
      </c>
    </row>
    <row r="2327" spans="1:25" ht="15" x14ac:dyDescent="0.25">
      <c r="A2327" s="4">
        <v>2217</v>
      </c>
      <c r="C2327" s="41" t="s">
        <v>4567</v>
      </c>
      <c r="D2327" s="42"/>
      <c r="E2327" s="5" t="str">
        <f t="shared" si="45"/>
        <v>https://www.screener.in/company//consolidated/</v>
      </c>
      <c r="F2327" s="4">
        <v>443059</v>
      </c>
      <c r="G2327" s="4">
        <v>3832241897</v>
      </c>
      <c r="H2327" s="6" t="e">
        <f t="shared" ca="1" si="46"/>
        <v>#VALUE!</v>
      </c>
      <c r="I2327" s="7" t="str">
        <f ca="1">IFERROR(__xludf.DUMMYFUNCTION("IMPORTXML(E2327,""/html/body/main/div[3]/div[3]/div[2]/ul/li[5]/span[2]/span"")"),"Loading...")</f>
        <v>Loading...</v>
      </c>
      <c r="J2327" s="7" t="str">
        <f ca="1">IFERROR(__xludf.DUMMYFUNCTION("GOOGLEFINANCE(""NSE:""&amp;D2327,""marketcap"")"),"#N/A")</f>
        <v>#N/A</v>
      </c>
      <c r="K2327" s="7">
        <v>992.8</v>
      </c>
      <c r="L2327" s="8" t="str">
        <f ca="1">IFERROR(__xludf.DUMMYFUNCTION("GOOGLEFINANCE(""NSE:""&amp;D2327,""price"")"),"#N/A")</f>
        <v>#N/A</v>
      </c>
      <c r="M2327" s="9" t="e">
        <f t="shared" ca="1" si="47"/>
        <v>#VALUE!</v>
      </c>
      <c r="N2327" s="10" t="e">
        <f t="shared" ca="1" si="48"/>
        <v>#VALUE!</v>
      </c>
      <c r="O2327" s="7" t="str">
        <f ca="1">IFERROR(__xludf.DUMMYFUNCTION("GOOGLEFINANCE(""NSE:""&amp;D2327,""pe"")"),"#N/A")</f>
        <v>#N/A</v>
      </c>
      <c r="P2327" s="7" t="str">
        <f ca="1">IFERROR(__xludf.DUMMYFUNCTION("GOOGLEFINANCE(""NSE:""&amp;D2327,""EPS"")"),"#N/A")</f>
        <v>#N/A</v>
      </c>
      <c r="Q2327" s="7">
        <v>13.5</v>
      </c>
      <c r="R2327" s="7" t="str">
        <f ca="1">IFERROR(__xludf.DUMMYFUNCTION("IMPORTXML(E2327,""/html/body/main/div[3]/div[3]/div[2]/ul/li[7]/span[2]/span"")"),"Loading...")</f>
        <v>Loading...</v>
      </c>
      <c r="S2327" s="7" t="str">
        <f ca="1">IFERROR(__xludf.DUMMYFUNCTION("IMPORTXML(E2327,""/html/body/main/div[3]/div[3]/div[2]/ul/li[8]/span[2]/span"")"),"Loading...")</f>
        <v>Loading...</v>
      </c>
      <c r="T2327" s="4">
        <v>34.6</v>
      </c>
      <c r="U2327" s="4">
        <v>22.7</v>
      </c>
      <c r="V2327" s="4">
        <v>2.6</v>
      </c>
      <c r="W2327" s="4">
        <v>5.7</v>
      </c>
      <c r="X2327" s="4">
        <v>519.92999999999995</v>
      </c>
      <c r="Y2327" s="7" t="e">
        <f t="shared" ca="1" si="49"/>
        <v>#VALUE!</v>
      </c>
    </row>
    <row r="2328" spans="1:25" ht="15" x14ac:dyDescent="0.25">
      <c r="A2328" s="4">
        <v>2218</v>
      </c>
      <c r="C2328" s="12" t="s">
        <v>4568</v>
      </c>
      <c r="D2328" s="12" t="s">
        <v>4569</v>
      </c>
      <c r="E2328" s="5" t="str">
        <f t="shared" si="45"/>
        <v>https://www.screener.in/company/ZENITHEXPO/consolidated/</v>
      </c>
      <c r="F2328" s="4">
        <v>443059</v>
      </c>
      <c r="G2328" s="4">
        <v>3832241897</v>
      </c>
      <c r="H2328" s="6">
        <f t="shared" ca="1" si="46"/>
        <v>117496.53656202002</v>
      </c>
      <c r="I2328" s="7" t="str">
        <f ca="1">IFERROR(__xludf.DUMMYFUNCTION("IMPORTXML(E2328,""/html/body/main/div[3]/div[3]/div[2]/ul/li[5]/span[2]/span"")"),"Loading...")</f>
        <v>Loading...</v>
      </c>
      <c r="J2328" s="7">
        <f ca="1">IFERROR(__xludf.DUMMYFUNCTION("GOOGLEFINANCE(""NSE:""&amp;D2328,""marketcap"")"),1654490282)</f>
        <v>1654490282</v>
      </c>
      <c r="K2328" s="7">
        <v>992.8</v>
      </c>
      <c r="L2328" s="8">
        <f ca="1">IFERROR(__xludf.DUMMYFUNCTION("GOOGLEFINANCE(""NSE:""&amp;D2328,""price"")"),306.6)</f>
        <v>306.60000000000002</v>
      </c>
      <c r="M2328" s="9">
        <f t="shared" ca="1" si="47"/>
        <v>-686.19999999999993</v>
      </c>
      <c r="N2328" s="10">
        <f t="shared" ca="1" si="48"/>
        <v>-69.117647058823522</v>
      </c>
      <c r="O2328" s="7" t="str">
        <f ca="1">IFERROR(__xludf.DUMMYFUNCTION("GOOGLEFINANCE(""NSE:""&amp;D2328,""pe"")"),"#N/A")</f>
        <v>#N/A</v>
      </c>
      <c r="P2328" s="7">
        <f ca="1">IFERROR(__xludf.DUMMYFUNCTION("GOOGLEFINANCE(""NSE:""&amp;D2328,""EPS"")"),-1.53)</f>
        <v>-1.53</v>
      </c>
      <c r="Q2328" s="7">
        <v>13.5</v>
      </c>
      <c r="R2328" s="7" t="str">
        <f ca="1">IFERROR(__xludf.DUMMYFUNCTION("IMPORTXML(E2328,""/html/body/main/div[3]/div[3]/div[2]/ul/li[7]/span[2]/span"")"),"Loading...")</f>
        <v>Loading...</v>
      </c>
      <c r="S2328" s="7" t="str">
        <f ca="1">IFERROR(__xludf.DUMMYFUNCTION("IMPORTXML(E2328,""/html/body/main/div[3]/div[3]/div[2]/ul/li[8]/span[2]/span"")"),"Loading...")</f>
        <v>Loading...</v>
      </c>
      <c r="T2328" s="4">
        <v>34.6</v>
      </c>
      <c r="U2328" s="4">
        <v>22.7</v>
      </c>
      <c r="V2328" s="4">
        <v>2.6</v>
      </c>
      <c r="W2328" s="4">
        <v>5.7</v>
      </c>
      <c r="X2328" s="4">
        <v>519.92999999999995</v>
      </c>
      <c r="Y2328" s="7">
        <f t="shared" ca="1" si="49"/>
        <v>-213.32999999999993</v>
      </c>
    </row>
    <row r="2329" spans="1:25" ht="15" x14ac:dyDescent="0.25">
      <c r="A2329" s="4">
        <v>2220</v>
      </c>
      <c r="C2329" s="41" t="s">
        <v>4570</v>
      </c>
      <c r="D2329" s="42"/>
      <c r="E2329" s="5" t="str">
        <f t="shared" si="45"/>
        <v>https://www.screener.in/company//consolidated/</v>
      </c>
      <c r="F2329" s="4">
        <v>443059</v>
      </c>
      <c r="G2329" s="4">
        <v>3832241897</v>
      </c>
      <c r="H2329" s="6" t="e">
        <f t="shared" ca="1" si="46"/>
        <v>#VALUE!</v>
      </c>
      <c r="I2329" s="7" t="str">
        <f ca="1">IFERROR(__xludf.DUMMYFUNCTION("IMPORTXML(E2329,""/html/body/main/div[3]/div[3]/div[2]/ul/li[5]/span[2]/span"")"),"Loading...")</f>
        <v>Loading...</v>
      </c>
      <c r="J2329" s="7" t="str">
        <f ca="1">IFERROR(__xludf.DUMMYFUNCTION("GOOGLEFINANCE(""NSE:""&amp;D2329,""marketcap"")"),"#N/A")</f>
        <v>#N/A</v>
      </c>
      <c r="K2329" s="7">
        <v>992.8</v>
      </c>
      <c r="L2329" s="8" t="str">
        <f ca="1">IFERROR(__xludf.DUMMYFUNCTION("GOOGLEFINANCE(""NSE:""&amp;D2329,""price"")"),"#N/A")</f>
        <v>#N/A</v>
      </c>
      <c r="M2329" s="9" t="e">
        <f t="shared" ca="1" si="47"/>
        <v>#VALUE!</v>
      </c>
      <c r="N2329" s="10" t="e">
        <f t="shared" ca="1" si="48"/>
        <v>#VALUE!</v>
      </c>
      <c r="O2329" s="7" t="str">
        <f ca="1">IFERROR(__xludf.DUMMYFUNCTION("GOOGLEFINANCE(""NSE:""&amp;D2329,""pe"")"),"#N/A")</f>
        <v>#N/A</v>
      </c>
      <c r="P2329" s="7" t="str">
        <f ca="1">IFERROR(__xludf.DUMMYFUNCTION("GOOGLEFINANCE(""NSE:""&amp;D2329,""EPS"")"),"#N/A")</f>
        <v>#N/A</v>
      </c>
      <c r="Q2329" s="7">
        <v>13.5</v>
      </c>
      <c r="R2329" s="7" t="str">
        <f ca="1">IFERROR(__xludf.DUMMYFUNCTION("IMPORTXML(E2329,""/html/body/main/div[3]/div[3]/div[2]/ul/li[7]/span[2]/span"")"),"Loading...")</f>
        <v>Loading...</v>
      </c>
      <c r="S2329" s="7" t="str">
        <f ca="1">IFERROR(__xludf.DUMMYFUNCTION("IMPORTXML(E2329,""/html/body/main/div[3]/div[3]/div[2]/ul/li[8]/span[2]/span"")"),"Loading...")</f>
        <v>Loading...</v>
      </c>
      <c r="T2329" s="4">
        <v>34.6</v>
      </c>
      <c r="U2329" s="4">
        <v>22.7</v>
      </c>
      <c r="V2329" s="4">
        <v>2.6</v>
      </c>
      <c r="W2329" s="4">
        <v>5.7</v>
      </c>
      <c r="X2329" s="4">
        <v>519.92999999999995</v>
      </c>
      <c r="Y2329" s="7" t="e">
        <f t="shared" ca="1" si="49"/>
        <v>#VALUE!</v>
      </c>
    </row>
    <row r="2330" spans="1:25" ht="15" x14ac:dyDescent="0.25">
      <c r="A2330" s="4">
        <v>2221</v>
      </c>
      <c r="C2330" s="41" t="s">
        <v>4571</v>
      </c>
      <c r="D2330" s="42"/>
      <c r="E2330" s="5" t="str">
        <f t="shared" si="45"/>
        <v>https://www.screener.in/company//consolidated/</v>
      </c>
      <c r="F2330" s="4">
        <v>443059</v>
      </c>
      <c r="G2330" s="4">
        <v>3832241897</v>
      </c>
      <c r="H2330" s="6" t="e">
        <f t="shared" ca="1" si="46"/>
        <v>#VALUE!</v>
      </c>
      <c r="I2330" s="7" t="str">
        <f ca="1">IFERROR(__xludf.DUMMYFUNCTION("IMPORTXML(E2330,""/html/body/main/div[3]/div[3]/div[2]/ul/li[5]/span[2]/span"")"),"Loading...")</f>
        <v>Loading...</v>
      </c>
      <c r="J2330" s="7" t="str">
        <f ca="1">IFERROR(__xludf.DUMMYFUNCTION("GOOGLEFINANCE(""NSE:""&amp;D2330,""marketcap"")"),"#N/A")</f>
        <v>#N/A</v>
      </c>
      <c r="K2330" s="7">
        <v>992.8</v>
      </c>
      <c r="L2330" s="8" t="str">
        <f ca="1">IFERROR(__xludf.DUMMYFUNCTION("GOOGLEFINANCE(""NSE:""&amp;D2330,""price"")"),"#N/A")</f>
        <v>#N/A</v>
      </c>
      <c r="M2330" s="9" t="e">
        <f t="shared" ca="1" si="47"/>
        <v>#VALUE!</v>
      </c>
      <c r="N2330" s="10" t="e">
        <f t="shared" ca="1" si="48"/>
        <v>#VALUE!</v>
      </c>
      <c r="O2330" s="7" t="str">
        <f ca="1">IFERROR(__xludf.DUMMYFUNCTION("GOOGLEFINANCE(""NSE:""&amp;D2330,""pe"")"),"#N/A")</f>
        <v>#N/A</v>
      </c>
      <c r="P2330" s="7" t="str">
        <f ca="1">IFERROR(__xludf.DUMMYFUNCTION("GOOGLEFINANCE(""NSE:""&amp;D2330,""EPS"")"),"#N/A")</f>
        <v>#N/A</v>
      </c>
      <c r="Q2330" s="7">
        <v>13.5</v>
      </c>
      <c r="R2330" s="7" t="str">
        <f ca="1">IFERROR(__xludf.DUMMYFUNCTION("IMPORTXML(E2330,""/html/body/main/div[3]/div[3]/div[2]/ul/li[7]/span[2]/span"")"),"Loading...")</f>
        <v>Loading...</v>
      </c>
      <c r="S2330" s="7" t="str">
        <f ca="1">IFERROR(__xludf.DUMMYFUNCTION("IMPORTXML(E2330,""/html/body/main/div[3]/div[3]/div[2]/ul/li[8]/span[2]/span"")"),"Loading...")</f>
        <v>Loading...</v>
      </c>
      <c r="T2330" s="4">
        <v>34.6</v>
      </c>
      <c r="U2330" s="4">
        <v>22.7</v>
      </c>
      <c r="V2330" s="4">
        <v>2.6</v>
      </c>
      <c r="W2330" s="4">
        <v>5.7</v>
      </c>
      <c r="X2330" s="4">
        <v>519.92999999999995</v>
      </c>
      <c r="Y2330" s="7" t="e">
        <f t="shared" ca="1" si="49"/>
        <v>#VALUE!</v>
      </c>
    </row>
    <row r="2331" spans="1:25" ht="15" x14ac:dyDescent="0.25">
      <c r="A2331" s="4">
        <v>2223</v>
      </c>
      <c r="C2331" s="41" t="s">
        <v>4572</v>
      </c>
      <c r="D2331" s="42"/>
      <c r="E2331" s="5" t="str">
        <f t="shared" si="45"/>
        <v>https://www.screener.in/company//consolidated/</v>
      </c>
      <c r="F2331" s="4">
        <v>443059</v>
      </c>
      <c r="G2331" s="4">
        <v>3832241897</v>
      </c>
      <c r="H2331" s="6" t="e">
        <f t="shared" ca="1" si="46"/>
        <v>#VALUE!</v>
      </c>
      <c r="I2331" s="7" t="str">
        <f ca="1">IFERROR(__xludf.DUMMYFUNCTION("IMPORTXML(E2331,""/html/body/main/div[3]/div[3]/div[2]/ul/li[5]/span[2]/span"")"),"Loading...")</f>
        <v>Loading...</v>
      </c>
      <c r="J2331" s="7" t="str">
        <f ca="1">IFERROR(__xludf.DUMMYFUNCTION("GOOGLEFINANCE(""NSE:""&amp;D2331,""marketcap"")"),"#N/A")</f>
        <v>#N/A</v>
      </c>
      <c r="K2331" s="7">
        <v>992.8</v>
      </c>
      <c r="L2331" s="8" t="str">
        <f ca="1">IFERROR(__xludf.DUMMYFUNCTION("GOOGLEFINANCE(""NSE:""&amp;D2331,""price"")"),"#N/A")</f>
        <v>#N/A</v>
      </c>
      <c r="M2331" s="9" t="e">
        <f t="shared" ca="1" si="47"/>
        <v>#VALUE!</v>
      </c>
      <c r="N2331" s="10" t="e">
        <f t="shared" ca="1" si="48"/>
        <v>#VALUE!</v>
      </c>
      <c r="O2331" s="7" t="str">
        <f ca="1">IFERROR(__xludf.DUMMYFUNCTION("GOOGLEFINANCE(""NSE:""&amp;D2331,""pe"")"),"#N/A")</f>
        <v>#N/A</v>
      </c>
      <c r="P2331" s="7" t="str">
        <f ca="1">IFERROR(__xludf.DUMMYFUNCTION("GOOGLEFINANCE(""NSE:""&amp;D2331,""EPS"")"),"#N/A")</f>
        <v>#N/A</v>
      </c>
      <c r="Q2331" s="7">
        <v>13.5</v>
      </c>
      <c r="R2331" s="7" t="str">
        <f ca="1">IFERROR(__xludf.DUMMYFUNCTION("IMPORTXML(E2331,""/html/body/main/div[3]/div[3]/div[2]/ul/li[7]/span[2]/span"")"),"Loading...")</f>
        <v>Loading...</v>
      </c>
      <c r="S2331" s="7" t="str">
        <f ca="1">IFERROR(__xludf.DUMMYFUNCTION("IMPORTXML(E2331,""/html/body/main/div[3]/div[3]/div[2]/ul/li[8]/span[2]/span"")"),"Loading...")</f>
        <v>Loading...</v>
      </c>
      <c r="T2331" s="4">
        <v>34.6</v>
      </c>
      <c r="U2331" s="4">
        <v>22.7</v>
      </c>
      <c r="V2331" s="4">
        <v>2.6</v>
      </c>
      <c r="W2331" s="4">
        <v>5.7</v>
      </c>
      <c r="X2331" s="4">
        <v>519.92999999999995</v>
      </c>
      <c r="Y2331" s="7" t="e">
        <f t="shared" ca="1" si="49"/>
        <v>#VALUE!</v>
      </c>
    </row>
    <row r="2332" spans="1:25" ht="15" x14ac:dyDescent="0.25">
      <c r="A2332" s="4">
        <v>2225</v>
      </c>
      <c r="C2332" s="41" t="s">
        <v>4573</v>
      </c>
      <c r="D2332" s="42"/>
      <c r="E2332" s="5" t="str">
        <f t="shared" si="45"/>
        <v>https://www.screener.in/company//consolidated/</v>
      </c>
      <c r="F2332" s="4">
        <v>443059</v>
      </c>
      <c r="G2332" s="4">
        <v>3832241897</v>
      </c>
      <c r="H2332" s="6" t="e">
        <f t="shared" ca="1" si="46"/>
        <v>#VALUE!</v>
      </c>
      <c r="I2332" s="7" t="str">
        <f ca="1">IFERROR(__xludf.DUMMYFUNCTION("IMPORTXML(E2332,""/html/body/main/div[3]/div[3]/div[2]/ul/li[5]/span[2]/span"")"),"Loading...")</f>
        <v>Loading...</v>
      </c>
      <c r="J2332" s="7" t="str">
        <f ca="1">IFERROR(__xludf.DUMMYFUNCTION("GOOGLEFINANCE(""NSE:""&amp;D2332,""marketcap"")"),"#N/A")</f>
        <v>#N/A</v>
      </c>
      <c r="K2332" s="7">
        <v>992.8</v>
      </c>
      <c r="L2332" s="8" t="str">
        <f ca="1">IFERROR(__xludf.DUMMYFUNCTION("GOOGLEFINANCE(""NSE:""&amp;D2332,""price"")"),"#N/A")</f>
        <v>#N/A</v>
      </c>
      <c r="M2332" s="9" t="e">
        <f t="shared" ca="1" si="47"/>
        <v>#VALUE!</v>
      </c>
      <c r="N2332" s="10" t="e">
        <f t="shared" ca="1" si="48"/>
        <v>#VALUE!</v>
      </c>
      <c r="O2332" s="7" t="str">
        <f ca="1">IFERROR(__xludf.DUMMYFUNCTION("GOOGLEFINANCE(""NSE:""&amp;D2332,""pe"")"),"#N/A")</f>
        <v>#N/A</v>
      </c>
      <c r="P2332" s="7" t="str">
        <f ca="1">IFERROR(__xludf.DUMMYFUNCTION("GOOGLEFINANCE(""NSE:""&amp;D2332,""EPS"")"),"#N/A")</f>
        <v>#N/A</v>
      </c>
      <c r="Q2332" s="7">
        <v>13.5</v>
      </c>
      <c r="R2332" s="7" t="str">
        <f ca="1">IFERROR(__xludf.DUMMYFUNCTION("IMPORTXML(E2332,""/html/body/main/div[3]/div[3]/div[2]/ul/li[7]/span[2]/span"")"),"Loading...")</f>
        <v>Loading...</v>
      </c>
      <c r="S2332" s="7" t="str">
        <f ca="1">IFERROR(__xludf.DUMMYFUNCTION("IMPORTXML(E2332,""/html/body/main/div[3]/div[3]/div[2]/ul/li[8]/span[2]/span"")"),"Loading...")</f>
        <v>Loading...</v>
      </c>
      <c r="T2332" s="4">
        <v>34.6</v>
      </c>
      <c r="U2332" s="4">
        <v>22.7</v>
      </c>
      <c r="V2332" s="4">
        <v>2.6</v>
      </c>
      <c r="W2332" s="4">
        <v>5.7</v>
      </c>
      <c r="X2332" s="4">
        <v>519.92999999999995</v>
      </c>
      <c r="Y2332" s="7" t="e">
        <f t="shared" ca="1" si="49"/>
        <v>#VALUE!</v>
      </c>
    </row>
    <row r="2333" spans="1:25" ht="15" x14ac:dyDescent="0.25">
      <c r="A2333" s="4">
        <v>2226</v>
      </c>
      <c r="C2333" s="41" t="s">
        <v>4574</v>
      </c>
      <c r="D2333" s="42"/>
      <c r="E2333" s="5" t="str">
        <f t="shared" si="45"/>
        <v>https://www.screener.in/company//consolidated/</v>
      </c>
      <c r="F2333" s="4">
        <v>443059</v>
      </c>
      <c r="G2333" s="4">
        <v>3832241897</v>
      </c>
      <c r="H2333" s="6" t="e">
        <f t="shared" ca="1" si="46"/>
        <v>#VALUE!</v>
      </c>
      <c r="I2333" s="7" t="str">
        <f ca="1">IFERROR(__xludf.DUMMYFUNCTION("IMPORTXML(E2333,""/html/body/main/div[3]/div[3]/div[2]/ul/li[5]/span[2]/span"")"),"Loading...")</f>
        <v>Loading...</v>
      </c>
      <c r="J2333" s="7" t="str">
        <f ca="1">IFERROR(__xludf.DUMMYFUNCTION("GOOGLEFINANCE(""NSE:""&amp;D2333,""marketcap"")"),"#N/A")</f>
        <v>#N/A</v>
      </c>
      <c r="K2333" s="7">
        <v>992.8</v>
      </c>
      <c r="L2333" s="8" t="str">
        <f ca="1">IFERROR(__xludf.DUMMYFUNCTION("GOOGLEFINANCE(""NSE:""&amp;D2333,""price"")"),"#N/A")</f>
        <v>#N/A</v>
      </c>
      <c r="M2333" s="9" t="e">
        <f t="shared" ca="1" si="47"/>
        <v>#VALUE!</v>
      </c>
      <c r="N2333" s="10" t="e">
        <f t="shared" ca="1" si="48"/>
        <v>#VALUE!</v>
      </c>
      <c r="O2333" s="7" t="str">
        <f ca="1">IFERROR(__xludf.DUMMYFUNCTION("GOOGLEFINANCE(""NSE:""&amp;D2333,""pe"")"),"#N/A")</f>
        <v>#N/A</v>
      </c>
      <c r="P2333" s="7" t="str">
        <f ca="1">IFERROR(__xludf.DUMMYFUNCTION("GOOGLEFINANCE(""NSE:""&amp;D2333,""EPS"")"),"#N/A")</f>
        <v>#N/A</v>
      </c>
      <c r="Q2333" s="7">
        <v>13.5</v>
      </c>
      <c r="R2333" s="7" t="str">
        <f ca="1">IFERROR(__xludf.DUMMYFUNCTION("IMPORTXML(E2333,""/html/body/main/div[3]/div[3]/div[2]/ul/li[7]/span[2]/span"")"),"Loading...")</f>
        <v>Loading...</v>
      </c>
      <c r="S2333" s="7" t="str">
        <f ca="1">IFERROR(__xludf.DUMMYFUNCTION("IMPORTXML(E2333,""/html/body/main/div[3]/div[3]/div[2]/ul/li[8]/span[2]/span"")"),"Loading...")</f>
        <v>Loading...</v>
      </c>
      <c r="T2333" s="4">
        <v>34.6</v>
      </c>
      <c r="U2333" s="4">
        <v>22.7</v>
      </c>
      <c r="V2333" s="4">
        <v>2.6</v>
      </c>
      <c r="W2333" s="4">
        <v>5.7</v>
      </c>
      <c r="X2333" s="4">
        <v>519.92999999999995</v>
      </c>
      <c r="Y2333" s="7" t="e">
        <f t="shared" ca="1" si="49"/>
        <v>#VALUE!</v>
      </c>
    </row>
    <row r="2334" spans="1:25" ht="15" x14ac:dyDescent="0.25">
      <c r="A2334" s="4">
        <v>2227</v>
      </c>
      <c r="C2334" s="41" t="s">
        <v>4575</v>
      </c>
      <c r="D2334" s="42"/>
      <c r="E2334" s="5" t="str">
        <f t="shared" si="45"/>
        <v>https://www.screener.in/company//consolidated/</v>
      </c>
      <c r="F2334" s="4">
        <v>443059</v>
      </c>
      <c r="G2334" s="4">
        <v>3832241897</v>
      </c>
      <c r="H2334" s="6" t="e">
        <f t="shared" ca="1" si="46"/>
        <v>#VALUE!</v>
      </c>
      <c r="I2334" s="7" t="str">
        <f ca="1">IFERROR(__xludf.DUMMYFUNCTION("IMPORTXML(E2334,""/html/body/main/div[3]/div[3]/div[2]/ul/li[5]/span[2]/span"")"),"Loading...")</f>
        <v>Loading...</v>
      </c>
      <c r="J2334" s="7" t="str">
        <f ca="1">IFERROR(__xludf.DUMMYFUNCTION("GOOGLEFINANCE(""NSE:""&amp;D2334,""marketcap"")"),"#N/A")</f>
        <v>#N/A</v>
      </c>
      <c r="K2334" s="7">
        <v>992.8</v>
      </c>
      <c r="L2334" s="8" t="str">
        <f ca="1">IFERROR(__xludf.DUMMYFUNCTION("GOOGLEFINANCE(""NSE:""&amp;D2334,""price"")"),"#N/A")</f>
        <v>#N/A</v>
      </c>
      <c r="M2334" s="9" t="e">
        <f t="shared" ca="1" si="47"/>
        <v>#VALUE!</v>
      </c>
      <c r="N2334" s="10" t="e">
        <f t="shared" ca="1" si="48"/>
        <v>#VALUE!</v>
      </c>
      <c r="O2334" s="7" t="str">
        <f ca="1">IFERROR(__xludf.DUMMYFUNCTION("GOOGLEFINANCE(""NSE:""&amp;D2334,""pe"")"),"#N/A")</f>
        <v>#N/A</v>
      </c>
      <c r="P2334" s="7" t="str">
        <f ca="1">IFERROR(__xludf.DUMMYFUNCTION("GOOGLEFINANCE(""NSE:""&amp;D2334,""EPS"")"),"#N/A")</f>
        <v>#N/A</v>
      </c>
      <c r="Q2334" s="7">
        <v>13.5</v>
      </c>
      <c r="R2334" s="7" t="str">
        <f ca="1">IFERROR(__xludf.DUMMYFUNCTION("IMPORTXML(E2334,""/html/body/main/div[3]/div[3]/div[2]/ul/li[7]/span[2]/span"")"),"Loading...")</f>
        <v>Loading...</v>
      </c>
      <c r="S2334" s="7" t="str">
        <f ca="1">IFERROR(__xludf.DUMMYFUNCTION("IMPORTXML(E2334,""/html/body/main/div[3]/div[3]/div[2]/ul/li[8]/span[2]/span"")"),"Loading...")</f>
        <v>Loading...</v>
      </c>
      <c r="T2334" s="4">
        <v>34.6</v>
      </c>
      <c r="U2334" s="4">
        <v>22.7</v>
      </c>
      <c r="V2334" s="4">
        <v>2.6</v>
      </c>
      <c r="W2334" s="4">
        <v>5.7</v>
      </c>
      <c r="X2334" s="4">
        <v>519.92999999999995</v>
      </c>
      <c r="Y2334" s="7" t="e">
        <f t="shared" ca="1" si="49"/>
        <v>#VALUE!</v>
      </c>
    </row>
    <row r="2335" spans="1:25" ht="15" x14ac:dyDescent="0.25">
      <c r="A2335" s="4">
        <v>2228</v>
      </c>
      <c r="C2335" s="12" t="s">
        <v>4576</v>
      </c>
      <c r="D2335" s="12" t="s">
        <v>4577</v>
      </c>
      <c r="E2335" s="5" t="str">
        <f t="shared" si="45"/>
        <v>https://www.screener.in/company/AKSHOPTFBR/consolidated/</v>
      </c>
      <c r="F2335" s="4">
        <v>443059</v>
      </c>
      <c r="G2335" s="4">
        <v>3832241897</v>
      </c>
      <c r="H2335" s="6">
        <f t="shared" ca="1" si="46"/>
        <v>3031.3033405269998</v>
      </c>
      <c r="I2335" s="7" t="str">
        <f ca="1">IFERROR(__xludf.DUMMYFUNCTION("IMPORTXML(E2335,""/html/body/main/div[3]/div[3]/div[2]/ul/li[5]/span[2]/span"")"),"Loading...")</f>
        <v>Loading...</v>
      </c>
      <c r="J2335" s="7">
        <f ca="1">IFERROR(__xludf.DUMMYFUNCTION("GOOGLEFINANCE(""NSE:""&amp;D2335,""marketcap"")"),1277040999)</f>
        <v>1277040999</v>
      </c>
      <c r="K2335" s="7">
        <v>992.8</v>
      </c>
      <c r="L2335" s="8">
        <f ca="1">IFERROR(__xludf.DUMMYFUNCTION("GOOGLEFINANCE(""NSE:""&amp;D2335,""price"")"),7.91)</f>
        <v>7.91</v>
      </c>
      <c r="M2335" s="9">
        <f t="shared" ca="1" si="47"/>
        <v>-984.89</v>
      </c>
      <c r="N2335" s="10">
        <f t="shared" ca="1" si="48"/>
        <v>-99.203263497179691</v>
      </c>
      <c r="O2335" s="7" t="str">
        <f ca="1">IFERROR(__xludf.DUMMYFUNCTION("GOOGLEFINANCE(""NSE:""&amp;D2335,""pe"")"),"#N/A")</f>
        <v>#N/A</v>
      </c>
      <c r="P2335" s="7">
        <f ca="1">IFERROR(__xludf.DUMMYFUNCTION("GOOGLEFINANCE(""NSE:""&amp;D2335,""EPS"")"),-1.66)</f>
        <v>-1.66</v>
      </c>
      <c r="Q2335" s="7">
        <v>13.5</v>
      </c>
      <c r="R2335" s="7" t="str">
        <f ca="1">IFERROR(__xludf.DUMMYFUNCTION("IMPORTXML(E2335,""/html/body/main/div[3]/div[3]/div[2]/ul/li[7]/span[2]/span"")"),"Loading...")</f>
        <v>Loading...</v>
      </c>
      <c r="S2335" s="7" t="str">
        <f ca="1">IFERROR(__xludf.DUMMYFUNCTION("IMPORTXML(E2335,""/html/body/main/div[3]/div[3]/div[2]/ul/li[8]/span[2]/span"")"),"Loading...")</f>
        <v>Loading...</v>
      </c>
      <c r="T2335" s="4">
        <v>34.6</v>
      </c>
      <c r="U2335" s="4">
        <v>22.7</v>
      </c>
      <c r="V2335" s="4">
        <v>2.6</v>
      </c>
      <c r="W2335" s="4">
        <v>5.7</v>
      </c>
      <c r="X2335" s="4">
        <v>519.92999999999995</v>
      </c>
      <c r="Y2335" s="7">
        <f t="shared" ca="1" si="49"/>
        <v>-512.02</v>
      </c>
    </row>
    <row r="2336" spans="1:25" ht="15" x14ac:dyDescent="0.25">
      <c r="A2336" s="4">
        <v>2229</v>
      </c>
      <c r="C2336" s="41" t="s">
        <v>4578</v>
      </c>
      <c r="D2336" s="42"/>
      <c r="E2336" s="5" t="str">
        <f t="shared" si="45"/>
        <v>https://www.screener.in/company//consolidated/</v>
      </c>
      <c r="F2336" s="4">
        <v>443059</v>
      </c>
      <c r="G2336" s="4">
        <v>3832241897</v>
      </c>
      <c r="H2336" s="6" t="e">
        <f t="shared" ca="1" si="46"/>
        <v>#VALUE!</v>
      </c>
      <c r="I2336" s="7" t="str">
        <f ca="1">IFERROR(__xludf.DUMMYFUNCTION("IMPORTXML(E2336,""/html/body/main/div[3]/div[3]/div[2]/ul/li[5]/span[2]/span"")"),"Loading...")</f>
        <v>Loading...</v>
      </c>
      <c r="J2336" s="7" t="str">
        <f ca="1">IFERROR(__xludf.DUMMYFUNCTION("GOOGLEFINANCE(""NSE:""&amp;D2336,""marketcap"")"),"#N/A")</f>
        <v>#N/A</v>
      </c>
      <c r="K2336" s="7">
        <v>992.8</v>
      </c>
      <c r="L2336" s="8" t="str">
        <f ca="1">IFERROR(__xludf.DUMMYFUNCTION("GOOGLEFINANCE(""NSE:""&amp;D2336,""price"")"),"#N/A")</f>
        <v>#N/A</v>
      </c>
      <c r="M2336" s="9" t="e">
        <f t="shared" ca="1" si="47"/>
        <v>#VALUE!</v>
      </c>
      <c r="N2336" s="10" t="e">
        <f t="shared" ca="1" si="48"/>
        <v>#VALUE!</v>
      </c>
      <c r="O2336" s="7" t="str">
        <f ca="1">IFERROR(__xludf.DUMMYFUNCTION("GOOGLEFINANCE(""NSE:""&amp;D2336,""pe"")"),"#N/A")</f>
        <v>#N/A</v>
      </c>
      <c r="P2336" s="7" t="str">
        <f ca="1">IFERROR(__xludf.DUMMYFUNCTION("GOOGLEFINANCE(""NSE:""&amp;D2336,""EPS"")"),"#N/A")</f>
        <v>#N/A</v>
      </c>
      <c r="Q2336" s="7">
        <v>13.5</v>
      </c>
      <c r="R2336" s="7" t="str">
        <f ca="1">IFERROR(__xludf.DUMMYFUNCTION("IMPORTXML(E2336,""/html/body/main/div[3]/div[3]/div[2]/ul/li[7]/span[2]/span"")"),"Loading...")</f>
        <v>Loading...</v>
      </c>
      <c r="S2336" s="7" t="str">
        <f ca="1">IFERROR(__xludf.DUMMYFUNCTION("IMPORTXML(E2336,""/html/body/main/div[3]/div[3]/div[2]/ul/li[8]/span[2]/span"")"),"Loading...")</f>
        <v>Loading...</v>
      </c>
      <c r="T2336" s="4">
        <v>34.6</v>
      </c>
      <c r="U2336" s="4">
        <v>22.7</v>
      </c>
      <c r="V2336" s="4">
        <v>2.6</v>
      </c>
      <c r="W2336" s="4">
        <v>5.7</v>
      </c>
      <c r="X2336" s="4">
        <v>519.92999999999995</v>
      </c>
      <c r="Y2336" s="7" t="e">
        <f t="shared" ca="1" si="49"/>
        <v>#VALUE!</v>
      </c>
    </row>
    <row r="2337" spans="1:25" ht="15" x14ac:dyDescent="0.25">
      <c r="A2337" s="4">
        <v>2230</v>
      </c>
      <c r="C2337" s="12" t="s">
        <v>4579</v>
      </c>
      <c r="D2337" s="37"/>
      <c r="E2337" s="5" t="str">
        <f t="shared" si="45"/>
        <v>https://www.screener.in/company//consolidated/</v>
      </c>
      <c r="F2337" s="4">
        <v>443059</v>
      </c>
      <c r="G2337" s="4">
        <v>3832241897</v>
      </c>
      <c r="H2337" s="6" t="e">
        <f t="shared" ca="1" si="46"/>
        <v>#VALUE!</v>
      </c>
      <c r="I2337" s="7" t="str">
        <f ca="1">IFERROR(__xludf.DUMMYFUNCTION("IMPORTXML(E2337,""/html/body/main/div[3]/div[3]/div[2]/ul/li[5]/span[2]/span"")"),"Loading...")</f>
        <v>Loading...</v>
      </c>
      <c r="J2337" s="7" t="str">
        <f ca="1">IFERROR(__xludf.DUMMYFUNCTION("GOOGLEFINANCE(""NSE:""&amp;D2337,""marketcap"")"),"#N/A")</f>
        <v>#N/A</v>
      </c>
      <c r="K2337" s="7">
        <v>992.8</v>
      </c>
      <c r="L2337" s="8" t="str">
        <f ca="1">IFERROR(__xludf.DUMMYFUNCTION("GOOGLEFINANCE(""NSE:""&amp;D2337,""price"")"),"#N/A")</f>
        <v>#N/A</v>
      </c>
      <c r="M2337" s="9" t="e">
        <f t="shared" ca="1" si="47"/>
        <v>#VALUE!</v>
      </c>
      <c r="N2337" s="10" t="e">
        <f t="shared" ca="1" si="48"/>
        <v>#VALUE!</v>
      </c>
      <c r="O2337" s="7" t="str">
        <f ca="1">IFERROR(__xludf.DUMMYFUNCTION("GOOGLEFINANCE(""NSE:""&amp;D2337,""pe"")"),"#N/A")</f>
        <v>#N/A</v>
      </c>
      <c r="P2337" s="7" t="str">
        <f ca="1">IFERROR(__xludf.DUMMYFUNCTION("GOOGLEFINANCE(""NSE:""&amp;D2337,""EPS"")"),"#N/A")</f>
        <v>#N/A</v>
      </c>
      <c r="Q2337" s="7">
        <v>13.5</v>
      </c>
      <c r="R2337" s="7" t="str">
        <f ca="1">IFERROR(__xludf.DUMMYFUNCTION("IMPORTXML(E2337,""/html/body/main/div[3]/div[3]/div[2]/ul/li[7]/span[2]/span"")"),"Loading...")</f>
        <v>Loading...</v>
      </c>
      <c r="S2337" s="7" t="str">
        <f ca="1">IFERROR(__xludf.DUMMYFUNCTION("IMPORTXML(E2337,""/html/body/main/div[3]/div[3]/div[2]/ul/li[8]/span[2]/span"")"),"Loading...")</f>
        <v>Loading...</v>
      </c>
      <c r="T2337" s="4">
        <v>34.6</v>
      </c>
      <c r="U2337" s="4">
        <v>22.7</v>
      </c>
      <c r="V2337" s="4">
        <v>2.6</v>
      </c>
      <c r="W2337" s="4">
        <v>5.7</v>
      </c>
      <c r="X2337" s="4">
        <v>519.92999999999995</v>
      </c>
      <c r="Y2337" s="7" t="e">
        <f t="shared" ca="1" si="49"/>
        <v>#VALUE!</v>
      </c>
    </row>
    <row r="2338" spans="1:25" ht="15" x14ac:dyDescent="0.25">
      <c r="A2338" s="4">
        <v>2232</v>
      </c>
      <c r="C2338" s="41" t="s">
        <v>4580</v>
      </c>
      <c r="D2338" s="42"/>
      <c r="E2338" s="5" t="str">
        <f t="shared" si="45"/>
        <v>https://www.screener.in/company//consolidated/</v>
      </c>
      <c r="F2338" s="4">
        <v>443059</v>
      </c>
      <c r="G2338" s="4">
        <v>3832241897</v>
      </c>
      <c r="H2338" s="6" t="e">
        <f t="shared" ca="1" si="46"/>
        <v>#VALUE!</v>
      </c>
      <c r="I2338" s="7" t="str">
        <f ca="1">IFERROR(__xludf.DUMMYFUNCTION("IMPORTXML(E2338,""/html/body/main/div[3]/div[3]/div[2]/ul/li[5]/span[2]/span"")"),"Loading...")</f>
        <v>Loading...</v>
      </c>
      <c r="J2338" s="7" t="str">
        <f ca="1">IFERROR(__xludf.DUMMYFUNCTION("GOOGLEFINANCE(""NSE:""&amp;D2338,""marketcap"")"),"#N/A")</f>
        <v>#N/A</v>
      </c>
      <c r="K2338" s="7">
        <v>992.8</v>
      </c>
      <c r="L2338" s="8" t="str">
        <f ca="1">IFERROR(__xludf.DUMMYFUNCTION("GOOGLEFINANCE(""NSE:""&amp;D2338,""price"")"),"#N/A")</f>
        <v>#N/A</v>
      </c>
      <c r="M2338" s="9" t="e">
        <f t="shared" ca="1" si="47"/>
        <v>#VALUE!</v>
      </c>
      <c r="N2338" s="10" t="e">
        <f t="shared" ca="1" si="48"/>
        <v>#VALUE!</v>
      </c>
      <c r="O2338" s="7" t="str">
        <f ca="1">IFERROR(__xludf.DUMMYFUNCTION("GOOGLEFINANCE(""NSE:""&amp;D2338,""pe"")"),"#N/A")</f>
        <v>#N/A</v>
      </c>
      <c r="P2338" s="7" t="str">
        <f ca="1">IFERROR(__xludf.DUMMYFUNCTION("GOOGLEFINANCE(""NSE:""&amp;D2338,""EPS"")"),"#N/A")</f>
        <v>#N/A</v>
      </c>
      <c r="Q2338" s="7">
        <v>13.5</v>
      </c>
      <c r="R2338" s="7" t="str">
        <f ca="1">IFERROR(__xludf.DUMMYFUNCTION("IMPORTXML(E2338,""/html/body/main/div[3]/div[3]/div[2]/ul/li[7]/span[2]/span"")"),"Loading...")</f>
        <v>Loading...</v>
      </c>
      <c r="S2338" s="7" t="str">
        <f ca="1">IFERROR(__xludf.DUMMYFUNCTION("IMPORTXML(E2338,""/html/body/main/div[3]/div[3]/div[2]/ul/li[8]/span[2]/span"")"),"Loading...")</f>
        <v>Loading...</v>
      </c>
      <c r="T2338" s="4">
        <v>34.6</v>
      </c>
      <c r="U2338" s="4">
        <v>22.7</v>
      </c>
      <c r="V2338" s="4">
        <v>2.6</v>
      </c>
      <c r="W2338" s="4">
        <v>5.7</v>
      </c>
      <c r="X2338" s="4">
        <v>519.92999999999995</v>
      </c>
      <c r="Y2338" s="7" t="e">
        <f t="shared" ca="1" si="49"/>
        <v>#VALUE!</v>
      </c>
    </row>
    <row r="2339" spans="1:25" ht="15" x14ac:dyDescent="0.25">
      <c r="A2339" s="4">
        <v>2233</v>
      </c>
      <c r="C2339" s="41" t="s">
        <v>4581</v>
      </c>
      <c r="D2339" s="42"/>
      <c r="E2339" s="5" t="str">
        <f t="shared" si="45"/>
        <v>https://www.screener.in/company//consolidated/</v>
      </c>
      <c r="F2339" s="4">
        <v>443059</v>
      </c>
      <c r="G2339" s="4">
        <v>3832241897</v>
      </c>
      <c r="H2339" s="6" t="e">
        <f t="shared" ca="1" si="46"/>
        <v>#VALUE!</v>
      </c>
      <c r="I2339" s="7" t="str">
        <f ca="1">IFERROR(__xludf.DUMMYFUNCTION("IMPORTXML(E2339,""/html/body/main/div[3]/div[3]/div[2]/ul/li[5]/span[2]/span"")"),"Loading...")</f>
        <v>Loading...</v>
      </c>
      <c r="J2339" s="7" t="str">
        <f ca="1">IFERROR(__xludf.DUMMYFUNCTION("GOOGLEFINANCE(""NSE:""&amp;D2339,""marketcap"")"),"#N/A")</f>
        <v>#N/A</v>
      </c>
      <c r="K2339" s="7">
        <v>992.8</v>
      </c>
      <c r="L2339" s="8" t="str">
        <f ca="1">IFERROR(__xludf.DUMMYFUNCTION("GOOGLEFINANCE(""NSE:""&amp;D2339,""price"")"),"#N/A")</f>
        <v>#N/A</v>
      </c>
      <c r="M2339" s="9" t="e">
        <f t="shared" ca="1" si="47"/>
        <v>#VALUE!</v>
      </c>
      <c r="N2339" s="10" t="e">
        <f t="shared" ca="1" si="48"/>
        <v>#VALUE!</v>
      </c>
      <c r="O2339" s="7" t="str">
        <f ca="1">IFERROR(__xludf.DUMMYFUNCTION("GOOGLEFINANCE(""NSE:""&amp;D2339,""pe"")"),"#N/A")</f>
        <v>#N/A</v>
      </c>
      <c r="P2339" s="7" t="str">
        <f ca="1">IFERROR(__xludf.DUMMYFUNCTION("GOOGLEFINANCE(""NSE:""&amp;D2339,""EPS"")"),"#N/A")</f>
        <v>#N/A</v>
      </c>
      <c r="Q2339" s="7">
        <v>13.5</v>
      </c>
      <c r="R2339" s="7" t="str">
        <f ca="1">IFERROR(__xludf.DUMMYFUNCTION("IMPORTXML(E2339,""/html/body/main/div[3]/div[3]/div[2]/ul/li[7]/span[2]/span"")"),"Loading...")</f>
        <v>Loading...</v>
      </c>
      <c r="S2339" s="7" t="str">
        <f ca="1">IFERROR(__xludf.DUMMYFUNCTION("IMPORTXML(E2339,""/html/body/main/div[3]/div[3]/div[2]/ul/li[8]/span[2]/span"")"),"Loading...")</f>
        <v>Loading...</v>
      </c>
      <c r="T2339" s="4">
        <v>34.6</v>
      </c>
      <c r="U2339" s="4">
        <v>22.7</v>
      </c>
      <c r="V2339" s="4">
        <v>2.6</v>
      </c>
      <c r="W2339" s="4">
        <v>5.7</v>
      </c>
      <c r="X2339" s="4">
        <v>519.92999999999995</v>
      </c>
      <c r="Y2339" s="7" t="e">
        <f t="shared" ca="1" si="49"/>
        <v>#VALUE!</v>
      </c>
    </row>
    <row r="2340" spans="1:25" ht="15" x14ac:dyDescent="0.25">
      <c r="A2340" s="4">
        <v>2234</v>
      </c>
      <c r="C2340" s="41" t="s">
        <v>4582</v>
      </c>
      <c r="D2340" s="42"/>
      <c r="E2340" s="5" t="str">
        <f t="shared" si="45"/>
        <v>https://www.screener.in/company//consolidated/</v>
      </c>
      <c r="F2340" s="4">
        <v>443059</v>
      </c>
      <c r="G2340" s="4">
        <v>3832241897</v>
      </c>
      <c r="H2340" s="6" t="e">
        <f t="shared" ca="1" si="46"/>
        <v>#VALUE!</v>
      </c>
      <c r="I2340" s="7" t="str">
        <f ca="1">IFERROR(__xludf.DUMMYFUNCTION("IMPORTXML(E2340,""/html/body/main/div[3]/div[3]/div[2]/ul/li[5]/span[2]/span"")"),"Loading...")</f>
        <v>Loading...</v>
      </c>
      <c r="J2340" s="7" t="str">
        <f ca="1">IFERROR(__xludf.DUMMYFUNCTION("GOOGLEFINANCE(""NSE:""&amp;D2340,""marketcap"")"),"#N/A")</f>
        <v>#N/A</v>
      </c>
      <c r="K2340" s="7">
        <v>992.8</v>
      </c>
      <c r="L2340" s="8" t="str">
        <f ca="1">IFERROR(__xludf.DUMMYFUNCTION("GOOGLEFINANCE(""NSE:""&amp;D2340,""price"")"),"#N/A")</f>
        <v>#N/A</v>
      </c>
      <c r="M2340" s="9" t="e">
        <f t="shared" ca="1" si="47"/>
        <v>#VALUE!</v>
      </c>
      <c r="N2340" s="10" t="e">
        <f t="shared" ca="1" si="48"/>
        <v>#VALUE!</v>
      </c>
      <c r="O2340" s="7" t="str">
        <f ca="1">IFERROR(__xludf.DUMMYFUNCTION("GOOGLEFINANCE(""NSE:""&amp;D2340,""pe"")"),"#N/A")</f>
        <v>#N/A</v>
      </c>
      <c r="P2340" s="7" t="str">
        <f ca="1">IFERROR(__xludf.DUMMYFUNCTION("GOOGLEFINANCE(""NSE:""&amp;D2340,""EPS"")"),"#N/A")</f>
        <v>#N/A</v>
      </c>
      <c r="Q2340" s="7">
        <v>13.5</v>
      </c>
      <c r="R2340" s="7" t="str">
        <f ca="1">IFERROR(__xludf.DUMMYFUNCTION("IMPORTXML(E2340,""/html/body/main/div[3]/div[3]/div[2]/ul/li[7]/span[2]/span"")"),"Loading...")</f>
        <v>Loading...</v>
      </c>
      <c r="S2340" s="7" t="str">
        <f ca="1">IFERROR(__xludf.DUMMYFUNCTION("IMPORTXML(E2340,""/html/body/main/div[3]/div[3]/div[2]/ul/li[8]/span[2]/span"")"),"Loading...")</f>
        <v>Loading...</v>
      </c>
      <c r="T2340" s="4">
        <v>34.6</v>
      </c>
      <c r="U2340" s="4">
        <v>22.7</v>
      </c>
      <c r="V2340" s="4">
        <v>2.6</v>
      </c>
      <c r="W2340" s="4">
        <v>5.7</v>
      </c>
      <c r="X2340" s="4">
        <v>519.92999999999995</v>
      </c>
      <c r="Y2340" s="7" t="e">
        <f t="shared" ca="1" si="49"/>
        <v>#VALUE!</v>
      </c>
    </row>
    <row r="2341" spans="1:25" ht="15" x14ac:dyDescent="0.25">
      <c r="A2341" s="4">
        <v>2235</v>
      </c>
      <c r="C2341" s="12" t="s">
        <v>4583</v>
      </c>
      <c r="D2341" s="12" t="s">
        <v>4584</v>
      </c>
      <c r="E2341" s="5" t="str">
        <f t="shared" si="45"/>
        <v>https://www.screener.in/company/KOHINOOR/consolidated/</v>
      </c>
      <c r="F2341" s="4">
        <v>443059</v>
      </c>
      <c r="G2341" s="4">
        <v>3832241897</v>
      </c>
      <c r="H2341" s="6">
        <f t="shared" ca="1" si="46"/>
        <v>13144.58970671</v>
      </c>
      <c r="I2341" s="7" t="str">
        <f ca="1">IFERROR(__xludf.DUMMYFUNCTION("IMPORTXML(E2341,""/html/body/main/div[3]/div[3]/div[2]/ul/li[5]/span[2]/span"")"),"Loading...")</f>
        <v>Loading...</v>
      </c>
      <c r="J2341" s="7">
        <f ca="1">IFERROR(__xludf.DUMMYFUNCTION("GOOGLEFINANCE(""NSE:""&amp;D2341,""marketcap"")"),1270812000)</f>
        <v>1270812000</v>
      </c>
      <c r="K2341" s="7">
        <v>992.8</v>
      </c>
      <c r="L2341" s="8">
        <f ca="1">IFERROR(__xludf.DUMMYFUNCTION("GOOGLEFINANCE(""NSE:""&amp;D2341,""price"")"),34.3)</f>
        <v>34.299999999999997</v>
      </c>
      <c r="M2341" s="9">
        <f t="shared" ca="1" si="47"/>
        <v>-958.5</v>
      </c>
      <c r="N2341" s="10">
        <f t="shared" ca="1" si="48"/>
        <v>-96.545124899274782</v>
      </c>
      <c r="O2341" s="7">
        <f ca="1">IFERROR(__xludf.DUMMYFUNCTION("GOOGLEFINANCE(""NSE:""&amp;D2341,""pe"")"),0.35)</f>
        <v>0.35</v>
      </c>
      <c r="P2341" s="7">
        <f ca="1">IFERROR(__xludf.DUMMYFUNCTION("GOOGLEFINANCE(""NSE:""&amp;D2341,""EPS"")"),98.47)</f>
        <v>98.47</v>
      </c>
      <c r="Q2341" s="7">
        <v>13.5</v>
      </c>
      <c r="R2341" s="7" t="str">
        <f ca="1">IFERROR(__xludf.DUMMYFUNCTION("IMPORTXML(E2341,""/html/body/main/div[3]/div[3]/div[2]/ul/li[7]/span[2]/span"")"),"Loading...")</f>
        <v>Loading...</v>
      </c>
      <c r="S2341" s="7" t="str">
        <f ca="1">IFERROR(__xludf.DUMMYFUNCTION("IMPORTXML(E2341,""/html/body/main/div[3]/div[3]/div[2]/ul/li[8]/span[2]/span"")"),"Loading...")</f>
        <v>Loading...</v>
      </c>
      <c r="T2341" s="4">
        <v>34.6</v>
      </c>
      <c r="U2341" s="4">
        <v>22.7</v>
      </c>
      <c r="V2341" s="4">
        <v>2.6</v>
      </c>
      <c r="W2341" s="4">
        <v>5.7</v>
      </c>
      <c r="X2341" s="4">
        <v>519.92999999999995</v>
      </c>
      <c r="Y2341" s="7">
        <f t="shared" ca="1" si="49"/>
        <v>-485.62999999999994</v>
      </c>
    </row>
    <row r="2342" spans="1:25" ht="15" x14ac:dyDescent="0.25">
      <c r="A2342" s="4">
        <v>2238</v>
      </c>
      <c r="C2342" s="41" t="s">
        <v>4585</v>
      </c>
      <c r="D2342" s="42"/>
      <c r="E2342" s="5" t="str">
        <f t="shared" si="45"/>
        <v>https://www.screener.in/company//consolidated/</v>
      </c>
      <c r="F2342" s="4">
        <v>443059</v>
      </c>
      <c r="G2342" s="4">
        <v>3832241897</v>
      </c>
      <c r="H2342" s="6" t="e">
        <f t="shared" ca="1" si="46"/>
        <v>#VALUE!</v>
      </c>
      <c r="I2342" s="7" t="str">
        <f ca="1">IFERROR(__xludf.DUMMYFUNCTION("IMPORTXML(E2342,""/html/body/main/div[3]/div[3]/div[2]/ul/li[5]/span[2]/span"")"),"Loading...")</f>
        <v>Loading...</v>
      </c>
      <c r="J2342" s="7" t="str">
        <f ca="1">IFERROR(__xludf.DUMMYFUNCTION("GOOGLEFINANCE(""NSE:""&amp;D2342,""marketcap"")"),"#N/A")</f>
        <v>#N/A</v>
      </c>
      <c r="K2342" s="7">
        <v>992.8</v>
      </c>
      <c r="L2342" s="8" t="str">
        <f ca="1">IFERROR(__xludf.DUMMYFUNCTION("GOOGLEFINANCE(""NSE:""&amp;D2342,""price"")"),"#N/A")</f>
        <v>#N/A</v>
      </c>
      <c r="M2342" s="9" t="e">
        <f t="shared" ca="1" si="47"/>
        <v>#VALUE!</v>
      </c>
      <c r="N2342" s="10" t="e">
        <f t="shared" ca="1" si="48"/>
        <v>#VALUE!</v>
      </c>
      <c r="O2342" s="7" t="str">
        <f ca="1">IFERROR(__xludf.DUMMYFUNCTION("GOOGLEFINANCE(""NSE:""&amp;D2342,""pe"")"),"#N/A")</f>
        <v>#N/A</v>
      </c>
      <c r="P2342" s="7" t="str">
        <f ca="1">IFERROR(__xludf.DUMMYFUNCTION("GOOGLEFINANCE(""NSE:""&amp;D2342,""EPS"")"),"#N/A")</f>
        <v>#N/A</v>
      </c>
      <c r="Q2342" s="7">
        <v>13.5</v>
      </c>
      <c r="R2342" s="7" t="str">
        <f ca="1">IFERROR(__xludf.DUMMYFUNCTION("IMPORTXML(E2342,""/html/body/main/div[3]/div[3]/div[2]/ul/li[7]/span[2]/span"")"),"Loading...")</f>
        <v>Loading...</v>
      </c>
      <c r="S2342" s="7" t="str">
        <f ca="1">IFERROR(__xludf.DUMMYFUNCTION("IMPORTXML(E2342,""/html/body/main/div[3]/div[3]/div[2]/ul/li[8]/span[2]/span"")"),"Loading...")</f>
        <v>Loading...</v>
      </c>
      <c r="T2342" s="4">
        <v>34.6</v>
      </c>
      <c r="U2342" s="4">
        <v>22.7</v>
      </c>
      <c r="V2342" s="4">
        <v>2.6</v>
      </c>
      <c r="W2342" s="4">
        <v>5.7</v>
      </c>
      <c r="X2342" s="4">
        <v>519.92999999999995</v>
      </c>
      <c r="Y2342" s="7" t="e">
        <f t="shared" ca="1" si="49"/>
        <v>#VALUE!</v>
      </c>
    </row>
    <row r="2343" spans="1:25" ht="15" x14ac:dyDescent="0.25">
      <c r="A2343" s="4">
        <v>2239</v>
      </c>
      <c r="C2343" s="41" t="s">
        <v>4586</v>
      </c>
      <c r="D2343" s="42"/>
      <c r="E2343" s="5" t="str">
        <f t="shared" si="45"/>
        <v>https://www.screener.in/company//consolidated/</v>
      </c>
      <c r="F2343" s="4">
        <v>443059</v>
      </c>
      <c r="G2343" s="4">
        <v>3832241897</v>
      </c>
      <c r="H2343" s="6" t="e">
        <f t="shared" ca="1" si="46"/>
        <v>#VALUE!</v>
      </c>
      <c r="I2343" s="7" t="str">
        <f ca="1">IFERROR(__xludf.DUMMYFUNCTION("IMPORTXML(E2343,""/html/body/main/div[3]/div[3]/div[2]/ul/li[5]/span[2]/span"")"),"Loading...")</f>
        <v>Loading...</v>
      </c>
      <c r="J2343" s="7" t="str">
        <f ca="1">IFERROR(__xludf.DUMMYFUNCTION("GOOGLEFINANCE(""NSE:""&amp;D2343,""marketcap"")"),"#N/A")</f>
        <v>#N/A</v>
      </c>
      <c r="K2343" s="7">
        <v>992.8</v>
      </c>
      <c r="L2343" s="8" t="str">
        <f ca="1">IFERROR(__xludf.DUMMYFUNCTION("GOOGLEFINANCE(""NSE:""&amp;D2343,""price"")"),"#N/A")</f>
        <v>#N/A</v>
      </c>
      <c r="M2343" s="9" t="e">
        <f t="shared" ca="1" si="47"/>
        <v>#VALUE!</v>
      </c>
      <c r="N2343" s="10" t="e">
        <f t="shared" ca="1" si="48"/>
        <v>#VALUE!</v>
      </c>
      <c r="O2343" s="7" t="str">
        <f ca="1">IFERROR(__xludf.DUMMYFUNCTION("GOOGLEFINANCE(""NSE:""&amp;D2343,""pe"")"),"#N/A")</f>
        <v>#N/A</v>
      </c>
      <c r="P2343" s="7" t="str">
        <f ca="1">IFERROR(__xludf.DUMMYFUNCTION("GOOGLEFINANCE(""NSE:""&amp;D2343,""EPS"")"),"#N/A")</f>
        <v>#N/A</v>
      </c>
      <c r="Q2343" s="7">
        <v>13.5</v>
      </c>
      <c r="R2343" s="7" t="str">
        <f ca="1">IFERROR(__xludf.DUMMYFUNCTION("IMPORTXML(E2343,""/html/body/main/div[3]/div[3]/div[2]/ul/li[7]/span[2]/span"")"),"Loading...")</f>
        <v>Loading...</v>
      </c>
      <c r="S2343" s="7" t="str">
        <f ca="1">IFERROR(__xludf.DUMMYFUNCTION("IMPORTXML(E2343,""/html/body/main/div[3]/div[3]/div[2]/ul/li[8]/span[2]/span"")"),"Loading...")</f>
        <v>Loading...</v>
      </c>
      <c r="T2343" s="4">
        <v>34.6</v>
      </c>
      <c r="U2343" s="4">
        <v>22.7</v>
      </c>
      <c r="V2343" s="4">
        <v>2.6</v>
      </c>
      <c r="W2343" s="4">
        <v>5.7</v>
      </c>
      <c r="X2343" s="4">
        <v>519.92999999999995</v>
      </c>
      <c r="Y2343" s="7" t="e">
        <f t="shared" ca="1" si="49"/>
        <v>#VALUE!</v>
      </c>
    </row>
    <row r="2344" spans="1:25" ht="15" x14ac:dyDescent="0.25">
      <c r="A2344" s="4">
        <v>2241</v>
      </c>
      <c r="C2344" s="41" t="s">
        <v>4587</v>
      </c>
      <c r="D2344" s="42"/>
      <c r="E2344" s="5" t="str">
        <f t="shared" si="45"/>
        <v>https://www.screener.in/company//consolidated/</v>
      </c>
      <c r="F2344" s="4">
        <v>443059</v>
      </c>
      <c r="G2344" s="4">
        <v>3832241897</v>
      </c>
      <c r="H2344" s="6" t="e">
        <f t="shared" ca="1" si="46"/>
        <v>#VALUE!</v>
      </c>
      <c r="I2344" s="7" t="str">
        <f ca="1">IFERROR(__xludf.DUMMYFUNCTION("IMPORTXML(E2344,""/html/body/main/div[3]/div[3]/div[2]/ul/li[5]/span[2]/span"")"),"Loading...")</f>
        <v>Loading...</v>
      </c>
      <c r="J2344" s="7" t="str">
        <f ca="1">IFERROR(__xludf.DUMMYFUNCTION("GOOGLEFINANCE(""NSE:""&amp;D2344,""marketcap"")"),"#N/A")</f>
        <v>#N/A</v>
      </c>
      <c r="K2344" s="7">
        <v>992.8</v>
      </c>
      <c r="L2344" s="8" t="str">
        <f ca="1">IFERROR(__xludf.DUMMYFUNCTION("GOOGLEFINANCE(""NSE:""&amp;D2344,""price"")"),"#N/A")</f>
        <v>#N/A</v>
      </c>
      <c r="M2344" s="9" t="e">
        <f t="shared" ca="1" si="47"/>
        <v>#VALUE!</v>
      </c>
      <c r="N2344" s="10" t="e">
        <f t="shared" ca="1" si="48"/>
        <v>#VALUE!</v>
      </c>
      <c r="O2344" s="7" t="str">
        <f ca="1">IFERROR(__xludf.DUMMYFUNCTION("GOOGLEFINANCE(""NSE:""&amp;D2344,""pe"")"),"#N/A")</f>
        <v>#N/A</v>
      </c>
      <c r="P2344" s="7" t="str">
        <f ca="1">IFERROR(__xludf.DUMMYFUNCTION("GOOGLEFINANCE(""NSE:""&amp;D2344,""EPS"")"),"#N/A")</f>
        <v>#N/A</v>
      </c>
      <c r="Q2344" s="7">
        <v>13.5</v>
      </c>
      <c r="R2344" s="7" t="str">
        <f ca="1">IFERROR(__xludf.DUMMYFUNCTION("IMPORTXML(E2344,""/html/body/main/div[3]/div[3]/div[2]/ul/li[7]/span[2]/span"")"),"Loading...")</f>
        <v>Loading...</v>
      </c>
      <c r="S2344" s="7" t="str">
        <f ca="1">IFERROR(__xludf.DUMMYFUNCTION("IMPORTXML(E2344,""/html/body/main/div[3]/div[3]/div[2]/ul/li[8]/span[2]/span"")"),"Loading...")</f>
        <v>Loading...</v>
      </c>
      <c r="T2344" s="4">
        <v>34.6</v>
      </c>
      <c r="U2344" s="4">
        <v>22.7</v>
      </c>
      <c r="V2344" s="4">
        <v>2.6</v>
      </c>
      <c r="W2344" s="4">
        <v>5.7</v>
      </c>
      <c r="X2344" s="4">
        <v>519.92999999999995</v>
      </c>
      <c r="Y2344" s="7" t="e">
        <f t="shared" ca="1" si="49"/>
        <v>#VALUE!</v>
      </c>
    </row>
    <row r="2345" spans="1:25" ht="15" x14ac:dyDescent="0.25">
      <c r="A2345" s="4">
        <v>2242</v>
      </c>
      <c r="C2345" s="41" t="s">
        <v>4588</v>
      </c>
      <c r="D2345" s="42"/>
      <c r="E2345" s="5" t="str">
        <f t="shared" si="45"/>
        <v>https://www.screener.in/company//consolidated/</v>
      </c>
      <c r="F2345" s="4">
        <v>443059</v>
      </c>
      <c r="G2345" s="4">
        <v>3832241897</v>
      </c>
      <c r="H2345" s="6" t="e">
        <f t="shared" ca="1" si="46"/>
        <v>#VALUE!</v>
      </c>
      <c r="I2345" s="7" t="str">
        <f ca="1">IFERROR(__xludf.DUMMYFUNCTION("IMPORTXML(E2345,""/html/body/main/div[3]/div[3]/div[2]/ul/li[5]/span[2]/span"")"),"Loading...")</f>
        <v>Loading...</v>
      </c>
      <c r="J2345" s="7" t="str">
        <f ca="1">IFERROR(__xludf.DUMMYFUNCTION("GOOGLEFINANCE(""NSE:""&amp;D2345,""marketcap"")"),"#N/A")</f>
        <v>#N/A</v>
      </c>
      <c r="K2345" s="7">
        <v>992.8</v>
      </c>
      <c r="L2345" s="8" t="str">
        <f ca="1">IFERROR(__xludf.DUMMYFUNCTION("GOOGLEFINANCE(""NSE:""&amp;D2345,""price"")"),"#N/A")</f>
        <v>#N/A</v>
      </c>
      <c r="M2345" s="9" t="e">
        <f t="shared" ca="1" si="47"/>
        <v>#VALUE!</v>
      </c>
      <c r="N2345" s="10" t="e">
        <f t="shared" ca="1" si="48"/>
        <v>#VALUE!</v>
      </c>
      <c r="O2345" s="7" t="str">
        <f ca="1">IFERROR(__xludf.DUMMYFUNCTION("GOOGLEFINANCE(""NSE:""&amp;D2345,""pe"")"),"#N/A")</f>
        <v>#N/A</v>
      </c>
      <c r="P2345" s="7" t="str">
        <f ca="1">IFERROR(__xludf.DUMMYFUNCTION("GOOGLEFINANCE(""NSE:""&amp;D2345,""EPS"")"),"#N/A")</f>
        <v>#N/A</v>
      </c>
      <c r="Q2345" s="7">
        <v>13.5</v>
      </c>
      <c r="R2345" s="7" t="str">
        <f ca="1">IFERROR(__xludf.DUMMYFUNCTION("IMPORTXML(E2345,""/html/body/main/div[3]/div[3]/div[2]/ul/li[7]/span[2]/span"")"),"Loading...")</f>
        <v>Loading...</v>
      </c>
      <c r="S2345" s="7" t="str">
        <f ca="1">IFERROR(__xludf.DUMMYFUNCTION("IMPORTXML(E2345,""/html/body/main/div[3]/div[3]/div[2]/ul/li[8]/span[2]/span"")"),"Loading...")</f>
        <v>Loading...</v>
      </c>
      <c r="T2345" s="4">
        <v>34.6</v>
      </c>
      <c r="U2345" s="4">
        <v>22.7</v>
      </c>
      <c r="V2345" s="4">
        <v>2.6</v>
      </c>
      <c r="W2345" s="4">
        <v>5.7</v>
      </c>
      <c r="X2345" s="4">
        <v>519.92999999999995</v>
      </c>
      <c r="Y2345" s="7" t="e">
        <f t="shared" ca="1" si="49"/>
        <v>#VALUE!</v>
      </c>
    </row>
    <row r="2346" spans="1:25" ht="15" x14ac:dyDescent="0.25">
      <c r="A2346" s="4">
        <v>2243</v>
      </c>
      <c r="C2346" s="41" t="s">
        <v>4589</v>
      </c>
      <c r="D2346" s="42"/>
      <c r="E2346" s="5" t="str">
        <f t="shared" si="45"/>
        <v>https://www.screener.in/company//consolidated/</v>
      </c>
      <c r="F2346" s="4">
        <v>443059</v>
      </c>
      <c r="G2346" s="4">
        <v>3832241897</v>
      </c>
      <c r="H2346" s="6" t="e">
        <f t="shared" ca="1" si="46"/>
        <v>#VALUE!</v>
      </c>
      <c r="I2346" s="7" t="str">
        <f ca="1">IFERROR(__xludf.DUMMYFUNCTION("IMPORTXML(E2346,""/html/body/main/div[3]/div[3]/div[2]/ul/li[5]/span[2]/span"")"),"Loading...")</f>
        <v>Loading...</v>
      </c>
      <c r="J2346" s="7" t="str">
        <f ca="1">IFERROR(__xludf.DUMMYFUNCTION("GOOGLEFINANCE(""NSE:""&amp;D2346,""marketcap"")"),"#N/A")</f>
        <v>#N/A</v>
      </c>
      <c r="K2346" s="7">
        <v>992.8</v>
      </c>
      <c r="L2346" s="8" t="str">
        <f ca="1">IFERROR(__xludf.DUMMYFUNCTION("GOOGLEFINANCE(""NSE:""&amp;D2346,""price"")"),"#N/A")</f>
        <v>#N/A</v>
      </c>
      <c r="M2346" s="9" t="e">
        <f t="shared" ca="1" si="47"/>
        <v>#VALUE!</v>
      </c>
      <c r="N2346" s="10" t="e">
        <f t="shared" ca="1" si="48"/>
        <v>#VALUE!</v>
      </c>
      <c r="O2346" s="7" t="str">
        <f ca="1">IFERROR(__xludf.DUMMYFUNCTION("GOOGLEFINANCE(""NSE:""&amp;D2346,""pe"")"),"#N/A")</f>
        <v>#N/A</v>
      </c>
      <c r="P2346" s="7" t="str">
        <f ca="1">IFERROR(__xludf.DUMMYFUNCTION("GOOGLEFINANCE(""NSE:""&amp;D2346,""EPS"")"),"#N/A")</f>
        <v>#N/A</v>
      </c>
      <c r="Q2346" s="7">
        <v>13.5</v>
      </c>
      <c r="R2346" s="7" t="str">
        <f ca="1">IFERROR(__xludf.DUMMYFUNCTION("IMPORTXML(E2346,""/html/body/main/div[3]/div[3]/div[2]/ul/li[7]/span[2]/span"")"),"Loading...")</f>
        <v>Loading...</v>
      </c>
      <c r="S2346" s="7" t="str">
        <f ca="1">IFERROR(__xludf.DUMMYFUNCTION("IMPORTXML(E2346,""/html/body/main/div[3]/div[3]/div[2]/ul/li[8]/span[2]/span"")"),"Loading...")</f>
        <v>Loading...</v>
      </c>
      <c r="T2346" s="4">
        <v>34.6</v>
      </c>
      <c r="U2346" s="4">
        <v>22.7</v>
      </c>
      <c r="V2346" s="4">
        <v>2.6</v>
      </c>
      <c r="W2346" s="4">
        <v>5.7</v>
      </c>
      <c r="X2346" s="4">
        <v>519.92999999999995</v>
      </c>
      <c r="Y2346" s="7" t="e">
        <f t="shared" ca="1" si="49"/>
        <v>#VALUE!</v>
      </c>
    </row>
    <row r="2347" spans="1:25" ht="15" x14ac:dyDescent="0.25">
      <c r="A2347" s="4">
        <v>2244</v>
      </c>
      <c r="C2347" s="41" t="s">
        <v>4590</v>
      </c>
      <c r="D2347" s="42"/>
      <c r="E2347" s="5" t="str">
        <f t="shared" si="45"/>
        <v>https://www.screener.in/company//consolidated/</v>
      </c>
      <c r="F2347" s="4">
        <v>443059</v>
      </c>
      <c r="G2347" s="4">
        <v>3832241897</v>
      </c>
      <c r="H2347" s="6" t="e">
        <f t="shared" ca="1" si="46"/>
        <v>#VALUE!</v>
      </c>
      <c r="I2347" s="7" t="str">
        <f ca="1">IFERROR(__xludf.DUMMYFUNCTION("IMPORTXML(E2347,""/html/body/main/div[3]/div[3]/div[2]/ul/li[5]/span[2]/span"")"),"Loading...")</f>
        <v>Loading...</v>
      </c>
      <c r="J2347" s="7" t="str">
        <f ca="1">IFERROR(__xludf.DUMMYFUNCTION("GOOGLEFINANCE(""NSE:""&amp;D2347,""marketcap"")"),"#N/A")</f>
        <v>#N/A</v>
      </c>
      <c r="K2347" s="7">
        <v>992.8</v>
      </c>
      <c r="L2347" s="8" t="str">
        <f ca="1">IFERROR(__xludf.DUMMYFUNCTION("GOOGLEFINANCE(""NSE:""&amp;D2347,""price"")"),"#N/A")</f>
        <v>#N/A</v>
      </c>
      <c r="M2347" s="9" t="e">
        <f t="shared" ca="1" si="47"/>
        <v>#VALUE!</v>
      </c>
      <c r="N2347" s="10" t="e">
        <f t="shared" ca="1" si="48"/>
        <v>#VALUE!</v>
      </c>
      <c r="O2347" s="7" t="str">
        <f ca="1">IFERROR(__xludf.DUMMYFUNCTION("GOOGLEFINANCE(""NSE:""&amp;D2347,""pe"")"),"#N/A")</f>
        <v>#N/A</v>
      </c>
      <c r="P2347" s="7" t="str">
        <f ca="1">IFERROR(__xludf.DUMMYFUNCTION("GOOGLEFINANCE(""NSE:""&amp;D2347,""EPS"")"),"#N/A")</f>
        <v>#N/A</v>
      </c>
      <c r="Q2347" s="7">
        <v>13.5</v>
      </c>
      <c r="R2347" s="7" t="str">
        <f ca="1">IFERROR(__xludf.DUMMYFUNCTION("IMPORTXML(E2347,""/html/body/main/div[3]/div[3]/div[2]/ul/li[7]/span[2]/span"")"),"Loading...")</f>
        <v>Loading...</v>
      </c>
      <c r="S2347" s="7" t="str">
        <f ca="1">IFERROR(__xludf.DUMMYFUNCTION("IMPORTXML(E2347,""/html/body/main/div[3]/div[3]/div[2]/ul/li[8]/span[2]/span"")"),"Loading...")</f>
        <v>Loading...</v>
      </c>
      <c r="T2347" s="4">
        <v>34.6</v>
      </c>
      <c r="U2347" s="4">
        <v>22.7</v>
      </c>
      <c r="V2347" s="4">
        <v>2.6</v>
      </c>
      <c r="W2347" s="4">
        <v>5.7</v>
      </c>
      <c r="X2347" s="4">
        <v>519.92999999999995</v>
      </c>
      <c r="Y2347" s="7" t="e">
        <f t="shared" ca="1" si="49"/>
        <v>#VALUE!</v>
      </c>
    </row>
    <row r="2348" spans="1:25" ht="15" x14ac:dyDescent="0.25">
      <c r="A2348" s="4">
        <v>2245</v>
      </c>
      <c r="C2348" s="41" t="s">
        <v>4591</v>
      </c>
      <c r="D2348" s="42"/>
      <c r="E2348" s="5" t="str">
        <f t="shared" si="45"/>
        <v>https://www.screener.in/company//consolidated/</v>
      </c>
      <c r="F2348" s="4">
        <v>443059</v>
      </c>
      <c r="G2348" s="4">
        <v>3832241897</v>
      </c>
      <c r="H2348" s="6" t="e">
        <f t="shared" ca="1" si="46"/>
        <v>#VALUE!</v>
      </c>
      <c r="I2348" s="7" t="str">
        <f ca="1">IFERROR(__xludf.DUMMYFUNCTION("IMPORTXML(E2348,""/html/body/main/div[3]/div[3]/div[2]/ul/li[5]/span[2]/span"")"),"Loading...")</f>
        <v>Loading...</v>
      </c>
      <c r="J2348" s="7" t="str">
        <f ca="1">IFERROR(__xludf.DUMMYFUNCTION("GOOGLEFINANCE(""NSE:""&amp;D2348,""marketcap"")"),"#N/A")</f>
        <v>#N/A</v>
      </c>
      <c r="K2348" s="7">
        <v>992.8</v>
      </c>
      <c r="L2348" s="8" t="str">
        <f ca="1">IFERROR(__xludf.DUMMYFUNCTION("GOOGLEFINANCE(""NSE:""&amp;D2348,""price"")"),"#N/A")</f>
        <v>#N/A</v>
      </c>
      <c r="M2348" s="9" t="e">
        <f t="shared" ca="1" si="47"/>
        <v>#VALUE!</v>
      </c>
      <c r="N2348" s="10" t="e">
        <f t="shared" ca="1" si="48"/>
        <v>#VALUE!</v>
      </c>
      <c r="O2348" s="7" t="str">
        <f ca="1">IFERROR(__xludf.DUMMYFUNCTION("GOOGLEFINANCE(""NSE:""&amp;D2348,""pe"")"),"#N/A")</f>
        <v>#N/A</v>
      </c>
      <c r="P2348" s="7" t="str">
        <f ca="1">IFERROR(__xludf.DUMMYFUNCTION("GOOGLEFINANCE(""NSE:""&amp;D2348,""EPS"")"),"#N/A")</f>
        <v>#N/A</v>
      </c>
      <c r="Q2348" s="7">
        <v>13.5</v>
      </c>
      <c r="R2348" s="7" t="str">
        <f ca="1">IFERROR(__xludf.DUMMYFUNCTION("IMPORTXML(E2348,""/html/body/main/div[3]/div[3]/div[2]/ul/li[7]/span[2]/span"")"),"Loading...")</f>
        <v>Loading...</v>
      </c>
      <c r="S2348" s="7" t="str">
        <f ca="1">IFERROR(__xludf.DUMMYFUNCTION("IMPORTXML(E2348,""/html/body/main/div[3]/div[3]/div[2]/ul/li[8]/span[2]/span"")"),"Loading...")</f>
        <v>Loading...</v>
      </c>
      <c r="T2348" s="4">
        <v>34.6</v>
      </c>
      <c r="U2348" s="4">
        <v>22.7</v>
      </c>
      <c r="V2348" s="4">
        <v>2.6</v>
      </c>
      <c r="W2348" s="4">
        <v>5.7</v>
      </c>
      <c r="X2348" s="4">
        <v>519.92999999999995</v>
      </c>
      <c r="Y2348" s="7" t="e">
        <f t="shared" ca="1" si="49"/>
        <v>#VALUE!</v>
      </c>
    </row>
    <row r="2349" spans="1:25" ht="15" x14ac:dyDescent="0.25">
      <c r="A2349" s="4">
        <v>2246</v>
      </c>
      <c r="C2349" s="41" t="s">
        <v>4592</v>
      </c>
      <c r="D2349" s="42"/>
      <c r="E2349" s="5" t="str">
        <f t="shared" si="45"/>
        <v>https://www.screener.in/company//consolidated/</v>
      </c>
      <c r="F2349" s="4">
        <v>443059</v>
      </c>
      <c r="G2349" s="4">
        <v>3832241897</v>
      </c>
      <c r="H2349" s="6" t="e">
        <f t="shared" ca="1" si="46"/>
        <v>#VALUE!</v>
      </c>
      <c r="I2349" s="7" t="str">
        <f ca="1">IFERROR(__xludf.DUMMYFUNCTION("IMPORTXML(E2349,""/html/body/main/div[3]/div[3]/div[2]/ul/li[5]/span[2]/span"")"),"Loading...")</f>
        <v>Loading...</v>
      </c>
      <c r="J2349" s="7" t="str">
        <f ca="1">IFERROR(__xludf.DUMMYFUNCTION("GOOGLEFINANCE(""NSE:""&amp;D2349,""marketcap"")"),"#N/A")</f>
        <v>#N/A</v>
      </c>
      <c r="K2349" s="7">
        <v>992.8</v>
      </c>
      <c r="L2349" s="8" t="str">
        <f ca="1">IFERROR(__xludf.DUMMYFUNCTION("GOOGLEFINANCE(""NSE:""&amp;D2349,""price"")"),"#N/A")</f>
        <v>#N/A</v>
      </c>
      <c r="M2349" s="9" t="e">
        <f t="shared" ca="1" si="47"/>
        <v>#VALUE!</v>
      </c>
      <c r="N2349" s="10" t="e">
        <f t="shared" ca="1" si="48"/>
        <v>#VALUE!</v>
      </c>
      <c r="O2349" s="7" t="str">
        <f ca="1">IFERROR(__xludf.DUMMYFUNCTION("GOOGLEFINANCE(""NSE:""&amp;D2349,""pe"")"),"#N/A")</f>
        <v>#N/A</v>
      </c>
      <c r="P2349" s="7" t="str">
        <f ca="1">IFERROR(__xludf.DUMMYFUNCTION("GOOGLEFINANCE(""NSE:""&amp;D2349,""EPS"")"),"#N/A")</f>
        <v>#N/A</v>
      </c>
      <c r="Q2349" s="7">
        <v>13.5</v>
      </c>
      <c r="R2349" s="7" t="str">
        <f ca="1">IFERROR(__xludf.DUMMYFUNCTION("IMPORTXML(E2349,""/html/body/main/div[3]/div[3]/div[2]/ul/li[7]/span[2]/span"")"),"Loading...")</f>
        <v>Loading...</v>
      </c>
      <c r="S2349" s="7" t="str">
        <f ca="1">IFERROR(__xludf.DUMMYFUNCTION("IMPORTXML(E2349,""/html/body/main/div[3]/div[3]/div[2]/ul/li[8]/span[2]/span"")"),"Loading...")</f>
        <v>Loading...</v>
      </c>
      <c r="T2349" s="4">
        <v>34.6</v>
      </c>
      <c r="U2349" s="4">
        <v>22.7</v>
      </c>
      <c r="V2349" s="4">
        <v>2.6</v>
      </c>
      <c r="W2349" s="4">
        <v>5.7</v>
      </c>
      <c r="X2349" s="4">
        <v>519.92999999999995</v>
      </c>
      <c r="Y2349" s="7" t="e">
        <f t="shared" ca="1" si="49"/>
        <v>#VALUE!</v>
      </c>
    </row>
    <row r="2350" spans="1:25" ht="15" x14ac:dyDescent="0.25">
      <c r="A2350" s="4">
        <v>2247</v>
      </c>
      <c r="C2350" s="41" t="s">
        <v>4593</v>
      </c>
      <c r="D2350" s="42"/>
      <c r="E2350" s="5" t="str">
        <f t="shared" si="45"/>
        <v>https://www.screener.in/company//consolidated/</v>
      </c>
      <c r="F2350" s="4">
        <v>443059</v>
      </c>
      <c r="G2350" s="4">
        <v>3832241897</v>
      </c>
      <c r="H2350" s="6" t="e">
        <f t="shared" ca="1" si="46"/>
        <v>#VALUE!</v>
      </c>
      <c r="I2350" s="7" t="str">
        <f ca="1">IFERROR(__xludf.DUMMYFUNCTION("IMPORTXML(E2350,""/html/body/main/div[3]/div[3]/div[2]/ul/li[5]/span[2]/span"")"),"Loading...")</f>
        <v>Loading...</v>
      </c>
      <c r="J2350" s="7" t="str">
        <f ca="1">IFERROR(__xludf.DUMMYFUNCTION("GOOGLEFINANCE(""NSE:""&amp;D2350,""marketcap"")"),"#N/A")</f>
        <v>#N/A</v>
      </c>
      <c r="K2350" s="7">
        <v>992.8</v>
      </c>
      <c r="L2350" s="8" t="str">
        <f ca="1">IFERROR(__xludf.DUMMYFUNCTION("GOOGLEFINANCE(""NSE:""&amp;D2350,""price"")"),"#N/A")</f>
        <v>#N/A</v>
      </c>
      <c r="M2350" s="9" t="e">
        <f t="shared" ca="1" si="47"/>
        <v>#VALUE!</v>
      </c>
      <c r="N2350" s="10" t="e">
        <f t="shared" ca="1" si="48"/>
        <v>#VALUE!</v>
      </c>
      <c r="O2350" s="7" t="str">
        <f ca="1">IFERROR(__xludf.DUMMYFUNCTION("GOOGLEFINANCE(""NSE:""&amp;D2350,""pe"")"),"#N/A")</f>
        <v>#N/A</v>
      </c>
      <c r="P2350" s="7" t="str">
        <f ca="1">IFERROR(__xludf.DUMMYFUNCTION("GOOGLEFINANCE(""NSE:""&amp;D2350,""EPS"")"),"#N/A")</f>
        <v>#N/A</v>
      </c>
      <c r="Q2350" s="7">
        <v>13.5</v>
      </c>
      <c r="R2350" s="7" t="str">
        <f ca="1">IFERROR(__xludf.DUMMYFUNCTION("IMPORTXML(E2350,""/html/body/main/div[3]/div[3]/div[2]/ul/li[7]/span[2]/span"")"),"Loading...")</f>
        <v>Loading...</v>
      </c>
      <c r="S2350" s="7" t="str">
        <f ca="1">IFERROR(__xludf.DUMMYFUNCTION("IMPORTXML(E2350,""/html/body/main/div[3]/div[3]/div[2]/ul/li[8]/span[2]/span"")"),"Loading...")</f>
        <v>Loading...</v>
      </c>
      <c r="T2350" s="4">
        <v>34.6</v>
      </c>
      <c r="U2350" s="4">
        <v>22.7</v>
      </c>
      <c r="V2350" s="4">
        <v>2.6</v>
      </c>
      <c r="W2350" s="4">
        <v>5.7</v>
      </c>
      <c r="X2350" s="4">
        <v>519.92999999999995</v>
      </c>
      <c r="Y2350" s="7" t="e">
        <f t="shared" ca="1" si="49"/>
        <v>#VALUE!</v>
      </c>
    </row>
    <row r="2351" spans="1:25" ht="15" x14ac:dyDescent="0.25">
      <c r="A2351" s="4">
        <v>2248</v>
      </c>
      <c r="C2351" s="41" t="s">
        <v>4594</v>
      </c>
      <c r="D2351" s="42"/>
      <c r="E2351" s="5" t="str">
        <f t="shared" si="45"/>
        <v>https://www.screener.in/company//consolidated/</v>
      </c>
      <c r="F2351" s="4">
        <v>443059</v>
      </c>
      <c r="G2351" s="4">
        <v>3832241897</v>
      </c>
      <c r="H2351" s="6" t="e">
        <f t="shared" ca="1" si="46"/>
        <v>#VALUE!</v>
      </c>
      <c r="I2351" s="7" t="str">
        <f ca="1">IFERROR(__xludf.DUMMYFUNCTION("IMPORTXML(E2351,""/html/body/main/div[3]/div[3]/div[2]/ul/li[5]/span[2]/span"")"),"Loading...")</f>
        <v>Loading...</v>
      </c>
      <c r="J2351" s="7" t="str">
        <f ca="1">IFERROR(__xludf.DUMMYFUNCTION("GOOGLEFINANCE(""NSE:""&amp;D2351,""marketcap"")"),"#N/A")</f>
        <v>#N/A</v>
      </c>
      <c r="K2351" s="7">
        <v>992.8</v>
      </c>
      <c r="L2351" s="8" t="str">
        <f ca="1">IFERROR(__xludf.DUMMYFUNCTION("GOOGLEFINANCE(""NSE:""&amp;D2351,""price"")"),"#N/A")</f>
        <v>#N/A</v>
      </c>
      <c r="M2351" s="9" t="e">
        <f t="shared" ca="1" si="47"/>
        <v>#VALUE!</v>
      </c>
      <c r="N2351" s="10" t="e">
        <f t="shared" ca="1" si="48"/>
        <v>#VALUE!</v>
      </c>
      <c r="O2351" s="7" t="str">
        <f ca="1">IFERROR(__xludf.DUMMYFUNCTION("GOOGLEFINANCE(""NSE:""&amp;D2351,""pe"")"),"#N/A")</f>
        <v>#N/A</v>
      </c>
      <c r="P2351" s="7" t="str">
        <f ca="1">IFERROR(__xludf.DUMMYFUNCTION("GOOGLEFINANCE(""NSE:""&amp;D2351,""EPS"")"),"#N/A")</f>
        <v>#N/A</v>
      </c>
      <c r="Q2351" s="7">
        <v>13.5</v>
      </c>
      <c r="R2351" s="7" t="str">
        <f ca="1">IFERROR(__xludf.DUMMYFUNCTION("IMPORTXML(E2351,""/html/body/main/div[3]/div[3]/div[2]/ul/li[7]/span[2]/span"")"),"Loading...")</f>
        <v>Loading...</v>
      </c>
      <c r="S2351" s="7" t="str">
        <f ca="1">IFERROR(__xludf.DUMMYFUNCTION("IMPORTXML(E2351,""/html/body/main/div[3]/div[3]/div[2]/ul/li[8]/span[2]/span"")"),"Loading...")</f>
        <v>Loading...</v>
      </c>
      <c r="T2351" s="4">
        <v>34.6</v>
      </c>
      <c r="U2351" s="4">
        <v>22.7</v>
      </c>
      <c r="V2351" s="4">
        <v>2.6</v>
      </c>
      <c r="W2351" s="4">
        <v>5.7</v>
      </c>
      <c r="X2351" s="4">
        <v>519.92999999999995</v>
      </c>
      <c r="Y2351" s="7" t="e">
        <f t="shared" ca="1" si="49"/>
        <v>#VALUE!</v>
      </c>
    </row>
    <row r="2352" spans="1:25" ht="15" x14ac:dyDescent="0.25">
      <c r="A2352" s="4">
        <v>2249</v>
      </c>
      <c r="C2352" s="41" t="s">
        <v>4595</v>
      </c>
      <c r="D2352" s="42"/>
      <c r="E2352" s="5" t="str">
        <f t="shared" si="45"/>
        <v>https://www.screener.in/company//consolidated/</v>
      </c>
      <c r="F2352" s="4">
        <v>443059</v>
      </c>
      <c r="G2352" s="4">
        <v>3832241897</v>
      </c>
      <c r="H2352" s="6" t="e">
        <f t="shared" ca="1" si="46"/>
        <v>#VALUE!</v>
      </c>
      <c r="I2352" s="7" t="str">
        <f ca="1">IFERROR(__xludf.DUMMYFUNCTION("IMPORTXML(E2352,""/html/body/main/div[3]/div[3]/div[2]/ul/li[5]/span[2]/span"")"),"Loading...")</f>
        <v>Loading...</v>
      </c>
      <c r="J2352" s="7" t="str">
        <f ca="1">IFERROR(__xludf.DUMMYFUNCTION("GOOGLEFINANCE(""NSE:""&amp;D2352,""marketcap"")"),"#N/A")</f>
        <v>#N/A</v>
      </c>
      <c r="K2352" s="7">
        <v>992.8</v>
      </c>
      <c r="L2352" s="8" t="str">
        <f ca="1">IFERROR(__xludf.DUMMYFUNCTION("GOOGLEFINANCE(""NSE:""&amp;D2352,""price"")"),"#N/A")</f>
        <v>#N/A</v>
      </c>
      <c r="M2352" s="9" t="e">
        <f t="shared" ca="1" si="47"/>
        <v>#VALUE!</v>
      </c>
      <c r="N2352" s="10" t="e">
        <f t="shared" ca="1" si="48"/>
        <v>#VALUE!</v>
      </c>
      <c r="O2352" s="7" t="str">
        <f ca="1">IFERROR(__xludf.DUMMYFUNCTION("GOOGLEFINANCE(""NSE:""&amp;D2352,""pe"")"),"#N/A")</f>
        <v>#N/A</v>
      </c>
      <c r="P2352" s="7" t="str">
        <f ca="1">IFERROR(__xludf.DUMMYFUNCTION("GOOGLEFINANCE(""NSE:""&amp;D2352,""EPS"")"),"#N/A")</f>
        <v>#N/A</v>
      </c>
      <c r="Q2352" s="7">
        <v>13.5</v>
      </c>
      <c r="R2352" s="7" t="str">
        <f ca="1">IFERROR(__xludf.DUMMYFUNCTION("IMPORTXML(E2352,""/html/body/main/div[3]/div[3]/div[2]/ul/li[7]/span[2]/span"")"),"Loading...")</f>
        <v>Loading...</v>
      </c>
      <c r="S2352" s="7" t="str">
        <f ca="1">IFERROR(__xludf.DUMMYFUNCTION("IMPORTXML(E2352,""/html/body/main/div[3]/div[3]/div[2]/ul/li[8]/span[2]/span"")"),"Loading...")</f>
        <v>Loading...</v>
      </c>
      <c r="T2352" s="4">
        <v>34.6</v>
      </c>
      <c r="U2352" s="4">
        <v>22.7</v>
      </c>
      <c r="V2352" s="4">
        <v>2.6</v>
      </c>
      <c r="W2352" s="4">
        <v>5.7</v>
      </c>
      <c r="X2352" s="4">
        <v>519.92999999999995</v>
      </c>
      <c r="Y2352" s="7" t="e">
        <f t="shared" ca="1" si="49"/>
        <v>#VALUE!</v>
      </c>
    </row>
    <row r="2353" spans="1:25" ht="15" x14ac:dyDescent="0.25">
      <c r="A2353" s="4">
        <v>2251</v>
      </c>
      <c r="C2353" s="41" t="s">
        <v>4596</v>
      </c>
      <c r="D2353" s="42"/>
      <c r="E2353" s="5" t="str">
        <f t="shared" si="45"/>
        <v>https://www.screener.in/company//consolidated/</v>
      </c>
      <c r="F2353" s="4">
        <v>443059</v>
      </c>
      <c r="G2353" s="4">
        <v>3832241897</v>
      </c>
      <c r="H2353" s="6" t="e">
        <f t="shared" ca="1" si="46"/>
        <v>#VALUE!</v>
      </c>
      <c r="I2353" s="7" t="str">
        <f ca="1">IFERROR(__xludf.DUMMYFUNCTION("IMPORTXML(E2353,""/html/body/main/div[3]/div[3]/div[2]/ul/li[5]/span[2]/span"")"),"Loading...")</f>
        <v>Loading...</v>
      </c>
      <c r="J2353" s="7" t="str">
        <f ca="1">IFERROR(__xludf.DUMMYFUNCTION("GOOGLEFINANCE(""NSE:""&amp;D2353,""marketcap"")"),"#N/A")</f>
        <v>#N/A</v>
      </c>
      <c r="K2353" s="7">
        <v>992.8</v>
      </c>
      <c r="L2353" s="8" t="str">
        <f ca="1">IFERROR(__xludf.DUMMYFUNCTION("GOOGLEFINANCE(""NSE:""&amp;D2353,""price"")"),"#N/A")</f>
        <v>#N/A</v>
      </c>
      <c r="M2353" s="9" t="e">
        <f t="shared" ca="1" si="47"/>
        <v>#VALUE!</v>
      </c>
      <c r="N2353" s="10" t="e">
        <f t="shared" ca="1" si="48"/>
        <v>#VALUE!</v>
      </c>
      <c r="O2353" s="7" t="str">
        <f ca="1">IFERROR(__xludf.DUMMYFUNCTION("GOOGLEFINANCE(""NSE:""&amp;D2353,""pe"")"),"#N/A")</f>
        <v>#N/A</v>
      </c>
      <c r="P2353" s="7" t="str">
        <f ca="1">IFERROR(__xludf.DUMMYFUNCTION("GOOGLEFINANCE(""NSE:""&amp;D2353,""EPS"")"),"#N/A")</f>
        <v>#N/A</v>
      </c>
      <c r="Q2353" s="7">
        <v>13.5</v>
      </c>
      <c r="R2353" s="7" t="str">
        <f ca="1">IFERROR(__xludf.DUMMYFUNCTION("IMPORTXML(E2353,""/html/body/main/div[3]/div[3]/div[2]/ul/li[7]/span[2]/span"")"),"Loading...")</f>
        <v>Loading...</v>
      </c>
      <c r="S2353" s="7" t="str">
        <f ca="1">IFERROR(__xludf.DUMMYFUNCTION("IMPORTXML(E2353,""/html/body/main/div[3]/div[3]/div[2]/ul/li[8]/span[2]/span"")"),"Loading...")</f>
        <v>Loading...</v>
      </c>
      <c r="T2353" s="4">
        <v>34.6</v>
      </c>
      <c r="U2353" s="4">
        <v>22.7</v>
      </c>
      <c r="V2353" s="4">
        <v>2.6</v>
      </c>
      <c r="W2353" s="4">
        <v>5.7</v>
      </c>
      <c r="X2353" s="4">
        <v>519.92999999999995</v>
      </c>
      <c r="Y2353" s="7" t="e">
        <f t="shared" ca="1" si="49"/>
        <v>#VALUE!</v>
      </c>
    </row>
    <row r="2354" spans="1:25" ht="15" x14ac:dyDescent="0.25">
      <c r="A2354" s="4">
        <v>2253</v>
      </c>
      <c r="C2354" s="41" t="s">
        <v>4597</v>
      </c>
      <c r="D2354" s="42"/>
      <c r="E2354" s="5" t="str">
        <f t="shared" si="45"/>
        <v>https://www.screener.in/company//consolidated/</v>
      </c>
      <c r="F2354" s="4">
        <v>443059</v>
      </c>
      <c r="G2354" s="4">
        <v>3832241897</v>
      </c>
      <c r="H2354" s="6" t="e">
        <f t="shared" ca="1" si="46"/>
        <v>#VALUE!</v>
      </c>
      <c r="I2354" s="7" t="str">
        <f ca="1">IFERROR(__xludf.DUMMYFUNCTION("IMPORTXML(E2354,""/html/body/main/div[3]/div[3]/div[2]/ul/li[5]/span[2]/span"")"),"Loading...")</f>
        <v>Loading...</v>
      </c>
      <c r="J2354" s="7" t="str">
        <f ca="1">IFERROR(__xludf.DUMMYFUNCTION("GOOGLEFINANCE(""NSE:""&amp;D2354,""marketcap"")"),"#N/A")</f>
        <v>#N/A</v>
      </c>
      <c r="K2354" s="7">
        <v>992.8</v>
      </c>
      <c r="L2354" s="8" t="str">
        <f ca="1">IFERROR(__xludf.DUMMYFUNCTION("GOOGLEFINANCE(""NSE:""&amp;D2354,""price"")"),"#N/A")</f>
        <v>#N/A</v>
      </c>
      <c r="M2354" s="9" t="e">
        <f t="shared" ca="1" si="47"/>
        <v>#VALUE!</v>
      </c>
      <c r="N2354" s="10" t="e">
        <f t="shared" ca="1" si="48"/>
        <v>#VALUE!</v>
      </c>
      <c r="O2354" s="7" t="str">
        <f ca="1">IFERROR(__xludf.DUMMYFUNCTION("GOOGLEFINANCE(""NSE:""&amp;D2354,""pe"")"),"#N/A")</f>
        <v>#N/A</v>
      </c>
      <c r="P2354" s="7" t="str">
        <f ca="1">IFERROR(__xludf.DUMMYFUNCTION("GOOGLEFINANCE(""NSE:""&amp;D2354,""EPS"")"),"#N/A")</f>
        <v>#N/A</v>
      </c>
      <c r="Q2354" s="7">
        <v>13.5</v>
      </c>
      <c r="R2354" s="7" t="str">
        <f ca="1">IFERROR(__xludf.DUMMYFUNCTION("IMPORTXML(E2354,""/html/body/main/div[3]/div[3]/div[2]/ul/li[7]/span[2]/span"")"),"Loading...")</f>
        <v>Loading...</v>
      </c>
      <c r="S2354" s="7" t="str">
        <f ca="1">IFERROR(__xludf.DUMMYFUNCTION("IMPORTXML(E2354,""/html/body/main/div[3]/div[3]/div[2]/ul/li[8]/span[2]/span"")"),"Loading...")</f>
        <v>Loading...</v>
      </c>
      <c r="T2354" s="4">
        <v>34.6</v>
      </c>
      <c r="U2354" s="4">
        <v>22.7</v>
      </c>
      <c r="V2354" s="4">
        <v>2.6</v>
      </c>
      <c r="W2354" s="4">
        <v>5.7</v>
      </c>
      <c r="X2354" s="4">
        <v>519.92999999999995</v>
      </c>
      <c r="Y2354" s="7" t="e">
        <f t="shared" ca="1" si="49"/>
        <v>#VALUE!</v>
      </c>
    </row>
    <row r="2355" spans="1:25" ht="15" x14ac:dyDescent="0.25">
      <c r="A2355" s="4">
        <v>2254</v>
      </c>
      <c r="C2355" s="41" t="s">
        <v>4598</v>
      </c>
      <c r="D2355" s="42"/>
      <c r="E2355" s="5" t="str">
        <f t="shared" si="45"/>
        <v>https://www.screener.in/company//consolidated/</v>
      </c>
      <c r="F2355" s="4">
        <v>443059</v>
      </c>
      <c r="G2355" s="4">
        <v>3832241897</v>
      </c>
      <c r="H2355" s="6" t="e">
        <f t="shared" ca="1" si="46"/>
        <v>#VALUE!</v>
      </c>
      <c r="I2355" s="7" t="str">
        <f ca="1">IFERROR(__xludf.DUMMYFUNCTION("IMPORTXML(E2355,""/html/body/main/div[3]/div[3]/div[2]/ul/li[5]/span[2]/span"")"),"Loading...")</f>
        <v>Loading...</v>
      </c>
      <c r="J2355" s="7" t="str">
        <f ca="1">IFERROR(__xludf.DUMMYFUNCTION("GOOGLEFINANCE(""NSE:""&amp;D2355,""marketcap"")"),"#N/A")</f>
        <v>#N/A</v>
      </c>
      <c r="K2355" s="7">
        <v>992.8</v>
      </c>
      <c r="L2355" s="8" t="str">
        <f ca="1">IFERROR(__xludf.DUMMYFUNCTION("GOOGLEFINANCE(""NSE:""&amp;D2355,""price"")"),"#N/A")</f>
        <v>#N/A</v>
      </c>
      <c r="M2355" s="9" t="e">
        <f t="shared" ca="1" si="47"/>
        <v>#VALUE!</v>
      </c>
      <c r="N2355" s="10" t="e">
        <f t="shared" ca="1" si="48"/>
        <v>#VALUE!</v>
      </c>
      <c r="O2355" s="7" t="str">
        <f ca="1">IFERROR(__xludf.DUMMYFUNCTION("GOOGLEFINANCE(""NSE:""&amp;D2355,""pe"")"),"#N/A")</f>
        <v>#N/A</v>
      </c>
      <c r="P2355" s="7" t="str">
        <f ca="1">IFERROR(__xludf.DUMMYFUNCTION("GOOGLEFINANCE(""NSE:""&amp;D2355,""EPS"")"),"#N/A")</f>
        <v>#N/A</v>
      </c>
      <c r="Q2355" s="7">
        <v>13.5</v>
      </c>
      <c r="R2355" s="7" t="str">
        <f ca="1">IFERROR(__xludf.DUMMYFUNCTION("IMPORTXML(E2355,""/html/body/main/div[3]/div[3]/div[2]/ul/li[7]/span[2]/span"")"),"Loading...")</f>
        <v>Loading...</v>
      </c>
      <c r="S2355" s="7" t="str">
        <f ca="1">IFERROR(__xludf.DUMMYFUNCTION("IMPORTXML(E2355,""/html/body/main/div[3]/div[3]/div[2]/ul/li[8]/span[2]/span"")"),"Loading...")</f>
        <v>Loading...</v>
      </c>
      <c r="T2355" s="4">
        <v>34.6</v>
      </c>
      <c r="U2355" s="4">
        <v>22.7</v>
      </c>
      <c r="V2355" s="4">
        <v>2.6</v>
      </c>
      <c r="W2355" s="4">
        <v>5.7</v>
      </c>
      <c r="X2355" s="4">
        <v>519.92999999999995</v>
      </c>
      <c r="Y2355" s="7" t="e">
        <f t="shared" ca="1" si="49"/>
        <v>#VALUE!</v>
      </c>
    </row>
    <row r="2356" spans="1:25" ht="15" x14ac:dyDescent="0.25">
      <c r="A2356" s="4">
        <v>2255</v>
      </c>
      <c r="C2356" s="41" t="s">
        <v>4599</v>
      </c>
      <c r="D2356" s="42"/>
      <c r="E2356" s="5" t="str">
        <f t="shared" si="45"/>
        <v>https://www.screener.in/company//consolidated/</v>
      </c>
      <c r="F2356" s="4">
        <v>443059</v>
      </c>
      <c r="G2356" s="4">
        <v>3832241897</v>
      </c>
      <c r="H2356" s="6" t="e">
        <f t="shared" ca="1" si="46"/>
        <v>#VALUE!</v>
      </c>
      <c r="I2356" s="7" t="str">
        <f ca="1">IFERROR(__xludf.DUMMYFUNCTION("IMPORTXML(E2356,""/html/body/main/div[3]/div[3]/div[2]/ul/li[5]/span[2]/span"")"),"Loading...")</f>
        <v>Loading...</v>
      </c>
      <c r="J2356" s="7" t="str">
        <f ca="1">IFERROR(__xludf.DUMMYFUNCTION("GOOGLEFINANCE(""NSE:""&amp;D2356,""marketcap"")"),"#N/A")</f>
        <v>#N/A</v>
      </c>
      <c r="K2356" s="7">
        <v>992.8</v>
      </c>
      <c r="L2356" s="8" t="str">
        <f ca="1">IFERROR(__xludf.DUMMYFUNCTION("GOOGLEFINANCE(""NSE:""&amp;D2356,""price"")"),"#N/A")</f>
        <v>#N/A</v>
      </c>
      <c r="M2356" s="9" t="e">
        <f t="shared" ca="1" si="47"/>
        <v>#VALUE!</v>
      </c>
      <c r="N2356" s="10" t="e">
        <f t="shared" ca="1" si="48"/>
        <v>#VALUE!</v>
      </c>
      <c r="O2356" s="7" t="str">
        <f ca="1">IFERROR(__xludf.DUMMYFUNCTION("GOOGLEFINANCE(""NSE:""&amp;D2356,""pe"")"),"#N/A")</f>
        <v>#N/A</v>
      </c>
      <c r="P2356" s="7" t="str">
        <f ca="1">IFERROR(__xludf.DUMMYFUNCTION("GOOGLEFINANCE(""NSE:""&amp;D2356,""EPS"")"),"#N/A")</f>
        <v>#N/A</v>
      </c>
      <c r="Q2356" s="7">
        <v>13.5</v>
      </c>
      <c r="R2356" s="7" t="str">
        <f ca="1">IFERROR(__xludf.DUMMYFUNCTION("IMPORTXML(E2356,""/html/body/main/div[3]/div[3]/div[2]/ul/li[7]/span[2]/span"")"),"Loading...")</f>
        <v>Loading...</v>
      </c>
      <c r="S2356" s="7" t="str">
        <f ca="1">IFERROR(__xludf.DUMMYFUNCTION("IMPORTXML(E2356,""/html/body/main/div[3]/div[3]/div[2]/ul/li[8]/span[2]/span"")"),"Loading...")</f>
        <v>Loading...</v>
      </c>
      <c r="T2356" s="4">
        <v>34.6</v>
      </c>
      <c r="U2356" s="4">
        <v>22.7</v>
      </c>
      <c r="V2356" s="4">
        <v>2.6</v>
      </c>
      <c r="W2356" s="4">
        <v>5.7</v>
      </c>
      <c r="X2356" s="4">
        <v>519.92999999999995</v>
      </c>
      <c r="Y2356" s="7" t="e">
        <f t="shared" ca="1" si="49"/>
        <v>#VALUE!</v>
      </c>
    </row>
    <row r="2357" spans="1:25" ht="15" x14ac:dyDescent="0.25">
      <c r="A2357" s="4">
        <v>2256</v>
      </c>
      <c r="C2357" s="12" t="s">
        <v>4600</v>
      </c>
      <c r="D2357" s="12" t="s">
        <v>4601</v>
      </c>
      <c r="E2357" s="5" t="str">
        <f t="shared" si="45"/>
        <v>https://www.screener.in/company/PALASHSECU/consolidated/</v>
      </c>
      <c r="F2357" s="4">
        <v>443059</v>
      </c>
      <c r="G2357" s="4">
        <v>3832241897</v>
      </c>
      <c r="H2357" s="6">
        <f t="shared" ca="1" si="46"/>
        <v>46715.028724430005</v>
      </c>
      <c r="I2357" s="7" t="str">
        <f ca="1">IFERROR(__xludf.DUMMYFUNCTION("IMPORTXML(E2357,""/html/body/main/div[3]/div[3]/div[2]/ul/li[5]/span[2]/span"")"),"Loading...")</f>
        <v>Loading...</v>
      </c>
      <c r="J2357" s="7">
        <f ca="1">IFERROR(__xludf.DUMMYFUNCTION("GOOGLEFINANCE(""NSE:""&amp;D2357,""marketcap"")"),1203573000)</f>
        <v>1203573000</v>
      </c>
      <c r="K2357" s="7">
        <v>992.8</v>
      </c>
      <c r="L2357" s="8">
        <f ca="1">IFERROR(__xludf.DUMMYFUNCTION("GOOGLEFINANCE(""NSE:""&amp;D2357,""price"")"),121.9)</f>
        <v>121.9</v>
      </c>
      <c r="M2357" s="9">
        <f t="shared" ca="1" si="47"/>
        <v>-870.9</v>
      </c>
      <c r="N2357" s="10">
        <f t="shared" ca="1" si="48"/>
        <v>-87.721595487510072</v>
      </c>
      <c r="O2357" s="7" t="str">
        <f ca="1">IFERROR(__xludf.DUMMYFUNCTION("GOOGLEFINANCE(""NSE:""&amp;D2357,""pe"")"),"#N/A")</f>
        <v>#N/A</v>
      </c>
      <c r="P2357" s="7">
        <f ca="1">IFERROR(__xludf.DUMMYFUNCTION("GOOGLEFINANCE(""NSE:""&amp;D2357,""EPS"")"),-12)</f>
        <v>-12</v>
      </c>
      <c r="Q2357" s="7">
        <v>13.5</v>
      </c>
      <c r="R2357" s="7" t="str">
        <f ca="1">IFERROR(__xludf.DUMMYFUNCTION("IMPORTXML(E2357,""/html/body/main/div[3]/div[3]/div[2]/ul/li[7]/span[2]/span"")"),"Loading...")</f>
        <v>Loading...</v>
      </c>
      <c r="S2357" s="7" t="str">
        <f ca="1">IFERROR(__xludf.DUMMYFUNCTION("IMPORTXML(E2357,""/html/body/main/div[3]/div[3]/div[2]/ul/li[8]/span[2]/span"")"),"Loading...")</f>
        <v>Loading...</v>
      </c>
      <c r="T2357" s="4">
        <v>34.6</v>
      </c>
      <c r="U2357" s="4">
        <v>22.7</v>
      </c>
      <c r="V2357" s="4">
        <v>2.6</v>
      </c>
      <c r="W2357" s="4">
        <v>5.7</v>
      </c>
      <c r="X2357" s="4">
        <v>519.92999999999995</v>
      </c>
      <c r="Y2357" s="7">
        <f t="shared" ca="1" si="49"/>
        <v>-398.03</v>
      </c>
    </row>
    <row r="2358" spans="1:25" ht="15" x14ac:dyDescent="0.25">
      <c r="A2358" s="4">
        <v>2257</v>
      </c>
      <c r="C2358" s="41" t="s">
        <v>4602</v>
      </c>
      <c r="D2358" s="42"/>
      <c r="E2358" s="5" t="str">
        <f t="shared" si="45"/>
        <v>https://www.screener.in/company//consolidated/</v>
      </c>
      <c r="F2358" s="4">
        <v>443059</v>
      </c>
      <c r="G2358" s="4">
        <v>3832241897</v>
      </c>
      <c r="H2358" s="6" t="e">
        <f t="shared" ca="1" si="46"/>
        <v>#VALUE!</v>
      </c>
      <c r="I2358" s="7" t="str">
        <f ca="1">IFERROR(__xludf.DUMMYFUNCTION("IMPORTXML(E2358,""/html/body/main/div[3]/div[3]/div[2]/ul/li[5]/span[2]/span"")"),"Loading...")</f>
        <v>Loading...</v>
      </c>
      <c r="J2358" s="7" t="str">
        <f ca="1">IFERROR(__xludf.DUMMYFUNCTION("GOOGLEFINANCE(""NSE:""&amp;D2358,""marketcap"")"),"#N/A")</f>
        <v>#N/A</v>
      </c>
      <c r="K2358" s="7">
        <v>992.8</v>
      </c>
      <c r="L2358" s="8" t="str">
        <f ca="1">IFERROR(__xludf.DUMMYFUNCTION("GOOGLEFINANCE(""NSE:""&amp;D2358,""price"")"),"#N/A")</f>
        <v>#N/A</v>
      </c>
      <c r="M2358" s="9" t="e">
        <f t="shared" ca="1" si="47"/>
        <v>#VALUE!</v>
      </c>
      <c r="N2358" s="10" t="e">
        <f t="shared" ca="1" si="48"/>
        <v>#VALUE!</v>
      </c>
      <c r="O2358" s="7" t="str">
        <f ca="1">IFERROR(__xludf.DUMMYFUNCTION("GOOGLEFINANCE(""NSE:""&amp;D2358,""pe"")"),"#N/A")</f>
        <v>#N/A</v>
      </c>
      <c r="P2358" s="7" t="str">
        <f ca="1">IFERROR(__xludf.DUMMYFUNCTION("GOOGLEFINANCE(""NSE:""&amp;D2358,""EPS"")"),"#N/A")</f>
        <v>#N/A</v>
      </c>
      <c r="Q2358" s="7">
        <v>13.5</v>
      </c>
      <c r="R2358" s="7" t="str">
        <f ca="1">IFERROR(__xludf.DUMMYFUNCTION("IMPORTXML(E2358,""/html/body/main/div[3]/div[3]/div[2]/ul/li[7]/span[2]/span"")"),"Loading...")</f>
        <v>Loading...</v>
      </c>
      <c r="S2358" s="7" t="str">
        <f ca="1">IFERROR(__xludf.DUMMYFUNCTION("IMPORTXML(E2358,""/html/body/main/div[3]/div[3]/div[2]/ul/li[8]/span[2]/span"")"),"Loading...")</f>
        <v>Loading...</v>
      </c>
      <c r="T2358" s="4">
        <v>34.6</v>
      </c>
      <c r="U2358" s="4">
        <v>22.7</v>
      </c>
      <c r="V2358" s="4">
        <v>2.6</v>
      </c>
      <c r="W2358" s="4">
        <v>5.7</v>
      </c>
      <c r="X2358" s="4">
        <v>519.92999999999995</v>
      </c>
      <c r="Y2358" s="7" t="e">
        <f t="shared" ca="1" si="49"/>
        <v>#VALUE!</v>
      </c>
    </row>
    <row r="2359" spans="1:25" ht="15" x14ac:dyDescent="0.25">
      <c r="A2359" s="4">
        <v>2259</v>
      </c>
      <c r="C2359" s="41" t="s">
        <v>4603</v>
      </c>
      <c r="D2359" s="42"/>
      <c r="E2359" s="5" t="str">
        <f t="shared" si="45"/>
        <v>https://www.screener.in/company//consolidated/</v>
      </c>
      <c r="F2359" s="4">
        <v>443059</v>
      </c>
      <c r="G2359" s="4">
        <v>3832241897</v>
      </c>
      <c r="H2359" s="6" t="e">
        <f t="shared" ca="1" si="46"/>
        <v>#VALUE!</v>
      </c>
      <c r="I2359" s="7" t="str">
        <f ca="1">IFERROR(__xludf.DUMMYFUNCTION("IMPORTXML(E2359,""/html/body/main/div[3]/div[3]/div[2]/ul/li[5]/span[2]/span"")"),"Loading...")</f>
        <v>Loading...</v>
      </c>
      <c r="J2359" s="7" t="str">
        <f ca="1">IFERROR(__xludf.DUMMYFUNCTION("GOOGLEFINANCE(""NSE:""&amp;D2359,""marketcap"")"),"#N/A")</f>
        <v>#N/A</v>
      </c>
      <c r="K2359" s="7">
        <v>992.8</v>
      </c>
      <c r="L2359" s="8" t="str">
        <f ca="1">IFERROR(__xludf.DUMMYFUNCTION("GOOGLEFINANCE(""NSE:""&amp;D2359,""price"")"),"#N/A")</f>
        <v>#N/A</v>
      </c>
      <c r="M2359" s="9" t="e">
        <f t="shared" ca="1" si="47"/>
        <v>#VALUE!</v>
      </c>
      <c r="N2359" s="10" t="e">
        <f t="shared" ca="1" si="48"/>
        <v>#VALUE!</v>
      </c>
      <c r="O2359" s="7" t="str">
        <f ca="1">IFERROR(__xludf.DUMMYFUNCTION("GOOGLEFINANCE(""NSE:""&amp;D2359,""pe"")"),"#N/A")</f>
        <v>#N/A</v>
      </c>
      <c r="P2359" s="7" t="str">
        <f ca="1">IFERROR(__xludf.DUMMYFUNCTION("GOOGLEFINANCE(""NSE:""&amp;D2359,""EPS"")"),"#N/A")</f>
        <v>#N/A</v>
      </c>
      <c r="Q2359" s="7">
        <v>13.5</v>
      </c>
      <c r="R2359" s="7" t="str">
        <f ca="1">IFERROR(__xludf.DUMMYFUNCTION("IMPORTXML(E2359,""/html/body/main/div[3]/div[3]/div[2]/ul/li[7]/span[2]/span"")"),"Loading...")</f>
        <v>Loading...</v>
      </c>
      <c r="S2359" s="7" t="str">
        <f ca="1">IFERROR(__xludf.DUMMYFUNCTION("IMPORTXML(E2359,""/html/body/main/div[3]/div[3]/div[2]/ul/li[8]/span[2]/span"")"),"Loading...")</f>
        <v>Loading...</v>
      </c>
      <c r="T2359" s="4">
        <v>34.6</v>
      </c>
      <c r="U2359" s="4">
        <v>22.7</v>
      </c>
      <c r="V2359" s="4">
        <v>2.6</v>
      </c>
      <c r="W2359" s="4">
        <v>5.7</v>
      </c>
      <c r="X2359" s="4">
        <v>519.92999999999995</v>
      </c>
      <c r="Y2359" s="7" t="e">
        <f t="shared" ca="1" si="49"/>
        <v>#VALUE!</v>
      </c>
    </row>
    <row r="2360" spans="1:25" ht="15" x14ac:dyDescent="0.25">
      <c r="A2360" s="4">
        <v>2261</v>
      </c>
      <c r="C2360" s="41" t="s">
        <v>4604</v>
      </c>
      <c r="D2360" s="42"/>
      <c r="E2360" s="5" t="str">
        <f t="shared" si="45"/>
        <v>https://www.screener.in/company//consolidated/</v>
      </c>
      <c r="F2360" s="4">
        <v>443059</v>
      </c>
      <c r="G2360" s="4">
        <v>3832241897</v>
      </c>
      <c r="H2360" s="6" t="e">
        <f t="shared" ca="1" si="46"/>
        <v>#VALUE!</v>
      </c>
      <c r="I2360" s="7" t="str">
        <f ca="1">IFERROR(__xludf.DUMMYFUNCTION("IMPORTXML(E2360,""/html/body/main/div[3]/div[3]/div[2]/ul/li[5]/span[2]/span"")"),"Loading...")</f>
        <v>Loading...</v>
      </c>
      <c r="J2360" s="7" t="str">
        <f ca="1">IFERROR(__xludf.DUMMYFUNCTION("GOOGLEFINANCE(""NSE:""&amp;D2360,""marketcap"")"),"#N/A")</f>
        <v>#N/A</v>
      </c>
      <c r="K2360" s="7">
        <v>992.8</v>
      </c>
      <c r="L2360" s="8" t="str">
        <f ca="1">IFERROR(__xludf.DUMMYFUNCTION("GOOGLEFINANCE(""NSE:""&amp;D2360,""price"")"),"#N/A")</f>
        <v>#N/A</v>
      </c>
      <c r="M2360" s="9" t="e">
        <f t="shared" ca="1" si="47"/>
        <v>#VALUE!</v>
      </c>
      <c r="N2360" s="10" t="e">
        <f t="shared" ca="1" si="48"/>
        <v>#VALUE!</v>
      </c>
      <c r="O2360" s="7" t="str">
        <f ca="1">IFERROR(__xludf.DUMMYFUNCTION("GOOGLEFINANCE(""NSE:""&amp;D2360,""pe"")"),"#N/A")</f>
        <v>#N/A</v>
      </c>
      <c r="P2360" s="7" t="str">
        <f ca="1">IFERROR(__xludf.DUMMYFUNCTION("GOOGLEFINANCE(""NSE:""&amp;D2360,""EPS"")"),"#N/A")</f>
        <v>#N/A</v>
      </c>
      <c r="Q2360" s="7">
        <v>13.5</v>
      </c>
      <c r="R2360" s="7" t="str">
        <f ca="1">IFERROR(__xludf.DUMMYFUNCTION("IMPORTXML(E2360,""/html/body/main/div[3]/div[3]/div[2]/ul/li[7]/span[2]/span"")"),"Loading...")</f>
        <v>Loading...</v>
      </c>
      <c r="S2360" s="7" t="str">
        <f ca="1">IFERROR(__xludf.DUMMYFUNCTION("IMPORTXML(E2360,""/html/body/main/div[3]/div[3]/div[2]/ul/li[8]/span[2]/span"")"),"Loading...")</f>
        <v>Loading...</v>
      </c>
      <c r="T2360" s="4">
        <v>34.6</v>
      </c>
      <c r="U2360" s="4">
        <v>22.7</v>
      </c>
      <c r="V2360" s="4">
        <v>2.6</v>
      </c>
      <c r="W2360" s="4">
        <v>5.7</v>
      </c>
      <c r="X2360" s="4">
        <v>519.92999999999995</v>
      </c>
      <c r="Y2360" s="7" t="e">
        <f t="shared" ca="1" si="49"/>
        <v>#VALUE!</v>
      </c>
    </row>
    <row r="2361" spans="1:25" ht="15" x14ac:dyDescent="0.25">
      <c r="A2361" s="4">
        <v>2262</v>
      </c>
      <c r="C2361" s="41" t="s">
        <v>4605</v>
      </c>
      <c r="D2361" s="42"/>
      <c r="E2361" s="5" t="str">
        <f t="shared" si="45"/>
        <v>https://www.screener.in/company//consolidated/</v>
      </c>
      <c r="F2361" s="4">
        <v>443059</v>
      </c>
      <c r="G2361" s="4">
        <v>3832241897</v>
      </c>
      <c r="H2361" s="6" t="e">
        <f t="shared" ca="1" si="46"/>
        <v>#VALUE!</v>
      </c>
      <c r="I2361" s="7" t="str">
        <f ca="1">IFERROR(__xludf.DUMMYFUNCTION("IMPORTXML(E2361,""/html/body/main/div[3]/div[3]/div[2]/ul/li[5]/span[2]/span"")"),"Loading...")</f>
        <v>Loading...</v>
      </c>
      <c r="J2361" s="7" t="str">
        <f ca="1">IFERROR(__xludf.DUMMYFUNCTION("GOOGLEFINANCE(""NSE:""&amp;D2361,""marketcap"")"),"#N/A")</f>
        <v>#N/A</v>
      </c>
      <c r="K2361" s="7">
        <v>992.8</v>
      </c>
      <c r="L2361" s="8" t="str">
        <f ca="1">IFERROR(__xludf.DUMMYFUNCTION("GOOGLEFINANCE(""NSE:""&amp;D2361,""price"")"),"#N/A")</f>
        <v>#N/A</v>
      </c>
      <c r="M2361" s="9" t="e">
        <f t="shared" ca="1" si="47"/>
        <v>#VALUE!</v>
      </c>
      <c r="N2361" s="10" t="e">
        <f t="shared" ca="1" si="48"/>
        <v>#VALUE!</v>
      </c>
      <c r="O2361" s="7" t="str">
        <f ca="1">IFERROR(__xludf.DUMMYFUNCTION("GOOGLEFINANCE(""NSE:""&amp;D2361,""pe"")"),"#N/A")</f>
        <v>#N/A</v>
      </c>
      <c r="P2361" s="7" t="str">
        <f ca="1">IFERROR(__xludf.DUMMYFUNCTION("GOOGLEFINANCE(""NSE:""&amp;D2361,""EPS"")"),"#N/A")</f>
        <v>#N/A</v>
      </c>
      <c r="Q2361" s="7">
        <v>13.5</v>
      </c>
      <c r="R2361" s="7" t="str">
        <f ca="1">IFERROR(__xludf.DUMMYFUNCTION("IMPORTXML(E2361,""/html/body/main/div[3]/div[3]/div[2]/ul/li[7]/span[2]/span"")"),"Loading...")</f>
        <v>Loading...</v>
      </c>
      <c r="S2361" s="7" t="str">
        <f ca="1">IFERROR(__xludf.DUMMYFUNCTION("IMPORTXML(E2361,""/html/body/main/div[3]/div[3]/div[2]/ul/li[8]/span[2]/span"")"),"Loading...")</f>
        <v>Loading...</v>
      </c>
      <c r="T2361" s="4">
        <v>34.6</v>
      </c>
      <c r="U2361" s="4">
        <v>22.7</v>
      </c>
      <c r="V2361" s="4">
        <v>2.6</v>
      </c>
      <c r="W2361" s="4">
        <v>5.7</v>
      </c>
      <c r="X2361" s="4">
        <v>519.92999999999995</v>
      </c>
      <c r="Y2361" s="7" t="e">
        <f t="shared" ca="1" si="49"/>
        <v>#VALUE!</v>
      </c>
    </row>
    <row r="2362" spans="1:25" ht="15" x14ac:dyDescent="0.25">
      <c r="A2362" s="4">
        <v>2263</v>
      </c>
      <c r="C2362" s="12" t="s">
        <v>4606</v>
      </c>
      <c r="D2362" s="12" t="s">
        <v>4607</v>
      </c>
      <c r="E2362" s="5" t="str">
        <f t="shared" si="45"/>
        <v>https://www.screener.in/company/VISESHINFO/consolidated/</v>
      </c>
      <c r="F2362" s="4">
        <v>443059</v>
      </c>
      <c r="G2362" s="4">
        <v>3832241897</v>
      </c>
      <c r="H2362" s="6" t="e">
        <f t="shared" ca="1" si="46"/>
        <v>#VALUE!</v>
      </c>
      <c r="I2362" s="7" t="str">
        <f ca="1">IFERROR(__xludf.DUMMYFUNCTION("IMPORTXML(E2362,""/html/body/main/div[3]/div[3]/div[2]/ul/li[5]/span[2]/span"")"),"Loading...")</f>
        <v>Loading...</v>
      </c>
      <c r="J2362" s="7" t="str">
        <f ca="1">IFERROR(__xludf.DUMMYFUNCTION("GOOGLEFINANCE(""NSE:""&amp;D2362,""marketcap"")"),"#N/A")</f>
        <v>#N/A</v>
      </c>
      <c r="K2362" s="7">
        <v>992.8</v>
      </c>
      <c r="L2362" s="8" t="str">
        <f ca="1">IFERROR(__xludf.DUMMYFUNCTION("GOOGLEFINANCE(""NSE:""&amp;D2362,""price"")"),"#N/A")</f>
        <v>#N/A</v>
      </c>
      <c r="M2362" s="9" t="e">
        <f t="shared" ca="1" si="47"/>
        <v>#VALUE!</v>
      </c>
      <c r="N2362" s="10" t="e">
        <f t="shared" ca="1" si="48"/>
        <v>#VALUE!</v>
      </c>
      <c r="O2362" s="7" t="str">
        <f ca="1">IFERROR(__xludf.DUMMYFUNCTION("GOOGLEFINANCE(""NSE:""&amp;D2362,""pe"")"),"#N/A")</f>
        <v>#N/A</v>
      </c>
      <c r="P2362" s="7" t="str">
        <f ca="1">IFERROR(__xludf.DUMMYFUNCTION("GOOGLEFINANCE(""NSE:""&amp;D2362,""EPS"")"),"#N/A")</f>
        <v>#N/A</v>
      </c>
      <c r="Q2362" s="7">
        <v>13.5</v>
      </c>
      <c r="R2362" s="7" t="str">
        <f ca="1">IFERROR(__xludf.DUMMYFUNCTION("IMPORTXML(E2362,""/html/body/main/div[3]/div[3]/div[2]/ul/li[7]/span[2]/span"")"),"Loading...")</f>
        <v>Loading...</v>
      </c>
      <c r="S2362" s="7" t="str">
        <f ca="1">IFERROR(__xludf.DUMMYFUNCTION("IMPORTXML(E2362,""/html/body/main/div[3]/div[3]/div[2]/ul/li[8]/span[2]/span"")"),"Loading...")</f>
        <v>Loading...</v>
      </c>
      <c r="T2362" s="4">
        <v>34.6</v>
      </c>
      <c r="U2362" s="4">
        <v>22.7</v>
      </c>
      <c r="V2362" s="4">
        <v>2.6</v>
      </c>
      <c r="W2362" s="4">
        <v>5.7</v>
      </c>
      <c r="X2362" s="4">
        <v>519.92999999999995</v>
      </c>
      <c r="Y2362" s="7" t="e">
        <f t="shared" ca="1" si="49"/>
        <v>#VALUE!</v>
      </c>
    </row>
    <row r="2363" spans="1:25" ht="15" x14ac:dyDescent="0.25">
      <c r="A2363" s="4">
        <v>2264</v>
      </c>
      <c r="C2363" s="41" t="s">
        <v>4608</v>
      </c>
      <c r="D2363" s="42"/>
      <c r="E2363" s="5" t="str">
        <f t="shared" si="45"/>
        <v>https://www.screener.in/company//consolidated/</v>
      </c>
      <c r="F2363" s="4">
        <v>443059</v>
      </c>
      <c r="G2363" s="4">
        <v>3832241897</v>
      </c>
      <c r="H2363" s="6" t="e">
        <f t="shared" ca="1" si="46"/>
        <v>#VALUE!</v>
      </c>
      <c r="I2363" s="7" t="str">
        <f ca="1">IFERROR(__xludf.DUMMYFUNCTION("IMPORTXML(E2363,""/html/body/main/div[3]/div[3]/div[2]/ul/li[5]/span[2]/span"")"),"Loading...")</f>
        <v>Loading...</v>
      </c>
      <c r="J2363" s="7" t="str">
        <f ca="1">IFERROR(__xludf.DUMMYFUNCTION("GOOGLEFINANCE(""NSE:""&amp;D2363,""marketcap"")"),"#N/A")</f>
        <v>#N/A</v>
      </c>
      <c r="K2363" s="7">
        <v>992.8</v>
      </c>
      <c r="L2363" s="8" t="str">
        <f ca="1">IFERROR(__xludf.DUMMYFUNCTION("GOOGLEFINANCE(""NSE:""&amp;D2363,""price"")"),"#N/A")</f>
        <v>#N/A</v>
      </c>
      <c r="M2363" s="9" t="e">
        <f t="shared" ca="1" si="47"/>
        <v>#VALUE!</v>
      </c>
      <c r="N2363" s="10" t="e">
        <f t="shared" ca="1" si="48"/>
        <v>#VALUE!</v>
      </c>
      <c r="O2363" s="7" t="str">
        <f ca="1">IFERROR(__xludf.DUMMYFUNCTION("GOOGLEFINANCE(""NSE:""&amp;D2363,""pe"")"),"#N/A")</f>
        <v>#N/A</v>
      </c>
      <c r="P2363" s="7" t="str">
        <f ca="1">IFERROR(__xludf.DUMMYFUNCTION("GOOGLEFINANCE(""NSE:""&amp;D2363,""EPS"")"),"#N/A")</f>
        <v>#N/A</v>
      </c>
      <c r="Q2363" s="7">
        <v>13.5</v>
      </c>
      <c r="R2363" s="7" t="str">
        <f ca="1">IFERROR(__xludf.DUMMYFUNCTION("IMPORTXML(E2363,""/html/body/main/div[3]/div[3]/div[2]/ul/li[7]/span[2]/span"")"),"Loading...")</f>
        <v>Loading...</v>
      </c>
      <c r="S2363" s="7" t="str">
        <f ca="1">IFERROR(__xludf.DUMMYFUNCTION("IMPORTXML(E2363,""/html/body/main/div[3]/div[3]/div[2]/ul/li[8]/span[2]/span"")"),"Loading...")</f>
        <v>Loading...</v>
      </c>
      <c r="T2363" s="4">
        <v>34.6</v>
      </c>
      <c r="U2363" s="4">
        <v>22.7</v>
      </c>
      <c r="V2363" s="4">
        <v>2.6</v>
      </c>
      <c r="W2363" s="4">
        <v>5.7</v>
      </c>
      <c r="X2363" s="4">
        <v>519.92999999999995</v>
      </c>
      <c r="Y2363" s="7" t="e">
        <f t="shared" ca="1" si="49"/>
        <v>#VALUE!</v>
      </c>
    </row>
    <row r="2364" spans="1:25" ht="15" x14ac:dyDescent="0.25">
      <c r="A2364" s="4">
        <v>2266</v>
      </c>
      <c r="C2364" s="41" t="s">
        <v>4609</v>
      </c>
      <c r="D2364" s="42"/>
      <c r="E2364" s="5" t="str">
        <f t="shared" si="45"/>
        <v>https://www.screener.in/company//consolidated/</v>
      </c>
      <c r="F2364" s="4">
        <v>443059</v>
      </c>
      <c r="G2364" s="4">
        <v>3832241897</v>
      </c>
      <c r="H2364" s="6" t="e">
        <f t="shared" ca="1" si="46"/>
        <v>#VALUE!</v>
      </c>
      <c r="I2364" s="7" t="str">
        <f ca="1">IFERROR(__xludf.DUMMYFUNCTION("IMPORTXML(E2364,""/html/body/main/div[3]/div[3]/div[2]/ul/li[5]/span[2]/span"")"),"Loading...")</f>
        <v>Loading...</v>
      </c>
      <c r="J2364" s="7" t="str">
        <f ca="1">IFERROR(__xludf.DUMMYFUNCTION("GOOGLEFINANCE(""NSE:""&amp;D2364,""marketcap"")"),"#N/A")</f>
        <v>#N/A</v>
      </c>
      <c r="K2364" s="7">
        <v>992.8</v>
      </c>
      <c r="L2364" s="8" t="str">
        <f ca="1">IFERROR(__xludf.DUMMYFUNCTION("GOOGLEFINANCE(""NSE:""&amp;D2364,""price"")"),"#N/A")</f>
        <v>#N/A</v>
      </c>
      <c r="M2364" s="9" t="e">
        <f t="shared" ca="1" si="47"/>
        <v>#VALUE!</v>
      </c>
      <c r="N2364" s="10" t="e">
        <f t="shared" ca="1" si="48"/>
        <v>#VALUE!</v>
      </c>
      <c r="O2364" s="7" t="str">
        <f ca="1">IFERROR(__xludf.DUMMYFUNCTION("GOOGLEFINANCE(""NSE:""&amp;D2364,""pe"")"),"#N/A")</f>
        <v>#N/A</v>
      </c>
      <c r="P2364" s="7" t="str">
        <f ca="1">IFERROR(__xludf.DUMMYFUNCTION("GOOGLEFINANCE(""NSE:""&amp;D2364,""EPS"")"),"#N/A")</f>
        <v>#N/A</v>
      </c>
      <c r="Q2364" s="7">
        <v>13.5</v>
      </c>
      <c r="R2364" s="7" t="str">
        <f ca="1">IFERROR(__xludf.DUMMYFUNCTION("IMPORTXML(E2364,""/html/body/main/div[3]/div[3]/div[2]/ul/li[7]/span[2]/span"")"),"Loading...")</f>
        <v>Loading...</v>
      </c>
      <c r="S2364" s="7" t="str">
        <f ca="1">IFERROR(__xludf.DUMMYFUNCTION("IMPORTXML(E2364,""/html/body/main/div[3]/div[3]/div[2]/ul/li[8]/span[2]/span"")"),"Loading...")</f>
        <v>Loading...</v>
      </c>
      <c r="T2364" s="4">
        <v>34.6</v>
      </c>
      <c r="U2364" s="4">
        <v>22.7</v>
      </c>
      <c r="V2364" s="4">
        <v>2.6</v>
      </c>
      <c r="W2364" s="4">
        <v>5.7</v>
      </c>
      <c r="X2364" s="4">
        <v>519.92999999999995</v>
      </c>
      <c r="Y2364" s="7" t="e">
        <f t="shared" ca="1" si="49"/>
        <v>#VALUE!</v>
      </c>
    </row>
    <row r="2365" spans="1:25" ht="15" x14ac:dyDescent="0.25">
      <c r="A2365" s="4">
        <v>2267</v>
      </c>
      <c r="C2365" s="41" t="s">
        <v>4610</v>
      </c>
      <c r="D2365" s="42"/>
      <c r="E2365" s="5" t="str">
        <f t="shared" si="45"/>
        <v>https://www.screener.in/company//consolidated/</v>
      </c>
      <c r="F2365" s="4">
        <v>443059</v>
      </c>
      <c r="G2365" s="4">
        <v>3832241897</v>
      </c>
      <c r="H2365" s="6" t="e">
        <f t="shared" ca="1" si="46"/>
        <v>#VALUE!</v>
      </c>
      <c r="I2365" s="7" t="str">
        <f ca="1">IFERROR(__xludf.DUMMYFUNCTION("IMPORTXML(E2365,""/html/body/main/div[3]/div[3]/div[2]/ul/li[5]/span[2]/span"")"),"Loading...")</f>
        <v>Loading...</v>
      </c>
      <c r="J2365" s="7" t="str">
        <f ca="1">IFERROR(__xludf.DUMMYFUNCTION("GOOGLEFINANCE(""NSE:""&amp;D2365,""marketcap"")"),"#N/A")</f>
        <v>#N/A</v>
      </c>
      <c r="K2365" s="7">
        <v>992.8</v>
      </c>
      <c r="L2365" s="8" t="str">
        <f ca="1">IFERROR(__xludf.DUMMYFUNCTION("GOOGLEFINANCE(""NSE:""&amp;D2365,""price"")"),"#N/A")</f>
        <v>#N/A</v>
      </c>
      <c r="M2365" s="9" t="e">
        <f t="shared" ca="1" si="47"/>
        <v>#VALUE!</v>
      </c>
      <c r="N2365" s="10" t="e">
        <f t="shared" ca="1" si="48"/>
        <v>#VALUE!</v>
      </c>
      <c r="O2365" s="7" t="str">
        <f ca="1">IFERROR(__xludf.DUMMYFUNCTION("GOOGLEFINANCE(""NSE:""&amp;D2365,""pe"")"),"#N/A")</f>
        <v>#N/A</v>
      </c>
      <c r="P2365" s="7" t="str">
        <f ca="1">IFERROR(__xludf.DUMMYFUNCTION("GOOGLEFINANCE(""NSE:""&amp;D2365,""EPS"")"),"#N/A")</f>
        <v>#N/A</v>
      </c>
      <c r="Q2365" s="7">
        <v>13.5</v>
      </c>
      <c r="R2365" s="7" t="str">
        <f ca="1">IFERROR(__xludf.DUMMYFUNCTION("IMPORTXML(E2365,""/html/body/main/div[3]/div[3]/div[2]/ul/li[7]/span[2]/span"")"),"Loading...")</f>
        <v>Loading...</v>
      </c>
      <c r="S2365" s="7" t="str">
        <f ca="1">IFERROR(__xludf.DUMMYFUNCTION("IMPORTXML(E2365,""/html/body/main/div[3]/div[3]/div[2]/ul/li[8]/span[2]/span"")"),"Loading...")</f>
        <v>Loading...</v>
      </c>
      <c r="T2365" s="4">
        <v>34.6</v>
      </c>
      <c r="U2365" s="4">
        <v>22.7</v>
      </c>
      <c r="V2365" s="4">
        <v>2.6</v>
      </c>
      <c r="W2365" s="4">
        <v>5.7</v>
      </c>
      <c r="X2365" s="4">
        <v>519.92999999999995</v>
      </c>
      <c r="Y2365" s="7" t="e">
        <f t="shared" ca="1" si="49"/>
        <v>#VALUE!</v>
      </c>
    </row>
    <row r="2366" spans="1:25" ht="15" x14ac:dyDescent="0.25">
      <c r="A2366" s="4">
        <v>2268</v>
      </c>
      <c r="C2366" s="41" t="s">
        <v>4611</v>
      </c>
      <c r="D2366" s="42"/>
      <c r="E2366" s="5" t="str">
        <f t="shared" si="45"/>
        <v>https://www.screener.in/company//consolidated/</v>
      </c>
      <c r="F2366" s="4">
        <v>443059</v>
      </c>
      <c r="G2366" s="4">
        <v>3832241897</v>
      </c>
      <c r="H2366" s="6" t="e">
        <f t="shared" ca="1" si="46"/>
        <v>#VALUE!</v>
      </c>
      <c r="I2366" s="7" t="str">
        <f ca="1">IFERROR(__xludf.DUMMYFUNCTION("IMPORTXML(E2366,""/html/body/main/div[3]/div[3]/div[2]/ul/li[5]/span[2]/span"")"),"Loading...")</f>
        <v>Loading...</v>
      </c>
      <c r="J2366" s="7" t="str">
        <f ca="1">IFERROR(__xludf.DUMMYFUNCTION("GOOGLEFINANCE(""NSE:""&amp;D2366,""marketcap"")"),"#N/A")</f>
        <v>#N/A</v>
      </c>
      <c r="K2366" s="7">
        <v>992.8</v>
      </c>
      <c r="L2366" s="8" t="str">
        <f ca="1">IFERROR(__xludf.DUMMYFUNCTION("GOOGLEFINANCE(""NSE:""&amp;D2366,""price"")"),"#N/A")</f>
        <v>#N/A</v>
      </c>
      <c r="M2366" s="9" t="e">
        <f t="shared" ca="1" si="47"/>
        <v>#VALUE!</v>
      </c>
      <c r="N2366" s="10" t="e">
        <f t="shared" ca="1" si="48"/>
        <v>#VALUE!</v>
      </c>
      <c r="O2366" s="7" t="str">
        <f ca="1">IFERROR(__xludf.DUMMYFUNCTION("GOOGLEFINANCE(""NSE:""&amp;D2366,""pe"")"),"#N/A")</f>
        <v>#N/A</v>
      </c>
      <c r="P2366" s="7" t="str">
        <f ca="1">IFERROR(__xludf.DUMMYFUNCTION("GOOGLEFINANCE(""NSE:""&amp;D2366,""EPS"")"),"#N/A")</f>
        <v>#N/A</v>
      </c>
      <c r="Q2366" s="7">
        <v>13.5</v>
      </c>
      <c r="R2366" s="7" t="str">
        <f ca="1">IFERROR(__xludf.DUMMYFUNCTION("IMPORTXML(E2366,""/html/body/main/div[3]/div[3]/div[2]/ul/li[7]/span[2]/span"")"),"Loading...")</f>
        <v>Loading...</v>
      </c>
      <c r="S2366" s="7" t="str">
        <f ca="1">IFERROR(__xludf.DUMMYFUNCTION("IMPORTXML(E2366,""/html/body/main/div[3]/div[3]/div[2]/ul/li[8]/span[2]/span"")"),"Loading...")</f>
        <v>Loading...</v>
      </c>
      <c r="T2366" s="4">
        <v>34.6</v>
      </c>
      <c r="U2366" s="4">
        <v>22.7</v>
      </c>
      <c r="V2366" s="4">
        <v>2.6</v>
      </c>
      <c r="W2366" s="4">
        <v>5.7</v>
      </c>
      <c r="X2366" s="4">
        <v>519.92999999999995</v>
      </c>
      <c r="Y2366" s="7" t="e">
        <f t="shared" ca="1" si="49"/>
        <v>#VALUE!</v>
      </c>
    </row>
    <row r="2367" spans="1:25" ht="15" x14ac:dyDescent="0.25">
      <c r="A2367" s="4">
        <v>2269</v>
      </c>
      <c r="C2367" s="41" t="s">
        <v>4612</v>
      </c>
      <c r="D2367" s="42"/>
      <c r="E2367" s="5" t="str">
        <f t="shared" si="45"/>
        <v>https://www.screener.in/company//consolidated/</v>
      </c>
      <c r="F2367" s="4">
        <v>443059</v>
      </c>
      <c r="G2367" s="4">
        <v>3832241897</v>
      </c>
      <c r="H2367" s="6" t="e">
        <f t="shared" ca="1" si="46"/>
        <v>#VALUE!</v>
      </c>
      <c r="I2367" s="7" t="str">
        <f ca="1">IFERROR(__xludf.DUMMYFUNCTION("IMPORTXML(E2367,""/html/body/main/div[3]/div[3]/div[2]/ul/li[5]/span[2]/span"")"),"Loading...")</f>
        <v>Loading...</v>
      </c>
      <c r="J2367" s="7" t="str">
        <f ca="1">IFERROR(__xludf.DUMMYFUNCTION("GOOGLEFINANCE(""NSE:""&amp;D2367,""marketcap"")"),"#N/A")</f>
        <v>#N/A</v>
      </c>
      <c r="K2367" s="7">
        <v>992.8</v>
      </c>
      <c r="L2367" s="8" t="str">
        <f ca="1">IFERROR(__xludf.DUMMYFUNCTION("GOOGLEFINANCE(""NSE:""&amp;D2367,""price"")"),"#N/A")</f>
        <v>#N/A</v>
      </c>
      <c r="M2367" s="9" t="e">
        <f t="shared" ca="1" si="47"/>
        <v>#VALUE!</v>
      </c>
      <c r="N2367" s="10" t="e">
        <f t="shared" ca="1" si="48"/>
        <v>#VALUE!</v>
      </c>
      <c r="O2367" s="7" t="str">
        <f ca="1">IFERROR(__xludf.DUMMYFUNCTION("GOOGLEFINANCE(""NSE:""&amp;D2367,""pe"")"),"#N/A")</f>
        <v>#N/A</v>
      </c>
      <c r="P2367" s="7" t="str">
        <f ca="1">IFERROR(__xludf.DUMMYFUNCTION("GOOGLEFINANCE(""NSE:""&amp;D2367,""EPS"")"),"#N/A")</f>
        <v>#N/A</v>
      </c>
      <c r="Q2367" s="7">
        <v>13.5</v>
      </c>
      <c r="R2367" s="7" t="str">
        <f ca="1">IFERROR(__xludf.DUMMYFUNCTION("IMPORTXML(E2367,""/html/body/main/div[3]/div[3]/div[2]/ul/li[7]/span[2]/span"")"),"Loading...")</f>
        <v>Loading...</v>
      </c>
      <c r="S2367" s="7" t="str">
        <f ca="1">IFERROR(__xludf.DUMMYFUNCTION("IMPORTXML(E2367,""/html/body/main/div[3]/div[3]/div[2]/ul/li[8]/span[2]/span"")"),"Loading...")</f>
        <v>Loading...</v>
      </c>
      <c r="T2367" s="4">
        <v>34.6</v>
      </c>
      <c r="U2367" s="4">
        <v>22.7</v>
      </c>
      <c r="V2367" s="4">
        <v>2.6</v>
      </c>
      <c r="W2367" s="4">
        <v>5.7</v>
      </c>
      <c r="X2367" s="4">
        <v>519.92999999999995</v>
      </c>
      <c r="Y2367" s="7" t="e">
        <f t="shared" ca="1" si="49"/>
        <v>#VALUE!</v>
      </c>
    </row>
    <row r="2368" spans="1:25" ht="15" x14ac:dyDescent="0.25">
      <c r="A2368" s="4">
        <v>2270</v>
      </c>
      <c r="C2368" s="41" t="s">
        <v>4613</v>
      </c>
      <c r="D2368" s="42"/>
      <c r="E2368" s="5" t="str">
        <f t="shared" si="45"/>
        <v>https://www.screener.in/company//consolidated/</v>
      </c>
      <c r="F2368" s="4">
        <v>443059</v>
      </c>
      <c r="G2368" s="4">
        <v>3832241897</v>
      </c>
      <c r="H2368" s="6" t="e">
        <f t="shared" ca="1" si="46"/>
        <v>#VALUE!</v>
      </c>
      <c r="I2368" s="7" t="str">
        <f ca="1">IFERROR(__xludf.DUMMYFUNCTION("IMPORTXML(E2368,""/html/body/main/div[3]/div[3]/div[2]/ul/li[5]/span[2]/span"")"),"Loading...")</f>
        <v>Loading...</v>
      </c>
      <c r="J2368" s="7" t="str">
        <f ca="1">IFERROR(__xludf.DUMMYFUNCTION("GOOGLEFINANCE(""NSE:""&amp;D2368,""marketcap"")"),"#N/A")</f>
        <v>#N/A</v>
      </c>
      <c r="K2368" s="7">
        <v>992.8</v>
      </c>
      <c r="L2368" s="8" t="str">
        <f ca="1">IFERROR(__xludf.DUMMYFUNCTION("GOOGLEFINANCE(""NSE:""&amp;D2368,""price"")"),"#N/A")</f>
        <v>#N/A</v>
      </c>
      <c r="M2368" s="9" t="e">
        <f t="shared" ca="1" si="47"/>
        <v>#VALUE!</v>
      </c>
      <c r="N2368" s="10" t="e">
        <f t="shared" ca="1" si="48"/>
        <v>#VALUE!</v>
      </c>
      <c r="O2368" s="7" t="str">
        <f ca="1">IFERROR(__xludf.DUMMYFUNCTION("GOOGLEFINANCE(""NSE:""&amp;D2368,""pe"")"),"#N/A")</f>
        <v>#N/A</v>
      </c>
      <c r="P2368" s="7" t="str">
        <f ca="1">IFERROR(__xludf.DUMMYFUNCTION("GOOGLEFINANCE(""NSE:""&amp;D2368,""EPS"")"),"#N/A")</f>
        <v>#N/A</v>
      </c>
      <c r="Q2368" s="7">
        <v>13.5</v>
      </c>
      <c r="R2368" s="7" t="str">
        <f ca="1">IFERROR(__xludf.DUMMYFUNCTION("IMPORTXML(E2368,""/html/body/main/div[3]/div[3]/div[2]/ul/li[7]/span[2]/span"")"),"Loading...")</f>
        <v>Loading...</v>
      </c>
      <c r="S2368" s="7" t="str">
        <f ca="1">IFERROR(__xludf.DUMMYFUNCTION("IMPORTXML(E2368,""/html/body/main/div[3]/div[3]/div[2]/ul/li[8]/span[2]/span"")"),"Loading...")</f>
        <v>Loading...</v>
      </c>
      <c r="T2368" s="4">
        <v>34.6</v>
      </c>
      <c r="U2368" s="4">
        <v>22.7</v>
      </c>
      <c r="V2368" s="4">
        <v>2.6</v>
      </c>
      <c r="W2368" s="4">
        <v>5.7</v>
      </c>
      <c r="X2368" s="4">
        <v>519.92999999999995</v>
      </c>
      <c r="Y2368" s="7" t="e">
        <f t="shared" ca="1" si="49"/>
        <v>#VALUE!</v>
      </c>
    </row>
    <row r="2369" spans="1:25" ht="15" x14ac:dyDescent="0.25">
      <c r="A2369" s="4">
        <v>2271</v>
      </c>
      <c r="C2369" s="41" t="s">
        <v>4614</v>
      </c>
      <c r="D2369" s="42"/>
      <c r="E2369" s="5" t="str">
        <f t="shared" si="45"/>
        <v>https://www.screener.in/company//consolidated/</v>
      </c>
      <c r="F2369" s="4">
        <v>443059</v>
      </c>
      <c r="G2369" s="4">
        <v>3832241897</v>
      </c>
      <c r="H2369" s="6" t="e">
        <f t="shared" ca="1" si="46"/>
        <v>#VALUE!</v>
      </c>
      <c r="I2369" s="7" t="str">
        <f ca="1">IFERROR(__xludf.DUMMYFUNCTION("IMPORTXML(E2369,""/html/body/main/div[3]/div[3]/div[2]/ul/li[5]/span[2]/span"")"),"Loading...")</f>
        <v>Loading...</v>
      </c>
      <c r="J2369" s="7" t="str">
        <f ca="1">IFERROR(__xludf.DUMMYFUNCTION("GOOGLEFINANCE(""NSE:""&amp;D2369,""marketcap"")"),"#N/A")</f>
        <v>#N/A</v>
      </c>
      <c r="K2369" s="7">
        <v>992.8</v>
      </c>
      <c r="L2369" s="8" t="str">
        <f ca="1">IFERROR(__xludf.DUMMYFUNCTION("GOOGLEFINANCE(""NSE:""&amp;D2369,""price"")"),"#N/A")</f>
        <v>#N/A</v>
      </c>
      <c r="M2369" s="9" t="e">
        <f t="shared" ca="1" si="47"/>
        <v>#VALUE!</v>
      </c>
      <c r="N2369" s="10" t="e">
        <f t="shared" ca="1" si="48"/>
        <v>#VALUE!</v>
      </c>
      <c r="O2369" s="7" t="str">
        <f ca="1">IFERROR(__xludf.DUMMYFUNCTION("GOOGLEFINANCE(""NSE:""&amp;D2369,""pe"")"),"#N/A")</f>
        <v>#N/A</v>
      </c>
      <c r="P2369" s="7" t="str">
        <f ca="1">IFERROR(__xludf.DUMMYFUNCTION("GOOGLEFINANCE(""NSE:""&amp;D2369,""EPS"")"),"#N/A")</f>
        <v>#N/A</v>
      </c>
      <c r="Q2369" s="7">
        <v>13.5</v>
      </c>
      <c r="R2369" s="7" t="str">
        <f ca="1">IFERROR(__xludf.DUMMYFUNCTION("IMPORTXML(E2369,""/html/body/main/div[3]/div[3]/div[2]/ul/li[7]/span[2]/span"")"),"Loading...")</f>
        <v>Loading...</v>
      </c>
      <c r="S2369" s="7" t="str">
        <f ca="1">IFERROR(__xludf.DUMMYFUNCTION("IMPORTXML(E2369,""/html/body/main/div[3]/div[3]/div[2]/ul/li[8]/span[2]/span"")"),"Loading...")</f>
        <v>Loading...</v>
      </c>
      <c r="T2369" s="4">
        <v>34.6</v>
      </c>
      <c r="U2369" s="4">
        <v>22.7</v>
      </c>
      <c r="V2369" s="4">
        <v>2.6</v>
      </c>
      <c r="W2369" s="4">
        <v>5.7</v>
      </c>
      <c r="X2369" s="4">
        <v>519.92999999999995</v>
      </c>
      <c r="Y2369" s="7" t="e">
        <f t="shared" ca="1" si="49"/>
        <v>#VALUE!</v>
      </c>
    </row>
    <row r="2370" spans="1:25" ht="15" x14ac:dyDescent="0.25">
      <c r="A2370" s="4">
        <v>2273</v>
      </c>
      <c r="C2370" s="41" t="s">
        <v>4615</v>
      </c>
      <c r="D2370" s="42"/>
      <c r="E2370" s="5" t="str">
        <f t="shared" si="45"/>
        <v>https://www.screener.in/company//consolidated/</v>
      </c>
      <c r="F2370" s="4">
        <v>443059</v>
      </c>
      <c r="G2370" s="4">
        <v>3832241897</v>
      </c>
      <c r="H2370" s="6" t="e">
        <f t="shared" ca="1" si="46"/>
        <v>#VALUE!</v>
      </c>
      <c r="I2370" s="7" t="str">
        <f ca="1">IFERROR(__xludf.DUMMYFUNCTION("IMPORTXML(E2370,""/html/body/main/div[3]/div[3]/div[2]/ul/li[5]/span[2]/span"")"),"Loading...")</f>
        <v>Loading...</v>
      </c>
      <c r="J2370" s="7" t="str">
        <f ca="1">IFERROR(__xludf.DUMMYFUNCTION("GOOGLEFINANCE(""NSE:""&amp;D2370,""marketcap"")"),"#N/A")</f>
        <v>#N/A</v>
      </c>
      <c r="K2370" s="7">
        <v>992.8</v>
      </c>
      <c r="L2370" s="8" t="str">
        <f ca="1">IFERROR(__xludf.DUMMYFUNCTION("GOOGLEFINANCE(""NSE:""&amp;D2370,""price"")"),"#N/A")</f>
        <v>#N/A</v>
      </c>
      <c r="M2370" s="9" t="e">
        <f t="shared" ca="1" si="47"/>
        <v>#VALUE!</v>
      </c>
      <c r="N2370" s="10" t="e">
        <f t="shared" ca="1" si="48"/>
        <v>#VALUE!</v>
      </c>
      <c r="O2370" s="7" t="str">
        <f ca="1">IFERROR(__xludf.DUMMYFUNCTION("GOOGLEFINANCE(""NSE:""&amp;D2370,""pe"")"),"#N/A")</f>
        <v>#N/A</v>
      </c>
      <c r="P2370" s="7" t="str">
        <f ca="1">IFERROR(__xludf.DUMMYFUNCTION("GOOGLEFINANCE(""NSE:""&amp;D2370,""EPS"")"),"#N/A")</f>
        <v>#N/A</v>
      </c>
      <c r="Q2370" s="7">
        <v>13.5</v>
      </c>
      <c r="R2370" s="7" t="str">
        <f ca="1">IFERROR(__xludf.DUMMYFUNCTION("IMPORTXML(E2370,""/html/body/main/div[3]/div[3]/div[2]/ul/li[7]/span[2]/span"")"),"Loading...")</f>
        <v>Loading...</v>
      </c>
      <c r="S2370" s="7" t="str">
        <f ca="1">IFERROR(__xludf.DUMMYFUNCTION("IMPORTXML(E2370,""/html/body/main/div[3]/div[3]/div[2]/ul/li[8]/span[2]/span"")"),"Loading...")</f>
        <v>Loading...</v>
      </c>
      <c r="T2370" s="4">
        <v>34.6</v>
      </c>
      <c r="U2370" s="4">
        <v>22.7</v>
      </c>
      <c r="V2370" s="4">
        <v>2.6</v>
      </c>
      <c r="W2370" s="4">
        <v>5.7</v>
      </c>
      <c r="X2370" s="4">
        <v>519.92999999999995</v>
      </c>
      <c r="Y2370" s="7" t="e">
        <f t="shared" ca="1" si="49"/>
        <v>#VALUE!</v>
      </c>
    </row>
    <row r="2371" spans="1:25" ht="15" x14ac:dyDescent="0.25">
      <c r="A2371" s="4">
        <v>2278</v>
      </c>
      <c r="C2371" s="41" t="s">
        <v>4616</v>
      </c>
      <c r="D2371" s="42"/>
      <c r="E2371" s="5" t="str">
        <f t="shared" si="45"/>
        <v>https://www.screener.in/company//consolidated/</v>
      </c>
      <c r="F2371" s="4">
        <v>443059</v>
      </c>
      <c r="G2371" s="4">
        <v>3832241897</v>
      </c>
      <c r="H2371" s="6" t="e">
        <f t="shared" ca="1" si="46"/>
        <v>#VALUE!</v>
      </c>
      <c r="I2371" s="7" t="str">
        <f ca="1">IFERROR(__xludf.DUMMYFUNCTION("IMPORTXML(E2371,""/html/body/main/div[3]/div[3]/div[2]/ul/li[5]/span[2]/span"")"),"Loading...")</f>
        <v>Loading...</v>
      </c>
      <c r="J2371" s="7" t="str">
        <f ca="1">IFERROR(__xludf.DUMMYFUNCTION("GOOGLEFINANCE(""NSE:""&amp;D2371,""marketcap"")"),"#N/A")</f>
        <v>#N/A</v>
      </c>
      <c r="K2371" s="7">
        <v>992.8</v>
      </c>
      <c r="L2371" s="8" t="str">
        <f ca="1">IFERROR(__xludf.DUMMYFUNCTION("GOOGLEFINANCE(""NSE:""&amp;D2371,""price"")"),"#N/A")</f>
        <v>#N/A</v>
      </c>
      <c r="M2371" s="9" t="e">
        <f t="shared" ca="1" si="47"/>
        <v>#VALUE!</v>
      </c>
      <c r="N2371" s="10" t="e">
        <f t="shared" ca="1" si="48"/>
        <v>#VALUE!</v>
      </c>
      <c r="O2371" s="7" t="str">
        <f ca="1">IFERROR(__xludf.DUMMYFUNCTION("GOOGLEFINANCE(""NSE:""&amp;D2371,""pe"")"),"#N/A")</f>
        <v>#N/A</v>
      </c>
      <c r="P2371" s="7" t="str">
        <f ca="1">IFERROR(__xludf.DUMMYFUNCTION("GOOGLEFINANCE(""NSE:""&amp;D2371,""EPS"")"),"#N/A")</f>
        <v>#N/A</v>
      </c>
      <c r="Q2371" s="7">
        <v>13.5</v>
      </c>
      <c r="R2371" s="7" t="str">
        <f ca="1">IFERROR(__xludf.DUMMYFUNCTION("IMPORTXML(E2371,""/html/body/main/div[3]/div[3]/div[2]/ul/li[7]/span[2]/span"")"),"Loading...")</f>
        <v>Loading...</v>
      </c>
      <c r="S2371" s="7" t="str">
        <f ca="1">IFERROR(__xludf.DUMMYFUNCTION("IMPORTXML(E2371,""/html/body/main/div[3]/div[3]/div[2]/ul/li[8]/span[2]/span"")"),"Loading...")</f>
        <v>Loading...</v>
      </c>
      <c r="T2371" s="4">
        <v>34.6</v>
      </c>
      <c r="U2371" s="4">
        <v>22.7</v>
      </c>
      <c r="V2371" s="4">
        <v>2.6</v>
      </c>
      <c r="W2371" s="4">
        <v>5.7</v>
      </c>
      <c r="X2371" s="4">
        <v>519.92999999999995</v>
      </c>
      <c r="Y2371" s="7" t="e">
        <f t="shared" ca="1" si="49"/>
        <v>#VALUE!</v>
      </c>
    </row>
    <row r="2372" spans="1:25" ht="15" x14ac:dyDescent="0.25">
      <c r="A2372" s="4">
        <v>2280</v>
      </c>
      <c r="C2372" s="41" t="s">
        <v>4617</v>
      </c>
      <c r="D2372" s="42"/>
      <c r="E2372" s="5" t="str">
        <f t="shared" si="45"/>
        <v>https://www.screener.in/company//consolidated/</v>
      </c>
      <c r="F2372" s="4">
        <v>443059</v>
      </c>
      <c r="G2372" s="4">
        <v>3832241897</v>
      </c>
      <c r="H2372" s="6" t="e">
        <f t="shared" ca="1" si="46"/>
        <v>#VALUE!</v>
      </c>
      <c r="I2372" s="7" t="str">
        <f ca="1">IFERROR(__xludf.DUMMYFUNCTION("IMPORTXML(E2372,""/html/body/main/div[3]/div[3]/div[2]/ul/li[5]/span[2]/span"")"),"Loading...")</f>
        <v>Loading...</v>
      </c>
      <c r="J2372" s="7" t="str">
        <f ca="1">IFERROR(__xludf.DUMMYFUNCTION("GOOGLEFINANCE(""NSE:""&amp;D2372,""marketcap"")"),"#N/A")</f>
        <v>#N/A</v>
      </c>
      <c r="K2372" s="7">
        <v>992.8</v>
      </c>
      <c r="L2372" s="8" t="str">
        <f ca="1">IFERROR(__xludf.DUMMYFUNCTION("GOOGLEFINANCE(""NSE:""&amp;D2372,""price"")"),"#N/A")</f>
        <v>#N/A</v>
      </c>
      <c r="M2372" s="9" t="e">
        <f t="shared" ca="1" si="47"/>
        <v>#VALUE!</v>
      </c>
      <c r="N2372" s="10" t="e">
        <f t="shared" ca="1" si="48"/>
        <v>#VALUE!</v>
      </c>
      <c r="O2372" s="7" t="str">
        <f ca="1">IFERROR(__xludf.DUMMYFUNCTION("GOOGLEFINANCE(""NSE:""&amp;D2372,""pe"")"),"#N/A")</f>
        <v>#N/A</v>
      </c>
      <c r="P2372" s="7" t="str">
        <f ca="1">IFERROR(__xludf.DUMMYFUNCTION("GOOGLEFINANCE(""NSE:""&amp;D2372,""EPS"")"),"#N/A")</f>
        <v>#N/A</v>
      </c>
      <c r="Q2372" s="7">
        <v>13.5</v>
      </c>
      <c r="R2372" s="7" t="str">
        <f ca="1">IFERROR(__xludf.DUMMYFUNCTION("IMPORTXML(E2372,""/html/body/main/div[3]/div[3]/div[2]/ul/li[7]/span[2]/span"")"),"Loading...")</f>
        <v>Loading...</v>
      </c>
      <c r="S2372" s="7" t="str">
        <f ca="1">IFERROR(__xludf.DUMMYFUNCTION("IMPORTXML(E2372,""/html/body/main/div[3]/div[3]/div[2]/ul/li[8]/span[2]/span"")"),"Loading...")</f>
        <v>Loading...</v>
      </c>
      <c r="T2372" s="4">
        <v>34.6</v>
      </c>
      <c r="U2372" s="4">
        <v>22.7</v>
      </c>
      <c r="V2372" s="4">
        <v>2.6</v>
      </c>
      <c r="W2372" s="4">
        <v>5.7</v>
      </c>
      <c r="X2372" s="4">
        <v>519.92999999999995</v>
      </c>
      <c r="Y2372" s="7" t="e">
        <f t="shared" ca="1" si="49"/>
        <v>#VALUE!</v>
      </c>
    </row>
    <row r="2373" spans="1:25" ht="15" x14ac:dyDescent="0.25">
      <c r="A2373" s="4">
        <v>2282</v>
      </c>
      <c r="C2373" s="41" t="s">
        <v>4618</v>
      </c>
      <c r="D2373" s="42"/>
      <c r="E2373" s="5" t="str">
        <f t="shared" si="45"/>
        <v>https://www.screener.in/company//consolidated/</v>
      </c>
      <c r="F2373" s="4">
        <v>443059</v>
      </c>
      <c r="G2373" s="4">
        <v>3832241897</v>
      </c>
      <c r="H2373" s="6" t="e">
        <f t="shared" ca="1" si="46"/>
        <v>#VALUE!</v>
      </c>
      <c r="I2373" s="7" t="str">
        <f ca="1">IFERROR(__xludf.DUMMYFUNCTION("IMPORTXML(E2373,""/html/body/main/div[3]/div[3]/div[2]/ul/li[5]/span[2]/span"")"),"Loading...")</f>
        <v>Loading...</v>
      </c>
      <c r="J2373" s="7" t="str">
        <f ca="1">IFERROR(__xludf.DUMMYFUNCTION("GOOGLEFINANCE(""NSE:""&amp;D2373,""marketcap"")"),"#N/A")</f>
        <v>#N/A</v>
      </c>
      <c r="K2373" s="7">
        <v>992.8</v>
      </c>
      <c r="L2373" s="8" t="str">
        <f ca="1">IFERROR(__xludf.DUMMYFUNCTION("GOOGLEFINANCE(""NSE:""&amp;D2373,""price"")"),"#N/A")</f>
        <v>#N/A</v>
      </c>
      <c r="M2373" s="9" t="e">
        <f t="shared" ca="1" si="47"/>
        <v>#VALUE!</v>
      </c>
      <c r="N2373" s="10" t="e">
        <f t="shared" ca="1" si="48"/>
        <v>#VALUE!</v>
      </c>
      <c r="O2373" s="7" t="str">
        <f ca="1">IFERROR(__xludf.DUMMYFUNCTION("GOOGLEFINANCE(""NSE:""&amp;D2373,""pe"")"),"#N/A")</f>
        <v>#N/A</v>
      </c>
      <c r="P2373" s="7" t="str">
        <f ca="1">IFERROR(__xludf.DUMMYFUNCTION("GOOGLEFINANCE(""NSE:""&amp;D2373,""EPS"")"),"#N/A")</f>
        <v>#N/A</v>
      </c>
      <c r="Q2373" s="7">
        <v>13.5</v>
      </c>
      <c r="R2373" s="7" t="str">
        <f ca="1">IFERROR(__xludf.DUMMYFUNCTION("IMPORTXML(E2373,""/html/body/main/div[3]/div[3]/div[2]/ul/li[7]/span[2]/span"")"),"Loading...")</f>
        <v>Loading...</v>
      </c>
      <c r="S2373" s="7" t="str">
        <f ca="1">IFERROR(__xludf.DUMMYFUNCTION("IMPORTXML(E2373,""/html/body/main/div[3]/div[3]/div[2]/ul/li[8]/span[2]/span"")"),"Loading...")</f>
        <v>Loading...</v>
      </c>
      <c r="T2373" s="4">
        <v>34.6</v>
      </c>
      <c r="U2373" s="4">
        <v>22.7</v>
      </c>
      <c r="V2373" s="4">
        <v>2.6</v>
      </c>
      <c r="W2373" s="4">
        <v>5.7</v>
      </c>
      <c r="X2373" s="4">
        <v>519.92999999999995</v>
      </c>
      <c r="Y2373" s="7" t="e">
        <f t="shared" ca="1" si="49"/>
        <v>#VALUE!</v>
      </c>
    </row>
    <row r="2374" spans="1:25" ht="15" x14ac:dyDescent="0.25">
      <c r="A2374" s="4">
        <v>2283</v>
      </c>
      <c r="C2374" s="41" t="s">
        <v>4619</v>
      </c>
      <c r="D2374" s="42"/>
      <c r="E2374" s="5" t="str">
        <f t="shared" si="45"/>
        <v>https://www.screener.in/company//consolidated/</v>
      </c>
      <c r="F2374" s="4">
        <v>443059</v>
      </c>
      <c r="G2374" s="4">
        <v>3832241897</v>
      </c>
      <c r="H2374" s="6" t="e">
        <f t="shared" ca="1" si="46"/>
        <v>#VALUE!</v>
      </c>
      <c r="I2374" s="7" t="str">
        <f ca="1">IFERROR(__xludf.DUMMYFUNCTION("IMPORTXML(E2374,""/html/body/main/div[3]/div[3]/div[2]/ul/li[5]/span[2]/span"")"),"Loading...")</f>
        <v>Loading...</v>
      </c>
      <c r="J2374" s="7" t="str">
        <f ca="1">IFERROR(__xludf.DUMMYFUNCTION("GOOGLEFINANCE(""NSE:""&amp;D2374,""marketcap"")"),"#N/A")</f>
        <v>#N/A</v>
      </c>
      <c r="K2374" s="7">
        <v>992.8</v>
      </c>
      <c r="L2374" s="8" t="str">
        <f ca="1">IFERROR(__xludf.DUMMYFUNCTION("GOOGLEFINANCE(""NSE:""&amp;D2374,""price"")"),"#N/A")</f>
        <v>#N/A</v>
      </c>
      <c r="M2374" s="9" t="e">
        <f t="shared" ca="1" si="47"/>
        <v>#VALUE!</v>
      </c>
      <c r="N2374" s="10" t="e">
        <f t="shared" ca="1" si="48"/>
        <v>#VALUE!</v>
      </c>
      <c r="O2374" s="7" t="str">
        <f ca="1">IFERROR(__xludf.DUMMYFUNCTION("GOOGLEFINANCE(""NSE:""&amp;D2374,""pe"")"),"#N/A")</f>
        <v>#N/A</v>
      </c>
      <c r="P2374" s="7" t="str">
        <f ca="1">IFERROR(__xludf.DUMMYFUNCTION("GOOGLEFINANCE(""NSE:""&amp;D2374,""EPS"")"),"#N/A")</f>
        <v>#N/A</v>
      </c>
      <c r="Q2374" s="7">
        <v>13.5</v>
      </c>
      <c r="R2374" s="7" t="str">
        <f ca="1">IFERROR(__xludf.DUMMYFUNCTION("IMPORTXML(E2374,""/html/body/main/div[3]/div[3]/div[2]/ul/li[7]/span[2]/span"")"),"Loading...")</f>
        <v>Loading...</v>
      </c>
      <c r="S2374" s="7" t="str">
        <f ca="1">IFERROR(__xludf.DUMMYFUNCTION("IMPORTXML(E2374,""/html/body/main/div[3]/div[3]/div[2]/ul/li[8]/span[2]/span"")"),"Loading...")</f>
        <v>Loading...</v>
      </c>
      <c r="T2374" s="4">
        <v>34.6</v>
      </c>
      <c r="U2374" s="4">
        <v>22.7</v>
      </c>
      <c r="V2374" s="4">
        <v>2.6</v>
      </c>
      <c r="W2374" s="4">
        <v>5.7</v>
      </c>
      <c r="X2374" s="4">
        <v>519.92999999999995</v>
      </c>
      <c r="Y2374" s="7" t="e">
        <f t="shared" ca="1" si="49"/>
        <v>#VALUE!</v>
      </c>
    </row>
    <row r="2375" spans="1:25" ht="15" x14ac:dyDescent="0.25">
      <c r="A2375" s="4">
        <v>2284</v>
      </c>
      <c r="C2375" s="12" t="s">
        <v>4620</v>
      </c>
      <c r="D2375" s="12" t="s">
        <v>4621</v>
      </c>
      <c r="E2375" s="5" t="str">
        <f t="shared" si="45"/>
        <v>https://www.screener.in/company/LPDC/consolidated/</v>
      </c>
      <c r="F2375" s="4">
        <v>443059</v>
      </c>
      <c r="G2375" s="4">
        <v>3832241897</v>
      </c>
      <c r="H2375" s="6">
        <f t="shared" ca="1" si="46"/>
        <v>3042.8000662180002</v>
      </c>
      <c r="I2375" s="7" t="str">
        <f ca="1">IFERROR(__xludf.DUMMYFUNCTION("IMPORTXML(E2375,""/html/body/main/div[3]/div[3]/div[2]/ul/li[5]/span[2]/span"")"),"Loading...")</f>
        <v>Loading...</v>
      </c>
      <c r="J2375" s="7">
        <f ca="1">IFERROR(__xludf.DUMMYFUNCTION("GOOGLEFINANCE(""NSE:""&amp;D2375,""marketcap"")"),1053024000)</f>
        <v>1053024000</v>
      </c>
      <c r="K2375" s="7">
        <v>992.8</v>
      </c>
      <c r="L2375" s="8">
        <f ca="1">IFERROR(__xludf.DUMMYFUNCTION("GOOGLEFINANCE(""NSE:""&amp;D2375,""price"")"),7.94)</f>
        <v>7.94</v>
      </c>
      <c r="M2375" s="9">
        <f t="shared" ca="1" si="47"/>
        <v>-984.8599999999999</v>
      </c>
      <c r="N2375" s="10">
        <f t="shared" ca="1" si="48"/>
        <v>-99.200241740531823</v>
      </c>
      <c r="O2375" s="7" t="str">
        <f ca="1">IFERROR(__xludf.DUMMYFUNCTION("GOOGLEFINANCE(""NSE:""&amp;D2375,""pe"")"),"#N/A")</f>
        <v>#N/A</v>
      </c>
      <c r="P2375" s="7">
        <f ca="1">IFERROR(__xludf.DUMMYFUNCTION("GOOGLEFINANCE(""NSE:""&amp;D2375,""EPS"")"),-0.28)</f>
        <v>-0.28000000000000003</v>
      </c>
      <c r="Q2375" s="7">
        <v>13.5</v>
      </c>
      <c r="R2375" s="7" t="str">
        <f ca="1">IFERROR(__xludf.DUMMYFUNCTION("IMPORTXML(E2375,""/html/body/main/div[3]/div[3]/div[2]/ul/li[7]/span[2]/span"")"),"Loading...")</f>
        <v>Loading...</v>
      </c>
      <c r="S2375" s="7" t="str">
        <f ca="1">IFERROR(__xludf.DUMMYFUNCTION("IMPORTXML(E2375,""/html/body/main/div[3]/div[3]/div[2]/ul/li[8]/span[2]/span"")"),"Loading...")</f>
        <v>Loading...</v>
      </c>
      <c r="T2375" s="4">
        <v>34.6</v>
      </c>
      <c r="U2375" s="4">
        <v>22.7</v>
      </c>
      <c r="V2375" s="4">
        <v>2.6</v>
      </c>
      <c r="W2375" s="4">
        <v>5.7</v>
      </c>
      <c r="X2375" s="4">
        <v>519.92999999999995</v>
      </c>
      <c r="Y2375" s="7">
        <f t="shared" ca="1" si="49"/>
        <v>-511.98999999999995</v>
      </c>
    </row>
    <row r="2376" spans="1:25" ht="15" x14ac:dyDescent="0.25">
      <c r="A2376" s="4">
        <v>2286</v>
      </c>
      <c r="C2376" s="41" t="s">
        <v>4622</v>
      </c>
      <c r="D2376" s="42"/>
      <c r="E2376" s="5" t="str">
        <f t="shared" si="45"/>
        <v>https://www.screener.in/company//consolidated/</v>
      </c>
      <c r="F2376" s="4">
        <v>443059</v>
      </c>
      <c r="G2376" s="4">
        <v>3832241897</v>
      </c>
      <c r="H2376" s="6" t="e">
        <f t="shared" ca="1" si="46"/>
        <v>#VALUE!</v>
      </c>
      <c r="I2376" s="7" t="str">
        <f ca="1">IFERROR(__xludf.DUMMYFUNCTION("IMPORTXML(E2376,""/html/body/main/div[3]/div[3]/div[2]/ul/li[5]/span[2]/span"")"),"Loading...")</f>
        <v>Loading...</v>
      </c>
      <c r="J2376" s="7" t="str">
        <f ca="1">IFERROR(__xludf.DUMMYFUNCTION("GOOGLEFINANCE(""NSE:""&amp;D2376,""marketcap"")"),"#N/A")</f>
        <v>#N/A</v>
      </c>
      <c r="K2376" s="7">
        <v>992.8</v>
      </c>
      <c r="L2376" s="8" t="str">
        <f ca="1">IFERROR(__xludf.DUMMYFUNCTION("GOOGLEFINANCE(""NSE:""&amp;D2376,""price"")"),"#N/A")</f>
        <v>#N/A</v>
      </c>
      <c r="M2376" s="9" t="e">
        <f t="shared" ca="1" si="47"/>
        <v>#VALUE!</v>
      </c>
      <c r="N2376" s="10" t="e">
        <f t="shared" ca="1" si="48"/>
        <v>#VALUE!</v>
      </c>
      <c r="O2376" s="7" t="str">
        <f ca="1">IFERROR(__xludf.DUMMYFUNCTION("GOOGLEFINANCE(""NSE:""&amp;D2376,""pe"")"),"#N/A")</f>
        <v>#N/A</v>
      </c>
      <c r="P2376" s="7" t="str">
        <f ca="1">IFERROR(__xludf.DUMMYFUNCTION("GOOGLEFINANCE(""NSE:""&amp;D2376,""EPS"")"),"#N/A")</f>
        <v>#N/A</v>
      </c>
      <c r="Q2376" s="7">
        <v>13.5</v>
      </c>
      <c r="R2376" s="7" t="str">
        <f ca="1">IFERROR(__xludf.DUMMYFUNCTION("IMPORTXML(E2376,""/html/body/main/div[3]/div[3]/div[2]/ul/li[7]/span[2]/span"")"),"Loading...")</f>
        <v>Loading...</v>
      </c>
      <c r="S2376" s="7" t="str">
        <f ca="1">IFERROR(__xludf.DUMMYFUNCTION("IMPORTXML(E2376,""/html/body/main/div[3]/div[3]/div[2]/ul/li[8]/span[2]/span"")"),"Loading...")</f>
        <v>Loading...</v>
      </c>
      <c r="T2376" s="4">
        <v>34.6</v>
      </c>
      <c r="U2376" s="4">
        <v>22.7</v>
      </c>
      <c r="V2376" s="4">
        <v>2.6</v>
      </c>
      <c r="W2376" s="4">
        <v>5.7</v>
      </c>
      <c r="X2376" s="4">
        <v>519.92999999999995</v>
      </c>
      <c r="Y2376" s="7" t="e">
        <f t="shared" ca="1" si="49"/>
        <v>#VALUE!</v>
      </c>
    </row>
    <row r="2377" spans="1:25" ht="15" x14ac:dyDescent="0.25">
      <c r="A2377" s="4">
        <v>2287</v>
      </c>
      <c r="C2377" s="41" t="s">
        <v>4623</v>
      </c>
      <c r="D2377" s="42"/>
      <c r="E2377" s="5" t="str">
        <f t="shared" si="45"/>
        <v>https://www.screener.in/company//consolidated/</v>
      </c>
      <c r="F2377" s="4">
        <v>443059</v>
      </c>
      <c r="G2377" s="4">
        <v>3832241897</v>
      </c>
      <c r="H2377" s="6" t="e">
        <f t="shared" ca="1" si="46"/>
        <v>#VALUE!</v>
      </c>
      <c r="I2377" s="7" t="str">
        <f ca="1">IFERROR(__xludf.DUMMYFUNCTION("IMPORTXML(E2377,""/html/body/main/div[3]/div[3]/div[2]/ul/li[5]/span[2]/span"")"),"Loading...")</f>
        <v>Loading...</v>
      </c>
      <c r="J2377" s="7" t="str">
        <f ca="1">IFERROR(__xludf.DUMMYFUNCTION("GOOGLEFINANCE(""NSE:""&amp;D2377,""marketcap"")"),"#N/A")</f>
        <v>#N/A</v>
      </c>
      <c r="K2377" s="7">
        <v>992.8</v>
      </c>
      <c r="L2377" s="8" t="str">
        <f ca="1">IFERROR(__xludf.DUMMYFUNCTION("GOOGLEFINANCE(""NSE:""&amp;D2377,""price"")"),"#N/A")</f>
        <v>#N/A</v>
      </c>
      <c r="M2377" s="9" t="e">
        <f t="shared" ca="1" si="47"/>
        <v>#VALUE!</v>
      </c>
      <c r="N2377" s="10" t="e">
        <f t="shared" ca="1" si="48"/>
        <v>#VALUE!</v>
      </c>
      <c r="O2377" s="7" t="str">
        <f ca="1">IFERROR(__xludf.DUMMYFUNCTION("GOOGLEFINANCE(""NSE:""&amp;D2377,""pe"")"),"#N/A")</f>
        <v>#N/A</v>
      </c>
      <c r="P2377" s="7" t="str">
        <f ca="1">IFERROR(__xludf.DUMMYFUNCTION("GOOGLEFINANCE(""NSE:""&amp;D2377,""EPS"")"),"#N/A")</f>
        <v>#N/A</v>
      </c>
      <c r="Q2377" s="7">
        <v>13.5</v>
      </c>
      <c r="R2377" s="7" t="str">
        <f ca="1">IFERROR(__xludf.DUMMYFUNCTION("IMPORTXML(E2377,""/html/body/main/div[3]/div[3]/div[2]/ul/li[7]/span[2]/span"")"),"Loading...")</f>
        <v>Loading...</v>
      </c>
      <c r="S2377" s="7" t="str">
        <f ca="1">IFERROR(__xludf.DUMMYFUNCTION("IMPORTXML(E2377,""/html/body/main/div[3]/div[3]/div[2]/ul/li[8]/span[2]/span"")"),"Loading...")</f>
        <v>Loading...</v>
      </c>
      <c r="T2377" s="4">
        <v>34.6</v>
      </c>
      <c r="U2377" s="4">
        <v>22.7</v>
      </c>
      <c r="V2377" s="4">
        <v>2.6</v>
      </c>
      <c r="W2377" s="4">
        <v>5.7</v>
      </c>
      <c r="X2377" s="4">
        <v>519.92999999999995</v>
      </c>
      <c r="Y2377" s="7" t="e">
        <f t="shared" ca="1" si="49"/>
        <v>#VALUE!</v>
      </c>
    </row>
    <row r="2378" spans="1:25" ht="15" x14ac:dyDescent="0.25">
      <c r="A2378" s="4">
        <v>2288</v>
      </c>
      <c r="C2378" s="41" t="s">
        <v>4624</v>
      </c>
      <c r="D2378" s="42"/>
      <c r="E2378" s="5" t="str">
        <f t="shared" si="45"/>
        <v>https://www.screener.in/company//consolidated/</v>
      </c>
      <c r="F2378" s="4">
        <v>443059</v>
      </c>
      <c r="G2378" s="4">
        <v>3832241897</v>
      </c>
      <c r="H2378" s="6" t="e">
        <f t="shared" ca="1" si="46"/>
        <v>#VALUE!</v>
      </c>
      <c r="I2378" s="7" t="str">
        <f ca="1">IFERROR(__xludf.DUMMYFUNCTION("IMPORTXML(E2378,""/html/body/main/div[3]/div[3]/div[2]/ul/li[5]/span[2]/span"")"),"Loading...")</f>
        <v>Loading...</v>
      </c>
      <c r="J2378" s="7" t="str">
        <f ca="1">IFERROR(__xludf.DUMMYFUNCTION("GOOGLEFINANCE(""NSE:""&amp;D2378,""marketcap"")"),"#N/A")</f>
        <v>#N/A</v>
      </c>
      <c r="K2378" s="7">
        <v>992.8</v>
      </c>
      <c r="L2378" s="8" t="str">
        <f ca="1">IFERROR(__xludf.DUMMYFUNCTION("GOOGLEFINANCE(""NSE:""&amp;D2378,""price"")"),"#N/A")</f>
        <v>#N/A</v>
      </c>
      <c r="M2378" s="9" t="e">
        <f t="shared" ca="1" si="47"/>
        <v>#VALUE!</v>
      </c>
      <c r="N2378" s="10" t="e">
        <f t="shared" ca="1" si="48"/>
        <v>#VALUE!</v>
      </c>
      <c r="O2378" s="7" t="str">
        <f ca="1">IFERROR(__xludf.DUMMYFUNCTION("GOOGLEFINANCE(""NSE:""&amp;D2378,""pe"")"),"#N/A")</f>
        <v>#N/A</v>
      </c>
      <c r="P2378" s="7" t="str">
        <f ca="1">IFERROR(__xludf.DUMMYFUNCTION("GOOGLEFINANCE(""NSE:""&amp;D2378,""EPS"")"),"#N/A")</f>
        <v>#N/A</v>
      </c>
      <c r="Q2378" s="7">
        <v>13.5</v>
      </c>
      <c r="R2378" s="7" t="str">
        <f ca="1">IFERROR(__xludf.DUMMYFUNCTION("IMPORTXML(E2378,""/html/body/main/div[3]/div[3]/div[2]/ul/li[7]/span[2]/span"")"),"Loading...")</f>
        <v>Loading...</v>
      </c>
      <c r="S2378" s="7" t="str">
        <f ca="1">IFERROR(__xludf.DUMMYFUNCTION("IMPORTXML(E2378,""/html/body/main/div[3]/div[3]/div[2]/ul/li[8]/span[2]/span"")"),"Loading...")</f>
        <v>Loading...</v>
      </c>
      <c r="T2378" s="4">
        <v>34.6</v>
      </c>
      <c r="U2378" s="4">
        <v>22.7</v>
      </c>
      <c r="V2378" s="4">
        <v>2.6</v>
      </c>
      <c r="W2378" s="4">
        <v>5.7</v>
      </c>
      <c r="X2378" s="4">
        <v>519.92999999999995</v>
      </c>
      <c r="Y2378" s="7" t="e">
        <f t="shared" ca="1" si="49"/>
        <v>#VALUE!</v>
      </c>
    </row>
    <row r="2379" spans="1:25" ht="15" x14ac:dyDescent="0.25">
      <c r="A2379" s="4">
        <v>2289</v>
      </c>
      <c r="C2379" s="41" t="s">
        <v>4625</v>
      </c>
      <c r="D2379" s="42"/>
      <c r="E2379" s="5" t="str">
        <f t="shared" si="45"/>
        <v>https://www.screener.in/company//consolidated/</v>
      </c>
      <c r="F2379" s="4">
        <v>443059</v>
      </c>
      <c r="G2379" s="4">
        <v>3832241897</v>
      </c>
      <c r="H2379" s="6" t="e">
        <f t="shared" ca="1" si="46"/>
        <v>#VALUE!</v>
      </c>
      <c r="I2379" s="7" t="str">
        <f ca="1">IFERROR(__xludf.DUMMYFUNCTION("IMPORTXML(E2379,""/html/body/main/div[3]/div[3]/div[2]/ul/li[5]/span[2]/span"")"),"Loading...")</f>
        <v>Loading...</v>
      </c>
      <c r="J2379" s="7" t="str">
        <f ca="1">IFERROR(__xludf.DUMMYFUNCTION("GOOGLEFINANCE(""NSE:""&amp;D2379,""marketcap"")"),"#N/A")</f>
        <v>#N/A</v>
      </c>
      <c r="K2379" s="7">
        <v>992.8</v>
      </c>
      <c r="L2379" s="8" t="str">
        <f ca="1">IFERROR(__xludf.DUMMYFUNCTION("GOOGLEFINANCE(""NSE:""&amp;D2379,""price"")"),"#N/A")</f>
        <v>#N/A</v>
      </c>
      <c r="M2379" s="9" t="e">
        <f t="shared" ca="1" si="47"/>
        <v>#VALUE!</v>
      </c>
      <c r="N2379" s="10" t="e">
        <f t="shared" ca="1" si="48"/>
        <v>#VALUE!</v>
      </c>
      <c r="O2379" s="7" t="str">
        <f ca="1">IFERROR(__xludf.DUMMYFUNCTION("GOOGLEFINANCE(""NSE:""&amp;D2379,""pe"")"),"#N/A")</f>
        <v>#N/A</v>
      </c>
      <c r="P2379" s="7" t="str">
        <f ca="1">IFERROR(__xludf.DUMMYFUNCTION("GOOGLEFINANCE(""NSE:""&amp;D2379,""EPS"")"),"#N/A")</f>
        <v>#N/A</v>
      </c>
      <c r="Q2379" s="7">
        <v>13.5</v>
      </c>
      <c r="R2379" s="7" t="str">
        <f ca="1">IFERROR(__xludf.DUMMYFUNCTION("IMPORTXML(E2379,""/html/body/main/div[3]/div[3]/div[2]/ul/li[7]/span[2]/span"")"),"Loading...")</f>
        <v>Loading...</v>
      </c>
      <c r="S2379" s="7" t="str">
        <f ca="1">IFERROR(__xludf.DUMMYFUNCTION("IMPORTXML(E2379,""/html/body/main/div[3]/div[3]/div[2]/ul/li[8]/span[2]/span"")"),"Loading...")</f>
        <v>Loading...</v>
      </c>
      <c r="T2379" s="4">
        <v>34.6</v>
      </c>
      <c r="U2379" s="4">
        <v>22.7</v>
      </c>
      <c r="V2379" s="4">
        <v>2.6</v>
      </c>
      <c r="W2379" s="4">
        <v>5.7</v>
      </c>
      <c r="X2379" s="4">
        <v>519.92999999999995</v>
      </c>
      <c r="Y2379" s="7" t="e">
        <f t="shared" ca="1" si="49"/>
        <v>#VALUE!</v>
      </c>
    </row>
    <row r="2380" spans="1:25" ht="15" x14ac:dyDescent="0.25">
      <c r="A2380" s="4">
        <v>2290</v>
      </c>
      <c r="C2380" s="12" t="s">
        <v>4626</v>
      </c>
      <c r="D2380" s="12" t="s">
        <v>4627</v>
      </c>
      <c r="E2380" s="5" t="str">
        <f t="shared" si="45"/>
        <v>https://www.screener.in/company/SHAHALLOYS/consolidated/</v>
      </c>
      <c r="F2380" s="4">
        <v>443059</v>
      </c>
      <c r="G2380" s="4">
        <v>3832241897</v>
      </c>
      <c r="H2380" s="6">
        <f t="shared" ca="1" si="46"/>
        <v>24334.736045950001</v>
      </c>
      <c r="I2380" s="7" t="str">
        <f ca="1">IFERROR(__xludf.DUMMYFUNCTION("IMPORTXML(E2380,""/html/body/main/div[3]/div[3]/div[2]/ul/li[5]/span[2]/span"")"),"Loading...")</f>
        <v>Loading...</v>
      </c>
      <c r="J2380" s="7">
        <f ca="1">IFERROR(__xludf.DUMMYFUNCTION("GOOGLEFINANCE(""NSE:""&amp;D2380,""marketcap"")"),1238534000)</f>
        <v>1238534000</v>
      </c>
      <c r="K2380" s="7">
        <v>992.8</v>
      </c>
      <c r="L2380" s="8">
        <f ca="1">IFERROR(__xludf.DUMMYFUNCTION("GOOGLEFINANCE(""NSE:""&amp;D2380,""price"")"),63.5)</f>
        <v>63.5</v>
      </c>
      <c r="M2380" s="9">
        <f t="shared" ca="1" si="47"/>
        <v>-929.3</v>
      </c>
      <c r="N2380" s="10">
        <f t="shared" ca="1" si="48"/>
        <v>-93.60394842868655</v>
      </c>
      <c r="O2380" s="7" t="str">
        <f ca="1">IFERROR(__xludf.DUMMYFUNCTION("GOOGLEFINANCE(""NSE:""&amp;D2380,""pe"")"),"#N/A")</f>
        <v>#N/A</v>
      </c>
      <c r="P2380" s="7">
        <f ca="1">IFERROR(__xludf.DUMMYFUNCTION("GOOGLEFINANCE(""NSE:""&amp;D2380,""EPS"")"),-9.5)</f>
        <v>-9.5</v>
      </c>
      <c r="Q2380" s="7">
        <v>13.5</v>
      </c>
      <c r="R2380" s="7" t="str">
        <f ca="1">IFERROR(__xludf.DUMMYFUNCTION("IMPORTXML(E2380,""/html/body/main/div[3]/div[3]/div[2]/ul/li[7]/span[2]/span"")"),"Loading...")</f>
        <v>Loading...</v>
      </c>
      <c r="S2380" s="7" t="str">
        <f ca="1">IFERROR(__xludf.DUMMYFUNCTION("IMPORTXML(E2380,""/html/body/main/div[3]/div[3]/div[2]/ul/li[8]/span[2]/span"")"),"Loading...")</f>
        <v>Loading...</v>
      </c>
      <c r="T2380" s="4">
        <v>34.6</v>
      </c>
      <c r="U2380" s="4">
        <v>22.7</v>
      </c>
      <c r="V2380" s="4">
        <v>2.6</v>
      </c>
      <c r="W2380" s="4">
        <v>5.7</v>
      </c>
      <c r="X2380" s="4">
        <v>519.92999999999995</v>
      </c>
      <c r="Y2380" s="7">
        <f t="shared" ca="1" si="49"/>
        <v>-456.42999999999995</v>
      </c>
    </row>
    <row r="2381" spans="1:25" ht="15" x14ac:dyDescent="0.25">
      <c r="A2381" s="4">
        <v>2291</v>
      </c>
      <c r="C2381" s="41" t="s">
        <v>4628</v>
      </c>
      <c r="D2381" s="42"/>
      <c r="E2381" s="5" t="str">
        <f t="shared" si="45"/>
        <v>https://www.screener.in/company//consolidated/</v>
      </c>
      <c r="F2381" s="4">
        <v>443059</v>
      </c>
      <c r="G2381" s="4">
        <v>3832241897</v>
      </c>
      <c r="H2381" s="6" t="e">
        <f t="shared" ca="1" si="46"/>
        <v>#VALUE!</v>
      </c>
      <c r="I2381" s="7" t="str">
        <f ca="1">IFERROR(__xludf.DUMMYFUNCTION("IMPORTXML(E2381,""/html/body/main/div[3]/div[3]/div[2]/ul/li[5]/span[2]/span"")"),"Loading...")</f>
        <v>Loading...</v>
      </c>
      <c r="J2381" s="7" t="str">
        <f ca="1">IFERROR(__xludf.DUMMYFUNCTION("GOOGLEFINANCE(""NSE:""&amp;D2381,""marketcap"")"),"#N/A")</f>
        <v>#N/A</v>
      </c>
      <c r="K2381" s="7">
        <v>992.8</v>
      </c>
      <c r="L2381" s="8" t="str">
        <f ca="1">IFERROR(__xludf.DUMMYFUNCTION("GOOGLEFINANCE(""NSE:""&amp;D2381,""price"")"),"#N/A")</f>
        <v>#N/A</v>
      </c>
      <c r="M2381" s="9" t="e">
        <f t="shared" ca="1" si="47"/>
        <v>#VALUE!</v>
      </c>
      <c r="N2381" s="10" t="e">
        <f t="shared" ca="1" si="48"/>
        <v>#VALUE!</v>
      </c>
      <c r="O2381" s="7" t="str">
        <f ca="1">IFERROR(__xludf.DUMMYFUNCTION("GOOGLEFINANCE(""NSE:""&amp;D2381,""pe"")"),"#N/A")</f>
        <v>#N/A</v>
      </c>
      <c r="P2381" s="7" t="str">
        <f ca="1">IFERROR(__xludf.DUMMYFUNCTION("GOOGLEFINANCE(""NSE:""&amp;D2381,""EPS"")"),"#N/A")</f>
        <v>#N/A</v>
      </c>
      <c r="Q2381" s="7">
        <v>13.5</v>
      </c>
      <c r="R2381" s="7" t="str">
        <f ca="1">IFERROR(__xludf.DUMMYFUNCTION("IMPORTXML(E2381,""/html/body/main/div[3]/div[3]/div[2]/ul/li[7]/span[2]/span"")"),"Loading...")</f>
        <v>Loading...</v>
      </c>
      <c r="S2381" s="7" t="str">
        <f ca="1">IFERROR(__xludf.DUMMYFUNCTION("IMPORTXML(E2381,""/html/body/main/div[3]/div[3]/div[2]/ul/li[8]/span[2]/span"")"),"Loading...")</f>
        <v>Loading...</v>
      </c>
      <c r="T2381" s="4">
        <v>34.6</v>
      </c>
      <c r="U2381" s="4">
        <v>22.7</v>
      </c>
      <c r="V2381" s="4">
        <v>2.6</v>
      </c>
      <c r="W2381" s="4">
        <v>5.7</v>
      </c>
      <c r="X2381" s="4">
        <v>519.92999999999995</v>
      </c>
      <c r="Y2381" s="7" t="e">
        <f t="shared" ca="1" si="49"/>
        <v>#VALUE!</v>
      </c>
    </row>
    <row r="2382" spans="1:25" ht="15" x14ac:dyDescent="0.25">
      <c r="A2382" s="4">
        <v>2292</v>
      </c>
      <c r="C2382" s="41" t="s">
        <v>4629</v>
      </c>
      <c r="D2382" s="42"/>
      <c r="E2382" s="5" t="str">
        <f t="shared" si="45"/>
        <v>https://www.screener.in/company//consolidated/</v>
      </c>
      <c r="F2382" s="4">
        <v>443059</v>
      </c>
      <c r="G2382" s="4">
        <v>3832241897</v>
      </c>
      <c r="H2382" s="6" t="e">
        <f t="shared" ca="1" si="46"/>
        <v>#VALUE!</v>
      </c>
      <c r="I2382" s="7" t="str">
        <f ca="1">IFERROR(__xludf.DUMMYFUNCTION("IMPORTXML(E2382,""/html/body/main/div[3]/div[3]/div[2]/ul/li[5]/span[2]/span"")"),"Loading...")</f>
        <v>Loading...</v>
      </c>
      <c r="J2382" s="7" t="str">
        <f ca="1">IFERROR(__xludf.DUMMYFUNCTION("GOOGLEFINANCE(""NSE:""&amp;D2382,""marketcap"")"),"#N/A")</f>
        <v>#N/A</v>
      </c>
      <c r="K2382" s="7">
        <v>992.8</v>
      </c>
      <c r="L2382" s="8" t="str">
        <f ca="1">IFERROR(__xludf.DUMMYFUNCTION("GOOGLEFINANCE(""NSE:""&amp;D2382,""price"")"),"#N/A")</f>
        <v>#N/A</v>
      </c>
      <c r="M2382" s="9" t="e">
        <f t="shared" ca="1" si="47"/>
        <v>#VALUE!</v>
      </c>
      <c r="N2382" s="10" t="e">
        <f t="shared" ca="1" si="48"/>
        <v>#VALUE!</v>
      </c>
      <c r="O2382" s="7" t="str">
        <f ca="1">IFERROR(__xludf.DUMMYFUNCTION("GOOGLEFINANCE(""NSE:""&amp;D2382,""pe"")"),"#N/A")</f>
        <v>#N/A</v>
      </c>
      <c r="P2382" s="7" t="str">
        <f ca="1">IFERROR(__xludf.DUMMYFUNCTION("GOOGLEFINANCE(""NSE:""&amp;D2382,""EPS"")"),"#N/A")</f>
        <v>#N/A</v>
      </c>
      <c r="Q2382" s="7">
        <v>13.5</v>
      </c>
      <c r="R2382" s="7" t="str">
        <f ca="1">IFERROR(__xludf.DUMMYFUNCTION("IMPORTXML(E2382,""/html/body/main/div[3]/div[3]/div[2]/ul/li[7]/span[2]/span"")"),"Loading...")</f>
        <v>Loading...</v>
      </c>
      <c r="S2382" s="7" t="str">
        <f ca="1">IFERROR(__xludf.DUMMYFUNCTION("IMPORTXML(E2382,""/html/body/main/div[3]/div[3]/div[2]/ul/li[8]/span[2]/span"")"),"Loading...")</f>
        <v>Loading...</v>
      </c>
      <c r="T2382" s="4">
        <v>34.6</v>
      </c>
      <c r="U2382" s="4">
        <v>22.7</v>
      </c>
      <c r="V2382" s="4">
        <v>2.6</v>
      </c>
      <c r="W2382" s="4">
        <v>5.7</v>
      </c>
      <c r="X2382" s="4">
        <v>519.92999999999995</v>
      </c>
      <c r="Y2382" s="7" t="e">
        <f t="shared" ca="1" si="49"/>
        <v>#VALUE!</v>
      </c>
    </row>
    <row r="2383" spans="1:25" ht="15" x14ac:dyDescent="0.25">
      <c r="A2383" s="4">
        <v>2293</v>
      </c>
      <c r="C2383" s="12" t="s">
        <v>4630</v>
      </c>
      <c r="D2383" s="12" t="s">
        <v>4631</v>
      </c>
      <c r="E2383" s="5" t="str">
        <f t="shared" si="45"/>
        <v>https://www.screener.in/company/SEMAC/consolidated/</v>
      </c>
      <c r="F2383" s="4">
        <v>443059</v>
      </c>
      <c r="G2383" s="4">
        <v>3832241897</v>
      </c>
      <c r="H2383" s="6">
        <f t="shared" ca="1" si="46"/>
        <v>209240.4075762</v>
      </c>
      <c r="I2383" s="7" t="str">
        <f ca="1">IFERROR(__xludf.DUMMYFUNCTION("IMPORTXML(E2383,""/html/body/main/div[3]/div[3]/div[2]/ul/li[5]/span[2]/span"")"),"Loading...")</f>
        <v>Loading...</v>
      </c>
      <c r="J2383" s="7">
        <f ca="1">IFERROR(__xludf.DUMMYFUNCTION("GOOGLEFINANCE(""NSE:""&amp;D2383,""marketcap"")"),1700180000)</f>
        <v>1700180000</v>
      </c>
      <c r="K2383" s="7">
        <v>992.8</v>
      </c>
      <c r="L2383" s="8">
        <f ca="1">IFERROR(__xludf.DUMMYFUNCTION("GOOGLEFINANCE(""NSE:""&amp;D2383,""price"")"),546)</f>
        <v>546</v>
      </c>
      <c r="M2383" s="9">
        <f t="shared" ca="1" si="47"/>
        <v>-446.79999999999995</v>
      </c>
      <c r="N2383" s="10">
        <f t="shared" ca="1" si="48"/>
        <v>-45.004029008863817</v>
      </c>
      <c r="O2383" s="7" t="str">
        <f ca="1">IFERROR(__xludf.DUMMYFUNCTION("GOOGLEFINANCE(""NSE:""&amp;D2383,""pe"")"),"#N/A")</f>
        <v>#N/A</v>
      </c>
      <c r="P2383" s="7" t="str">
        <f ca="1">IFERROR(__xludf.DUMMYFUNCTION("GOOGLEFINANCE(""NSE:""&amp;D2383,""EPS"")"),"#N/A")</f>
        <v>#N/A</v>
      </c>
      <c r="Q2383" s="7">
        <v>13.5</v>
      </c>
      <c r="R2383" s="7" t="str">
        <f ca="1">IFERROR(__xludf.DUMMYFUNCTION("IMPORTXML(E2383,""/html/body/main/div[3]/div[3]/div[2]/ul/li[7]/span[2]/span"")"),"Loading...")</f>
        <v>Loading...</v>
      </c>
      <c r="S2383" s="7" t="str">
        <f ca="1">IFERROR(__xludf.DUMMYFUNCTION("IMPORTXML(E2383,""/html/body/main/div[3]/div[3]/div[2]/ul/li[8]/span[2]/span"")"),"Loading...")</f>
        <v>Loading...</v>
      </c>
      <c r="T2383" s="4">
        <v>34.6</v>
      </c>
      <c r="U2383" s="4">
        <v>22.7</v>
      </c>
      <c r="V2383" s="4">
        <v>2.6</v>
      </c>
      <c r="W2383" s="4">
        <v>5.7</v>
      </c>
      <c r="X2383" s="4">
        <v>519.92999999999995</v>
      </c>
      <c r="Y2383" s="7">
        <f t="shared" ca="1" si="49"/>
        <v>26.07000000000005</v>
      </c>
    </row>
    <row r="2384" spans="1:25" ht="15" x14ac:dyDescent="0.25">
      <c r="A2384" s="4">
        <v>2294</v>
      </c>
      <c r="C2384" s="41" t="s">
        <v>4632</v>
      </c>
      <c r="D2384" s="42"/>
      <c r="E2384" s="5" t="str">
        <f t="shared" si="45"/>
        <v>https://www.screener.in/company//consolidated/</v>
      </c>
      <c r="F2384" s="4">
        <v>443059</v>
      </c>
      <c r="G2384" s="4">
        <v>3832241897</v>
      </c>
      <c r="H2384" s="6" t="e">
        <f t="shared" ca="1" si="46"/>
        <v>#VALUE!</v>
      </c>
      <c r="I2384" s="7" t="str">
        <f ca="1">IFERROR(__xludf.DUMMYFUNCTION("IMPORTXML(E2384,""/html/body/main/div[3]/div[3]/div[2]/ul/li[5]/span[2]/span"")"),"Loading...")</f>
        <v>Loading...</v>
      </c>
      <c r="J2384" s="7" t="str">
        <f ca="1">IFERROR(__xludf.DUMMYFUNCTION("GOOGLEFINANCE(""NSE:""&amp;D2384,""marketcap"")"),"#N/A")</f>
        <v>#N/A</v>
      </c>
      <c r="K2384" s="7">
        <v>992.8</v>
      </c>
      <c r="L2384" s="8" t="str">
        <f ca="1">IFERROR(__xludf.DUMMYFUNCTION("GOOGLEFINANCE(""NSE:""&amp;D2384,""price"")"),"#N/A")</f>
        <v>#N/A</v>
      </c>
      <c r="M2384" s="9" t="e">
        <f t="shared" ca="1" si="47"/>
        <v>#VALUE!</v>
      </c>
      <c r="N2384" s="10" t="e">
        <f t="shared" ca="1" si="48"/>
        <v>#VALUE!</v>
      </c>
      <c r="O2384" s="7" t="str">
        <f ca="1">IFERROR(__xludf.DUMMYFUNCTION("GOOGLEFINANCE(""NSE:""&amp;D2384,""pe"")"),"#N/A")</f>
        <v>#N/A</v>
      </c>
      <c r="P2384" s="7" t="str">
        <f ca="1">IFERROR(__xludf.DUMMYFUNCTION("GOOGLEFINANCE(""NSE:""&amp;D2384,""EPS"")"),"#N/A")</f>
        <v>#N/A</v>
      </c>
      <c r="Q2384" s="7">
        <v>13.5</v>
      </c>
      <c r="R2384" s="7" t="str">
        <f ca="1">IFERROR(__xludf.DUMMYFUNCTION("IMPORTXML(E2384,""/html/body/main/div[3]/div[3]/div[2]/ul/li[7]/span[2]/span"")"),"Loading...")</f>
        <v>Loading...</v>
      </c>
      <c r="S2384" s="7" t="str">
        <f ca="1">IFERROR(__xludf.DUMMYFUNCTION("IMPORTXML(E2384,""/html/body/main/div[3]/div[3]/div[2]/ul/li[8]/span[2]/span"")"),"Loading...")</f>
        <v>Loading...</v>
      </c>
      <c r="T2384" s="4">
        <v>34.6</v>
      </c>
      <c r="U2384" s="4">
        <v>22.7</v>
      </c>
      <c r="V2384" s="4">
        <v>2.6</v>
      </c>
      <c r="W2384" s="4">
        <v>5.7</v>
      </c>
      <c r="X2384" s="4">
        <v>519.92999999999995</v>
      </c>
      <c r="Y2384" s="7" t="e">
        <f t="shared" ca="1" si="49"/>
        <v>#VALUE!</v>
      </c>
    </row>
    <row r="2385" spans="1:25" ht="15" x14ac:dyDescent="0.25">
      <c r="A2385" s="4">
        <v>2295</v>
      </c>
      <c r="C2385" s="41" t="s">
        <v>4633</v>
      </c>
      <c r="D2385" s="42"/>
      <c r="E2385" s="5" t="str">
        <f t="shared" si="45"/>
        <v>https://www.screener.in/company//consolidated/</v>
      </c>
      <c r="F2385" s="4">
        <v>443059</v>
      </c>
      <c r="G2385" s="4">
        <v>3832241897</v>
      </c>
      <c r="H2385" s="6" t="e">
        <f t="shared" ca="1" si="46"/>
        <v>#VALUE!</v>
      </c>
      <c r="I2385" s="7" t="str">
        <f ca="1">IFERROR(__xludf.DUMMYFUNCTION("IMPORTXML(E2385,""/html/body/main/div[3]/div[3]/div[2]/ul/li[5]/span[2]/span"")"),"Loading...")</f>
        <v>Loading...</v>
      </c>
      <c r="J2385" s="7" t="str">
        <f ca="1">IFERROR(__xludf.DUMMYFUNCTION("GOOGLEFINANCE(""NSE:""&amp;D2385,""marketcap"")"),"#N/A")</f>
        <v>#N/A</v>
      </c>
      <c r="K2385" s="7">
        <v>992.8</v>
      </c>
      <c r="L2385" s="8" t="str">
        <f ca="1">IFERROR(__xludf.DUMMYFUNCTION("GOOGLEFINANCE(""NSE:""&amp;D2385,""price"")"),"#N/A")</f>
        <v>#N/A</v>
      </c>
      <c r="M2385" s="9" t="e">
        <f t="shared" ca="1" si="47"/>
        <v>#VALUE!</v>
      </c>
      <c r="N2385" s="10" t="e">
        <f t="shared" ca="1" si="48"/>
        <v>#VALUE!</v>
      </c>
      <c r="O2385" s="7" t="str">
        <f ca="1">IFERROR(__xludf.DUMMYFUNCTION("GOOGLEFINANCE(""NSE:""&amp;D2385,""pe"")"),"#N/A")</f>
        <v>#N/A</v>
      </c>
      <c r="P2385" s="7" t="str">
        <f ca="1">IFERROR(__xludf.DUMMYFUNCTION("GOOGLEFINANCE(""NSE:""&amp;D2385,""EPS"")"),"#N/A")</f>
        <v>#N/A</v>
      </c>
      <c r="Q2385" s="7">
        <v>13.5</v>
      </c>
      <c r="R2385" s="7" t="str">
        <f ca="1">IFERROR(__xludf.DUMMYFUNCTION("IMPORTXML(E2385,""/html/body/main/div[3]/div[3]/div[2]/ul/li[7]/span[2]/span"")"),"Loading...")</f>
        <v>Loading...</v>
      </c>
      <c r="S2385" s="7" t="str">
        <f ca="1">IFERROR(__xludf.DUMMYFUNCTION("IMPORTXML(E2385,""/html/body/main/div[3]/div[3]/div[2]/ul/li[8]/span[2]/span"")"),"Loading...")</f>
        <v>Loading...</v>
      </c>
      <c r="T2385" s="4">
        <v>34.6</v>
      </c>
      <c r="U2385" s="4">
        <v>22.7</v>
      </c>
      <c r="V2385" s="4">
        <v>2.6</v>
      </c>
      <c r="W2385" s="4">
        <v>5.7</v>
      </c>
      <c r="X2385" s="4">
        <v>519.92999999999995</v>
      </c>
      <c r="Y2385" s="7" t="e">
        <f t="shared" ca="1" si="49"/>
        <v>#VALUE!</v>
      </c>
    </row>
    <row r="2386" spans="1:25" ht="15" x14ac:dyDescent="0.25">
      <c r="A2386" s="4">
        <v>2296</v>
      </c>
      <c r="C2386" s="41" t="s">
        <v>4634</v>
      </c>
      <c r="D2386" s="42"/>
      <c r="E2386" s="5" t="str">
        <f t="shared" si="45"/>
        <v>https://www.screener.in/company//consolidated/</v>
      </c>
      <c r="F2386" s="4">
        <v>443059</v>
      </c>
      <c r="G2386" s="4">
        <v>3832241897</v>
      </c>
      <c r="H2386" s="6" t="e">
        <f t="shared" ca="1" si="46"/>
        <v>#VALUE!</v>
      </c>
      <c r="I2386" s="7" t="str">
        <f ca="1">IFERROR(__xludf.DUMMYFUNCTION("IMPORTXML(E2386,""/html/body/main/div[3]/div[3]/div[2]/ul/li[5]/span[2]/span"")"),"Loading...")</f>
        <v>Loading...</v>
      </c>
      <c r="J2386" s="7" t="str">
        <f ca="1">IFERROR(__xludf.DUMMYFUNCTION("GOOGLEFINANCE(""NSE:""&amp;D2386,""marketcap"")"),"#N/A")</f>
        <v>#N/A</v>
      </c>
      <c r="K2386" s="7">
        <v>992.8</v>
      </c>
      <c r="L2386" s="8" t="str">
        <f ca="1">IFERROR(__xludf.DUMMYFUNCTION("GOOGLEFINANCE(""NSE:""&amp;D2386,""price"")"),"#N/A")</f>
        <v>#N/A</v>
      </c>
      <c r="M2386" s="9" t="e">
        <f t="shared" ca="1" si="47"/>
        <v>#VALUE!</v>
      </c>
      <c r="N2386" s="10" t="e">
        <f t="shared" ca="1" si="48"/>
        <v>#VALUE!</v>
      </c>
      <c r="O2386" s="7" t="str">
        <f ca="1">IFERROR(__xludf.DUMMYFUNCTION("GOOGLEFINANCE(""NSE:""&amp;D2386,""pe"")"),"#N/A")</f>
        <v>#N/A</v>
      </c>
      <c r="P2386" s="7" t="str">
        <f ca="1">IFERROR(__xludf.DUMMYFUNCTION("GOOGLEFINANCE(""NSE:""&amp;D2386,""EPS"")"),"#N/A")</f>
        <v>#N/A</v>
      </c>
      <c r="Q2386" s="7">
        <v>13.5</v>
      </c>
      <c r="R2386" s="7" t="str">
        <f ca="1">IFERROR(__xludf.DUMMYFUNCTION("IMPORTXML(E2386,""/html/body/main/div[3]/div[3]/div[2]/ul/li[7]/span[2]/span"")"),"Loading...")</f>
        <v>Loading...</v>
      </c>
      <c r="S2386" s="7" t="str">
        <f ca="1">IFERROR(__xludf.DUMMYFUNCTION("IMPORTXML(E2386,""/html/body/main/div[3]/div[3]/div[2]/ul/li[8]/span[2]/span"")"),"Loading...")</f>
        <v>Loading...</v>
      </c>
      <c r="T2386" s="4">
        <v>34.6</v>
      </c>
      <c r="U2386" s="4">
        <v>22.7</v>
      </c>
      <c r="V2386" s="4">
        <v>2.6</v>
      </c>
      <c r="W2386" s="4">
        <v>5.7</v>
      </c>
      <c r="X2386" s="4">
        <v>519.92999999999995</v>
      </c>
      <c r="Y2386" s="7" t="e">
        <f t="shared" ca="1" si="49"/>
        <v>#VALUE!</v>
      </c>
    </row>
    <row r="2387" spans="1:25" ht="15" x14ac:dyDescent="0.25">
      <c r="A2387" s="4">
        <v>2297</v>
      </c>
      <c r="C2387" s="41" t="s">
        <v>4635</v>
      </c>
      <c r="D2387" s="42"/>
      <c r="E2387" s="5" t="str">
        <f t="shared" si="45"/>
        <v>https://www.screener.in/company//consolidated/</v>
      </c>
      <c r="F2387" s="4">
        <v>443059</v>
      </c>
      <c r="G2387" s="4">
        <v>3832241897</v>
      </c>
      <c r="H2387" s="6" t="e">
        <f t="shared" ca="1" si="46"/>
        <v>#VALUE!</v>
      </c>
      <c r="I2387" s="7" t="str">
        <f ca="1">IFERROR(__xludf.DUMMYFUNCTION("IMPORTXML(E2387,""/html/body/main/div[3]/div[3]/div[2]/ul/li[5]/span[2]/span"")"),"Loading...")</f>
        <v>Loading...</v>
      </c>
      <c r="J2387" s="7" t="str">
        <f ca="1">IFERROR(__xludf.DUMMYFUNCTION("GOOGLEFINANCE(""NSE:""&amp;D2387,""marketcap"")"),"#N/A")</f>
        <v>#N/A</v>
      </c>
      <c r="K2387" s="7">
        <v>992.8</v>
      </c>
      <c r="L2387" s="8" t="str">
        <f ca="1">IFERROR(__xludf.DUMMYFUNCTION("GOOGLEFINANCE(""NSE:""&amp;D2387,""price"")"),"#N/A")</f>
        <v>#N/A</v>
      </c>
      <c r="M2387" s="9" t="e">
        <f t="shared" ca="1" si="47"/>
        <v>#VALUE!</v>
      </c>
      <c r="N2387" s="10" t="e">
        <f t="shared" ca="1" si="48"/>
        <v>#VALUE!</v>
      </c>
      <c r="O2387" s="7" t="str">
        <f ca="1">IFERROR(__xludf.DUMMYFUNCTION("GOOGLEFINANCE(""NSE:""&amp;D2387,""pe"")"),"#N/A")</f>
        <v>#N/A</v>
      </c>
      <c r="P2387" s="7" t="str">
        <f ca="1">IFERROR(__xludf.DUMMYFUNCTION("GOOGLEFINANCE(""NSE:""&amp;D2387,""EPS"")"),"#N/A")</f>
        <v>#N/A</v>
      </c>
      <c r="Q2387" s="7">
        <v>13.5</v>
      </c>
      <c r="R2387" s="7" t="str">
        <f ca="1">IFERROR(__xludf.DUMMYFUNCTION("IMPORTXML(E2387,""/html/body/main/div[3]/div[3]/div[2]/ul/li[7]/span[2]/span"")"),"Loading...")</f>
        <v>Loading...</v>
      </c>
      <c r="S2387" s="7" t="str">
        <f ca="1">IFERROR(__xludf.DUMMYFUNCTION("IMPORTXML(E2387,""/html/body/main/div[3]/div[3]/div[2]/ul/li[8]/span[2]/span"")"),"Loading...")</f>
        <v>Loading...</v>
      </c>
      <c r="T2387" s="4">
        <v>34.6</v>
      </c>
      <c r="U2387" s="4">
        <v>22.7</v>
      </c>
      <c r="V2387" s="4">
        <v>2.6</v>
      </c>
      <c r="W2387" s="4">
        <v>5.7</v>
      </c>
      <c r="X2387" s="4">
        <v>519.92999999999995</v>
      </c>
      <c r="Y2387" s="7" t="e">
        <f t="shared" ca="1" si="49"/>
        <v>#VALUE!</v>
      </c>
    </row>
    <row r="2388" spans="1:25" ht="15" x14ac:dyDescent="0.25">
      <c r="A2388" s="4">
        <v>2298</v>
      </c>
      <c r="C2388" s="41" t="s">
        <v>4636</v>
      </c>
      <c r="D2388" s="42"/>
      <c r="E2388" s="5" t="str">
        <f t="shared" si="45"/>
        <v>https://www.screener.in/company//consolidated/</v>
      </c>
      <c r="F2388" s="4">
        <v>443059</v>
      </c>
      <c r="G2388" s="4">
        <v>3832241897</v>
      </c>
      <c r="H2388" s="6" t="e">
        <f t="shared" ca="1" si="46"/>
        <v>#VALUE!</v>
      </c>
      <c r="I2388" s="7" t="str">
        <f ca="1">IFERROR(__xludf.DUMMYFUNCTION("IMPORTXML(E2388,""/html/body/main/div[3]/div[3]/div[2]/ul/li[5]/span[2]/span"")"),"Loading...")</f>
        <v>Loading...</v>
      </c>
      <c r="J2388" s="7" t="str">
        <f ca="1">IFERROR(__xludf.DUMMYFUNCTION("GOOGLEFINANCE(""NSE:""&amp;D2388,""marketcap"")"),"#N/A")</f>
        <v>#N/A</v>
      </c>
      <c r="K2388" s="7">
        <v>992.8</v>
      </c>
      <c r="L2388" s="8" t="str">
        <f ca="1">IFERROR(__xludf.DUMMYFUNCTION("GOOGLEFINANCE(""NSE:""&amp;D2388,""price"")"),"#N/A")</f>
        <v>#N/A</v>
      </c>
      <c r="M2388" s="9" t="e">
        <f t="shared" ca="1" si="47"/>
        <v>#VALUE!</v>
      </c>
      <c r="N2388" s="10" t="e">
        <f t="shared" ca="1" si="48"/>
        <v>#VALUE!</v>
      </c>
      <c r="O2388" s="7" t="str">
        <f ca="1">IFERROR(__xludf.DUMMYFUNCTION("GOOGLEFINANCE(""NSE:""&amp;D2388,""pe"")"),"#N/A")</f>
        <v>#N/A</v>
      </c>
      <c r="P2388" s="7" t="str">
        <f ca="1">IFERROR(__xludf.DUMMYFUNCTION("GOOGLEFINANCE(""NSE:""&amp;D2388,""EPS"")"),"#N/A")</f>
        <v>#N/A</v>
      </c>
      <c r="Q2388" s="7">
        <v>13.5</v>
      </c>
      <c r="R2388" s="7" t="str">
        <f ca="1">IFERROR(__xludf.DUMMYFUNCTION("IMPORTXML(E2388,""/html/body/main/div[3]/div[3]/div[2]/ul/li[7]/span[2]/span"")"),"Loading...")</f>
        <v>Loading...</v>
      </c>
      <c r="S2388" s="7" t="str">
        <f ca="1">IFERROR(__xludf.DUMMYFUNCTION("IMPORTXML(E2388,""/html/body/main/div[3]/div[3]/div[2]/ul/li[8]/span[2]/span"")"),"Loading...")</f>
        <v>Loading...</v>
      </c>
      <c r="T2388" s="4">
        <v>34.6</v>
      </c>
      <c r="U2388" s="4">
        <v>22.7</v>
      </c>
      <c r="V2388" s="4">
        <v>2.6</v>
      </c>
      <c r="W2388" s="4">
        <v>5.7</v>
      </c>
      <c r="X2388" s="4">
        <v>519.92999999999995</v>
      </c>
      <c r="Y2388" s="7" t="e">
        <f t="shared" ca="1" si="49"/>
        <v>#VALUE!</v>
      </c>
    </row>
    <row r="2389" spans="1:25" ht="15" x14ac:dyDescent="0.25">
      <c r="A2389" s="4">
        <v>2300</v>
      </c>
      <c r="C2389" s="41" t="s">
        <v>4637</v>
      </c>
      <c r="D2389" s="42"/>
      <c r="E2389" s="5" t="str">
        <f t="shared" si="45"/>
        <v>https://www.screener.in/company//consolidated/</v>
      </c>
      <c r="F2389" s="4">
        <v>443059</v>
      </c>
      <c r="G2389" s="4">
        <v>3832241897</v>
      </c>
      <c r="H2389" s="6" t="e">
        <f t="shared" ca="1" si="46"/>
        <v>#VALUE!</v>
      </c>
      <c r="I2389" s="7" t="str">
        <f ca="1">IFERROR(__xludf.DUMMYFUNCTION("IMPORTXML(E2389,""/html/body/main/div[3]/div[3]/div[2]/ul/li[5]/span[2]/span"")"),"Loading...")</f>
        <v>Loading...</v>
      </c>
      <c r="J2389" s="7" t="str">
        <f ca="1">IFERROR(__xludf.DUMMYFUNCTION("GOOGLEFINANCE(""NSE:""&amp;D2389,""marketcap"")"),"#N/A")</f>
        <v>#N/A</v>
      </c>
      <c r="K2389" s="7">
        <v>992.8</v>
      </c>
      <c r="L2389" s="8" t="str">
        <f ca="1">IFERROR(__xludf.DUMMYFUNCTION("GOOGLEFINANCE(""NSE:""&amp;D2389,""price"")"),"#N/A")</f>
        <v>#N/A</v>
      </c>
      <c r="M2389" s="9" t="e">
        <f t="shared" ca="1" si="47"/>
        <v>#VALUE!</v>
      </c>
      <c r="N2389" s="10" t="e">
        <f t="shared" ca="1" si="48"/>
        <v>#VALUE!</v>
      </c>
      <c r="O2389" s="7" t="str">
        <f ca="1">IFERROR(__xludf.DUMMYFUNCTION("GOOGLEFINANCE(""NSE:""&amp;D2389,""pe"")"),"#N/A")</f>
        <v>#N/A</v>
      </c>
      <c r="P2389" s="7" t="str">
        <f ca="1">IFERROR(__xludf.DUMMYFUNCTION("GOOGLEFINANCE(""NSE:""&amp;D2389,""EPS"")"),"#N/A")</f>
        <v>#N/A</v>
      </c>
      <c r="Q2389" s="7">
        <v>13.5</v>
      </c>
      <c r="R2389" s="7" t="str">
        <f ca="1">IFERROR(__xludf.DUMMYFUNCTION("IMPORTXML(E2389,""/html/body/main/div[3]/div[3]/div[2]/ul/li[7]/span[2]/span"")"),"Loading...")</f>
        <v>Loading...</v>
      </c>
      <c r="S2389" s="7" t="str">
        <f ca="1">IFERROR(__xludf.DUMMYFUNCTION("IMPORTXML(E2389,""/html/body/main/div[3]/div[3]/div[2]/ul/li[8]/span[2]/span"")"),"Loading...")</f>
        <v>Loading...</v>
      </c>
      <c r="T2389" s="4">
        <v>34.6</v>
      </c>
      <c r="U2389" s="4">
        <v>22.7</v>
      </c>
      <c r="V2389" s="4">
        <v>2.6</v>
      </c>
      <c r="W2389" s="4">
        <v>5.7</v>
      </c>
      <c r="X2389" s="4">
        <v>519.92999999999995</v>
      </c>
      <c r="Y2389" s="7" t="e">
        <f t="shared" ca="1" si="49"/>
        <v>#VALUE!</v>
      </c>
    </row>
    <row r="2390" spans="1:25" ht="15" x14ac:dyDescent="0.25">
      <c r="A2390" s="4">
        <v>2301</v>
      </c>
      <c r="C2390" s="41" t="s">
        <v>4638</v>
      </c>
      <c r="D2390" s="42"/>
      <c r="E2390" s="5" t="str">
        <f t="shared" si="45"/>
        <v>https://www.screener.in/company//consolidated/</v>
      </c>
      <c r="F2390" s="4">
        <v>443059</v>
      </c>
      <c r="G2390" s="4">
        <v>3832241897</v>
      </c>
      <c r="H2390" s="6" t="e">
        <f t="shared" ca="1" si="46"/>
        <v>#VALUE!</v>
      </c>
      <c r="I2390" s="7" t="str">
        <f ca="1">IFERROR(__xludf.DUMMYFUNCTION("IMPORTXML(E2390,""/html/body/main/div[3]/div[3]/div[2]/ul/li[5]/span[2]/span"")"),"Loading...")</f>
        <v>Loading...</v>
      </c>
      <c r="J2390" s="7" t="str">
        <f ca="1">IFERROR(__xludf.DUMMYFUNCTION("GOOGLEFINANCE(""NSE:""&amp;D2390,""marketcap"")"),"#N/A")</f>
        <v>#N/A</v>
      </c>
      <c r="K2390" s="7">
        <v>992.8</v>
      </c>
      <c r="L2390" s="8" t="str">
        <f ca="1">IFERROR(__xludf.DUMMYFUNCTION("GOOGLEFINANCE(""NSE:""&amp;D2390,""price"")"),"#N/A")</f>
        <v>#N/A</v>
      </c>
      <c r="M2390" s="9" t="e">
        <f t="shared" ca="1" si="47"/>
        <v>#VALUE!</v>
      </c>
      <c r="N2390" s="10" t="e">
        <f t="shared" ca="1" si="48"/>
        <v>#VALUE!</v>
      </c>
      <c r="O2390" s="7" t="str">
        <f ca="1">IFERROR(__xludf.DUMMYFUNCTION("GOOGLEFINANCE(""NSE:""&amp;D2390,""pe"")"),"#N/A")</f>
        <v>#N/A</v>
      </c>
      <c r="P2390" s="7" t="str">
        <f ca="1">IFERROR(__xludf.DUMMYFUNCTION("GOOGLEFINANCE(""NSE:""&amp;D2390,""EPS"")"),"#N/A")</f>
        <v>#N/A</v>
      </c>
      <c r="Q2390" s="7">
        <v>13.5</v>
      </c>
      <c r="R2390" s="7" t="str">
        <f ca="1">IFERROR(__xludf.DUMMYFUNCTION("IMPORTXML(E2390,""/html/body/main/div[3]/div[3]/div[2]/ul/li[7]/span[2]/span"")"),"Loading...")</f>
        <v>Loading...</v>
      </c>
      <c r="S2390" s="7" t="str">
        <f ca="1">IFERROR(__xludf.DUMMYFUNCTION("IMPORTXML(E2390,""/html/body/main/div[3]/div[3]/div[2]/ul/li[8]/span[2]/span"")"),"Loading...")</f>
        <v>Loading...</v>
      </c>
      <c r="T2390" s="4">
        <v>34.6</v>
      </c>
      <c r="U2390" s="4">
        <v>22.7</v>
      </c>
      <c r="V2390" s="4">
        <v>2.6</v>
      </c>
      <c r="W2390" s="4">
        <v>5.7</v>
      </c>
      <c r="X2390" s="4">
        <v>519.92999999999995</v>
      </c>
      <c r="Y2390" s="7" t="e">
        <f t="shared" ca="1" si="49"/>
        <v>#VALUE!</v>
      </c>
    </row>
    <row r="2391" spans="1:25" ht="15" x14ac:dyDescent="0.25">
      <c r="A2391" s="4">
        <v>2302</v>
      </c>
      <c r="C2391" s="41" t="s">
        <v>4639</v>
      </c>
      <c r="D2391" s="42"/>
      <c r="E2391" s="5" t="str">
        <f t="shared" si="45"/>
        <v>https://www.screener.in/company//consolidated/</v>
      </c>
      <c r="F2391" s="4">
        <v>443059</v>
      </c>
      <c r="G2391" s="4">
        <v>3832241897</v>
      </c>
      <c r="H2391" s="6" t="e">
        <f t="shared" ca="1" si="46"/>
        <v>#VALUE!</v>
      </c>
      <c r="I2391" s="7" t="str">
        <f ca="1">IFERROR(__xludf.DUMMYFUNCTION("IMPORTXML(E2391,""/html/body/main/div[3]/div[3]/div[2]/ul/li[5]/span[2]/span"")"),"Loading...")</f>
        <v>Loading...</v>
      </c>
      <c r="J2391" s="7" t="str">
        <f ca="1">IFERROR(__xludf.DUMMYFUNCTION("GOOGLEFINANCE(""NSE:""&amp;D2391,""marketcap"")"),"#N/A")</f>
        <v>#N/A</v>
      </c>
      <c r="K2391" s="7">
        <v>992.8</v>
      </c>
      <c r="L2391" s="8" t="str">
        <f ca="1">IFERROR(__xludf.DUMMYFUNCTION("GOOGLEFINANCE(""NSE:""&amp;D2391,""price"")"),"#N/A")</f>
        <v>#N/A</v>
      </c>
      <c r="M2391" s="9" t="e">
        <f t="shared" ca="1" si="47"/>
        <v>#VALUE!</v>
      </c>
      <c r="N2391" s="10" t="e">
        <f t="shared" ca="1" si="48"/>
        <v>#VALUE!</v>
      </c>
      <c r="O2391" s="7" t="str">
        <f ca="1">IFERROR(__xludf.DUMMYFUNCTION("GOOGLEFINANCE(""NSE:""&amp;D2391,""pe"")"),"#N/A")</f>
        <v>#N/A</v>
      </c>
      <c r="P2391" s="7" t="str">
        <f ca="1">IFERROR(__xludf.DUMMYFUNCTION("GOOGLEFINANCE(""NSE:""&amp;D2391,""EPS"")"),"#N/A")</f>
        <v>#N/A</v>
      </c>
      <c r="Q2391" s="7">
        <v>13.5</v>
      </c>
      <c r="R2391" s="7" t="str">
        <f ca="1">IFERROR(__xludf.DUMMYFUNCTION("IMPORTXML(E2391,""/html/body/main/div[3]/div[3]/div[2]/ul/li[7]/span[2]/span"")"),"Loading...")</f>
        <v>Loading...</v>
      </c>
      <c r="S2391" s="7" t="str">
        <f ca="1">IFERROR(__xludf.DUMMYFUNCTION("IMPORTXML(E2391,""/html/body/main/div[3]/div[3]/div[2]/ul/li[8]/span[2]/span"")"),"Loading...")</f>
        <v>Loading...</v>
      </c>
      <c r="T2391" s="4">
        <v>34.6</v>
      </c>
      <c r="U2391" s="4">
        <v>22.7</v>
      </c>
      <c r="V2391" s="4">
        <v>2.6</v>
      </c>
      <c r="W2391" s="4">
        <v>5.7</v>
      </c>
      <c r="X2391" s="4">
        <v>519.92999999999995</v>
      </c>
      <c r="Y2391" s="7" t="e">
        <f t="shared" ca="1" si="49"/>
        <v>#VALUE!</v>
      </c>
    </row>
    <row r="2392" spans="1:25" ht="15" x14ac:dyDescent="0.25">
      <c r="A2392" s="4">
        <v>2303</v>
      </c>
      <c r="C2392" s="41" t="s">
        <v>4640</v>
      </c>
      <c r="D2392" s="42"/>
      <c r="E2392" s="5" t="str">
        <f t="shared" si="45"/>
        <v>https://www.screener.in/company//consolidated/</v>
      </c>
      <c r="F2392" s="4">
        <v>443059</v>
      </c>
      <c r="G2392" s="4">
        <v>3832241897</v>
      </c>
      <c r="H2392" s="6" t="e">
        <f t="shared" ca="1" si="46"/>
        <v>#VALUE!</v>
      </c>
      <c r="I2392" s="7" t="str">
        <f ca="1">IFERROR(__xludf.DUMMYFUNCTION("IMPORTXML(E2392,""/html/body/main/div[3]/div[3]/div[2]/ul/li[5]/span[2]/span"")"),"Loading...")</f>
        <v>Loading...</v>
      </c>
      <c r="J2392" s="7" t="str">
        <f ca="1">IFERROR(__xludf.DUMMYFUNCTION("GOOGLEFINANCE(""NSE:""&amp;D2392,""marketcap"")"),"#N/A")</f>
        <v>#N/A</v>
      </c>
      <c r="K2392" s="7">
        <v>992.8</v>
      </c>
      <c r="L2392" s="8" t="str">
        <f ca="1">IFERROR(__xludf.DUMMYFUNCTION("GOOGLEFINANCE(""NSE:""&amp;D2392,""price"")"),"#N/A")</f>
        <v>#N/A</v>
      </c>
      <c r="M2392" s="9" t="e">
        <f t="shared" ca="1" si="47"/>
        <v>#VALUE!</v>
      </c>
      <c r="N2392" s="10" t="e">
        <f t="shared" ca="1" si="48"/>
        <v>#VALUE!</v>
      </c>
      <c r="O2392" s="7" t="str">
        <f ca="1">IFERROR(__xludf.DUMMYFUNCTION("GOOGLEFINANCE(""NSE:""&amp;D2392,""pe"")"),"#N/A")</f>
        <v>#N/A</v>
      </c>
      <c r="P2392" s="7" t="str">
        <f ca="1">IFERROR(__xludf.DUMMYFUNCTION("GOOGLEFINANCE(""NSE:""&amp;D2392,""EPS"")"),"#N/A")</f>
        <v>#N/A</v>
      </c>
      <c r="Q2392" s="7">
        <v>13.5</v>
      </c>
      <c r="R2392" s="7" t="str">
        <f ca="1">IFERROR(__xludf.DUMMYFUNCTION("IMPORTXML(E2392,""/html/body/main/div[3]/div[3]/div[2]/ul/li[7]/span[2]/span"")"),"Loading...")</f>
        <v>Loading...</v>
      </c>
      <c r="S2392" s="7" t="str">
        <f ca="1">IFERROR(__xludf.DUMMYFUNCTION("IMPORTXML(E2392,""/html/body/main/div[3]/div[3]/div[2]/ul/li[8]/span[2]/span"")"),"Loading...")</f>
        <v>Loading...</v>
      </c>
      <c r="T2392" s="4">
        <v>34.6</v>
      </c>
      <c r="U2392" s="4">
        <v>22.7</v>
      </c>
      <c r="V2392" s="4">
        <v>2.6</v>
      </c>
      <c r="W2392" s="4">
        <v>5.7</v>
      </c>
      <c r="X2392" s="4">
        <v>519.92999999999995</v>
      </c>
      <c r="Y2392" s="7" t="e">
        <f t="shared" ca="1" si="49"/>
        <v>#VALUE!</v>
      </c>
    </row>
    <row r="2393" spans="1:25" ht="15" x14ac:dyDescent="0.25">
      <c r="A2393" s="4">
        <v>2304</v>
      </c>
      <c r="C2393" s="41" t="s">
        <v>4641</v>
      </c>
      <c r="D2393" s="42"/>
      <c r="E2393" s="5" t="str">
        <f t="shared" si="45"/>
        <v>https://www.screener.in/company//consolidated/</v>
      </c>
      <c r="F2393" s="4">
        <v>443059</v>
      </c>
      <c r="G2393" s="4">
        <v>3832241897</v>
      </c>
      <c r="H2393" s="6" t="e">
        <f t="shared" ca="1" si="46"/>
        <v>#VALUE!</v>
      </c>
      <c r="I2393" s="7" t="str">
        <f ca="1">IFERROR(__xludf.DUMMYFUNCTION("IMPORTXML(E2393,""/html/body/main/div[3]/div[3]/div[2]/ul/li[5]/span[2]/span"")"),"Loading...")</f>
        <v>Loading...</v>
      </c>
      <c r="J2393" s="7" t="str">
        <f ca="1">IFERROR(__xludf.DUMMYFUNCTION("GOOGLEFINANCE(""NSE:""&amp;D2393,""marketcap"")"),"#N/A")</f>
        <v>#N/A</v>
      </c>
      <c r="K2393" s="7">
        <v>992.8</v>
      </c>
      <c r="L2393" s="8" t="str">
        <f ca="1">IFERROR(__xludf.DUMMYFUNCTION("GOOGLEFINANCE(""NSE:""&amp;D2393,""price"")"),"#N/A")</f>
        <v>#N/A</v>
      </c>
      <c r="M2393" s="9" t="e">
        <f t="shared" ca="1" si="47"/>
        <v>#VALUE!</v>
      </c>
      <c r="N2393" s="10" t="e">
        <f t="shared" ca="1" si="48"/>
        <v>#VALUE!</v>
      </c>
      <c r="O2393" s="7" t="str">
        <f ca="1">IFERROR(__xludf.DUMMYFUNCTION("GOOGLEFINANCE(""NSE:""&amp;D2393,""pe"")"),"#N/A")</f>
        <v>#N/A</v>
      </c>
      <c r="P2393" s="7" t="str">
        <f ca="1">IFERROR(__xludf.DUMMYFUNCTION("GOOGLEFINANCE(""NSE:""&amp;D2393,""EPS"")"),"#N/A")</f>
        <v>#N/A</v>
      </c>
      <c r="Q2393" s="7">
        <v>13.5</v>
      </c>
      <c r="R2393" s="7" t="str">
        <f ca="1">IFERROR(__xludf.DUMMYFUNCTION("IMPORTXML(E2393,""/html/body/main/div[3]/div[3]/div[2]/ul/li[7]/span[2]/span"")"),"Loading...")</f>
        <v>Loading...</v>
      </c>
      <c r="S2393" s="7" t="str">
        <f ca="1">IFERROR(__xludf.DUMMYFUNCTION("IMPORTXML(E2393,""/html/body/main/div[3]/div[3]/div[2]/ul/li[8]/span[2]/span"")"),"Loading...")</f>
        <v>Loading...</v>
      </c>
      <c r="T2393" s="4">
        <v>34.6</v>
      </c>
      <c r="U2393" s="4">
        <v>22.7</v>
      </c>
      <c r="V2393" s="4">
        <v>2.6</v>
      </c>
      <c r="W2393" s="4">
        <v>5.7</v>
      </c>
      <c r="X2393" s="4">
        <v>519.92999999999995</v>
      </c>
      <c r="Y2393" s="7" t="e">
        <f t="shared" ca="1" si="49"/>
        <v>#VALUE!</v>
      </c>
    </row>
    <row r="2394" spans="1:25" ht="15" x14ac:dyDescent="0.25">
      <c r="A2394" s="4">
        <v>2305</v>
      </c>
      <c r="C2394" s="12" t="s">
        <v>4642</v>
      </c>
      <c r="D2394" s="37"/>
      <c r="E2394" s="5" t="str">
        <f t="shared" si="45"/>
        <v>https://www.screener.in/company//consolidated/</v>
      </c>
      <c r="F2394" s="4">
        <v>443059</v>
      </c>
      <c r="G2394" s="4">
        <v>3832241897</v>
      </c>
      <c r="H2394" s="6" t="e">
        <f t="shared" ca="1" si="46"/>
        <v>#VALUE!</v>
      </c>
      <c r="I2394" s="7" t="str">
        <f ca="1">IFERROR(__xludf.DUMMYFUNCTION("IMPORTXML(E2394,""/html/body/main/div[3]/div[3]/div[2]/ul/li[5]/span[2]/span"")"),"Loading...")</f>
        <v>Loading...</v>
      </c>
      <c r="J2394" s="7" t="str">
        <f ca="1">IFERROR(__xludf.DUMMYFUNCTION("GOOGLEFINANCE(""NSE:""&amp;D2394,""marketcap"")"),"#N/A")</f>
        <v>#N/A</v>
      </c>
      <c r="K2394" s="7">
        <v>992.8</v>
      </c>
      <c r="L2394" s="8" t="str">
        <f ca="1">IFERROR(__xludf.DUMMYFUNCTION("GOOGLEFINANCE(""NSE:""&amp;D2394,""price"")"),"#N/A")</f>
        <v>#N/A</v>
      </c>
      <c r="M2394" s="9" t="e">
        <f t="shared" ca="1" si="47"/>
        <v>#VALUE!</v>
      </c>
      <c r="N2394" s="10" t="e">
        <f t="shared" ca="1" si="48"/>
        <v>#VALUE!</v>
      </c>
      <c r="O2394" s="7" t="str">
        <f ca="1">IFERROR(__xludf.DUMMYFUNCTION("GOOGLEFINANCE(""NSE:""&amp;D2394,""pe"")"),"#N/A")</f>
        <v>#N/A</v>
      </c>
      <c r="P2394" s="7" t="str">
        <f ca="1">IFERROR(__xludf.DUMMYFUNCTION("GOOGLEFINANCE(""NSE:""&amp;D2394,""EPS"")"),"#N/A")</f>
        <v>#N/A</v>
      </c>
      <c r="Q2394" s="7">
        <v>13.5</v>
      </c>
      <c r="R2394" s="7" t="str">
        <f ca="1">IFERROR(__xludf.DUMMYFUNCTION("IMPORTXML(E2394,""/html/body/main/div[3]/div[3]/div[2]/ul/li[7]/span[2]/span"")"),"Loading...")</f>
        <v>Loading...</v>
      </c>
      <c r="S2394" s="7" t="str">
        <f ca="1">IFERROR(__xludf.DUMMYFUNCTION("IMPORTXML(E2394,""/html/body/main/div[3]/div[3]/div[2]/ul/li[8]/span[2]/span"")"),"Loading...")</f>
        <v>Loading...</v>
      </c>
      <c r="T2394" s="4">
        <v>34.6</v>
      </c>
      <c r="U2394" s="4">
        <v>22.7</v>
      </c>
      <c r="V2394" s="4">
        <v>2.6</v>
      </c>
      <c r="W2394" s="4">
        <v>5.7</v>
      </c>
      <c r="X2394" s="4">
        <v>519.92999999999995</v>
      </c>
      <c r="Y2394" s="7" t="e">
        <f t="shared" ca="1" si="49"/>
        <v>#VALUE!</v>
      </c>
    </row>
    <row r="2395" spans="1:25" ht="15" x14ac:dyDescent="0.25">
      <c r="A2395" s="4">
        <v>2306</v>
      </c>
      <c r="C2395" s="41" t="s">
        <v>4643</v>
      </c>
      <c r="D2395" s="42"/>
      <c r="E2395" s="5" t="str">
        <f t="shared" si="45"/>
        <v>https://www.screener.in/company//consolidated/</v>
      </c>
      <c r="F2395" s="4">
        <v>443059</v>
      </c>
      <c r="G2395" s="4">
        <v>3832241897</v>
      </c>
      <c r="H2395" s="6" t="e">
        <f t="shared" ca="1" si="46"/>
        <v>#VALUE!</v>
      </c>
      <c r="I2395" s="7" t="str">
        <f ca="1">IFERROR(__xludf.DUMMYFUNCTION("IMPORTXML(E2395,""/html/body/main/div[3]/div[3]/div[2]/ul/li[5]/span[2]/span"")"),"Loading...")</f>
        <v>Loading...</v>
      </c>
      <c r="J2395" s="7" t="str">
        <f ca="1">IFERROR(__xludf.DUMMYFUNCTION("GOOGLEFINANCE(""NSE:""&amp;D2395,""marketcap"")"),"#N/A")</f>
        <v>#N/A</v>
      </c>
      <c r="K2395" s="7">
        <v>992.8</v>
      </c>
      <c r="L2395" s="8" t="str">
        <f ca="1">IFERROR(__xludf.DUMMYFUNCTION("GOOGLEFINANCE(""NSE:""&amp;D2395,""price"")"),"#N/A")</f>
        <v>#N/A</v>
      </c>
      <c r="M2395" s="9" t="e">
        <f t="shared" ca="1" si="47"/>
        <v>#VALUE!</v>
      </c>
      <c r="N2395" s="10" t="e">
        <f t="shared" ca="1" si="48"/>
        <v>#VALUE!</v>
      </c>
      <c r="O2395" s="7" t="str">
        <f ca="1">IFERROR(__xludf.DUMMYFUNCTION("GOOGLEFINANCE(""NSE:""&amp;D2395,""pe"")"),"#N/A")</f>
        <v>#N/A</v>
      </c>
      <c r="P2395" s="7" t="str">
        <f ca="1">IFERROR(__xludf.DUMMYFUNCTION("GOOGLEFINANCE(""NSE:""&amp;D2395,""EPS"")"),"#N/A")</f>
        <v>#N/A</v>
      </c>
      <c r="Q2395" s="7">
        <v>13.5</v>
      </c>
      <c r="R2395" s="7" t="str">
        <f ca="1">IFERROR(__xludf.DUMMYFUNCTION("IMPORTXML(E2395,""/html/body/main/div[3]/div[3]/div[2]/ul/li[7]/span[2]/span"")"),"Loading...")</f>
        <v>Loading...</v>
      </c>
      <c r="S2395" s="7" t="str">
        <f ca="1">IFERROR(__xludf.DUMMYFUNCTION("IMPORTXML(E2395,""/html/body/main/div[3]/div[3]/div[2]/ul/li[8]/span[2]/span"")"),"Loading...")</f>
        <v>Loading...</v>
      </c>
      <c r="T2395" s="4">
        <v>34.6</v>
      </c>
      <c r="U2395" s="4">
        <v>22.7</v>
      </c>
      <c r="V2395" s="4">
        <v>2.6</v>
      </c>
      <c r="W2395" s="4">
        <v>5.7</v>
      </c>
      <c r="X2395" s="4">
        <v>519.92999999999995</v>
      </c>
      <c r="Y2395" s="7" t="e">
        <f t="shared" ca="1" si="49"/>
        <v>#VALUE!</v>
      </c>
    </row>
    <row r="2396" spans="1:25" ht="15" x14ac:dyDescent="0.25">
      <c r="A2396" s="4">
        <v>2307</v>
      </c>
      <c r="C2396" s="41" t="s">
        <v>4644</v>
      </c>
      <c r="D2396" s="42"/>
      <c r="E2396" s="5" t="str">
        <f t="shared" si="45"/>
        <v>https://www.screener.in/company//consolidated/</v>
      </c>
      <c r="F2396" s="4">
        <v>443059</v>
      </c>
      <c r="G2396" s="4">
        <v>3832241897</v>
      </c>
      <c r="H2396" s="6" t="e">
        <f t="shared" ca="1" si="46"/>
        <v>#VALUE!</v>
      </c>
      <c r="I2396" s="7" t="str">
        <f ca="1">IFERROR(__xludf.DUMMYFUNCTION("IMPORTXML(E2396,""/html/body/main/div[3]/div[3]/div[2]/ul/li[5]/span[2]/span"")"),"Loading...")</f>
        <v>Loading...</v>
      </c>
      <c r="J2396" s="7" t="str">
        <f ca="1">IFERROR(__xludf.DUMMYFUNCTION("GOOGLEFINANCE(""NSE:""&amp;D2396,""marketcap"")"),"#N/A")</f>
        <v>#N/A</v>
      </c>
      <c r="K2396" s="7">
        <v>992.8</v>
      </c>
      <c r="L2396" s="8" t="str">
        <f ca="1">IFERROR(__xludf.DUMMYFUNCTION("GOOGLEFINANCE(""NSE:""&amp;D2396,""price"")"),"#N/A")</f>
        <v>#N/A</v>
      </c>
      <c r="M2396" s="9" t="e">
        <f t="shared" ca="1" si="47"/>
        <v>#VALUE!</v>
      </c>
      <c r="N2396" s="10" t="e">
        <f t="shared" ca="1" si="48"/>
        <v>#VALUE!</v>
      </c>
      <c r="O2396" s="7" t="str">
        <f ca="1">IFERROR(__xludf.DUMMYFUNCTION("GOOGLEFINANCE(""NSE:""&amp;D2396,""pe"")"),"#N/A")</f>
        <v>#N/A</v>
      </c>
      <c r="P2396" s="7" t="str">
        <f ca="1">IFERROR(__xludf.DUMMYFUNCTION("GOOGLEFINANCE(""NSE:""&amp;D2396,""EPS"")"),"#N/A")</f>
        <v>#N/A</v>
      </c>
      <c r="Q2396" s="7">
        <v>13.5</v>
      </c>
      <c r="R2396" s="7" t="str">
        <f ca="1">IFERROR(__xludf.DUMMYFUNCTION("IMPORTXML(E2396,""/html/body/main/div[3]/div[3]/div[2]/ul/li[7]/span[2]/span"")"),"Loading...")</f>
        <v>Loading...</v>
      </c>
      <c r="S2396" s="7" t="str">
        <f ca="1">IFERROR(__xludf.DUMMYFUNCTION("IMPORTXML(E2396,""/html/body/main/div[3]/div[3]/div[2]/ul/li[8]/span[2]/span"")"),"Loading...")</f>
        <v>Loading...</v>
      </c>
      <c r="T2396" s="4">
        <v>34.6</v>
      </c>
      <c r="U2396" s="4">
        <v>22.7</v>
      </c>
      <c r="V2396" s="4">
        <v>2.6</v>
      </c>
      <c r="W2396" s="4">
        <v>5.7</v>
      </c>
      <c r="X2396" s="4">
        <v>519.92999999999995</v>
      </c>
      <c r="Y2396" s="7" t="e">
        <f t="shared" ca="1" si="49"/>
        <v>#VALUE!</v>
      </c>
    </row>
    <row r="2397" spans="1:25" ht="15" x14ac:dyDescent="0.25">
      <c r="A2397" s="4">
        <v>2308</v>
      </c>
      <c r="C2397" s="41" t="s">
        <v>4645</v>
      </c>
      <c r="D2397" s="42"/>
      <c r="E2397" s="5" t="str">
        <f t="shared" si="45"/>
        <v>https://www.screener.in/company//consolidated/</v>
      </c>
      <c r="F2397" s="4">
        <v>443059</v>
      </c>
      <c r="G2397" s="4">
        <v>3832241897</v>
      </c>
      <c r="H2397" s="6" t="e">
        <f t="shared" ca="1" si="46"/>
        <v>#VALUE!</v>
      </c>
      <c r="I2397" s="7" t="str">
        <f ca="1">IFERROR(__xludf.DUMMYFUNCTION("IMPORTXML(E2397,""/html/body/main/div[3]/div[3]/div[2]/ul/li[5]/span[2]/span"")"),"Loading...")</f>
        <v>Loading...</v>
      </c>
      <c r="J2397" s="7" t="str">
        <f ca="1">IFERROR(__xludf.DUMMYFUNCTION("GOOGLEFINANCE(""NSE:""&amp;D2397,""marketcap"")"),"#N/A")</f>
        <v>#N/A</v>
      </c>
      <c r="K2397" s="7">
        <v>992.8</v>
      </c>
      <c r="L2397" s="8" t="str">
        <f ca="1">IFERROR(__xludf.DUMMYFUNCTION("GOOGLEFINANCE(""NSE:""&amp;D2397,""price"")"),"#N/A")</f>
        <v>#N/A</v>
      </c>
      <c r="M2397" s="9" t="e">
        <f t="shared" ca="1" si="47"/>
        <v>#VALUE!</v>
      </c>
      <c r="N2397" s="10" t="e">
        <f t="shared" ca="1" si="48"/>
        <v>#VALUE!</v>
      </c>
      <c r="O2397" s="7" t="str">
        <f ca="1">IFERROR(__xludf.DUMMYFUNCTION("GOOGLEFINANCE(""NSE:""&amp;D2397,""pe"")"),"#N/A")</f>
        <v>#N/A</v>
      </c>
      <c r="P2397" s="7" t="str">
        <f ca="1">IFERROR(__xludf.DUMMYFUNCTION("GOOGLEFINANCE(""NSE:""&amp;D2397,""EPS"")"),"#N/A")</f>
        <v>#N/A</v>
      </c>
      <c r="Q2397" s="7">
        <v>13.5</v>
      </c>
      <c r="R2397" s="7" t="str">
        <f ca="1">IFERROR(__xludf.DUMMYFUNCTION("IMPORTXML(E2397,""/html/body/main/div[3]/div[3]/div[2]/ul/li[7]/span[2]/span"")"),"Loading...")</f>
        <v>Loading...</v>
      </c>
      <c r="S2397" s="7" t="str">
        <f ca="1">IFERROR(__xludf.DUMMYFUNCTION("IMPORTXML(E2397,""/html/body/main/div[3]/div[3]/div[2]/ul/li[8]/span[2]/span"")"),"Loading...")</f>
        <v>Loading...</v>
      </c>
      <c r="T2397" s="4">
        <v>34.6</v>
      </c>
      <c r="U2397" s="4">
        <v>22.7</v>
      </c>
      <c r="V2397" s="4">
        <v>2.6</v>
      </c>
      <c r="W2397" s="4">
        <v>5.7</v>
      </c>
      <c r="X2397" s="4">
        <v>519.92999999999995</v>
      </c>
      <c r="Y2397" s="7" t="e">
        <f t="shared" ca="1" si="49"/>
        <v>#VALUE!</v>
      </c>
    </row>
    <row r="2398" spans="1:25" ht="15" x14ac:dyDescent="0.25">
      <c r="A2398" s="4">
        <v>2310</v>
      </c>
      <c r="C2398" s="41" t="s">
        <v>4646</v>
      </c>
      <c r="D2398" s="42"/>
      <c r="E2398" s="5" t="str">
        <f t="shared" si="45"/>
        <v>https://www.screener.in/company//consolidated/</v>
      </c>
      <c r="F2398" s="4">
        <v>443059</v>
      </c>
      <c r="G2398" s="4">
        <v>3832241897</v>
      </c>
      <c r="H2398" s="6" t="e">
        <f t="shared" ca="1" si="46"/>
        <v>#VALUE!</v>
      </c>
      <c r="I2398" s="7" t="str">
        <f ca="1">IFERROR(__xludf.DUMMYFUNCTION("IMPORTXML(E2398,""/html/body/main/div[3]/div[3]/div[2]/ul/li[5]/span[2]/span"")"),"Loading...")</f>
        <v>Loading...</v>
      </c>
      <c r="J2398" s="7" t="str">
        <f ca="1">IFERROR(__xludf.DUMMYFUNCTION("GOOGLEFINANCE(""NSE:""&amp;D2398,""marketcap"")"),"#N/A")</f>
        <v>#N/A</v>
      </c>
      <c r="K2398" s="7">
        <v>992.8</v>
      </c>
      <c r="L2398" s="8" t="str">
        <f ca="1">IFERROR(__xludf.DUMMYFUNCTION("GOOGLEFINANCE(""NSE:""&amp;D2398,""price"")"),"#N/A")</f>
        <v>#N/A</v>
      </c>
      <c r="M2398" s="9" t="e">
        <f t="shared" ca="1" si="47"/>
        <v>#VALUE!</v>
      </c>
      <c r="N2398" s="10" t="e">
        <f t="shared" ca="1" si="48"/>
        <v>#VALUE!</v>
      </c>
      <c r="O2398" s="7" t="str">
        <f ca="1">IFERROR(__xludf.DUMMYFUNCTION("GOOGLEFINANCE(""NSE:""&amp;D2398,""pe"")"),"#N/A")</f>
        <v>#N/A</v>
      </c>
      <c r="P2398" s="7" t="str">
        <f ca="1">IFERROR(__xludf.DUMMYFUNCTION("GOOGLEFINANCE(""NSE:""&amp;D2398,""EPS"")"),"#N/A")</f>
        <v>#N/A</v>
      </c>
      <c r="Q2398" s="7">
        <v>13.5</v>
      </c>
      <c r="R2398" s="7" t="str">
        <f ca="1">IFERROR(__xludf.DUMMYFUNCTION("IMPORTXML(E2398,""/html/body/main/div[3]/div[3]/div[2]/ul/li[7]/span[2]/span"")"),"Loading...")</f>
        <v>Loading...</v>
      </c>
      <c r="S2398" s="7" t="str">
        <f ca="1">IFERROR(__xludf.DUMMYFUNCTION("IMPORTXML(E2398,""/html/body/main/div[3]/div[3]/div[2]/ul/li[8]/span[2]/span"")"),"Loading...")</f>
        <v>Loading...</v>
      </c>
      <c r="T2398" s="4">
        <v>34.6</v>
      </c>
      <c r="U2398" s="4">
        <v>22.7</v>
      </c>
      <c r="V2398" s="4">
        <v>2.6</v>
      </c>
      <c r="W2398" s="4">
        <v>5.7</v>
      </c>
      <c r="X2398" s="4">
        <v>519.92999999999995</v>
      </c>
      <c r="Y2398" s="7" t="e">
        <f t="shared" ca="1" si="49"/>
        <v>#VALUE!</v>
      </c>
    </row>
    <row r="2399" spans="1:25" ht="15" x14ac:dyDescent="0.25">
      <c r="A2399" s="4">
        <v>2311</v>
      </c>
      <c r="C2399" s="41" t="s">
        <v>4647</v>
      </c>
      <c r="D2399" s="42"/>
      <c r="E2399" s="5" t="str">
        <f t="shared" si="45"/>
        <v>https://www.screener.in/company//consolidated/</v>
      </c>
      <c r="F2399" s="4">
        <v>443059</v>
      </c>
      <c r="G2399" s="4">
        <v>3832241897</v>
      </c>
      <c r="H2399" s="6" t="e">
        <f t="shared" ca="1" si="46"/>
        <v>#VALUE!</v>
      </c>
      <c r="I2399" s="7" t="str">
        <f ca="1">IFERROR(__xludf.DUMMYFUNCTION("IMPORTXML(E2399,""/html/body/main/div[3]/div[3]/div[2]/ul/li[5]/span[2]/span"")"),"Loading...")</f>
        <v>Loading...</v>
      </c>
      <c r="J2399" s="7" t="str">
        <f ca="1">IFERROR(__xludf.DUMMYFUNCTION("GOOGLEFINANCE(""NSE:""&amp;D2399,""marketcap"")"),"#N/A")</f>
        <v>#N/A</v>
      </c>
      <c r="K2399" s="7">
        <v>992.8</v>
      </c>
      <c r="L2399" s="8" t="str">
        <f ca="1">IFERROR(__xludf.DUMMYFUNCTION("GOOGLEFINANCE(""NSE:""&amp;D2399,""price"")"),"#N/A")</f>
        <v>#N/A</v>
      </c>
      <c r="M2399" s="9" t="e">
        <f t="shared" ca="1" si="47"/>
        <v>#VALUE!</v>
      </c>
      <c r="N2399" s="10" t="e">
        <f t="shared" ca="1" si="48"/>
        <v>#VALUE!</v>
      </c>
      <c r="O2399" s="7" t="str">
        <f ca="1">IFERROR(__xludf.DUMMYFUNCTION("GOOGLEFINANCE(""NSE:""&amp;D2399,""pe"")"),"#N/A")</f>
        <v>#N/A</v>
      </c>
      <c r="P2399" s="7" t="str">
        <f ca="1">IFERROR(__xludf.DUMMYFUNCTION("GOOGLEFINANCE(""NSE:""&amp;D2399,""EPS"")"),"#N/A")</f>
        <v>#N/A</v>
      </c>
      <c r="Q2399" s="7">
        <v>13.5</v>
      </c>
      <c r="R2399" s="7" t="str">
        <f ca="1">IFERROR(__xludf.DUMMYFUNCTION("IMPORTXML(E2399,""/html/body/main/div[3]/div[3]/div[2]/ul/li[7]/span[2]/span"")"),"Loading...")</f>
        <v>Loading...</v>
      </c>
      <c r="S2399" s="7" t="str">
        <f ca="1">IFERROR(__xludf.DUMMYFUNCTION("IMPORTXML(E2399,""/html/body/main/div[3]/div[3]/div[2]/ul/li[8]/span[2]/span"")"),"Loading...")</f>
        <v>Loading...</v>
      </c>
      <c r="T2399" s="4">
        <v>34.6</v>
      </c>
      <c r="U2399" s="4">
        <v>22.7</v>
      </c>
      <c r="V2399" s="4">
        <v>2.6</v>
      </c>
      <c r="W2399" s="4">
        <v>5.7</v>
      </c>
      <c r="X2399" s="4">
        <v>519.92999999999995</v>
      </c>
      <c r="Y2399" s="7" t="e">
        <f t="shared" ca="1" si="49"/>
        <v>#VALUE!</v>
      </c>
    </row>
    <row r="2400" spans="1:25" ht="15" x14ac:dyDescent="0.25">
      <c r="A2400" s="4">
        <v>2312</v>
      </c>
      <c r="C2400" s="12" t="s">
        <v>4648</v>
      </c>
      <c r="D2400" s="12" t="s">
        <v>4649</v>
      </c>
      <c r="E2400" s="5" t="str">
        <f t="shared" si="45"/>
        <v>https://www.screener.in/company/ZENITHSTL/consolidated/</v>
      </c>
      <c r="F2400" s="4">
        <v>443059</v>
      </c>
      <c r="G2400" s="4">
        <v>3832241897</v>
      </c>
      <c r="H2400" s="6">
        <f t="shared" ca="1" si="46"/>
        <v>2901.0071160289999</v>
      </c>
      <c r="I2400" s="7" t="str">
        <f ca="1">IFERROR(__xludf.DUMMYFUNCTION("IMPORTXML(E2400,""/html/body/main/div[3]/div[3]/div[2]/ul/li[5]/span[2]/span"")"),"Loading...")</f>
        <v>Loading...</v>
      </c>
      <c r="J2400" s="7">
        <f ca="1">IFERROR(__xludf.DUMMYFUNCTION("GOOGLEFINANCE(""NSE:""&amp;D2400,""marketcap"")"),1084177000)</f>
        <v>1084177000</v>
      </c>
      <c r="K2400" s="7">
        <v>992.8</v>
      </c>
      <c r="L2400" s="8">
        <f ca="1">IFERROR(__xludf.DUMMYFUNCTION("GOOGLEFINANCE(""NSE:""&amp;D2400,""price"")"),7.57)</f>
        <v>7.57</v>
      </c>
      <c r="M2400" s="9">
        <f t="shared" ca="1" si="47"/>
        <v>-985.2299999999999</v>
      </c>
      <c r="N2400" s="10">
        <f t="shared" ca="1" si="48"/>
        <v>-99.237510072522156</v>
      </c>
      <c r="O2400" s="7" t="str">
        <f ca="1">IFERROR(__xludf.DUMMYFUNCTION("GOOGLEFINANCE(""NSE:""&amp;D2400,""pe"")"),"#N/A")</f>
        <v>#N/A</v>
      </c>
      <c r="P2400" s="7">
        <f ca="1">IFERROR(__xludf.DUMMYFUNCTION("GOOGLEFINANCE(""NSE:""&amp;D2400,""EPS"")"),-2.16)</f>
        <v>-2.16</v>
      </c>
      <c r="Q2400" s="7">
        <v>13.5</v>
      </c>
      <c r="R2400" s="7" t="str">
        <f ca="1">IFERROR(__xludf.DUMMYFUNCTION("IMPORTXML(E2400,""/html/body/main/div[3]/div[3]/div[2]/ul/li[7]/span[2]/span"")"),"Loading...")</f>
        <v>Loading...</v>
      </c>
      <c r="S2400" s="7" t="str">
        <f ca="1">IFERROR(__xludf.DUMMYFUNCTION("IMPORTXML(E2400,""/html/body/main/div[3]/div[3]/div[2]/ul/li[8]/span[2]/span"")"),"Loading...")</f>
        <v>Loading...</v>
      </c>
      <c r="T2400" s="4">
        <v>34.6</v>
      </c>
      <c r="U2400" s="4">
        <v>22.7</v>
      </c>
      <c r="V2400" s="4">
        <v>2.6</v>
      </c>
      <c r="W2400" s="4">
        <v>5.7</v>
      </c>
      <c r="X2400" s="4">
        <v>519.92999999999995</v>
      </c>
      <c r="Y2400" s="7">
        <f t="shared" ca="1" si="49"/>
        <v>-512.3599999999999</v>
      </c>
    </row>
    <row r="2401" spans="1:25" ht="15" x14ac:dyDescent="0.25">
      <c r="A2401" s="4">
        <v>2314</v>
      </c>
      <c r="C2401" s="41" t="s">
        <v>4650</v>
      </c>
      <c r="D2401" s="42"/>
      <c r="E2401" s="5" t="str">
        <f t="shared" si="45"/>
        <v>https://www.screener.in/company//consolidated/</v>
      </c>
      <c r="F2401" s="4">
        <v>443059</v>
      </c>
      <c r="G2401" s="4">
        <v>3832241897</v>
      </c>
      <c r="H2401" s="6" t="e">
        <f t="shared" ca="1" si="46"/>
        <v>#VALUE!</v>
      </c>
      <c r="I2401" s="7" t="str">
        <f ca="1">IFERROR(__xludf.DUMMYFUNCTION("IMPORTXML(E2401,""/html/body/main/div[3]/div[3]/div[2]/ul/li[5]/span[2]/span"")"),"Loading...")</f>
        <v>Loading...</v>
      </c>
      <c r="J2401" s="7" t="str">
        <f ca="1">IFERROR(__xludf.DUMMYFUNCTION("GOOGLEFINANCE(""NSE:""&amp;D2401,""marketcap"")"),"#N/A")</f>
        <v>#N/A</v>
      </c>
      <c r="K2401" s="7">
        <v>992.8</v>
      </c>
      <c r="L2401" s="8" t="str">
        <f ca="1">IFERROR(__xludf.DUMMYFUNCTION("GOOGLEFINANCE(""NSE:""&amp;D2401,""price"")"),"#N/A")</f>
        <v>#N/A</v>
      </c>
      <c r="M2401" s="9" t="e">
        <f t="shared" ca="1" si="47"/>
        <v>#VALUE!</v>
      </c>
      <c r="N2401" s="10" t="e">
        <f t="shared" ca="1" si="48"/>
        <v>#VALUE!</v>
      </c>
      <c r="O2401" s="7" t="str">
        <f ca="1">IFERROR(__xludf.DUMMYFUNCTION("GOOGLEFINANCE(""NSE:""&amp;D2401,""pe"")"),"#N/A")</f>
        <v>#N/A</v>
      </c>
      <c r="P2401" s="7" t="str">
        <f ca="1">IFERROR(__xludf.DUMMYFUNCTION("GOOGLEFINANCE(""NSE:""&amp;D2401,""EPS"")"),"#N/A")</f>
        <v>#N/A</v>
      </c>
      <c r="Q2401" s="7">
        <v>13.5</v>
      </c>
      <c r="R2401" s="7" t="str">
        <f ca="1">IFERROR(__xludf.DUMMYFUNCTION("IMPORTXML(E2401,""/html/body/main/div[3]/div[3]/div[2]/ul/li[7]/span[2]/span"")"),"Loading...")</f>
        <v>Loading...</v>
      </c>
      <c r="S2401" s="7" t="str">
        <f ca="1">IFERROR(__xludf.DUMMYFUNCTION("IMPORTXML(E2401,""/html/body/main/div[3]/div[3]/div[2]/ul/li[8]/span[2]/span"")"),"Loading...")</f>
        <v>Loading...</v>
      </c>
      <c r="T2401" s="4">
        <v>34.6</v>
      </c>
      <c r="U2401" s="4">
        <v>22.7</v>
      </c>
      <c r="V2401" s="4">
        <v>2.6</v>
      </c>
      <c r="W2401" s="4">
        <v>5.7</v>
      </c>
      <c r="X2401" s="4">
        <v>519.92999999999995</v>
      </c>
      <c r="Y2401" s="7" t="e">
        <f t="shared" ca="1" si="49"/>
        <v>#VALUE!</v>
      </c>
    </row>
    <row r="2402" spans="1:25" ht="15" x14ac:dyDescent="0.25">
      <c r="A2402" s="4">
        <v>2315</v>
      </c>
      <c r="C2402" s="41" t="s">
        <v>4651</v>
      </c>
      <c r="D2402" s="42"/>
      <c r="E2402" s="5" t="str">
        <f t="shared" si="45"/>
        <v>https://www.screener.in/company//consolidated/</v>
      </c>
      <c r="F2402" s="4">
        <v>443059</v>
      </c>
      <c r="G2402" s="4">
        <v>3832241897</v>
      </c>
      <c r="H2402" s="6" t="e">
        <f t="shared" ca="1" si="46"/>
        <v>#VALUE!</v>
      </c>
      <c r="I2402" s="7" t="str">
        <f ca="1">IFERROR(__xludf.DUMMYFUNCTION("IMPORTXML(E2402,""/html/body/main/div[3]/div[3]/div[2]/ul/li[5]/span[2]/span"")"),"Loading...")</f>
        <v>Loading...</v>
      </c>
      <c r="J2402" s="7" t="str">
        <f ca="1">IFERROR(__xludf.DUMMYFUNCTION("GOOGLEFINANCE(""NSE:""&amp;D2402,""marketcap"")"),"#N/A")</f>
        <v>#N/A</v>
      </c>
      <c r="K2402" s="7">
        <v>992.8</v>
      </c>
      <c r="L2402" s="8" t="str">
        <f ca="1">IFERROR(__xludf.DUMMYFUNCTION("GOOGLEFINANCE(""NSE:""&amp;D2402,""price"")"),"#N/A")</f>
        <v>#N/A</v>
      </c>
      <c r="M2402" s="9" t="e">
        <f t="shared" ca="1" si="47"/>
        <v>#VALUE!</v>
      </c>
      <c r="N2402" s="10" t="e">
        <f t="shared" ca="1" si="48"/>
        <v>#VALUE!</v>
      </c>
      <c r="O2402" s="7" t="str">
        <f ca="1">IFERROR(__xludf.DUMMYFUNCTION("GOOGLEFINANCE(""NSE:""&amp;D2402,""pe"")"),"#N/A")</f>
        <v>#N/A</v>
      </c>
      <c r="P2402" s="7" t="str">
        <f ca="1">IFERROR(__xludf.DUMMYFUNCTION("GOOGLEFINANCE(""NSE:""&amp;D2402,""EPS"")"),"#N/A")</f>
        <v>#N/A</v>
      </c>
      <c r="Q2402" s="7">
        <v>13.5</v>
      </c>
      <c r="R2402" s="7" t="str">
        <f ca="1">IFERROR(__xludf.DUMMYFUNCTION("IMPORTXML(E2402,""/html/body/main/div[3]/div[3]/div[2]/ul/li[7]/span[2]/span"")"),"Loading...")</f>
        <v>Loading...</v>
      </c>
      <c r="S2402" s="7" t="str">
        <f ca="1">IFERROR(__xludf.DUMMYFUNCTION("IMPORTXML(E2402,""/html/body/main/div[3]/div[3]/div[2]/ul/li[8]/span[2]/span"")"),"Loading...")</f>
        <v>Loading...</v>
      </c>
      <c r="T2402" s="4">
        <v>34.6</v>
      </c>
      <c r="U2402" s="4">
        <v>22.7</v>
      </c>
      <c r="V2402" s="4">
        <v>2.6</v>
      </c>
      <c r="W2402" s="4">
        <v>5.7</v>
      </c>
      <c r="X2402" s="4">
        <v>519.92999999999995</v>
      </c>
      <c r="Y2402" s="7" t="e">
        <f t="shared" ca="1" si="49"/>
        <v>#VALUE!</v>
      </c>
    </row>
    <row r="2403" spans="1:25" ht="15" x14ac:dyDescent="0.25">
      <c r="A2403" s="4">
        <v>2316</v>
      </c>
      <c r="C2403" s="41" t="s">
        <v>4652</v>
      </c>
      <c r="D2403" s="42"/>
      <c r="E2403" s="5" t="str">
        <f t="shared" si="45"/>
        <v>https://www.screener.in/company//consolidated/</v>
      </c>
      <c r="F2403" s="4">
        <v>443059</v>
      </c>
      <c r="G2403" s="4">
        <v>3832241897</v>
      </c>
      <c r="H2403" s="6" t="e">
        <f t="shared" ca="1" si="46"/>
        <v>#VALUE!</v>
      </c>
      <c r="I2403" s="7" t="str">
        <f ca="1">IFERROR(__xludf.DUMMYFUNCTION("IMPORTXML(E2403,""/html/body/main/div[3]/div[3]/div[2]/ul/li[5]/span[2]/span"")"),"Loading...")</f>
        <v>Loading...</v>
      </c>
      <c r="J2403" s="7" t="str">
        <f ca="1">IFERROR(__xludf.DUMMYFUNCTION("GOOGLEFINANCE(""NSE:""&amp;D2403,""marketcap"")"),"#N/A")</f>
        <v>#N/A</v>
      </c>
      <c r="K2403" s="7">
        <v>992.8</v>
      </c>
      <c r="L2403" s="8" t="str">
        <f ca="1">IFERROR(__xludf.DUMMYFUNCTION("GOOGLEFINANCE(""NSE:""&amp;D2403,""price"")"),"#N/A")</f>
        <v>#N/A</v>
      </c>
      <c r="M2403" s="9" t="e">
        <f t="shared" ca="1" si="47"/>
        <v>#VALUE!</v>
      </c>
      <c r="N2403" s="10" t="e">
        <f t="shared" ca="1" si="48"/>
        <v>#VALUE!</v>
      </c>
      <c r="O2403" s="7" t="str">
        <f ca="1">IFERROR(__xludf.DUMMYFUNCTION("GOOGLEFINANCE(""NSE:""&amp;D2403,""pe"")"),"#N/A")</f>
        <v>#N/A</v>
      </c>
      <c r="P2403" s="7" t="str">
        <f ca="1">IFERROR(__xludf.DUMMYFUNCTION("GOOGLEFINANCE(""NSE:""&amp;D2403,""EPS"")"),"#N/A")</f>
        <v>#N/A</v>
      </c>
      <c r="Q2403" s="7">
        <v>13.5</v>
      </c>
      <c r="R2403" s="7" t="str">
        <f ca="1">IFERROR(__xludf.DUMMYFUNCTION("IMPORTXML(E2403,""/html/body/main/div[3]/div[3]/div[2]/ul/li[7]/span[2]/span"")"),"Loading...")</f>
        <v>Loading...</v>
      </c>
      <c r="S2403" s="7" t="str">
        <f ca="1">IFERROR(__xludf.DUMMYFUNCTION("IMPORTXML(E2403,""/html/body/main/div[3]/div[3]/div[2]/ul/li[8]/span[2]/span"")"),"Loading...")</f>
        <v>Loading...</v>
      </c>
      <c r="T2403" s="4">
        <v>34.6</v>
      </c>
      <c r="U2403" s="4">
        <v>22.7</v>
      </c>
      <c r="V2403" s="4">
        <v>2.6</v>
      </c>
      <c r="W2403" s="4">
        <v>5.7</v>
      </c>
      <c r="X2403" s="4">
        <v>519.92999999999995</v>
      </c>
      <c r="Y2403" s="7" t="e">
        <f t="shared" ca="1" si="49"/>
        <v>#VALUE!</v>
      </c>
    </row>
    <row r="2404" spans="1:25" ht="15" x14ac:dyDescent="0.25">
      <c r="A2404" s="4">
        <v>2317</v>
      </c>
      <c r="C2404" s="12" t="s">
        <v>4653</v>
      </c>
      <c r="D2404" s="37"/>
      <c r="E2404" s="5" t="str">
        <f t="shared" si="45"/>
        <v>https://www.screener.in/company//consolidated/</v>
      </c>
      <c r="F2404" s="4">
        <v>443059</v>
      </c>
      <c r="G2404" s="4">
        <v>3832241897</v>
      </c>
      <c r="H2404" s="6" t="e">
        <f t="shared" ca="1" si="46"/>
        <v>#VALUE!</v>
      </c>
      <c r="I2404" s="7" t="str">
        <f ca="1">IFERROR(__xludf.DUMMYFUNCTION("IMPORTXML(E2404,""/html/body/main/div[3]/div[3]/div[2]/ul/li[5]/span[2]/span"")"),"Loading...")</f>
        <v>Loading...</v>
      </c>
      <c r="J2404" s="7" t="str">
        <f ca="1">IFERROR(__xludf.DUMMYFUNCTION("GOOGLEFINANCE(""NSE:""&amp;D2404,""marketcap"")"),"#N/A")</f>
        <v>#N/A</v>
      </c>
      <c r="K2404" s="7">
        <v>992.8</v>
      </c>
      <c r="L2404" s="8" t="str">
        <f ca="1">IFERROR(__xludf.DUMMYFUNCTION("GOOGLEFINANCE(""NSE:""&amp;D2404,""price"")"),"#N/A")</f>
        <v>#N/A</v>
      </c>
      <c r="M2404" s="9" t="e">
        <f t="shared" ca="1" si="47"/>
        <v>#VALUE!</v>
      </c>
      <c r="N2404" s="10" t="e">
        <f t="shared" ca="1" si="48"/>
        <v>#VALUE!</v>
      </c>
      <c r="O2404" s="7" t="str">
        <f ca="1">IFERROR(__xludf.DUMMYFUNCTION("GOOGLEFINANCE(""NSE:""&amp;D2404,""pe"")"),"#N/A")</f>
        <v>#N/A</v>
      </c>
      <c r="P2404" s="7" t="str">
        <f ca="1">IFERROR(__xludf.DUMMYFUNCTION("GOOGLEFINANCE(""NSE:""&amp;D2404,""EPS"")"),"#N/A")</f>
        <v>#N/A</v>
      </c>
      <c r="Q2404" s="7">
        <v>13.5</v>
      </c>
      <c r="R2404" s="7" t="str">
        <f ca="1">IFERROR(__xludf.DUMMYFUNCTION("IMPORTXML(E2404,""/html/body/main/div[3]/div[3]/div[2]/ul/li[7]/span[2]/span"")"),"Loading...")</f>
        <v>Loading...</v>
      </c>
      <c r="S2404" s="7" t="str">
        <f ca="1">IFERROR(__xludf.DUMMYFUNCTION("IMPORTXML(E2404,""/html/body/main/div[3]/div[3]/div[2]/ul/li[8]/span[2]/span"")"),"Loading...")</f>
        <v>Loading...</v>
      </c>
      <c r="T2404" s="4">
        <v>34.6</v>
      </c>
      <c r="U2404" s="4">
        <v>22.7</v>
      </c>
      <c r="V2404" s="4">
        <v>2.6</v>
      </c>
      <c r="W2404" s="4">
        <v>5.7</v>
      </c>
      <c r="X2404" s="4">
        <v>519.92999999999995</v>
      </c>
      <c r="Y2404" s="7" t="e">
        <f t="shared" ca="1" si="49"/>
        <v>#VALUE!</v>
      </c>
    </row>
    <row r="2405" spans="1:25" ht="15" x14ac:dyDescent="0.25">
      <c r="A2405" s="4">
        <v>2318</v>
      </c>
      <c r="C2405" s="41" t="s">
        <v>4654</v>
      </c>
      <c r="D2405" s="42"/>
      <c r="E2405" s="5" t="str">
        <f t="shared" si="45"/>
        <v>https://www.screener.in/company//consolidated/</v>
      </c>
      <c r="F2405" s="4">
        <v>443059</v>
      </c>
      <c r="G2405" s="4">
        <v>3832241897</v>
      </c>
      <c r="H2405" s="6" t="e">
        <f t="shared" ca="1" si="46"/>
        <v>#VALUE!</v>
      </c>
      <c r="I2405" s="7" t="str">
        <f ca="1">IFERROR(__xludf.DUMMYFUNCTION("IMPORTXML(E2405,""/html/body/main/div[3]/div[3]/div[2]/ul/li[5]/span[2]/span"")"),"Loading...")</f>
        <v>Loading...</v>
      </c>
      <c r="J2405" s="7" t="str">
        <f ca="1">IFERROR(__xludf.DUMMYFUNCTION("GOOGLEFINANCE(""NSE:""&amp;D2405,""marketcap"")"),"#N/A")</f>
        <v>#N/A</v>
      </c>
      <c r="K2405" s="7">
        <v>992.8</v>
      </c>
      <c r="L2405" s="8" t="str">
        <f ca="1">IFERROR(__xludf.DUMMYFUNCTION("GOOGLEFINANCE(""NSE:""&amp;D2405,""price"")"),"#N/A")</f>
        <v>#N/A</v>
      </c>
      <c r="M2405" s="9" t="e">
        <f t="shared" ca="1" si="47"/>
        <v>#VALUE!</v>
      </c>
      <c r="N2405" s="10" t="e">
        <f t="shared" ca="1" si="48"/>
        <v>#VALUE!</v>
      </c>
      <c r="O2405" s="7" t="str">
        <f ca="1">IFERROR(__xludf.DUMMYFUNCTION("GOOGLEFINANCE(""NSE:""&amp;D2405,""pe"")"),"#N/A")</f>
        <v>#N/A</v>
      </c>
      <c r="P2405" s="7" t="str">
        <f ca="1">IFERROR(__xludf.DUMMYFUNCTION("GOOGLEFINANCE(""NSE:""&amp;D2405,""EPS"")"),"#N/A")</f>
        <v>#N/A</v>
      </c>
      <c r="Q2405" s="7">
        <v>13.5</v>
      </c>
      <c r="R2405" s="7" t="str">
        <f ca="1">IFERROR(__xludf.DUMMYFUNCTION("IMPORTXML(E2405,""/html/body/main/div[3]/div[3]/div[2]/ul/li[7]/span[2]/span"")"),"Loading...")</f>
        <v>Loading...</v>
      </c>
      <c r="S2405" s="7" t="str">
        <f ca="1">IFERROR(__xludf.DUMMYFUNCTION("IMPORTXML(E2405,""/html/body/main/div[3]/div[3]/div[2]/ul/li[8]/span[2]/span"")"),"Loading...")</f>
        <v>Loading...</v>
      </c>
      <c r="T2405" s="4">
        <v>34.6</v>
      </c>
      <c r="U2405" s="4">
        <v>22.7</v>
      </c>
      <c r="V2405" s="4">
        <v>2.6</v>
      </c>
      <c r="W2405" s="4">
        <v>5.7</v>
      </c>
      <c r="X2405" s="4">
        <v>519.92999999999995</v>
      </c>
      <c r="Y2405" s="7" t="e">
        <f t="shared" ca="1" si="49"/>
        <v>#VALUE!</v>
      </c>
    </row>
    <row r="2406" spans="1:25" ht="15" x14ac:dyDescent="0.25">
      <c r="A2406" s="4">
        <v>2319</v>
      </c>
      <c r="C2406" s="12" t="s">
        <v>4655</v>
      </c>
      <c r="D2406" s="37"/>
      <c r="E2406" s="5" t="str">
        <f t="shared" si="45"/>
        <v>https://www.screener.in/company//consolidated/</v>
      </c>
      <c r="F2406" s="4">
        <v>443059</v>
      </c>
      <c r="G2406" s="4">
        <v>3832241897</v>
      </c>
      <c r="H2406" s="6" t="e">
        <f t="shared" ca="1" si="46"/>
        <v>#VALUE!</v>
      </c>
      <c r="I2406" s="7" t="str">
        <f ca="1">IFERROR(__xludf.DUMMYFUNCTION("IMPORTXML(E2406,""/html/body/main/div[3]/div[3]/div[2]/ul/li[5]/span[2]/span"")"),"Loading...")</f>
        <v>Loading...</v>
      </c>
      <c r="J2406" s="7" t="str">
        <f ca="1">IFERROR(__xludf.DUMMYFUNCTION("GOOGLEFINANCE(""NSE:""&amp;D2406,""marketcap"")"),"#N/A")</f>
        <v>#N/A</v>
      </c>
      <c r="K2406" s="7">
        <v>992.8</v>
      </c>
      <c r="L2406" s="8" t="str">
        <f ca="1">IFERROR(__xludf.DUMMYFUNCTION("GOOGLEFINANCE(""NSE:""&amp;D2406,""price"")"),"#N/A")</f>
        <v>#N/A</v>
      </c>
      <c r="M2406" s="9" t="e">
        <f t="shared" ca="1" si="47"/>
        <v>#VALUE!</v>
      </c>
      <c r="N2406" s="10" t="e">
        <f t="shared" ca="1" si="48"/>
        <v>#VALUE!</v>
      </c>
      <c r="O2406" s="7" t="str">
        <f ca="1">IFERROR(__xludf.DUMMYFUNCTION("GOOGLEFINANCE(""NSE:""&amp;D2406,""pe"")"),"#N/A")</f>
        <v>#N/A</v>
      </c>
      <c r="P2406" s="7" t="str">
        <f ca="1">IFERROR(__xludf.DUMMYFUNCTION("GOOGLEFINANCE(""NSE:""&amp;D2406,""EPS"")"),"#N/A")</f>
        <v>#N/A</v>
      </c>
      <c r="Q2406" s="7">
        <v>13.5</v>
      </c>
      <c r="R2406" s="7" t="str">
        <f ca="1">IFERROR(__xludf.DUMMYFUNCTION("IMPORTXML(E2406,""/html/body/main/div[3]/div[3]/div[2]/ul/li[7]/span[2]/span"")"),"Loading...")</f>
        <v>Loading...</v>
      </c>
      <c r="S2406" s="7" t="str">
        <f ca="1">IFERROR(__xludf.DUMMYFUNCTION("IMPORTXML(E2406,""/html/body/main/div[3]/div[3]/div[2]/ul/li[8]/span[2]/span"")"),"Loading...")</f>
        <v>Loading...</v>
      </c>
      <c r="T2406" s="4">
        <v>34.6</v>
      </c>
      <c r="U2406" s="4">
        <v>22.7</v>
      </c>
      <c r="V2406" s="4">
        <v>2.6</v>
      </c>
      <c r="W2406" s="4">
        <v>5.7</v>
      </c>
      <c r="X2406" s="4">
        <v>519.92999999999995</v>
      </c>
      <c r="Y2406" s="7" t="e">
        <f t="shared" ca="1" si="49"/>
        <v>#VALUE!</v>
      </c>
    </row>
    <row r="2407" spans="1:25" ht="15" x14ac:dyDescent="0.25">
      <c r="A2407" s="4">
        <v>2320</v>
      </c>
      <c r="C2407" s="41" t="s">
        <v>4656</v>
      </c>
      <c r="D2407" s="42"/>
      <c r="E2407" s="5" t="str">
        <f t="shared" si="45"/>
        <v>https://www.screener.in/company//consolidated/</v>
      </c>
      <c r="F2407" s="4">
        <v>443059</v>
      </c>
      <c r="G2407" s="4">
        <v>3832241897</v>
      </c>
      <c r="H2407" s="6" t="e">
        <f t="shared" ca="1" si="46"/>
        <v>#VALUE!</v>
      </c>
      <c r="I2407" s="7" t="str">
        <f ca="1">IFERROR(__xludf.DUMMYFUNCTION("IMPORTXML(E2407,""/html/body/main/div[3]/div[3]/div[2]/ul/li[5]/span[2]/span"")"),"Loading...")</f>
        <v>Loading...</v>
      </c>
      <c r="J2407" s="7" t="str">
        <f ca="1">IFERROR(__xludf.DUMMYFUNCTION("GOOGLEFINANCE(""NSE:""&amp;D2407,""marketcap"")"),"#N/A")</f>
        <v>#N/A</v>
      </c>
      <c r="K2407" s="7">
        <v>992.8</v>
      </c>
      <c r="L2407" s="8" t="str">
        <f ca="1">IFERROR(__xludf.DUMMYFUNCTION("GOOGLEFINANCE(""NSE:""&amp;D2407,""price"")"),"#N/A")</f>
        <v>#N/A</v>
      </c>
      <c r="M2407" s="9" t="e">
        <f t="shared" ca="1" si="47"/>
        <v>#VALUE!</v>
      </c>
      <c r="N2407" s="10" t="e">
        <f t="shared" ca="1" si="48"/>
        <v>#VALUE!</v>
      </c>
      <c r="O2407" s="7" t="str">
        <f ca="1">IFERROR(__xludf.DUMMYFUNCTION("GOOGLEFINANCE(""NSE:""&amp;D2407,""pe"")"),"#N/A")</f>
        <v>#N/A</v>
      </c>
      <c r="P2407" s="7" t="str">
        <f ca="1">IFERROR(__xludf.DUMMYFUNCTION("GOOGLEFINANCE(""NSE:""&amp;D2407,""EPS"")"),"#N/A")</f>
        <v>#N/A</v>
      </c>
      <c r="Q2407" s="7">
        <v>13.5</v>
      </c>
      <c r="R2407" s="7" t="str">
        <f ca="1">IFERROR(__xludf.DUMMYFUNCTION("IMPORTXML(E2407,""/html/body/main/div[3]/div[3]/div[2]/ul/li[7]/span[2]/span"")"),"Loading...")</f>
        <v>Loading...</v>
      </c>
      <c r="S2407" s="7" t="str">
        <f ca="1">IFERROR(__xludf.DUMMYFUNCTION("IMPORTXML(E2407,""/html/body/main/div[3]/div[3]/div[2]/ul/li[8]/span[2]/span"")"),"Loading...")</f>
        <v>Loading...</v>
      </c>
      <c r="T2407" s="4">
        <v>34.6</v>
      </c>
      <c r="U2407" s="4">
        <v>22.7</v>
      </c>
      <c r="V2407" s="4">
        <v>2.6</v>
      </c>
      <c r="W2407" s="4">
        <v>5.7</v>
      </c>
      <c r="X2407" s="4">
        <v>519.92999999999995</v>
      </c>
      <c r="Y2407" s="7" t="e">
        <f t="shared" ca="1" si="49"/>
        <v>#VALUE!</v>
      </c>
    </row>
    <row r="2408" spans="1:25" ht="15" x14ac:dyDescent="0.25">
      <c r="A2408" s="4">
        <v>2321</v>
      </c>
      <c r="C2408" s="41" t="s">
        <v>4657</v>
      </c>
      <c r="D2408" s="42"/>
      <c r="E2408" s="5" t="str">
        <f t="shared" si="45"/>
        <v>https://www.screener.in/company//consolidated/</v>
      </c>
      <c r="F2408" s="4">
        <v>443059</v>
      </c>
      <c r="G2408" s="4">
        <v>3832241897</v>
      </c>
      <c r="H2408" s="6" t="e">
        <f t="shared" ca="1" si="46"/>
        <v>#VALUE!</v>
      </c>
      <c r="I2408" s="7" t="str">
        <f ca="1">IFERROR(__xludf.DUMMYFUNCTION("IMPORTXML(E2408,""/html/body/main/div[3]/div[3]/div[2]/ul/li[5]/span[2]/span"")"),"Loading...")</f>
        <v>Loading...</v>
      </c>
      <c r="J2408" s="7" t="str">
        <f ca="1">IFERROR(__xludf.DUMMYFUNCTION("GOOGLEFINANCE(""NSE:""&amp;D2408,""marketcap"")"),"#N/A")</f>
        <v>#N/A</v>
      </c>
      <c r="K2408" s="7">
        <v>992.8</v>
      </c>
      <c r="L2408" s="8" t="str">
        <f ca="1">IFERROR(__xludf.DUMMYFUNCTION("GOOGLEFINANCE(""NSE:""&amp;D2408,""price"")"),"#N/A")</f>
        <v>#N/A</v>
      </c>
      <c r="M2408" s="9" t="e">
        <f t="shared" ca="1" si="47"/>
        <v>#VALUE!</v>
      </c>
      <c r="N2408" s="10" t="e">
        <f t="shared" ca="1" si="48"/>
        <v>#VALUE!</v>
      </c>
      <c r="O2408" s="7" t="str">
        <f ca="1">IFERROR(__xludf.DUMMYFUNCTION("GOOGLEFINANCE(""NSE:""&amp;D2408,""pe"")"),"#N/A")</f>
        <v>#N/A</v>
      </c>
      <c r="P2408" s="7" t="str">
        <f ca="1">IFERROR(__xludf.DUMMYFUNCTION("GOOGLEFINANCE(""NSE:""&amp;D2408,""EPS"")"),"#N/A")</f>
        <v>#N/A</v>
      </c>
      <c r="Q2408" s="7">
        <v>13.5</v>
      </c>
      <c r="R2408" s="7" t="str">
        <f ca="1">IFERROR(__xludf.DUMMYFUNCTION("IMPORTXML(E2408,""/html/body/main/div[3]/div[3]/div[2]/ul/li[7]/span[2]/span"")"),"Loading...")</f>
        <v>Loading...</v>
      </c>
      <c r="S2408" s="7" t="str">
        <f ca="1">IFERROR(__xludf.DUMMYFUNCTION("IMPORTXML(E2408,""/html/body/main/div[3]/div[3]/div[2]/ul/li[8]/span[2]/span"")"),"Loading...")</f>
        <v>Loading...</v>
      </c>
      <c r="T2408" s="4">
        <v>34.6</v>
      </c>
      <c r="U2408" s="4">
        <v>22.7</v>
      </c>
      <c r="V2408" s="4">
        <v>2.6</v>
      </c>
      <c r="W2408" s="4">
        <v>5.7</v>
      </c>
      <c r="X2408" s="4">
        <v>519.92999999999995</v>
      </c>
      <c r="Y2408" s="7" t="e">
        <f t="shared" ca="1" si="49"/>
        <v>#VALUE!</v>
      </c>
    </row>
    <row r="2409" spans="1:25" ht="15" x14ac:dyDescent="0.25">
      <c r="A2409" s="4">
        <v>2322</v>
      </c>
      <c r="C2409" s="41" t="s">
        <v>4658</v>
      </c>
      <c r="D2409" s="42"/>
      <c r="E2409" s="5" t="str">
        <f t="shared" si="45"/>
        <v>https://www.screener.in/company//consolidated/</v>
      </c>
      <c r="F2409" s="4">
        <v>443059</v>
      </c>
      <c r="G2409" s="4">
        <v>3832241897</v>
      </c>
      <c r="H2409" s="6" t="e">
        <f t="shared" ca="1" si="46"/>
        <v>#VALUE!</v>
      </c>
      <c r="I2409" s="7" t="str">
        <f ca="1">IFERROR(__xludf.DUMMYFUNCTION("IMPORTXML(E2409,""/html/body/main/div[3]/div[3]/div[2]/ul/li[5]/span[2]/span"")"),"Loading...")</f>
        <v>Loading...</v>
      </c>
      <c r="J2409" s="7" t="str">
        <f ca="1">IFERROR(__xludf.DUMMYFUNCTION("GOOGLEFINANCE(""NSE:""&amp;D2409,""marketcap"")"),"#N/A")</f>
        <v>#N/A</v>
      </c>
      <c r="K2409" s="7">
        <v>992.8</v>
      </c>
      <c r="L2409" s="8" t="str">
        <f ca="1">IFERROR(__xludf.DUMMYFUNCTION("GOOGLEFINANCE(""NSE:""&amp;D2409,""price"")"),"#N/A")</f>
        <v>#N/A</v>
      </c>
      <c r="M2409" s="9" t="e">
        <f t="shared" ca="1" si="47"/>
        <v>#VALUE!</v>
      </c>
      <c r="N2409" s="10" t="e">
        <f t="shared" ca="1" si="48"/>
        <v>#VALUE!</v>
      </c>
      <c r="O2409" s="7" t="str">
        <f ca="1">IFERROR(__xludf.DUMMYFUNCTION("GOOGLEFINANCE(""NSE:""&amp;D2409,""pe"")"),"#N/A")</f>
        <v>#N/A</v>
      </c>
      <c r="P2409" s="7" t="str">
        <f ca="1">IFERROR(__xludf.DUMMYFUNCTION("GOOGLEFINANCE(""NSE:""&amp;D2409,""EPS"")"),"#N/A")</f>
        <v>#N/A</v>
      </c>
      <c r="Q2409" s="7">
        <v>13.5</v>
      </c>
      <c r="R2409" s="7" t="str">
        <f ca="1">IFERROR(__xludf.DUMMYFUNCTION("IMPORTXML(E2409,""/html/body/main/div[3]/div[3]/div[2]/ul/li[7]/span[2]/span"")"),"Loading...")</f>
        <v>Loading...</v>
      </c>
      <c r="S2409" s="7" t="str">
        <f ca="1">IFERROR(__xludf.DUMMYFUNCTION("IMPORTXML(E2409,""/html/body/main/div[3]/div[3]/div[2]/ul/li[8]/span[2]/span"")"),"Loading...")</f>
        <v>Loading...</v>
      </c>
      <c r="T2409" s="4">
        <v>34.6</v>
      </c>
      <c r="U2409" s="4">
        <v>22.7</v>
      </c>
      <c r="V2409" s="4">
        <v>2.6</v>
      </c>
      <c r="W2409" s="4">
        <v>5.7</v>
      </c>
      <c r="X2409" s="4">
        <v>519.92999999999995</v>
      </c>
      <c r="Y2409" s="7" t="e">
        <f t="shared" ca="1" si="49"/>
        <v>#VALUE!</v>
      </c>
    </row>
    <row r="2410" spans="1:25" ht="15" x14ac:dyDescent="0.25">
      <c r="A2410" s="4">
        <v>2323</v>
      </c>
      <c r="C2410" s="41" t="s">
        <v>4659</v>
      </c>
      <c r="D2410" s="42"/>
      <c r="E2410" s="5" t="str">
        <f t="shared" si="45"/>
        <v>https://www.screener.in/company//consolidated/</v>
      </c>
      <c r="F2410" s="4">
        <v>443059</v>
      </c>
      <c r="G2410" s="4">
        <v>3832241897</v>
      </c>
      <c r="H2410" s="6" t="e">
        <f t="shared" ca="1" si="46"/>
        <v>#VALUE!</v>
      </c>
      <c r="I2410" s="7" t="str">
        <f ca="1">IFERROR(__xludf.DUMMYFUNCTION("IMPORTXML(E2410,""/html/body/main/div[3]/div[3]/div[2]/ul/li[5]/span[2]/span"")"),"Loading...")</f>
        <v>Loading...</v>
      </c>
      <c r="J2410" s="7" t="str">
        <f ca="1">IFERROR(__xludf.DUMMYFUNCTION("GOOGLEFINANCE(""NSE:""&amp;D2410,""marketcap"")"),"#N/A")</f>
        <v>#N/A</v>
      </c>
      <c r="K2410" s="7">
        <v>992.8</v>
      </c>
      <c r="L2410" s="8" t="str">
        <f ca="1">IFERROR(__xludf.DUMMYFUNCTION("GOOGLEFINANCE(""NSE:""&amp;D2410,""price"")"),"#N/A")</f>
        <v>#N/A</v>
      </c>
      <c r="M2410" s="9" t="e">
        <f t="shared" ca="1" si="47"/>
        <v>#VALUE!</v>
      </c>
      <c r="N2410" s="10" t="e">
        <f t="shared" ca="1" si="48"/>
        <v>#VALUE!</v>
      </c>
      <c r="O2410" s="7" t="str">
        <f ca="1">IFERROR(__xludf.DUMMYFUNCTION("GOOGLEFINANCE(""NSE:""&amp;D2410,""pe"")"),"#N/A")</f>
        <v>#N/A</v>
      </c>
      <c r="P2410" s="7" t="str">
        <f ca="1">IFERROR(__xludf.DUMMYFUNCTION("GOOGLEFINANCE(""NSE:""&amp;D2410,""EPS"")"),"#N/A")</f>
        <v>#N/A</v>
      </c>
      <c r="Q2410" s="7">
        <v>13.5</v>
      </c>
      <c r="R2410" s="7" t="str">
        <f ca="1">IFERROR(__xludf.DUMMYFUNCTION("IMPORTXML(E2410,""/html/body/main/div[3]/div[3]/div[2]/ul/li[7]/span[2]/span"")"),"Loading...")</f>
        <v>Loading...</v>
      </c>
      <c r="S2410" s="7" t="str">
        <f ca="1">IFERROR(__xludf.DUMMYFUNCTION("IMPORTXML(E2410,""/html/body/main/div[3]/div[3]/div[2]/ul/li[8]/span[2]/span"")"),"Loading...")</f>
        <v>Loading...</v>
      </c>
      <c r="T2410" s="4">
        <v>34.6</v>
      </c>
      <c r="U2410" s="4">
        <v>22.7</v>
      </c>
      <c r="V2410" s="4">
        <v>2.6</v>
      </c>
      <c r="W2410" s="4">
        <v>5.7</v>
      </c>
      <c r="X2410" s="4">
        <v>519.92999999999995</v>
      </c>
      <c r="Y2410" s="7" t="e">
        <f t="shared" ca="1" si="49"/>
        <v>#VALUE!</v>
      </c>
    </row>
    <row r="2411" spans="1:25" ht="15" x14ac:dyDescent="0.25">
      <c r="A2411" s="4">
        <v>2324</v>
      </c>
      <c r="C2411" s="41" t="s">
        <v>4660</v>
      </c>
      <c r="D2411" s="42"/>
      <c r="E2411" s="5" t="str">
        <f t="shared" si="45"/>
        <v>https://www.screener.in/company//consolidated/</v>
      </c>
      <c r="F2411" s="4">
        <v>443059</v>
      </c>
      <c r="G2411" s="4">
        <v>3832241897</v>
      </c>
      <c r="H2411" s="6" t="e">
        <f t="shared" ca="1" si="46"/>
        <v>#VALUE!</v>
      </c>
      <c r="I2411" s="7" t="str">
        <f ca="1">IFERROR(__xludf.DUMMYFUNCTION("IMPORTXML(E2411,""/html/body/main/div[3]/div[3]/div[2]/ul/li[5]/span[2]/span"")"),"Loading...")</f>
        <v>Loading...</v>
      </c>
      <c r="J2411" s="7" t="str">
        <f ca="1">IFERROR(__xludf.DUMMYFUNCTION("GOOGLEFINANCE(""NSE:""&amp;D2411,""marketcap"")"),"#N/A")</f>
        <v>#N/A</v>
      </c>
      <c r="K2411" s="7">
        <v>992.8</v>
      </c>
      <c r="L2411" s="8" t="str">
        <f ca="1">IFERROR(__xludf.DUMMYFUNCTION("GOOGLEFINANCE(""NSE:""&amp;D2411,""price"")"),"#N/A")</f>
        <v>#N/A</v>
      </c>
      <c r="M2411" s="9" t="e">
        <f t="shared" ca="1" si="47"/>
        <v>#VALUE!</v>
      </c>
      <c r="N2411" s="10" t="e">
        <f t="shared" ca="1" si="48"/>
        <v>#VALUE!</v>
      </c>
      <c r="O2411" s="7" t="str">
        <f ca="1">IFERROR(__xludf.DUMMYFUNCTION("GOOGLEFINANCE(""NSE:""&amp;D2411,""pe"")"),"#N/A")</f>
        <v>#N/A</v>
      </c>
      <c r="P2411" s="7" t="str">
        <f ca="1">IFERROR(__xludf.DUMMYFUNCTION("GOOGLEFINANCE(""NSE:""&amp;D2411,""EPS"")"),"#N/A")</f>
        <v>#N/A</v>
      </c>
      <c r="Q2411" s="7">
        <v>13.5</v>
      </c>
      <c r="R2411" s="7" t="str">
        <f ca="1">IFERROR(__xludf.DUMMYFUNCTION("IMPORTXML(E2411,""/html/body/main/div[3]/div[3]/div[2]/ul/li[7]/span[2]/span"")"),"Loading...")</f>
        <v>Loading...</v>
      </c>
      <c r="S2411" s="7" t="str">
        <f ca="1">IFERROR(__xludf.DUMMYFUNCTION("IMPORTXML(E2411,""/html/body/main/div[3]/div[3]/div[2]/ul/li[8]/span[2]/span"")"),"Loading...")</f>
        <v>Loading...</v>
      </c>
      <c r="T2411" s="4">
        <v>34.6</v>
      </c>
      <c r="U2411" s="4">
        <v>22.7</v>
      </c>
      <c r="V2411" s="4">
        <v>2.6</v>
      </c>
      <c r="W2411" s="4">
        <v>5.7</v>
      </c>
      <c r="X2411" s="4">
        <v>519.92999999999995</v>
      </c>
      <c r="Y2411" s="7" t="e">
        <f t="shared" ca="1" si="49"/>
        <v>#VALUE!</v>
      </c>
    </row>
    <row r="2412" spans="1:25" ht="15" x14ac:dyDescent="0.25">
      <c r="A2412" s="4">
        <v>2325</v>
      </c>
      <c r="C2412" s="41" t="s">
        <v>4661</v>
      </c>
      <c r="D2412" s="42"/>
      <c r="E2412" s="5" t="str">
        <f t="shared" si="45"/>
        <v>https://www.screener.in/company//consolidated/</v>
      </c>
      <c r="F2412" s="4">
        <v>443059</v>
      </c>
      <c r="G2412" s="4">
        <v>3832241897</v>
      </c>
      <c r="H2412" s="6" t="e">
        <f t="shared" ca="1" si="46"/>
        <v>#VALUE!</v>
      </c>
      <c r="I2412" s="7" t="str">
        <f ca="1">IFERROR(__xludf.DUMMYFUNCTION("IMPORTXML(E2412,""/html/body/main/div[3]/div[3]/div[2]/ul/li[5]/span[2]/span"")"),"Loading...")</f>
        <v>Loading...</v>
      </c>
      <c r="J2412" s="7" t="str">
        <f ca="1">IFERROR(__xludf.DUMMYFUNCTION("GOOGLEFINANCE(""NSE:""&amp;D2412,""marketcap"")"),"#N/A")</f>
        <v>#N/A</v>
      </c>
      <c r="K2412" s="7">
        <v>992.8</v>
      </c>
      <c r="L2412" s="8" t="str">
        <f ca="1">IFERROR(__xludf.DUMMYFUNCTION("GOOGLEFINANCE(""NSE:""&amp;D2412,""price"")"),"#N/A")</f>
        <v>#N/A</v>
      </c>
      <c r="M2412" s="9" t="e">
        <f t="shared" ca="1" si="47"/>
        <v>#VALUE!</v>
      </c>
      <c r="N2412" s="10" t="e">
        <f t="shared" ca="1" si="48"/>
        <v>#VALUE!</v>
      </c>
      <c r="O2412" s="7" t="str">
        <f ca="1">IFERROR(__xludf.DUMMYFUNCTION("GOOGLEFINANCE(""NSE:""&amp;D2412,""pe"")"),"#N/A")</f>
        <v>#N/A</v>
      </c>
      <c r="P2412" s="7" t="str">
        <f ca="1">IFERROR(__xludf.DUMMYFUNCTION("GOOGLEFINANCE(""NSE:""&amp;D2412,""EPS"")"),"#N/A")</f>
        <v>#N/A</v>
      </c>
      <c r="Q2412" s="7">
        <v>13.5</v>
      </c>
      <c r="R2412" s="7" t="str">
        <f ca="1">IFERROR(__xludf.DUMMYFUNCTION("IMPORTXML(E2412,""/html/body/main/div[3]/div[3]/div[2]/ul/li[7]/span[2]/span"")"),"Loading...")</f>
        <v>Loading...</v>
      </c>
      <c r="S2412" s="7" t="str">
        <f ca="1">IFERROR(__xludf.DUMMYFUNCTION("IMPORTXML(E2412,""/html/body/main/div[3]/div[3]/div[2]/ul/li[8]/span[2]/span"")"),"Loading...")</f>
        <v>Loading...</v>
      </c>
      <c r="T2412" s="4">
        <v>34.6</v>
      </c>
      <c r="U2412" s="4">
        <v>22.7</v>
      </c>
      <c r="V2412" s="4">
        <v>2.6</v>
      </c>
      <c r="W2412" s="4">
        <v>5.7</v>
      </c>
      <c r="X2412" s="4">
        <v>519.92999999999995</v>
      </c>
      <c r="Y2412" s="7" t="e">
        <f t="shared" ca="1" si="49"/>
        <v>#VALUE!</v>
      </c>
    </row>
    <row r="2413" spans="1:25" ht="15" x14ac:dyDescent="0.25">
      <c r="A2413" s="4">
        <v>2326</v>
      </c>
      <c r="C2413" s="41" t="s">
        <v>4662</v>
      </c>
      <c r="D2413" s="42"/>
      <c r="E2413" s="5" t="str">
        <f t="shared" si="45"/>
        <v>https://www.screener.in/company//consolidated/</v>
      </c>
      <c r="F2413" s="4">
        <v>443059</v>
      </c>
      <c r="G2413" s="4">
        <v>3832241897</v>
      </c>
      <c r="H2413" s="6" t="e">
        <f t="shared" ca="1" si="46"/>
        <v>#VALUE!</v>
      </c>
      <c r="I2413" s="7" t="str">
        <f ca="1">IFERROR(__xludf.DUMMYFUNCTION("IMPORTXML(E2413,""/html/body/main/div[3]/div[3]/div[2]/ul/li[5]/span[2]/span"")"),"Loading...")</f>
        <v>Loading...</v>
      </c>
      <c r="J2413" s="7" t="str">
        <f ca="1">IFERROR(__xludf.DUMMYFUNCTION("GOOGLEFINANCE(""NSE:""&amp;D2413,""marketcap"")"),"#N/A")</f>
        <v>#N/A</v>
      </c>
      <c r="K2413" s="7">
        <v>992.8</v>
      </c>
      <c r="L2413" s="8" t="str">
        <f ca="1">IFERROR(__xludf.DUMMYFUNCTION("GOOGLEFINANCE(""NSE:""&amp;D2413,""price"")"),"#N/A")</f>
        <v>#N/A</v>
      </c>
      <c r="M2413" s="9" t="e">
        <f t="shared" ca="1" si="47"/>
        <v>#VALUE!</v>
      </c>
      <c r="N2413" s="10" t="e">
        <f t="shared" ca="1" si="48"/>
        <v>#VALUE!</v>
      </c>
      <c r="O2413" s="7" t="str">
        <f ca="1">IFERROR(__xludf.DUMMYFUNCTION("GOOGLEFINANCE(""NSE:""&amp;D2413,""pe"")"),"#N/A")</f>
        <v>#N/A</v>
      </c>
      <c r="P2413" s="7" t="str">
        <f ca="1">IFERROR(__xludf.DUMMYFUNCTION("GOOGLEFINANCE(""NSE:""&amp;D2413,""EPS"")"),"#N/A")</f>
        <v>#N/A</v>
      </c>
      <c r="Q2413" s="7">
        <v>13.5</v>
      </c>
      <c r="R2413" s="7" t="str">
        <f ca="1">IFERROR(__xludf.DUMMYFUNCTION("IMPORTXML(E2413,""/html/body/main/div[3]/div[3]/div[2]/ul/li[7]/span[2]/span"")"),"Loading...")</f>
        <v>Loading...</v>
      </c>
      <c r="S2413" s="7" t="str">
        <f ca="1">IFERROR(__xludf.DUMMYFUNCTION("IMPORTXML(E2413,""/html/body/main/div[3]/div[3]/div[2]/ul/li[8]/span[2]/span"")"),"Loading...")</f>
        <v>Loading...</v>
      </c>
      <c r="T2413" s="4">
        <v>34.6</v>
      </c>
      <c r="U2413" s="4">
        <v>22.7</v>
      </c>
      <c r="V2413" s="4">
        <v>2.6</v>
      </c>
      <c r="W2413" s="4">
        <v>5.7</v>
      </c>
      <c r="X2413" s="4">
        <v>519.92999999999995</v>
      </c>
      <c r="Y2413" s="7" t="e">
        <f t="shared" ca="1" si="49"/>
        <v>#VALUE!</v>
      </c>
    </row>
    <row r="2414" spans="1:25" ht="15" x14ac:dyDescent="0.25">
      <c r="A2414" s="4">
        <v>2327</v>
      </c>
      <c r="C2414" s="41" t="s">
        <v>4663</v>
      </c>
      <c r="D2414" s="42"/>
      <c r="E2414" s="5" t="str">
        <f t="shared" si="45"/>
        <v>https://www.screener.in/company//consolidated/</v>
      </c>
      <c r="F2414" s="4">
        <v>443059</v>
      </c>
      <c r="G2414" s="4">
        <v>3832241897</v>
      </c>
      <c r="H2414" s="6" t="e">
        <f t="shared" ca="1" si="46"/>
        <v>#VALUE!</v>
      </c>
      <c r="I2414" s="7" t="str">
        <f ca="1">IFERROR(__xludf.DUMMYFUNCTION("IMPORTXML(E2414,""/html/body/main/div[3]/div[3]/div[2]/ul/li[5]/span[2]/span"")"),"Loading...")</f>
        <v>Loading...</v>
      </c>
      <c r="J2414" s="7" t="str">
        <f ca="1">IFERROR(__xludf.DUMMYFUNCTION("GOOGLEFINANCE(""NSE:""&amp;D2414,""marketcap"")"),"#N/A")</f>
        <v>#N/A</v>
      </c>
      <c r="K2414" s="7">
        <v>992.8</v>
      </c>
      <c r="L2414" s="8" t="str">
        <f ca="1">IFERROR(__xludf.DUMMYFUNCTION("GOOGLEFINANCE(""NSE:""&amp;D2414,""price"")"),"#N/A")</f>
        <v>#N/A</v>
      </c>
      <c r="M2414" s="9" t="e">
        <f t="shared" ca="1" si="47"/>
        <v>#VALUE!</v>
      </c>
      <c r="N2414" s="10" t="e">
        <f t="shared" ca="1" si="48"/>
        <v>#VALUE!</v>
      </c>
      <c r="O2414" s="7" t="str">
        <f ca="1">IFERROR(__xludf.DUMMYFUNCTION("GOOGLEFINANCE(""NSE:""&amp;D2414,""pe"")"),"#N/A")</f>
        <v>#N/A</v>
      </c>
      <c r="P2414" s="7" t="str">
        <f ca="1">IFERROR(__xludf.DUMMYFUNCTION("GOOGLEFINANCE(""NSE:""&amp;D2414,""EPS"")"),"#N/A")</f>
        <v>#N/A</v>
      </c>
      <c r="Q2414" s="7">
        <v>13.5</v>
      </c>
      <c r="R2414" s="7" t="str">
        <f ca="1">IFERROR(__xludf.DUMMYFUNCTION("IMPORTXML(E2414,""/html/body/main/div[3]/div[3]/div[2]/ul/li[7]/span[2]/span"")"),"Loading...")</f>
        <v>Loading...</v>
      </c>
      <c r="S2414" s="7" t="str">
        <f ca="1">IFERROR(__xludf.DUMMYFUNCTION("IMPORTXML(E2414,""/html/body/main/div[3]/div[3]/div[2]/ul/li[8]/span[2]/span"")"),"Loading...")</f>
        <v>Loading...</v>
      </c>
      <c r="T2414" s="4">
        <v>34.6</v>
      </c>
      <c r="U2414" s="4">
        <v>22.7</v>
      </c>
      <c r="V2414" s="4">
        <v>2.6</v>
      </c>
      <c r="W2414" s="4">
        <v>5.7</v>
      </c>
      <c r="X2414" s="4">
        <v>519.92999999999995</v>
      </c>
      <c r="Y2414" s="7" t="e">
        <f t="shared" ca="1" si="49"/>
        <v>#VALUE!</v>
      </c>
    </row>
    <row r="2415" spans="1:25" ht="15" x14ac:dyDescent="0.25">
      <c r="A2415" s="4">
        <v>2329</v>
      </c>
      <c r="C2415" s="41" t="s">
        <v>4664</v>
      </c>
      <c r="D2415" s="42"/>
      <c r="E2415" s="5" t="str">
        <f t="shared" si="45"/>
        <v>https://www.screener.in/company//consolidated/</v>
      </c>
      <c r="F2415" s="4">
        <v>443059</v>
      </c>
      <c r="G2415" s="4">
        <v>3832241897</v>
      </c>
      <c r="H2415" s="6" t="e">
        <f t="shared" ca="1" si="46"/>
        <v>#VALUE!</v>
      </c>
      <c r="I2415" s="7" t="str">
        <f ca="1">IFERROR(__xludf.DUMMYFUNCTION("IMPORTXML(E2415,""/html/body/main/div[3]/div[3]/div[2]/ul/li[5]/span[2]/span"")"),"Loading...")</f>
        <v>Loading...</v>
      </c>
      <c r="J2415" s="7" t="str">
        <f ca="1">IFERROR(__xludf.DUMMYFUNCTION("GOOGLEFINANCE(""NSE:""&amp;D2415,""marketcap"")"),"#N/A")</f>
        <v>#N/A</v>
      </c>
      <c r="K2415" s="7">
        <v>992.8</v>
      </c>
      <c r="L2415" s="8" t="str">
        <f ca="1">IFERROR(__xludf.DUMMYFUNCTION("GOOGLEFINANCE(""NSE:""&amp;D2415,""price"")"),"#N/A")</f>
        <v>#N/A</v>
      </c>
      <c r="M2415" s="9" t="e">
        <f t="shared" ca="1" si="47"/>
        <v>#VALUE!</v>
      </c>
      <c r="N2415" s="10" t="e">
        <f t="shared" ca="1" si="48"/>
        <v>#VALUE!</v>
      </c>
      <c r="O2415" s="7" t="str">
        <f ca="1">IFERROR(__xludf.DUMMYFUNCTION("GOOGLEFINANCE(""NSE:""&amp;D2415,""pe"")"),"#N/A")</f>
        <v>#N/A</v>
      </c>
      <c r="P2415" s="7" t="str">
        <f ca="1">IFERROR(__xludf.DUMMYFUNCTION("GOOGLEFINANCE(""NSE:""&amp;D2415,""EPS"")"),"#N/A")</f>
        <v>#N/A</v>
      </c>
      <c r="Q2415" s="7">
        <v>13.5</v>
      </c>
      <c r="R2415" s="7" t="str">
        <f ca="1">IFERROR(__xludf.DUMMYFUNCTION("IMPORTXML(E2415,""/html/body/main/div[3]/div[3]/div[2]/ul/li[7]/span[2]/span"")"),"Loading...")</f>
        <v>Loading...</v>
      </c>
      <c r="S2415" s="7" t="str">
        <f ca="1">IFERROR(__xludf.DUMMYFUNCTION("IMPORTXML(E2415,""/html/body/main/div[3]/div[3]/div[2]/ul/li[8]/span[2]/span"")"),"Loading...")</f>
        <v>Loading...</v>
      </c>
      <c r="T2415" s="4">
        <v>34.6</v>
      </c>
      <c r="U2415" s="4">
        <v>22.7</v>
      </c>
      <c r="V2415" s="4">
        <v>2.6</v>
      </c>
      <c r="W2415" s="4">
        <v>5.7</v>
      </c>
      <c r="X2415" s="4">
        <v>519.92999999999995</v>
      </c>
      <c r="Y2415" s="7" t="e">
        <f t="shared" ca="1" si="49"/>
        <v>#VALUE!</v>
      </c>
    </row>
    <row r="2416" spans="1:25" ht="15" x14ac:dyDescent="0.25">
      <c r="A2416" s="4">
        <v>2330</v>
      </c>
      <c r="C2416" s="41" t="s">
        <v>4665</v>
      </c>
      <c r="D2416" s="42"/>
      <c r="E2416" s="5" t="str">
        <f t="shared" si="45"/>
        <v>https://www.screener.in/company//consolidated/</v>
      </c>
      <c r="F2416" s="4">
        <v>443059</v>
      </c>
      <c r="G2416" s="4">
        <v>3832241897</v>
      </c>
      <c r="H2416" s="6" t="e">
        <f t="shared" ca="1" si="46"/>
        <v>#VALUE!</v>
      </c>
      <c r="I2416" s="7" t="str">
        <f ca="1">IFERROR(__xludf.DUMMYFUNCTION("IMPORTXML(E2416,""/html/body/main/div[3]/div[3]/div[2]/ul/li[5]/span[2]/span"")"),"Loading...")</f>
        <v>Loading...</v>
      </c>
      <c r="J2416" s="7" t="str">
        <f ca="1">IFERROR(__xludf.DUMMYFUNCTION("GOOGLEFINANCE(""NSE:""&amp;D2416,""marketcap"")"),"#N/A")</f>
        <v>#N/A</v>
      </c>
      <c r="K2416" s="7">
        <v>992.8</v>
      </c>
      <c r="L2416" s="8" t="str">
        <f ca="1">IFERROR(__xludf.DUMMYFUNCTION("GOOGLEFINANCE(""NSE:""&amp;D2416,""price"")"),"#N/A")</f>
        <v>#N/A</v>
      </c>
      <c r="M2416" s="9" t="e">
        <f t="shared" ca="1" si="47"/>
        <v>#VALUE!</v>
      </c>
      <c r="N2416" s="10" t="e">
        <f t="shared" ca="1" si="48"/>
        <v>#VALUE!</v>
      </c>
      <c r="O2416" s="7" t="str">
        <f ca="1">IFERROR(__xludf.DUMMYFUNCTION("GOOGLEFINANCE(""NSE:""&amp;D2416,""pe"")"),"#N/A")</f>
        <v>#N/A</v>
      </c>
      <c r="P2416" s="7" t="str">
        <f ca="1">IFERROR(__xludf.DUMMYFUNCTION("GOOGLEFINANCE(""NSE:""&amp;D2416,""EPS"")"),"#N/A")</f>
        <v>#N/A</v>
      </c>
      <c r="Q2416" s="7">
        <v>13.5</v>
      </c>
      <c r="R2416" s="7" t="str">
        <f ca="1">IFERROR(__xludf.DUMMYFUNCTION("IMPORTXML(E2416,""/html/body/main/div[3]/div[3]/div[2]/ul/li[7]/span[2]/span"")"),"Loading...")</f>
        <v>Loading...</v>
      </c>
      <c r="S2416" s="7" t="str">
        <f ca="1">IFERROR(__xludf.DUMMYFUNCTION("IMPORTXML(E2416,""/html/body/main/div[3]/div[3]/div[2]/ul/li[8]/span[2]/span"")"),"Loading...")</f>
        <v>Loading...</v>
      </c>
      <c r="T2416" s="4">
        <v>34.6</v>
      </c>
      <c r="U2416" s="4">
        <v>22.7</v>
      </c>
      <c r="V2416" s="4">
        <v>2.6</v>
      </c>
      <c r="W2416" s="4">
        <v>5.7</v>
      </c>
      <c r="X2416" s="4">
        <v>519.92999999999995</v>
      </c>
      <c r="Y2416" s="7" t="e">
        <f t="shared" ca="1" si="49"/>
        <v>#VALUE!</v>
      </c>
    </row>
    <row r="2417" spans="1:25" ht="15" x14ac:dyDescent="0.25">
      <c r="A2417" s="4">
        <v>2331</v>
      </c>
      <c r="C2417" s="41" t="s">
        <v>4666</v>
      </c>
      <c r="D2417" s="42"/>
      <c r="E2417" s="5" t="str">
        <f t="shared" si="45"/>
        <v>https://www.screener.in/company//consolidated/</v>
      </c>
      <c r="F2417" s="4">
        <v>443059</v>
      </c>
      <c r="G2417" s="4">
        <v>3832241897</v>
      </c>
      <c r="H2417" s="6" t="e">
        <f t="shared" ca="1" si="46"/>
        <v>#VALUE!</v>
      </c>
      <c r="I2417" s="7" t="str">
        <f ca="1">IFERROR(__xludf.DUMMYFUNCTION("IMPORTXML(E2417,""/html/body/main/div[3]/div[3]/div[2]/ul/li[5]/span[2]/span"")"),"Loading...")</f>
        <v>Loading...</v>
      </c>
      <c r="J2417" s="7" t="str">
        <f ca="1">IFERROR(__xludf.DUMMYFUNCTION("GOOGLEFINANCE(""NSE:""&amp;D2417,""marketcap"")"),"#N/A")</f>
        <v>#N/A</v>
      </c>
      <c r="K2417" s="7">
        <v>992.8</v>
      </c>
      <c r="L2417" s="8" t="str">
        <f ca="1">IFERROR(__xludf.DUMMYFUNCTION("GOOGLEFINANCE(""NSE:""&amp;D2417,""price"")"),"#N/A")</f>
        <v>#N/A</v>
      </c>
      <c r="M2417" s="9" t="e">
        <f t="shared" ca="1" si="47"/>
        <v>#VALUE!</v>
      </c>
      <c r="N2417" s="10" t="e">
        <f t="shared" ca="1" si="48"/>
        <v>#VALUE!</v>
      </c>
      <c r="O2417" s="7" t="str">
        <f ca="1">IFERROR(__xludf.DUMMYFUNCTION("GOOGLEFINANCE(""NSE:""&amp;D2417,""pe"")"),"#N/A")</f>
        <v>#N/A</v>
      </c>
      <c r="P2417" s="7" t="str">
        <f ca="1">IFERROR(__xludf.DUMMYFUNCTION("GOOGLEFINANCE(""NSE:""&amp;D2417,""EPS"")"),"#N/A")</f>
        <v>#N/A</v>
      </c>
      <c r="Q2417" s="7">
        <v>13.5</v>
      </c>
      <c r="R2417" s="7" t="str">
        <f ca="1">IFERROR(__xludf.DUMMYFUNCTION("IMPORTXML(E2417,""/html/body/main/div[3]/div[3]/div[2]/ul/li[7]/span[2]/span"")"),"Loading...")</f>
        <v>Loading...</v>
      </c>
      <c r="S2417" s="7" t="str">
        <f ca="1">IFERROR(__xludf.DUMMYFUNCTION("IMPORTXML(E2417,""/html/body/main/div[3]/div[3]/div[2]/ul/li[8]/span[2]/span"")"),"Loading...")</f>
        <v>Loading...</v>
      </c>
      <c r="T2417" s="4">
        <v>34.6</v>
      </c>
      <c r="U2417" s="4">
        <v>22.7</v>
      </c>
      <c r="V2417" s="4">
        <v>2.6</v>
      </c>
      <c r="W2417" s="4">
        <v>5.7</v>
      </c>
      <c r="X2417" s="4">
        <v>519.92999999999995</v>
      </c>
      <c r="Y2417" s="7" t="e">
        <f t="shared" ca="1" si="49"/>
        <v>#VALUE!</v>
      </c>
    </row>
    <row r="2418" spans="1:25" ht="15" x14ac:dyDescent="0.25">
      <c r="A2418" s="4">
        <v>2332</v>
      </c>
      <c r="C2418" s="12" t="s">
        <v>4667</v>
      </c>
      <c r="D2418" s="12" t="s">
        <v>4668</v>
      </c>
      <c r="E2418" s="5" t="str">
        <f t="shared" si="45"/>
        <v>https://www.screener.in/company/SUNDARAM/consolidated/</v>
      </c>
      <c r="F2418" s="4">
        <v>443059</v>
      </c>
      <c r="G2418" s="4">
        <v>3832241897</v>
      </c>
      <c r="H2418" s="6">
        <f t="shared" ca="1" si="46"/>
        <v>770.28062129699993</v>
      </c>
      <c r="I2418" s="7" t="str">
        <f ca="1">IFERROR(__xludf.DUMMYFUNCTION("IMPORTXML(E2418,""/html/body/main/div[3]/div[3]/div[2]/ul/li[5]/span[2]/span"")"),"Loading...")</f>
        <v>Loading...</v>
      </c>
      <c r="J2418" s="7">
        <f ca="1">IFERROR(__xludf.DUMMYFUNCTION("GOOGLEFINANCE(""NSE:""&amp;D2418,""marketcap"")"),947755600)</f>
        <v>947755600</v>
      </c>
      <c r="K2418" s="7">
        <v>992.8</v>
      </c>
      <c r="L2418" s="8">
        <f ca="1">IFERROR(__xludf.DUMMYFUNCTION("GOOGLEFINANCE(""NSE:""&amp;D2418,""price"")"),2.01)</f>
        <v>2.0099999999999998</v>
      </c>
      <c r="M2418" s="9">
        <f t="shared" ca="1" si="47"/>
        <v>-990.79</v>
      </c>
      <c r="N2418" s="10">
        <f t="shared" ca="1" si="48"/>
        <v>-99.797542304593065</v>
      </c>
      <c r="O2418" s="7" t="str">
        <f ca="1">IFERROR(__xludf.DUMMYFUNCTION("GOOGLEFINANCE(""NSE:""&amp;D2418,""pe"")"),"#N/A")</f>
        <v>#N/A</v>
      </c>
      <c r="P2418" s="7">
        <f ca="1">IFERROR(__xludf.DUMMYFUNCTION("GOOGLEFINANCE(""NSE:""&amp;D2418,""EPS"")"),-0.13)</f>
        <v>-0.13</v>
      </c>
      <c r="Q2418" s="7">
        <v>13.5</v>
      </c>
      <c r="R2418" s="7" t="str">
        <f ca="1">IFERROR(__xludf.DUMMYFUNCTION("IMPORTXML(E2418,""/html/body/main/div[3]/div[3]/div[2]/ul/li[7]/span[2]/span"")"),"Loading...")</f>
        <v>Loading...</v>
      </c>
      <c r="S2418" s="7" t="str">
        <f ca="1">IFERROR(__xludf.DUMMYFUNCTION("IMPORTXML(E2418,""/html/body/main/div[3]/div[3]/div[2]/ul/li[8]/span[2]/span"")"),"Loading...")</f>
        <v>Loading...</v>
      </c>
      <c r="T2418" s="4">
        <v>34.6</v>
      </c>
      <c r="U2418" s="4">
        <v>22.7</v>
      </c>
      <c r="V2418" s="4">
        <v>2.6</v>
      </c>
      <c r="W2418" s="4">
        <v>5.7</v>
      </c>
      <c r="X2418" s="4">
        <v>519.92999999999995</v>
      </c>
      <c r="Y2418" s="7">
        <f t="shared" ca="1" si="49"/>
        <v>-517.91999999999996</v>
      </c>
    </row>
    <row r="2419" spans="1:25" ht="15" x14ac:dyDescent="0.25">
      <c r="A2419" s="4">
        <v>2333</v>
      </c>
      <c r="C2419" s="41" t="s">
        <v>4669</v>
      </c>
      <c r="D2419" s="42"/>
      <c r="E2419" s="5" t="str">
        <f t="shared" si="45"/>
        <v>https://www.screener.in/company//consolidated/</v>
      </c>
      <c r="F2419" s="4">
        <v>443059</v>
      </c>
      <c r="G2419" s="4">
        <v>3832241897</v>
      </c>
      <c r="H2419" s="6" t="e">
        <f t="shared" ca="1" si="46"/>
        <v>#VALUE!</v>
      </c>
      <c r="I2419" s="7" t="str">
        <f ca="1">IFERROR(__xludf.DUMMYFUNCTION("IMPORTXML(E2419,""/html/body/main/div[3]/div[3]/div[2]/ul/li[5]/span[2]/span"")"),"Loading...")</f>
        <v>Loading...</v>
      </c>
      <c r="J2419" s="7" t="str">
        <f ca="1">IFERROR(__xludf.DUMMYFUNCTION("GOOGLEFINANCE(""NSE:""&amp;D2419,""marketcap"")"),"#N/A")</f>
        <v>#N/A</v>
      </c>
      <c r="K2419" s="7">
        <v>992.8</v>
      </c>
      <c r="L2419" s="8" t="str">
        <f ca="1">IFERROR(__xludf.DUMMYFUNCTION("GOOGLEFINANCE(""NSE:""&amp;D2419,""price"")"),"#N/A")</f>
        <v>#N/A</v>
      </c>
      <c r="M2419" s="9" t="e">
        <f t="shared" ca="1" si="47"/>
        <v>#VALUE!</v>
      </c>
      <c r="N2419" s="10" t="e">
        <f t="shared" ca="1" si="48"/>
        <v>#VALUE!</v>
      </c>
      <c r="O2419" s="7" t="str">
        <f ca="1">IFERROR(__xludf.DUMMYFUNCTION("GOOGLEFINANCE(""NSE:""&amp;D2419,""pe"")"),"#N/A")</f>
        <v>#N/A</v>
      </c>
      <c r="P2419" s="7" t="str">
        <f ca="1">IFERROR(__xludf.DUMMYFUNCTION("GOOGLEFINANCE(""NSE:""&amp;D2419,""EPS"")"),"#N/A")</f>
        <v>#N/A</v>
      </c>
      <c r="Q2419" s="7">
        <v>13.5</v>
      </c>
      <c r="R2419" s="7" t="str">
        <f ca="1">IFERROR(__xludf.DUMMYFUNCTION("IMPORTXML(E2419,""/html/body/main/div[3]/div[3]/div[2]/ul/li[7]/span[2]/span"")"),"Loading...")</f>
        <v>Loading...</v>
      </c>
      <c r="S2419" s="7" t="str">
        <f ca="1">IFERROR(__xludf.DUMMYFUNCTION("IMPORTXML(E2419,""/html/body/main/div[3]/div[3]/div[2]/ul/li[8]/span[2]/span"")"),"Loading...")</f>
        <v>Loading...</v>
      </c>
      <c r="T2419" s="4">
        <v>34.6</v>
      </c>
      <c r="U2419" s="4">
        <v>22.7</v>
      </c>
      <c r="V2419" s="4">
        <v>2.6</v>
      </c>
      <c r="W2419" s="4">
        <v>5.7</v>
      </c>
      <c r="X2419" s="4">
        <v>519.92999999999995</v>
      </c>
      <c r="Y2419" s="7" t="e">
        <f t="shared" ca="1" si="49"/>
        <v>#VALUE!</v>
      </c>
    </row>
    <row r="2420" spans="1:25" ht="15" x14ac:dyDescent="0.25">
      <c r="A2420" s="4">
        <v>2334</v>
      </c>
      <c r="C2420" s="41" t="s">
        <v>4670</v>
      </c>
      <c r="D2420" s="42"/>
      <c r="E2420" s="5" t="str">
        <f t="shared" si="45"/>
        <v>https://www.screener.in/company//consolidated/</v>
      </c>
      <c r="F2420" s="4">
        <v>443059</v>
      </c>
      <c r="G2420" s="4">
        <v>3832241897</v>
      </c>
      <c r="H2420" s="6" t="e">
        <f t="shared" ca="1" si="46"/>
        <v>#VALUE!</v>
      </c>
      <c r="I2420" s="7" t="str">
        <f ca="1">IFERROR(__xludf.DUMMYFUNCTION("IMPORTXML(E2420,""/html/body/main/div[3]/div[3]/div[2]/ul/li[5]/span[2]/span"")"),"Loading...")</f>
        <v>Loading...</v>
      </c>
      <c r="J2420" s="7" t="str">
        <f ca="1">IFERROR(__xludf.DUMMYFUNCTION("GOOGLEFINANCE(""NSE:""&amp;D2420,""marketcap"")"),"#N/A")</f>
        <v>#N/A</v>
      </c>
      <c r="K2420" s="7">
        <v>992.8</v>
      </c>
      <c r="L2420" s="8" t="str">
        <f ca="1">IFERROR(__xludf.DUMMYFUNCTION("GOOGLEFINANCE(""NSE:""&amp;D2420,""price"")"),"#N/A")</f>
        <v>#N/A</v>
      </c>
      <c r="M2420" s="9" t="e">
        <f t="shared" ca="1" si="47"/>
        <v>#VALUE!</v>
      </c>
      <c r="N2420" s="10" t="e">
        <f t="shared" ca="1" si="48"/>
        <v>#VALUE!</v>
      </c>
      <c r="O2420" s="7" t="str">
        <f ca="1">IFERROR(__xludf.DUMMYFUNCTION("GOOGLEFINANCE(""NSE:""&amp;D2420,""pe"")"),"#N/A")</f>
        <v>#N/A</v>
      </c>
      <c r="P2420" s="7" t="str">
        <f ca="1">IFERROR(__xludf.DUMMYFUNCTION("GOOGLEFINANCE(""NSE:""&amp;D2420,""EPS"")"),"#N/A")</f>
        <v>#N/A</v>
      </c>
      <c r="Q2420" s="7">
        <v>13.5</v>
      </c>
      <c r="R2420" s="7" t="str">
        <f ca="1">IFERROR(__xludf.DUMMYFUNCTION("IMPORTXML(E2420,""/html/body/main/div[3]/div[3]/div[2]/ul/li[7]/span[2]/span"")"),"Loading...")</f>
        <v>Loading...</v>
      </c>
      <c r="S2420" s="7" t="str">
        <f ca="1">IFERROR(__xludf.DUMMYFUNCTION("IMPORTXML(E2420,""/html/body/main/div[3]/div[3]/div[2]/ul/li[8]/span[2]/span"")"),"Loading...")</f>
        <v>Loading...</v>
      </c>
      <c r="T2420" s="4">
        <v>34.6</v>
      </c>
      <c r="U2420" s="4">
        <v>22.7</v>
      </c>
      <c r="V2420" s="4">
        <v>2.6</v>
      </c>
      <c r="W2420" s="4">
        <v>5.7</v>
      </c>
      <c r="X2420" s="4">
        <v>519.92999999999995</v>
      </c>
      <c r="Y2420" s="7" t="e">
        <f t="shared" ca="1" si="49"/>
        <v>#VALUE!</v>
      </c>
    </row>
    <row r="2421" spans="1:25" ht="15" x14ac:dyDescent="0.25">
      <c r="A2421" s="4">
        <v>2335</v>
      </c>
      <c r="C2421" s="41" t="s">
        <v>4671</v>
      </c>
      <c r="D2421" s="42"/>
      <c r="E2421" s="5" t="str">
        <f t="shared" si="45"/>
        <v>https://www.screener.in/company//consolidated/</v>
      </c>
      <c r="F2421" s="4">
        <v>443059</v>
      </c>
      <c r="G2421" s="4">
        <v>3832241897</v>
      </c>
      <c r="H2421" s="6" t="e">
        <f t="shared" ca="1" si="46"/>
        <v>#VALUE!</v>
      </c>
      <c r="I2421" s="7" t="str">
        <f ca="1">IFERROR(__xludf.DUMMYFUNCTION("IMPORTXML(E2421,""/html/body/main/div[3]/div[3]/div[2]/ul/li[5]/span[2]/span"")"),"Loading...")</f>
        <v>Loading...</v>
      </c>
      <c r="J2421" s="7" t="str">
        <f ca="1">IFERROR(__xludf.DUMMYFUNCTION("GOOGLEFINANCE(""NSE:""&amp;D2421,""marketcap"")"),"#N/A")</f>
        <v>#N/A</v>
      </c>
      <c r="K2421" s="7">
        <v>992.8</v>
      </c>
      <c r="L2421" s="8" t="str">
        <f ca="1">IFERROR(__xludf.DUMMYFUNCTION("GOOGLEFINANCE(""NSE:""&amp;D2421,""price"")"),"#N/A")</f>
        <v>#N/A</v>
      </c>
      <c r="M2421" s="9" t="e">
        <f t="shared" ca="1" si="47"/>
        <v>#VALUE!</v>
      </c>
      <c r="N2421" s="10" t="e">
        <f t="shared" ca="1" si="48"/>
        <v>#VALUE!</v>
      </c>
      <c r="O2421" s="7" t="str">
        <f ca="1">IFERROR(__xludf.DUMMYFUNCTION("GOOGLEFINANCE(""NSE:""&amp;D2421,""pe"")"),"#N/A")</f>
        <v>#N/A</v>
      </c>
      <c r="P2421" s="7" t="str">
        <f ca="1">IFERROR(__xludf.DUMMYFUNCTION("GOOGLEFINANCE(""NSE:""&amp;D2421,""EPS"")"),"#N/A")</f>
        <v>#N/A</v>
      </c>
      <c r="Q2421" s="7">
        <v>13.5</v>
      </c>
      <c r="R2421" s="7" t="str">
        <f ca="1">IFERROR(__xludf.DUMMYFUNCTION("IMPORTXML(E2421,""/html/body/main/div[3]/div[3]/div[2]/ul/li[7]/span[2]/span"")"),"Loading...")</f>
        <v>Loading...</v>
      </c>
      <c r="S2421" s="7" t="str">
        <f ca="1">IFERROR(__xludf.DUMMYFUNCTION("IMPORTXML(E2421,""/html/body/main/div[3]/div[3]/div[2]/ul/li[8]/span[2]/span"")"),"Loading...")</f>
        <v>Loading...</v>
      </c>
      <c r="T2421" s="4">
        <v>34.6</v>
      </c>
      <c r="U2421" s="4">
        <v>22.7</v>
      </c>
      <c r="V2421" s="4">
        <v>2.6</v>
      </c>
      <c r="W2421" s="4">
        <v>5.7</v>
      </c>
      <c r="X2421" s="4">
        <v>519.92999999999995</v>
      </c>
      <c r="Y2421" s="7" t="e">
        <f t="shared" ca="1" si="49"/>
        <v>#VALUE!</v>
      </c>
    </row>
    <row r="2422" spans="1:25" ht="15" x14ac:dyDescent="0.25">
      <c r="A2422" s="4">
        <v>2337</v>
      </c>
      <c r="C2422" s="41" t="s">
        <v>4672</v>
      </c>
      <c r="D2422" s="42"/>
      <c r="E2422" s="5" t="str">
        <f t="shared" si="45"/>
        <v>https://www.screener.in/company//consolidated/</v>
      </c>
      <c r="F2422" s="4">
        <v>443059</v>
      </c>
      <c r="G2422" s="4">
        <v>3832241897</v>
      </c>
      <c r="H2422" s="6" t="e">
        <f t="shared" ca="1" si="46"/>
        <v>#VALUE!</v>
      </c>
      <c r="I2422" s="7" t="str">
        <f ca="1">IFERROR(__xludf.DUMMYFUNCTION("IMPORTXML(E2422,""/html/body/main/div[3]/div[3]/div[2]/ul/li[5]/span[2]/span"")"),"Loading...")</f>
        <v>Loading...</v>
      </c>
      <c r="J2422" s="7" t="str">
        <f ca="1">IFERROR(__xludf.DUMMYFUNCTION("GOOGLEFINANCE(""NSE:""&amp;D2422,""marketcap"")"),"#N/A")</f>
        <v>#N/A</v>
      </c>
      <c r="K2422" s="7">
        <v>992.8</v>
      </c>
      <c r="L2422" s="8" t="str">
        <f ca="1">IFERROR(__xludf.DUMMYFUNCTION("GOOGLEFINANCE(""NSE:""&amp;D2422,""price"")"),"#N/A")</f>
        <v>#N/A</v>
      </c>
      <c r="M2422" s="9" t="e">
        <f t="shared" ca="1" si="47"/>
        <v>#VALUE!</v>
      </c>
      <c r="N2422" s="10" t="e">
        <f t="shared" ca="1" si="48"/>
        <v>#VALUE!</v>
      </c>
      <c r="O2422" s="7" t="str">
        <f ca="1">IFERROR(__xludf.DUMMYFUNCTION("GOOGLEFINANCE(""NSE:""&amp;D2422,""pe"")"),"#N/A")</f>
        <v>#N/A</v>
      </c>
      <c r="P2422" s="7" t="str">
        <f ca="1">IFERROR(__xludf.DUMMYFUNCTION("GOOGLEFINANCE(""NSE:""&amp;D2422,""EPS"")"),"#N/A")</f>
        <v>#N/A</v>
      </c>
      <c r="Q2422" s="7">
        <v>13.5</v>
      </c>
      <c r="R2422" s="7" t="str">
        <f ca="1">IFERROR(__xludf.DUMMYFUNCTION("IMPORTXML(E2422,""/html/body/main/div[3]/div[3]/div[2]/ul/li[7]/span[2]/span"")"),"Loading...")</f>
        <v>Loading...</v>
      </c>
      <c r="S2422" s="7" t="str">
        <f ca="1">IFERROR(__xludf.DUMMYFUNCTION("IMPORTXML(E2422,""/html/body/main/div[3]/div[3]/div[2]/ul/li[8]/span[2]/span"")"),"Loading...")</f>
        <v>Loading...</v>
      </c>
      <c r="T2422" s="4">
        <v>34.6</v>
      </c>
      <c r="U2422" s="4">
        <v>22.7</v>
      </c>
      <c r="V2422" s="4">
        <v>2.6</v>
      </c>
      <c r="W2422" s="4">
        <v>5.7</v>
      </c>
      <c r="X2422" s="4">
        <v>519.92999999999995</v>
      </c>
      <c r="Y2422" s="7" t="e">
        <f t="shared" ca="1" si="49"/>
        <v>#VALUE!</v>
      </c>
    </row>
    <row r="2423" spans="1:25" ht="15" x14ac:dyDescent="0.25">
      <c r="A2423" s="4">
        <v>2339</v>
      </c>
      <c r="C2423" s="12" t="s">
        <v>4673</v>
      </c>
      <c r="D2423" s="12" t="s">
        <v>4674</v>
      </c>
      <c r="E2423" s="5" t="str">
        <f t="shared" si="45"/>
        <v>https://www.screener.in/company/DIGJAMLMTD/consolidated/</v>
      </c>
      <c r="F2423" s="4">
        <v>443059</v>
      </c>
      <c r="G2423" s="4">
        <v>3832241897</v>
      </c>
      <c r="H2423" s="6">
        <f t="shared" ca="1" si="46"/>
        <v>21805.456393929999</v>
      </c>
      <c r="I2423" s="7" t="str">
        <f ca="1">IFERROR(__xludf.DUMMYFUNCTION("IMPORTXML(E2423,""/html/body/main/div[3]/div[3]/div[2]/ul/li[5]/span[2]/span"")"),"Loading...")</f>
        <v>Loading...</v>
      </c>
      <c r="J2423" s="7">
        <f ca="1">IFERROR(__xludf.DUMMYFUNCTION("GOOGLEFINANCE(""NSE:""&amp;D2423,""marketcap"")"),1134580440)</f>
        <v>1134580440</v>
      </c>
      <c r="K2423" s="7">
        <v>992.8</v>
      </c>
      <c r="L2423" s="8">
        <f ca="1">IFERROR(__xludf.DUMMYFUNCTION("GOOGLEFINANCE(""NSE:""&amp;D2423,""price"")"),56.9)</f>
        <v>56.9</v>
      </c>
      <c r="M2423" s="9">
        <f t="shared" ca="1" si="47"/>
        <v>-935.9</v>
      </c>
      <c r="N2423" s="10">
        <f t="shared" ca="1" si="48"/>
        <v>-94.268734891216766</v>
      </c>
      <c r="O2423" s="7" t="str">
        <f ca="1">IFERROR(__xludf.DUMMYFUNCTION("GOOGLEFINANCE(""NSE:""&amp;D2423,""pe"")"),"#N/A")</f>
        <v>#N/A</v>
      </c>
      <c r="P2423" s="7">
        <f ca="1">IFERROR(__xludf.DUMMYFUNCTION("GOOGLEFINANCE(""NSE:""&amp;D2423,""EPS"")"),-2.79)</f>
        <v>-2.79</v>
      </c>
      <c r="Q2423" s="7">
        <v>13.5</v>
      </c>
      <c r="R2423" s="7" t="str">
        <f ca="1">IFERROR(__xludf.DUMMYFUNCTION("IMPORTXML(E2423,""/html/body/main/div[3]/div[3]/div[2]/ul/li[7]/span[2]/span"")"),"Loading...")</f>
        <v>Loading...</v>
      </c>
      <c r="S2423" s="7" t="str">
        <f ca="1">IFERROR(__xludf.DUMMYFUNCTION("IMPORTXML(E2423,""/html/body/main/div[3]/div[3]/div[2]/ul/li[8]/span[2]/span"")"),"Loading...")</f>
        <v>Loading...</v>
      </c>
      <c r="T2423" s="4">
        <v>34.6</v>
      </c>
      <c r="U2423" s="4">
        <v>22.7</v>
      </c>
      <c r="V2423" s="4">
        <v>2.6</v>
      </c>
      <c r="W2423" s="4">
        <v>5.7</v>
      </c>
      <c r="X2423" s="4">
        <v>519.92999999999995</v>
      </c>
      <c r="Y2423" s="7">
        <f t="shared" ca="1" si="49"/>
        <v>-463.03</v>
      </c>
    </row>
    <row r="2424" spans="1:25" ht="15" x14ac:dyDescent="0.25">
      <c r="A2424" s="4">
        <v>2340</v>
      </c>
      <c r="C2424" s="41" t="s">
        <v>4675</v>
      </c>
      <c r="D2424" s="42"/>
      <c r="E2424" s="5" t="str">
        <f t="shared" si="45"/>
        <v>https://www.screener.in/company//consolidated/</v>
      </c>
      <c r="F2424" s="4">
        <v>443059</v>
      </c>
      <c r="G2424" s="4">
        <v>3832241897</v>
      </c>
      <c r="H2424" s="6" t="e">
        <f t="shared" ca="1" si="46"/>
        <v>#VALUE!</v>
      </c>
      <c r="I2424" s="7" t="str">
        <f ca="1">IFERROR(__xludf.DUMMYFUNCTION("IMPORTXML(E2424,""/html/body/main/div[3]/div[3]/div[2]/ul/li[5]/span[2]/span"")"),"Loading...")</f>
        <v>Loading...</v>
      </c>
      <c r="J2424" s="7" t="str">
        <f ca="1">IFERROR(__xludf.DUMMYFUNCTION("GOOGLEFINANCE(""NSE:""&amp;D2424,""marketcap"")"),"#N/A")</f>
        <v>#N/A</v>
      </c>
      <c r="K2424" s="7">
        <v>992.8</v>
      </c>
      <c r="L2424" s="8" t="str">
        <f ca="1">IFERROR(__xludf.DUMMYFUNCTION("GOOGLEFINANCE(""NSE:""&amp;D2424,""price"")"),"#N/A")</f>
        <v>#N/A</v>
      </c>
      <c r="M2424" s="9" t="e">
        <f t="shared" ca="1" si="47"/>
        <v>#VALUE!</v>
      </c>
      <c r="N2424" s="10" t="e">
        <f t="shared" ca="1" si="48"/>
        <v>#VALUE!</v>
      </c>
      <c r="O2424" s="7" t="str">
        <f ca="1">IFERROR(__xludf.DUMMYFUNCTION("GOOGLEFINANCE(""NSE:""&amp;D2424,""pe"")"),"#N/A")</f>
        <v>#N/A</v>
      </c>
      <c r="P2424" s="7" t="str">
        <f ca="1">IFERROR(__xludf.DUMMYFUNCTION("GOOGLEFINANCE(""NSE:""&amp;D2424,""EPS"")"),"#N/A")</f>
        <v>#N/A</v>
      </c>
      <c r="Q2424" s="7">
        <v>13.5</v>
      </c>
      <c r="R2424" s="7" t="str">
        <f ca="1">IFERROR(__xludf.DUMMYFUNCTION("IMPORTXML(E2424,""/html/body/main/div[3]/div[3]/div[2]/ul/li[7]/span[2]/span"")"),"Loading...")</f>
        <v>Loading...</v>
      </c>
      <c r="S2424" s="7" t="str">
        <f ca="1">IFERROR(__xludf.DUMMYFUNCTION("IMPORTXML(E2424,""/html/body/main/div[3]/div[3]/div[2]/ul/li[8]/span[2]/span"")"),"Loading...")</f>
        <v>Loading...</v>
      </c>
      <c r="T2424" s="4">
        <v>34.6</v>
      </c>
      <c r="U2424" s="4">
        <v>22.7</v>
      </c>
      <c r="V2424" s="4">
        <v>2.6</v>
      </c>
      <c r="W2424" s="4">
        <v>5.7</v>
      </c>
      <c r="X2424" s="4">
        <v>519.92999999999995</v>
      </c>
      <c r="Y2424" s="7" t="e">
        <f t="shared" ca="1" si="49"/>
        <v>#VALUE!</v>
      </c>
    </row>
    <row r="2425" spans="1:25" ht="15" x14ac:dyDescent="0.25">
      <c r="A2425" s="4">
        <v>2342</v>
      </c>
      <c r="C2425" s="41" t="s">
        <v>4676</v>
      </c>
      <c r="D2425" s="42"/>
      <c r="E2425" s="5" t="str">
        <f t="shared" si="45"/>
        <v>https://www.screener.in/company//consolidated/</v>
      </c>
      <c r="F2425" s="4">
        <v>443059</v>
      </c>
      <c r="G2425" s="4">
        <v>3832241897</v>
      </c>
      <c r="H2425" s="6" t="e">
        <f t="shared" ca="1" si="46"/>
        <v>#VALUE!</v>
      </c>
      <c r="I2425" s="7" t="str">
        <f ca="1">IFERROR(__xludf.DUMMYFUNCTION("IMPORTXML(E2425,""/html/body/main/div[3]/div[3]/div[2]/ul/li[5]/span[2]/span"")"),"Loading...")</f>
        <v>Loading...</v>
      </c>
      <c r="J2425" s="7" t="str">
        <f ca="1">IFERROR(__xludf.DUMMYFUNCTION("GOOGLEFINANCE(""NSE:""&amp;D2425,""marketcap"")"),"#N/A")</f>
        <v>#N/A</v>
      </c>
      <c r="K2425" s="7">
        <v>992.8</v>
      </c>
      <c r="L2425" s="8" t="str">
        <f ca="1">IFERROR(__xludf.DUMMYFUNCTION("GOOGLEFINANCE(""NSE:""&amp;D2425,""price"")"),"#N/A")</f>
        <v>#N/A</v>
      </c>
      <c r="M2425" s="9" t="e">
        <f t="shared" ca="1" si="47"/>
        <v>#VALUE!</v>
      </c>
      <c r="N2425" s="10" t="e">
        <f t="shared" ca="1" si="48"/>
        <v>#VALUE!</v>
      </c>
      <c r="O2425" s="7" t="str">
        <f ca="1">IFERROR(__xludf.DUMMYFUNCTION("GOOGLEFINANCE(""NSE:""&amp;D2425,""pe"")"),"#N/A")</f>
        <v>#N/A</v>
      </c>
      <c r="P2425" s="7" t="str">
        <f ca="1">IFERROR(__xludf.DUMMYFUNCTION("GOOGLEFINANCE(""NSE:""&amp;D2425,""EPS"")"),"#N/A")</f>
        <v>#N/A</v>
      </c>
      <c r="Q2425" s="7">
        <v>13.5</v>
      </c>
      <c r="R2425" s="7" t="str">
        <f ca="1">IFERROR(__xludf.DUMMYFUNCTION("IMPORTXML(E2425,""/html/body/main/div[3]/div[3]/div[2]/ul/li[7]/span[2]/span"")"),"Loading...")</f>
        <v>Loading...</v>
      </c>
      <c r="S2425" s="7" t="str">
        <f ca="1">IFERROR(__xludf.DUMMYFUNCTION("IMPORTXML(E2425,""/html/body/main/div[3]/div[3]/div[2]/ul/li[8]/span[2]/span"")"),"Loading...")</f>
        <v>Loading...</v>
      </c>
      <c r="T2425" s="4">
        <v>34.6</v>
      </c>
      <c r="U2425" s="4">
        <v>22.7</v>
      </c>
      <c r="V2425" s="4">
        <v>2.6</v>
      </c>
      <c r="W2425" s="4">
        <v>5.7</v>
      </c>
      <c r="X2425" s="4">
        <v>519.92999999999995</v>
      </c>
      <c r="Y2425" s="7" t="e">
        <f t="shared" ca="1" si="49"/>
        <v>#VALUE!</v>
      </c>
    </row>
    <row r="2426" spans="1:25" ht="15" x14ac:dyDescent="0.25">
      <c r="A2426" s="4">
        <v>2344</v>
      </c>
      <c r="C2426" s="12" t="s">
        <v>4677</v>
      </c>
      <c r="D2426" s="12" t="s">
        <v>4678</v>
      </c>
      <c r="E2426" s="5" t="str">
        <f t="shared" si="45"/>
        <v>https://www.screener.in/company/SAMPANN/consolidated/</v>
      </c>
      <c r="F2426" s="4">
        <v>443059</v>
      </c>
      <c r="G2426" s="4">
        <v>3832241897</v>
      </c>
      <c r="H2426" s="6">
        <f t="shared" ca="1" si="46"/>
        <v>10887.399229377001</v>
      </c>
      <c r="I2426" s="7" t="str">
        <f ca="1">IFERROR(__xludf.DUMMYFUNCTION("IMPORTXML(E2426,""/html/body/main/div[3]/div[3]/div[2]/ul/li[5]/span[2]/span"")"),"Loading...")</f>
        <v>Loading...</v>
      </c>
      <c r="J2426" s="7">
        <f ca="1">IFERROR(__xludf.DUMMYFUNCTION("GOOGLEFINANCE(""NSE:""&amp;D2426,""marketcap"")"),1153730093)</f>
        <v>1153730093</v>
      </c>
      <c r="K2426" s="7">
        <v>992.8</v>
      </c>
      <c r="L2426" s="8">
        <f ca="1">IFERROR(__xludf.DUMMYFUNCTION("GOOGLEFINANCE(""NSE:""&amp;D2426,""price"")"),28.41)</f>
        <v>28.41</v>
      </c>
      <c r="M2426" s="9">
        <f t="shared" ca="1" si="47"/>
        <v>-964.39</v>
      </c>
      <c r="N2426" s="10">
        <f t="shared" ca="1" si="48"/>
        <v>-97.138396454472201</v>
      </c>
      <c r="O2426" s="7">
        <f ca="1">IFERROR(__xludf.DUMMYFUNCTION("GOOGLEFINANCE(""NSE:""&amp;D2426,""pe"")"),15.78)</f>
        <v>15.78</v>
      </c>
      <c r="P2426" s="7">
        <f ca="1">IFERROR(__xludf.DUMMYFUNCTION("GOOGLEFINANCE(""NSE:""&amp;D2426,""EPS"")"),1.8)</f>
        <v>1.8</v>
      </c>
      <c r="Q2426" s="7">
        <v>13.5</v>
      </c>
      <c r="R2426" s="7" t="str">
        <f ca="1">IFERROR(__xludf.DUMMYFUNCTION("IMPORTXML(E2426,""/html/body/main/div[3]/div[3]/div[2]/ul/li[7]/span[2]/span"")"),"Loading...")</f>
        <v>Loading...</v>
      </c>
      <c r="S2426" s="7" t="str">
        <f ca="1">IFERROR(__xludf.DUMMYFUNCTION("IMPORTXML(E2426,""/html/body/main/div[3]/div[3]/div[2]/ul/li[8]/span[2]/span"")"),"Loading...")</f>
        <v>Loading...</v>
      </c>
      <c r="T2426" s="4">
        <v>34.6</v>
      </c>
      <c r="U2426" s="4">
        <v>22.7</v>
      </c>
      <c r="V2426" s="4">
        <v>2.6</v>
      </c>
      <c r="W2426" s="4">
        <v>5.7</v>
      </c>
      <c r="X2426" s="4">
        <v>519.92999999999995</v>
      </c>
      <c r="Y2426" s="7">
        <f t="shared" ca="1" si="49"/>
        <v>-491.51999999999992</v>
      </c>
    </row>
    <row r="2427" spans="1:25" ht="15" x14ac:dyDescent="0.25">
      <c r="A2427" s="4">
        <v>2345</v>
      </c>
      <c r="C2427" s="41" t="s">
        <v>4679</v>
      </c>
      <c r="D2427" s="42"/>
      <c r="E2427" s="5" t="str">
        <f t="shared" si="45"/>
        <v>https://www.screener.in/company//consolidated/</v>
      </c>
      <c r="F2427" s="4">
        <v>443059</v>
      </c>
      <c r="G2427" s="4">
        <v>3832241897</v>
      </c>
      <c r="H2427" s="6" t="e">
        <f t="shared" ca="1" si="46"/>
        <v>#VALUE!</v>
      </c>
      <c r="I2427" s="7" t="str">
        <f ca="1">IFERROR(__xludf.DUMMYFUNCTION("IMPORTXML(E2427,""/html/body/main/div[3]/div[3]/div[2]/ul/li[5]/span[2]/span"")"),"Loading...")</f>
        <v>Loading...</v>
      </c>
      <c r="J2427" s="7" t="str">
        <f ca="1">IFERROR(__xludf.DUMMYFUNCTION("GOOGLEFINANCE(""NSE:""&amp;D2427,""marketcap"")"),"#N/A")</f>
        <v>#N/A</v>
      </c>
      <c r="K2427" s="7">
        <v>992.8</v>
      </c>
      <c r="L2427" s="8" t="str">
        <f ca="1">IFERROR(__xludf.DUMMYFUNCTION("GOOGLEFINANCE(""NSE:""&amp;D2427,""price"")"),"#N/A")</f>
        <v>#N/A</v>
      </c>
      <c r="M2427" s="9" t="e">
        <f t="shared" ca="1" si="47"/>
        <v>#VALUE!</v>
      </c>
      <c r="N2427" s="10" t="e">
        <f t="shared" ca="1" si="48"/>
        <v>#VALUE!</v>
      </c>
      <c r="O2427" s="7" t="str">
        <f ca="1">IFERROR(__xludf.DUMMYFUNCTION("GOOGLEFINANCE(""NSE:""&amp;D2427,""pe"")"),"#N/A")</f>
        <v>#N/A</v>
      </c>
      <c r="P2427" s="7" t="str">
        <f ca="1">IFERROR(__xludf.DUMMYFUNCTION("GOOGLEFINANCE(""NSE:""&amp;D2427,""EPS"")"),"#N/A")</f>
        <v>#N/A</v>
      </c>
      <c r="Q2427" s="7">
        <v>13.5</v>
      </c>
      <c r="R2427" s="7" t="str">
        <f ca="1">IFERROR(__xludf.DUMMYFUNCTION("IMPORTXML(E2427,""/html/body/main/div[3]/div[3]/div[2]/ul/li[7]/span[2]/span"")"),"Loading...")</f>
        <v>Loading...</v>
      </c>
      <c r="S2427" s="7" t="str">
        <f ca="1">IFERROR(__xludf.DUMMYFUNCTION("IMPORTXML(E2427,""/html/body/main/div[3]/div[3]/div[2]/ul/li[8]/span[2]/span"")"),"Loading...")</f>
        <v>Loading...</v>
      </c>
      <c r="T2427" s="4">
        <v>34.6</v>
      </c>
      <c r="U2427" s="4">
        <v>22.7</v>
      </c>
      <c r="V2427" s="4">
        <v>2.6</v>
      </c>
      <c r="W2427" s="4">
        <v>5.7</v>
      </c>
      <c r="X2427" s="4">
        <v>519.92999999999995</v>
      </c>
      <c r="Y2427" s="7" t="e">
        <f t="shared" ca="1" si="49"/>
        <v>#VALUE!</v>
      </c>
    </row>
    <row r="2428" spans="1:25" ht="15" x14ac:dyDescent="0.25">
      <c r="A2428" s="4">
        <v>2346</v>
      </c>
      <c r="C2428" s="41" t="s">
        <v>4680</v>
      </c>
      <c r="D2428" s="42"/>
      <c r="E2428" s="5" t="str">
        <f t="shared" si="45"/>
        <v>https://www.screener.in/company//consolidated/</v>
      </c>
      <c r="F2428" s="4">
        <v>443059</v>
      </c>
      <c r="G2428" s="4">
        <v>3832241897</v>
      </c>
      <c r="H2428" s="6" t="e">
        <f t="shared" ca="1" si="46"/>
        <v>#VALUE!</v>
      </c>
      <c r="I2428" s="7" t="str">
        <f ca="1">IFERROR(__xludf.DUMMYFUNCTION("IMPORTXML(E2428,""/html/body/main/div[3]/div[3]/div[2]/ul/li[5]/span[2]/span"")"),"Loading...")</f>
        <v>Loading...</v>
      </c>
      <c r="J2428" s="7" t="str">
        <f ca="1">IFERROR(__xludf.DUMMYFUNCTION("GOOGLEFINANCE(""NSE:""&amp;D2428,""marketcap"")"),"#N/A")</f>
        <v>#N/A</v>
      </c>
      <c r="K2428" s="7">
        <v>992.8</v>
      </c>
      <c r="L2428" s="8" t="str">
        <f ca="1">IFERROR(__xludf.DUMMYFUNCTION("GOOGLEFINANCE(""NSE:""&amp;D2428,""price"")"),"#N/A")</f>
        <v>#N/A</v>
      </c>
      <c r="M2428" s="9" t="e">
        <f t="shared" ca="1" si="47"/>
        <v>#VALUE!</v>
      </c>
      <c r="N2428" s="10" t="e">
        <f t="shared" ca="1" si="48"/>
        <v>#VALUE!</v>
      </c>
      <c r="O2428" s="7" t="str">
        <f ca="1">IFERROR(__xludf.DUMMYFUNCTION("GOOGLEFINANCE(""NSE:""&amp;D2428,""pe"")"),"#N/A")</f>
        <v>#N/A</v>
      </c>
      <c r="P2428" s="7" t="str">
        <f ca="1">IFERROR(__xludf.DUMMYFUNCTION("GOOGLEFINANCE(""NSE:""&amp;D2428,""EPS"")"),"#N/A")</f>
        <v>#N/A</v>
      </c>
      <c r="Q2428" s="7">
        <v>13.5</v>
      </c>
      <c r="R2428" s="7" t="str">
        <f ca="1">IFERROR(__xludf.DUMMYFUNCTION("IMPORTXML(E2428,""/html/body/main/div[3]/div[3]/div[2]/ul/li[7]/span[2]/span"")"),"Loading...")</f>
        <v>Loading...</v>
      </c>
      <c r="S2428" s="7" t="str">
        <f ca="1">IFERROR(__xludf.DUMMYFUNCTION("IMPORTXML(E2428,""/html/body/main/div[3]/div[3]/div[2]/ul/li[8]/span[2]/span"")"),"Loading...")</f>
        <v>Loading...</v>
      </c>
      <c r="T2428" s="4">
        <v>34.6</v>
      </c>
      <c r="U2428" s="4">
        <v>22.7</v>
      </c>
      <c r="V2428" s="4">
        <v>2.6</v>
      </c>
      <c r="W2428" s="4">
        <v>5.7</v>
      </c>
      <c r="X2428" s="4">
        <v>519.92999999999995</v>
      </c>
      <c r="Y2428" s="7" t="e">
        <f t="shared" ca="1" si="49"/>
        <v>#VALUE!</v>
      </c>
    </row>
    <row r="2429" spans="1:25" ht="15" x14ac:dyDescent="0.25">
      <c r="A2429" s="4">
        <v>2347</v>
      </c>
      <c r="C2429" s="41" t="s">
        <v>4681</v>
      </c>
      <c r="D2429" s="42"/>
      <c r="E2429" s="5" t="str">
        <f t="shared" si="45"/>
        <v>https://www.screener.in/company//consolidated/</v>
      </c>
      <c r="F2429" s="4">
        <v>443059</v>
      </c>
      <c r="G2429" s="4">
        <v>3832241897</v>
      </c>
      <c r="H2429" s="6" t="e">
        <f t="shared" ca="1" si="46"/>
        <v>#VALUE!</v>
      </c>
      <c r="I2429" s="7" t="str">
        <f ca="1">IFERROR(__xludf.DUMMYFUNCTION("IMPORTXML(E2429,""/html/body/main/div[3]/div[3]/div[2]/ul/li[5]/span[2]/span"")"),"Loading...")</f>
        <v>Loading...</v>
      </c>
      <c r="J2429" s="7" t="str">
        <f ca="1">IFERROR(__xludf.DUMMYFUNCTION("GOOGLEFINANCE(""NSE:""&amp;D2429,""marketcap"")"),"#N/A")</f>
        <v>#N/A</v>
      </c>
      <c r="K2429" s="7">
        <v>992.8</v>
      </c>
      <c r="L2429" s="8" t="str">
        <f ca="1">IFERROR(__xludf.DUMMYFUNCTION("GOOGLEFINANCE(""NSE:""&amp;D2429,""price"")"),"#N/A")</f>
        <v>#N/A</v>
      </c>
      <c r="M2429" s="9" t="e">
        <f t="shared" ca="1" si="47"/>
        <v>#VALUE!</v>
      </c>
      <c r="N2429" s="10" t="e">
        <f t="shared" ca="1" si="48"/>
        <v>#VALUE!</v>
      </c>
      <c r="O2429" s="7" t="str">
        <f ca="1">IFERROR(__xludf.DUMMYFUNCTION("GOOGLEFINANCE(""NSE:""&amp;D2429,""pe"")"),"#N/A")</f>
        <v>#N/A</v>
      </c>
      <c r="P2429" s="7" t="str">
        <f ca="1">IFERROR(__xludf.DUMMYFUNCTION("GOOGLEFINANCE(""NSE:""&amp;D2429,""EPS"")"),"#N/A")</f>
        <v>#N/A</v>
      </c>
      <c r="Q2429" s="7">
        <v>13.5</v>
      </c>
      <c r="R2429" s="7" t="str">
        <f ca="1">IFERROR(__xludf.DUMMYFUNCTION("IMPORTXML(E2429,""/html/body/main/div[3]/div[3]/div[2]/ul/li[7]/span[2]/span"")"),"Loading...")</f>
        <v>Loading...</v>
      </c>
      <c r="S2429" s="7" t="str">
        <f ca="1">IFERROR(__xludf.DUMMYFUNCTION("IMPORTXML(E2429,""/html/body/main/div[3]/div[3]/div[2]/ul/li[8]/span[2]/span"")"),"Loading...")</f>
        <v>Loading...</v>
      </c>
      <c r="T2429" s="4">
        <v>34.6</v>
      </c>
      <c r="U2429" s="4">
        <v>22.7</v>
      </c>
      <c r="V2429" s="4">
        <v>2.6</v>
      </c>
      <c r="W2429" s="4">
        <v>5.7</v>
      </c>
      <c r="X2429" s="4">
        <v>519.92999999999995</v>
      </c>
      <c r="Y2429" s="7" t="e">
        <f t="shared" ca="1" si="49"/>
        <v>#VALUE!</v>
      </c>
    </row>
    <row r="2430" spans="1:25" ht="15" x14ac:dyDescent="0.25">
      <c r="A2430" s="4">
        <v>2348</v>
      </c>
      <c r="C2430" s="41" t="s">
        <v>4682</v>
      </c>
      <c r="D2430" s="42"/>
      <c r="E2430" s="5" t="str">
        <f t="shared" si="45"/>
        <v>https://www.screener.in/company//consolidated/</v>
      </c>
      <c r="F2430" s="4">
        <v>443059</v>
      </c>
      <c r="G2430" s="4">
        <v>3832241897</v>
      </c>
      <c r="H2430" s="6" t="e">
        <f t="shared" ca="1" si="46"/>
        <v>#VALUE!</v>
      </c>
      <c r="I2430" s="7" t="str">
        <f ca="1">IFERROR(__xludf.DUMMYFUNCTION("IMPORTXML(E2430,""/html/body/main/div[3]/div[3]/div[2]/ul/li[5]/span[2]/span"")"),"Loading...")</f>
        <v>Loading...</v>
      </c>
      <c r="J2430" s="7" t="str">
        <f ca="1">IFERROR(__xludf.DUMMYFUNCTION("GOOGLEFINANCE(""NSE:""&amp;D2430,""marketcap"")"),"#N/A")</f>
        <v>#N/A</v>
      </c>
      <c r="K2430" s="7">
        <v>992.8</v>
      </c>
      <c r="L2430" s="8" t="str">
        <f ca="1">IFERROR(__xludf.DUMMYFUNCTION("GOOGLEFINANCE(""NSE:""&amp;D2430,""price"")"),"#N/A")</f>
        <v>#N/A</v>
      </c>
      <c r="M2430" s="9" t="e">
        <f t="shared" ca="1" si="47"/>
        <v>#VALUE!</v>
      </c>
      <c r="N2430" s="10" t="e">
        <f t="shared" ca="1" si="48"/>
        <v>#VALUE!</v>
      </c>
      <c r="O2430" s="7" t="str">
        <f ca="1">IFERROR(__xludf.DUMMYFUNCTION("GOOGLEFINANCE(""NSE:""&amp;D2430,""pe"")"),"#N/A")</f>
        <v>#N/A</v>
      </c>
      <c r="P2430" s="7" t="str">
        <f ca="1">IFERROR(__xludf.DUMMYFUNCTION("GOOGLEFINANCE(""NSE:""&amp;D2430,""EPS"")"),"#N/A")</f>
        <v>#N/A</v>
      </c>
      <c r="Q2430" s="7">
        <v>13.5</v>
      </c>
      <c r="R2430" s="7" t="str">
        <f ca="1">IFERROR(__xludf.DUMMYFUNCTION("IMPORTXML(E2430,""/html/body/main/div[3]/div[3]/div[2]/ul/li[7]/span[2]/span"")"),"Loading...")</f>
        <v>Loading...</v>
      </c>
      <c r="S2430" s="7" t="str">
        <f ca="1">IFERROR(__xludf.DUMMYFUNCTION("IMPORTXML(E2430,""/html/body/main/div[3]/div[3]/div[2]/ul/li[8]/span[2]/span"")"),"Loading...")</f>
        <v>Loading...</v>
      </c>
      <c r="T2430" s="4">
        <v>34.6</v>
      </c>
      <c r="U2430" s="4">
        <v>22.7</v>
      </c>
      <c r="V2430" s="4">
        <v>2.6</v>
      </c>
      <c r="W2430" s="4">
        <v>5.7</v>
      </c>
      <c r="X2430" s="4">
        <v>519.92999999999995</v>
      </c>
      <c r="Y2430" s="7" t="e">
        <f t="shared" ca="1" si="49"/>
        <v>#VALUE!</v>
      </c>
    </row>
    <row r="2431" spans="1:25" ht="15" x14ac:dyDescent="0.25">
      <c r="A2431" s="4">
        <v>2349</v>
      </c>
      <c r="C2431" s="41" t="s">
        <v>4683</v>
      </c>
      <c r="D2431" s="42"/>
      <c r="E2431" s="5" t="str">
        <f t="shared" si="45"/>
        <v>https://www.screener.in/company//consolidated/</v>
      </c>
      <c r="F2431" s="4">
        <v>443059</v>
      </c>
      <c r="G2431" s="4">
        <v>3832241897</v>
      </c>
      <c r="H2431" s="6" t="e">
        <f t="shared" ca="1" si="46"/>
        <v>#VALUE!</v>
      </c>
      <c r="I2431" s="7" t="str">
        <f ca="1">IFERROR(__xludf.DUMMYFUNCTION("IMPORTXML(E2431,""/html/body/main/div[3]/div[3]/div[2]/ul/li[5]/span[2]/span"")"),"Loading...")</f>
        <v>Loading...</v>
      </c>
      <c r="J2431" s="7" t="str">
        <f ca="1">IFERROR(__xludf.DUMMYFUNCTION("GOOGLEFINANCE(""NSE:""&amp;D2431,""marketcap"")"),"#N/A")</f>
        <v>#N/A</v>
      </c>
      <c r="K2431" s="7">
        <v>992.8</v>
      </c>
      <c r="L2431" s="8" t="str">
        <f ca="1">IFERROR(__xludf.DUMMYFUNCTION("GOOGLEFINANCE(""NSE:""&amp;D2431,""price"")"),"#N/A")</f>
        <v>#N/A</v>
      </c>
      <c r="M2431" s="9" t="e">
        <f t="shared" ca="1" si="47"/>
        <v>#VALUE!</v>
      </c>
      <c r="N2431" s="10" t="e">
        <f t="shared" ca="1" si="48"/>
        <v>#VALUE!</v>
      </c>
      <c r="O2431" s="7" t="str">
        <f ca="1">IFERROR(__xludf.DUMMYFUNCTION("GOOGLEFINANCE(""NSE:""&amp;D2431,""pe"")"),"#N/A")</f>
        <v>#N/A</v>
      </c>
      <c r="P2431" s="7" t="str">
        <f ca="1">IFERROR(__xludf.DUMMYFUNCTION("GOOGLEFINANCE(""NSE:""&amp;D2431,""EPS"")"),"#N/A")</f>
        <v>#N/A</v>
      </c>
      <c r="Q2431" s="7">
        <v>13.5</v>
      </c>
      <c r="R2431" s="7" t="str">
        <f ca="1">IFERROR(__xludf.DUMMYFUNCTION("IMPORTXML(E2431,""/html/body/main/div[3]/div[3]/div[2]/ul/li[7]/span[2]/span"")"),"Loading...")</f>
        <v>Loading...</v>
      </c>
      <c r="S2431" s="7" t="str">
        <f ca="1">IFERROR(__xludf.DUMMYFUNCTION("IMPORTXML(E2431,""/html/body/main/div[3]/div[3]/div[2]/ul/li[8]/span[2]/span"")"),"Loading...")</f>
        <v>Loading...</v>
      </c>
      <c r="T2431" s="4">
        <v>34.6</v>
      </c>
      <c r="U2431" s="4">
        <v>22.7</v>
      </c>
      <c r="V2431" s="4">
        <v>2.6</v>
      </c>
      <c r="W2431" s="4">
        <v>5.7</v>
      </c>
      <c r="X2431" s="4">
        <v>519.92999999999995</v>
      </c>
      <c r="Y2431" s="7" t="e">
        <f t="shared" ca="1" si="49"/>
        <v>#VALUE!</v>
      </c>
    </row>
    <row r="2432" spans="1:25" ht="15" x14ac:dyDescent="0.25">
      <c r="A2432" s="4">
        <v>2350</v>
      </c>
      <c r="C2432" s="41" t="s">
        <v>4684</v>
      </c>
      <c r="D2432" s="42"/>
      <c r="E2432" s="5" t="str">
        <f t="shared" si="45"/>
        <v>https://www.screener.in/company//consolidated/</v>
      </c>
      <c r="F2432" s="4">
        <v>443059</v>
      </c>
      <c r="G2432" s="4">
        <v>3832241897</v>
      </c>
      <c r="H2432" s="6" t="e">
        <f t="shared" ca="1" si="46"/>
        <v>#VALUE!</v>
      </c>
      <c r="I2432" s="7" t="str">
        <f ca="1">IFERROR(__xludf.DUMMYFUNCTION("IMPORTXML(E2432,""/html/body/main/div[3]/div[3]/div[2]/ul/li[5]/span[2]/span"")"),"Loading...")</f>
        <v>Loading...</v>
      </c>
      <c r="J2432" s="7" t="str">
        <f ca="1">IFERROR(__xludf.DUMMYFUNCTION("GOOGLEFINANCE(""NSE:""&amp;D2432,""marketcap"")"),"#N/A")</f>
        <v>#N/A</v>
      </c>
      <c r="K2432" s="7">
        <v>992.8</v>
      </c>
      <c r="L2432" s="8" t="str">
        <f ca="1">IFERROR(__xludf.DUMMYFUNCTION("GOOGLEFINANCE(""NSE:""&amp;D2432,""price"")"),"#N/A")</f>
        <v>#N/A</v>
      </c>
      <c r="M2432" s="9" t="e">
        <f t="shared" ca="1" si="47"/>
        <v>#VALUE!</v>
      </c>
      <c r="N2432" s="10" t="e">
        <f t="shared" ca="1" si="48"/>
        <v>#VALUE!</v>
      </c>
      <c r="O2432" s="7" t="str">
        <f ca="1">IFERROR(__xludf.DUMMYFUNCTION("GOOGLEFINANCE(""NSE:""&amp;D2432,""pe"")"),"#N/A")</f>
        <v>#N/A</v>
      </c>
      <c r="P2432" s="7" t="str">
        <f ca="1">IFERROR(__xludf.DUMMYFUNCTION("GOOGLEFINANCE(""NSE:""&amp;D2432,""EPS"")"),"#N/A")</f>
        <v>#N/A</v>
      </c>
      <c r="Q2432" s="7">
        <v>13.5</v>
      </c>
      <c r="R2432" s="7" t="str">
        <f ca="1">IFERROR(__xludf.DUMMYFUNCTION("IMPORTXML(E2432,""/html/body/main/div[3]/div[3]/div[2]/ul/li[7]/span[2]/span"")"),"Loading...")</f>
        <v>Loading...</v>
      </c>
      <c r="S2432" s="7" t="str">
        <f ca="1">IFERROR(__xludf.DUMMYFUNCTION("IMPORTXML(E2432,""/html/body/main/div[3]/div[3]/div[2]/ul/li[8]/span[2]/span"")"),"Loading...")</f>
        <v>Loading...</v>
      </c>
      <c r="T2432" s="4">
        <v>34.6</v>
      </c>
      <c r="U2432" s="4">
        <v>22.7</v>
      </c>
      <c r="V2432" s="4">
        <v>2.6</v>
      </c>
      <c r="W2432" s="4">
        <v>5.7</v>
      </c>
      <c r="X2432" s="4">
        <v>519.92999999999995</v>
      </c>
      <c r="Y2432" s="7" t="e">
        <f t="shared" ca="1" si="49"/>
        <v>#VALUE!</v>
      </c>
    </row>
    <row r="2433" spans="1:25" ht="15" x14ac:dyDescent="0.25">
      <c r="A2433" s="4">
        <v>2351</v>
      </c>
      <c r="C2433" s="41" t="s">
        <v>4685</v>
      </c>
      <c r="D2433" s="42"/>
      <c r="E2433" s="5" t="str">
        <f t="shared" si="45"/>
        <v>https://www.screener.in/company//consolidated/</v>
      </c>
      <c r="F2433" s="4">
        <v>443059</v>
      </c>
      <c r="G2433" s="4">
        <v>3832241897</v>
      </c>
      <c r="H2433" s="6" t="e">
        <f t="shared" ca="1" si="46"/>
        <v>#VALUE!</v>
      </c>
      <c r="I2433" s="7" t="str">
        <f ca="1">IFERROR(__xludf.DUMMYFUNCTION("IMPORTXML(E2433,""/html/body/main/div[3]/div[3]/div[2]/ul/li[5]/span[2]/span"")"),"Loading...")</f>
        <v>Loading...</v>
      </c>
      <c r="J2433" s="7" t="str">
        <f ca="1">IFERROR(__xludf.DUMMYFUNCTION("GOOGLEFINANCE(""NSE:""&amp;D2433,""marketcap"")"),"#N/A")</f>
        <v>#N/A</v>
      </c>
      <c r="K2433" s="7">
        <v>992.8</v>
      </c>
      <c r="L2433" s="8" t="str">
        <f ca="1">IFERROR(__xludf.DUMMYFUNCTION("GOOGLEFINANCE(""NSE:""&amp;D2433,""price"")"),"#N/A")</f>
        <v>#N/A</v>
      </c>
      <c r="M2433" s="9" t="e">
        <f t="shared" ca="1" si="47"/>
        <v>#VALUE!</v>
      </c>
      <c r="N2433" s="10" t="e">
        <f t="shared" ca="1" si="48"/>
        <v>#VALUE!</v>
      </c>
      <c r="O2433" s="7" t="str">
        <f ca="1">IFERROR(__xludf.DUMMYFUNCTION("GOOGLEFINANCE(""NSE:""&amp;D2433,""pe"")"),"#N/A")</f>
        <v>#N/A</v>
      </c>
      <c r="P2433" s="7" t="str">
        <f ca="1">IFERROR(__xludf.DUMMYFUNCTION("GOOGLEFINANCE(""NSE:""&amp;D2433,""EPS"")"),"#N/A")</f>
        <v>#N/A</v>
      </c>
      <c r="Q2433" s="7">
        <v>13.5</v>
      </c>
      <c r="R2433" s="7" t="str">
        <f ca="1">IFERROR(__xludf.DUMMYFUNCTION("IMPORTXML(E2433,""/html/body/main/div[3]/div[3]/div[2]/ul/li[7]/span[2]/span"")"),"Loading...")</f>
        <v>Loading...</v>
      </c>
      <c r="S2433" s="7" t="str">
        <f ca="1">IFERROR(__xludf.DUMMYFUNCTION("IMPORTXML(E2433,""/html/body/main/div[3]/div[3]/div[2]/ul/li[8]/span[2]/span"")"),"Loading...")</f>
        <v>Loading...</v>
      </c>
      <c r="T2433" s="4">
        <v>34.6</v>
      </c>
      <c r="U2433" s="4">
        <v>22.7</v>
      </c>
      <c r="V2433" s="4">
        <v>2.6</v>
      </c>
      <c r="W2433" s="4">
        <v>5.7</v>
      </c>
      <c r="X2433" s="4">
        <v>519.92999999999995</v>
      </c>
      <c r="Y2433" s="7" t="e">
        <f t="shared" ca="1" si="49"/>
        <v>#VALUE!</v>
      </c>
    </row>
    <row r="2434" spans="1:25" ht="15" x14ac:dyDescent="0.25">
      <c r="A2434" s="4">
        <v>2352</v>
      </c>
      <c r="C2434" s="41" t="s">
        <v>4686</v>
      </c>
      <c r="D2434" s="42"/>
      <c r="E2434" s="5" t="str">
        <f t="shared" si="45"/>
        <v>https://www.screener.in/company//consolidated/</v>
      </c>
      <c r="F2434" s="4">
        <v>443059</v>
      </c>
      <c r="G2434" s="4">
        <v>3832241897</v>
      </c>
      <c r="H2434" s="6" t="e">
        <f t="shared" ca="1" si="46"/>
        <v>#VALUE!</v>
      </c>
      <c r="I2434" s="7" t="str">
        <f ca="1">IFERROR(__xludf.DUMMYFUNCTION("IMPORTXML(E2434,""/html/body/main/div[3]/div[3]/div[2]/ul/li[5]/span[2]/span"")"),"Loading...")</f>
        <v>Loading...</v>
      </c>
      <c r="J2434" s="7" t="str">
        <f ca="1">IFERROR(__xludf.DUMMYFUNCTION("GOOGLEFINANCE(""NSE:""&amp;D2434,""marketcap"")"),"#N/A")</f>
        <v>#N/A</v>
      </c>
      <c r="K2434" s="7">
        <v>992.8</v>
      </c>
      <c r="L2434" s="8" t="str">
        <f ca="1">IFERROR(__xludf.DUMMYFUNCTION("GOOGLEFINANCE(""NSE:""&amp;D2434,""price"")"),"#N/A")</f>
        <v>#N/A</v>
      </c>
      <c r="M2434" s="9" t="e">
        <f t="shared" ca="1" si="47"/>
        <v>#VALUE!</v>
      </c>
      <c r="N2434" s="10" t="e">
        <f t="shared" ca="1" si="48"/>
        <v>#VALUE!</v>
      </c>
      <c r="O2434" s="7" t="str">
        <f ca="1">IFERROR(__xludf.DUMMYFUNCTION("GOOGLEFINANCE(""NSE:""&amp;D2434,""pe"")"),"#N/A")</f>
        <v>#N/A</v>
      </c>
      <c r="P2434" s="7" t="str">
        <f ca="1">IFERROR(__xludf.DUMMYFUNCTION("GOOGLEFINANCE(""NSE:""&amp;D2434,""EPS"")"),"#N/A")</f>
        <v>#N/A</v>
      </c>
      <c r="Q2434" s="7">
        <v>13.5</v>
      </c>
      <c r="R2434" s="7" t="str">
        <f ca="1">IFERROR(__xludf.DUMMYFUNCTION("IMPORTXML(E2434,""/html/body/main/div[3]/div[3]/div[2]/ul/li[7]/span[2]/span"")"),"Loading...")</f>
        <v>Loading...</v>
      </c>
      <c r="S2434" s="7" t="str">
        <f ca="1">IFERROR(__xludf.DUMMYFUNCTION("IMPORTXML(E2434,""/html/body/main/div[3]/div[3]/div[2]/ul/li[8]/span[2]/span"")"),"Loading...")</f>
        <v>Loading...</v>
      </c>
      <c r="T2434" s="4">
        <v>34.6</v>
      </c>
      <c r="U2434" s="4">
        <v>22.7</v>
      </c>
      <c r="V2434" s="4">
        <v>2.6</v>
      </c>
      <c r="W2434" s="4">
        <v>5.7</v>
      </c>
      <c r="X2434" s="4">
        <v>519.92999999999995</v>
      </c>
      <c r="Y2434" s="7" t="e">
        <f t="shared" ca="1" si="49"/>
        <v>#VALUE!</v>
      </c>
    </row>
    <row r="2435" spans="1:25" ht="15" x14ac:dyDescent="0.25">
      <c r="A2435" s="4">
        <v>2353</v>
      </c>
      <c r="C2435" s="41" t="s">
        <v>4687</v>
      </c>
      <c r="D2435" s="42"/>
      <c r="E2435" s="5" t="str">
        <f t="shared" si="45"/>
        <v>https://www.screener.in/company//consolidated/</v>
      </c>
      <c r="F2435" s="4">
        <v>443059</v>
      </c>
      <c r="G2435" s="4">
        <v>3832241897</v>
      </c>
      <c r="H2435" s="6" t="e">
        <f t="shared" ca="1" si="46"/>
        <v>#VALUE!</v>
      </c>
      <c r="I2435" s="7" t="str">
        <f ca="1">IFERROR(__xludf.DUMMYFUNCTION("IMPORTXML(E2435,""/html/body/main/div[3]/div[3]/div[2]/ul/li[5]/span[2]/span"")"),"Loading...")</f>
        <v>Loading...</v>
      </c>
      <c r="J2435" s="7" t="str">
        <f ca="1">IFERROR(__xludf.DUMMYFUNCTION("GOOGLEFINANCE(""NSE:""&amp;D2435,""marketcap"")"),"#N/A")</f>
        <v>#N/A</v>
      </c>
      <c r="K2435" s="7">
        <v>992.8</v>
      </c>
      <c r="L2435" s="8" t="str">
        <f ca="1">IFERROR(__xludf.DUMMYFUNCTION("GOOGLEFINANCE(""NSE:""&amp;D2435,""price"")"),"#N/A")</f>
        <v>#N/A</v>
      </c>
      <c r="M2435" s="9" t="e">
        <f t="shared" ca="1" si="47"/>
        <v>#VALUE!</v>
      </c>
      <c r="N2435" s="10" t="e">
        <f t="shared" ca="1" si="48"/>
        <v>#VALUE!</v>
      </c>
      <c r="O2435" s="7" t="str">
        <f ca="1">IFERROR(__xludf.DUMMYFUNCTION("GOOGLEFINANCE(""NSE:""&amp;D2435,""pe"")"),"#N/A")</f>
        <v>#N/A</v>
      </c>
      <c r="P2435" s="7" t="str">
        <f ca="1">IFERROR(__xludf.DUMMYFUNCTION("GOOGLEFINANCE(""NSE:""&amp;D2435,""EPS"")"),"#N/A")</f>
        <v>#N/A</v>
      </c>
      <c r="Q2435" s="7">
        <v>13.5</v>
      </c>
      <c r="R2435" s="7" t="str">
        <f ca="1">IFERROR(__xludf.DUMMYFUNCTION("IMPORTXML(E2435,""/html/body/main/div[3]/div[3]/div[2]/ul/li[7]/span[2]/span"")"),"Loading...")</f>
        <v>Loading...</v>
      </c>
      <c r="S2435" s="7" t="str">
        <f ca="1">IFERROR(__xludf.DUMMYFUNCTION("IMPORTXML(E2435,""/html/body/main/div[3]/div[3]/div[2]/ul/li[8]/span[2]/span"")"),"Loading...")</f>
        <v>Loading...</v>
      </c>
      <c r="T2435" s="4">
        <v>34.6</v>
      </c>
      <c r="U2435" s="4">
        <v>22.7</v>
      </c>
      <c r="V2435" s="4">
        <v>2.6</v>
      </c>
      <c r="W2435" s="4">
        <v>5.7</v>
      </c>
      <c r="X2435" s="4">
        <v>519.92999999999995</v>
      </c>
      <c r="Y2435" s="7" t="e">
        <f t="shared" ca="1" si="49"/>
        <v>#VALUE!</v>
      </c>
    </row>
    <row r="2436" spans="1:25" ht="15" x14ac:dyDescent="0.25">
      <c r="A2436" s="4">
        <v>2354</v>
      </c>
      <c r="C2436" s="12" t="s">
        <v>4688</v>
      </c>
      <c r="D2436" s="12" t="s">
        <v>4689</v>
      </c>
      <c r="E2436" s="5" t="str">
        <f t="shared" si="45"/>
        <v>https://www.screener.in/company/LASA/consolidated/</v>
      </c>
      <c r="F2436" s="4">
        <v>443059</v>
      </c>
      <c r="G2436" s="4">
        <v>3832241897</v>
      </c>
      <c r="H2436" s="6">
        <f t="shared" ca="1" si="46"/>
        <v>3403.0308045360002</v>
      </c>
      <c r="I2436" s="7" t="str">
        <f ca="1">IFERROR(__xludf.DUMMYFUNCTION("IMPORTXML(E2436,""/html/body/main/div[3]/div[3]/div[2]/ul/li[5]/span[2]/span"")"),"Loading...")</f>
        <v>Loading...</v>
      </c>
      <c r="J2436" s="7">
        <f ca="1">IFERROR(__xludf.DUMMYFUNCTION("GOOGLEFINANCE(""NSE:""&amp;D2436,""marketcap"")"),435828969)</f>
        <v>435828969</v>
      </c>
      <c r="K2436" s="7">
        <v>992.8</v>
      </c>
      <c r="L2436" s="8">
        <f ca="1">IFERROR(__xludf.DUMMYFUNCTION("GOOGLEFINANCE(""NSE:""&amp;D2436,""price"")"),8.88)</f>
        <v>8.8800000000000008</v>
      </c>
      <c r="M2436" s="9">
        <f t="shared" ca="1" si="47"/>
        <v>-983.92</v>
      </c>
      <c r="N2436" s="10">
        <f t="shared" ca="1" si="48"/>
        <v>-99.105560032232077</v>
      </c>
      <c r="O2436" s="7" t="str">
        <f ca="1">IFERROR(__xludf.DUMMYFUNCTION("GOOGLEFINANCE(""NSE:""&amp;D2436,""pe"")"),"#N/A")</f>
        <v>#N/A</v>
      </c>
      <c r="P2436" s="7">
        <f ca="1">IFERROR(__xludf.DUMMYFUNCTION("GOOGLEFINANCE(""NSE:""&amp;D2436,""EPS"")"),-6.61)</f>
        <v>-6.61</v>
      </c>
      <c r="Q2436" s="7">
        <v>13.5</v>
      </c>
      <c r="R2436" s="7" t="str">
        <f ca="1">IFERROR(__xludf.DUMMYFUNCTION("IMPORTXML(E2436,""/html/body/main/div[3]/div[3]/div[2]/ul/li[7]/span[2]/span"")"),"Loading...")</f>
        <v>Loading...</v>
      </c>
      <c r="S2436" s="7" t="str">
        <f ca="1">IFERROR(__xludf.DUMMYFUNCTION("IMPORTXML(E2436,""/html/body/main/div[3]/div[3]/div[2]/ul/li[8]/span[2]/span"")"),"Loading...")</f>
        <v>Loading...</v>
      </c>
      <c r="T2436" s="4">
        <v>34.6</v>
      </c>
      <c r="U2436" s="4">
        <v>22.7</v>
      </c>
      <c r="V2436" s="4">
        <v>2.6</v>
      </c>
      <c r="W2436" s="4">
        <v>5.7</v>
      </c>
      <c r="X2436" s="4">
        <v>519.92999999999995</v>
      </c>
      <c r="Y2436" s="7">
        <f t="shared" ca="1" si="49"/>
        <v>-511.04999999999995</v>
      </c>
    </row>
    <row r="2437" spans="1:25" ht="15" x14ac:dyDescent="0.25">
      <c r="A2437" s="4">
        <v>2355</v>
      </c>
      <c r="C2437" s="41" t="s">
        <v>4690</v>
      </c>
      <c r="D2437" s="42"/>
      <c r="E2437" s="5" t="str">
        <f t="shared" si="45"/>
        <v>https://www.screener.in/company//consolidated/</v>
      </c>
      <c r="F2437" s="4">
        <v>443059</v>
      </c>
      <c r="G2437" s="4">
        <v>3832241897</v>
      </c>
      <c r="H2437" s="6" t="e">
        <f t="shared" ca="1" si="46"/>
        <v>#VALUE!</v>
      </c>
      <c r="I2437" s="7" t="str">
        <f ca="1">IFERROR(__xludf.DUMMYFUNCTION("IMPORTXML(E2437,""/html/body/main/div[3]/div[3]/div[2]/ul/li[5]/span[2]/span"")"),"Loading...")</f>
        <v>Loading...</v>
      </c>
      <c r="J2437" s="7" t="str">
        <f ca="1">IFERROR(__xludf.DUMMYFUNCTION("GOOGLEFINANCE(""NSE:""&amp;D2437,""marketcap"")"),"#N/A")</f>
        <v>#N/A</v>
      </c>
      <c r="K2437" s="7">
        <v>992.8</v>
      </c>
      <c r="L2437" s="8" t="str">
        <f ca="1">IFERROR(__xludf.DUMMYFUNCTION("GOOGLEFINANCE(""NSE:""&amp;D2437,""price"")"),"#N/A")</f>
        <v>#N/A</v>
      </c>
      <c r="M2437" s="9" t="e">
        <f t="shared" ca="1" si="47"/>
        <v>#VALUE!</v>
      </c>
      <c r="N2437" s="10" t="e">
        <f t="shared" ca="1" si="48"/>
        <v>#VALUE!</v>
      </c>
      <c r="O2437" s="7" t="str">
        <f ca="1">IFERROR(__xludf.DUMMYFUNCTION("GOOGLEFINANCE(""NSE:""&amp;D2437,""pe"")"),"#N/A")</f>
        <v>#N/A</v>
      </c>
      <c r="P2437" s="7" t="str">
        <f ca="1">IFERROR(__xludf.DUMMYFUNCTION("GOOGLEFINANCE(""NSE:""&amp;D2437,""EPS"")"),"#N/A")</f>
        <v>#N/A</v>
      </c>
      <c r="Q2437" s="7">
        <v>13.5</v>
      </c>
      <c r="R2437" s="7" t="str">
        <f ca="1">IFERROR(__xludf.DUMMYFUNCTION("IMPORTXML(E2437,""/html/body/main/div[3]/div[3]/div[2]/ul/li[7]/span[2]/span"")"),"Loading...")</f>
        <v>Loading...</v>
      </c>
      <c r="S2437" s="7" t="str">
        <f ca="1">IFERROR(__xludf.DUMMYFUNCTION("IMPORTXML(E2437,""/html/body/main/div[3]/div[3]/div[2]/ul/li[8]/span[2]/span"")"),"Loading...")</f>
        <v>Loading...</v>
      </c>
      <c r="T2437" s="4">
        <v>34.6</v>
      </c>
      <c r="U2437" s="4">
        <v>22.7</v>
      </c>
      <c r="V2437" s="4">
        <v>2.6</v>
      </c>
      <c r="W2437" s="4">
        <v>5.7</v>
      </c>
      <c r="X2437" s="4">
        <v>519.92999999999995</v>
      </c>
      <c r="Y2437" s="7" t="e">
        <f t="shared" ca="1" si="49"/>
        <v>#VALUE!</v>
      </c>
    </row>
    <row r="2438" spans="1:25" ht="15" x14ac:dyDescent="0.25">
      <c r="A2438" s="4">
        <v>2357</v>
      </c>
      <c r="C2438" s="41" t="s">
        <v>4691</v>
      </c>
      <c r="D2438" s="42"/>
      <c r="E2438" s="5" t="str">
        <f t="shared" si="45"/>
        <v>https://www.screener.in/company//consolidated/</v>
      </c>
      <c r="F2438" s="4">
        <v>443059</v>
      </c>
      <c r="G2438" s="4">
        <v>3832241897</v>
      </c>
      <c r="H2438" s="6" t="e">
        <f t="shared" ca="1" si="46"/>
        <v>#VALUE!</v>
      </c>
      <c r="I2438" s="7" t="str">
        <f ca="1">IFERROR(__xludf.DUMMYFUNCTION("IMPORTXML(E2438,""/html/body/main/div[3]/div[3]/div[2]/ul/li[5]/span[2]/span"")"),"Loading...")</f>
        <v>Loading...</v>
      </c>
      <c r="J2438" s="7" t="str">
        <f ca="1">IFERROR(__xludf.DUMMYFUNCTION("GOOGLEFINANCE(""NSE:""&amp;D2438,""marketcap"")"),"#N/A")</f>
        <v>#N/A</v>
      </c>
      <c r="K2438" s="7">
        <v>992.8</v>
      </c>
      <c r="L2438" s="8" t="str">
        <f ca="1">IFERROR(__xludf.DUMMYFUNCTION("GOOGLEFINANCE(""NSE:""&amp;D2438,""price"")"),"#N/A")</f>
        <v>#N/A</v>
      </c>
      <c r="M2438" s="9" t="e">
        <f t="shared" ca="1" si="47"/>
        <v>#VALUE!</v>
      </c>
      <c r="N2438" s="10" t="e">
        <f t="shared" ca="1" si="48"/>
        <v>#VALUE!</v>
      </c>
      <c r="O2438" s="7" t="str">
        <f ca="1">IFERROR(__xludf.DUMMYFUNCTION("GOOGLEFINANCE(""NSE:""&amp;D2438,""pe"")"),"#N/A")</f>
        <v>#N/A</v>
      </c>
      <c r="P2438" s="7" t="str">
        <f ca="1">IFERROR(__xludf.DUMMYFUNCTION("GOOGLEFINANCE(""NSE:""&amp;D2438,""EPS"")"),"#N/A")</f>
        <v>#N/A</v>
      </c>
      <c r="Q2438" s="7">
        <v>13.5</v>
      </c>
      <c r="R2438" s="7" t="str">
        <f ca="1">IFERROR(__xludf.DUMMYFUNCTION("IMPORTXML(E2438,""/html/body/main/div[3]/div[3]/div[2]/ul/li[7]/span[2]/span"")"),"Loading...")</f>
        <v>Loading...</v>
      </c>
      <c r="S2438" s="7" t="str">
        <f ca="1">IFERROR(__xludf.DUMMYFUNCTION("IMPORTXML(E2438,""/html/body/main/div[3]/div[3]/div[2]/ul/li[8]/span[2]/span"")"),"Loading...")</f>
        <v>Loading...</v>
      </c>
      <c r="T2438" s="4">
        <v>34.6</v>
      </c>
      <c r="U2438" s="4">
        <v>22.7</v>
      </c>
      <c r="V2438" s="4">
        <v>2.6</v>
      </c>
      <c r="W2438" s="4">
        <v>5.7</v>
      </c>
      <c r="X2438" s="4">
        <v>519.92999999999995</v>
      </c>
      <c r="Y2438" s="7" t="e">
        <f t="shared" ca="1" si="49"/>
        <v>#VALUE!</v>
      </c>
    </row>
    <row r="2439" spans="1:25" ht="15" x14ac:dyDescent="0.25">
      <c r="A2439" s="4">
        <v>2358</v>
      </c>
      <c r="C2439" s="41" t="s">
        <v>4692</v>
      </c>
      <c r="D2439" s="42"/>
      <c r="E2439" s="5" t="str">
        <f t="shared" si="45"/>
        <v>https://www.screener.in/company//consolidated/</v>
      </c>
      <c r="F2439" s="4">
        <v>443059</v>
      </c>
      <c r="G2439" s="4">
        <v>3832241897</v>
      </c>
      <c r="H2439" s="6" t="e">
        <f t="shared" ca="1" si="46"/>
        <v>#VALUE!</v>
      </c>
      <c r="I2439" s="7" t="str">
        <f ca="1">IFERROR(__xludf.DUMMYFUNCTION("IMPORTXML(E2439,""/html/body/main/div[3]/div[3]/div[2]/ul/li[5]/span[2]/span"")"),"Loading...")</f>
        <v>Loading...</v>
      </c>
      <c r="J2439" s="7" t="str">
        <f ca="1">IFERROR(__xludf.DUMMYFUNCTION("GOOGLEFINANCE(""NSE:""&amp;D2439,""marketcap"")"),"#N/A")</f>
        <v>#N/A</v>
      </c>
      <c r="K2439" s="7">
        <v>992.8</v>
      </c>
      <c r="L2439" s="8" t="str">
        <f ca="1">IFERROR(__xludf.DUMMYFUNCTION("GOOGLEFINANCE(""NSE:""&amp;D2439,""price"")"),"#N/A")</f>
        <v>#N/A</v>
      </c>
      <c r="M2439" s="9" t="e">
        <f t="shared" ca="1" si="47"/>
        <v>#VALUE!</v>
      </c>
      <c r="N2439" s="10" t="e">
        <f t="shared" ca="1" si="48"/>
        <v>#VALUE!</v>
      </c>
      <c r="O2439" s="7" t="str">
        <f ca="1">IFERROR(__xludf.DUMMYFUNCTION("GOOGLEFINANCE(""NSE:""&amp;D2439,""pe"")"),"#N/A")</f>
        <v>#N/A</v>
      </c>
      <c r="P2439" s="7" t="str">
        <f ca="1">IFERROR(__xludf.DUMMYFUNCTION("GOOGLEFINANCE(""NSE:""&amp;D2439,""EPS"")"),"#N/A")</f>
        <v>#N/A</v>
      </c>
      <c r="Q2439" s="7">
        <v>13.5</v>
      </c>
      <c r="R2439" s="7" t="str">
        <f ca="1">IFERROR(__xludf.DUMMYFUNCTION("IMPORTXML(E2439,""/html/body/main/div[3]/div[3]/div[2]/ul/li[7]/span[2]/span"")"),"Loading...")</f>
        <v>Loading...</v>
      </c>
      <c r="S2439" s="7" t="str">
        <f ca="1">IFERROR(__xludf.DUMMYFUNCTION("IMPORTXML(E2439,""/html/body/main/div[3]/div[3]/div[2]/ul/li[8]/span[2]/span"")"),"Loading...")</f>
        <v>Loading...</v>
      </c>
      <c r="T2439" s="4">
        <v>34.6</v>
      </c>
      <c r="U2439" s="4">
        <v>22.7</v>
      </c>
      <c r="V2439" s="4">
        <v>2.6</v>
      </c>
      <c r="W2439" s="4">
        <v>5.7</v>
      </c>
      <c r="X2439" s="4">
        <v>519.92999999999995</v>
      </c>
      <c r="Y2439" s="7" t="e">
        <f t="shared" ca="1" si="49"/>
        <v>#VALUE!</v>
      </c>
    </row>
    <row r="2440" spans="1:25" ht="15" x14ac:dyDescent="0.25">
      <c r="A2440" s="4">
        <v>2359</v>
      </c>
      <c r="C2440" s="41" t="s">
        <v>4693</v>
      </c>
      <c r="D2440" s="42"/>
      <c r="E2440" s="5" t="str">
        <f t="shared" si="45"/>
        <v>https://www.screener.in/company//consolidated/</v>
      </c>
      <c r="F2440" s="4">
        <v>443059</v>
      </c>
      <c r="G2440" s="4">
        <v>3832241897</v>
      </c>
      <c r="H2440" s="6" t="e">
        <f t="shared" ca="1" si="46"/>
        <v>#VALUE!</v>
      </c>
      <c r="I2440" s="7" t="str">
        <f ca="1">IFERROR(__xludf.DUMMYFUNCTION("IMPORTXML(E2440,""/html/body/main/div[3]/div[3]/div[2]/ul/li[5]/span[2]/span"")"),"Loading...")</f>
        <v>Loading...</v>
      </c>
      <c r="J2440" s="7" t="str">
        <f ca="1">IFERROR(__xludf.DUMMYFUNCTION("GOOGLEFINANCE(""NSE:""&amp;D2440,""marketcap"")"),"#N/A")</f>
        <v>#N/A</v>
      </c>
      <c r="K2440" s="7">
        <v>992.8</v>
      </c>
      <c r="L2440" s="8" t="str">
        <f ca="1">IFERROR(__xludf.DUMMYFUNCTION("GOOGLEFINANCE(""NSE:""&amp;D2440,""price"")"),"#N/A")</f>
        <v>#N/A</v>
      </c>
      <c r="M2440" s="9" t="e">
        <f t="shared" ca="1" si="47"/>
        <v>#VALUE!</v>
      </c>
      <c r="N2440" s="10" t="e">
        <f t="shared" ca="1" si="48"/>
        <v>#VALUE!</v>
      </c>
      <c r="O2440" s="7" t="str">
        <f ca="1">IFERROR(__xludf.DUMMYFUNCTION("GOOGLEFINANCE(""NSE:""&amp;D2440,""pe"")"),"#N/A")</f>
        <v>#N/A</v>
      </c>
      <c r="P2440" s="7" t="str">
        <f ca="1">IFERROR(__xludf.DUMMYFUNCTION("GOOGLEFINANCE(""NSE:""&amp;D2440,""EPS"")"),"#N/A")</f>
        <v>#N/A</v>
      </c>
      <c r="Q2440" s="7">
        <v>13.5</v>
      </c>
      <c r="R2440" s="7" t="str">
        <f ca="1">IFERROR(__xludf.DUMMYFUNCTION("IMPORTXML(E2440,""/html/body/main/div[3]/div[3]/div[2]/ul/li[7]/span[2]/span"")"),"Loading...")</f>
        <v>Loading...</v>
      </c>
      <c r="S2440" s="7" t="str">
        <f ca="1">IFERROR(__xludf.DUMMYFUNCTION("IMPORTXML(E2440,""/html/body/main/div[3]/div[3]/div[2]/ul/li[8]/span[2]/span"")"),"Loading...")</f>
        <v>Loading...</v>
      </c>
      <c r="T2440" s="4">
        <v>34.6</v>
      </c>
      <c r="U2440" s="4">
        <v>22.7</v>
      </c>
      <c r="V2440" s="4">
        <v>2.6</v>
      </c>
      <c r="W2440" s="4">
        <v>5.7</v>
      </c>
      <c r="X2440" s="4">
        <v>519.92999999999995</v>
      </c>
      <c r="Y2440" s="7" t="e">
        <f t="shared" ca="1" si="49"/>
        <v>#VALUE!</v>
      </c>
    </row>
    <row r="2441" spans="1:25" ht="15" x14ac:dyDescent="0.25">
      <c r="A2441" s="4">
        <v>2360</v>
      </c>
      <c r="C2441" s="41" t="s">
        <v>4694</v>
      </c>
      <c r="D2441" s="42"/>
      <c r="E2441" s="5" t="str">
        <f t="shared" si="45"/>
        <v>https://www.screener.in/company//consolidated/</v>
      </c>
      <c r="F2441" s="4">
        <v>443059</v>
      </c>
      <c r="G2441" s="4">
        <v>3832241897</v>
      </c>
      <c r="H2441" s="6" t="e">
        <f t="shared" ca="1" si="46"/>
        <v>#VALUE!</v>
      </c>
      <c r="I2441" s="7" t="str">
        <f ca="1">IFERROR(__xludf.DUMMYFUNCTION("IMPORTXML(E2441,""/html/body/main/div[3]/div[3]/div[2]/ul/li[5]/span[2]/span"")"),"Loading...")</f>
        <v>Loading...</v>
      </c>
      <c r="J2441" s="7" t="str">
        <f ca="1">IFERROR(__xludf.DUMMYFUNCTION("GOOGLEFINANCE(""NSE:""&amp;D2441,""marketcap"")"),"#N/A")</f>
        <v>#N/A</v>
      </c>
      <c r="K2441" s="7">
        <v>992.8</v>
      </c>
      <c r="L2441" s="8" t="str">
        <f ca="1">IFERROR(__xludf.DUMMYFUNCTION("GOOGLEFINANCE(""NSE:""&amp;D2441,""price"")"),"#N/A")</f>
        <v>#N/A</v>
      </c>
      <c r="M2441" s="9" t="e">
        <f t="shared" ca="1" si="47"/>
        <v>#VALUE!</v>
      </c>
      <c r="N2441" s="10" t="e">
        <f t="shared" ca="1" si="48"/>
        <v>#VALUE!</v>
      </c>
      <c r="O2441" s="7" t="str">
        <f ca="1">IFERROR(__xludf.DUMMYFUNCTION("GOOGLEFINANCE(""NSE:""&amp;D2441,""pe"")"),"#N/A")</f>
        <v>#N/A</v>
      </c>
      <c r="P2441" s="7" t="str">
        <f ca="1">IFERROR(__xludf.DUMMYFUNCTION("GOOGLEFINANCE(""NSE:""&amp;D2441,""EPS"")"),"#N/A")</f>
        <v>#N/A</v>
      </c>
      <c r="Q2441" s="7">
        <v>13.5</v>
      </c>
      <c r="R2441" s="7" t="str">
        <f ca="1">IFERROR(__xludf.DUMMYFUNCTION("IMPORTXML(E2441,""/html/body/main/div[3]/div[3]/div[2]/ul/li[7]/span[2]/span"")"),"Loading...")</f>
        <v>Loading...</v>
      </c>
      <c r="S2441" s="7" t="str">
        <f ca="1">IFERROR(__xludf.DUMMYFUNCTION("IMPORTXML(E2441,""/html/body/main/div[3]/div[3]/div[2]/ul/li[8]/span[2]/span"")"),"Loading...")</f>
        <v>Loading...</v>
      </c>
      <c r="T2441" s="4">
        <v>34.6</v>
      </c>
      <c r="U2441" s="4">
        <v>22.7</v>
      </c>
      <c r="V2441" s="4">
        <v>2.6</v>
      </c>
      <c r="W2441" s="4">
        <v>5.7</v>
      </c>
      <c r="X2441" s="4">
        <v>519.92999999999995</v>
      </c>
      <c r="Y2441" s="7" t="e">
        <f t="shared" ca="1" si="49"/>
        <v>#VALUE!</v>
      </c>
    </row>
    <row r="2442" spans="1:25" ht="15" x14ac:dyDescent="0.25">
      <c r="A2442" s="4">
        <v>2361</v>
      </c>
      <c r="C2442" s="41" t="s">
        <v>4695</v>
      </c>
      <c r="D2442" s="42"/>
      <c r="E2442" s="5" t="str">
        <f t="shared" si="45"/>
        <v>https://www.screener.in/company//consolidated/</v>
      </c>
      <c r="F2442" s="4">
        <v>443059</v>
      </c>
      <c r="G2442" s="4">
        <v>3832241897</v>
      </c>
      <c r="H2442" s="6" t="e">
        <f t="shared" ca="1" si="46"/>
        <v>#VALUE!</v>
      </c>
      <c r="I2442" s="7" t="str">
        <f ca="1">IFERROR(__xludf.DUMMYFUNCTION("IMPORTXML(E2442,""/html/body/main/div[3]/div[3]/div[2]/ul/li[5]/span[2]/span"")"),"Loading...")</f>
        <v>Loading...</v>
      </c>
      <c r="J2442" s="7" t="str">
        <f ca="1">IFERROR(__xludf.DUMMYFUNCTION("GOOGLEFINANCE(""NSE:""&amp;D2442,""marketcap"")"),"#N/A")</f>
        <v>#N/A</v>
      </c>
      <c r="K2442" s="7">
        <v>992.8</v>
      </c>
      <c r="L2442" s="8" t="str">
        <f ca="1">IFERROR(__xludf.DUMMYFUNCTION("GOOGLEFINANCE(""NSE:""&amp;D2442,""price"")"),"#N/A")</f>
        <v>#N/A</v>
      </c>
      <c r="M2442" s="9" t="e">
        <f t="shared" ca="1" si="47"/>
        <v>#VALUE!</v>
      </c>
      <c r="N2442" s="10" t="e">
        <f t="shared" ca="1" si="48"/>
        <v>#VALUE!</v>
      </c>
      <c r="O2442" s="7" t="str">
        <f ca="1">IFERROR(__xludf.DUMMYFUNCTION("GOOGLEFINANCE(""NSE:""&amp;D2442,""pe"")"),"#N/A")</f>
        <v>#N/A</v>
      </c>
      <c r="P2442" s="7" t="str">
        <f ca="1">IFERROR(__xludf.DUMMYFUNCTION("GOOGLEFINANCE(""NSE:""&amp;D2442,""EPS"")"),"#N/A")</f>
        <v>#N/A</v>
      </c>
      <c r="Q2442" s="7">
        <v>13.5</v>
      </c>
      <c r="R2442" s="7" t="str">
        <f ca="1">IFERROR(__xludf.DUMMYFUNCTION("IMPORTXML(E2442,""/html/body/main/div[3]/div[3]/div[2]/ul/li[7]/span[2]/span"")"),"Loading...")</f>
        <v>Loading...</v>
      </c>
      <c r="S2442" s="7" t="str">
        <f ca="1">IFERROR(__xludf.DUMMYFUNCTION("IMPORTXML(E2442,""/html/body/main/div[3]/div[3]/div[2]/ul/li[8]/span[2]/span"")"),"Loading...")</f>
        <v>Loading...</v>
      </c>
      <c r="T2442" s="4">
        <v>34.6</v>
      </c>
      <c r="U2442" s="4">
        <v>22.7</v>
      </c>
      <c r="V2442" s="4">
        <v>2.6</v>
      </c>
      <c r="W2442" s="4">
        <v>5.7</v>
      </c>
      <c r="X2442" s="4">
        <v>519.92999999999995</v>
      </c>
      <c r="Y2442" s="7" t="e">
        <f t="shared" ca="1" si="49"/>
        <v>#VALUE!</v>
      </c>
    </row>
    <row r="2443" spans="1:25" ht="15" x14ac:dyDescent="0.25">
      <c r="A2443" s="4">
        <v>2362</v>
      </c>
      <c r="C2443" s="41" t="s">
        <v>4696</v>
      </c>
      <c r="D2443" s="42"/>
      <c r="E2443" s="5" t="str">
        <f t="shared" si="45"/>
        <v>https://www.screener.in/company//consolidated/</v>
      </c>
      <c r="F2443" s="4">
        <v>443059</v>
      </c>
      <c r="G2443" s="4">
        <v>3832241897</v>
      </c>
      <c r="H2443" s="6" t="e">
        <f t="shared" ca="1" si="46"/>
        <v>#VALUE!</v>
      </c>
      <c r="I2443" s="7" t="str">
        <f ca="1">IFERROR(__xludf.DUMMYFUNCTION("IMPORTXML(E2443,""/html/body/main/div[3]/div[3]/div[2]/ul/li[5]/span[2]/span"")"),"Loading...")</f>
        <v>Loading...</v>
      </c>
      <c r="J2443" s="7" t="str">
        <f ca="1">IFERROR(__xludf.DUMMYFUNCTION("GOOGLEFINANCE(""NSE:""&amp;D2443,""marketcap"")"),"#N/A")</f>
        <v>#N/A</v>
      </c>
      <c r="K2443" s="7">
        <v>992.8</v>
      </c>
      <c r="L2443" s="8" t="str">
        <f ca="1">IFERROR(__xludf.DUMMYFUNCTION("GOOGLEFINANCE(""NSE:""&amp;D2443,""price"")"),"#N/A")</f>
        <v>#N/A</v>
      </c>
      <c r="M2443" s="9" t="e">
        <f t="shared" ca="1" si="47"/>
        <v>#VALUE!</v>
      </c>
      <c r="N2443" s="10" t="e">
        <f t="shared" ca="1" si="48"/>
        <v>#VALUE!</v>
      </c>
      <c r="O2443" s="7" t="str">
        <f ca="1">IFERROR(__xludf.DUMMYFUNCTION("GOOGLEFINANCE(""NSE:""&amp;D2443,""pe"")"),"#N/A")</f>
        <v>#N/A</v>
      </c>
      <c r="P2443" s="7" t="str">
        <f ca="1">IFERROR(__xludf.DUMMYFUNCTION("GOOGLEFINANCE(""NSE:""&amp;D2443,""EPS"")"),"#N/A")</f>
        <v>#N/A</v>
      </c>
      <c r="Q2443" s="7">
        <v>13.5</v>
      </c>
      <c r="R2443" s="7" t="str">
        <f ca="1">IFERROR(__xludf.DUMMYFUNCTION("IMPORTXML(E2443,""/html/body/main/div[3]/div[3]/div[2]/ul/li[7]/span[2]/span"")"),"Loading...")</f>
        <v>Loading...</v>
      </c>
      <c r="S2443" s="7" t="str">
        <f ca="1">IFERROR(__xludf.DUMMYFUNCTION("IMPORTXML(E2443,""/html/body/main/div[3]/div[3]/div[2]/ul/li[8]/span[2]/span"")"),"Loading...")</f>
        <v>Loading...</v>
      </c>
      <c r="T2443" s="4">
        <v>34.6</v>
      </c>
      <c r="U2443" s="4">
        <v>22.7</v>
      </c>
      <c r="V2443" s="4">
        <v>2.6</v>
      </c>
      <c r="W2443" s="4">
        <v>5.7</v>
      </c>
      <c r="X2443" s="4">
        <v>519.92999999999995</v>
      </c>
      <c r="Y2443" s="7" t="e">
        <f t="shared" ca="1" si="49"/>
        <v>#VALUE!</v>
      </c>
    </row>
    <row r="2444" spans="1:25" ht="15" x14ac:dyDescent="0.25">
      <c r="A2444" s="4">
        <v>2363</v>
      </c>
      <c r="C2444" s="41" t="s">
        <v>4697</v>
      </c>
      <c r="D2444" s="42"/>
      <c r="E2444" s="5" t="str">
        <f t="shared" si="45"/>
        <v>https://www.screener.in/company//consolidated/</v>
      </c>
      <c r="F2444" s="4">
        <v>443059</v>
      </c>
      <c r="G2444" s="4">
        <v>3832241897</v>
      </c>
      <c r="H2444" s="6" t="e">
        <f t="shared" ca="1" si="46"/>
        <v>#VALUE!</v>
      </c>
      <c r="I2444" s="7" t="str">
        <f ca="1">IFERROR(__xludf.DUMMYFUNCTION("IMPORTXML(E2444,""/html/body/main/div[3]/div[3]/div[2]/ul/li[5]/span[2]/span"")"),"Loading...")</f>
        <v>Loading...</v>
      </c>
      <c r="J2444" s="7" t="str">
        <f ca="1">IFERROR(__xludf.DUMMYFUNCTION("GOOGLEFINANCE(""NSE:""&amp;D2444,""marketcap"")"),"#N/A")</f>
        <v>#N/A</v>
      </c>
      <c r="K2444" s="7">
        <v>992.8</v>
      </c>
      <c r="L2444" s="8" t="str">
        <f ca="1">IFERROR(__xludf.DUMMYFUNCTION("GOOGLEFINANCE(""NSE:""&amp;D2444,""price"")"),"#N/A")</f>
        <v>#N/A</v>
      </c>
      <c r="M2444" s="9" t="e">
        <f t="shared" ca="1" si="47"/>
        <v>#VALUE!</v>
      </c>
      <c r="N2444" s="10" t="e">
        <f t="shared" ca="1" si="48"/>
        <v>#VALUE!</v>
      </c>
      <c r="O2444" s="7" t="str">
        <f ca="1">IFERROR(__xludf.DUMMYFUNCTION("GOOGLEFINANCE(""NSE:""&amp;D2444,""pe"")"),"#N/A")</f>
        <v>#N/A</v>
      </c>
      <c r="P2444" s="7" t="str">
        <f ca="1">IFERROR(__xludf.DUMMYFUNCTION("GOOGLEFINANCE(""NSE:""&amp;D2444,""EPS"")"),"#N/A")</f>
        <v>#N/A</v>
      </c>
      <c r="Q2444" s="7">
        <v>13.5</v>
      </c>
      <c r="R2444" s="7" t="str">
        <f ca="1">IFERROR(__xludf.DUMMYFUNCTION("IMPORTXML(E2444,""/html/body/main/div[3]/div[3]/div[2]/ul/li[7]/span[2]/span"")"),"Loading...")</f>
        <v>Loading...</v>
      </c>
      <c r="S2444" s="7" t="str">
        <f ca="1">IFERROR(__xludf.DUMMYFUNCTION("IMPORTXML(E2444,""/html/body/main/div[3]/div[3]/div[2]/ul/li[8]/span[2]/span"")"),"Loading...")</f>
        <v>Loading...</v>
      </c>
      <c r="T2444" s="4">
        <v>34.6</v>
      </c>
      <c r="U2444" s="4">
        <v>22.7</v>
      </c>
      <c r="V2444" s="4">
        <v>2.6</v>
      </c>
      <c r="W2444" s="4">
        <v>5.7</v>
      </c>
      <c r="X2444" s="4">
        <v>519.92999999999995</v>
      </c>
      <c r="Y2444" s="7" t="e">
        <f t="shared" ca="1" si="49"/>
        <v>#VALUE!</v>
      </c>
    </row>
    <row r="2445" spans="1:25" ht="15" x14ac:dyDescent="0.25">
      <c r="A2445" s="4">
        <v>2365</v>
      </c>
      <c r="C2445" s="41" t="s">
        <v>4698</v>
      </c>
      <c r="D2445" s="42"/>
      <c r="E2445" s="5" t="str">
        <f t="shared" si="45"/>
        <v>https://www.screener.in/company//consolidated/</v>
      </c>
      <c r="F2445" s="4">
        <v>443059</v>
      </c>
      <c r="G2445" s="4">
        <v>3832241897</v>
      </c>
      <c r="H2445" s="6" t="e">
        <f t="shared" ca="1" si="46"/>
        <v>#VALUE!</v>
      </c>
      <c r="I2445" s="7" t="str">
        <f ca="1">IFERROR(__xludf.DUMMYFUNCTION("IMPORTXML(E2445,""/html/body/main/div[3]/div[3]/div[2]/ul/li[5]/span[2]/span"")"),"Loading...")</f>
        <v>Loading...</v>
      </c>
      <c r="J2445" s="7" t="str">
        <f ca="1">IFERROR(__xludf.DUMMYFUNCTION("GOOGLEFINANCE(""NSE:""&amp;D2445,""marketcap"")"),"#N/A")</f>
        <v>#N/A</v>
      </c>
      <c r="K2445" s="7">
        <v>992.8</v>
      </c>
      <c r="L2445" s="8" t="str">
        <f ca="1">IFERROR(__xludf.DUMMYFUNCTION("GOOGLEFINANCE(""NSE:""&amp;D2445,""price"")"),"#N/A")</f>
        <v>#N/A</v>
      </c>
      <c r="M2445" s="9" t="e">
        <f t="shared" ca="1" si="47"/>
        <v>#VALUE!</v>
      </c>
      <c r="N2445" s="10" t="e">
        <f t="shared" ca="1" si="48"/>
        <v>#VALUE!</v>
      </c>
      <c r="O2445" s="7" t="str">
        <f ca="1">IFERROR(__xludf.DUMMYFUNCTION("GOOGLEFINANCE(""NSE:""&amp;D2445,""pe"")"),"#N/A")</f>
        <v>#N/A</v>
      </c>
      <c r="P2445" s="7" t="str">
        <f ca="1">IFERROR(__xludf.DUMMYFUNCTION("GOOGLEFINANCE(""NSE:""&amp;D2445,""EPS"")"),"#N/A")</f>
        <v>#N/A</v>
      </c>
      <c r="Q2445" s="7">
        <v>13.5</v>
      </c>
      <c r="R2445" s="7" t="str">
        <f ca="1">IFERROR(__xludf.DUMMYFUNCTION("IMPORTXML(E2445,""/html/body/main/div[3]/div[3]/div[2]/ul/li[7]/span[2]/span"")"),"Loading...")</f>
        <v>Loading...</v>
      </c>
      <c r="S2445" s="7" t="str">
        <f ca="1">IFERROR(__xludf.DUMMYFUNCTION("IMPORTXML(E2445,""/html/body/main/div[3]/div[3]/div[2]/ul/li[8]/span[2]/span"")"),"Loading...")</f>
        <v>Loading...</v>
      </c>
      <c r="T2445" s="4">
        <v>34.6</v>
      </c>
      <c r="U2445" s="4">
        <v>22.7</v>
      </c>
      <c r="V2445" s="4">
        <v>2.6</v>
      </c>
      <c r="W2445" s="4">
        <v>5.7</v>
      </c>
      <c r="X2445" s="4">
        <v>519.92999999999995</v>
      </c>
      <c r="Y2445" s="7" t="e">
        <f t="shared" ca="1" si="49"/>
        <v>#VALUE!</v>
      </c>
    </row>
    <row r="2446" spans="1:25" ht="15" x14ac:dyDescent="0.25">
      <c r="A2446" s="4">
        <v>2366</v>
      </c>
      <c r="C2446" s="41" t="s">
        <v>4699</v>
      </c>
      <c r="D2446" s="42"/>
      <c r="E2446" s="5" t="str">
        <f t="shared" si="45"/>
        <v>https://www.screener.in/company//consolidated/</v>
      </c>
      <c r="F2446" s="4">
        <v>443059</v>
      </c>
      <c r="G2446" s="4">
        <v>3832241897</v>
      </c>
      <c r="H2446" s="6" t="e">
        <f t="shared" ca="1" si="46"/>
        <v>#VALUE!</v>
      </c>
      <c r="I2446" s="7" t="str">
        <f ca="1">IFERROR(__xludf.DUMMYFUNCTION("IMPORTXML(E2446,""/html/body/main/div[3]/div[3]/div[2]/ul/li[5]/span[2]/span"")"),"Loading...")</f>
        <v>Loading...</v>
      </c>
      <c r="J2446" s="7" t="str">
        <f ca="1">IFERROR(__xludf.DUMMYFUNCTION("GOOGLEFINANCE(""NSE:""&amp;D2446,""marketcap"")"),"#N/A")</f>
        <v>#N/A</v>
      </c>
      <c r="K2446" s="7">
        <v>992.8</v>
      </c>
      <c r="L2446" s="8" t="str">
        <f ca="1">IFERROR(__xludf.DUMMYFUNCTION("GOOGLEFINANCE(""NSE:""&amp;D2446,""price"")"),"#N/A")</f>
        <v>#N/A</v>
      </c>
      <c r="M2446" s="9" t="e">
        <f t="shared" ca="1" si="47"/>
        <v>#VALUE!</v>
      </c>
      <c r="N2446" s="10" t="e">
        <f t="shared" ca="1" si="48"/>
        <v>#VALUE!</v>
      </c>
      <c r="O2446" s="7" t="str">
        <f ca="1">IFERROR(__xludf.DUMMYFUNCTION("GOOGLEFINANCE(""NSE:""&amp;D2446,""pe"")"),"#N/A")</f>
        <v>#N/A</v>
      </c>
      <c r="P2446" s="7" t="str">
        <f ca="1">IFERROR(__xludf.DUMMYFUNCTION("GOOGLEFINANCE(""NSE:""&amp;D2446,""EPS"")"),"#N/A")</f>
        <v>#N/A</v>
      </c>
      <c r="Q2446" s="7">
        <v>13.5</v>
      </c>
      <c r="R2446" s="7" t="str">
        <f ca="1">IFERROR(__xludf.DUMMYFUNCTION("IMPORTXML(E2446,""/html/body/main/div[3]/div[3]/div[2]/ul/li[7]/span[2]/span"")"),"Loading...")</f>
        <v>Loading...</v>
      </c>
      <c r="S2446" s="7" t="str">
        <f ca="1">IFERROR(__xludf.DUMMYFUNCTION("IMPORTXML(E2446,""/html/body/main/div[3]/div[3]/div[2]/ul/li[8]/span[2]/span"")"),"Loading...")</f>
        <v>Loading...</v>
      </c>
      <c r="T2446" s="4">
        <v>34.6</v>
      </c>
      <c r="U2446" s="4">
        <v>22.7</v>
      </c>
      <c r="V2446" s="4">
        <v>2.6</v>
      </c>
      <c r="W2446" s="4">
        <v>5.7</v>
      </c>
      <c r="X2446" s="4">
        <v>519.92999999999995</v>
      </c>
      <c r="Y2446" s="7" t="e">
        <f t="shared" ca="1" si="49"/>
        <v>#VALUE!</v>
      </c>
    </row>
    <row r="2447" spans="1:25" ht="15" x14ac:dyDescent="0.25">
      <c r="A2447" s="4">
        <v>2367</v>
      </c>
      <c r="C2447" s="41" t="s">
        <v>4700</v>
      </c>
      <c r="D2447" s="42"/>
      <c r="E2447" s="5" t="str">
        <f t="shared" si="45"/>
        <v>https://www.screener.in/company//consolidated/</v>
      </c>
      <c r="F2447" s="4">
        <v>443059</v>
      </c>
      <c r="G2447" s="4">
        <v>3832241897</v>
      </c>
      <c r="H2447" s="6" t="e">
        <f t="shared" ca="1" si="46"/>
        <v>#VALUE!</v>
      </c>
      <c r="I2447" s="7" t="str">
        <f ca="1">IFERROR(__xludf.DUMMYFUNCTION("IMPORTXML(E2447,""/html/body/main/div[3]/div[3]/div[2]/ul/li[5]/span[2]/span"")"),"Loading...")</f>
        <v>Loading...</v>
      </c>
      <c r="J2447" s="7" t="str">
        <f ca="1">IFERROR(__xludf.DUMMYFUNCTION("GOOGLEFINANCE(""NSE:""&amp;D2447,""marketcap"")"),"#N/A")</f>
        <v>#N/A</v>
      </c>
      <c r="K2447" s="7">
        <v>992.8</v>
      </c>
      <c r="L2447" s="8" t="str">
        <f ca="1">IFERROR(__xludf.DUMMYFUNCTION("GOOGLEFINANCE(""NSE:""&amp;D2447,""price"")"),"#N/A")</f>
        <v>#N/A</v>
      </c>
      <c r="M2447" s="9" t="e">
        <f t="shared" ca="1" si="47"/>
        <v>#VALUE!</v>
      </c>
      <c r="N2447" s="10" t="e">
        <f t="shared" ca="1" si="48"/>
        <v>#VALUE!</v>
      </c>
      <c r="O2447" s="7" t="str">
        <f ca="1">IFERROR(__xludf.DUMMYFUNCTION("GOOGLEFINANCE(""NSE:""&amp;D2447,""pe"")"),"#N/A")</f>
        <v>#N/A</v>
      </c>
      <c r="P2447" s="7" t="str">
        <f ca="1">IFERROR(__xludf.DUMMYFUNCTION("GOOGLEFINANCE(""NSE:""&amp;D2447,""EPS"")"),"#N/A")</f>
        <v>#N/A</v>
      </c>
      <c r="Q2447" s="7">
        <v>13.5</v>
      </c>
      <c r="R2447" s="7" t="str">
        <f ca="1">IFERROR(__xludf.DUMMYFUNCTION("IMPORTXML(E2447,""/html/body/main/div[3]/div[3]/div[2]/ul/li[7]/span[2]/span"")"),"Loading...")</f>
        <v>Loading...</v>
      </c>
      <c r="S2447" s="7" t="str">
        <f ca="1">IFERROR(__xludf.DUMMYFUNCTION("IMPORTXML(E2447,""/html/body/main/div[3]/div[3]/div[2]/ul/li[8]/span[2]/span"")"),"Loading...")</f>
        <v>Loading...</v>
      </c>
      <c r="T2447" s="4">
        <v>34.6</v>
      </c>
      <c r="U2447" s="4">
        <v>22.7</v>
      </c>
      <c r="V2447" s="4">
        <v>2.6</v>
      </c>
      <c r="W2447" s="4">
        <v>5.7</v>
      </c>
      <c r="X2447" s="4">
        <v>519.92999999999995</v>
      </c>
      <c r="Y2447" s="7" t="e">
        <f t="shared" ca="1" si="49"/>
        <v>#VALUE!</v>
      </c>
    </row>
    <row r="2448" spans="1:25" ht="15" x14ac:dyDescent="0.25">
      <c r="A2448" s="4">
        <v>2368</v>
      </c>
      <c r="C2448" s="41" t="s">
        <v>4701</v>
      </c>
      <c r="D2448" s="42"/>
      <c r="E2448" s="5" t="str">
        <f t="shared" si="45"/>
        <v>https://www.screener.in/company//consolidated/</v>
      </c>
      <c r="F2448" s="4">
        <v>443059</v>
      </c>
      <c r="G2448" s="4">
        <v>3832241897</v>
      </c>
      <c r="H2448" s="6" t="e">
        <f t="shared" ca="1" si="46"/>
        <v>#VALUE!</v>
      </c>
      <c r="I2448" s="7" t="str">
        <f ca="1">IFERROR(__xludf.DUMMYFUNCTION("IMPORTXML(E2448,""/html/body/main/div[3]/div[3]/div[2]/ul/li[5]/span[2]/span"")"),"Loading...")</f>
        <v>Loading...</v>
      </c>
      <c r="J2448" s="7" t="str">
        <f ca="1">IFERROR(__xludf.DUMMYFUNCTION("GOOGLEFINANCE(""NSE:""&amp;D2448,""marketcap"")"),"#N/A")</f>
        <v>#N/A</v>
      </c>
      <c r="K2448" s="7">
        <v>992.8</v>
      </c>
      <c r="L2448" s="8" t="str">
        <f ca="1">IFERROR(__xludf.DUMMYFUNCTION("GOOGLEFINANCE(""NSE:""&amp;D2448,""price"")"),"#N/A")</f>
        <v>#N/A</v>
      </c>
      <c r="M2448" s="9" t="e">
        <f t="shared" ca="1" si="47"/>
        <v>#VALUE!</v>
      </c>
      <c r="N2448" s="10" t="e">
        <f t="shared" ca="1" si="48"/>
        <v>#VALUE!</v>
      </c>
      <c r="O2448" s="7" t="str">
        <f ca="1">IFERROR(__xludf.DUMMYFUNCTION("GOOGLEFINANCE(""NSE:""&amp;D2448,""pe"")"),"#N/A")</f>
        <v>#N/A</v>
      </c>
      <c r="P2448" s="7" t="str">
        <f ca="1">IFERROR(__xludf.DUMMYFUNCTION("GOOGLEFINANCE(""NSE:""&amp;D2448,""EPS"")"),"#N/A")</f>
        <v>#N/A</v>
      </c>
      <c r="Q2448" s="7">
        <v>13.5</v>
      </c>
      <c r="R2448" s="7" t="str">
        <f ca="1">IFERROR(__xludf.DUMMYFUNCTION("IMPORTXML(E2448,""/html/body/main/div[3]/div[3]/div[2]/ul/li[7]/span[2]/span"")"),"Loading...")</f>
        <v>Loading...</v>
      </c>
      <c r="S2448" s="7" t="str">
        <f ca="1">IFERROR(__xludf.DUMMYFUNCTION("IMPORTXML(E2448,""/html/body/main/div[3]/div[3]/div[2]/ul/li[8]/span[2]/span"")"),"Loading...")</f>
        <v>Loading...</v>
      </c>
      <c r="T2448" s="4">
        <v>34.6</v>
      </c>
      <c r="U2448" s="4">
        <v>22.7</v>
      </c>
      <c r="V2448" s="4">
        <v>2.6</v>
      </c>
      <c r="W2448" s="4">
        <v>5.7</v>
      </c>
      <c r="X2448" s="4">
        <v>519.92999999999995</v>
      </c>
      <c r="Y2448" s="7" t="e">
        <f t="shared" ca="1" si="49"/>
        <v>#VALUE!</v>
      </c>
    </row>
    <row r="2449" spans="1:25" ht="15" x14ac:dyDescent="0.25">
      <c r="A2449" s="4">
        <v>2369</v>
      </c>
      <c r="C2449" s="12" t="s">
        <v>4702</v>
      </c>
      <c r="D2449" s="12" t="s">
        <v>4703</v>
      </c>
      <c r="E2449" s="5" t="str">
        <f t="shared" si="45"/>
        <v>https://www.screener.in/company/FCONSUMER/consolidated/</v>
      </c>
      <c r="F2449" s="4">
        <v>443059</v>
      </c>
      <c r="G2449" s="4">
        <v>3832241897</v>
      </c>
      <c r="H2449" s="6">
        <f t="shared" ca="1" si="46"/>
        <v>168.61864346800002</v>
      </c>
      <c r="I2449" s="7" t="str">
        <f ca="1">IFERROR(__xludf.DUMMYFUNCTION("IMPORTXML(E2449,""/html/body/main/div[3]/div[3]/div[2]/ul/li[5]/span[2]/span"")"),"Loading...")</f>
        <v>Loading...</v>
      </c>
      <c r="J2449" s="7">
        <f ca="1">IFERROR(__xludf.DUMMYFUNCTION("GOOGLEFINANCE(""NSE:""&amp;D2449,""marketcap"")"),878694955)</f>
        <v>878694955</v>
      </c>
      <c r="K2449" s="7">
        <v>992.8</v>
      </c>
      <c r="L2449" s="8">
        <f ca="1">IFERROR(__xludf.DUMMYFUNCTION("GOOGLEFINANCE(""NSE:""&amp;D2449,""price"")"),0.44)</f>
        <v>0.44</v>
      </c>
      <c r="M2449" s="9">
        <f t="shared" ca="1" si="47"/>
        <v>-992.3599999999999</v>
      </c>
      <c r="N2449" s="10">
        <f t="shared" ca="1" si="48"/>
        <v>-99.955680902497974</v>
      </c>
      <c r="O2449" s="7" t="str">
        <f ca="1">IFERROR(__xludf.DUMMYFUNCTION("GOOGLEFINANCE(""NSE:""&amp;D2449,""pe"")"),"#N/A")</f>
        <v>#N/A</v>
      </c>
      <c r="P2449" s="7">
        <f ca="1">IFERROR(__xludf.DUMMYFUNCTION("GOOGLEFINANCE(""NSE:""&amp;D2449,""EPS"")"),-0.24)</f>
        <v>-0.24</v>
      </c>
      <c r="Q2449" s="7">
        <v>13.5</v>
      </c>
      <c r="R2449" s="7" t="str">
        <f ca="1">IFERROR(__xludf.DUMMYFUNCTION("IMPORTXML(E2449,""/html/body/main/div[3]/div[3]/div[2]/ul/li[7]/span[2]/span"")"),"Loading...")</f>
        <v>Loading...</v>
      </c>
      <c r="S2449" s="7" t="str">
        <f ca="1">IFERROR(__xludf.DUMMYFUNCTION("IMPORTXML(E2449,""/html/body/main/div[3]/div[3]/div[2]/ul/li[8]/span[2]/span"")"),"Loading...")</f>
        <v>Loading...</v>
      </c>
      <c r="T2449" s="4">
        <v>34.6</v>
      </c>
      <c r="U2449" s="4">
        <v>22.7</v>
      </c>
      <c r="V2449" s="4">
        <v>2.6</v>
      </c>
      <c r="W2449" s="4">
        <v>5.7</v>
      </c>
      <c r="X2449" s="4">
        <v>519.92999999999995</v>
      </c>
      <c r="Y2449" s="7">
        <f t="shared" ca="1" si="49"/>
        <v>-519.4899999999999</v>
      </c>
    </row>
    <row r="2450" spans="1:25" ht="15" x14ac:dyDescent="0.25">
      <c r="A2450" s="4">
        <v>2370</v>
      </c>
      <c r="C2450" s="41" t="s">
        <v>4704</v>
      </c>
      <c r="D2450" s="42"/>
      <c r="E2450" s="5" t="str">
        <f t="shared" si="45"/>
        <v>https://www.screener.in/company//consolidated/</v>
      </c>
      <c r="F2450" s="4">
        <v>443059</v>
      </c>
      <c r="G2450" s="4">
        <v>3832241897</v>
      </c>
      <c r="H2450" s="6" t="e">
        <f t="shared" ca="1" si="46"/>
        <v>#VALUE!</v>
      </c>
      <c r="I2450" s="7" t="str">
        <f ca="1">IFERROR(__xludf.DUMMYFUNCTION("IMPORTXML(E2450,""/html/body/main/div[3]/div[3]/div[2]/ul/li[5]/span[2]/span"")"),"Loading...")</f>
        <v>Loading...</v>
      </c>
      <c r="J2450" s="7" t="str">
        <f ca="1">IFERROR(__xludf.DUMMYFUNCTION("GOOGLEFINANCE(""NSE:""&amp;D2450,""marketcap"")"),"#N/A")</f>
        <v>#N/A</v>
      </c>
      <c r="K2450" s="7">
        <v>992.8</v>
      </c>
      <c r="L2450" s="8" t="str">
        <f ca="1">IFERROR(__xludf.DUMMYFUNCTION("GOOGLEFINANCE(""NSE:""&amp;D2450,""price"")"),"#N/A")</f>
        <v>#N/A</v>
      </c>
      <c r="M2450" s="9" t="e">
        <f t="shared" ca="1" si="47"/>
        <v>#VALUE!</v>
      </c>
      <c r="N2450" s="10" t="e">
        <f t="shared" ca="1" si="48"/>
        <v>#VALUE!</v>
      </c>
      <c r="O2450" s="7" t="str">
        <f ca="1">IFERROR(__xludf.DUMMYFUNCTION("GOOGLEFINANCE(""NSE:""&amp;D2450,""pe"")"),"#N/A")</f>
        <v>#N/A</v>
      </c>
      <c r="P2450" s="7" t="str">
        <f ca="1">IFERROR(__xludf.DUMMYFUNCTION("GOOGLEFINANCE(""NSE:""&amp;D2450,""EPS"")"),"#N/A")</f>
        <v>#N/A</v>
      </c>
      <c r="Q2450" s="7">
        <v>13.5</v>
      </c>
      <c r="R2450" s="7" t="str">
        <f ca="1">IFERROR(__xludf.DUMMYFUNCTION("IMPORTXML(E2450,""/html/body/main/div[3]/div[3]/div[2]/ul/li[7]/span[2]/span"")"),"Loading...")</f>
        <v>Loading...</v>
      </c>
      <c r="S2450" s="7" t="str">
        <f ca="1">IFERROR(__xludf.DUMMYFUNCTION("IMPORTXML(E2450,""/html/body/main/div[3]/div[3]/div[2]/ul/li[8]/span[2]/span"")"),"Loading...")</f>
        <v>Loading...</v>
      </c>
      <c r="T2450" s="4">
        <v>34.6</v>
      </c>
      <c r="U2450" s="4">
        <v>22.7</v>
      </c>
      <c r="V2450" s="4">
        <v>2.6</v>
      </c>
      <c r="W2450" s="4">
        <v>5.7</v>
      </c>
      <c r="X2450" s="4">
        <v>519.92999999999995</v>
      </c>
      <c r="Y2450" s="7" t="e">
        <f t="shared" ca="1" si="49"/>
        <v>#VALUE!</v>
      </c>
    </row>
    <row r="2451" spans="1:25" ht="15" x14ac:dyDescent="0.25">
      <c r="A2451" s="4">
        <v>2371</v>
      </c>
      <c r="C2451" s="41" t="s">
        <v>4705</v>
      </c>
      <c r="D2451" s="42"/>
      <c r="E2451" s="5" t="str">
        <f t="shared" si="45"/>
        <v>https://www.screener.in/company//consolidated/</v>
      </c>
      <c r="F2451" s="4">
        <v>443059</v>
      </c>
      <c r="G2451" s="4">
        <v>3832241897</v>
      </c>
      <c r="H2451" s="6" t="e">
        <f t="shared" ca="1" si="46"/>
        <v>#VALUE!</v>
      </c>
      <c r="I2451" s="7" t="str">
        <f ca="1">IFERROR(__xludf.DUMMYFUNCTION("IMPORTXML(E2451,""/html/body/main/div[3]/div[3]/div[2]/ul/li[5]/span[2]/span"")"),"Loading...")</f>
        <v>Loading...</v>
      </c>
      <c r="J2451" s="7" t="str">
        <f ca="1">IFERROR(__xludf.DUMMYFUNCTION("GOOGLEFINANCE(""NSE:""&amp;D2451,""marketcap"")"),"#N/A")</f>
        <v>#N/A</v>
      </c>
      <c r="K2451" s="7">
        <v>992.8</v>
      </c>
      <c r="L2451" s="8" t="str">
        <f ca="1">IFERROR(__xludf.DUMMYFUNCTION("GOOGLEFINANCE(""NSE:""&amp;D2451,""price"")"),"#N/A")</f>
        <v>#N/A</v>
      </c>
      <c r="M2451" s="9" t="e">
        <f t="shared" ca="1" si="47"/>
        <v>#VALUE!</v>
      </c>
      <c r="N2451" s="10" t="e">
        <f t="shared" ca="1" si="48"/>
        <v>#VALUE!</v>
      </c>
      <c r="O2451" s="7" t="str">
        <f ca="1">IFERROR(__xludf.DUMMYFUNCTION("GOOGLEFINANCE(""NSE:""&amp;D2451,""pe"")"),"#N/A")</f>
        <v>#N/A</v>
      </c>
      <c r="P2451" s="7" t="str">
        <f ca="1">IFERROR(__xludf.DUMMYFUNCTION("GOOGLEFINANCE(""NSE:""&amp;D2451,""EPS"")"),"#N/A")</f>
        <v>#N/A</v>
      </c>
      <c r="Q2451" s="7">
        <v>13.5</v>
      </c>
      <c r="R2451" s="7" t="str">
        <f ca="1">IFERROR(__xludf.DUMMYFUNCTION("IMPORTXML(E2451,""/html/body/main/div[3]/div[3]/div[2]/ul/li[7]/span[2]/span"")"),"Loading...")</f>
        <v>Loading...</v>
      </c>
      <c r="S2451" s="7" t="str">
        <f ca="1">IFERROR(__xludf.DUMMYFUNCTION("IMPORTXML(E2451,""/html/body/main/div[3]/div[3]/div[2]/ul/li[8]/span[2]/span"")"),"Loading...")</f>
        <v>Loading...</v>
      </c>
      <c r="T2451" s="4">
        <v>34.6</v>
      </c>
      <c r="U2451" s="4">
        <v>22.7</v>
      </c>
      <c r="V2451" s="4">
        <v>2.6</v>
      </c>
      <c r="W2451" s="4">
        <v>5.7</v>
      </c>
      <c r="X2451" s="4">
        <v>519.92999999999995</v>
      </c>
      <c r="Y2451" s="7" t="e">
        <f t="shared" ca="1" si="49"/>
        <v>#VALUE!</v>
      </c>
    </row>
    <row r="2452" spans="1:25" ht="15" x14ac:dyDescent="0.25">
      <c r="A2452" s="4">
        <v>2372</v>
      </c>
      <c r="C2452" s="41" t="s">
        <v>4706</v>
      </c>
      <c r="D2452" s="42"/>
      <c r="E2452" s="5" t="str">
        <f t="shared" si="45"/>
        <v>https://www.screener.in/company//consolidated/</v>
      </c>
      <c r="F2452" s="4">
        <v>443059</v>
      </c>
      <c r="G2452" s="4">
        <v>3832241897</v>
      </c>
      <c r="H2452" s="6" t="e">
        <f t="shared" ca="1" si="46"/>
        <v>#VALUE!</v>
      </c>
      <c r="I2452" s="7" t="str">
        <f ca="1">IFERROR(__xludf.DUMMYFUNCTION("IMPORTXML(E2452,""/html/body/main/div[3]/div[3]/div[2]/ul/li[5]/span[2]/span"")"),"Loading...")</f>
        <v>Loading...</v>
      </c>
      <c r="J2452" s="7" t="str">
        <f ca="1">IFERROR(__xludf.DUMMYFUNCTION("GOOGLEFINANCE(""NSE:""&amp;D2452,""marketcap"")"),"#N/A")</f>
        <v>#N/A</v>
      </c>
      <c r="K2452" s="7">
        <v>992.8</v>
      </c>
      <c r="L2452" s="8" t="str">
        <f ca="1">IFERROR(__xludf.DUMMYFUNCTION("GOOGLEFINANCE(""NSE:""&amp;D2452,""price"")"),"#N/A")</f>
        <v>#N/A</v>
      </c>
      <c r="M2452" s="9" t="e">
        <f t="shared" ca="1" si="47"/>
        <v>#VALUE!</v>
      </c>
      <c r="N2452" s="10" t="e">
        <f t="shared" ca="1" si="48"/>
        <v>#VALUE!</v>
      </c>
      <c r="O2452" s="7" t="str">
        <f ca="1">IFERROR(__xludf.DUMMYFUNCTION("GOOGLEFINANCE(""NSE:""&amp;D2452,""pe"")"),"#N/A")</f>
        <v>#N/A</v>
      </c>
      <c r="P2452" s="7" t="str">
        <f ca="1">IFERROR(__xludf.DUMMYFUNCTION("GOOGLEFINANCE(""NSE:""&amp;D2452,""EPS"")"),"#N/A")</f>
        <v>#N/A</v>
      </c>
      <c r="Q2452" s="7">
        <v>13.5</v>
      </c>
      <c r="R2452" s="7" t="str">
        <f ca="1">IFERROR(__xludf.DUMMYFUNCTION("IMPORTXML(E2452,""/html/body/main/div[3]/div[3]/div[2]/ul/li[7]/span[2]/span"")"),"Loading...")</f>
        <v>Loading...</v>
      </c>
      <c r="S2452" s="7" t="str">
        <f ca="1">IFERROR(__xludf.DUMMYFUNCTION("IMPORTXML(E2452,""/html/body/main/div[3]/div[3]/div[2]/ul/li[8]/span[2]/span"")"),"Loading...")</f>
        <v>Loading...</v>
      </c>
      <c r="T2452" s="4">
        <v>34.6</v>
      </c>
      <c r="U2452" s="4">
        <v>22.7</v>
      </c>
      <c r="V2452" s="4">
        <v>2.6</v>
      </c>
      <c r="W2452" s="4">
        <v>5.7</v>
      </c>
      <c r="X2452" s="4">
        <v>519.92999999999995</v>
      </c>
      <c r="Y2452" s="7" t="e">
        <f t="shared" ca="1" si="49"/>
        <v>#VALUE!</v>
      </c>
    </row>
    <row r="2453" spans="1:25" ht="15" x14ac:dyDescent="0.25">
      <c r="A2453" s="4">
        <v>2373</v>
      </c>
      <c r="C2453" s="41" t="s">
        <v>4707</v>
      </c>
      <c r="D2453" s="42"/>
      <c r="E2453" s="5" t="str">
        <f t="shared" si="45"/>
        <v>https://www.screener.in/company//consolidated/</v>
      </c>
      <c r="F2453" s="4">
        <v>443059</v>
      </c>
      <c r="G2453" s="4">
        <v>3832241897</v>
      </c>
      <c r="H2453" s="6" t="e">
        <f t="shared" ca="1" si="46"/>
        <v>#VALUE!</v>
      </c>
      <c r="I2453" s="7" t="str">
        <f ca="1">IFERROR(__xludf.DUMMYFUNCTION("IMPORTXML(E2453,""/html/body/main/div[3]/div[3]/div[2]/ul/li[5]/span[2]/span"")"),"Loading...")</f>
        <v>Loading...</v>
      </c>
      <c r="J2453" s="7" t="str">
        <f ca="1">IFERROR(__xludf.DUMMYFUNCTION("GOOGLEFINANCE(""NSE:""&amp;D2453,""marketcap"")"),"#N/A")</f>
        <v>#N/A</v>
      </c>
      <c r="K2453" s="7">
        <v>992.8</v>
      </c>
      <c r="L2453" s="8" t="str">
        <f ca="1">IFERROR(__xludf.DUMMYFUNCTION("GOOGLEFINANCE(""NSE:""&amp;D2453,""price"")"),"#N/A")</f>
        <v>#N/A</v>
      </c>
      <c r="M2453" s="9" t="e">
        <f t="shared" ca="1" si="47"/>
        <v>#VALUE!</v>
      </c>
      <c r="N2453" s="10" t="e">
        <f t="shared" ca="1" si="48"/>
        <v>#VALUE!</v>
      </c>
      <c r="O2453" s="7" t="str">
        <f ca="1">IFERROR(__xludf.DUMMYFUNCTION("GOOGLEFINANCE(""NSE:""&amp;D2453,""pe"")"),"#N/A")</f>
        <v>#N/A</v>
      </c>
      <c r="P2453" s="7" t="str">
        <f ca="1">IFERROR(__xludf.DUMMYFUNCTION("GOOGLEFINANCE(""NSE:""&amp;D2453,""EPS"")"),"#N/A")</f>
        <v>#N/A</v>
      </c>
      <c r="Q2453" s="7">
        <v>13.5</v>
      </c>
      <c r="R2453" s="7" t="str">
        <f ca="1">IFERROR(__xludf.DUMMYFUNCTION("IMPORTXML(E2453,""/html/body/main/div[3]/div[3]/div[2]/ul/li[7]/span[2]/span"")"),"Loading...")</f>
        <v>Loading...</v>
      </c>
      <c r="S2453" s="7" t="str">
        <f ca="1">IFERROR(__xludf.DUMMYFUNCTION("IMPORTXML(E2453,""/html/body/main/div[3]/div[3]/div[2]/ul/li[8]/span[2]/span"")"),"Loading...")</f>
        <v>Loading...</v>
      </c>
      <c r="T2453" s="4">
        <v>34.6</v>
      </c>
      <c r="U2453" s="4">
        <v>22.7</v>
      </c>
      <c r="V2453" s="4">
        <v>2.6</v>
      </c>
      <c r="W2453" s="4">
        <v>5.7</v>
      </c>
      <c r="X2453" s="4">
        <v>519.92999999999995</v>
      </c>
      <c r="Y2453" s="7" t="e">
        <f t="shared" ca="1" si="49"/>
        <v>#VALUE!</v>
      </c>
    </row>
    <row r="2454" spans="1:25" ht="15" x14ac:dyDescent="0.25">
      <c r="A2454" s="4">
        <v>2375</v>
      </c>
      <c r="C2454" s="41" t="s">
        <v>4708</v>
      </c>
      <c r="D2454" s="42"/>
      <c r="E2454" s="5" t="str">
        <f t="shared" si="45"/>
        <v>https://www.screener.in/company//consolidated/</v>
      </c>
      <c r="F2454" s="4">
        <v>443059</v>
      </c>
      <c r="G2454" s="4">
        <v>3832241897</v>
      </c>
      <c r="H2454" s="6" t="e">
        <f t="shared" ca="1" si="46"/>
        <v>#VALUE!</v>
      </c>
      <c r="I2454" s="7" t="str">
        <f ca="1">IFERROR(__xludf.DUMMYFUNCTION("IMPORTXML(E2454,""/html/body/main/div[3]/div[3]/div[2]/ul/li[5]/span[2]/span"")"),"Loading...")</f>
        <v>Loading...</v>
      </c>
      <c r="J2454" s="7" t="str">
        <f ca="1">IFERROR(__xludf.DUMMYFUNCTION("GOOGLEFINANCE(""NSE:""&amp;D2454,""marketcap"")"),"#N/A")</f>
        <v>#N/A</v>
      </c>
      <c r="K2454" s="7">
        <v>992.8</v>
      </c>
      <c r="L2454" s="8" t="str">
        <f ca="1">IFERROR(__xludf.DUMMYFUNCTION("GOOGLEFINANCE(""NSE:""&amp;D2454,""price"")"),"#N/A")</f>
        <v>#N/A</v>
      </c>
      <c r="M2454" s="9" t="e">
        <f t="shared" ca="1" si="47"/>
        <v>#VALUE!</v>
      </c>
      <c r="N2454" s="10" t="e">
        <f t="shared" ca="1" si="48"/>
        <v>#VALUE!</v>
      </c>
      <c r="O2454" s="7" t="str">
        <f ca="1">IFERROR(__xludf.DUMMYFUNCTION("GOOGLEFINANCE(""NSE:""&amp;D2454,""pe"")"),"#N/A")</f>
        <v>#N/A</v>
      </c>
      <c r="P2454" s="7" t="str">
        <f ca="1">IFERROR(__xludf.DUMMYFUNCTION("GOOGLEFINANCE(""NSE:""&amp;D2454,""EPS"")"),"#N/A")</f>
        <v>#N/A</v>
      </c>
      <c r="Q2454" s="7">
        <v>13.5</v>
      </c>
      <c r="R2454" s="7" t="str">
        <f ca="1">IFERROR(__xludf.DUMMYFUNCTION("IMPORTXML(E2454,""/html/body/main/div[3]/div[3]/div[2]/ul/li[7]/span[2]/span"")"),"Loading...")</f>
        <v>Loading...</v>
      </c>
      <c r="S2454" s="7" t="str">
        <f ca="1">IFERROR(__xludf.DUMMYFUNCTION("IMPORTXML(E2454,""/html/body/main/div[3]/div[3]/div[2]/ul/li[8]/span[2]/span"")"),"Loading...")</f>
        <v>Loading...</v>
      </c>
      <c r="T2454" s="4">
        <v>34.6</v>
      </c>
      <c r="U2454" s="4">
        <v>22.7</v>
      </c>
      <c r="V2454" s="4">
        <v>2.6</v>
      </c>
      <c r="W2454" s="4">
        <v>5.7</v>
      </c>
      <c r="X2454" s="4">
        <v>519.92999999999995</v>
      </c>
      <c r="Y2454" s="7" t="e">
        <f t="shared" ca="1" si="49"/>
        <v>#VALUE!</v>
      </c>
    </row>
    <row r="2455" spans="1:25" ht="15" x14ac:dyDescent="0.25">
      <c r="A2455" s="4">
        <v>2376</v>
      </c>
      <c r="C2455" s="41" t="s">
        <v>4709</v>
      </c>
      <c r="D2455" s="42"/>
      <c r="E2455" s="5" t="str">
        <f t="shared" si="45"/>
        <v>https://www.screener.in/company//consolidated/</v>
      </c>
      <c r="F2455" s="4">
        <v>443059</v>
      </c>
      <c r="G2455" s="4">
        <v>3832241897</v>
      </c>
      <c r="H2455" s="6" t="e">
        <f t="shared" ca="1" si="46"/>
        <v>#VALUE!</v>
      </c>
      <c r="I2455" s="7" t="str">
        <f ca="1">IFERROR(__xludf.DUMMYFUNCTION("IMPORTXML(E2455,""/html/body/main/div[3]/div[3]/div[2]/ul/li[5]/span[2]/span"")"),"Loading...")</f>
        <v>Loading...</v>
      </c>
      <c r="J2455" s="7" t="str">
        <f ca="1">IFERROR(__xludf.DUMMYFUNCTION("GOOGLEFINANCE(""NSE:""&amp;D2455,""marketcap"")"),"#N/A")</f>
        <v>#N/A</v>
      </c>
      <c r="K2455" s="7">
        <v>992.8</v>
      </c>
      <c r="L2455" s="8" t="str">
        <f ca="1">IFERROR(__xludf.DUMMYFUNCTION("GOOGLEFINANCE(""NSE:""&amp;D2455,""price"")"),"#N/A")</f>
        <v>#N/A</v>
      </c>
      <c r="M2455" s="9" t="e">
        <f t="shared" ca="1" si="47"/>
        <v>#VALUE!</v>
      </c>
      <c r="N2455" s="10" t="e">
        <f t="shared" ca="1" si="48"/>
        <v>#VALUE!</v>
      </c>
      <c r="O2455" s="7" t="str">
        <f ca="1">IFERROR(__xludf.DUMMYFUNCTION("GOOGLEFINANCE(""NSE:""&amp;D2455,""pe"")"),"#N/A")</f>
        <v>#N/A</v>
      </c>
      <c r="P2455" s="7" t="str">
        <f ca="1">IFERROR(__xludf.DUMMYFUNCTION("GOOGLEFINANCE(""NSE:""&amp;D2455,""EPS"")"),"#N/A")</f>
        <v>#N/A</v>
      </c>
      <c r="Q2455" s="7">
        <v>13.5</v>
      </c>
      <c r="R2455" s="7" t="str">
        <f ca="1">IFERROR(__xludf.DUMMYFUNCTION("IMPORTXML(E2455,""/html/body/main/div[3]/div[3]/div[2]/ul/li[7]/span[2]/span"")"),"Loading...")</f>
        <v>Loading...</v>
      </c>
      <c r="S2455" s="7" t="str">
        <f ca="1">IFERROR(__xludf.DUMMYFUNCTION("IMPORTXML(E2455,""/html/body/main/div[3]/div[3]/div[2]/ul/li[8]/span[2]/span"")"),"Loading...")</f>
        <v>Loading...</v>
      </c>
      <c r="T2455" s="4">
        <v>34.6</v>
      </c>
      <c r="U2455" s="4">
        <v>22.7</v>
      </c>
      <c r="V2455" s="4">
        <v>2.6</v>
      </c>
      <c r="W2455" s="4">
        <v>5.7</v>
      </c>
      <c r="X2455" s="4">
        <v>519.92999999999995</v>
      </c>
      <c r="Y2455" s="7" t="e">
        <f t="shared" ca="1" si="49"/>
        <v>#VALUE!</v>
      </c>
    </row>
    <row r="2456" spans="1:25" ht="15" x14ac:dyDescent="0.25">
      <c r="A2456" s="4">
        <v>2377</v>
      </c>
      <c r="C2456" s="41" t="s">
        <v>4710</v>
      </c>
      <c r="D2456" s="42"/>
      <c r="E2456" s="5" t="str">
        <f t="shared" si="45"/>
        <v>https://www.screener.in/company//consolidated/</v>
      </c>
      <c r="F2456" s="4">
        <v>443059</v>
      </c>
      <c r="G2456" s="4">
        <v>3832241897</v>
      </c>
      <c r="H2456" s="6" t="e">
        <f t="shared" ca="1" si="46"/>
        <v>#VALUE!</v>
      </c>
      <c r="I2456" s="7" t="str">
        <f ca="1">IFERROR(__xludf.DUMMYFUNCTION("IMPORTXML(E2456,""/html/body/main/div[3]/div[3]/div[2]/ul/li[5]/span[2]/span"")"),"Loading...")</f>
        <v>Loading...</v>
      </c>
      <c r="J2456" s="7" t="str">
        <f ca="1">IFERROR(__xludf.DUMMYFUNCTION("GOOGLEFINANCE(""NSE:""&amp;D2456,""marketcap"")"),"#N/A")</f>
        <v>#N/A</v>
      </c>
      <c r="K2456" s="7">
        <v>992.8</v>
      </c>
      <c r="L2456" s="8" t="str">
        <f ca="1">IFERROR(__xludf.DUMMYFUNCTION("GOOGLEFINANCE(""NSE:""&amp;D2456,""price"")"),"#N/A")</f>
        <v>#N/A</v>
      </c>
      <c r="M2456" s="9" t="e">
        <f t="shared" ca="1" si="47"/>
        <v>#VALUE!</v>
      </c>
      <c r="N2456" s="10" t="e">
        <f t="shared" ca="1" si="48"/>
        <v>#VALUE!</v>
      </c>
      <c r="O2456" s="7" t="str">
        <f ca="1">IFERROR(__xludf.DUMMYFUNCTION("GOOGLEFINANCE(""NSE:""&amp;D2456,""pe"")"),"#N/A")</f>
        <v>#N/A</v>
      </c>
      <c r="P2456" s="7" t="str">
        <f ca="1">IFERROR(__xludf.DUMMYFUNCTION("GOOGLEFINANCE(""NSE:""&amp;D2456,""EPS"")"),"#N/A")</f>
        <v>#N/A</v>
      </c>
      <c r="Q2456" s="7">
        <v>13.5</v>
      </c>
      <c r="R2456" s="7" t="str">
        <f ca="1">IFERROR(__xludf.DUMMYFUNCTION("IMPORTXML(E2456,""/html/body/main/div[3]/div[3]/div[2]/ul/li[7]/span[2]/span"")"),"Loading...")</f>
        <v>Loading...</v>
      </c>
      <c r="S2456" s="7" t="str">
        <f ca="1">IFERROR(__xludf.DUMMYFUNCTION("IMPORTXML(E2456,""/html/body/main/div[3]/div[3]/div[2]/ul/li[8]/span[2]/span"")"),"Loading...")</f>
        <v>Loading...</v>
      </c>
      <c r="T2456" s="4">
        <v>34.6</v>
      </c>
      <c r="U2456" s="4">
        <v>22.7</v>
      </c>
      <c r="V2456" s="4">
        <v>2.6</v>
      </c>
      <c r="W2456" s="4">
        <v>5.7</v>
      </c>
      <c r="X2456" s="4">
        <v>519.92999999999995</v>
      </c>
      <c r="Y2456" s="7" t="e">
        <f t="shared" ca="1" si="49"/>
        <v>#VALUE!</v>
      </c>
    </row>
    <row r="2457" spans="1:25" ht="15" x14ac:dyDescent="0.25">
      <c r="A2457" s="4">
        <v>2378</v>
      </c>
      <c r="C2457" s="41" t="s">
        <v>4711</v>
      </c>
      <c r="D2457" s="42"/>
      <c r="E2457" s="5" t="str">
        <f t="shared" si="45"/>
        <v>https://www.screener.in/company//consolidated/</v>
      </c>
      <c r="F2457" s="4">
        <v>443059</v>
      </c>
      <c r="G2457" s="4">
        <v>3832241897</v>
      </c>
      <c r="H2457" s="6" t="e">
        <f t="shared" ca="1" si="46"/>
        <v>#VALUE!</v>
      </c>
      <c r="I2457" s="7" t="str">
        <f ca="1">IFERROR(__xludf.DUMMYFUNCTION("IMPORTXML(E2457,""/html/body/main/div[3]/div[3]/div[2]/ul/li[5]/span[2]/span"")"),"Loading...")</f>
        <v>Loading...</v>
      </c>
      <c r="J2457" s="7" t="str">
        <f ca="1">IFERROR(__xludf.DUMMYFUNCTION("GOOGLEFINANCE(""NSE:""&amp;D2457,""marketcap"")"),"#N/A")</f>
        <v>#N/A</v>
      </c>
      <c r="K2457" s="7">
        <v>992.8</v>
      </c>
      <c r="L2457" s="8" t="str">
        <f ca="1">IFERROR(__xludf.DUMMYFUNCTION("GOOGLEFINANCE(""NSE:""&amp;D2457,""price"")"),"#N/A")</f>
        <v>#N/A</v>
      </c>
      <c r="M2457" s="9" t="e">
        <f t="shared" ca="1" si="47"/>
        <v>#VALUE!</v>
      </c>
      <c r="N2457" s="10" t="e">
        <f t="shared" ca="1" si="48"/>
        <v>#VALUE!</v>
      </c>
      <c r="O2457" s="7" t="str">
        <f ca="1">IFERROR(__xludf.DUMMYFUNCTION("GOOGLEFINANCE(""NSE:""&amp;D2457,""pe"")"),"#N/A")</f>
        <v>#N/A</v>
      </c>
      <c r="P2457" s="7" t="str">
        <f ca="1">IFERROR(__xludf.DUMMYFUNCTION("GOOGLEFINANCE(""NSE:""&amp;D2457,""EPS"")"),"#N/A")</f>
        <v>#N/A</v>
      </c>
      <c r="Q2457" s="7">
        <v>13.5</v>
      </c>
      <c r="R2457" s="7" t="str">
        <f ca="1">IFERROR(__xludf.DUMMYFUNCTION("IMPORTXML(E2457,""/html/body/main/div[3]/div[3]/div[2]/ul/li[7]/span[2]/span"")"),"Loading...")</f>
        <v>Loading...</v>
      </c>
      <c r="S2457" s="7" t="str">
        <f ca="1">IFERROR(__xludf.DUMMYFUNCTION("IMPORTXML(E2457,""/html/body/main/div[3]/div[3]/div[2]/ul/li[8]/span[2]/span"")"),"Loading...")</f>
        <v>Loading...</v>
      </c>
      <c r="T2457" s="4">
        <v>34.6</v>
      </c>
      <c r="U2457" s="4">
        <v>22.7</v>
      </c>
      <c r="V2457" s="4">
        <v>2.6</v>
      </c>
      <c r="W2457" s="4">
        <v>5.7</v>
      </c>
      <c r="X2457" s="4">
        <v>519.92999999999995</v>
      </c>
      <c r="Y2457" s="7" t="e">
        <f t="shared" ca="1" si="49"/>
        <v>#VALUE!</v>
      </c>
    </row>
    <row r="2458" spans="1:25" ht="15" x14ac:dyDescent="0.25">
      <c r="A2458" s="4">
        <v>2379</v>
      </c>
      <c r="C2458" s="41" t="s">
        <v>4712</v>
      </c>
      <c r="D2458" s="42"/>
      <c r="E2458" s="5" t="str">
        <f t="shared" ref="E2458:E2712" si="50">"https://www.screener.in/company/"&amp; D2458&amp;"/consolidated/"</f>
        <v>https://www.screener.in/company//consolidated/</v>
      </c>
      <c r="F2458" s="4">
        <v>443059</v>
      </c>
      <c r="G2458" s="4">
        <v>3832241897</v>
      </c>
      <c r="H2458" s="6" t="e">
        <f t="shared" ref="H2458:H2712" ca="1" si="51">(G2458*L2458)/10^7</f>
        <v>#VALUE!</v>
      </c>
      <c r="I2458" s="7" t="str">
        <f ca="1">IFERROR(__xludf.DUMMYFUNCTION("IMPORTXML(E2458,""/html/body/main/div[3]/div[3]/div[2]/ul/li[5]/span[2]/span"")"),"Loading...")</f>
        <v>Loading...</v>
      </c>
      <c r="J2458" s="7" t="str">
        <f ca="1">IFERROR(__xludf.DUMMYFUNCTION("GOOGLEFINANCE(""NSE:""&amp;D2458,""marketcap"")"),"#N/A")</f>
        <v>#N/A</v>
      </c>
      <c r="K2458" s="7">
        <v>992.8</v>
      </c>
      <c r="L2458" s="8" t="str">
        <f ca="1">IFERROR(__xludf.DUMMYFUNCTION("GOOGLEFINANCE(""NSE:""&amp;D2458,""price"")"),"#N/A")</f>
        <v>#N/A</v>
      </c>
      <c r="M2458" s="9" t="e">
        <f t="shared" ref="M2458:M2712" ca="1" si="52">L2458-K2458</f>
        <v>#VALUE!</v>
      </c>
      <c r="N2458" s="10" t="e">
        <f t="shared" ref="N2458:N2712" ca="1" si="53">(M2458/K2458)*100</f>
        <v>#VALUE!</v>
      </c>
      <c r="O2458" s="7" t="str">
        <f ca="1">IFERROR(__xludf.DUMMYFUNCTION("GOOGLEFINANCE(""NSE:""&amp;D2458,""pe"")"),"#N/A")</f>
        <v>#N/A</v>
      </c>
      <c r="P2458" s="7" t="str">
        <f ca="1">IFERROR(__xludf.DUMMYFUNCTION("GOOGLEFINANCE(""NSE:""&amp;D2458,""EPS"")"),"#N/A")</f>
        <v>#N/A</v>
      </c>
      <c r="Q2458" s="7">
        <v>13.5</v>
      </c>
      <c r="R2458" s="7" t="str">
        <f ca="1">IFERROR(__xludf.DUMMYFUNCTION("IMPORTXML(E2458,""/html/body/main/div[3]/div[3]/div[2]/ul/li[7]/span[2]/span"")"),"Loading...")</f>
        <v>Loading...</v>
      </c>
      <c r="S2458" s="7" t="str">
        <f ca="1">IFERROR(__xludf.DUMMYFUNCTION("IMPORTXML(E2458,""/html/body/main/div[3]/div[3]/div[2]/ul/li[8]/span[2]/span"")"),"Loading...")</f>
        <v>Loading...</v>
      </c>
      <c r="T2458" s="4">
        <v>34.6</v>
      </c>
      <c r="U2458" s="4">
        <v>22.7</v>
      </c>
      <c r="V2458" s="4">
        <v>2.6</v>
      </c>
      <c r="W2458" s="4">
        <v>5.7</v>
      </c>
      <c r="X2458" s="4">
        <v>519.92999999999995</v>
      </c>
      <c r="Y2458" s="7" t="e">
        <f t="shared" ref="Y2458:Y2712" ca="1" si="54">L2458-X2458</f>
        <v>#VALUE!</v>
      </c>
    </row>
    <row r="2459" spans="1:25" ht="15" x14ac:dyDescent="0.25">
      <c r="A2459" s="4">
        <v>2380</v>
      </c>
      <c r="C2459" s="41" t="s">
        <v>4713</v>
      </c>
      <c r="D2459" s="42"/>
      <c r="E2459" s="5" t="str">
        <f t="shared" si="50"/>
        <v>https://www.screener.in/company//consolidated/</v>
      </c>
      <c r="F2459" s="4">
        <v>443059</v>
      </c>
      <c r="G2459" s="4">
        <v>3832241897</v>
      </c>
      <c r="H2459" s="6" t="e">
        <f t="shared" ca="1" si="51"/>
        <v>#VALUE!</v>
      </c>
      <c r="I2459" s="7" t="str">
        <f ca="1">IFERROR(__xludf.DUMMYFUNCTION("IMPORTXML(E2459,""/html/body/main/div[3]/div[3]/div[2]/ul/li[5]/span[2]/span"")"),"Loading...")</f>
        <v>Loading...</v>
      </c>
      <c r="J2459" s="7" t="str">
        <f ca="1">IFERROR(__xludf.DUMMYFUNCTION("GOOGLEFINANCE(""NSE:""&amp;D2459,""marketcap"")"),"#N/A")</f>
        <v>#N/A</v>
      </c>
      <c r="K2459" s="7">
        <v>992.8</v>
      </c>
      <c r="L2459" s="8" t="str">
        <f ca="1">IFERROR(__xludf.DUMMYFUNCTION("GOOGLEFINANCE(""NSE:""&amp;D2459,""price"")"),"#N/A")</f>
        <v>#N/A</v>
      </c>
      <c r="M2459" s="9" t="e">
        <f t="shared" ca="1" si="52"/>
        <v>#VALUE!</v>
      </c>
      <c r="N2459" s="10" t="e">
        <f t="shared" ca="1" si="53"/>
        <v>#VALUE!</v>
      </c>
      <c r="O2459" s="7" t="str">
        <f ca="1">IFERROR(__xludf.DUMMYFUNCTION("GOOGLEFINANCE(""NSE:""&amp;D2459,""pe"")"),"#N/A")</f>
        <v>#N/A</v>
      </c>
      <c r="P2459" s="7" t="str">
        <f ca="1">IFERROR(__xludf.DUMMYFUNCTION("GOOGLEFINANCE(""NSE:""&amp;D2459,""EPS"")"),"#N/A")</f>
        <v>#N/A</v>
      </c>
      <c r="Q2459" s="7">
        <v>13.5</v>
      </c>
      <c r="R2459" s="7" t="str">
        <f ca="1">IFERROR(__xludf.DUMMYFUNCTION("IMPORTXML(E2459,""/html/body/main/div[3]/div[3]/div[2]/ul/li[7]/span[2]/span"")"),"Loading...")</f>
        <v>Loading...</v>
      </c>
      <c r="S2459" s="7" t="str">
        <f ca="1">IFERROR(__xludf.DUMMYFUNCTION("IMPORTXML(E2459,""/html/body/main/div[3]/div[3]/div[2]/ul/li[8]/span[2]/span"")"),"Loading...")</f>
        <v>Loading...</v>
      </c>
      <c r="T2459" s="4">
        <v>34.6</v>
      </c>
      <c r="U2459" s="4">
        <v>22.7</v>
      </c>
      <c r="V2459" s="4">
        <v>2.6</v>
      </c>
      <c r="W2459" s="4">
        <v>5.7</v>
      </c>
      <c r="X2459" s="4">
        <v>519.92999999999995</v>
      </c>
      <c r="Y2459" s="7" t="e">
        <f t="shared" ca="1" si="54"/>
        <v>#VALUE!</v>
      </c>
    </row>
    <row r="2460" spans="1:25" ht="15" x14ac:dyDescent="0.25">
      <c r="A2460" s="4">
        <v>2381</v>
      </c>
      <c r="C2460" s="41" t="s">
        <v>4714</v>
      </c>
      <c r="D2460" s="42"/>
      <c r="E2460" s="5" t="str">
        <f t="shared" si="50"/>
        <v>https://www.screener.in/company//consolidated/</v>
      </c>
      <c r="F2460" s="4">
        <v>443059</v>
      </c>
      <c r="G2460" s="4">
        <v>3832241897</v>
      </c>
      <c r="H2460" s="6" t="e">
        <f t="shared" ca="1" si="51"/>
        <v>#VALUE!</v>
      </c>
      <c r="I2460" s="7" t="str">
        <f ca="1">IFERROR(__xludf.DUMMYFUNCTION("IMPORTXML(E2460,""/html/body/main/div[3]/div[3]/div[2]/ul/li[5]/span[2]/span"")"),"Loading...")</f>
        <v>Loading...</v>
      </c>
      <c r="J2460" s="7" t="str">
        <f ca="1">IFERROR(__xludf.DUMMYFUNCTION("GOOGLEFINANCE(""NSE:""&amp;D2460,""marketcap"")"),"#N/A")</f>
        <v>#N/A</v>
      </c>
      <c r="K2460" s="7">
        <v>992.8</v>
      </c>
      <c r="L2460" s="8" t="str">
        <f ca="1">IFERROR(__xludf.DUMMYFUNCTION("GOOGLEFINANCE(""NSE:""&amp;D2460,""price"")"),"#N/A")</f>
        <v>#N/A</v>
      </c>
      <c r="M2460" s="9" t="e">
        <f t="shared" ca="1" si="52"/>
        <v>#VALUE!</v>
      </c>
      <c r="N2460" s="10" t="e">
        <f t="shared" ca="1" si="53"/>
        <v>#VALUE!</v>
      </c>
      <c r="O2460" s="7" t="str">
        <f ca="1">IFERROR(__xludf.DUMMYFUNCTION("GOOGLEFINANCE(""NSE:""&amp;D2460,""pe"")"),"#N/A")</f>
        <v>#N/A</v>
      </c>
      <c r="P2460" s="7" t="str">
        <f ca="1">IFERROR(__xludf.DUMMYFUNCTION("GOOGLEFINANCE(""NSE:""&amp;D2460,""EPS"")"),"#N/A")</f>
        <v>#N/A</v>
      </c>
      <c r="Q2460" s="7">
        <v>13.5</v>
      </c>
      <c r="R2460" s="7" t="str">
        <f ca="1">IFERROR(__xludf.DUMMYFUNCTION("IMPORTXML(E2460,""/html/body/main/div[3]/div[3]/div[2]/ul/li[7]/span[2]/span"")"),"Loading...")</f>
        <v>Loading...</v>
      </c>
      <c r="S2460" s="7" t="str">
        <f ca="1">IFERROR(__xludf.DUMMYFUNCTION("IMPORTXML(E2460,""/html/body/main/div[3]/div[3]/div[2]/ul/li[8]/span[2]/span"")"),"Loading...")</f>
        <v>Loading...</v>
      </c>
      <c r="T2460" s="4">
        <v>34.6</v>
      </c>
      <c r="U2460" s="4">
        <v>22.7</v>
      </c>
      <c r="V2460" s="4">
        <v>2.6</v>
      </c>
      <c r="W2460" s="4">
        <v>5.7</v>
      </c>
      <c r="X2460" s="4">
        <v>519.92999999999995</v>
      </c>
      <c r="Y2460" s="7" t="e">
        <f t="shared" ca="1" si="54"/>
        <v>#VALUE!</v>
      </c>
    </row>
    <row r="2461" spans="1:25" ht="15" x14ac:dyDescent="0.25">
      <c r="A2461" s="4">
        <v>2382</v>
      </c>
      <c r="C2461" s="41" t="s">
        <v>4715</v>
      </c>
      <c r="D2461" s="42"/>
      <c r="E2461" s="5" t="str">
        <f t="shared" si="50"/>
        <v>https://www.screener.in/company//consolidated/</v>
      </c>
      <c r="F2461" s="4">
        <v>443059</v>
      </c>
      <c r="G2461" s="4">
        <v>3832241897</v>
      </c>
      <c r="H2461" s="6" t="e">
        <f t="shared" ca="1" si="51"/>
        <v>#VALUE!</v>
      </c>
      <c r="I2461" s="7" t="str">
        <f ca="1">IFERROR(__xludf.DUMMYFUNCTION("IMPORTXML(E2461,""/html/body/main/div[3]/div[3]/div[2]/ul/li[5]/span[2]/span"")"),"Loading...")</f>
        <v>Loading...</v>
      </c>
      <c r="J2461" s="7" t="str">
        <f ca="1">IFERROR(__xludf.DUMMYFUNCTION("GOOGLEFINANCE(""NSE:""&amp;D2461,""marketcap"")"),"#N/A")</f>
        <v>#N/A</v>
      </c>
      <c r="K2461" s="7">
        <v>992.8</v>
      </c>
      <c r="L2461" s="8" t="str">
        <f ca="1">IFERROR(__xludf.DUMMYFUNCTION("GOOGLEFINANCE(""NSE:""&amp;D2461,""price"")"),"#N/A")</f>
        <v>#N/A</v>
      </c>
      <c r="M2461" s="9" t="e">
        <f t="shared" ca="1" si="52"/>
        <v>#VALUE!</v>
      </c>
      <c r="N2461" s="10" t="e">
        <f t="shared" ca="1" si="53"/>
        <v>#VALUE!</v>
      </c>
      <c r="O2461" s="7" t="str">
        <f ca="1">IFERROR(__xludf.DUMMYFUNCTION("GOOGLEFINANCE(""NSE:""&amp;D2461,""pe"")"),"#N/A")</f>
        <v>#N/A</v>
      </c>
      <c r="P2461" s="7" t="str">
        <f ca="1">IFERROR(__xludf.DUMMYFUNCTION("GOOGLEFINANCE(""NSE:""&amp;D2461,""EPS"")"),"#N/A")</f>
        <v>#N/A</v>
      </c>
      <c r="Q2461" s="7">
        <v>13.5</v>
      </c>
      <c r="R2461" s="7" t="str">
        <f ca="1">IFERROR(__xludf.DUMMYFUNCTION("IMPORTXML(E2461,""/html/body/main/div[3]/div[3]/div[2]/ul/li[7]/span[2]/span"")"),"Loading...")</f>
        <v>Loading...</v>
      </c>
      <c r="S2461" s="7" t="str">
        <f ca="1">IFERROR(__xludf.DUMMYFUNCTION("IMPORTXML(E2461,""/html/body/main/div[3]/div[3]/div[2]/ul/li[8]/span[2]/span"")"),"Loading...")</f>
        <v>Loading...</v>
      </c>
      <c r="T2461" s="4">
        <v>34.6</v>
      </c>
      <c r="U2461" s="4">
        <v>22.7</v>
      </c>
      <c r="V2461" s="4">
        <v>2.6</v>
      </c>
      <c r="W2461" s="4">
        <v>5.7</v>
      </c>
      <c r="X2461" s="4">
        <v>519.92999999999995</v>
      </c>
      <c r="Y2461" s="7" t="e">
        <f t="shared" ca="1" si="54"/>
        <v>#VALUE!</v>
      </c>
    </row>
    <row r="2462" spans="1:25" ht="15" x14ac:dyDescent="0.25">
      <c r="A2462" s="4">
        <v>2383</v>
      </c>
      <c r="C2462" s="12" t="s">
        <v>4716</v>
      </c>
      <c r="D2462" s="12" t="s">
        <v>4717</v>
      </c>
      <c r="E2462" s="5" t="str">
        <f t="shared" si="50"/>
        <v>https://www.screener.in/company/YAARI/consolidated/</v>
      </c>
      <c r="F2462" s="4">
        <v>443059</v>
      </c>
      <c r="G2462" s="4">
        <v>3832241897</v>
      </c>
      <c r="H2462" s="6">
        <f t="shared" ca="1" si="51"/>
        <v>7587.8389560600008</v>
      </c>
      <c r="I2462" s="7" t="str">
        <f ca="1">IFERROR(__xludf.DUMMYFUNCTION("IMPORTXML(E2462,""/html/body/main/div[3]/div[3]/div[2]/ul/li[5]/span[2]/span"")"),"Loading...")</f>
        <v>Loading...</v>
      </c>
      <c r="J2462" s="7">
        <f ca="1">IFERROR(__xludf.DUMMYFUNCTION("GOOGLEFINANCE(""NSE:""&amp;D2462,""marketcap"")"),1954021000)</f>
        <v>1954021000</v>
      </c>
      <c r="K2462" s="7">
        <v>992.8</v>
      </c>
      <c r="L2462" s="8">
        <f ca="1">IFERROR(__xludf.DUMMYFUNCTION("GOOGLEFINANCE(""NSE:""&amp;D2462,""price"")"),19.8)</f>
        <v>19.8</v>
      </c>
      <c r="M2462" s="9">
        <f t="shared" ca="1" si="52"/>
        <v>-973</v>
      </c>
      <c r="N2462" s="10">
        <f t="shared" ca="1" si="53"/>
        <v>-98.005640612409351</v>
      </c>
      <c r="O2462" s="7" t="str">
        <f ca="1">IFERROR(__xludf.DUMMYFUNCTION("GOOGLEFINANCE(""NSE:""&amp;D2462,""pe"")"),"#N/A")</f>
        <v>#N/A</v>
      </c>
      <c r="P2462" s="7" t="str">
        <f ca="1">IFERROR(__xludf.DUMMYFUNCTION("GOOGLEFINANCE(""NSE:""&amp;D2462,""EPS"")"),"#N/A")</f>
        <v>#N/A</v>
      </c>
      <c r="Q2462" s="7">
        <v>13.5</v>
      </c>
      <c r="R2462" s="7" t="str">
        <f ca="1">IFERROR(__xludf.DUMMYFUNCTION("IMPORTXML(E2462,""/html/body/main/div[3]/div[3]/div[2]/ul/li[7]/span[2]/span"")"),"Loading...")</f>
        <v>Loading...</v>
      </c>
      <c r="S2462" s="7" t="str">
        <f ca="1">IFERROR(__xludf.DUMMYFUNCTION("IMPORTXML(E2462,""/html/body/main/div[3]/div[3]/div[2]/ul/li[8]/span[2]/span"")"),"Loading...")</f>
        <v>Loading...</v>
      </c>
      <c r="T2462" s="4">
        <v>34.6</v>
      </c>
      <c r="U2462" s="4">
        <v>22.7</v>
      </c>
      <c r="V2462" s="4">
        <v>2.6</v>
      </c>
      <c r="W2462" s="4">
        <v>5.7</v>
      </c>
      <c r="X2462" s="4">
        <v>519.92999999999995</v>
      </c>
      <c r="Y2462" s="7">
        <f t="shared" ca="1" si="54"/>
        <v>-500.12999999999994</v>
      </c>
    </row>
    <row r="2463" spans="1:25" ht="15" x14ac:dyDescent="0.25">
      <c r="A2463" s="4">
        <v>2384</v>
      </c>
      <c r="C2463" s="12" t="s">
        <v>4718</v>
      </c>
      <c r="D2463" s="37"/>
      <c r="E2463" s="5" t="str">
        <f t="shared" si="50"/>
        <v>https://www.screener.in/company//consolidated/</v>
      </c>
      <c r="F2463" s="4">
        <v>443059</v>
      </c>
      <c r="G2463" s="4">
        <v>3832241897</v>
      </c>
      <c r="H2463" s="6" t="e">
        <f t="shared" ca="1" si="51"/>
        <v>#VALUE!</v>
      </c>
      <c r="I2463" s="7" t="str">
        <f ca="1">IFERROR(__xludf.DUMMYFUNCTION("IMPORTXML(E2463,""/html/body/main/div[3]/div[3]/div[2]/ul/li[5]/span[2]/span"")"),"Loading...")</f>
        <v>Loading...</v>
      </c>
      <c r="J2463" s="7" t="str">
        <f ca="1">IFERROR(__xludf.DUMMYFUNCTION("GOOGLEFINANCE(""NSE:""&amp;D2463,""marketcap"")"),"#N/A")</f>
        <v>#N/A</v>
      </c>
      <c r="K2463" s="7">
        <v>992.8</v>
      </c>
      <c r="L2463" s="8" t="str">
        <f ca="1">IFERROR(__xludf.DUMMYFUNCTION("GOOGLEFINANCE(""NSE:""&amp;D2463,""price"")"),"#N/A")</f>
        <v>#N/A</v>
      </c>
      <c r="M2463" s="9" t="e">
        <f t="shared" ca="1" si="52"/>
        <v>#VALUE!</v>
      </c>
      <c r="N2463" s="10" t="e">
        <f t="shared" ca="1" si="53"/>
        <v>#VALUE!</v>
      </c>
      <c r="O2463" s="7" t="str">
        <f ca="1">IFERROR(__xludf.DUMMYFUNCTION("GOOGLEFINANCE(""NSE:""&amp;D2463,""pe"")"),"#N/A")</f>
        <v>#N/A</v>
      </c>
      <c r="P2463" s="7" t="str">
        <f ca="1">IFERROR(__xludf.DUMMYFUNCTION("GOOGLEFINANCE(""NSE:""&amp;D2463,""EPS"")"),"#N/A")</f>
        <v>#N/A</v>
      </c>
      <c r="Q2463" s="7">
        <v>13.5</v>
      </c>
      <c r="R2463" s="7" t="str">
        <f ca="1">IFERROR(__xludf.DUMMYFUNCTION("IMPORTXML(E2463,""/html/body/main/div[3]/div[3]/div[2]/ul/li[7]/span[2]/span"")"),"Loading...")</f>
        <v>Loading...</v>
      </c>
      <c r="S2463" s="7" t="str">
        <f ca="1">IFERROR(__xludf.DUMMYFUNCTION("IMPORTXML(E2463,""/html/body/main/div[3]/div[3]/div[2]/ul/li[8]/span[2]/span"")"),"Loading...")</f>
        <v>Loading...</v>
      </c>
      <c r="T2463" s="4">
        <v>34.6</v>
      </c>
      <c r="U2463" s="4">
        <v>22.7</v>
      </c>
      <c r="V2463" s="4">
        <v>2.6</v>
      </c>
      <c r="W2463" s="4">
        <v>5.7</v>
      </c>
      <c r="X2463" s="4">
        <v>519.92999999999995</v>
      </c>
      <c r="Y2463" s="7" t="e">
        <f t="shared" ca="1" si="54"/>
        <v>#VALUE!</v>
      </c>
    </row>
    <row r="2464" spans="1:25" ht="15" x14ac:dyDescent="0.25">
      <c r="A2464" s="4">
        <v>2385</v>
      </c>
      <c r="C2464" s="41" t="s">
        <v>4719</v>
      </c>
      <c r="D2464" s="42"/>
      <c r="E2464" s="5" t="str">
        <f t="shared" si="50"/>
        <v>https://www.screener.in/company//consolidated/</v>
      </c>
      <c r="F2464" s="4">
        <v>443059</v>
      </c>
      <c r="G2464" s="4">
        <v>3832241897</v>
      </c>
      <c r="H2464" s="6" t="e">
        <f t="shared" ca="1" si="51"/>
        <v>#VALUE!</v>
      </c>
      <c r="I2464" s="7" t="str">
        <f ca="1">IFERROR(__xludf.DUMMYFUNCTION("IMPORTXML(E2464,""/html/body/main/div[3]/div[3]/div[2]/ul/li[5]/span[2]/span"")"),"Loading...")</f>
        <v>Loading...</v>
      </c>
      <c r="J2464" s="7" t="str">
        <f ca="1">IFERROR(__xludf.DUMMYFUNCTION("GOOGLEFINANCE(""NSE:""&amp;D2464,""marketcap"")"),"#N/A")</f>
        <v>#N/A</v>
      </c>
      <c r="K2464" s="7">
        <v>992.8</v>
      </c>
      <c r="L2464" s="8" t="str">
        <f ca="1">IFERROR(__xludf.DUMMYFUNCTION("GOOGLEFINANCE(""NSE:""&amp;D2464,""price"")"),"#N/A")</f>
        <v>#N/A</v>
      </c>
      <c r="M2464" s="9" t="e">
        <f t="shared" ca="1" si="52"/>
        <v>#VALUE!</v>
      </c>
      <c r="N2464" s="10" t="e">
        <f t="shared" ca="1" si="53"/>
        <v>#VALUE!</v>
      </c>
      <c r="O2464" s="7" t="str">
        <f ca="1">IFERROR(__xludf.DUMMYFUNCTION("GOOGLEFINANCE(""NSE:""&amp;D2464,""pe"")"),"#N/A")</f>
        <v>#N/A</v>
      </c>
      <c r="P2464" s="7" t="str">
        <f ca="1">IFERROR(__xludf.DUMMYFUNCTION("GOOGLEFINANCE(""NSE:""&amp;D2464,""EPS"")"),"#N/A")</f>
        <v>#N/A</v>
      </c>
      <c r="Q2464" s="7">
        <v>13.5</v>
      </c>
      <c r="R2464" s="7" t="str">
        <f ca="1">IFERROR(__xludf.DUMMYFUNCTION("IMPORTXML(E2464,""/html/body/main/div[3]/div[3]/div[2]/ul/li[7]/span[2]/span"")"),"Loading...")</f>
        <v>Loading...</v>
      </c>
      <c r="S2464" s="7" t="str">
        <f ca="1">IFERROR(__xludf.DUMMYFUNCTION("IMPORTXML(E2464,""/html/body/main/div[3]/div[3]/div[2]/ul/li[8]/span[2]/span"")"),"Loading...")</f>
        <v>Loading...</v>
      </c>
      <c r="T2464" s="4">
        <v>34.6</v>
      </c>
      <c r="U2464" s="4">
        <v>22.7</v>
      </c>
      <c r="V2464" s="4">
        <v>2.6</v>
      </c>
      <c r="W2464" s="4">
        <v>5.7</v>
      </c>
      <c r="X2464" s="4">
        <v>519.92999999999995</v>
      </c>
      <c r="Y2464" s="7" t="e">
        <f t="shared" ca="1" si="54"/>
        <v>#VALUE!</v>
      </c>
    </row>
    <row r="2465" spans="1:25" ht="15" x14ac:dyDescent="0.25">
      <c r="A2465" s="4">
        <v>2386</v>
      </c>
      <c r="C2465" s="41" t="s">
        <v>4720</v>
      </c>
      <c r="D2465" s="42"/>
      <c r="E2465" s="5" t="str">
        <f t="shared" si="50"/>
        <v>https://www.screener.in/company//consolidated/</v>
      </c>
      <c r="F2465" s="4">
        <v>443059</v>
      </c>
      <c r="G2465" s="4">
        <v>3832241897</v>
      </c>
      <c r="H2465" s="6" t="e">
        <f t="shared" ca="1" si="51"/>
        <v>#VALUE!</v>
      </c>
      <c r="I2465" s="7" t="str">
        <f ca="1">IFERROR(__xludf.DUMMYFUNCTION("IMPORTXML(E2465,""/html/body/main/div[3]/div[3]/div[2]/ul/li[5]/span[2]/span"")"),"Loading...")</f>
        <v>Loading...</v>
      </c>
      <c r="J2465" s="7" t="str">
        <f ca="1">IFERROR(__xludf.DUMMYFUNCTION("GOOGLEFINANCE(""NSE:""&amp;D2465,""marketcap"")"),"#N/A")</f>
        <v>#N/A</v>
      </c>
      <c r="K2465" s="7">
        <v>992.8</v>
      </c>
      <c r="L2465" s="8" t="str">
        <f ca="1">IFERROR(__xludf.DUMMYFUNCTION("GOOGLEFINANCE(""NSE:""&amp;D2465,""price"")"),"#N/A")</f>
        <v>#N/A</v>
      </c>
      <c r="M2465" s="9" t="e">
        <f t="shared" ca="1" si="52"/>
        <v>#VALUE!</v>
      </c>
      <c r="N2465" s="10" t="e">
        <f t="shared" ca="1" si="53"/>
        <v>#VALUE!</v>
      </c>
      <c r="O2465" s="7" t="str">
        <f ca="1">IFERROR(__xludf.DUMMYFUNCTION("GOOGLEFINANCE(""NSE:""&amp;D2465,""pe"")"),"#N/A")</f>
        <v>#N/A</v>
      </c>
      <c r="P2465" s="7" t="str">
        <f ca="1">IFERROR(__xludf.DUMMYFUNCTION("GOOGLEFINANCE(""NSE:""&amp;D2465,""EPS"")"),"#N/A")</f>
        <v>#N/A</v>
      </c>
      <c r="Q2465" s="7">
        <v>13.5</v>
      </c>
      <c r="R2465" s="7" t="str">
        <f ca="1">IFERROR(__xludf.DUMMYFUNCTION("IMPORTXML(E2465,""/html/body/main/div[3]/div[3]/div[2]/ul/li[7]/span[2]/span"")"),"Loading...")</f>
        <v>Loading...</v>
      </c>
      <c r="S2465" s="7" t="str">
        <f ca="1">IFERROR(__xludf.DUMMYFUNCTION("IMPORTXML(E2465,""/html/body/main/div[3]/div[3]/div[2]/ul/li[8]/span[2]/span"")"),"Loading...")</f>
        <v>Loading...</v>
      </c>
      <c r="T2465" s="4">
        <v>34.6</v>
      </c>
      <c r="U2465" s="4">
        <v>22.7</v>
      </c>
      <c r="V2465" s="4">
        <v>2.6</v>
      </c>
      <c r="W2465" s="4">
        <v>5.7</v>
      </c>
      <c r="X2465" s="4">
        <v>519.92999999999995</v>
      </c>
      <c r="Y2465" s="7" t="e">
        <f t="shared" ca="1" si="54"/>
        <v>#VALUE!</v>
      </c>
    </row>
    <row r="2466" spans="1:25" ht="15" x14ac:dyDescent="0.25">
      <c r="A2466" s="4">
        <v>2387</v>
      </c>
      <c r="C2466" s="41" t="s">
        <v>4721</v>
      </c>
      <c r="D2466" s="42"/>
      <c r="E2466" s="5" t="str">
        <f t="shared" si="50"/>
        <v>https://www.screener.in/company//consolidated/</v>
      </c>
      <c r="F2466" s="4">
        <v>443059</v>
      </c>
      <c r="G2466" s="4">
        <v>3832241897</v>
      </c>
      <c r="H2466" s="6" t="e">
        <f t="shared" ca="1" si="51"/>
        <v>#VALUE!</v>
      </c>
      <c r="I2466" s="7" t="str">
        <f ca="1">IFERROR(__xludf.DUMMYFUNCTION("IMPORTXML(E2466,""/html/body/main/div[3]/div[3]/div[2]/ul/li[5]/span[2]/span"")"),"Loading...")</f>
        <v>Loading...</v>
      </c>
      <c r="J2466" s="7" t="str">
        <f ca="1">IFERROR(__xludf.DUMMYFUNCTION("GOOGLEFINANCE(""NSE:""&amp;D2466,""marketcap"")"),"#N/A")</f>
        <v>#N/A</v>
      </c>
      <c r="K2466" s="7">
        <v>992.8</v>
      </c>
      <c r="L2466" s="8" t="str">
        <f ca="1">IFERROR(__xludf.DUMMYFUNCTION("GOOGLEFINANCE(""NSE:""&amp;D2466,""price"")"),"#N/A")</f>
        <v>#N/A</v>
      </c>
      <c r="M2466" s="9" t="e">
        <f t="shared" ca="1" si="52"/>
        <v>#VALUE!</v>
      </c>
      <c r="N2466" s="10" t="e">
        <f t="shared" ca="1" si="53"/>
        <v>#VALUE!</v>
      </c>
      <c r="O2466" s="7" t="str">
        <f ca="1">IFERROR(__xludf.DUMMYFUNCTION("GOOGLEFINANCE(""NSE:""&amp;D2466,""pe"")"),"#N/A")</f>
        <v>#N/A</v>
      </c>
      <c r="P2466" s="7" t="str">
        <f ca="1">IFERROR(__xludf.DUMMYFUNCTION("GOOGLEFINANCE(""NSE:""&amp;D2466,""EPS"")"),"#N/A")</f>
        <v>#N/A</v>
      </c>
      <c r="Q2466" s="7">
        <v>13.5</v>
      </c>
      <c r="R2466" s="7" t="str">
        <f ca="1">IFERROR(__xludf.DUMMYFUNCTION("IMPORTXML(E2466,""/html/body/main/div[3]/div[3]/div[2]/ul/li[7]/span[2]/span"")"),"Loading...")</f>
        <v>Loading...</v>
      </c>
      <c r="S2466" s="7" t="str">
        <f ca="1">IFERROR(__xludf.DUMMYFUNCTION("IMPORTXML(E2466,""/html/body/main/div[3]/div[3]/div[2]/ul/li[8]/span[2]/span"")"),"Loading...")</f>
        <v>Loading...</v>
      </c>
      <c r="T2466" s="4">
        <v>34.6</v>
      </c>
      <c r="U2466" s="4">
        <v>22.7</v>
      </c>
      <c r="V2466" s="4">
        <v>2.6</v>
      </c>
      <c r="W2466" s="4">
        <v>5.7</v>
      </c>
      <c r="X2466" s="4">
        <v>519.92999999999995</v>
      </c>
      <c r="Y2466" s="7" t="e">
        <f t="shared" ca="1" si="54"/>
        <v>#VALUE!</v>
      </c>
    </row>
    <row r="2467" spans="1:25" ht="15" x14ac:dyDescent="0.25">
      <c r="A2467" s="4">
        <v>2389</v>
      </c>
      <c r="C2467" s="41" t="s">
        <v>4722</v>
      </c>
      <c r="D2467" s="42"/>
      <c r="E2467" s="5" t="str">
        <f t="shared" si="50"/>
        <v>https://www.screener.in/company//consolidated/</v>
      </c>
      <c r="F2467" s="4">
        <v>443059</v>
      </c>
      <c r="G2467" s="4">
        <v>3832241897</v>
      </c>
      <c r="H2467" s="6" t="e">
        <f t="shared" ca="1" si="51"/>
        <v>#VALUE!</v>
      </c>
      <c r="I2467" s="7" t="str">
        <f ca="1">IFERROR(__xludf.DUMMYFUNCTION("IMPORTXML(E2467,""/html/body/main/div[3]/div[3]/div[2]/ul/li[5]/span[2]/span"")"),"Loading...")</f>
        <v>Loading...</v>
      </c>
      <c r="J2467" s="7" t="str">
        <f ca="1">IFERROR(__xludf.DUMMYFUNCTION("GOOGLEFINANCE(""NSE:""&amp;D2467,""marketcap"")"),"#N/A")</f>
        <v>#N/A</v>
      </c>
      <c r="K2467" s="7">
        <v>992.8</v>
      </c>
      <c r="L2467" s="8" t="str">
        <f ca="1">IFERROR(__xludf.DUMMYFUNCTION("GOOGLEFINANCE(""NSE:""&amp;D2467,""price"")"),"#N/A")</f>
        <v>#N/A</v>
      </c>
      <c r="M2467" s="9" t="e">
        <f t="shared" ca="1" si="52"/>
        <v>#VALUE!</v>
      </c>
      <c r="N2467" s="10" t="e">
        <f t="shared" ca="1" si="53"/>
        <v>#VALUE!</v>
      </c>
      <c r="O2467" s="7" t="str">
        <f ca="1">IFERROR(__xludf.DUMMYFUNCTION("GOOGLEFINANCE(""NSE:""&amp;D2467,""pe"")"),"#N/A")</f>
        <v>#N/A</v>
      </c>
      <c r="P2467" s="7" t="str">
        <f ca="1">IFERROR(__xludf.DUMMYFUNCTION("GOOGLEFINANCE(""NSE:""&amp;D2467,""EPS"")"),"#N/A")</f>
        <v>#N/A</v>
      </c>
      <c r="Q2467" s="7">
        <v>13.5</v>
      </c>
      <c r="R2467" s="7" t="str">
        <f ca="1">IFERROR(__xludf.DUMMYFUNCTION("IMPORTXML(E2467,""/html/body/main/div[3]/div[3]/div[2]/ul/li[7]/span[2]/span"")"),"Loading...")</f>
        <v>Loading...</v>
      </c>
      <c r="S2467" s="7" t="str">
        <f ca="1">IFERROR(__xludf.DUMMYFUNCTION("IMPORTXML(E2467,""/html/body/main/div[3]/div[3]/div[2]/ul/li[8]/span[2]/span"")"),"Loading...")</f>
        <v>Loading...</v>
      </c>
      <c r="T2467" s="4">
        <v>34.6</v>
      </c>
      <c r="U2467" s="4">
        <v>22.7</v>
      </c>
      <c r="V2467" s="4">
        <v>2.6</v>
      </c>
      <c r="W2467" s="4">
        <v>5.7</v>
      </c>
      <c r="X2467" s="4">
        <v>519.92999999999995</v>
      </c>
      <c r="Y2467" s="7" t="e">
        <f t="shared" ca="1" si="54"/>
        <v>#VALUE!</v>
      </c>
    </row>
    <row r="2468" spans="1:25" ht="15" x14ac:dyDescent="0.25">
      <c r="A2468" s="4">
        <v>2390</v>
      </c>
      <c r="C2468" s="41" t="s">
        <v>4723</v>
      </c>
      <c r="D2468" s="42"/>
      <c r="E2468" s="5" t="str">
        <f t="shared" si="50"/>
        <v>https://www.screener.in/company//consolidated/</v>
      </c>
      <c r="F2468" s="4">
        <v>443059</v>
      </c>
      <c r="G2468" s="4">
        <v>3832241897</v>
      </c>
      <c r="H2468" s="6" t="e">
        <f t="shared" ca="1" si="51"/>
        <v>#VALUE!</v>
      </c>
      <c r="I2468" s="7" t="str">
        <f ca="1">IFERROR(__xludf.DUMMYFUNCTION("IMPORTXML(E2468,""/html/body/main/div[3]/div[3]/div[2]/ul/li[5]/span[2]/span"")"),"Loading...")</f>
        <v>Loading...</v>
      </c>
      <c r="J2468" s="7" t="str">
        <f ca="1">IFERROR(__xludf.DUMMYFUNCTION("GOOGLEFINANCE(""NSE:""&amp;D2468,""marketcap"")"),"#N/A")</f>
        <v>#N/A</v>
      </c>
      <c r="K2468" s="7">
        <v>992.8</v>
      </c>
      <c r="L2468" s="8" t="str">
        <f ca="1">IFERROR(__xludf.DUMMYFUNCTION("GOOGLEFINANCE(""NSE:""&amp;D2468,""price"")"),"#N/A")</f>
        <v>#N/A</v>
      </c>
      <c r="M2468" s="9" t="e">
        <f t="shared" ca="1" si="52"/>
        <v>#VALUE!</v>
      </c>
      <c r="N2468" s="10" t="e">
        <f t="shared" ca="1" si="53"/>
        <v>#VALUE!</v>
      </c>
      <c r="O2468" s="7" t="str">
        <f ca="1">IFERROR(__xludf.DUMMYFUNCTION("GOOGLEFINANCE(""NSE:""&amp;D2468,""pe"")"),"#N/A")</f>
        <v>#N/A</v>
      </c>
      <c r="P2468" s="7" t="str">
        <f ca="1">IFERROR(__xludf.DUMMYFUNCTION("GOOGLEFINANCE(""NSE:""&amp;D2468,""EPS"")"),"#N/A")</f>
        <v>#N/A</v>
      </c>
      <c r="Q2468" s="7">
        <v>13.5</v>
      </c>
      <c r="R2468" s="7" t="str">
        <f ca="1">IFERROR(__xludf.DUMMYFUNCTION("IMPORTXML(E2468,""/html/body/main/div[3]/div[3]/div[2]/ul/li[7]/span[2]/span"")"),"Loading...")</f>
        <v>Loading...</v>
      </c>
      <c r="S2468" s="7" t="str">
        <f ca="1">IFERROR(__xludf.DUMMYFUNCTION("IMPORTXML(E2468,""/html/body/main/div[3]/div[3]/div[2]/ul/li[8]/span[2]/span"")"),"Loading...")</f>
        <v>Loading...</v>
      </c>
      <c r="T2468" s="4">
        <v>34.6</v>
      </c>
      <c r="U2468" s="4">
        <v>22.7</v>
      </c>
      <c r="V2468" s="4">
        <v>2.6</v>
      </c>
      <c r="W2468" s="4">
        <v>5.7</v>
      </c>
      <c r="X2468" s="4">
        <v>519.92999999999995</v>
      </c>
      <c r="Y2468" s="7" t="e">
        <f t="shared" ca="1" si="54"/>
        <v>#VALUE!</v>
      </c>
    </row>
    <row r="2469" spans="1:25" ht="15" x14ac:dyDescent="0.25">
      <c r="A2469" s="4">
        <v>2391</v>
      </c>
      <c r="C2469" s="12" t="s">
        <v>4724</v>
      </c>
      <c r="D2469" s="12" t="s">
        <v>4725</v>
      </c>
      <c r="E2469" s="5" t="str">
        <f t="shared" si="50"/>
        <v>https://www.screener.in/company/BANKA/consolidated/</v>
      </c>
      <c r="F2469" s="4">
        <v>443059</v>
      </c>
      <c r="G2469" s="4">
        <v>3832241897</v>
      </c>
      <c r="H2469" s="6">
        <f t="shared" ca="1" si="51"/>
        <v>33723.728693600002</v>
      </c>
      <c r="I2469" s="7" t="str">
        <f ca="1">IFERROR(__xludf.DUMMYFUNCTION("IMPORTXML(E2469,""/html/body/main/div[3]/div[3]/div[2]/ul/li[5]/span[2]/span"")"),"Loading...")</f>
        <v>Loading...</v>
      </c>
      <c r="J2469" s="7">
        <f ca="1">IFERROR(__xludf.DUMMYFUNCTION("GOOGLEFINANCE(""NSE:""&amp;D2469,""marketcap"")"),957800800)</f>
        <v>957800800</v>
      </c>
      <c r="K2469" s="7">
        <v>992.8</v>
      </c>
      <c r="L2469" s="8">
        <f ca="1">IFERROR(__xludf.DUMMYFUNCTION("GOOGLEFINANCE(""NSE:""&amp;D2469,""price"")"),88)</f>
        <v>88</v>
      </c>
      <c r="M2469" s="9">
        <f t="shared" ca="1" si="52"/>
        <v>-904.8</v>
      </c>
      <c r="N2469" s="10">
        <f t="shared" ca="1" si="53"/>
        <v>-91.136180499597103</v>
      </c>
      <c r="O2469" s="7" t="str">
        <f ca="1">IFERROR(__xludf.DUMMYFUNCTION("GOOGLEFINANCE(""NSE:""&amp;D2469,""pe"")"),"#N/A")</f>
        <v>#N/A</v>
      </c>
      <c r="P2469" s="7">
        <f ca="1">IFERROR(__xludf.DUMMYFUNCTION("GOOGLEFINANCE(""NSE:""&amp;D2469,""EPS"")"),-8.48)</f>
        <v>-8.48</v>
      </c>
      <c r="Q2469" s="7">
        <v>13.5</v>
      </c>
      <c r="R2469" s="7" t="str">
        <f ca="1">IFERROR(__xludf.DUMMYFUNCTION("IMPORTXML(E2469,""/html/body/main/div[3]/div[3]/div[2]/ul/li[7]/span[2]/span"")"),"Loading...")</f>
        <v>Loading...</v>
      </c>
      <c r="S2469" s="7" t="str">
        <f ca="1">IFERROR(__xludf.DUMMYFUNCTION("IMPORTXML(E2469,""/html/body/main/div[3]/div[3]/div[2]/ul/li[8]/span[2]/span"")"),"Loading...")</f>
        <v>Loading...</v>
      </c>
      <c r="T2469" s="4">
        <v>34.6</v>
      </c>
      <c r="U2469" s="4">
        <v>22.7</v>
      </c>
      <c r="V2469" s="4">
        <v>2.6</v>
      </c>
      <c r="W2469" s="4">
        <v>5.7</v>
      </c>
      <c r="X2469" s="4">
        <v>519.92999999999995</v>
      </c>
      <c r="Y2469" s="7">
        <f t="shared" ca="1" si="54"/>
        <v>-431.92999999999995</v>
      </c>
    </row>
    <row r="2470" spans="1:25" ht="15" x14ac:dyDescent="0.25">
      <c r="A2470" s="4">
        <v>2392</v>
      </c>
      <c r="C2470" s="41" t="s">
        <v>4726</v>
      </c>
      <c r="D2470" s="42"/>
      <c r="E2470" s="5" t="str">
        <f t="shared" si="50"/>
        <v>https://www.screener.in/company//consolidated/</v>
      </c>
      <c r="F2470" s="4">
        <v>443059</v>
      </c>
      <c r="G2470" s="4">
        <v>3832241897</v>
      </c>
      <c r="H2470" s="6" t="e">
        <f t="shared" ca="1" si="51"/>
        <v>#VALUE!</v>
      </c>
      <c r="I2470" s="7" t="str">
        <f ca="1">IFERROR(__xludf.DUMMYFUNCTION("IMPORTXML(E2470,""/html/body/main/div[3]/div[3]/div[2]/ul/li[5]/span[2]/span"")"),"Loading...")</f>
        <v>Loading...</v>
      </c>
      <c r="J2470" s="7" t="str">
        <f ca="1">IFERROR(__xludf.DUMMYFUNCTION("GOOGLEFINANCE(""NSE:""&amp;D2470,""marketcap"")"),"#N/A")</f>
        <v>#N/A</v>
      </c>
      <c r="K2470" s="7">
        <v>992.8</v>
      </c>
      <c r="L2470" s="8" t="str">
        <f ca="1">IFERROR(__xludf.DUMMYFUNCTION("GOOGLEFINANCE(""NSE:""&amp;D2470,""price"")"),"#N/A")</f>
        <v>#N/A</v>
      </c>
      <c r="M2470" s="9" t="e">
        <f t="shared" ca="1" si="52"/>
        <v>#VALUE!</v>
      </c>
      <c r="N2470" s="10" t="e">
        <f t="shared" ca="1" si="53"/>
        <v>#VALUE!</v>
      </c>
      <c r="O2470" s="7" t="str">
        <f ca="1">IFERROR(__xludf.DUMMYFUNCTION("GOOGLEFINANCE(""NSE:""&amp;D2470,""pe"")"),"#N/A")</f>
        <v>#N/A</v>
      </c>
      <c r="P2470" s="7" t="str">
        <f ca="1">IFERROR(__xludf.DUMMYFUNCTION("GOOGLEFINANCE(""NSE:""&amp;D2470,""EPS"")"),"#N/A")</f>
        <v>#N/A</v>
      </c>
      <c r="Q2470" s="7">
        <v>13.5</v>
      </c>
      <c r="R2470" s="7" t="str">
        <f ca="1">IFERROR(__xludf.DUMMYFUNCTION("IMPORTXML(E2470,""/html/body/main/div[3]/div[3]/div[2]/ul/li[7]/span[2]/span"")"),"Loading...")</f>
        <v>Loading...</v>
      </c>
      <c r="S2470" s="7" t="str">
        <f ca="1">IFERROR(__xludf.DUMMYFUNCTION("IMPORTXML(E2470,""/html/body/main/div[3]/div[3]/div[2]/ul/li[8]/span[2]/span"")"),"Loading...")</f>
        <v>Loading...</v>
      </c>
      <c r="T2470" s="4">
        <v>34.6</v>
      </c>
      <c r="U2470" s="4">
        <v>22.7</v>
      </c>
      <c r="V2470" s="4">
        <v>2.6</v>
      </c>
      <c r="W2470" s="4">
        <v>5.7</v>
      </c>
      <c r="X2470" s="4">
        <v>519.92999999999995</v>
      </c>
      <c r="Y2470" s="7" t="e">
        <f t="shared" ca="1" si="54"/>
        <v>#VALUE!</v>
      </c>
    </row>
    <row r="2471" spans="1:25" ht="15" x14ac:dyDescent="0.25">
      <c r="A2471" s="4">
        <v>2393</v>
      </c>
      <c r="C2471" s="41" t="s">
        <v>4727</v>
      </c>
      <c r="D2471" s="42"/>
      <c r="E2471" s="5" t="str">
        <f t="shared" si="50"/>
        <v>https://www.screener.in/company//consolidated/</v>
      </c>
      <c r="F2471" s="4">
        <v>443059</v>
      </c>
      <c r="G2471" s="4">
        <v>3832241897</v>
      </c>
      <c r="H2471" s="6" t="e">
        <f t="shared" ca="1" si="51"/>
        <v>#VALUE!</v>
      </c>
      <c r="I2471" s="7" t="str">
        <f ca="1">IFERROR(__xludf.DUMMYFUNCTION("IMPORTXML(E2471,""/html/body/main/div[3]/div[3]/div[2]/ul/li[5]/span[2]/span"")"),"Loading...")</f>
        <v>Loading...</v>
      </c>
      <c r="J2471" s="7" t="str">
        <f ca="1">IFERROR(__xludf.DUMMYFUNCTION("GOOGLEFINANCE(""NSE:""&amp;D2471,""marketcap"")"),"#N/A")</f>
        <v>#N/A</v>
      </c>
      <c r="K2471" s="7">
        <v>992.8</v>
      </c>
      <c r="L2471" s="8" t="str">
        <f ca="1">IFERROR(__xludf.DUMMYFUNCTION("GOOGLEFINANCE(""NSE:""&amp;D2471,""price"")"),"#N/A")</f>
        <v>#N/A</v>
      </c>
      <c r="M2471" s="9" t="e">
        <f t="shared" ca="1" si="52"/>
        <v>#VALUE!</v>
      </c>
      <c r="N2471" s="10" t="e">
        <f t="shared" ca="1" si="53"/>
        <v>#VALUE!</v>
      </c>
      <c r="O2471" s="7" t="str">
        <f ca="1">IFERROR(__xludf.DUMMYFUNCTION("GOOGLEFINANCE(""NSE:""&amp;D2471,""pe"")"),"#N/A")</f>
        <v>#N/A</v>
      </c>
      <c r="P2471" s="7" t="str">
        <f ca="1">IFERROR(__xludf.DUMMYFUNCTION("GOOGLEFINANCE(""NSE:""&amp;D2471,""EPS"")"),"#N/A")</f>
        <v>#N/A</v>
      </c>
      <c r="Q2471" s="7">
        <v>13.5</v>
      </c>
      <c r="R2471" s="7" t="str">
        <f ca="1">IFERROR(__xludf.DUMMYFUNCTION("IMPORTXML(E2471,""/html/body/main/div[3]/div[3]/div[2]/ul/li[7]/span[2]/span"")"),"Loading...")</f>
        <v>Loading...</v>
      </c>
      <c r="S2471" s="7" t="str">
        <f ca="1">IFERROR(__xludf.DUMMYFUNCTION("IMPORTXML(E2471,""/html/body/main/div[3]/div[3]/div[2]/ul/li[8]/span[2]/span"")"),"Loading...")</f>
        <v>Loading...</v>
      </c>
      <c r="T2471" s="4">
        <v>34.6</v>
      </c>
      <c r="U2471" s="4">
        <v>22.7</v>
      </c>
      <c r="V2471" s="4">
        <v>2.6</v>
      </c>
      <c r="W2471" s="4">
        <v>5.7</v>
      </c>
      <c r="X2471" s="4">
        <v>519.92999999999995</v>
      </c>
      <c r="Y2471" s="7" t="e">
        <f t="shared" ca="1" si="54"/>
        <v>#VALUE!</v>
      </c>
    </row>
    <row r="2472" spans="1:25" ht="15" x14ac:dyDescent="0.25">
      <c r="A2472" s="4">
        <v>2394</v>
      </c>
      <c r="C2472" s="41" t="s">
        <v>4728</v>
      </c>
      <c r="D2472" s="42"/>
      <c r="E2472" s="5" t="str">
        <f t="shared" si="50"/>
        <v>https://www.screener.in/company//consolidated/</v>
      </c>
      <c r="F2472" s="4">
        <v>443059</v>
      </c>
      <c r="G2472" s="4">
        <v>3832241897</v>
      </c>
      <c r="H2472" s="6" t="e">
        <f t="shared" ca="1" si="51"/>
        <v>#VALUE!</v>
      </c>
      <c r="I2472" s="7" t="str">
        <f ca="1">IFERROR(__xludf.DUMMYFUNCTION("IMPORTXML(E2472,""/html/body/main/div[3]/div[3]/div[2]/ul/li[5]/span[2]/span"")"),"Loading...")</f>
        <v>Loading...</v>
      </c>
      <c r="J2472" s="7" t="str">
        <f ca="1">IFERROR(__xludf.DUMMYFUNCTION("GOOGLEFINANCE(""NSE:""&amp;D2472,""marketcap"")"),"#N/A")</f>
        <v>#N/A</v>
      </c>
      <c r="K2472" s="7">
        <v>992.8</v>
      </c>
      <c r="L2472" s="8" t="str">
        <f ca="1">IFERROR(__xludf.DUMMYFUNCTION("GOOGLEFINANCE(""NSE:""&amp;D2472,""price"")"),"#N/A")</f>
        <v>#N/A</v>
      </c>
      <c r="M2472" s="9" t="e">
        <f t="shared" ca="1" si="52"/>
        <v>#VALUE!</v>
      </c>
      <c r="N2472" s="10" t="e">
        <f t="shared" ca="1" si="53"/>
        <v>#VALUE!</v>
      </c>
      <c r="O2472" s="7" t="str">
        <f ca="1">IFERROR(__xludf.DUMMYFUNCTION("GOOGLEFINANCE(""NSE:""&amp;D2472,""pe"")"),"#N/A")</f>
        <v>#N/A</v>
      </c>
      <c r="P2472" s="7" t="str">
        <f ca="1">IFERROR(__xludf.DUMMYFUNCTION("GOOGLEFINANCE(""NSE:""&amp;D2472,""EPS"")"),"#N/A")</f>
        <v>#N/A</v>
      </c>
      <c r="Q2472" s="7">
        <v>13.5</v>
      </c>
      <c r="R2472" s="7" t="str">
        <f ca="1">IFERROR(__xludf.DUMMYFUNCTION("IMPORTXML(E2472,""/html/body/main/div[3]/div[3]/div[2]/ul/li[7]/span[2]/span"")"),"Loading...")</f>
        <v>Loading...</v>
      </c>
      <c r="S2472" s="7" t="str">
        <f ca="1">IFERROR(__xludf.DUMMYFUNCTION("IMPORTXML(E2472,""/html/body/main/div[3]/div[3]/div[2]/ul/li[8]/span[2]/span"")"),"Loading...")</f>
        <v>Loading...</v>
      </c>
      <c r="T2472" s="4">
        <v>34.6</v>
      </c>
      <c r="U2472" s="4">
        <v>22.7</v>
      </c>
      <c r="V2472" s="4">
        <v>2.6</v>
      </c>
      <c r="W2472" s="4">
        <v>5.7</v>
      </c>
      <c r="X2472" s="4">
        <v>519.92999999999995</v>
      </c>
      <c r="Y2472" s="7" t="e">
        <f t="shared" ca="1" si="54"/>
        <v>#VALUE!</v>
      </c>
    </row>
    <row r="2473" spans="1:25" ht="15" x14ac:dyDescent="0.25">
      <c r="A2473" s="4">
        <v>2395</v>
      </c>
      <c r="C2473" s="41" t="s">
        <v>4729</v>
      </c>
      <c r="D2473" s="42"/>
      <c r="E2473" s="5" t="str">
        <f t="shared" si="50"/>
        <v>https://www.screener.in/company//consolidated/</v>
      </c>
      <c r="F2473" s="4">
        <v>443059</v>
      </c>
      <c r="G2473" s="4">
        <v>3832241897</v>
      </c>
      <c r="H2473" s="6" t="e">
        <f t="shared" ca="1" si="51"/>
        <v>#VALUE!</v>
      </c>
      <c r="I2473" s="7" t="str">
        <f ca="1">IFERROR(__xludf.DUMMYFUNCTION("IMPORTXML(E2473,""/html/body/main/div[3]/div[3]/div[2]/ul/li[5]/span[2]/span"")"),"Loading...")</f>
        <v>Loading...</v>
      </c>
      <c r="J2473" s="7" t="str">
        <f ca="1">IFERROR(__xludf.DUMMYFUNCTION("GOOGLEFINANCE(""NSE:""&amp;D2473,""marketcap"")"),"#N/A")</f>
        <v>#N/A</v>
      </c>
      <c r="K2473" s="7">
        <v>992.8</v>
      </c>
      <c r="L2473" s="8" t="str">
        <f ca="1">IFERROR(__xludf.DUMMYFUNCTION("GOOGLEFINANCE(""NSE:""&amp;D2473,""price"")"),"#N/A")</f>
        <v>#N/A</v>
      </c>
      <c r="M2473" s="9" t="e">
        <f t="shared" ca="1" si="52"/>
        <v>#VALUE!</v>
      </c>
      <c r="N2473" s="10" t="e">
        <f t="shared" ca="1" si="53"/>
        <v>#VALUE!</v>
      </c>
      <c r="O2473" s="7" t="str">
        <f ca="1">IFERROR(__xludf.DUMMYFUNCTION("GOOGLEFINANCE(""NSE:""&amp;D2473,""pe"")"),"#N/A")</f>
        <v>#N/A</v>
      </c>
      <c r="P2473" s="7" t="str">
        <f ca="1">IFERROR(__xludf.DUMMYFUNCTION("GOOGLEFINANCE(""NSE:""&amp;D2473,""EPS"")"),"#N/A")</f>
        <v>#N/A</v>
      </c>
      <c r="Q2473" s="7">
        <v>13.5</v>
      </c>
      <c r="R2473" s="7" t="str">
        <f ca="1">IFERROR(__xludf.DUMMYFUNCTION("IMPORTXML(E2473,""/html/body/main/div[3]/div[3]/div[2]/ul/li[7]/span[2]/span"")"),"Loading...")</f>
        <v>Loading...</v>
      </c>
      <c r="S2473" s="7" t="str">
        <f ca="1">IFERROR(__xludf.DUMMYFUNCTION("IMPORTXML(E2473,""/html/body/main/div[3]/div[3]/div[2]/ul/li[8]/span[2]/span"")"),"Loading...")</f>
        <v>Loading...</v>
      </c>
      <c r="T2473" s="4">
        <v>34.6</v>
      </c>
      <c r="U2473" s="4">
        <v>22.7</v>
      </c>
      <c r="V2473" s="4">
        <v>2.6</v>
      </c>
      <c r="W2473" s="4">
        <v>5.7</v>
      </c>
      <c r="X2473" s="4">
        <v>519.92999999999995</v>
      </c>
      <c r="Y2473" s="7" t="e">
        <f t="shared" ca="1" si="54"/>
        <v>#VALUE!</v>
      </c>
    </row>
    <row r="2474" spans="1:25" ht="15" x14ac:dyDescent="0.25">
      <c r="A2474" s="4">
        <v>2396</v>
      </c>
      <c r="C2474" s="41" t="s">
        <v>4730</v>
      </c>
      <c r="D2474" s="42"/>
      <c r="E2474" s="5" t="str">
        <f t="shared" si="50"/>
        <v>https://www.screener.in/company//consolidated/</v>
      </c>
      <c r="F2474" s="4">
        <v>443059</v>
      </c>
      <c r="G2474" s="4">
        <v>3832241897</v>
      </c>
      <c r="H2474" s="6" t="e">
        <f t="shared" ca="1" si="51"/>
        <v>#VALUE!</v>
      </c>
      <c r="I2474" s="7" t="str">
        <f ca="1">IFERROR(__xludf.DUMMYFUNCTION("IMPORTXML(E2474,""/html/body/main/div[3]/div[3]/div[2]/ul/li[5]/span[2]/span"")"),"Loading...")</f>
        <v>Loading...</v>
      </c>
      <c r="J2474" s="7" t="str">
        <f ca="1">IFERROR(__xludf.DUMMYFUNCTION("GOOGLEFINANCE(""NSE:""&amp;D2474,""marketcap"")"),"#N/A")</f>
        <v>#N/A</v>
      </c>
      <c r="K2474" s="7">
        <v>992.8</v>
      </c>
      <c r="L2474" s="8" t="str">
        <f ca="1">IFERROR(__xludf.DUMMYFUNCTION("GOOGLEFINANCE(""NSE:""&amp;D2474,""price"")"),"#N/A")</f>
        <v>#N/A</v>
      </c>
      <c r="M2474" s="9" t="e">
        <f t="shared" ca="1" si="52"/>
        <v>#VALUE!</v>
      </c>
      <c r="N2474" s="10" t="e">
        <f t="shared" ca="1" si="53"/>
        <v>#VALUE!</v>
      </c>
      <c r="O2474" s="7" t="str">
        <f ca="1">IFERROR(__xludf.DUMMYFUNCTION("GOOGLEFINANCE(""NSE:""&amp;D2474,""pe"")"),"#N/A")</f>
        <v>#N/A</v>
      </c>
      <c r="P2474" s="7" t="str">
        <f ca="1">IFERROR(__xludf.DUMMYFUNCTION("GOOGLEFINANCE(""NSE:""&amp;D2474,""EPS"")"),"#N/A")</f>
        <v>#N/A</v>
      </c>
      <c r="Q2474" s="7">
        <v>13.5</v>
      </c>
      <c r="R2474" s="7" t="str">
        <f ca="1">IFERROR(__xludf.DUMMYFUNCTION("IMPORTXML(E2474,""/html/body/main/div[3]/div[3]/div[2]/ul/li[7]/span[2]/span"")"),"Loading...")</f>
        <v>Loading...</v>
      </c>
      <c r="S2474" s="7" t="str">
        <f ca="1">IFERROR(__xludf.DUMMYFUNCTION("IMPORTXML(E2474,""/html/body/main/div[3]/div[3]/div[2]/ul/li[8]/span[2]/span"")"),"Loading...")</f>
        <v>Loading...</v>
      </c>
      <c r="T2474" s="4">
        <v>34.6</v>
      </c>
      <c r="U2474" s="4">
        <v>22.7</v>
      </c>
      <c r="V2474" s="4">
        <v>2.6</v>
      </c>
      <c r="W2474" s="4">
        <v>5.7</v>
      </c>
      <c r="X2474" s="4">
        <v>519.92999999999995</v>
      </c>
      <c r="Y2474" s="7" t="e">
        <f t="shared" ca="1" si="54"/>
        <v>#VALUE!</v>
      </c>
    </row>
    <row r="2475" spans="1:25" ht="15" x14ac:dyDescent="0.25">
      <c r="A2475" s="4">
        <v>2398</v>
      </c>
      <c r="C2475" s="41" t="s">
        <v>4731</v>
      </c>
      <c r="D2475" s="42"/>
      <c r="E2475" s="5" t="str">
        <f t="shared" si="50"/>
        <v>https://www.screener.in/company//consolidated/</v>
      </c>
      <c r="F2475" s="4">
        <v>443059</v>
      </c>
      <c r="G2475" s="4">
        <v>3832241897</v>
      </c>
      <c r="H2475" s="6" t="e">
        <f t="shared" ca="1" si="51"/>
        <v>#VALUE!</v>
      </c>
      <c r="I2475" s="7" t="str">
        <f ca="1">IFERROR(__xludf.DUMMYFUNCTION("IMPORTXML(E2475,""/html/body/main/div[3]/div[3]/div[2]/ul/li[5]/span[2]/span"")"),"Loading...")</f>
        <v>Loading...</v>
      </c>
      <c r="J2475" s="7" t="str">
        <f ca="1">IFERROR(__xludf.DUMMYFUNCTION("GOOGLEFINANCE(""NSE:""&amp;D2475,""marketcap"")"),"#N/A")</f>
        <v>#N/A</v>
      </c>
      <c r="K2475" s="7">
        <v>992.8</v>
      </c>
      <c r="L2475" s="8" t="str">
        <f ca="1">IFERROR(__xludf.DUMMYFUNCTION("GOOGLEFINANCE(""NSE:""&amp;D2475,""price"")"),"#N/A")</f>
        <v>#N/A</v>
      </c>
      <c r="M2475" s="9" t="e">
        <f t="shared" ca="1" si="52"/>
        <v>#VALUE!</v>
      </c>
      <c r="N2475" s="10" t="e">
        <f t="shared" ca="1" si="53"/>
        <v>#VALUE!</v>
      </c>
      <c r="O2475" s="7" t="str">
        <f ca="1">IFERROR(__xludf.DUMMYFUNCTION("GOOGLEFINANCE(""NSE:""&amp;D2475,""pe"")"),"#N/A")</f>
        <v>#N/A</v>
      </c>
      <c r="P2475" s="7" t="str">
        <f ca="1">IFERROR(__xludf.DUMMYFUNCTION("GOOGLEFINANCE(""NSE:""&amp;D2475,""EPS"")"),"#N/A")</f>
        <v>#N/A</v>
      </c>
      <c r="Q2475" s="7">
        <v>13.5</v>
      </c>
      <c r="R2475" s="7" t="str">
        <f ca="1">IFERROR(__xludf.DUMMYFUNCTION("IMPORTXML(E2475,""/html/body/main/div[3]/div[3]/div[2]/ul/li[7]/span[2]/span"")"),"Loading...")</f>
        <v>Loading...</v>
      </c>
      <c r="S2475" s="7" t="str">
        <f ca="1">IFERROR(__xludf.DUMMYFUNCTION("IMPORTXML(E2475,""/html/body/main/div[3]/div[3]/div[2]/ul/li[8]/span[2]/span"")"),"Loading...")</f>
        <v>Loading...</v>
      </c>
      <c r="T2475" s="4">
        <v>34.6</v>
      </c>
      <c r="U2475" s="4">
        <v>22.7</v>
      </c>
      <c r="V2475" s="4">
        <v>2.6</v>
      </c>
      <c r="W2475" s="4">
        <v>5.7</v>
      </c>
      <c r="X2475" s="4">
        <v>519.92999999999995</v>
      </c>
      <c r="Y2475" s="7" t="e">
        <f t="shared" ca="1" si="54"/>
        <v>#VALUE!</v>
      </c>
    </row>
    <row r="2476" spans="1:25" ht="15" x14ac:dyDescent="0.25">
      <c r="A2476" s="4">
        <v>2399</v>
      </c>
      <c r="C2476" s="41" t="s">
        <v>4732</v>
      </c>
      <c r="D2476" s="42"/>
      <c r="E2476" s="5" t="str">
        <f t="shared" si="50"/>
        <v>https://www.screener.in/company//consolidated/</v>
      </c>
      <c r="F2476" s="4">
        <v>443059</v>
      </c>
      <c r="G2476" s="4">
        <v>3832241897</v>
      </c>
      <c r="H2476" s="6" t="e">
        <f t="shared" ca="1" si="51"/>
        <v>#VALUE!</v>
      </c>
      <c r="I2476" s="7" t="str">
        <f ca="1">IFERROR(__xludf.DUMMYFUNCTION("IMPORTXML(E2476,""/html/body/main/div[3]/div[3]/div[2]/ul/li[5]/span[2]/span"")"),"Loading...")</f>
        <v>Loading...</v>
      </c>
      <c r="J2476" s="7" t="str">
        <f ca="1">IFERROR(__xludf.DUMMYFUNCTION("GOOGLEFINANCE(""NSE:""&amp;D2476,""marketcap"")"),"#N/A")</f>
        <v>#N/A</v>
      </c>
      <c r="K2476" s="7">
        <v>992.8</v>
      </c>
      <c r="L2476" s="8" t="str">
        <f ca="1">IFERROR(__xludf.DUMMYFUNCTION("GOOGLEFINANCE(""NSE:""&amp;D2476,""price"")"),"#N/A")</f>
        <v>#N/A</v>
      </c>
      <c r="M2476" s="9" t="e">
        <f t="shared" ca="1" si="52"/>
        <v>#VALUE!</v>
      </c>
      <c r="N2476" s="10" t="e">
        <f t="shared" ca="1" si="53"/>
        <v>#VALUE!</v>
      </c>
      <c r="O2476" s="7" t="str">
        <f ca="1">IFERROR(__xludf.DUMMYFUNCTION("GOOGLEFINANCE(""NSE:""&amp;D2476,""pe"")"),"#N/A")</f>
        <v>#N/A</v>
      </c>
      <c r="P2476" s="7" t="str">
        <f ca="1">IFERROR(__xludf.DUMMYFUNCTION("GOOGLEFINANCE(""NSE:""&amp;D2476,""EPS"")"),"#N/A")</f>
        <v>#N/A</v>
      </c>
      <c r="Q2476" s="7">
        <v>13.5</v>
      </c>
      <c r="R2476" s="7" t="str">
        <f ca="1">IFERROR(__xludf.DUMMYFUNCTION("IMPORTXML(E2476,""/html/body/main/div[3]/div[3]/div[2]/ul/li[7]/span[2]/span"")"),"Loading...")</f>
        <v>Loading...</v>
      </c>
      <c r="S2476" s="7" t="str">
        <f ca="1">IFERROR(__xludf.DUMMYFUNCTION("IMPORTXML(E2476,""/html/body/main/div[3]/div[3]/div[2]/ul/li[8]/span[2]/span"")"),"Loading...")</f>
        <v>Loading...</v>
      </c>
      <c r="T2476" s="4">
        <v>34.6</v>
      </c>
      <c r="U2476" s="4">
        <v>22.7</v>
      </c>
      <c r="V2476" s="4">
        <v>2.6</v>
      </c>
      <c r="W2476" s="4">
        <v>5.7</v>
      </c>
      <c r="X2476" s="4">
        <v>519.92999999999995</v>
      </c>
      <c r="Y2476" s="7" t="e">
        <f t="shared" ca="1" si="54"/>
        <v>#VALUE!</v>
      </c>
    </row>
    <row r="2477" spans="1:25" ht="15" x14ac:dyDescent="0.25">
      <c r="A2477" s="4">
        <v>2404</v>
      </c>
      <c r="C2477" s="12" t="s">
        <v>4733</v>
      </c>
      <c r="D2477" s="12" t="s">
        <v>4734</v>
      </c>
      <c r="E2477" s="5" t="str">
        <f t="shared" si="50"/>
        <v>https://www.screener.in/company/ENERGYDEV/consolidated/</v>
      </c>
      <c r="F2477" s="4">
        <v>443059</v>
      </c>
      <c r="G2477" s="4">
        <v>3832241897</v>
      </c>
      <c r="H2477" s="6">
        <f t="shared" ca="1" si="51"/>
        <v>7660.6515521029996</v>
      </c>
      <c r="I2477" s="7" t="str">
        <f ca="1">IFERROR(__xludf.DUMMYFUNCTION("IMPORTXML(E2477,""/html/body/main/div[3]/div[3]/div[2]/ul/li[5]/span[2]/span"")"),"Loading...")</f>
        <v>Loading...</v>
      </c>
      <c r="J2477" s="7">
        <f ca="1">IFERROR(__xludf.DUMMYFUNCTION("GOOGLEFINANCE(""NSE:""&amp;D2477,""marketcap"")"),949525000)</f>
        <v>949525000</v>
      </c>
      <c r="K2477" s="7">
        <v>992.8</v>
      </c>
      <c r="L2477" s="8">
        <f ca="1">IFERROR(__xludf.DUMMYFUNCTION("GOOGLEFINANCE(""NSE:""&amp;D2477,""price"")"),19.99)</f>
        <v>19.989999999999998</v>
      </c>
      <c r="M2477" s="9">
        <f t="shared" ca="1" si="52"/>
        <v>-972.81</v>
      </c>
      <c r="N2477" s="10">
        <f t="shared" ca="1" si="53"/>
        <v>-97.9865028203062</v>
      </c>
      <c r="O2477" s="7" t="str">
        <f ca="1">IFERROR(__xludf.DUMMYFUNCTION("GOOGLEFINANCE(""NSE:""&amp;D2477,""pe"")"),"#N/A")</f>
        <v>#N/A</v>
      </c>
      <c r="P2477" s="7">
        <f ca="1">IFERROR(__xludf.DUMMYFUNCTION("GOOGLEFINANCE(""NSE:""&amp;D2477,""EPS"")"),-20.03)</f>
        <v>-20.03</v>
      </c>
      <c r="Q2477" s="7">
        <v>13.5</v>
      </c>
      <c r="R2477" s="7" t="str">
        <f ca="1">IFERROR(__xludf.DUMMYFUNCTION("IMPORTXML(E2477,""/html/body/main/div[3]/div[3]/div[2]/ul/li[7]/span[2]/span"")"),"Loading...")</f>
        <v>Loading...</v>
      </c>
      <c r="S2477" s="7" t="str">
        <f ca="1">IFERROR(__xludf.DUMMYFUNCTION("IMPORTXML(E2477,""/html/body/main/div[3]/div[3]/div[2]/ul/li[8]/span[2]/span"")"),"Loading...")</f>
        <v>Loading...</v>
      </c>
      <c r="T2477" s="4">
        <v>34.6</v>
      </c>
      <c r="U2477" s="4">
        <v>22.7</v>
      </c>
      <c r="V2477" s="4">
        <v>2.6</v>
      </c>
      <c r="W2477" s="4">
        <v>5.7</v>
      </c>
      <c r="X2477" s="4">
        <v>519.92999999999995</v>
      </c>
      <c r="Y2477" s="7">
        <f t="shared" ca="1" si="54"/>
        <v>-499.93999999999994</v>
      </c>
    </row>
    <row r="2478" spans="1:25" ht="15" x14ac:dyDescent="0.25">
      <c r="A2478" s="4">
        <v>2405</v>
      </c>
      <c r="C2478" s="41" t="s">
        <v>4735</v>
      </c>
      <c r="D2478" s="42"/>
      <c r="E2478" s="5" t="str">
        <f t="shared" si="50"/>
        <v>https://www.screener.in/company//consolidated/</v>
      </c>
      <c r="F2478" s="4">
        <v>443059</v>
      </c>
      <c r="G2478" s="4">
        <v>3832241897</v>
      </c>
      <c r="H2478" s="6" t="e">
        <f t="shared" ca="1" si="51"/>
        <v>#VALUE!</v>
      </c>
      <c r="I2478" s="7" t="str">
        <f ca="1">IFERROR(__xludf.DUMMYFUNCTION("IMPORTXML(E2478,""/html/body/main/div[3]/div[3]/div[2]/ul/li[5]/span[2]/span"")"),"Loading...")</f>
        <v>Loading...</v>
      </c>
      <c r="J2478" s="7" t="str">
        <f ca="1">IFERROR(__xludf.DUMMYFUNCTION("GOOGLEFINANCE(""NSE:""&amp;D2478,""marketcap"")"),"#N/A")</f>
        <v>#N/A</v>
      </c>
      <c r="K2478" s="7">
        <v>992.8</v>
      </c>
      <c r="L2478" s="8" t="str">
        <f ca="1">IFERROR(__xludf.DUMMYFUNCTION("GOOGLEFINANCE(""NSE:""&amp;D2478,""price"")"),"#N/A")</f>
        <v>#N/A</v>
      </c>
      <c r="M2478" s="9" t="e">
        <f t="shared" ca="1" si="52"/>
        <v>#VALUE!</v>
      </c>
      <c r="N2478" s="10" t="e">
        <f t="shared" ca="1" si="53"/>
        <v>#VALUE!</v>
      </c>
      <c r="O2478" s="7" t="str">
        <f ca="1">IFERROR(__xludf.DUMMYFUNCTION("GOOGLEFINANCE(""NSE:""&amp;D2478,""pe"")"),"#N/A")</f>
        <v>#N/A</v>
      </c>
      <c r="P2478" s="7" t="str">
        <f ca="1">IFERROR(__xludf.DUMMYFUNCTION("GOOGLEFINANCE(""NSE:""&amp;D2478,""EPS"")"),"#N/A")</f>
        <v>#N/A</v>
      </c>
      <c r="Q2478" s="7">
        <v>13.5</v>
      </c>
      <c r="R2478" s="7" t="str">
        <f ca="1">IFERROR(__xludf.DUMMYFUNCTION("IMPORTXML(E2478,""/html/body/main/div[3]/div[3]/div[2]/ul/li[7]/span[2]/span"")"),"Loading...")</f>
        <v>Loading...</v>
      </c>
      <c r="S2478" s="7" t="str">
        <f ca="1">IFERROR(__xludf.DUMMYFUNCTION("IMPORTXML(E2478,""/html/body/main/div[3]/div[3]/div[2]/ul/li[8]/span[2]/span"")"),"Loading...")</f>
        <v>Loading...</v>
      </c>
      <c r="T2478" s="4">
        <v>34.6</v>
      </c>
      <c r="U2478" s="4">
        <v>22.7</v>
      </c>
      <c r="V2478" s="4">
        <v>2.6</v>
      </c>
      <c r="W2478" s="4">
        <v>5.7</v>
      </c>
      <c r="X2478" s="4">
        <v>519.92999999999995</v>
      </c>
      <c r="Y2478" s="7" t="e">
        <f t="shared" ca="1" si="54"/>
        <v>#VALUE!</v>
      </c>
    </row>
    <row r="2479" spans="1:25" ht="15" x14ac:dyDescent="0.25">
      <c r="A2479" s="4">
        <v>2406</v>
      </c>
      <c r="C2479" s="12" t="s">
        <v>4736</v>
      </c>
      <c r="D2479" s="12" t="s">
        <v>4737</v>
      </c>
      <c r="E2479" s="5" t="str">
        <f t="shared" si="50"/>
        <v>https://www.screener.in/company/ALKALI/consolidated/</v>
      </c>
      <c r="F2479" s="4">
        <v>443059</v>
      </c>
      <c r="G2479" s="4">
        <v>3832241897</v>
      </c>
      <c r="H2479" s="6">
        <f t="shared" ca="1" si="51"/>
        <v>32692.855623307001</v>
      </c>
      <c r="I2479" s="7" t="str">
        <f ca="1">IFERROR(__xludf.DUMMYFUNCTION("IMPORTXML(E2479,""/html/body/main/div[3]/div[3]/div[2]/ul/li[5]/span[2]/span"")"),"Loading...")</f>
        <v>Loading...</v>
      </c>
      <c r="J2479" s="7">
        <f ca="1">IFERROR(__xludf.DUMMYFUNCTION("GOOGLEFINANCE(""NSE:""&amp;D2479,""marketcap"")"),869178700)</f>
        <v>869178700</v>
      </c>
      <c r="K2479" s="7">
        <v>992.8</v>
      </c>
      <c r="L2479" s="8">
        <f ca="1">IFERROR(__xludf.DUMMYFUNCTION("GOOGLEFINANCE(""NSE:""&amp;D2479,""price"")"),85.31)</f>
        <v>85.31</v>
      </c>
      <c r="M2479" s="9">
        <f t="shared" ca="1" si="52"/>
        <v>-907.49</v>
      </c>
      <c r="N2479" s="10">
        <f t="shared" ca="1" si="53"/>
        <v>-91.407131345688967</v>
      </c>
      <c r="O2479" s="7" t="str">
        <f ca="1">IFERROR(__xludf.DUMMYFUNCTION("GOOGLEFINANCE(""NSE:""&amp;D2479,""pe"")"),"#N/A")</f>
        <v>#N/A</v>
      </c>
      <c r="P2479" s="7">
        <f ca="1">IFERROR(__xludf.DUMMYFUNCTION("GOOGLEFINANCE(""NSE:""&amp;D2479,""EPS"")"),-3.56)</f>
        <v>-3.56</v>
      </c>
      <c r="Q2479" s="7">
        <v>13.5</v>
      </c>
      <c r="R2479" s="7" t="str">
        <f ca="1">IFERROR(__xludf.DUMMYFUNCTION("IMPORTXML(E2479,""/html/body/main/div[3]/div[3]/div[2]/ul/li[7]/span[2]/span"")"),"Loading...")</f>
        <v>Loading...</v>
      </c>
      <c r="S2479" s="7" t="str">
        <f ca="1">IFERROR(__xludf.DUMMYFUNCTION("IMPORTXML(E2479,""/html/body/main/div[3]/div[3]/div[2]/ul/li[8]/span[2]/span"")"),"Loading...")</f>
        <v>Loading...</v>
      </c>
      <c r="T2479" s="4">
        <v>34.6</v>
      </c>
      <c r="U2479" s="4">
        <v>22.7</v>
      </c>
      <c r="V2479" s="4">
        <v>2.6</v>
      </c>
      <c r="W2479" s="4">
        <v>5.7</v>
      </c>
      <c r="X2479" s="4">
        <v>519.92999999999995</v>
      </c>
      <c r="Y2479" s="7">
        <f t="shared" ca="1" si="54"/>
        <v>-434.61999999999995</v>
      </c>
    </row>
    <row r="2480" spans="1:25" ht="15" x14ac:dyDescent="0.25">
      <c r="A2480" s="4">
        <v>2407</v>
      </c>
      <c r="C2480" s="41" t="s">
        <v>4738</v>
      </c>
      <c r="D2480" s="42"/>
      <c r="E2480" s="5" t="str">
        <f t="shared" si="50"/>
        <v>https://www.screener.in/company//consolidated/</v>
      </c>
      <c r="F2480" s="4">
        <v>443059</v>
      </c>
      <c r="G2480" s="4">
        <v>3832241897</v>
      </c>
      <c r="H2480" s="6" t="e">
        <f t="shared" ca="1" si="51"/>
        <v>#VALUE!</v>
      </c>
      <c r="I2480" s="7" t="str">
        <f ca="1">IFERROR(__xludf.DUMMYFUNCTION("IMPORTXML(E2480,""/html/body/main/div[3]/div[3]/div[2]/ul/li[5]/span[2]/span"")"),"Loading...")</f>
        <v>Loading...</v>
      </c>
      <c r="J2480" s="7" t="str">
        <f ca="1">IFERROR(__xludf.DUMMYFUNCTION("GOOGLEFINANCE(""NSE:""&amp;D2480,""marketcap"")"),"#N/A")</f>
        <v>#N/A</v>
      </c>
      <c r="K2480" s="7">
        <v>992.8</v>
      </c>
      <c r="L2480" s="8" t="str">
        <f ca="1">IFERROR(__xludf.DUMMYFUNCTION("GOOGLEFINANCE(""NSE:""&amp;D2480,""price"")"),"#N/A")</f>
        <v>#N/A</v>
      </c>
      <c r="M2480" s="9" t="e">
        <f t="shared" ca="1" si="52"/>
        <v>#VALUE!</v>
      </c>
      <c r="N2480" s="10" t="e">
        <f t="shared" ca="1" si="53"/>
        <v>#VALUE!</v>
      </c>
      <c r="O2480" s="7" t="str">
        <f ca="1">IFERROR(__xludf.DUMMYFUNCTION("GOOGLEFINANCE(""NSE:""&amp;D2480,""pe"")"),"#N/A")</f>
        <v>#N/A</v>
      </c>
      <c r="P2480" s="7" t="str">
        <f ca="1">IFERROR(__xludf.DUMMYFUNCTION("GOOGLEFINANCE(""NSE:""&amp;D2480,""EPS"")"),"#N/A")</f>
        <v>#N/A</v>
      </c>
      <c r="Q2480" s="7">
        <v>13.5</v>
      </c>
      <c r="R2480" s="7" t="str">
        <f ca="1">IFERROR(__xludf.DUMMYFUNCTION("IMPORTXML(E2480,""/html/body/main/div[3]/div[3]/div[2]/ul/li[7]/span[2]/span"")"),"Loading...")</f>
        <v>Loading...</v>
      </c>
      <c r="S2480" s="7" t="str">
        <f ca="1">IFERROR(__xludf.DUMMYFUNCTION("IMPORTXML(E2480,""/html/body/main/div[3]/div[3]/div[2]/ul/li[8]/span[2]/span"")"),"Loading...")</f>
        <v>Loading...</v>
      </c>
      <c r="T2480" s="4">
        <v>34.6</v>
      </c>
      <c r="U2480" s="4">
        <v>22.7</v>
      </c>
      <c r="V2480" s="4">
        <v>2.6</v>
      </c>
      <c r="W2480" s="4">
        <v>5.7</v>
      </c>
      <c r="X2480" s="4">
        <v>519.92999999999995</v>
      </c>
      <c r="Y2480" s="7" t="e">
        <f t="shared" ca="1" si="54"/>
        <v>#VALUE!</v>
      </c>
    </row>
    <row r="2481" spans="1:25" ht="15" x14ac:dyDescent="0.25">
      <c r="A2481" s="4">
        <v>2408</v>
      </c>
      <c r="C2481" s="41" t="s">
        <v>4739</v>
      </c>
      <c r="D2481" s="42"/>
      <c r="E2481" s="5" t="str">
        <f t="shared" si="50"/>
        <v>https://www.screener.in/company//consolidated/</v>
      </c>
      <c r="F2481" s="4">
        <v>443059</v>
      </c>
      <c r="G2481" s="4">
        <v>3832241897</v>
      </c>
      <c r="H2481" s="6" t="e">
        <f t="shared" ca="1" si="51"/>
        <v>#VALUE!</v>
      </c>
      <c r="I2481" s="7" t="str">
        <f ca="1">IFERROR(__xludf.DUMMYFUNCTION("IMPORTXML(E2481,""/html/body/main/div[3]/div[3]/div[2]/ul/li[5]/span[2]/span"")"),"Loading...")</f>
        <v>Loading...</v>
      </c>
      <c r="J2481" s="7" t="str">
        <f ca="1">IFERROR(__xludf.DUMMYFUNCTION("GOOGLEFINANCE(""NSE:""&amp;D2481,""marketcap"")"),"#N/A")</f>
        <v>#N/A</v>
      </c>
      <c r="K2481" s="7">
        <v>992.8</v>
      </c>
      <c r="L2481" s="8" t="str">
        <f ca="1">IFERROR(__xludf.DUMMYFUNCTION("GOOGLEFINANCE(""NSE:""&amp;D2481,""price"")"),"#N/A")</f>
        <v>#N/A</v>
      </c>
      <c r="M2481" s="9" t="e">
        <f t="shared" ca="1" si="52"/>
        <v>#VALUE!</v>
      </c>
      <c r="N2481" s="10" t="e">
        <f t="shared" ca="1" si="53"/>
        <v>#VALUE!</v>
      </c>
      <c r="O2481" s="7" t="str">
        <f ca="1">IFERROR(__xludf.DUMMYFUNCTION("GOOGLEFINANCE(""NSE:""&amp;D2481,""pe"")"),"#N/A")</f>
        <v>#N/A</v>
      </c>
      <c r="P2481" s="7" t="str">
        <f ca="1">IFERROR(__xludf.DUMMYFUNCTION("GOOGLEFINANCE(""NSE:""&amp;D2481,""EPS"")"),"#N/A")</f>
        <v>#N/A</v>
      </c>
      <c r="Q2481" s="7">
        <v>13.5</v>
      </c>
      <c r="R2481" s="7" t="str">
        <f ca="1">IFERROR(__xludf.DUMMYFUNCTION("IMPORTXML(E2481,""/html/body/main/div[3]/div[3]/div[2]/ul/li[7]/span[2]/span"")"),"Loading...")</f>
        <v>Loading...</v>
      </c>
      <c r="S2481" s="7" t="str">
        <f ca="1">IFERROR(__xludf.DUMMYFUNCTION("IMPORTXML(E2481,""/html/body/main/div[3]/div[3]/div[2]/ul/li[8]/span[2]/span"")"),"Loading...")</f>
        <v>Loading...</v>
      </c>
      <c r="T2481" s="4">
        <v>34.6</v>
      </c>
      <c r="U2481" s="4">
        <v>22.7</v>
      </c>
      <c r="V2481" s="4">
        <v>2.6</v>
      </c>
      <c r="W2481" s="4">
        <v>5.7</v>
      </c>
      <c r="X2481" s="4">
        <v>519.92999999999995</v>
      </c>
      <c r="Y2481" s="7" t="e">
        <f t="shared" ca="1" si="54"/>
        <v>#VALUE!</v>
      </c>
    </row>
    <row r="2482" spans="1:25" ht="15" x14ac:dyDescent="0.25">
      <c r="A2482" s="4">
        <v>2409</v>
      </c>
      <c r="C2482" s="41" t="s">
        <v>4740</v>
      </c>
      <c r="D2482" s="42"/>
      <c r="E2482" s="5" t="str">
        <f t="shared" si="50"/>
        <v>https://www.screener.in/company//consolidated/</v>
      </c>
      <c r="F2482" s="4">
        <v>443059</v>
      </c>
      <c r="G2482" s="4">
        <v>3832241897</v>
      </c>
      <c r="H2482" s="6" t="e">
        <f t="shared" ca="1" si="51"/>
        <v>#VALUE!</v>
      </c>
      <c r="I2482" s="7" t="str">
        <f ca="1">IFERROR(__xludf.DUMMYFUNCTION("IMPORTXML(E2482,""/html/body/main/div[3]/div[3]/div[2]/ul/li[5]/span[2]/span"")"),"Loading...")</f>
        <v>Loading...</v>
      </c>
      <c r="J2482" s="7" t="str">
        <f ca="1">IFERROR(__xludf.DUMMYFUNCTION("GOOGLEFINANCE(""NSE:""&amp;D2482,""marketcap"")"),"#N/A")</f>
        <v>#N/A</v>
      </c>
      <c r="K2482" s="7">
        <v>992.8</v>
      </c>
      <c r="L2482" s="8" t="str">
        <f ca="1">IFERROR(__xludf.DUMMYFUNCTION("GOOGLEFINANCE(""NSE:""&amp;D2482,""price"")"),"#N/A")</f>
        <v>#N/A</v>
      </c>
      <c r="M2482" s="9" t="e">
        <f t="shared" ca="1" si="52"/>
        <v>#VALUE!</v>
      </c>
      <c r="N2482" s="10" t="e">
        <f t="shared" ca="1" si="53"/>
        <v>#VALUE!</v>
      </c>
      <c r="O2482" s="7" t="str">
        <f ca="1">IFERROR(__xludf.DUMMYFUNCTION("GOOGLEFINANCE(""NSE:""&amp;D2482,""pe"")"),"#N/A")</f>
        <v>#N/A</v>
      </c>
      <c r="P2482" s="7" t="str">
        <f ca="1">IFERROR(__xludf.DUMMYFUNCTION("GOOGLEFINANCE(""NSE:""&amp;D2482,""EPS"")"),"#N/A")</f>
        <v>#N/A</v>
      </c>
      <c r="Q2482" s="7">
        <v>13.5</v>
      </c>
      <c r="R2482" s="7" t="str">
        <f ca="1">IFERROR(__xludf.DUMMYFUNCTION("IMPORTXML(E2482,""/html/body/main/div[3]/div[3]/div[2]/ul/li[7]/span[2]/span"")"),"Loading...")</f>
        <v>Loading...</v>
      </c>
      <c r="S2482" s="7" t="str">
        <f ca="1">IFERROR(__xludf.DUMMYFUNCTION("IMPORTXML(E2482,""/html/body/main/div[3]/div[3]/div[2]/ul/li[8]/span[2]/span"")"),"Loading...")</f>
        <v>Loading...</v>
      </c>
      <c r="T2482" s="4">
        <v>34.6</v>
      </c>
      <c r="U2482" s="4">
        <v>22.7</v>
      </c>
      <c r="V2482" s="4">
        <v>2.6</v>
      </c>
      <c r="W2482" s="4">
        <v>5.7</v>
      </c>
      <c r="X2482" s="4">
        <v>519.92999999999995</v>
      </c>
      <c r="Y2482" s="7" t="e">
        <f t="shared" ca="1" si="54"/>
        <v>#VALUE!</v>
      </c>
    </row>
    <row r="2483" spans="1:25" ht="15" x14ac:dyDescent="0.25">
      <c r="A2483" s="4">
        <v>2410</v>
      </c>
      <c r="C2483" s="41" t="s">
        <v>4741</v>
      </c>
      <c r="D2483" s="42"/>
      <c r="E2483" s="5" t="str">
        <f t="shared" si="50"/>
        <v>https://www.screener.in/company//consolidated/</v>
      </c>
      <c r="F2483" s="4">
        <v>443059</v>
      </c>
      <c r="G2483" s="4">
        <v>3832241897</v>
      </c>
      <c r="H2483" s="6" t="e">
        <f t="shared" ca="1" si="51"/>
        <v>#VALUE!</v>
      </c>
      <c r="I2483" s="7" t="str">
        <f ca="1">IFERROR(__xludf.DUMMYFUNCTION("IMPORTXML(E2483,""/html/body/main/div[3]/div[3]/div[2]/ul/li[5]/span[2]/span"")"),"Loading...")</f>
        <v>Loading...</v>
      </c>
      <c r="J2483" s="7" t="str">
        <f ca="1">IFERROR(__xludf.DUMMYFUNCTION("GOOGLEFINANCE(""NSE:""&amp;D2483,""marketcap"")"),"#N/A")</f>
        <v>#N/A</v>
      </c>
      <c r="K2483" s="7">
        <v>992.8</v>
      </c>
      <c r="L2483" s="8" t="str">
        <f ca="1">IFERROR(__xludf.DUMMYFUNCTION("GOOGLEFINANCE(""NSE:""&amp;D2483,""price"")"),"#N/A")</f>
        <v>#N/A</v>
      </c>
      <c r="M2483" s="9" t="e">
        <f t="shared" ca="1" si="52"/>
        <v>#VALUE!</v>
      </c>
      <c r="N2483" s="10" t="e">
        <f t="shared" ca="1" si="53"/>
        <v>#VALUE!</v>
      </c>
      <c r="O2483" s="7" t="str">
        <f ca="1">IFERROR(__xludf.DUMMYFUNCTION("GOOGLEFINANCE(""NSE:""&amp;D2483,""pe"")"),"#N/A")</f>
        <v>#N/A</v>
      </c>
      <c r="P2483" s="7" t="str">
        <f ca="1">IFERROR(__xludf.DUMMYFUNCTION("GOOGLEFINANCE(""NSE:""&amp;D2483,""EPS"")"),"#N/A")</f>
        <v>#N/A</v>
      </c>
      <c r="Q2483" s="7">
        <v>13.5</v>
      </c>
      <c r="R2483" s="7" t="str">
        <f ca="1">IFERROR(__xludf.DUMMYFUNCTION("IMPORTXML(E2483,""/html/body/main/div[3]/div[3]/div[2]/ul/li[7]/span[2]/span"")"),"Loading...")</f>
        <v>Loading...</v>
      </c>
      <c r="S2483" s="7" t="str">
        <f ca="1">IFERROR(__xludf.DUMMYFUNCTION("IMPORTXML(E2483,""/html/body/main/div[3]/div[3]/div[2]/ul/li[8]/span[2]/span"")"),"Loading...")</f>
        <v>Loading...</v>
      </c>
      <c r="T2483" s="4">
        <v>34.6</v>
      </c>
      <c r="U2483" s="4">
        <v>22.7</v>
      </c>
      <c r="V2483" s="4">
        <v>2.6</v>
      </c>
      <c r="W2483" s="4">
        <v>5.7</v>
      </c>
      <c r="X2483" s="4">
        <v>519.92999999999995</v>
      </c>
      <c r="Y2483" s="7" t="e">
        <f t="shared" ca="1" si="54"/>
        <v>#VALUE!</v>
      </c>
    </row>
    <row r="2484" spans="1:25" ht="15" x14ac:dyDescent="0.25">
      <c r="A2484" s="4">
        <v>2411</v>
      </c>
      <c r="C2484" s="41" t="s">
        <v>4742</v>
      </c>
      <c r="D2484" s="42"/>
      <c r="E2484" s="5" t="str">
        <f t="shared" si="50"/>
        <v>https://www.screener.in/company//consolidated/</v>
      </c>
      <c r="F2484" s="4">
        <v>443059</v>
      </c>
      <c r="G2484" s="4">
        <v>3832241897</v>
      </c>
      <c r="H2484" s="6" t="e">
        <f t="shared" ca="1" si="51"/>
        <v>#VALUE!</v>
      </c>
      <c r="I2484" s="7" t="str">
        <f ca="1">IFERROR(__xludf.DUMMYFUNCTION("IMPORTXML(E2484,""/html/body/main/div[3]/div[3]/div[2]/ul/li[5]/span[2]/span"")"),"Loading...")</f>
        <v>Loading...</v>
      </c>
      <c r="J2484" s="7" t="str">
        <f ca="1">IFERROR(__xludf.DUMMYFUNCTION("GOOGLEFINANCE(""NSE:""&amp;D2484,""marketcap"")"),"#N/A")</f>
        <v>#N/A</v>
      </c>
      <c r="K2484" s="7">
        <v>992.8</v>
      </c>
      <c r="L2484" s="8" t="str">
        <f ca="1">IFERROR(__xludf.DUMMYFUNCTION("GOOGLEFINANCE(""NSE:""&amp;D2484,""price"")"),"#N/A")</f>
        <v>#N/A</v>
      </c>
      <c r="M2484" s="9" t="e">
        <f t="shared" ca="1" si="52"/>
        <v>#VALUE!</v>
      </c>
      <c r="N2484" s="10" t="e">
        <f t="shared" ca="1" si="53"/>
        <v>#VALUE!</v>
      </c>
      <c r="O2484" s="7" t="str">
        <f ca="1">IFERROR(__xludf.DUMMYFUNCTION("GOOGLEFINANCE(""NSE:""&amp;D2484,""pe"")"),"#N/A")</f>
        <v>#N/A</v>
      </c>
      <c r="P2484" s="7" t="str">
        <f ca="1">IFERROR(__xludf.DUMMYFUNCTION("GOOGLEFINANCE(""NSE:""&amp;D2484,""EPS"")"),"#N/A")</f>
        <v>#N/A</v>
      </c>
      <c r="Q2484" s="7">
        <v>13.5</v>
      </c>
      <c r="R2484" s="7" t="str">
        <f ca="1">IFERROR(__xludf.DUMMYFUNCTION("IMPORTXML(E2484,""/html/body/main/div[3]/div[3]/div[2]/ul/li[7]/span[2]/span"")"),"Loading...")</f>
        <v>Loading...</v>
      </c>
      <c r="S2484" s="7" t="str">
        <f ca="1">IFERROR(__xludf.DUMMYFUNCTION("IMPORTXML(E2484,""/html/body/main/div[3]/div[3]/div[2]/ul/li[8]/span[2]/span"")"),"Loading...")</f>
        <v>Loading...</v>
      </c>
      <c r="T2484" s="4">
        <v>34.6</v>
      </c>
      <c r="U2484" s="4">
        <v>22.7</v>
      </c>
      <c r="V2484" s="4">
        <v>2.6</v>
      </c>
      <c r="W2484" s="4">
        <v>5.7</v>
      </c>
      <c r="X2484" s="4">
        <v>519.92999999999995</v>
      </c>
      <c r="Y2484" s="7" t="e">
        <f t="shared" ca="1" si="54"/>
        <v>#VALUE!</v>
      </c>
    </row>
    <row r="2485" spans="1:25" ht="15" x14ac:dyDescent="0.25">
      <c r="A2485" s="4">
        <v>2412</v>
      </c>
      <c r="C2485" s="41" t="s">
        <v>4743</v>
      </c>
      <c r="D2485" s="42"/>
      <c r="E2485" s="5" t="str">
        <f t="shared" si="50"/>
        <v>https://www.screener.in/company//consolidated/</v>
      </c>
      <c r="F2485" s="4">
        <v>443059</v>
      </c>
      <c r="G2485" s="4">
        <v>3832241897</v>
      </c>
      <c r="H2485" s="6" t="e">
        <f t="shared" ca="1" si="51"/>
        <v>#VALUE!</v>
      </c>
      <c r="I2485" s="7" t="str">
        <f ca="1">IFERROR(__xludf.DUMMYFUNCTION("IMPORTXML(E2485,""/html/body/main/div[3]/div[3]/div[2]/ul/li[5]/span[2]/span"")"),"Loading...")</f>
        <v>Loading...</v>
      </c>
      <c r="J2485" s="7" t="str">
        <f ca="1">IFERROR(__xludf.DUMMYFUNCTION("GOOGLEFINANCE(""NSE:""&amp;D2485,""marketcap"")"),"#N/A")</f>
        <v>#N/A</v>
      </c>
      <c r="K2485" s="7">
        <v>992.8</v>
      </c>
      <c r="L2485" s="8" t="str">
        <f ca="1">IFERROR(__xludf.DUMMYFUNCTION("GOOGLEFINANCE(""NSE:""&amp;D2485,""price"")"),"#N/A")</f>
        <v>#N/A</v>
      </c>
      <c r="M2485" s="9" t="e">
        <f t="shared" ca="1" si="52"/>
        <v>#VALUE!</v>
      </c>
      <c r="N2485" s="10" t="e">
        <f t="shared" ca="1" si="53"/>
        <v>#VALUE!</v>
      </c>
      <c r="O2485" s="7" t="str">
        <f ca="1">IFERROR(__xludf.DUMMYFUNCTION("GOOGLEFINANCE(""NSE:""&amp;D2485,""pe"")"),"#N/A")</f>
        <v>#N/A</v>
      </c>
      <c r="P2485" s="7" t="str">
        <f ca="1">IFERROR(__xludf.DUMMYFUNCTION("GOOGLEFINANCE(""NSE:""&amp;D2485,""EPS"")"),"#N/A")</f>
        <v>#N/A</v>
      </c>
      <c r="Q2485" s="7">
        <v>13.5</v>
      </c>
      <c r="R2485" s="7" t="str">
        <f ca="1">IFERROR(__xludf.DUMMYFUNCTION("IMPORTXML(E2485,""/html/body/main/div[3]/div[3]/div[2]/ul/li[7]/span[2]/span"")"),"Loading...")</f>
        <v>Loading...</v>
      </c>
      <c r="S2485" s="7" t="str">
        <f ca="1">IFERROR(__xludf.DUMMYFUNCTION("IMPORTXML(E2485,""/html/body/main/div[3]/div[3]/div[2]/ul/li[8]/span[2]/span"")"),"Loading...")</f>
        <v>Loading...</v>
      </c>
      <c r="T2485" s="4">
        <v>34.6</v>
      </c>
      <c r="U2485" s="4">
        <v>22.7</v>
      </c>
      <c r="V2485" s="4">
        <v>2.6</v>
      </c>
      <c r="W2485" s="4">
        <v>5.7</v>
      </c>
      <c r="X2485" s="4">
        <v>519.92999999999995</v>
      </c>
      <c r="Y2485" s="7" t="e">
        <f t="shared" ca="1" si="54"/>
        <v>#VALUE!</v>
      </c>
    </row>
    <row r="2486" spans="1:25" ht="15" x14ac:dyDescent="0.25">
      <c r="A2486" s="4">
        <v>2414</v>
      </c>
      <c r="C2486" s="41" t="s">
        <v>4744</v>
      </c>
      <c r="D2486" s="42"/>
      <c r="E2486" s="5" t="str">
        <f t="shared" si="50"/>
        <v>https://www.screener.in/company//consolidated/</v>
      </c>
      <c r="F2486" s="4">
        <v>443059</v>
      </c>
      <c r="G2486" s="4">
        <v>3832241897</v>
      </c>
      <c r="H2486" s="6" t="e">
        <f t="shared" ca="1" si="51"/>
        <v>#VALUE!</v>
      </c>
      <c r="I2486" s="7" t="str">
        <f ca="1">IFERROR(__xludf.DUMMYFUNCTION("IMPORTXML(E2486,""/html/body/main/div[3]/div[3]/div[2]/ul/li[5]/span[2]/span"")"),"Loading...")</f>
        <v>Loading...</v>
      </c>
      <c r="J2486" s="7" t="str">
        <f ca="1">IFERROR(__xludf.DUMMYFUNCTION("GOOGLEFINANCE(""NSE:""&amp;D2486,""marketcap"")"),"#N/A")</f>
        <v>#N/A</v>
      </c>
      <c r="K2486" s="7">
        <v>992.8</v>
      </c>
      <c r="L2486" s="8" t="str">
        <f ca="1">IFERROR(__xludf.DUMMYFUNCTION("GOOGLEFINANCE(""NSE:""&amp;D2486,""price"")"),"#N/A")</f>
        <v>#N/A</v>
      </c>
      <c r="M2486" s="9" t="e">
        <f t="shared" ca="1" si="52"/>
        <v>#VALUE!</v>
      </c>
      <c r="N2486" s="10" t="e">
        <f t="shared" ca="1" si="53"/>
        <v>#VALUE!</v>
      </c>
      <c r="O2486" s="7" t="str">
        <f ca="1">IFERROR(__xludf.DUMMYFUNCTION("GOOGLEFINANCE(""NSE:""&amp;D2486,""pe"")"),"#N/A")</f>
        <v>#N/A</v>
      </c>
      <c r="P2486" s="7" t="str">
        <f ca="1">IFERROR(__xludf.DUMMYFUNCTION("GOOGLEFINANCE(""NSE:""&amp;D2486,""EPS"")"),"#N/A")</f>
        <v>#N/A</v>
      </c>
      <c r="Q2486" s="7">
        <v>13.5</v>
      </c>
      <c r="R2486" s="7" t="str">
        <f ca="1">IFERROR(__xludf.DUMMYFUNCTION("IMPORTXML(E2486,""/html/body/main/div[3]/div[3]/div[2]/ul/li[7]/span[2]/span"")"),"Loading...")</f>
        <v>Loading...</v>
      </c>
      <c r="S2486" s="7" t="str">
        <f ca="1">IFERROR(__xludf.DUMMYFUNCTION("IMPORTXML(E2486,""/html/body/main/div[3]/div[3]/div[2]/ul/li[8]/span[2]/span"")"),"Loading...")</f>
        <v>Loading...</v>
      </c>
      <c r="T2486" s="4">
        <v>34.6</v>
      </c>
      <c r="U2486" s="4">
        <v>22.7</v>
      </c>
      <c r="V2486" s="4">
        <v>2.6</v>
      </c>
      <c r="W2486" s="4">
        <v>5.7</v>
      </c>
      <c r="X2486" s="4">
        <v>519.92999999999995</v>
      </c>
      <c r="Y2486" s="7" t="e">
        <f t="shared" ca="1" si="54"/>
        <v>#VALUE!</v>
      </c>
    </row>
    <row r="2487" spans="1:25" ht="15" x14ac:dyDescent="0.25">
      <c r="A2487" s="4">
        <v>2415</v>
      </c>
      <c r="C2487" s="12" t="s">
        <v>4745</v>
      </c>
      <c r="D2487" s="37"/>
      <c r="E2487" s="5" t="str">
        <f t="shared" si="50"/>
        <v>https://www.screener.in/company//consolidated/</v>
      </c>
      <c r="F2487" s="4">
        <v>443059</v>
      </c>
      <c r="G2487" s="4">
        <v>3832241897</v>
      </c>
      <c r="H2487" s="6" t="e">
        <f t="shared" ca="1" si="51"/>
        <v>#VALUE!</v>
      </c>
      <c r="I2487" s="7" t="str">
        <f ca="1">IFERROR(__xludf.DUMMYFUNCTION("IMPORTXML(E2487,""/html/body/main/div[3]/div[3]/div[2]/ul/li[5]/span[2]/span"")"),"Loading...")</f>
        <v>Loading...</v>
      </c>
      <c r="J2487" s="7" t="str">
        <f ca="1">IFERROR(__xludf.DUMMYFUNCTION("GOOGLEFINANCE(""NSE:""&amp;D2487,""marketcap"")"),"#N/A")</f>
        <v>#N/A</v>
      </c>
      <c r="K2487" s="7">
        <v>992.8</v>
      </c>
      <c r="L2487" s="8" t="str">
        <f ca="1">IFERROR(__xludf.DUMMYFUNCTION("GOOGLEFINANCE(""NSE:""&amp;D2487,""price"")"),"#N/A")</f>
        <v>#N/A</v>
      </c>
      <c r="M2487" s="9" t="e">
        <f t="shared" ca="1" si="52"/>
        <v>#VALUE!</v>
      </c>
      <c r="N2487" s="10" t="e">
        <f t="shared" ca="1" si="53"/>
        <v>#VALUE!</v>
      </c>
      <c r="O2487" s="7" t="str">
        <f ca="1">IFERROR(__xludf.DUMMYFUNCTION("GOOGLEFINANCE(""NSE:""&amp;D2487,""pe"")"),"#N/A")</f>
        <v>#N/A</v>
      </c>
      <c r="P2487" s="7" t="str">
        <f ca="1">IFERROR(__xludf.DUMMYFUNCTION("GOOGLEFINANCE(""NSE:""&amp;D2487,""EPS"")"),"#N/A")</f>
        <v>#N/A</v>
      </c>
      <c r="Q2487" s="7">
        <v>13.5</v>
      </c>
      <c r="R2487" s="7" t="str">
        <f ca="1">IFERROR(__xludf.DUMMYFUNCTION("IMPORTXML(E2487,""/html/body/main/div[3]/div[3]/div[2]/ul/li[7]/span[2]/span"")"),"Loading...")</f>
        <v>Loading...</v>
      </c>
      <c r="S2487" s="7" t="str">
        <f ca="1">IFERROR(__xludf.DUMMYFUNCTION("IMPORTXML(E2487,""/html/body/main/div[3]/div[3]/div[2]/ul/li[8]/span[2]/span"")"),"Loading...")</f>
        <v>Loading...</v>
      </c>
      <c r="T2487" s="4">
        <v>34.6</v>
      </c>
      <c r="U2487" s="4">
        <v>22.7</v>
      </c>
      <c r="V2487" s="4">
        <v>2.6</v>
      </c>
      <c r="W2487" s="4">
        <v>5.7</v>
      </c>
      <c r="X2487" s="4">
        <v>519.92999999999995</v>
      </c>
      <c r="Y2487" s="7" t="e">
        <f t="shared" ca="1" si="54"/>
        <v>#VALUE!</v>
      </c>
    </row>
    <row r="2488" spans="1:25" ht="15" x14ac:dyDescent="0.25">
      <c r="A2488" s="4">
        <v>2417</v>
      </c>
      <c r="C2488" s="41" t="s">
        <v>4746</v>
      </c>
      <c r="D2488" s="42"/>
      <c r="E2488" s="5" t="str">
        <f t="shared" si="50"/>
        <v>https://www.screener.in/company//consolidated/</v>
      </c>
      <c r="F2488" s="4">
        <v>443059</v>
      </c>
      <c r="G2488" s="4">
        <v>3832241897</v>
      </c>
      <c r="H2488" s="6" t="e">
        <f t="shared" ca="1" si="51"/>
        <v>#VALUE!</v>
      </c>
      <c r="I2488" s="7" t="str">
        <f ca="1">IFERROR(__xludf.DUMMYFUNCTION("IMPORTXML(E2488,""/html/body/main/div[3]/div[3]/div[2]/ul/li[5]/span[2]/span"")"),"Loading...")</f>
        <v>Loading...</v>
      </c>
      <c r="J2488" s="7" t="str">
        <f ca="1">IFERROR(__xludf.DUMMYFUNCTION("GOOGLEFINANCE(""NSE:""&amp;D2488,""marketcap"")"),"#N/A")</f>
        <v>#N/A</v>
      </c>
      <c r="K2488" s="7">
        <v>992.8</v>
      </c>
      <c r="L2488" s="8" t="str">
        <f ca="1">IFERROR(__xludf.DUMMYFUNCTION("GOOGLEFINANCE(""NSE:""&amp;D2488,""price"")"),"#N/A")</f>
        <v>#N/A</v>
      </c>
      <c r="M2488" s="9" t="e">
        <f t="shared" ca="1" si="52"/>
        <v>#VALUE!</v>
      </c>
      <c r="N2488" s="10" t="e">
        <f t="shared" ca="1" si="53"/>
        <v>#VALUE!</v>
      </c>
      <c r="O2488" s="7" t="str">
        <f ca="1">IFERROR(__xludf.DUMMYFUNCTION("GOOGLEFINANCE(""NSE:""&amp;D2488,""pe"")"),"#N/A")</f>
        <v>#N/A</v>
      </c>
      <c r="P2488" s="7" t="str">
        <f ca="1">IFERROR(__xludf.DUMMYFUNCTION("GOOGLEFINANCE(""NSE:""&amp;D2488,""EPS"")"),"#N/A")</f>
        <v>#N/A</v>
      </c>
      <c r="Q2488" s="7">
        <v>13.5</v>
      </c>
      <c r="R2488" s="7" t="str">
        <f ca="1">IFERROR(__xludf.DUMMYFUNCTION("IMPORTXML(E2488,""/html/body/main/div[3]/div[3]/div[2]/ul/li[7]/span[2]/span"")"),"Loading...")</f>
        <v>Loading...</v>
      </c>
      <c r="S2488" s="7" t="str">
        <f ca="1">IFERROR(__xludf.DUMMYFUNCTION("IMPORTXML(E2488,""/html/body/main/div[3]/div[3]/div[2]/ul/li[8]/span[2]/span"")"),"Loading...")</f>
        <v>Loading...</v>
      </c>
      <c r="T2488" s="4">
        <v>34.6</v>
      </c>
      <c r="U2488" s="4">
        <v>22.7</v>
      </c>
      <c r="V2488" s="4">
        <v>2.6</v>
      </c>
      <c r="W2488" s="4">
        <v>5.7</v>
      </c>
      <c r="X2488" s="4">
        <v>519.92999999999995</v>
      </c>
      <c r="Y2488" s="7" t="e">
        <f t="shared" ca="1" si="54"/>
        <v>#VALUE!</v>
      </c>
    </row>
    <row r="2489" spans="1:25" ht="15" x14ac:dyDescent="0.25">
      <c r="A2489" s="4">
        <v>2418</v>
      </c>
      <c r="C2489" s="12" t="s">
        <v>4747</v>
      </c>
      <c r="D2489" s="12" t="s">
        <v>4748</v>
      </c>
      <c r="E2489" s="5" t="str">
        <f t="shared" si="50"/>
        <v>https://www.screener.in/company/CEREBRAINT/consolidated/</v>
      </c>
      <c r="F2489" s="4">
        <v>443059</v>
      </c>
      <c r="G2489" s="4">
        <v>3832241897</v>
      </c>
      <c r="H2489" s="6">
        <f t="shared" ca="1" si="51"/>
        <v>2870.3491808530002</v>
      </c>
      <c r="I2489" s="7" t="str">
        <f ca="1">IFERROR(__xludf.DUMMYFUNCTION("IMPORTXML(E2489,""/html/body/main/div[3]/div[3]/div[2]/ul/li[5]/span[2]/span"")"),"Loading...")</f>
        <v>Loading...</v>
      </c>
      <c r="J2489" s="7">
        <f ca="1">IFERROR(__xludf.DUMMYFUNCTION("GOOGLEFINANCE(""NSE:""&amp;D2489,""marketcap"")"),881025700)</f>
        <v>881025700</v>
      </c>
      <c r="K2489" s="7">
        <v>992.8</v>
      </c>
      <c r="L2489" s="8">
        <f ca="1">IFERROR(__xludf.DUMMYFUNCTION("GOOGLEFINANCE(""NSE:""&amp;D2489,""price"")"),7.49)</f>
        <v>7.49</v>
      </c>
      <c r="M2489" s="9">
        <f t="shared" ca="1" si="52"/>
        <v>-985.31</v>
      </c>
      <c r="N2489" s="10">
        <f t="shared" ca="1" si="53"/>
        <v>-99.245568090249805</v>
      </c>
      <c r="O2489" s="7" t="str">
        <f ca="1">IFERROR(__xludf.DUMMYFUNCTION("GOOGLEFINANCE(""NSE:""&amp;D2489,""pe"")"),"#N/A")</f>
        <v>#N/A</v>
      </c>
      <c r="P2489" s="7">
        <f ca="1">IFERROR(__xludf.DUMMYFUNCTION("GOOGLEFINANCE(""NSE:""&amp;D2489,""EPS"")"),-4.53)</f>
        <v>-4.53</v>
      </c>
      <c r="Q2489" s="7">
        <v>13.5</v>
      </c>
      <c r="R2489" s="7" t="str">
        <f ca="1">IFERROR(__xludf.DUMMYFUNCTION("IMPORTXML(E2489,""/html/body/main/div[3]/div[3]/div[2]/ul/li[7]/span[2]/span"")"),"Loading...")</f>
        <v>Loading...</v>
      </c>
      <c r="S2489" s="7" t="str">
        <f ca="1">IFERROR(__xludf.DUMMYFUNCTION("IMPORTXML(E2489,""/html/body/main/div[3]/div[3]/div[2]/ul/li[8]/span[2]/span"")"),"Loading...")</f>
        <v>Loading...</v>
      </c>
      <c r="T2489" s="4">
        <v>34.6</v>
      </c>
      <c r="U2489" s="4">
        <v>22.7</v>
      </c>
      <c r="V2489" s="4">
        <v>2.6</v>
      </c>
      <c r="W2489" s="4">
        <v>5.7</v>
      </c>
      <c r="X2489" s="4">
        <v>519.92999999999995</v>
      </c>
      <c r="Y2489" s="7">
        <f t="shared" ca="1" si="54"/>
        <v>-512.43999999999994</v>
      </c>
    </row>
    <row r="2490" spans="1:25" ht="15" x14ac:dyDescent="0.25">
      <c r="A2490" s="4">
        <v>2419</v>
      </c>
      <c r="C2490" s="12" t="s">
        <v>4749</v>
      </c>
      <c r="D2490" s="12" t="s">
        <v>4750</v>
      </c>
      <c r="E2490" s="5" t="str">
        <f t="shared" si="50"/>
        <v>https://www.screener.in/company/PALREDTEC/consolidated/</v>
      </c>
      <c r="F2490" s="4">
        <v>443059</v>
      </c>
      <c r="G2490" s="4">
        <v>3832241897</v>
      </c>
      <c r="H2490" s="6">
        <f t="shared" ca="1" si="51"/>
        <v>18988.758599634999</v>
      </c>
      <c r="I2490" s="7" t="str">
        <f ca="1">IFERROR(__xludf.DUMMYFUNCTION("IMPORTXML(E2490,""/html/body/main/div[3]/div[3]/div[2]/ul/li[5]/span[2]/span"")"),"Loading...")</f>
        <v>Loading...</v>
      </c>
      <c r="J2490" s="7">
        <f ca="1">IFERROR(__xludf.DUMMYFUNCTION("GOOGLEFINANCE(""NSE:""&amp;D2490,""marketcap"")"),607102200)</f>
        <v>607102200</v>
      </c>
      <c r="K2490" s="7">
        <v>992.8</v>
      </c>
      <c r="L2490" s="8">
        <f ca="1">IFERROR(__xludf.DUMMYFUNCTION("GOOGLEFINANCE(""NSE:""&amp;D2490,""price"")"),49.55)</f>
        <v>49.55</v>
      </c>
      <c r="M2490" s="9">
        <f t="shared" ca="1" si="52"/>
        <v>-943.25</v>
      </c>
      <c r="N2490" s="10">
        <f t="shared" ca="1" si="53"/>
        <v>-95.009065269943591</v>
      </c>
      <c r="O2490" s="7" t="str">
        <f ca="1">IFERROR(__xludf.DUMMYFUNCTION("GOOGLEFINANCE(""NSE:""&amp;D2490,""pe"")"),"#N/A")</f>
        <v>#N/A</v>
      </c>
      <c r="P2490" s="7">
        <f ca="1">IFERROR(__xludf.DUMMYFUNCTION("GOOGLEFINANCE(""NSE:""&amp;D2490,""EPS"")"),-7.27)</f>
        <v>-7.27</v>
      </c>
      <c r="Q2490" s="7">
        <v>13.5</v>
      </c>
      <c r="R2490" s="7" t="str">
        <f ca="1">IFERROR(__xludf.DUMMYFUNCTION("IMPORTXML(E2490,""/html/body/main/div[3]/div[3]/div[2]/ul/li[7]/span[2]/span"")"),"Loading...")</f>
        <v>Loading...</v>
      </c>
      <c r="S2490" s="7" t="str">
        <f ca="1">IFERROR(__xludf.DUMMYFUNCTION("IMPORTXML(E2490,""/html/body/main/div[3]/div[3]/div[2]/ul/li[8]/span[2]/span"")"),"Loading...")</f>
        <v>Loading...</v>
      </c>
      <c r="T2490" s="4">
        <v>34.6</v>
      </c>
      <c r="U2490" s="4">
        <v>22.7</v>
      </c>
      <c r="V2490" s="4">
        <v>2.6</v>
      </c>
      <c r="W2490" s="4">
        <v>5.7</v>
      </c>
      <c r="X2490" s="4">
        <v>519.92999999999995</v>
      </c>
      <c r="Y2490" s="7">
        <f t="shared" ca="1" si="54"/>
        <v>-470.37999999999994</v>
      </c>
    </row>
    <row r="2491" spans="1:25" ht="15" x14ac:dyDescent="0.25">
      <c r="A2491" s="4">
        <v>2420</v>
      </c>
      <c r="C2491" s="41" t="s">
        <v>4751</v>
      </c>
      <c r="D2491" s="42"/>
      <c r="E2491" s="5" t="str">
        <f t="shared" si="50"/>
        <v>https://www.screener.in/company//consolidated/</v>
      </c>
      <c r="F2491" s="4">
        <v>443059</v>
      </c>
      <c r="G2491" s="4">
        <v>3832241897</v>
      </c>
      <c r="H2491" s="6" t="e">
        <f t="shared" ca="1" si="51"/>
        <v>#VALUE!</v>
      </c>
      <c r="I2491" s="7" t="str">
        <f ca="1">IFERROR(__xludf.DUMMYFUNCTION("IMPORTXML(E2491,""/html/body/main/div[3]/div[3]/div[2]/ul/li[5]/span[2]/span"")"),"Loading...")</f>
        <v>Loading...</v>
      </c>
      <c r="J2491" s="7" t="str">
        <f ca="1">IFERROR(__xludf.DUMMYFUNCTION("GOOGLEFINANCE(""NSE:""&amp;D2491,""marketcap"")"),"#N/A")</f>
        <v>#N/A</v>
      </c>
      <c r="K2491" s="7">
        <v>992.8</v>
      </c>
      <c r="L2491" s="8" t="str">
        <f ca="1">IFERROR(__xludf.DUMMYFUNCTION("GOOGLEFINANCE(""NSE:""&amp;D2491,""price"")"),"#N/A")</f>
        <v>#N/A</v>
      </c>
      <c r="M2491" s="9" t="e">
        <f t="shared" ca="1" si="52"/>
        <v>#VALUE!</v>
      </c>
      <c r="N2491" s="10" t="e">
        <f t="shared" ca="1" si="53"/>
        <v>#VALUE!</v>
      </c>
      <c r="O2491" s="7" t="str">
        <f ca="1">IFERROR(__xludf.DUMMYFUNCTION("GOOGLEFINANCE(""NSE:""&amp;D2491,""pe"")"),"#N/A")</f>
        <v>#N/A</v>
      </c>
      <c r="P2491" s="7" t="str">
        <f ca="1">IFERROR(__xludf.DUMMYFUNCTION("GOOGLEFINANCE(""NSE:""&amp;D2491,""EPS"")"),"#N/A")</f>
        <v>#N/A</v>
      </c>
      <c r="Q2491" s="7">
        <v>13.5</v>
      </c>
      <c r="R2491" s="7" t="str">
        <f ca="1">IFERROR(__xludf.DUMMYFUNCTION("IMPORTXML(E2491,""/html/body/main/div[3]/div[3]/div[2]/ul/li[7]/span[2]/span"")"),"Loading...")</f>
        <v>Loading...</v>
      </c>
      <c r="S2491" s="7" t="str">
        <f ca="1">IFERROR(__xludf.DUMMYFUNCTION("IMPORTXML(E2491,""/html/body/main/div[3]/div[3]/div[2]/ul/li[8]/span[2]/span"")"),"Loading...")</f>
        <v>Loading...</v>
      </c>
      <c r="T2491" s="4">
        <v>34.6</v>
      </c>
      <c r="U2491" s="4">
        <v>22.7</v>
      </c>
      <c r="V2491" s="4">
        <v>2.6</v>
      </c>
      <c r="W2491" s="4">
        <v>5.7</v>
      </c>
      <c r="X2491" s="4">
        <v>519.92999999999995</v>
      </c>
      <c r="Y2491" s="7" t="e">
        <f t="shared" ca="1" si="54"/>
        <v>#VALUE!</v>
      </c>
    </row>
    <row r="2492" spans="1:25" ht="15" x14ac:dyDescent="0.25">
      <c r="A2492" s="4">
        <v>2421</v>
      </c>
      <c r="C2492" s="41" t="s">
        <v>4752</v>
      </c>
      <c r="D2492" s="42"/>
      <c r="E2492" s="5" t="str">
        <f t="shared" si="50"/>
        <v>https://www.screener.in/company//consolidated/</v>
      </c>
      <c r="F2492" s="4">
        <v>443059</v>
      </c>
      <c r="G2492" s="4">
        <v>3832241897</v>
      </c>
      <c r="H2492" s="6" t="e">
        <f t="shared" ca="1" si="51"/>
        <v>#VALUE!</v>
      </c>
      <c r="I2492" s="7" t="str">
        <f ca="1">IFERROR(__xludf.DUMMYFUNCTION("IMPORTXML(E2492,""/html/body/main/div[3]/div[3]/div[2]/ul/li[5]/span[2]/span"")"),"Loading...")</f>
        <v>Loading...</v>
      </c>
      <c r="J2492" s="7" t="str">
        <f ca="1">IFERROR(__xludf.DUMMYFUNCTION("GOOGLEFINANCE(""NSE:""&amp;D2492,""marketcap"")"),"#N/A")</f>
        <v>#N/A</v>
      </c>
      <c r="K2492" s="7">
        <v>992.8</v>
      </c>
      <c r="L2492" s="8" t="str">
        <f ca="1">IFERROR(__xludf.DUMMYFUNCTION("GOOGLEFINANCE(""NSE:""&amp;D2492,""price"")"),"#N/A")</f>
        <v>#N/A</v>
      </c>
      <c r="M2492" s="9" t="e">
        <f t="shared" ca="1" si="52"/>
        <v>#VALUE!</v>
      </c>
      <c r="N2492" s="10" t="e">
        <f t="shared" ca="1" si="53"/>
        <v>#VALUE!</v>
      </c>
      <c r="O2492" s="7" t="str">
        <f ca="1">IFERROR(__xludf.DUMMYFUNCTION("GOOGLEFINANCE(""NSE:""&amp;D2492,""pe"")"),"#N/A")</f>
        <v>#N/A</v>
      </c>
      <c r="P2492" s="7" t="str">
        <f ca="1">IFERROR(__xludf.DUMMYFUNCTION("GOOGLEFINANCE(""NSE:""&amp;D2492,""EPS"")"),"#N/A")</f>
        <v>#N/A</v>
      </c>
      <c r="Q2492" s="7">
        <v>13.5</v>
      </c>
      <c r="R2492" s="7" t="str">
        <f ca="1">IFERROR(__xludf.DUMMYFUNCTION("IMPORTXML(E2492,""/html/body/main/div[3]/div[3]/div[2]/ul/li[7]/span[2]/span"")"),"Loading...")</f>
        <v>Loading...</v>
      </c>
      <c r="S2492" s="7" t="str">
        <f ca="1">IFERROR(__xludf.DUMMYFUNCTION("IMPORTXML(E2492,""/html/body/main/div[3]/div[3]/div[2]/ul/li[8]/span[2]/span"")"),"Loading...")</f>
        <v>Loading...</v>
      </c>
      <c r="T2492" s="4">
        <v>34.6</v>
      </c>
      <c r="U2492" s="4">
        <v>22.7</v>
      </c>
      <c r="V2492" s="4">
        <v>2.6</v>
      </c>
      <c r="W2492" s="4">
        <v>5.7</v>
      </c>
      <c r="X2492" s="4">
        <v>519.92999999999995</v>
      </c>
      <c r="Y2492" s="7" t="e">
        <f t="shared" ca="1" si="54"/>
        <v>#VALUE!</v>
      </c>
    </row>
    <row r="2493" spans="1:25" ht="15" x14ac:dyDescent="0.25">
      <c r="A2493" s="4">
        <v>2423</v>
      </c>
      <c r="C2493" s="41" t="s">
        <v>4753</v>
      </c>
      <c r="D2493" s="42"/>
      <c r="E2493" s="5" t="str">
        <f t="shared" si="50"/>
        <v>https://www.screener.in/company//consolidated/</v>
      </c>
      <c r="F2493" s="4">
        <v>443059</v>
      </c>
      <c r="G2493" s="4">
        <v>3832241897</v>
      </c>
      <c r="H2493" s="6" t="e">
        <f t="shared" ca="1" si="51"/>
        <v>#VALUE!</v>
      </c>
      <c r="I2493" s="7" t="str">
        <f ca="1">IFERROR(__xludf.DUMMYFUNCTION("IMPORTXML(E2493,""/html/body/main/div[3]/div[3]/div[2]/ul/li[5]/span[2]/span"")"),"Loading...")</f>
        <v>Loading...</v>
      </c>
      <c r="J2493" s="7" t="str">
        <f ca="1">IFERROR(__xludf.DUMMYFUNCTION("GOOGLEFINANCE(""NSE:""&amp;D2493,""marketcap"")"),"#N/A")</f>
        <v>#N/A</v>
      </c>
      <c r="K2493" s="7">
        <v>992.8</v>
      </c>
      <c r="L2493" s="8" t="str">
        <f ca="1">IFERROR(__xludf.DUMMYFUNCTION("GOOGLEFINANCE(""NSE:""&amp;D2493,""price"")"),"#N/A")</f>
        <v>#N/A</v>
      </c>
      <c r="M2493" s="9" t="e">
        <f t="shared" ca="1" si="52"/>
        <v>#VALUE!</v>
      </c>
      <c r="N2493" s="10" t="e">
        <f t="shared" ca="1" si="53"/>
        <v>#VALUE!</v>
      </c>
      <c r="O2493" s="7" t="str">
        <f ca="1">IFERROR(__xludf.DUMMYFUNCTION("GOOGLEFINANCE(""NSE:""&amp;D2493,""pe"")"),"#N/A")</f>
        <v>#N/A</v>
      </c>
      <c r="P2493" s="7" t="str">
        <f ca="1">IFERROR(__xludf.DUMMYFUNCTION("GOOGLEFINANCE(""NSE:""&amp;D2493,""EPS"")"),"#N/A")</f>
        <v>#N/A</v>
      </c>
      <c r="Q2493" s="7">
        <v>13.5</v>
      </c>
      <c r="R2493" s="7" t="str">
        <f ca="1">IFERROR(__xludf.DUMMYFUNCTION("IMPORTXML(E2493,""/html/body/main/div[3]/div[3]/div[2]/ul/li[7]/span[2]/span"")"),"Loading...")</f>
        <v>Loading...</v>
      </c>
      <c r="S2493" s="7" t="str">
        <f ca="1">IFERROR(__xludf.DUMMYFUNCTION("IMPORTXML(E2493,""/html/body/main/div[3]/div[3]/div[2]/ul/li[8]/span[2]/span"")"),"Loading...")</f>
        <v>Loading...</v>
      </c>
      <c r="T2493" s="4">
        <v>34.6</v>
      </c>
      <c r="U2493" s="4">
        <v>22.7</v>
      </c>
      <c r="V2493" s="4">
        <v>2.6</v>
      </c>
      <c r="W2493" s="4">
        <v>5.7</v>
      </c>
      <c r="X2493" s="4">
        <v>519.92999999999995</v>
      </c>
      <c r="Y2493" s="7" t="e">
        <f t="shared" ca="1" si="54"/>
        <v>#VALUE!</v>
      </c>
    </row>
    <row r="2494" spans="1:25" ht="15" x14ac:dyDescent="0.25">
      <c r="A2494" s="4">
        <v>2424</v>
      </c>
      <c r="C2494" s="41" t="s">
        <v>4754</v>
      </c>
      <c r="D2494" s="42"/>
      <c r="E2494" s="5" t="str">
        <f t="shared" si="50"/>
        <v>https://www.screener.in/company//consolidated/</v>
      </c>
      <c r="F2494" s="4">
        <v>443059</v>
      </c>
      <c r="G2494" s="4">
        <v>3832241897</v>
      </c>
      <c r="H2494" s="6" t="e">
        <f t="shared" ca="1" si="51"/>
        <v>#VALUE!</v>
      </c>
      <c r="I2494" s="7" t="str">
        <f ca="1">IFERROR(__xludf.DUMMYFUNCTION("IMPORTXML(E2494,""/html/body/main/div[3]/div[3]/div[2]/ul/li[5]/span[2]/span"")"),"Loading...")</f>
        <v>Loading...</v>
      </c>
      <c r="J2494" s="7" t="str">
        <f ca="1">IFERROR(__xludf.DUMMYFUNCTION("GOOGLEFINANCE(""NSE:""&amp;D2494,""marketcap"")"),"#N/A")</f>
        <v>#N/A</v>
      </c>
      <c r="K2494" s="7">
        <v>992.8</v>
      </c>
      <c r="L2494" s="8" t="str">
        <f ca="1">IFERROR(__xludf.DUMMYFUNCTION("GOOGLEFINANCE(""NSE:""&amp;D2494,""price"")"),"#N/A")</f>
        <v>#N/A</v>
      </c>
      <c r="M2494" s="9" t="e">
        <f t="shared" ca="1" si="52"/>
        <v>#VALUE!</v>
      </c>
      <c r="N2494" s="10" t="e">
        <f t="shared" ca="1" si="53"/>
        <v>#VALUE!</v>
      </c>
      <c r="O2494" s="7" t="str">
        <f ca="1">IFERROR(__xludf.DUMMYFUNCTION("GOOGLEFINANCE(""NSE:""&amp;D2494,""pe"")"),"#N/A")</f>
        <v>#N/A</v>
      </c>
      <c r="P2494" s="7" t="str">
        <f ca="1">IFERROR(__xludf.DUMMYFUNCTION("GOOGLEFINANCE(""NSE:""&amp;D2494,""EPS"")"),"#N/A")</f>
        <v>#N/A</v>
      </c>
      <c r="Q2494" s="7">
        <v>13.5</v>
      </c>
      <c r="R2494" s="7" t="str">
        <f ca="1">IFERROR(__xludf.DUMMYFUNCTION("IMPORTXML(E2494,""/html/body/main/div[3]/div[3]/div[2]/ul/li[7]/span[2]/span"")"),"Loading...")</f>
        <v>Loading...</v>
      </c>
      <c r="S2494" s="7" t="str">
        <f ca="1">IFERROR(__xludf.DUMMYFUNCTION("IMPORTXML(E2494,""/html/body/main/div[3]/div[3]/div[2]/ul/li[8]/span[2]/span"")"),"Loading...")</f>
        <v>Loading...</v>
      </c>
      <c r="T2494" s="4">
        <v>34.6</v>
      </c>
      <c r="U2494" s="4">
        <v>22.7</v>
      </c>
      <c r="V2494" s="4">
        <v>2.6</v>
      </c>
      <c r="W2494" s="4">
        <v>5.7</v>
      </c>
      <c r="X2494" s="4">
        <v>519.92999999999995</v>
      </c>
      <c r="Y2494" s="7" t="e">
        <f t="shared" ca="1" si="54"/>
        <v>#VALUE!</v>
      </c>
    </row>
    <row r="2495" spans="1:25" ht="15" x14ac:dyDescent="0.25">
      <c r="A2495" s="4">
        <v>2425</v>
      </c>
      <c r="C2495" s="41" t="s">
        <v>4755</v>
      </c>
      <c r="D2495" s="42"/>
      <c r="E2495" s="5" t="str">
        <f t="shared" si="50"/>
        <v>https://www.screener.in/company//consolidated/</v>
      </c>
      <c r="F2495" s="4">
        <v>443059</v>
      </c>
      <c r="G2495" s="4">
        <v>3832241897</v>
      </c>
      <c r="H2495" s="6" t="e">
        <f t="shared" ca="1" si="51"/>
        <v>#VALUE!</v>
      </c>
      <c r="I2495" s="7" t="str">
        <f ca="1">IFERROR(__xludf.DUMMYFUNCTION("IMPORTXML(E2495,""/html/body/main/div[3]/div[3]/div[2]/ul/li[5]/span[2]/span"")"),"Loading...")</f>
        <v>Loading...</v>
      </c>
      <c r="J2495" s="7" t="str">
        <f ca="1">IFERROR(__xludf.DUMMYFUNCTION("GOOGLEFINANCE(""NSE:""&amp;D2495,""marketcap"")"),"#N/A")</f>
        <v>#N/A</v>
      </c>
      <c r="K2495" s="7">
        <v>992.8</v>
      </c>
      <c r="L2495" s="8" t="str">
        <f ca="1">IFERROR(__xludf.DUMMYFUNCTION("GOOGLEFINANCE(""NSE:""&amp;D2495,""price"")"),"#N/A")</f>
        <v>#N/A</v>
      </c>
      <c r="M2495" s="9" t="e">
        <f t="shared" ca="1" si="52"/>
        <v>#VALUE!</v>
      </c>
      <c r="N2495" s="10" t="e">
        <f t="shared" ca="1" si="53"/>
        <v>#VALUE!</v>
      </c>
      <c r="O2495" s="7" t="str">
        <f ca="1">IFERROR(__xludf.DUMMYFUNCTION("GOOGLEFINANCE(""NSE:""&amp;D2495,""pe"")"),"#N/A")</f>
        <v>#N/A</v>
      </c>
      <c r="P2495" s="7" t="str">
        <f ca="1">IFERROR(__xludf.DUMMYFUNCTION("GOOGLEFINANCE(""NSE:""&amp;D2495,""EPS"")"),"#N/A")</f>
        <v>#N/A</v>
      </c>
      <c r="Q2495" s="7">
        <v>13.5</v>
      </c>
      <c r="R2495" s="7" t="str">
        <f ca="1">IFERROR(__xludf.DUMMYFUNCTION("IMPORTXML(E2495,""/html/body/main/div[3]/div[3]/div[2]/ul/li[7]/span[2]/span"")"),"Loading...")</f>
        <v>Loading...</v>
      </c>
      <c r="S2495" s="7" t="str">
        <f ca="1">IFERROR(__xludf.DUMMYFUNCTION("IMPORTXML(E2495,""/html/body/main/div[3]/div[3]/div[2]/ul/li[8]/span[2]/span"")"),"Loading...")</f>
        <v>Loading...</v>
      </c>
      <c r="T2495" s="4">
        <v>34.6</v>
      </c>
      <c r="U2495" s="4">
        <v>22.7</v>
      </c>
      <c r="V2495" s="4">
        <v>2.6</v>
      </c>
      <c r="W2495" s="4">
        <v>5.7</v>
      </c>
      <c r="X2495" s="4">
        <v>519.92999999999995</v>
      </c>
      <c r="Y2495" s="7" t="e">
        <f t="shared" ca="1" si="54"/>
        <v>#VALUE!</v>
      </c>
    </row>
    <row r="2496" spans="1:25" ht="15" x14ac:dyDescent="0.25">
      <c r="A2496" s="4">
        <v>2426</v>
      </c>
      <c r="C2496" s="41" t="s">
        <v>4756</v>
      </c>
      <c r="D2496" s="42"/>
      <c r="E2496" s="5" t="str">
        <f t="shared" si="50"/>
        <v>https://www.screener.in/company//consolidated/</v>
      </c>
      <c r="F2496" s="4">
        <v>443059</v>
      </c>
      <c r="G2496" s="4">
        <v>3832241897</v>
      </c>
      <c r="H2496" s="6" t="e">
        <f t="shared" ca="1" si="51"/>
        <v>#VALUE!</v>
      </c>
      <c r="I2496" s="7" t="str">
        <f ca="1">IFERROR(__xludf.DUMMYFUNCTION("IMPORTXML(E2496,""/html/body/main/div[3]/div[3]/div[2]/ul/li[5]/span[2]/span"")"),"Loading...")</f>
        <v>Loading...</v>
      </c>
      <c r="J2496" s="7" t="str">
        <f ca="1">IFERROR(__xludf.DUMMYFUNCTION("GOOGLEFINANCE(""NSE:""&amp;D2496,""marketcap"")"),"#N/A")</f>
        <v>#N/A</v>
      </c>
      <c r="K2496" s="7">
        <v>992.8</v>
      </c>
      <c r="L2496" s="8" t="str">
        <f ca="1">IFERROR(__xludf.DUMMYFUNCTION("GOOGLEFINANCE(""NSE:""&amp;D2496,""price"")"),"#N/A")</f>
        <v>#N/A</v>
      </c>
      <c r="M2496" s="9" t="e">
        <f t="shared" ca="1" si="52"/>
        <v>#VALUE!</v>
      </c>
      <c r="N2496" s="10" t="e">
        <f t="shared" ca="1" si="53"/>
        <v>#VALUE!</v>
      </c>
      <c r="O2496" s="7" t="str">
        <f ca="1">IFERROR(__xludf.DUMMYFUNCTION("GOOGLEFINANCE(""NSE:""&amp;D2496,""pe"")"),"#N/A")</f>
        <v>#N/A</v>
      </c>
      <c r="P2496" s="7" t="str">
        <f ca="1">IFERROR(__xludf.DUMMYFUNCTION("GOOGLEFINANCE(""NSE:""&amp;D2496,""EPS"")"),"#N/A")</f>
        <v>#N/A</v>
      </c>
      <c r="Q2496" s="7">
        <v>13.5</v>
      </c>
      <c r="R2496" s="7" t="str">
        <f ca="1">IFERROR(__xludf.DUMMYFUNCTION("IMPORTXML(E2496,""/html/body/main/div[3]/div[3]/div[2]/ul/li[7]/span[2]/span"")"),"Loading...")</f>
        <v>Loading...</v>
      </c>
      <c r="S2496" s="7" t="str">
        <f ca="1">IFERROR(__xludf.DUMMYFUNCTION("IMPORTXML(E2496,""/html/body/main/div[3]/div[3]/div[2]/ul/li[8]/span[2]/span"")"),"Loading...")</f>
        <v>Loading...</v>
      </c>
      <c r="T2496" s="4">
        <v>34.6</v>
      </c>
      <c r="U2496" s="4">
        <v>22.7</v>
      </c>
      <c r="V2496" s="4">
        <v>2.6</v>
      </c>
      <c r="W2496" s="4">
        <v>5.7</v>
      </c>
      <c r="X2496" s="4">
        <v>519.92999999999995</v>
      </c>
      <c r="Y2496" s="7" t="e">
        <f t="shared" ca="1" si="54"/>
        <v>#VALUE!</v>
      </c>
    </row>
    <row r="2497" spans="1:25" ht="15" x14ac:dyDescent="0.25">
      <c r="A2497" s="4">
        <v>2428</v>
      </c>
      <c r="C2497" s="41" t="s">
        <v>4757</v>
      </c>
      <c r="D2497" s="42"/>
      <c r="E2497" s="5" t="str">
        <f t="shared" si="50"/>
        <v>https://www.screener.in/company//consolidated/</v>
      </c>
      <c r="F2497" s="4">
        <v>443059</v>
      </c>
      <c r="G2497" s="4">
        <v>3832241897</v>
      </c>
      <c r="H2497" s="6" t="e">
        <f t="shared" ca="1" si="51"/>
        <v>#VALUE!</v>
      </c>
      <c r="I2497" s="7" t="str">
        <f ca="1">IFERROR(__xludf.DUMMYFUNCTION("IMPORTXML(E2497,""/html/body/main/div[3]/div[3]/div[2]/ul/li[5]/span[2]/span"")"),"Loading...")</f>
        <v>Loading...</v>
      </c>
      <c r="J2497" s="7" t="str">
        <f ca="1">IFERROR(__xludf.DUMMYFUNCTION("GOOGLEFINANCE(""NSE:""&amp;D2497,""marketcap"")"),"#N/A")</f>
        <v>#N/A</v>
      </c>
      <c r="K2497" s="7">
        <v>992.8</v>
      </c>
      <c r="L2497" s="8" t="str">
        <f ca="1">IFERROR(__xludf.DUMMYFUNCTION("GOOGLEFINANCE(""NSE:""&amp;D2497,""price"")"),"#N/A")</f>
        <v>#N/A</v>
      </c>
      <c r="M2497" s="9" t="e">
        <f t="shared" ca="1" si="52"/>
        <v>#VALUE!</v>
      </c>
      <c r="N2497" s="10" t="e">
        <f t="shared" ca="1" si="53"/>
        <v>#VALUE!</v>
      </c>
      <c r="O2497" s="7" t="str">
        <f ca="1">IFERROR(__xludf.DUMMYFUNCTION("GOOGLEFINANCE(""NSE:""&amp;D2497,""pe"")"),"#N/A")</f>
        <v>#N/A</v>
      </c>
      <c r="P2497" s="7" t="str">
        <f ca="1">IFERROR(__xludf.DUMMYFUNCTION("GOOGLEFINANCE(""NSE:""&amp;D2497,""EPS"")"),"#N/A")</f>
        <v>#N/A</v>
      </c>
      <c r="Q2497" s="7">
        <v>13.5</v>
      </c>
      <c r="R2497" s="7" t="str">
        <f ca="1">IFERROR(__xludf.DUMMYFUNCTION("IMPORTXML(E2497,""/html/body/main/div[3]/div[3]/div[2]/ul/li[7]/span[2]/span"")"),"Loading...")</f>
        <v>Loading...</v>
      </c>
      <c r="S2497" s="7" t="str">
        <f ca="1">IFERROR(__xludf.DUMMYFUNCTION("IMPORTXML(E2497,""/html/body/main/div[3]/div[3]/div[2]/ul/li[8]/span[2]/span"")"),"Loading...")</f>
        <v>Loading...</v>
      </c>
      <c r="T2497" s="4">
        <v>34.6</v>
      </c>
      <c r="U2497" s="4">
        <v>22.7</v>
      </c>
      <c r="V2497" s="4">
        <v>2.6</v>
      </c>
      <c r="W2497" s="4">
        <v>5.7</v>
      </c>
      <c r="X2497" s="4">
        <v>519.92999999999995</v>
      </c>
      <c r="Y2497" s="7" t="e">
        <f t="shared" ca="1" si="54"/>
        <v>#VALUE!</v>
      </c>
    </row>
    <row r="2498" spans="1:25" ht="15" x14ac:dyDescent="0.25">
      <c r="A2498" s="4">
        <v>2429</v>
      </c>
      <c r="C2498" s="41" t="s">
        <v>4758</v>
      </c>
      <c r="D2498" s="42"/>
      <c r="E2498" s="5" t="str">
        <f t="shared" si="50"/>
        <v>https://www.screener.in/company//consolidated/</v>
      </c>
      <c r="F2498" s="4">
        <v>443059</v>
      </c>
      <c r="G2498" s="4">
        <v>3832241897</v>
      </c>
      <c r="H2498" s="6" t="e">
        <f t="shared" ca="1" si="51"/>
        <v>#VALUE!</v>
      </c>
      <c r="I2498" s="7" t="str">
        <f ca="1">IFERROR(__xludf.DUMMYFUNCTION("IMPORTXML(E2498,""/html/body/main/div[3]/div[3]/div[2]/ul/li[5]/span[2]/span"")"),"Loading...")</f>
        <v>Loading...</v>
      </c>
      <c r="J2498" s="7" t="str">
        <f ca="1">IFERROR(__xludf.DUMMYFUNCTION("GOOGLEFINANCE(""NSE:""&amp;D2498,""marketcap"")"),"#N/A")</f>
        <v>#N/A</v>
      </c>
      <c r="K2498" s="7">
        <v>992.8</v>
      </c>
      <c r="L2498" s="8" t="str">
        <f ca="1">IFERROR(__xludf.DUMMYFUNCTION("GOOGLEFINANCE(""NSE:""&amp;D2498,""price"")"),"#N/A")</f>
        <v>#N/A</v>
      </c>
      <c r="M2498" s="9" t="e">
        <f t="shared" ca="1" si="52"/>
        <v>#VALUE!</v>
      </c>
      <c r="N2498" s="10" t="e">
        <f t="shared" ca="1" si="53"/>
        <v>#VALUE!</v>
      </c>
      <c r="O2498" s="7" t="str">
        <f ca="1">IFERROR(__xludf.DUMMYFUNCTION("GOOGLEFINANCE(""NSE:""&amp;D2498,""pe"")"),"#N/A")</f>
        <v>#N/A</v>
      </c>
      <c r="P2498" s="7" t="str">
        <f ca="1">IFERROR(__xludf.DUMMYFUNCTION("GOOGLEFINANCE(""NSE:""&amp;D2498,""EPS"")"),"#N/A")</f>
        <v>#N/A</v>
      </c>
      <c r="Q2498" s="7">
        <v>13.5</v>
      </c>
      <c r="R2498" s="7" t="str">
        <f ca="1">IFERROR(__xludf.DUMMYFUNCTION("IMPORTXML(E2498,""/html/body/main/div[3]/div[3]/div[2]/ul/li[7]/span[2]/span"")"),"Loading...")</f>
        <v>Loading...</v>
      </c>
      <c r="S2498" s="7" t="str">
        <f ca="1">IFERROR(__xludf.DUMMYFUNCTION("IMPORTXML(E2498,""/html/body/main/div[3]/div[3]/div[2]/ul/li[8]/span[2]/span"")"),"Loading...")</f>
        <v>Loading...</v>
      </c>
      <c r="T2498" s="4">
        <v>34.6</v>
      </c>
      <c r="U2498" s="4">
        <v>22.7</v>
      </c>
      <c r="V2498" s="4">
        <v>2.6</v>
      </c>
      <c r="W2498" s="4">
        <v>5.7</v>
      </c>
      <c r="X2498" s="4">
        <v>519.92999999999995</v>
      </c>
      <c r="Y2498" s="7" t="e">
        <f t="shared" ca="1" si="54"/>
        <v>#VALUE!</v>
      </c>
    </row>
    <row r="2499" spans="1:25" ht="15" x14ac:dyDescent="0.25">
      <c r="A2499" s="4">
        <v>2430</v>
      </c>
      <c r="C2499" s="41" t="s">
        <v>4759</v>
      </c>
      <c r="D2499" s="42"/>
      <c r="E2499" s="5" t="str">
        <f t="shared" si="50"/>
        <v>https://www.screener.in/company//consolidated/</v>
      </c>
      <c r="F2499" s="4">
        <v>443059</v>
      </c>
      <c r="G2499" s="4">
        <v>3832241897</v>
      </c>
      <c r="H2499" s="6" t="e">
        <f t="shared" ca="1" si="51"/>
        <v>#VALUE!</v>
      </c>
      <c r="I2499" s="7" t="str">
        <f ca="1">IFERROR(__xludf.DUMMYFUNCTION("IMPORTXML(E2499,""/html/body/main/div[3]/div[3]/div[2]/ul/li[5]/span[2]/span"")"),"Loading...")</f>
        <v>Loading...</v>
      </c>
      <c r="J2499" s="7" t="str">
        <f ca="1">IFERROR(__xludf.DUMMYFUNCTION("GOOGLEFINANCE(""NSE:""&amp;D2499,""marketcap"")"),"#N/A")</f>
        <v>#N/A</v>
      </c>
      <c r="K2499" s="7">
        <v>992.8</v>
      </c>
      <c r="L2499" s="8" t="str">
        <f ca="1">IFERROR(__xludf.DUMMYFUNCTION("GOOGLEFINANCE(""NSE:""&amp;D2499,""price"")"),"#N/A")</f>
        <v>#N/A</v>
      </c>
      <c r="M2499" s="9" t="e">
        <f t="shared" ca="1" si="52"/>
        <v>#VALUE!</v>
      </c>
      <c r="N2499" s="10" t="e">
        <f t="shared" ca="1" si="53"/>
        <v>#VALUE!</v>
      </c>
      <c r="O2499" s="7" t="str">
        <f ca="1">IFERROR(__xludf.DUMMYFUNCTION("GOOGLEFINANCE(""NSE:""&amp;D2499,""pe"")"),"#N/A")</f>
        <v>#N/A</v>
      </c>
      <c r="P2499" s="7" t="str">
        <f ca="1">IFERROR(__xludf.DUMMYFUNCTION("GOOGLEFINANCE(""NSE:""&amp;D2499,""EPS"")"),"#N/A")</f>
        <v>#N/A</v>
      </c>
      <c r="Q2499" s="7">
        <v>13.5</v>
      </c>
      <c r="R2499" s="7" t="str">
        <f ca="1">IFERROR(__xludf.DUMMYFUNCTION("IMPORTXML(E2499,""/html/body/main/div[3]/div[3]/div[2]/ul/li[7]/span[2]/span"")"),"Loading...")</f>
        <v>Loading...</v>
      </c>
      <c r="S2499" s="7" t="str">
        <f ca="1">IFERROR(__xludf.DUMMYFUNCTION("IMPORTXML(E2499,""/html/body/main/div[3]/div[3]/div[2]/ul/li[8]/span[2]/span"")"),"Loading...")</f>
        <v>Loading...</v>
      </c>
      <c r="T2499" s="4">
        <v>34.6</v>
      </c>
      <c r="U2499" s="4">
        <v>22.7</v>
      </c>
      <c r="V2499" s="4">
        <v>2.6</v>
      </c>
      <c r="W2499" s="4">
        <v>5.7</v>
      </c>
      <c r="X2499" s="4">
        <v>519.92999999999995</v>
      </c>
      <c r="Y2499" s="7" t="e">
        <f t="shared" ca="1" si="54"/>
        <v>#VALUE!</v>
      </c>
    </row>
    <row r="2500" spans="1:25" ht="15" x14ac:dyDescent="0.25">
      <c r="A2500" s="4">
        <v>2431</v>
      </c>
      <c r="C2500" s="12" t="s">
        <v>4760</v>
      </c>
      <c r="D2500" s="12" t="s">
        <v>4761</v>
      </c>
      <c r="E2500" s="5" t="str">
        <f t="shared" si="50"/>
        <v>https://www.screener.in/company/SECURKLOUD/consolidated/</v>
      </c>
      <c r="F2500" s="4">
        <v>443059</v>
      </c>
      <c r="G2500" s="4">
        <v>3832241897</v>
      </c>
      <c r="H2500" s="6">
        <f t="shared" ca="1" si="51"/>
        <v>9461.8052436930011</v>
      </c>
      <c r="I2500" s="7" t="str">
        <f ca="1">IFERROR(__xludf.DUMMYFUNCTION("IMPORTXML(E2500,""/html/body/main/div[3]/div[3]/div[2]/ul/li[5]/span[2]/span"")"),"Loading...")</f>
        <v>Loading...</v>
      </c>
      <c r="J2500" s="7">
        <f ca="1">IFERROR(__xludf.DUMMYFUNCTION("GOOGLEFINANCE(""NSE:""&amp;D2500,""marketcap"")"),818893900)</f>
        <v>818893900</v>
      </c>
      <c r="K2500" s="7">
        <v>992.8</v>
      </c>
      <c r="L2500" s="8">
        <f ca="1">IFERROR(__xludf.DUMMYFUNCTION("GOOGLEFINANCE(""NSE:""&amp;D2500,""price"")"),24.69)</f>
        <v>24.69</v>
      </c>
      <c r="M2500" s="9">
        <f t="shared" ca="1" si="52"/>
        <v>-968.1099999999999</v>
      </c>
      <c r="N2500" s="10">
        <f t="shared" ca="1" si="53"/>
        <v>-97.513094278807415</v>
      </c>
      <c r="O2500" s="7" t="str">
        <f ca="1">IFERROR(__xludf.DUMMYFUNCTION("GOOGLEFINANCE(""NSE:""&amp;D2500,""pe"")"),"#N/A")</f>
        <v>#N/A</v>
      </c>
      <c r="P2500" s="7">
        <f ca="1">IFERROR(__xludf.DUMMYFUNCTION("GOOGLEFINANCE(""NSE:""&amp;D2500,""EPS"")"),-41.34)</f>
        <v>-41.34</v>
      </c>
      <c r="Q2500" s="7">
        <v>13.5</v>
      </c>
      <c r="R2500" s="7" t="str">
        <f ca="1">IFERROR(__xludf.DUMMYFUNCTION("IMPORTXML(E2500,""/html/body/main/div[3]/div[3]/div[2]/ul/li[7]/span[2]/span"")"),"Loading...")</f>
        <v>Loading...</v>
      </c>
      <c r="S2500" s="7" t="str">
        <f ca="1">IFERROR(__xludf.DUMMYFUNCTION("IMPORTXML(E2500,""/html/body/main/div[3]/div[3]/div[2]/ul/li[8]/span[2]/span"")"),"Loading...")</f>
        <v>Loading...</v>
      </c>
      <c r="T2500" s="4">
        <v>34.6</v>
      </c>
      <c r="U2500" s="4">
        <v>22.7</v>
      </c>
      <c r="V2500" s="4">
        <v>2.6</v>
      </c>
      <c r="W2500" s="4">
        <v>5.7</v>
      </c>
      <c r="X2500" s="4">
        <v>519.92999999999995</v>
      </c>
      <c r="Y2500" s="7">
        <f t="shared" ca="1" si="54"/>
        <v>-495.23999999999995</v>
      </c>
    </row>
    <row r="2501" spans="1:25" ht="15" x14ac:dyDescent="0.25">
      <c r="A2501" s="4">
        <v>2432</v>
      </c>
      <c r="C2501" s="41" t="s">
        <v>4762</v>
      </c>
      <c r="D2501" s="42"/>
      <c r="E2501" s="5" t="str">
        <f t="shared" si="50"/>
        <v>https://www.screener.in/company//consolidated/</v>
      </c>
      <c r="F2501" s="4">
        <v>443059</v>
      </c>
      <c r="G2501" s="4">
        <v>3832241897</v>
      </c>
      <c r="H2501" s="6" t="e">
        <f t="shared" ca="1" si="51"/>
        <v>#VALUE!</v>
      </c>
      <c r="I2501" s="7" t="str">
        <f ca="1">IFERROR(__xludf.DUMMYFUNCTION("IMPORTXML(E2501,""/html/body/main/div[3]/div[3]/div[2]/ul/li[5]/span[2]/span"")"),"Loading...")</f>
        <v>Loading...</v>
      </c>
      <c r="J2501" s="7" t="str">
        <f ca="1">IFERROR(__xludf.DUMMYFUNCTION("GOOGLEFINANCE(""NSE:""&amp;D2501,""marketcap"")"),"#N/A")</f>
        <v>#N/A</v>
      </c>
      <c r="K2501" s="7">
        <v>992.8</v>
      </c>
      <c r="L2501" s="8" t="str">
        <f ca="1">IFERROR(__xludf.DUMMYFUNCTION("GOOGLEFINANCE(""NSE:""&amp;D2501,""price"")"),"#N/A")</f>
        <v>#N/A</v>
      </c>
      <c r="M2501" s="9" t="e">
        <f t="shared" ca="1" si="52"/>
        <v>#VALUE!</v>
      </c>
      <c r="N2501" s="10" t="e">
        <f t="shared" ca="1" si="53"/>
        <v>#VALUE!</v>
      </c>
      <c r="O2501" s="7" t="str">
        <f ca="1">IFERROR(__xludf.DUMMYFUNCTION("GOOGLEFINANCE(""NSE:""&amp;D2501,""pe"")"),"#N/A")</f>
        <v>#N/A</v>
      </c>
      <c r="P2501" s="7" t="str">
        <f ca="1">IFERROR(__xludf.DUMMYFUNCTION("GOOGLEFINANCE(""NSE:""&amp;D2501,""EPS"")"),"#N/A")</f>
        <v>#N/A</v>
      </c>
      <c r="Q2501" s="7">
        <v>13.5</v>
      </c>
      <c r="R2501" s="7" t="str">
        <f ca="1">IFERROR(__xludf.DUMMYFUNCTION("IMPORTXML(E2501,""/html/body/main/div[3]/div[3]/div[2]/ul/li[7]/span[2]/span"")"),"Loading...")</f>
        <v>Loading...</v>
      </c>
      <c r="S2501" s="7" t="str">
        <f ca="1">IFERROR(__xludf.DUMMYFUNCTION("IMPORTXML(E2501,""/html/body/main/div[3]/div[3]/div[2]/ul/li[8]/span[2]/span"")"),"Loading...")</f>
        <v>Loading...</v>
      </c>
      <c r="T2501" s="4">
        <v>34.6</v>
      </c>
      <c r="U2501" s="4">
        <v>22.7</v>
      </c>
      <c r="V2501" s="4">
        <v>2.6</v>
      </c>
      <c r="W2501" s="4">
        <v>5.7</v>
      </c>
      <c r="X2501" s="4">
        <v>519.92999999999995</v>
      </c>
      <c r="Y2501" s="7" t="e">
        <f t="shared" ca="1" si="54"/>
        <v>#VALUE!</v>
      </c>
    </row>
    <row r="2502" spans="1:25" ht="15" x14ac:dyDescent="0.25">
      <c r="A2502" s="4">
        <v>2433</v>
      </c>
      <c r="C2502" s="41" t="s">
        <v>4763</v>
      </c>
      <c r="D2502" s="42"/>
      <c r="E2502" s="5" t="str">
        <f t="shared" si="50"/>
        <v>https://www.screener.in/company//consolidated/</v>
      </c>
      <c r="F2502" s="4">
        <v>443059</v>
      </c>
      <c r="G2502" s="4">
        <v>3832241897</v>
      </c>
      <c r="H2502" s="6" t="e">
        <f t="shared" ca="1" si="51"/>
        <v>#VALUE!</v>
      </c>
      <c r="I2502" s="7" t="str">
        <f ca="1">IFERROR(__xludf.DUMMYFUNCTION("IMPORTXML(E2502,""/html/body/main/div[3]/div[3]/div[2]/ul/li[5]/span[2]/span"")"),"Loading...")</f>
        <v>Loading...</v>
      </c>
      <c r="J2502" s="7" t="str">
        <f ca="1">IFERROR(__xludf.DUMMYFUNCTION("GOOGLEFINANCE(""NSE:""&amp;D2502,""marketcap"")"),"#N/A")</f>
        <v>#N/A</v>
      </c>
      <c r="K2502" s="7">
        <v>992.8</v>
      </c>
      <c r="L2502" s="8" t="str">
        <f ca="1">IFERROR(__xludf.DUMMYFUNCTION("GOOGLEFINANCE(""NSE:""&amp;D2502,""price"")"),"#N/A")</f>
        <v>#N/A</v>
      </c>
      <c r="M2502" s="9" t="e">
        <f t="shared" ca="1" si="52"/>
        <v>#VALUE!</v>
      </c>
      <c r="N2502" s="10" t="e">
        <f t="shared" ca="1" si="53"/>
        <v>#VALUE!</v>
      </c>
      <c r="O2502" s="7" t="str">
        <f ca="1">IFERROR(__xludf.DUMMYFUNCTION("GOOGLEFINANCE(""NSE:""&amp;D2502,""pe"")"),"#N/A")</f>
        <v>#N/A</v>
      </c>
      <c r="P2502" s="7" t="str">
        <f ca="1">IFERROR(__xludf.DUMMYFUNCTION("GOOGLEFINANCE(""NSE:""&amp;D2502,""EPS"")"),"#N/A")</f>
        <v>#N/A</v>
      </c>
      <c r="Q2502" s="7">
        <v>13.5</v>
      </c>
      <c r="R2502" s="7" t="str">
        <f ca="1">IFERROR(__xludf.DUMMYFUNCTION("IMPORTXML(E2502,""/html/body/main/div[3]/div[3]/div[2]/ul/li[7]/span[2]/span"")"),"Loading...")</f>
        <v>Loading...</v>
      </c>
      <c r="S2502" s="7" t="str">
        <f ca="1">IFERROR(__xludf.DUMMYFUNCTION("IMPORTXML(E2502,""/html/body/main/div[3]/div[3]/div[2]/ul/li[8]/span[2]/span"")"),"Loading...")</f>
        <v>Loading...</v>
      </c>
      <c r="T2502" s="4">
        <v>34.6</v>
      </c>
      <c r="U2502" s="4">
        <v>22.7</v>
      </c>
      <c r="V2502" s="4">
        <v>2.6</v>
      </c>
      <c r="W2502" s="4">
        <v>5.7</v>
      </c>
      <c r="X2502" s="4">
        <v>519.92999999999995</v>
      </c>
      <c r="Y2502" s="7" t="e">
        <f t="shared" ca="1" si="54"/>
        <v>#VALUE!</v>
      </c>
    </row>
    <row r="2503" spans="1:25" ht="15" x14ac:dyDescent="0.25">
      <c r="A2503" s="4">
        <v>2434</v>
      </c>
      <c r="C2503" s="41" t="s">
        <v>4764</v>
      </c>
      <c r="D2503" s="42"/>
      <c r="E2503" s="5" t="str">
        <f t="shared" si="50"/>
        <v>https://www.screener.in/company//consolidated/</v>
      </c>
      <c r="F2503" s="4">
        <v>443059</v>
      </c>
      <c r="G2503" s="4">
        <v>3832241897</v>
      </c>
      <c r="H2503" s="6" t="e">
        <f t="shared" ca="1" si="51"/>
        <v>#VALUE!</v>
      </c>
      <c r="I2503" s="7" t="str">
        <f ca="1">IFERROR(__xludf.DUMMYFUNCTION("IMPORTXML(E2503,""/html/body/main/div[3]/div[3]/div[2]/ul/li[5]/span[2]/span"")"),"Loading...")</f>
        <v>Loading...</v>
      </c>
      <c r="J2503" s="7" t="str">
        <f ca="1">IFERROR(__xludf.DUMMYFUNCTION("GOOGLEFINANCE(""NSE:""&amp;D2503,""marketcap"")"),"#N/A")</f>
        <v>#N/A</v>
      </c>
      <c r="K2503" s="7">
        <v>992.8</v>
      </c>
      <c r="L2503" s="8" t="str">
        <f ca="1">IFERROR(__xludf.DUMMYFUNCTION("GOOGLEFINANCE(""NSE:""&amp;D2503,""price"")"),"#N/A")</f>
        <v>#N/A</v>
      </c>
      <c r="M2503" s="9" t="e">
        <f t="shared" ca="1" si="52"/>
        <v>#VALUE!</v>
      </c>
      <c r="N2503" s="10" t="e">
        <f t="shared" ca="1" si="53"/>
        <v>#VALUE!</v>
      </c>
      <c r="O2503" s="7" t="str">
        <f ca="1">IFERROR(__xludf.DUMMYFUNCTION("GOOGLEFINANCE(""NSE:""&amp;D2503,""pe"")"),"#N/A")</f>
        <v>#N/A</v>
      </c>
      <c r="P2503" s="7" t="str">
        <f ca="1">IFERROR(__xludf.DUMMYFUNCTION("GOOGLEFINANCE(""NSE:""&amp;D2503,""EPS"")"),"#N/A")</f>
        <v>#N/A</v>
      </c>
      <c r="Q2503" s="7">
        <v>13.5</v>
      </c>
      <c r="R2503" s="7" t="str">
        <f ca="1">IFERROR(__xludf.DUMMYFUNCTION("IMPORTXML(E2503,""/html/body/main/div[3]/div[3]/div[2]/ul/li[7]/span[2]/span"")"),"Loading...")</f>
        <v>Loading...</v>
      </c>
      <c r="S2503" s="7" t="str">
        <f ca="1">IFERROR(__xludf.DUMMYFUNCTION("IMPORTXML(E2503,""/html/body/main/div[3]/div[3]/div[2]/ul/li[8]/span[2]/span"")"),"Loading...")</f>
        <v>Loading...</v>
      </c>
      <c r="T2503" s="4">
        <v>34.6</v>
      </c>
      <c r="U2503" s="4">
        <v>22.7</v>
      </c>
      <c r="V2503" s="4">
        <v>2.6</v>
      </c>
      <c r="W2503" s="4">
        <v>5.7</v>
      </c>
      <c r="X2503" s="4">
        <v>519.92999999999995</v>
      </c>
      <c r="Y2503" s="7" t="e">
        <f t="shared" ca="1" si="54"/>
        <v>#VALUE!</v>
      </c>
    </row>
    <row r="2504" spans="1:25" ht="15" x14ac:dyDescent="0.25">
      <c r="A2504" s="4">
        <v>2435</v>
      </c>
      <c r="C2504" s="41" t="s">
        <v>4765</v>
      </c>
      <c r="D2504" s="42"/>
      <c r="E2504" s="5" t="str">
        <f t="shared" si="50"/>
        <v>https://www.screener.in/company//consolidated/</v>
      </c>
      <c r="F2504" s="4">
        <v>443059</v>
      </c>
      <c r="G2504" s="4">
        <v>3832241897</v>
      </c>
      <c r="H2504" s="6" t="e">
        <f t="shared" ca="1" si="51"/>
        <v>#VALUE!</v>
      </c>
      <c r="I2504" s="7" t="str">
        <f ca="1">IFERROR(__xludf.DUMMYFUNCTION("IMPORTXML(E2504,""/html/body/main/div[3]/div[3]/div[2]/ul/li[5]/span[2]/span"")"),"Loading...")</f>
        <v>Loading...</v>
      </c>
      <c r="J2504" s="7" t="str">
        <f ca="1">IFERROR(__xludf.DUMMYFUNCTION("GOOGLEFINANCE(""NSE:""&amp;D2504,""marketcap"")"),"#N/A")</f>
        <v>#N/A</v>
      </c>
      <c r="K2504" s="7">
        <v>992.8</v>
      </c>
      <c r="L2504" s="8" t="str">
        <f ca="1">IFERROR(__xludf.DUMMYFUNCTION("GOOGLEFINANCE(""NSE:""&amp;D2504,""price"")"),"#N/A")</f>
        <v>#N/A</v>
      </c>
      <c r="M2504" s="9" t="e">
        <f t="shared" ca="1" si="52"/>
        <v>#VALUE!</v>
      </c>
      <c r="N2504" s="10" t="e">
        <f t="shared" ca="1" si="53"/>
        <v>#VALUE!</v>
      </c>
      <c r="O2504" s="7" t="str">
        <f ca="1">IFERROR(__xludf.DUMMYFUNCTION("GOOGLEFINANCE(""NSE:""&amp;D2504,""pe"")"),"#N/A")</f>
        <v>#N/A</v>
      </c>
      <c r="P2504" s="7" t="str">
        <f ca="1">IFERROR(__xludf.DUMMYFUNCTION("GOOGLEFINANCE(""NSE:""&amp;D2504,""EPS"")"),"#N/A")</f>
        <v>#N/A</v>
      </c>
      <c r="Q2504" s="7">
        <v>13.5</v>
      </c>
      <c r="R2504" s="7" t="str">
        <f ca="1">IFERROR(__xludf.DUMMYFUNCTION("IMPORTXML(E2504,""/html/body/main/div[3]/div[3]/div[2]/ul/li[7]/span[2]/span"")"),"Loading...")</f>
        <v>Loading...</v>
      </c>
      <c r="S2504" s="7" t="str">
        <f ca="1">IFERROR(__xludf.DUMMYFUNCTION("IMPORTXML(E2504,""/html/body/main/div[3]/div[3]/div[2]/ul/li[8]/span[2]/span"")"),"Loading...")</f>
        <v>Loading...</v>
      </c>
      <c r="T2504" s="4">
        <v>34.6</v>
      </c>
      <c r="U2504" s="4">
        <v>22.7</v>
      </c>
      <c r="V2504" s="4">
        <v>2.6</v>
      </c>
      <c r="W2504" s="4">
        <v>5.7</v>
      </c>
      <c r="X2504" s="4">
        <v>519.92999999999995</v>
      </c>
      <c r="Y2504" s="7" t="e">
        <f t="shared" ca="1" si="54"/>
        <v>#VALUE!</v>
      </c>
    </row>
    <row r="2505" spans="1:25" ht="15" x14ac:dyDescent="0.25">
      <c r="A2505" s="4">
        <v>2436</v>
      </c>
      <c r="C2505" s="41" t="s">
        <v>4766</v>
      </c>
      <c r="D2505" s="42"/>
      <c r="E2505" s="5" t="str">
        <f t="shared" si="50"/>
        <v>https://www.screener.in/company//consolidated/</v>
      </c>
      <c r="F2505" s="4">
        <v>443059</v>
      </c>
      <c r="G2505" s="4">
        <v>3832241897</v>
      </c>
      <c r="H2505" s="6" t="e">
        <f t="shared" ca="1" si="51"/>
        <v>#VALUE!</v>
      </c>
      <c r="I2505" s="7" t="str">
        <f ca="1">IFERROR(__xludf.DUMMYFUNCTION("IMPORTXML(E2505,""/html/body/main/div[3]/div[3]/div[2]/ul/li[5]/span[2]/span"")"),"Loading...")</f>
        <v>Loading...</v>
      </c>
      <c r="J2505" s="7" t="str">
        <f ca="1">IFERROR(__xludf.DUMMYFUNCTION("GOOGLEFINANCE(""NSE:""&amp;D2505,""marketcap"")"),"#N/A")</f>
        <v>#N/A</v>
      </c>
      <c r="K2505" s="7">
        <v>992.8</v>
      </c>
      <c r="L2505" s="8" t="str">
        <f ca="1">IFERROR(__xludf.DUMMYFUNCTION("GOOGLEFINANCE(""NSE:""&amp;D2505,""price"")"),"#N/A")</f>
        <v>#N/A</v>
      </c>
      <c r="M2505" s="9" t="e">
        <f t="shared" ca="1" si="52"/>
        <v>#VALUE!</v>
      </c>
      <c r="N2505" s="10" t="e">
        <f t="shared" ca="1" si="53"/>
        <v>#VALUE!</v>
      </c>
      <c r="O2505" s="7" t="str">
        <f ca="1">IFERROR(__xludf.DUMMYFUNCTION("GOOGLEFINANCE(""NSE:""&amp;D2505,""pe"")"),"#N/A")</f>
        <v>#N/A</v>
      </c>
      <c r="P2505" s="7" t="str">
        <f ca="1">IFERROR(__xludf.DUMMYFUNCTION("GOOGLEFINANCE(""NSE:""&amp;D2505,""EPS"")"),"#N/A")</f>
        <v>#N/A</v>
      </c>
      <c r="Q2505" s="7">
        <v>13.5</v>
      </c>
      <c r="R2505" s="7" t="str">
        <f ca="1">IFERROR(__xludf.DUMMYFUNCTION("IMPORTXML(E2505,""/html/body/main/div[3]/div[3]/div[2]/ul/li[7]/span[2]/span"")"),"Loading...")</f>
        <v>Loading...</v>
      </c>
      <c r="S2505" s="7" t="str">
        <f ca="1">IFERROR(__xludf.DUMMYFUNCTION("IMPORTXML(E2505,""/html/body/main/div[3]/div[3]/div[2]/ul/li[8]/span[2]/span"")"),"Loading...")</f>
        <v>Loading...</v>
      </c>
      <c r="T2505" s="4">
        <v>34.6</v>
      </c>
      <c r="U2505" s="4">
        <v>22.7</v>
      </c>
      <c r="V2505" s="4">
        <v>2.6</v>
      </c>
      <c r="W2505" s="4">
        <v>5.7</v>
      </c>
      <c r="X2505" s="4">
        <v>519.92999999999995</v>
      </c>
      <c r="Y2505" s="7" t="e">
        <f t="shared" ca="1" si="54"/>
        <v>#VALUE!</v>
      </c>
    </row>
    <row r="2506" spans="1:25" ht="15" x14ac:dyDescent="0.25">
      <c r="A2506" s="4">
        <v>2437</v>
      </c>
      <c r="C2506" s="41" t="s">
        <v>4767</v>
      </c>
      <c r="D2506" s="42"/>
      <c r="E2506" s="5" t="str">
        <f t="shared" si="50"/>
        <v>https://www.screener.in/company//consolidated/</v>
      </c>
      <c r="F2506" s="4">
        <v>443059</v>
      </c>
      <c r="G2506" s="4">
        <v>3832241897</v>
      </c>
      <c r="H2506" s="6" t="e">
        <f t="shared" ca="1" si="51"/>
        <v>#VALUE!</v>
      </c>
      <c r="I2506" s="7" t="str">
        <f ca="1">IFERROR(__xludf.DUMMYFUNCTION("IMPORTXML(E2506,""/html/body/main/div[3]/div[3]/div[2]/ul/li[5]/span[2]/span"")"),"Loading...")</f>
        <v>Loading...</v>
      </c>
      <c r="J2506" s="7" t="str">
        <f ca="1">IFERROR(__xludf.DUMMYFUNCTION("GOOGLEFINANCE(""NSE:""&amp;D2506,""marketcap"")"),"#N/A")</f>
        <v>#N/A</v>
      </c>
      <c r="K2506" s="7">
        <v>992.8</v>
      </c>
      <c r="L2506" s="8" t="str">
        <f ca="1">IFERROR(__xludf.DUMMYFUNCTION("GOOGLEFINANCE(""NSE:""&amp;D2506,""price"")"),"#N/A")</f>
        <v>#N/A</v>
      </c>
      <c r="M2506" s="9" t="e">
        <f t="shared" ca="1" si="52"/>
        <v>#VALUE!</v>
      </c>
      <c r="N2506" s="10" t="e">
        <f t="shared" ca="1" si="53"/>
        <v>#VALUE!</v>
      </c>
      <c r="O2506" s="7" t="str">
        <f ca="1">IFERROR(__xludf.DUMMYFUNCTION("GOOGLEFINANCE(""NSE:""&amp;D2506,""pe"")"),"#N/A")</f>
        <v>#N/A</v>
      </c>
      <c r="P2506" s="7" t="str">
        <f ca="1">IFERROR(__xludf.DUMMYFUNCTION("GOOGLEFINANCE(""NSE:""&amp;D2506,""EPS"")"),"#N/A")</f>
        <v>#N/A</v>
      </c>
      <c r="Q2506" s="7">
        <v>13.5</v>
      </c>
      <c r="R2506" s="7" t="str">
        <f ca="1">IFERROR(__xludf.DUMMYFUNCTION("IMPORTXML(E2506,""/html/body/main/div[3]/div[3]/div[2]/ul/li[7]/span[2]/span"")"),"Loading...")</f>
        <v>Loading...</v>
      </c>
      <c r="S2506" s="7" t="str">
        <f ca="1">IFERROR(__xludf.DUMMYFUNCTION("IMPORTXML(E2506,""/html/body/main/div[3]/div[3]/div[2]/ul/li[8]/span[2]/span"")"),"Loading...")</f>
        <v>Loading...</v>
      </c>
      <c r="T2506" s="4">
        <v>34.6</v>
      </c>
      <c r="U2506" s="4">
        <v>22.7</v>
      </c>
      <c r="V2506" s="4">
        <v>2.6</v>
      </c>
      <c r="W2506" s="4">
        <v>5.7</v>
      </c>
      <c r="X2506" s="4">
        <v>519.92999999999995</v>
      </c>
      <c r="Y2506" s="7" t="e">
        <f t="shared" ca="1" si="54"/>
        <v>#VALUE!</v>
      </c>
    </row>
    <row r="2507" spans="1:25" ht="15" x14ac:dyDescent="0.25">
      <c r="A2507" s="4">
        <v>2438</v>
      </c>
      <c r="C2507" s="12" t="s">
        <v>4768</v>
      </c>
      <c r="D2507" s="37"/>
      <c r="E2507" s="5" t="str">
        <f t="shared" si="50"/>
        <v>https://www.screener.in/company//consolidated/</v>
      </c>
      <c r="F2507" s="4">
        <v>443059</v>
      </c>
      <c r="G2507" s="4">
        <v>3832241897</v>
      </c>
      <c r="H2507" s="6" t="e">
        <f t="shared" ca="1" si="51"/>
        <v>#VALUE!</v>
      </c>
      <c r="I2507" s="7" t="str">
        <f ca="1">IFERROR(__xludf.DUMMYFUNCTION("IMPORTXML(E2507,""/html/body/main/div[3]/div[3]/div[2]/ul/li[5]/span[2]/span"")"),"Loading...")</f>
        <v>Loading...</v>
      </c>
      <c r="J2507" s="7" t="str">
        <f ca="1">IFERROR(__xludf.DUMMYFUNCTION("GOOGLEFINANCE(""NSE:""&amp;D2507,""marketcap"")"),"#N/A")</f>
        <v>#N/A</v>
      </c>
      <c r="K2507" s="7">
        <v>992.8</v>
      </c>
      <c r="L2507" s="8" t="str">
        <f ca="1">IFERROR(__xludf.DUMMYFUNCTION("GOOGLEFINANCE(""NSE:""&amp;D2507,""price"")"),"#N/A")</f>
        <v>#N/A</v>
      </c>
      <c r="M2507" s="9" t="e">
        <f t="shared" ca="1" si="52"/>
        <v>#VALUE!</v>
      </c>
      <c r="N2507" s="10" t="e">
        <f t="shared" ca="1" si="53"/>
        <v>#VALUE!</v>
      </c>
      <c r="O2507" s="7" t="str">
        <f ca="1">IFERROR(__xludf.DUMMYFUNCTION("GOOGLEFINANCE(""NSE:""&amp;D2507,""pe"")"),"#N/A")</f>
        <v>#N/A</v>
      </c>
      <c r="P2507" s="7" t="str">
        <f ca="1">IFERROR(__xludf.DUMMYFUNCTION("GOOGLEFINANCE(""NSE:""&amp;D2507,""EPS"")"),"#N/A")</f>
        <v>#N/A</v>
      </c>
      <c r="Q2507" s="7">
        <v>13.5</v>
      </c>
      <c r="R2507" s="7" t="str">
        <f ca="1">IFERROR(__xludf.DUMMYFUNCTION("IMPORTXML(E2507,""/html/body/main/div[3]/div[3]/div[2]/ul/li[7]/span[2]/span"")"),"Loading...")</f>
        <v>Loading...</v>
      </c>
      <c r="S2507" s="7" t="str">
        <f ca="1">IFERROR(__xludf.DUMMYFUNCTION("IMPORTXML(E2507,""/html/body/main/div[3]/div[3]/div[2]/ul/li[8]/span[2]/span"")"),"Loading...")</f>
        <v>Loading...</v>
      </c>
      <c r="T2507" s="4">
        <v>34.6</v>
      </c>
      <c r="U2507" s="4">
        <v>22.7</v>
      </c>
      <c r="V2507" s="4">
        <v>2.6</v>
      </c>
      <c r="W2507" s="4">
        <v>5.7</v>
      </c>
      <c r="X2507" s="4">
        <v>519.92999999999995</v>
      </c>
      <c r="Y2507" s="7" t="e">
        <f t="shared" ca="1" si="54"/>
        <v>#VALUE!</v>
      </c>
    </row>
    <row r="2508" spans="1:25" ht="15" x14ac:dyDescent="0.25">
      <c r="A2508" s="4">
        <v>2439</v>
      </c>
      <c r="C2508" s="41" t="s">
        <v>4769</v>
      </c>
      <c r="D2508" s="42"/>
      <c r="E2508" s="5" t="str">
        <f t="shared" si="50"/>
        <v>https://www.screener.in/company//consolidated/</v>
      </c>
      <c r="F2508" s="4">
        <v>443059</v>
      </c>
      <c r="G2508" s="4">
        <v>3832241897</v>
      </c>
      <c r="H2508" s="6" t="e">
        <f t="shared" ca="1" si="51"/>
        <v>#VALUE!</v>
      </c>
      <c r="I2508" s="7" t="str">
        <f ca="1">IFERROR(__xludf.DUMMYFUNCTION("IMPORTXML(E2508,""/html/body/main/div[3]/div[3]/div[2]/ul/li[5]/span[2]/span"")"),"Loading...")</f>
        <v>Loading...</v>
      </c>
      <c r="J2508" s="7" t="str">
        <f ca="1">IFERROR(__xludf.DUMMYFUNCTION("GOOGLEFINANCE(""NSE:""&amp;D2508,""marketcap"")"),"#N/A")</f>
        <v>#N/A</v>
      </c>
      <c r="K2508" s="7">
        <v>992.8</v>
      </c>
      <c r="L2508" s="8" t="str">
        <f ca="1">IFERROR(__xludf.DUMMYFUNCTION("GOOGLEFINANCE(""NSE:""&amp;D2508,""price"")"),"#N/A")</f>
        <v>#N/A</v>
      </c>
      <c r="M2508" s="9" t="e">
        <f t="shared" ca="1" si="52"/>
        <v>#VALUE!</v>
      </c>
      <c r="N2508" s="10" t="e">
        <f t="shared" ca="1" si="53"/>
        <v>#VALUE!</v>
      </c>
      <c r="O2508" s="7" t="str">
        <f ca="1">IFERROR(__xludf.DUMMYFUNCTION("GOOGLEFINANCE(""NSE:""&amp;D2508,""pe"")"),"#N/A")</f>
        <v>#N/A</v>
      </c>
      <c r="P2508" s="7" t="str">
        <f ca="1">IFERROR(__xludf.DUMMYFUNCTION("GOOGLEFINANCE(""NSE:""&amp;D2508,""EPS"")"),"#N/A")</f>
        <v>#N/A</v>
      </c>
      <c r="Q2508" s="7">
        <v>13.5</v>
      </c>
      <c r="R2508" s="7" t="str">
        <f ca="1">IFERROR(__xludf.DUMMYFUNCTION("IMPORTXML(E2508,""/html/body/main/div[3]/div[3]/div[2]/ul/li[7]/span[2]/span"")"),"Loading...")</f>
        <v>Loading...</v>
      </c>
      <c r="S2508" s="7" t="str">
        <f ca="1">IFERROR(__xludf.DUMMYFUNCTION("IMPORTXML(E2508,""/html/body/main/div[3]/div[3]/div[2]/ul/li[8]/span[2]/span"")"),"Loading...")</f>
        <v>Loading...</v>
      </c>
      <c r="T2508" s="4">
        <v>34.6</v>
      </c>
      <c r="U2508" s="4">
        <v>22.7</v>
      </c>
      <c r="V2508" s="4">
        <v>2.6</v>
      </c>
      <c r="W2508" s="4">
        <v>5.7</v>
      </c>
      <c r="X2508" s="4">
        <v>519.92999999999995</v>
      </c>
      <c r="Y2508" s="7" t="e">
        <f t="shared" ca="1" si="54"/>
        <v>#VALUE!</v>
      </c>
    </row>
    <row r="2509" spans="1:25" ht="15" x14ac:dyDescent="0.25">
      <c r="A2509" s="4">
        <v>2440</v>
      </c>
      <c r="C2509" s="41" t="s">
        <v>4770</v>
      </c>
      <c r="D2509" s="42"/>
      <c r="E2509" s="5" t="str">
        <f t="shared" si="50"/>
        <v>https://www.screener.in/company//consolidated/</v>
      </c>
      <c r="F2509" s="4">
        <v>443059</v>
      </c>
      <c r="G2509" s="4">
        <v>3832241897</v>
      </c>
      <c r="H2509" s="6" t="e">
        <f t="shared" ca="1" si="51"/>
        <v>#VALUE!</v>
      </c>
      <c r="I2509" s="7" t="str">
        <f ca="1">IFERROR(__xludf.DUMMYFUNCTION("IMPORTXML(E2509,""/html/body/main/div[3]/div[3]/div[2]/ul/li[5]/span[2]/span"")"),"Loading...")</f>
        <v>Loading...</v>
      </c>
      <c r="J2509" s="7" t="str">
        <f ca="1">IFERROR(__xludf.DUMMYFUNCTION("GOOGLEFINANCE(""NSE:""&amp;D2509,""marketcap"")"),"#N/A")</f>
        <v>#N/A</v>
      </c>
      <c r="K2509" s="7">
        <v>992.8</v>
      </c>
      <c r="L2509" s="8" t="str">
        <f ca="1">IFERROR(__xludf.DUMMYFUNCTION("GOOGLEFINANCE(""NSE:""&amp;D2509,""price"")"),"#N/A")</f>
        <v>#N/A</v>
      </c>
      <c r="M2509" s="9" t="e">
        <f t="shared" ca="1" si="52"/>
        <v>#VALUE!</v>
      </c>
      <c r="N2509" s="10" t="e">
        <f t="shared" ca="1" si="53"/>
        <v>#VALUE!</v>
      </c>
      <c r="O2509" s="7" t="str">
        <f ca="1">IFERROR(__xludf.DUMMYFUNCTION("GOOGLEFINANCE(""NSE:""&amp;D2509,""pe"")"),"#N/A")</f>
        <v>#N/A</v>
      </c>
      <c r="P2509" s="7" t="str">
        <f ca="1">IFERROR(__xludf.DUMMYFUNCTION("GOOGLEFINANCE(""NSE:""&amp;D2509,""EPS"")"),"#N/A")</f>
        <v>#N/A</v>
      </c>
      <c r="Q2509" s="7">
        <v>13.5</v>
      </c>
      <c r="R2509" s="7" t="str">
        <f ca="1">IFERROR(__xludf.DUMMYFUNCTION("IMPORTXML(E2509,""/html/body/main/div[3]/div[3]/div[2]/ul/li[7]/span[2]/span"")"),"Loading...")</f>
        <v>Loading...</v>
      </c>
      <c r="S2509" s="7" t="str">
        <f ca="1">IFERROR(__xludf.DUMMYFUNCTION("IMPORTXML(E2509,""/html/body/main/div[3]/div[3]/div[2]/ul/li[8]/span[2]/span"")"),"Loading...")</f>
        <v>Loading...</v>
      </c>
      <c r="T2509" s="4">
        <v>34.6</v>
      </c>
      <c r="U2509" s="4">
        <v>22.7</v>
      </c>
      <c r="V2509" s="4">
        <v>2.6</v>
      </c>
      <c r="W2509" s="4">
        <v>5.7</v>
      </c>
      <c r="X2509" s="4">
        <v>519.92999999999995</v>
      </c>
      <c r="Y2509" s="7" t="e">
        <f t="shared" ca="1" si="54"/>
        <v>#VALUE!</v>
      </c>
    </row>
    <row r="2510" spans="1:25" ht="15" x14ac:dyDescent="0.25">
      <c r="A2510" s="4">
        <v>2441</v>
      </c>
      <c r="C2510" s="41" t="s">
        <v>4771</v>
      </c>
      <c r="D2510" s="42"/>
      <c r="E2510" s="5" t="str">
        <f t="shared" si="50"/>
        <v>https://www.screener.in/company//consolidated/</v>
      </c>
      <c r="F2510" s="4">
        <v>443059</v>
      </c>
      <c r="G2510" s="4">
        <v>3832241897</v>
      </c>
      <c r="H2510" s="6" t="e">
        <f t="shared" ca="1" si="51"/>
        <v>#VALUE!</v>
      </c>
      <c r="I2510" s="7" t="str">
        <f ca="1">IFERROR(__xludf.DUMMYFUNCTION("IMPORTXML(E2510,""/html/body/main/div[3]/div[3]/div[2]/ul/li[5]/span[2]/span"")"),"Loading...")</f>
        <v>Loading...</v>
      </c>
      <c r="J2510" s="7" t="str">
        <f ca="1">IFERROR(__xludf.DUMMYFUNCTION("GOOGLEFINANCE(""NSE:""&amp;D2510,""marketcap"")"),"#N/A")</f>
        <v>#N/A</v>
      </c>
      <c r="K2510" s="7">
        <v>992.8</v>
      </c>
      <c r="L2510" s="8" t="str">
        <f ca="1">IFERROR(__xludf.DUMMYFUNCTION("GOOGLEFINANCE(""NSE:""&amp;D2510,""price"")"),"#N/A")</f>
        <v>#N/A</v>
      </c>
      <c r="M2510" s="9" t="e">
        <f t="shared" ca="1" si="52"/>
        <v>#VALUE!</v>
      </c>
      <c r="N2510" s="10" t="e">
        <f t="shared" ca="1" si="53"/>
        <v>#VALUE!</v>
      </c>
      <c r="O2510" s="7" t="str">
        <f ca="1">IFERROR(__xludf.DUMMYFUNCTION("GOOGLEFINANCE(""NSE:""&amp;D2510,""pe"")"),"#N/A")</f>
        <v>#N/A</v>
      </c>
      <c r="P2510" s="7" t="str">
        <f ca="1">IFERROR(__xludf.DUMMYFUNCTION("GOOGLEFINANCE(""NSE:""&amp;D2510,""EPS"")"),"#N/A")</f>
        <v>#N/A</v>
      </c>
      <c r="Q2510" s="7">
        <v>13.5</v>
      </c>
      <c r="R2510" s="7" t="str">
        <f ca="1">IFERROR(__xludf.DUMMYFUNCTION("IMPORTXML(E2510,""/html/body/main/div[3]/div[3]/div[2]/ul/li[7]/span[2]/span"")"),"Loading...")</f>
        <v>Loading...</v>
      </c>
      <c r="S2510" s="7" t="str">
        <f ca="1">IFERROR(__xludf.DUMMYFUNCTION("IMPORTXML(E2510,""/html/body/main/div[3]/div[3]/div[2]/ul/li[8]/span[2]/span"")"),"Loading...")</f>
        <v>Loading...</v>
      </c>
      <c r="T2510" s="4">
        <v>34.6</v>
      </c>
      <c r="U2510" s="4">
        <v>22.7</v>
      </c>
      <c r="V2510" s="4">
        <v>2.6</v>
      </c>
      <c r="W2510" s="4">
        <v>5.7</v>
      </c>
      <c r="X2510" s="4">
        <v>519.92999999999995</v>
      </c>
      <c r="Y2510" s="7" t="e">
        <f t="shared" ca="1" si="54"/>
        <v>#VALUE!</v>
      </c>
    </row>
    <row r="2511" spans="1:25" ht="15" x14ac:dyDescent="0.25">
      <c r="A2511" s="4">
        <v>2442</v>
      </c>
      <c r="C2511" s="12" t="s">
        <v>4772</v>
      </c>
      <c r="D2511" s="12" t="s">
        <v>4773</v>
      </c>
      <c r="E2511" s="5" t="str">
        <f t="shared" si="50"/>
        <v>https://www.screener.in/company/HECPROJECT/consolidated/</v>
      </c>
      <c r="F2511" s="4">
        <v>443059</v>
      </c>
      <c r="G2511" s="4">
        <v>3832241897</v>
      </c>
      <c r="H2511" s="6">
        <f t="shared" ca="1" si="51"/>
        <v>60545.589730703003</v>
      </c>
      <c r="I2511" s="7" t="str">
        <f ca="1">IFERROR(__xludf.DUMMYFUNCTION("IMPORTXML(E2511,""/html/body/main/div[3]/div[3]/div[2]/ul/li[5]/span[2]/span"")"),"Loading...")</f>
        <v>Loading...</v>
      </c>
      <c r="J2511" s="7">
        <f ca="1">IFERROR(__xludf.DUMMYFUNCTION("GOOGLEFINANCE(""NSE:""&amp;D2511,""marketcap"")"),1667884000)</f>
        <v>1667884000</v>
      </c>
      <c r="K2511" s="7">
        <v>992.8</v>
      </c>
      <c r="L2511" s="8">
        <f ca="1">IFERROR(__xludf.DUMMYFUNCTION("GOOGLEFINANCE(""NSE:""&amp;D2511,""price"")"),157.99)</f>
        <v>157.99</v>
      </c>
      <c r="M2511" s="9">
        <f t="shared" ca="1" si="52"/>
        <v>-834.81</v>
      </c>
      <c r="N2511" s="10">
        <f t="shared" ca="1" si="53"/>
        <v>-84.086422240128925</v>
      </c>
      <c r="O2511" s="7" t="str">
        <f ca="1">IFERROR(__xludf.DUMMYFUNCTION("GOOGLEFINANCE(""NSE:""&amp;D2511,""pe"")"),"#N/A")</f>
        <v>#N/A</v>
      </c>
      <c r="P2511" s="7" t="str">
        <f ca="1">IFERROR(__xludf.DUMMYFUNCTION("GOOGLEFINANCE(""NSE:""&amp;D2511,""EPS"")"),"#N/A")</f>
        <v>#N/A</v>
      </c>
      <c r="Q2511" s="7">
        <v>13.5</v>
      </c>
      <c r="R2511" s="7" t="str">
        <f ca="1">IFERROR(__xludf.DUMMYFUNCTION("IMPORTXML(E2511,""/html/body/main/div[3]/div[3]/div[2]/ul/li[7]/span[2]/span"")"),"Loading...")</f>
        <v>Loading...</v>
      </c>
      <c r="S2511" s="7" t="str">
        <f ca="1">IFERROR(__xludf.DUMMYFUNCTION("IMPORTXML(E2511,""/html/body/main/div[3]/div[3]/div[2]/ul/li[8]/span[2]/span"")"),"Loading...")</f>
        <v>Loading...</v>
      </c>
      <c r="T2511" s="4">
        <v>34.6</v>
      </c>
      <c r="U2511" s="4">
        <v>22.7</v>
      </c>
      <c r="V2511" s="4">
        <v>2.6</v>
      </c>
      <c r="W2511" s="4">
        <v>5.7</v>
      </c>
      <c r="X2511" s="4">
        <v>519.92999999999995</v>
      </c>
      <c r="Y2511" s="7">
        <f t="shared" ca="1" si="54"/>
        <v>-361.93999999999994</v>
      </c>
    </row>
    <row r="2512" spans="1:25" ht="15" x14ac:dyDescent="0.25">
      <c r="A2512" s="4">
        <v>2443</v>
      </c>
      <c r="C2512" s="41" t="s">
        <v>4774</v>
      </c>
      <c r="D2512" s="42"/>
      <c r="E2512" s="5" t="str">
        <f t="shared" si="50"/>
        <v>https://www.screener.in/company//consolidated/</v>
      </c>
      <c r="F2512" s="4">
        <v>443059</v>
      </c>
      <c r="G2512" s="4">
        <v>3832241897</v>
      </c>
      <c r="H2512" s="6" t="e">
        <f t="shared" ca="1" si="51"/>
        <v>#VALUE!</v>
      </c>
      <c r="I2512" s="7" t="str">
        <f ca="1">IFERROR(__xludf.DUMMYFUNCTION("IMPORTXML(E2512,""/html/body/main/div[3]/div[3]/div[2]/ul/li[5]/span[2]/span"")"),"Loading...")</f>
        <v>Loading...</v>
      </c>
      <c r="J2512" s="7" t="str">
        <f ca="1">IFERROR(__xludf.DUMMYFUNCTION("GOOGLEFINANCE(""NSE:""&amp;D2512,""marketcap"")"),"#N/A")</f>
        <v>#N/A</v>
      </c>
      <c r="K2512" s="7">
        <v>992.8</v>
      </c>
      <c r="L2512" s="8" t="str">
        <f ca="1">IFERROR(__xludf.DUMMYFUNCTION("GOOGLEFINANCE(""NSE:""&amp;D2512,""price"")"),"#N/A")</f>
        <v>#N/A</v>
      </c>
      <c r="M2512" s="9" t="e">
        <f t="shared" ca="1" si="52"/>
        <v>#VALUE!</v>
      </c>
      <c r="N2512" s="10" t="e">
        <f t="shared" ca="1" si="53"/>
        <v>#VALUE!</v>
      </c>
      <c r="O2512" s="7" t="str">
        <f ca="1">IFERROR(__xludf.DUMMYFUNCTION("GOOGLEFINANCE(""NSE:""&amp;D2512,""pe"")"),"#N/A")</f>
        <v>#N/A</v>
      </c>
      <c r="P2512" s="7" t="str">
        <f ca="1">IFERROR(__xludf.DUMMYFUNCTION("GOOGLEFINANCE(""NSE:""&amp;D2512,""EPS"")"),"#N/A")</f>
        <v>#N/A</v>
      </c>
      <c r="Q2512" s="7">
        <v>13.5</v>
      </c>
      <c r="R2512" s="7" t="str">
        <f ca="1">IFERROR(__xludf.DUMMYFUNCTION("IMPORTXML(E2512,""/html/body/main/div[3]/div[3]/div[2]/ul/li[7]/span[2]/span"")"),"Loading...")</f>
        <v>Loading...</v>
      </c>
      <c r="S2512" s="7" t="str">
        <f ca="1">IFERROR(__xludf.DUMMYFUNCTION("IMPORTXML(E2512,""/html/body/main/div[3]/div[3]/div[2]/ul/li[8]/span[2]/span"")"),"Loading...")</f>
        <v>Loading...</v>
      </c>
      <c r="T2512" s="4">
        <v>34.6</v>
      </c>
      <c r="U2512" s="4">
        <v>22.7</v>
      </c>
      <c r="V2512" s="4">
        <v>2.6</v>
      </c>
      <c r="W2512" s="4">
        <v>5.7</v>
      </c>
      <c r="X2512" s="4">
        <v>519.92999999999995</v>
      </c>
      <c r="Y2512" s="7" t="e">
        <f t="shared" ca="1" si="54"/>
        <v>#VALUE!</v>
      </c>
    </row>
    <row r="2513" spans="1:25" ht="15" x14ac:dyDescent="0.25">
      <c r="A2513" s="4">
        <v>2444</v>
      </c>
      <c r="C2513" s="41" t="s">
        <v>4775</v>
      </c>
      <c r="D2513" s="42"/>
      <c r="E2513" s="5" t="str">
        <f t="shared" si="50"/>
        <v>https://www.screener.in/company//consolidated/</v>
      </c>
      <c r="F2513" s="4">
        <v>443059</v>
      </c>
      <c r="G2513" s="4">
        <v>3832241897</v>
      </c>
      <c r="H2513" s="6" t="e">
        <f t="shared" ca="1" si="51"/>
        <v>#VALUE!</v>
      </c>
      <c r="I2513" s="7" t="str">
        <f ca="1">IFERROR(__xludf.DUMMYFUNCTION("IMPORTXML(E2513,""/html/body/main/div[3]/div[3]/div[2]/ul/li[5]/span[2]/span"")"),"Loading...")</f>
        <v>Loading...</v>
      </c>
      <c r="J2513" s="7" t="str">
        <f ca="1">IFERROR(__xludf.DUMMYFUNCTION("GOOGLEFINANCE(""NSE:""&amp;D2513,""marketcap"")"),"#N/A")</f>
        <v>#N/A</v>
      </c>
      <c r="K2513" s="7">
        <v>992.8</v>
      </c>
      <c r="L2513" s="8" t="str">
        <f ca="1">IFERROR(__xludf.DUMMYFUNCTION("GOOGLEFINANCE(""NSE:""&amp;D2513,""price"")"),"#N/A")</f>
        <v>#N/A</v>
      </c>
      <c r="M2513" s="9" t="e">
        <f t="shared" ca="1" si="52"/>
        <v>#VALUE!</v>
      </c>
      <c r="N2513" s="10" t="e">
        <f t="shared" ca="1" si="53"/>
        <v>#VALUE!</v>
      </c>
      <c r="O2513" s="7" t="str">
        <f ca="1">IFERROR(__xludf.DUMMYFUNCTION("GOOGLEFINANCE(""NSE:""&amp;D2513,""pe"")"),"#N/A")</f>
        <v>#N/A</v>
      </c>
      <c r="P2513" s="7" t="str">
        <f ca="1">IFERROR(__xludf.DUMMYFUNCTION("GOOGLEFINANCE(""NSE:""&amp;D2513,""EPS"")"),"#N/A")</f>
        <v>#N/A</v>
      </c>
      <c r="Q2513" s="7">
        <v>13.5</v>
      </c>
      <c r="R2513" s="7" t="str">
        <f ca="1">IFERROR(__xludf.DUMMYFUNCTION("IMPORTXML(E2513,""/html/body/main/div[3]/div[3]/div[2]/ul/li[7]/span[2]/span"")"),"Loading...")</f>
        <v>Loading...</v>
      </c>
      <c r="S2513" s="7" t="str">
        <f ca="1">IFERROR(__xludf.DUMMYFUNCTION("IMPORTXML(E2513,""/html/body/main/div[3]/div[3]/div[2]/ul/li[8]/span[2]/span"")"),"Loading...")</f>
        <v>Loading...</v>
      </c>
      <c r="T2513" s="4">
        <v>34.6</v>
      </c>
      <c r="U2513" s="4">
        <v>22.7</v>
      </c>
      <c r="V2513" s="4">
        <v>2.6</v>
      </c>
      <c r="W2513" s="4">
        <v>5.7</v>
      </c>
      <c r="X2513" s="4">
        <v>519.92999999999995</v>
      </c>
      <c r="Y2513" s="7" t="e">
        <f t="shared" ca="1" si="54"/>
        <v>#VALUE!</v>
      </c>
    </row>
    <row r="2514" spans="1:25" ht="15" x14ac:dyDescent="0.25">
      <c r="A2514" s="4">
        <v>2445</v>
      </c>
      <c r="C2514" s="41" t="s">
        <v>4776</v>
      </c>
      <c r="D2514" s="42"/>
      <c r="E2514" s="5" t="str">
        <f t="shared" si="50"/>
        <v>https://www.screener.in/company//consolidated/</v>
      </c>
      <c r="F2514" s="4">
        <v>443059</v>
      </c>
      <c r="G2514" s="4">
        <v>3832241897</v>
      </c>
      <c r="H2514" s="6" t="e">
        <f t="shared" ca="1" si="51"/>
        <v>#VALUE!</v>
      </c>
      <c r="I2514" s="7" t="str">
        <f ca="1">IFERROR(__xludf.DUMMYFUNCTION("IMPORTXML(E2514,""/html/body/main/div[3]/div[3]/div[2]/ul/li[5]/span[2]/span"")"),"Loading...")</f>
        <v>Loading...</v>
      </c>
      <c r="J2514" s="7" t="str">
        <f ca="1">IFERROR(__xludf.DUMMYFUNCTION("GOOGLEFINANCE(""NSE:""&amp;D2514,""marketcap"")"),"#N/A")</f>
        <v>#N/A</v>
      </c>
      <c r="K2514" s="7">
        <v>992.8</v>
      </c>
      <c r="L2514" s="8" t="str">
        <f ca="1">IFERROR(__xludf.DUMMYFUNCTION("GOOGLEFINANCE(""NSE:""&amp;D2514,""price"")"),"#N/A")</f>
        <v>#N/A</v>
      </c>
      <c r="M2514" s="9" t="e">
        <f t="shared" ca="1" si="52"/>
        <v>#VALUE!</v>
      </c>
      <c r="N2514" s="10" t="e">
        <f t="shared" ca="1" si="53"/>
        <v>#VALUE!</v>
      </c>
      <c r="O2514" s="7" t="str">
        <f ca="1">IFERROR(__xludf.DUMMYFUNCTION("GOOGLEFINANCE(""NSE:""&amp;D2514,""pe"")"),"#N/A")</f>
        <v>#N/A</v>
      </c>
      <c r="P2514" s="7" t="str">
        <f ca="1">IFERROR(__xludf.DUMMYFUNCTION("GOOGLEFINANCE(""NSE:""&amp;D2514,""EPS"")"),"#N/A")</f>
        <v>#N/A</v>
      </c>
      <c r="Q2514" s="7">
        <v>13.5</v>
      </c>
      <c r="R2514" s="7" t="str">
        <f ca="1">IFERROR(__xludf.DUMMYFUNCTION("IMPORTXML(E2514,""/html/body/main/div[3]/div[3]/div[2]/ul/li[7]/span[2]/span"")"),"Loading...")</f>
        <v>Loading...</v>
      </c>
      <c r="S2514" s="7" t="str">
        <f ca="1">IFERROR(__xludf.DUMMYFUNCTION("IMPORTXML(E2514,""/html/body/main/div[3]/div[3]/div[2]/ul/li[8]/span[2]/span"")"),"Loading...")</f>
        <v>Loading...</v>
      </c>
      <c r="T2514" s="4">
        <v>34.6</v>
      </c>
      <c r="U2514" s="4">
        <v>22.7</v>
      </c>
      <c r="V2514" s="4">
        <v>2.6</v>
      </c>
      <c r="W2514" s="4">
        <v>5.7</v>
      </c>
      <c r="X2514" s="4">
        <v>519.92999999999995</v>
      </c>
      <c r="Y2514" s="7" t="e">
        <f t="shared" ca="1" si="54"/>
        <v>#VALUE!</v>
      </c>
    </row>
    <row r="2515" spans="1:25" ht="15" x14ac:dyDescent="0.25">
      <c r="A2515" s="4">
        <v>2446</v>
      </c>
      <c r="C2515" s="41" t="s">
        <v>4777</v>
      </c>
      <c r="D2515" s="42"/>
      <c r="E2515" s="5" t="str">
        <f t="shared" si="50"/>
        <v>https://www.screener.in/company//consolidated/</v>
      </c>
      <c r="F2515" s="4">
        <v>443059</v>
      </c>
      <c r="G2515" s="4">
        <v>3832241897</v>
      </c>
      <c r="H2515" s="6" t="e">
        <f t="shared" ca="1" si="51"/>
        <v>#VALUE!</v>
      </c>
      <c r="I2515" s="7" t="str">
        <f ca="1">IFERROR(__xludf.DUMMYFUNCTION("IMPORTXML(E2515,""/html/body/main/div[3]/div[3]/div[2]/ul/li[5]/span[2]/span"")"),"Loading...")</f>
        <v>Loading...</v>
      </c>
      <c r="J2515" s="7" t="str">
        <f ca="1">IFERROR(__xludf.DUMMYFUNCTION("GOOGLEFINANCE(""NSE:""&amp;D2515,""marketcap"")"),"#N/A")</f>
        <v>#N/A</v>
      </c>
      <c r="K2515" s="7">
        <v>992.8</v>
      </c>
      <c r="L2515" s="8" t="str">
        <f ca="1">IFERROR(__xludf.DUMMYFUNCTION("GOOGLEFINANCE(""NSE:""&amp;D2515,""price"")"),"#N/A")</f>
        <v>#N/A</v>
      </c>
      <c r="M2515" s="9" t="e">
        <f t="shared" ca="1" si="52"/>
        <v>#VALUE!</v>
      </c>
      <c r="N2515" s="10" t="e">
        <f t="shared" ca="1" si="53"/>
        <v>#VALUE!</v>
      </c>
      <c r="O2515" s="7" t="str">
        <f ca="1">IFERROR(__xludf.DUMMYFUNCTION("GOOGLEFINANCE(""NSE:""&amp;D2515,""pe"")"),"#N/A")</f>
        <v>#N/A</v>
      </c>
      <c r="P2515" s="7" t="str">
        <f ca="1">IFERROR(__xludf.DUMMYFUNCTION("GOOGLEFINANCE(""NSE:""&amp;D2515,""EPS"")"),"#N/A")</f>
        <v>#N/A</v>
      </c>
      <c r="Q2515" s="7">
        <v>13.5</v>
      </c>
      <c r="R2515" s="7" t="str">
        <f ca="1">IFERROR(__xludf.DUMMYFUNCTION("IMPORTXML(E2515,""/html/body/main/div[3]/div[3]/div[2]/ul/li[7]/span[2]/span"")"),"Loading...")</f>
        <v>Loading...</v>
      </c>
      <c r="S2515" s="7" t="str">
        <f ca="1">IFERROR(__xludf.DUMMYFUNCTION("IMPORTXML(E2515,""/html/body/main/div[3]/div[3]/div[2]/ul/li[8]/span[2]/span"")"),"Loading...")</f>
        <v>Loading...</v>
      </c>
      <c r="T2515" s="4">
        <v>34.6</v>
      </c>
      <c r="U2515" s="4">
        <v>22.7</v>
      </c>
      <c r="V2515" s="4">
        <v>2.6</v>
      </c>
      <c r="W2515" s="4">
        <v>5.7</v>
      </c>
      <c r="X2515" s="4">
        <v>519.92999999999995</v>
      </c>
      <c r="Y2515" s="7" t="e">
        <f t="shared" ca="1" si="54"/>
        <v>#VALUE!</v>
      </c>
    </row>
    <row r="2516" spans="1:25" ht="15" x14ac:dyDescent="0.25">
      <c r="A2516" s="4">
        <v>2447</v>
      </c>
      <c r="C2516" s="41" t="s">
        <v>4778</v>
      </c>
      <c r="D2516" s="42"/>
      <c r="E2516" s="5" t="str">
        <f t="shared" si="50"/>
        <v>https://www.screener.in/company//consolidated/</v>
      </c>
      <c r="F2516" s="4">
        <v>443059</v>
      </c>
      <c r="G2516" s="4">
        <v>3832241897</v>
      </c>
      <c r="H2516" s="6" t="e">
        <f t="shared" ca="1" si="51"/>
        <v>#VALUE!</v>
      </c>
      <c r="I2516" s="7" t="str">
        <f ca="1">IFERROR(__xludf.DUMMYFUNCTION("IMPORTXML(E2516,""/html/body/main/div[3]/div[3]/div[2]/ul/li[5]/span[2]/span"")"),"Loading...")</f>
        <v>Loading...</v>
      </c>
      <c r="J2516" s="7" t="str">
        <f ca="1">IFERROR(__xludf.DUMMYFUNCTION("GOOGLEFINANCE(""NSE:""&amp;D2516,""marketcap"")"),"#N/A")</f>
        <v>#N/A</v>
      </c>
      <c r="K2516" s="7">
        <v>992.8</v>
      </c>
      <c r="L2516" s="8" t="str">
        <f ca="1">IFERROR(__xludf.DUMMYFUNCTION("GOOGLEFINANCE(""NSE:""&amp;D2516,""price"")"),"#N/A")</f>
        <v>#N/A</v>
      </c>
      <c r="M2516" s="9" t="e">
        <f t="shared" ca="1" si="52"/>
        <v>#VALUE!</v>
      </c>
      <c r="N2516" s="10" t="e">
        <f t="shared" ca="1" si="53"/>
        <v>#VALUE!</v>
      </c>
      <c r="O2516" s="7" t="str">
        <f ca="1">IFERROR(__xludf.DUMMYFUNCTION("GOOGLEFINANCE(""NSE:""&amp;D2516,""pe"")"),"#N/A")</f>
        <v>#N/A</v>
      </c>
      <c r="P2516" s="7" t="str">
        <f ca="1">IFERROR(__xludf.DUMMYFUNCTION("GOOGLEFINANCE(""NSE:""&amp;D2516,""EPS"")"),"#N/A")</f>
        <v>#N/A</v>
      </c>
      <c r="Q2516" s="7">
        <v>13.5</v>
      </c>
      <c r="R2516" s="7" t="str">
        <f ca="1">IFERROR(__xludf.DUMMYFUNCTION("IMPORTXML(E2516,""/html/body/main/div[3]/div[3]/div[2]/ul/li[7]/span[2]/span"")"),"Loading...")</f>
        <v>Loading...</v>
      </c>
      <c r="S2516" s="7" t="str">
        <f ca="1">IFERROR(__xludf.DUMMYFUNCTION("IMPORTXML(E2516,""/html/body/main/div[3]/div[3]/div[2]/ul/li[8]/span[2]/span"")"),"Loading...")</f>
        <v>Loading...</v>
      </c>
      <c r="T2516" s="4">
        <v>34.6</v>
      </c>
      <c r="U2516" s="4">
        <v>22.7</v>
      </c>
      <c r="V2516" s="4">
        <v>2.6</v>
      </c>
      <c r="W2516" s="4">
        <v>5.7</v>
      </c>
      <c r="X2516" s="4">
        <v>519.92999999999995</v>
      </c>
      <c r="Y2516" s="7" t="e">
        <f t="shared" ca="1" si="54"/>
        <v>#VALUE!</v>
      </c>
    </row>
    <row r="2517" spans="1:25" ht="15" x14ac:dyDescent="0.25">
      <c r="A2517" s="4">
        <v>2448</v>
      </c>
      <c r="C2517" s="41" t="s">
        <v>4779</v>
      </c>
      <c r="D2517" s="42"/>
      <c r="E2517" s="5" t="str">
        <f t="shared" si="50"/>
        <v>https://www.screener.in/company//consolidated/</v>
      </c>
      <c r="F2517" s="4">
        <v>443059</v>
      </c>
      <c r="G2517" s="4">
        <v>3832241897</v>
      </c>
      <c r="H2517" s="6" t="e">
        <f t="shared" ca="1" si="51"/>
        <v>#VALUE!</v>
      </c>
      <c r="I2517" s="7" t="str">
        <f ca="1">IFERROR(__xludf.DUMMYFUNCTION("IMPORTXML(E2517,""/html/body/main/div[3]/div[3]/div[2]/ul/li[5]/span[2]/span"")"),"Loading...")</f>
        <v>Loading...</v>
      </c>
      <c r="J2517" s="7" t="str">
        <f ca="1">IFERROR(__xludf.DUMMYFUNCTION("GOOGLEFINANCE(""NSE:""&amp;D2517,""marketcap"")"),"#N/A")</f>
        <v>#N/A</v>
      </c>
      <c r="K2517" s="7">
        <v>992.8</v>
      </c>
      <c r="L2517" s="8" t="str">
        <f ca="1">IFERROR(__xludf.DUMMYFUNCTION("GOOGLEFINANCE(""NSE:""&amp;D2517,""price"")"),"#N/A")</f>
        <v>#N/A</v>
      </c>
      <c r="M2517" s="9" t="e">
        <f t="shared" ca="1" si="52"/>
        <v>#VALUE!</v>
      </c>
      <c r="N2517" s="10" t="e">
        <f t="shared" ca="1" si="53"/>
        <v>#VALUE!</v>
      </c>
      <c r="O2517" s="7" t="str">
        <f ca="1">IFERROR(__xludf.DUMMYFUNCTION("GOOGLEFINANCE(""NSE:""&amp;D2517,""pe"")"),"#N/A")</f>
        <v>#N/A</v>
      </c>
      <c r="P2517" s="7" t="str">
        <f ca="1">IFERROR(__xludf.DUMMYFUNCTION("GOOGLEFINANCE(""NSE:""&amp;D2517,""EPS"")"),"#N/A")</f>
        <v>#N/A</v>
      </c>
      <c r="Q2517" s="7">
        <v>13.5</v>
      </c>
      <c r="R2517" s="7" t="str">
        <f ca="1">IFERROR(__xludf.DUMMYFUNCTION("IMPORTXML(E2517,""/html/body/main/div[3]/div[3]/div[2]/ul/li[7]/span[2]/span"")"),"Loading...")</f>
        <v>Loading...</v>
      </c>
      <c r="S2517" s="7" t="str">
        <f ca="1">IFERROR(__xludf.DUMMYFUNCTION("IMPORTXML(E2517,""/html/body/main/div[3]/div[3]/div[2]/ul/li[8]/span[2]/span"")"),"Loading...")</f>
        <v>Loading...</v>
      </c>
      <c r="T2517" s="4">
        <v>34.6</v>
      </c>
      <c r="U2517" s="4">
        <v>22.7</v>
      </c>
      <c r="V2517" s="4">
        <v>2.6</v>
      </c>
      <c r="W2517" s="4">
        <v>5.7</v>
      </c>
      <c r="X2517" s="4">
        <v>519.92999999999995</v>
      </c>
      <c r="Y2517" s="7" t="e">
        <f t="shared" ca="1" si="54"/>
        <v>#VALUE!</v>
      </c>
    </row>
    <row r="2518" spans="1:25" ht="15" x14ac:dyDescent="0.25">
      <c r="A2518" s="4">
        <v>2449</v>
      </c>
      <c r="C2518" s="41" t="s">
        <v>4780</v>
      </c>
      <c r="D2518" s="42"/>
      <c r="E2518" s="5" t="str">
        <f t="shared" si="50"/>
        <v>https://www.screener.in/company//consolidated/</v>
      </c>
      <c r="F2518" s="4">
        <v>443059</v>
      </c>
      <c r="G2518" s="4">
        <v>3832241897</v>
      </c>
      <c r="H2518" s="6" t="e">
        <f t="shared" ca="1" si="51"/>
        <v>#VALUE!</v>
      </c>
      <c r="I2518" s="7" t="str">
        <f ca="1">IFERROR(__xludf.DUMMYFUNCTION("IMPORTXML(E2518,""/html/body/main/div[3]/div[3]/div[2]/ul/li[5]/span[2]/span"")"),"Loading...")</f>
        <v>Loading...</v>
      </c>
      <c r="J2518" s="7" t="str">
        <f ca="1">IFERROR(__xludf.DUMMYFUNCTION("GOOGLEFINANCE(""NSE:""&amp;D2518,""marketcap"")"),"#N/A")</f>
        <v>#N/A</v>
      </c>
      <c r="K2518" s="7">
        <v>992.8</v>
      </c>
      <c r="L2518" s="8" t="str">
        <f ca="1">IFERROR(__xludf.DUMMYFUNCTION("GOOGLEFINANCE(""NSE:""&amp;D2518,""price"")"),"#N/A")</f>
        <v>#N/A</v>
      </c>
      <c r="M2518" s="9" t="e">
        <f t="shared" ca="1" si="52"/>
        <v>#VALUE!</v>
      </c>
      <c r="N2518" s="10" t="e">
        <f t="shared" ca="1" si="53"/>
        <v>#VALUE!</v>
      </c>
      <c r="O2518" s="7" t="str">
        <f ca="1">IFERROR(__xludf.DUMMYFUNCTION("GOOGLEFINANCE(""NSE:""&amp;D2518,""pe"")"),"#N/A")</f>
        <v>#N/A</v>
      </c>
      <c r="P2518" s="7" t="str">
        <f ca="1">IFERROR(__xludf.DUMMYFUNCTION("GOOGLEFINANCE(""NSE:""&amp;D2518,""EPS"")"),"#N/A")</f>
        <v>#N/A</v>
      </c>
      <c r="Q2518" s="7">
        <v>13.5</v>
      </c>
      <c r="R2518" s="7" t="str">
        <f ca="1">IFERROR(__xludf.DUMMYFUNCTION("IMPORTXML(E2518,""/html/body/main/div[3]/div[3]/div[2]/ul/li[7]/span[2]/span"")"),"Loading...")</f>
        <v>Loading...</v>
      </c>
      <c r="S2518" s="7" t="str">
        <f ca="1">IFERROR(__xludf.DUMMYFUNCTION("IMPORTXML(E2518,""/html/body/main/div[3]/div[3]/div[2]/ul/li[8]/span[2]/span"")"),"Loading...")</f>
        <v>Loading...</v>
      </c>
      <c r="T2518" s="4">
        <v>34.6</v>
      </c>
      <c r="U2518" s="4">
        <v>22.7</v>
      </c>
      <c r="V2518" s="4">
        <v>2.6</v>
      </c>
      <c r="W2518" s="4">
        <v>5.7</v>
      </c>
      <c r="X2518" s="4">
        <v>519.92999999999995</v>
      </c>
      <c r="Y2518" s="7" t="e">
        <f t="shared" ca="1" si="54"/>
        <v>#VALUE!</v>
      </c>
    </row>
    <row r="2519" spans="1:25" ht="15" x14ac:dyDescent="0.25">
      <c r="A2519" s="4">
        <v>2450</v>
      </c>
      <c r="C2519" s="41" t="s">
        <v>4781</v>
      </c>
      <c r="D2519" s="42"/>
      <c r="E2519" s="5" t="str">
        <f t="shared" si="50"/>
        <v>https://www.screener.in/company//consolidated/</v>
      </c>
      <c r="F2519" s="4">
        <v>443059</v>
      </c>
      <c r="G2519" s="4">
        <v>3832241897</v>
      </c>
      <c r="H2519" s="6" t="e">
        <f t="shared" ca="1" si="51"/>
        <v>#VALUE!</v>
      </c>
      <c r="I2519" s="7" t="str">
        <f ca="1">IFERROR(__xludf.DUMMYFUNCTION("IMPORTXML(E2519,""/html/body/main/div[3]/div[3]/div[2]/ul/li[5]/span[2]/span"")"),"Loading...")</f>
        <v>Loading...</v>
      </c>
      <c r="J2519" s="7" t="str">
        <f ca="1">IFERROR(__xludf.DUMMYFUNCTION("GOOGLEFINANCE(""NSE:""&amp;D2519,""marketcap"")"),"#N/A")</f>
        <v>#N/A</v>
      </c>
      <c r="K2519" s="7">
        <v>992.8</v>
      </c>
      <c r="L2519" s="8" t="str">
        <f ca="1">IFERROR(__xludf.DUMMYFUNCTION("GOOGLEFINANCE(""NSE:""&amp;D2519,""price"")"),"#N/A")</f>
        <v>#N/A</v>
      </c>
      <c r="M2519" s="9" t="e">
        <f t="shared" ca="1" si="52"/>
        <v>#VALUE!</v>
      </c>
      <c r="N2519" s="10" t="e">
        <f t="shared" ca="1" si="53"/>
        <v>#VALUE!</v>
      </c>
      <c r="O2519" s="7" t="str">
        <f ca="1">IFERROR(__xludf.DUMMYFUNCTION("GOOGLEFINANCE(""NSE:""&amp;D2519,""pe"")"),"#N/A")</f>
        <v>#N/A</v>
      </c>
      <c r="P2519" s="7" t="str">
        <f ca="1">IFERROR(__xludf.DUMMYFUNCTION("GOOGLEFINANCE(""NSE:""&amp;D2519,""EPS"")"),"#N/A")</f>
        <v>#N/A</v>
      </c>
      <c r="Q2519" s="7">
        <v>13.5</v>
      </c>
      <c r="R2519" s="7" t="str">
        <f ca="1">IFERROR(__xludf.DUMMYFUNCTION("IMPORTXML(E2519,""/html/body/main/div[3]/div[3]/div[2]/ul/li[7]/span[2]/span"")"),"Loading...")</f>
        <v>Loading...</v>
      </c>
      <c r="S2519" s="7" t="str">
        <f ca="1">IFERROR(__xludf.DUMMYFUNCTION("IMPORTXML(E2519,""/html/body/main/div[3]/div[3]/div[2]/ul/li[8]/span[2]/span"")"),"Loading...")</f>
        <v>Loading...</v>
      </c>
      <c r="T2519" s="4">
        <v>34.6</v>
      </c>
      <c r="U2519" s="4">
        <v>22.7</v>
      </c>
      <c r="V2519" s="4">
        <v>2.6</v>
      </c>
      <c r="W2519" s="4">
        <v>5.7</v>
      </c>
      <c r="X2519" s="4">
        <v>519.92999999999995</v>
      </c>
      <c r="Y2519" s="7" t="e">
        <f t="shared" ca="1" si="54"/>
        <v>#VALUE!</v>
      </c>
    </row>
    <row r="2520" spans="1:25" ht="15" x14ac:dyDescent="0.25">
      <c r="A2520" s="4">
        <v>2452</v>
      </c>
      <c r="C2520" s="41" t="s">
        <v>4782</v>
      </c>
      <c r="D2520" s="42"/>
      <c r="E2520" s="5" t="str">
        <f t="shared" si="50"/>
        <v>https://www.screener.in/company//consolidated/</v>
      </c>
      <c r="F2520" s="4">
        <v>443059</v>
      </c>
      <c r="G2520" s="4">
        <v>3832241897</v>
      </c>
      <c r="H2520" s="6" t="e">
        <f t="shared" ca="1" si="51"/>
        <v>#VALUE!</v>
      </c>
      <c r="I2520" s="7" t="str">
        <f ca="1">IFERROR(__xludf.DUMMYFUNCTION("IMPORTXML(E2520,""/html/body/main/div[3]/div[3]/div[2]/ul/li[5]/span[2]/span"")"),"Loading...")</f>
        <v>Loading...</v>
      </c>
      <c r="J2520" s="7" t="str">
        <f ca="1">IFERROR(__xludf.DUMMYFUNCTION("GOOGLEFINANCE(""NSE:""&amp;D2520,""marketcap"")"),"#N/A")</f>
        <v>#N/A</v>
      </c>
      <c r="K2520" s="7">
        <v>992.8</v>
      </c>
      <c r="L2520" s="8" t="str">
        <f ca="1">IFERROR(__xludf.DUMMYFUNCTION("GOOGLEFINANCE(""NSE:""&amp;D2520,""price"")"),"#N/A")</f>
        <v>#N/A</v>
      </c>
      <c r="M2520" s="9" t="e">
        <f t="shared" ca="1" si="52"/>
        <v>#VALUE!</v>
      </c>
      <c r="N2520" s="10" t="e">
        <f t="shared" ca="1" si="53"/>
        <v>#VALUE!</v>
      </c>
      <c r="O2520" s="7" t="str">
        <f ca="1">IFERROR(__xludf.DUMMYFUNCTION("GOOGLEFINANCE(""NSE:""&amp;D2520,""pe"")"),"#N/A")</f>
        <v>#N/A</v>
      </c>
      <c r="P2520" s="7" t="str">
        <f ca="1">IFERROR(__xludf.DUMMYFUNCTION("GOOGLEFINANCE(""NSE:""&amp;D2520,""EPS"")"),"#N/A")</f>
        <v>#N/A</v>
      </c>
      <c r="Q2520" s="7">
        <v>13.5</v>
      </c>
      <c r="R2520" s="7" t="str">
        <f ca="1">IFERROR(__xludf.DUMMYFUNCTION("IMPORTXML(E2520,""/html/body/main/div[3]/div[3]/div[2]/ul/li[7]/span[2]/span"")"),"Loading...")</f>
        <v>Loading...</v>
      </c>
      <c r="S2520" s="7" t="str">
        <f ca="1">IFERROR(__xludf.DUMMYFUNCTION("IMPORTXML(E2520,""/html/body/main/div[3]/div[3]/div[2]/ul/li[8]/span[2]/span"")"),"Loading...")</f>
        <v>Loading...</v>
      </c>
      <c r="T2520" s="4">
        <v>34.6</v>
      </c>
      <c r="U2520" s="4">
        <v>22.7</v>
      </c>
      <c r="V2520" s="4">
        <v>2.6</v>
      </c>
      <c r="W2520" s="4">
        <v>5.7</v>
      </c>
      <c r="X2520" s="4">
        <v>519.92999999999995</v>
      </c>
      <c r="Y2520" s="7" t="e">
        <f t="shared" ca="1" si="54"/>
        <v>#VALUE!</v>
      </c>
    </row>
    <row r="2521" spans="1:25" ht="15" x14ac:dyDescent="0.25">
      <c r="A2521" s="4">
        <v>2453</v>
      </c>
      <c r="C2521" s="41" t="s">
        <v>4783</v>
      </c>
      <c r="D2521" s="42"/>
      <c r="E2521" s="5" t="str">
        <f t="shared" si="50"/>
        <v>https://www.screener.in/company//consolidated/</v>
      </c>
      <c r="F2521" s="4">
        <v>443059</v>
      </c>
      <c r="G2521" s="4">
        <v>3832241897</v>
      </c>
      <c r="H2521" s="6" t="e">
        <f t="shared" ca="1" si="51"/>
        <v>#VALUE!</v>
      </c>
      <c r="I2521" s="7" t="str">
        <f ca="1">IFERROR(__xludf.DUMMYFUNCTION("IMPORTXML(E2521,""/html/body/main/div[3]/div[3]/div[2]/ul/li[5]/span[2]/span"")"),"Loading...")</f>
        <v>Loading...</v>
      </c>
      <c r="J2521" s="7" t="str">
        <f ca="1">IFERROR(__xludf.DUMMYFUNCTION("GOOGLEFINANCE(""NSE:""&amp;D2521,""marketcap"")"),"#N/A")</f>
        <v>#N/A</v>
      </c>
      <c r="K2521" s="7">
        <v>992.8</v>
      </c>
      <c r="L2521" s="8" t="str">
        <f ca="1">IFERROR(__xludf.DUMMYFUNCTION("GOOGLEFINANCE(""NSE:""&amp;D2521,""price"")"),"#N/A")</f>
        <v>#N/A</v>
      </c>
      <c r="M2521" s="9" t="e">
        <f t="shared" ca="1" si="52"/>
        <v>#VALUE!</v>
      </c>
      <c r="N2521" s="10" t="e">
        <f t="shared" ca="1" si="53"/>
        <v>#VALUE!</v>
      </c>
      <c r="O2521" s="7" t="str">
        <f ca="1">IFERROR(__xludf.DUMMYFUNCTION("GOOGLEFINANCE(""NSE:""&amp;D2521,""pe"")"),"#N/A")</f>
        <v>#N/A</v>
      </c>
      <c r="P2521" s="7" t="str">
        <f ca="1">IFERROR(__xludf.DUMMYFUNCTION("GOOGLEFINANCE(""NSE:""&amp;D2521,""EPS"")"),"#N/A")</f>
        <v>#N/A</v>
      </c>
      <c r="Q2521" s="7">
        <v>13.5</v>
      </c>
      <c r="R2521" s="7" t="str">
        <f ca="1">IFERROR(__xludf.DUMMYFUNCTION("IMPORTXML(E2521,""/html/body/main/div[3]/div[3]/div[2]/ul/li[7]/span[2]/span"")"),"Loading...")</f>
        <v>Loading...</v>
      </c>
      <c r="S2521" s="7" t="str">
        <f ca="1">IFERROR(__xludf.DUMMYFUNCTION("IMPORTXML(E2521,""/html/body/main/div[3]/div[3]/div[2]/ul/li[8]/span[2]/span"")"),"Loading...")</f>
        <v>Loading...</v>
      </c>
      <c r="T2521" s="4">
        <v>34.6</v>
      </c>
      <c r="U2521" s="4">
        <v>22.7</v>
      </c>
      <c r="V2521" s="4">
        <v>2.6</v>
      </c>
      <c r="W2521" s="4">
        <v>5.7</v>
      </c>
      <c r="X2521" s="4">
        <v>519.92999999999995</v>
      </c>
      <c r="Y2521" s="7" t="e">
        <f t="shared" ca="1" si="54"/>
        <v>#VALUE!</v>
      </c>
    </row>
    <row r="2522" spans="1:25" ht="15" x14ac:dyDescent="0.25">
      <c r="A2522" s="4">
        <v>2454</v>
      </c>
      <c r="C2522" s="41" t="s">
        <v>4784</v>
      </c>
      <c r="D2522" s="42"/>
      <c r="E2522" s="5" t="str">
        <f t="shared" si="50"/>
        <v>https://www.screener.in/company//consolidated/</v>
      </c>
      <c r="F2522" s="4">
        <v>443059</v>
      </c>
      <c r="G2522" s="4">
        <v>3832241897</v>
      </c>
      <c r="H2522" s="6" t="e">
        <f t="shared" ca="1" si="51"/>
        <v>#VALUE!</v>
      </c>
      <c r="I2522" s="7" t="str">
        <f ca="1">IFERROR(__xludf.DUMMYFUNCTION("IMPORTXML(E2522,""/html/body/main/div[3]/div[3]/div[2]/ul/li[5]/span[2]/span"")"),"Loading...")</f>
        <v>Loading...</v>
      </c>
      <c r="J2522" s="7" t="str">
        <f ca="1">IFERROR(__xludf.DUMMYFUNCTION("GOOGLEFINANCE(""NSE:""&amp;D2522,""marketcap"")"),"#N/A")</f>
        <v>#N/A</v>
      </c>
      <c r="K2522" s="7">
        <v>992.8</v>
      </c>
      <c r="L2522" s="8" t="str">
        <f ca="1">IFERROR(__xludf.DUMMYFUNCTION("GOOGLEFINANCE(""NSE:""&amp;D2522,""price"")"),"#N/A")</f>
        <v>#N/A</v>
      </c>
      <c r="M2522" s="9" t="e">
        <f t="shared" ca="1" si="52"/>
        <v>#VALUE!</v>
      </c>
      <c r="N2522" s="10" t="e">
        <f t="shared" ca="1" si="53"/>
        <v>#VALUE!</v>
      </c>
      <c r="O2522" s="7" t="str">
        <f ca="1">IFERROR(__xludf.DUMMYFUNCTION("GOOGLEFINANCE(""NSE:""&amp;D2522,""pe"")"),"#N/A")</f>
        <v>#N/A</v>
      </c>
      <c r="P2522" s="7" t="str">
        <f ca="1">IFERROR(__xludf.DUMMYFUNCTION("GOOGLEFINANCE(""NSE:""&amp;D2522,""EPS"")"),"#N/A")</f>
        <v>#N/A</v>
      </c>
      <c r="Q2522" s="7">
        <v>13.5</v>
      </c>
      <c r="R2522" s="7" t="str">
        <f ca="1">IFERROR(__xludf.DUMMYFUNCTION("IMPORTXML(E2522,""/html/body/main/div[3]/div[3]/div[2]/ul/li[7]/span[2]/span"")"),"Loading...")</f>
        <v>Loading...</v>
      </c>
      <c r="S2522" s="7" t="str">
        <f ca="1">IFERROR(__xludf.DUMMYFUNCTION("IMPORTXML(E2522,""/html/body/main/div[3]/div[3]/div[2]/ul/li[8]/span[2]/span"")"),"Loading...")</f>
        <v>Loading...</v>
      </c>
      <c r="T2522" s="4">
        <v>34.6</v>
      </c>
      <c r="U2522" s="4">
        <v>22.7</v>
      </c>
      <c r="V2522" s="4">
        <v>2.6</v>
      </c>
      <c r="W2522" s="4">
        <v>5.7</v>
      </c>
      <c r="X2522" s="4">
        <v>519.92999999999995</v>
      </c>
      <c r="Y2522" s="7" t="e">
        <f t="shared" ca="1" si="54"/>
        <v>#VALUE!</v>
      </c>
    </row>
    <row r="2523" spans="1:25" ht="15" x14ac:dyDescent="0.25">
      <c r="A2523" s="4">
        <v>2455</v>
      </c>
      <c r="C2523" s="12" t="s">
        <v>4785</v>
      </c>
      <c r="D2523" s="12" t="s">
        <v>4786</v>
      </c>
      <c r="E2523" s="5" t="str">
        <f t="shared" si="50"/>
        <v>https://www.screener.in/company/PARASPETRO/consolidated/</v>
      </c>
      <c r="F2523" s="4">
        <v>443059</v>
      </c>
      <c r="G2523" s="4">
        <v>3832241897</v>
      </c>
      <c r="H2523" s="6">
        <f t="shared" ca="1" si="51"/>
        <v>935.06702286799998</v>
      </c>
      <c r="I2523" s="7" t="str">
        <f ca="1">IFERROR(__xludf.DUMMYFUNCTION("IMPORTXML(E2523,""/html/body/main/div[3]/div[3]/div[2]/ul/li[5]/span[2]/span"")"),"Loading...")</f>
        <v>Loading...</v>
      </c>
      <c r="J2523" s="7">
        <f ca="1">IFERROR(__xludf.DUMMYFUNCTION("GOOGLEFINANCE(""NSE:""&amp;D2523,""marketcap"")"),808814800)</f>
        <v>808814800</v>
      </c>
      <c r="K2523" s="7">
        <v>992.8</v>
      </c>
      <c r="L2523" s="8">
        <f ca="1">IFERROR(__xludf.DUMMYFUNCTION("GOOGLEFINANCE(""NSE:""&amp;D2523,""price"")"),2.44)</f>
        <v>2.44</v>
      </c>
      <c r="M2523" s="9">
        <f t="shared" ca="1" si="52"/>
        <v>-990.3599999999999</v>
      </c>
      <c r="N2523" s="10">
        <f t="shared" ca="1" si="53"/>
        <v>-99.754230459306996</v>
      </c>
      <c r="O2523" s="7">
        <f ca="1">IFERROR(__xludf.DUMMYFUNCTION("GOOGLEFINANCE(""NSE:""&amp;D2523,""pe"")"),425.83)</f>
        <v>425.83</v>
      </c>
      <c r="P2523" s="7">
        <f ca="1">IFERROR(__xludf.DUMMYFUNCTION("GOOGLEFINANCE(""NSE:""&amp;D2523,""EPS"")"),0.01)</f>
        <v>0.01</v>
      </c>
      <c r="Q2523" s="7">
        <v>13.5</v>
      </c>
      <c r="R2523" s="7" t="str">
        <f ca="1">IFERROR(__xludf.DUMMYFUNCTION("IMPORTXML(E2523,""/html/body/main/div[3]/div[3]/div[2]/ul/li[7]/span[2]/span"")"),"Loading...")</f>
        <v>Loading...</v>
      </c>
      <c r="S2523" s="7" t="str">
        <f ca="1">IFERROR(__xludf.DUMMYFUNCTION("IMPORTXML(E2523,""/html/body/main/div[3]/div[3]/div[2]/ul/li[8]/span[2]/span"")"),"Loading...")</f>
        <v>Loading...</v>
      </c>
      <c r="T2523" s="4">
        <v>34.6</v>
      </c>
      <c r="U2523" s="4">
        <v>22.7</v>
      </c>
      <c r="V2523" s="4">
        <v>2.6</v>
      </c>
      <c r="W2523" s="4">
        <v>5.7</v>
      </c>
      <c r="X2523" s="4">
        <v>519.92999999999995</v>
      </c>
      <c r="Y2523" s="7">
        <f t="shared" ca="1" si="54"/>
        <v>-517.4899999999999</v>
      </c>
    </row>
    <row r="2524" spans="1:25" ht="15" x14ac:dyDescent="0.25">
      <c r="A2524" s="4">
        <v>2456</v>
      </c>
      <c r="C2524" s="12" t="s">
        <v>4787</v>
      </c>
      <c r="D2524" s="12" t="s">
        <v>4788</v>
      </c>
      <c r="E2524" s="5" t="str">
        <f t="shared" si="50"/>
        <v>https://www.screener.in/company/SUVIDHAA/consolidated/</v>
      </c>
      <c r="F2524" s="4">
        <v>443059</v>
      </c>
      <c r="G2524" s="4">
        <v>3832241897</v>
      </c>
      <c r="H2524" s="6">
        <f t="shared" ca="1" si="51"/>
        <v>1598.044871049</v>
      </c>
      <c r="I2524" s="7" t="str">
        <f ca="1">IFERROR(__xludf.DUMMYFUNCTION("IMPORTXML(E2524,""/html/body/main/div[3]/div[3]/div[2]/ul/li[5]/span[2]/span"")"),"Loading...")</f>
        <v>Loading...</v>
      </c>
      <c r="J2524" s="7">
        <f ca="1">IFERROR(__xludf.DUMMYFUNCTION("GOOGLEFINANCE(""NSE:""&amp;D2524,""marketcap"")"),870697800)</f>
        <v>870697800</v>
      </c>
      <c r="K2524" s="7">
        <v>992.8</v>
      </c>
      <c r="L2524" s="8">
        <f ca="1">IFERROR(__xludf.DUMMYFUNCTION("GOOGLEFINANCE(""NSE:""&amp;D2524,""price"")"),4.17)</f>
        <v>4.17</v>
      </c>
      <c r="M2524" s="9">
        <f t="shared" ca="1" si="52"/>
        <v>-988.63</v>
      </c>
      <c r="N2524" s="10">
        <f t="shared" ca="1" si="53"/>
        <v>-99.579975825946818</v>
      </c>
      <c r="O2524" s="7" t="str">
        <f ca="1">IFERROR(__xludf.DUMMYFUNCTION("GOOGLEFINANCE(""NSE:""&amp;D2524,""pe"")"),"#N/A")</f>
        <v>#N/A</v>
      </c>
      <c r="P2524" s="7">
        <f ca="1">IFERROR(__xludf.DUMMYFUNCTION("GOOGLEFINANCE(""NSE:""&amp;D2524,""EPS"")"),-0.81)</f>
        <v>-0.81</v>
      </c>
      <c r="Q2524" s="7">
        <v>13.5</v>
      </c>
      <c r="R2524" s="7" t="str">
        <f ca="1">IFERROR(__xludf.DUMMYFUNCTION("IMPORTXML(E2524,""/html/body/main/div[3]/div[3]/div[2]/ul/li[7]/span[2]/span"")"),"Loading...")</f>
        <v>Loading...</v>
      </c>
      <c r="S2524" s="7" t="str">
        <f ca="1">IFERROR(__xludf.DUMMYFUNCTION("IMPORTXML(E2524,""/html/body/main/div[3]/div[3]/div[2]/ul/li[8]/span[2]/span"")"),"Loading...")</f>
        <v>Loading...</v>
      </c>
      <c r="T2524" s="4">
        <v>34.6</v>
      </c>
      <c r="U2524" s="4">
        <v>22.7</v>
      </c>
      <c r="V2524" s="4">
        <v>2.6</v>
      </c>
      <c r="W2524" s="4">
        <v>5.7</v>
      </c>
      <c r="X2524" s="4">
        <v>519.92999999999995</v>
      </c>
      <c r="Y2524" s="7">
        <f t="shared" ca="1" si="54"/>
        <v>-515.76</v>
      </c>
    </row>
    <row r="2525" spans="1:25" ht="15" x14ac:dyDescent="0.25">
      <c r="A2525" s="4">
        <v>2457</v>
      </c>
      <c r="C2525" s="41" t="s">
        <v>4789</v>
      </c>
      <c r="D2525" s="42"/>
      <c r="E2525" s="5" t="str">
        <f t="shared" si="50"/>
        <v>https://www.screener.in/company//consolidated/</v>
      </c>
      <c r="F2525" s="4">
        <v>443059</v>
      </c>
      <c r="G2525" s="4">
        <v>3832241897</v>
      </c>
      <c r="H2525" s="6" t="e">
        <f t="shared" ca="1" si="51"/>
        <v>#VALUE!</v>
      </c>
      <c r="I2525" s="7" t="str">
        <f ca="1">IFERROR(__xludf.DUMMYFUNCTION("IMPORTXML(E2525,""/html/body/main/div[3]/div[3]/div[2]/ul/li[5]/span[2]/span"")"),"Loading...")</f>
        <v>Loading...</v>
      </c>
      <c r="J2525" s="7" t="str">
        <f ca="1">IFERROR(__xludf.DUMMYFUNCTION("GOOGLEFINANCE(""NSE:""&amp;D2525,""marketcap"")"),"#N/A")</f>
        <v>#N/A</v>
      </c>
      <c r="K2525" s="7">
        <v>992.8</v>
      </c>
      <c r="L2525" s="8" t="str">
        <f ca="1">IFERROR(__xludf.DUMMYFUNCTION("GOOGLEFINANCE(""NSE:""&amp;D2525,""price"")"),"#N/A")</f>
        <v>#N/A</v>
      </c>
      <c r="M2525" s="9" t="e">
        <f t="shared" ca="1" si="52"/>
        <v>#VALUE!</v>
      </c>
      <c r="N2525" s="10" t="e">
        <f t="shared" ca="1" si="53"/>
        <v>#VALUE!</v>
      </c>
      <c r="O2525" s="7" t="str">
        <f ca="1">IFERROR(__xludf.DUMMYFUNCTION("GOOGLEFINANCE(""NSE:""&amp;D2525,""pe"")"),"#N/A")</f>
        <v>#N/A</v>
      </c>
      <c r="P2525" s="7" t="str">
        <f ca="1">IFERROR(__xludf.DUMMYFUNCTION("GOOGLEFINANCE(""NSE:""&amp;D2525,""EPS"")"),"#N/A")</f>
        <v>#N/A</v>
      </c>
      <c r="Q2525" s="7">
        <v>13.5</v>
      </c>
      <c r="R2525" s="7" t="str">
        <f ca="1">IFERROR(__xludf.DUMMYFUNCTION("IMPORTXML(E2525,""/html/body/main/div[3]/div[3]/div[2]/ul/li[7]/span[2]/span"")"),"Loading...")</f>
        <v>Loading...</v>
      </c>
      <c r="S2525" s="7" t="str">
        <f ca="1">IFERROR(__xludf.DUMMYFUNCTION("IMPORTXML(E2525,""/html/body/main/div[3]/div[3]/div[2]/ul/li[8]/span[2]/span"")"),"Loading...")</f>
        <v>Loading...</v>
      </c>
      <c r="T2525" s="4">
        <v>34.6</v>
      </c>
      <c r="U2525" s="4">
        <v>22.7</v>
      </c>
      <c r="V2525" s="4">
        <v>2.6</v>
      </c>
      <c r="W2525" s="4">
        <v>5.7</v>
      </c>
      <c r="X2525" s="4">
        <v>519.92999999999995</v>
      </c>
      <c r="Y2525" s="7" t="e">
        <f t="shared" ca="1" si="54"/>
        <v>#VALUE!</v>
      </c>
    </row>
    <row r="2526" spans="1:25" ht="15" x14ac:dyDescent="0.25">
      <c r="A2526" s="4">
        <v>2458</v>
      </c>
      <c r="C2526" s="41" t="s">
        <v>4790</v>
      </c>
      <c r="D2526" s="42"/>
      <c r="E2526" s="5" t="str">
        <f t="shared" si="50"/>
        <v>https://www.screener.in/company//consolidated/</v>
      </c>
      <c r="F2526" s="4">
        <v>443059</v>
      </c>
      <c r="G2526" s="4">
        <v>3832241897</v>
      </c>
      <c r="H2526" s="6" t="e">
        <f t="shared" ca="1" si="51"/>
        <v>#VALUE!</v>
      </c>
      <c r="I2526" s="7" t="str">
        <f ca="1">IFERROR(__xludf.DUMMYFUNCTION("IMPORTXML(E2526,""/html/body/main/div[3]/div[3]/div[2]/ul/li[5]/span[2]/span"")"),"Loading...")</f>
        <v>Loading...</v>
      </c>
      <c r="J2526" s="7" t="str">
        <f ca="1">IFERROR(__xludf.DUMMYFUNCTION("GOOGLEFINANCE(""NSE:""&amp;D2526,""marketcap"")"),"#N/A")</f>
        <v>#N/A</v>
      </c>
      <c r="K2526" s="7">
        <v>992.8</v>
      </c>
      <c r="L2526" s="8" t="str">
        <f ca="1">IFERROR(__xludf.DUMMYFUNCTION("GOOGLEFINANCE(""NSE:""&amp;D2526,""price"")"),"#N/A")</f>
        <v>#N/A</v>
      </c>
      <c r="M2526" s="9" t="e">
        <f t="shared" ca="1" si="52"/>
        <v>#VALUE!</v>
      </c>
      <c r="N2526" s="10" t="e">
        <f t="shared" ca="1" si="53"/>
        <v>#VALUE!</v>
      </c>
      <c r="O2526" s="7" t="str">
        <f ca="1">IFERROR(__xludf.DUMMYFUNCTION("GOOGLEFINANCE(""NSE:""&amp;D2526,""pe"")"),"#N/A")</f>
        <v>#N/A</v>
      </c>
      <c r="P2526" s="7" t="str">
        <f ca="1">IFERROR(__xludf.DUMMYFUNCTION("GOOGLEFINANCE(""NSE:""&amp;D2526,""EPS"")"),"#N/A")</f>
        <v>#N/A</v>
      </c>
      <c r="Q2526" s="7">
        <v>13.5</v>
      </c>
      <c r="R2526" s="7" t="str">
        <f ca="1">IFERROR(__xludf.DUMMYFUNCTION("IMPORTXML(E2526,""/html/body/main/div[3]/div[3]/div[2]/ul/li[7]/span[2]/span"")"),"Loading...")</f>
        <v>Loading...</v>
      </c>
      <c r="S2526" s="7" t="str">
        <f ca="1">IFERROR(__xludf.DUMMYFUNCTION("IMPORTXML(E2526,""/html/body/main/div[3]/div[3]/div[2]/ul/li[8]/span[2]/span"")"),"Loading...")</f>
        <v>Loading...</v>
      </c>
      <c r="T2526" s="4">
        <v>34.6</v>
      </c>
      <c r="U2526" s="4">
        <v>22.7</v>
      </c>
      <c r="V2526" s="4">
        <v>2.6</v>
      </c>
      <c r="W2526" s="4">
        <v>5.7</v>
      </c>
      <c r="X2526" s="4">
        <v>519.92999999999995</v>
      </c>
      <c r="Y2526" s="7" t="e">
        <f t="shared" ca="1" si="54"/>
        <v>#VALUE!</v>
      </c>
    </row>
    <row r="2527" spans="1:25" ht="15" x14ac:dyDescent="0.25">
      <c r="A2527" s="4">
        <v>2459</v>
      </c>
      <c r="C2527" s="41" t="s">
        <v>4791</v>
      </c>
      <c r="D2527" s="42"/>
      <c r="E2527" s="5" t="str">
        <f t="shared" si="50"/>
        <v>https://www.screener.in/company//consolidated/</v>
      </c>
      <c r="F2527" s="4">
        <v>443059</v>
      </c>
      <c r="G2527" s="4">
        <v>3832241897</v>
      </c>
      <c r="H2527" s="6" t="e">
        <f t="shared" ca="1" si="51"/>
        <v>#VALUE!</v>
      </c>
      <c r="I2527" s="7" t="str">
        <f ca="1">IFERROR(__xludf.DUMMYFUNCTION("IMPORTXML(E2527,""/html/body/main/div[3]/div[3]/div[2]/ul/li[5]/span[2]/span"")"),"Loading...")</f>
        <v>Loading...</v>
      </c>
      <c r="J2527" s="7" t="str">
        <f ca="1">IFERROR(__xludf.DUMMYFUNCTION("GOOGLEFINANCE(""NSE:""&amp;D2527,""marketcap"")"),"#N/A")</f>
        <v>#N/A</v>
      </c>
      <c r="K2527" s="7">
        <v>992.8</v>
      </c>
      <c r="L2527" s="8" t="str">
        <f ca="1">IFERROR(__xludf.DUMMYFUNCTION("GOOGLEFINANCE(""NSE:""&amp;D2527,""price"")"),"#N/A")</f>
        <v>#N/A</v>
      </c>
      <c r="M2527" s="9" t="e">
        <f t="shared" ca="1" si="52"/>
        <v>#VALUE!</v>
      </c>
      <c r="N2527" s="10" t="e">
        <f t="shared" ca="1" si="53"/>
        <v>#VALUE!</v>
      </c>
      <c r="O2527" s="7" t="str">
        <f ca="1">IFERROR(__xludf.DUMMYFUNCTION("GOOGLEFINANCE(""NSE:""&amp;D2527,""pe"")"),"#N/A")</f>
        <v>#N/A</v>
      </c>
      <c r="P2527" s="7" t="str">
        <f ca="1">IFERROR(__xludf.DUMMYFUNCTION("GOOGLEFINANCE(""NSE:""&amp;D2527,""EPS"")"),"#N/A")</f>
        <v>#N/A</v>
      </c>
      <c r="Q2527" s="7">
        <v>13.5</v>
      </c>
      <c r="R2527" s="7" t="str">
        <f ca="1">IFERROR(__xludf.DUMMYFUNCTION("IMPORTXML(E2527,""/html/body/main/div[3]/div[3]/div[2]/ul/li[7]/span[2]/span"")"),"Loading...")</f>
        <v>Loading...</v>
      </c>
      <c r="S2527" s="7" t="str">
        <f ca="1">IFERROR(__xludf.DUMMYFUNCTION("IMPORTXML(E2527,""/html/body/main/div[3]/div[3]/div[2]/ul/li[8]/span[2]/span"")"),"Loading...")</f>
        <v>Loading...</v>
      </c>
      <c r="T2527" s="4">
        <v>34.6</v>
      </c>
      <c r="U2527" s="4">
        <v>22.7</v>
      </c>
      <c r="V2527" s="4">
        <v>2.6</v>
      </c>
      <c r="W2527" s="4">
        <v>5.7</v>
      </c>
      <c r="X2527" s="4">
        <v>519.92999999999995</v>
      </c>
      <c r="Y2527" s="7" t="e">
        <f t="shared" ca="1" si="54"/>
        <v>#VALUE!</v>
      </c>
    </row>
    <row r="2528" spans="1:25" ht="15" x14ac:dyDescent="0.25">
      <c r="A2528" s="4">
        <v>2460</v>
      </c>
      <c r="C2528" s="41" t="s">
        <v>4792</v>
      </c>
      <c r="D2528" s="42"/>
      <c r="E2528" s="5" t="str">
        <f t="shared" si="50"/>
        <v>https://www.screener.in/company//consolidated/</v>
      </c>
      <c r="F2528" s="4">
        <v>443059</v>
      </c>
      <c r="G2528" s="4">
        <v>3832241897</v>
      </c>
      <c r="H2528" s="6" t="e">
        <f t="shared" ca="1" si="51"/>
        <v>#VALUE!</v>
      </c>
      <c r="I2528" s="7" t="str">
        <f ca="1">IFERROR(__xludf.DUMMYFUNCTION("IMPORTXML(E2528,""/html/body/main/div[3]/div[3]/div[2]/ul/li[5]/span[2]/span"")"),"Loading...")</f>
        <v>Loading...</v>
      </c>
      <c r="J2528" s="7" t="str">
        <f ca="1">IFERROR(__xludf.DUMMYFUNCTION("GOOGLEFINANCE(""NSE:""&amp;D2528,""marketcap"")"),"#N/A")</f>
        <v>#N/A</v>
      </c>
      <c r="K2528" s="7">
        <v>992.8</v>
      </c>
      <c r="L2528" s="8" t="str">
        <f ca="1">IFERROR(__xludf.DUMMYFUNCTION("GOOGLEFINANCE(""NSE:""&amp;D2528,""price"")"),"#N/A")</f>
        <v>#N/A</v>
      </c>
      <c r="M2528" s="9" t="e">
        <f t="shared" ca="1" si="52"/>
        <v>#VALUE!</v>
      </c>
      <c r="N2528" s="10" t="e">
        <f t="shared" ca="1" si="53"/>
        <v>#VALUE!</v>
      </c>
      <c r="O2528" s="7" t="str">
        <f ca="1">IFERROR(__xludf.DUMMYFUNCTION("GOOGLEFINANCE(""NSE:""&amp;D2528,""pe"")"),"#N/A")</f>
        <v>#N/A</v>
      </c>
      <c r="P2528" s="7" t="str">
        <f ca="1">IFERROR(__xludf.DUMMYFUNCTION("GOOGLEFINANCE(""NSE:""&amp;D2528,""EPS"")"),"#N/A")</f>
        <v>#N/A</v>
      </c>
      <c r="Q2528" s="7">
        <v>13.5</v>
      </c>
      <c r="R2528" s="7" t="str">
        <f ca="1">IFERROR(__xludf.DUMMYFUNCTION("IMPORTXML(E2528,""/html/body/main/div[3]/div[3]/div[2]/ul/li[7]/span[2]/span"")"),"Loading...")</f>
        <v>Loading...</v>
      </c>
      <c r="S2528" s="7" t="str">
        <f ca="1">IFERROR(__xludf.DUMMYFUNCTION("IMPORTXML(E2528,""/html/body/main/div[3]/div[3]/div[2]/ul/li[8]/span[2]/span"")"),"Loading...")</f>
        <v>Loading...</v>
      </c>
      <c r="T2528" s="4">
        <v>34.6</v>
      </c>
      <c r="U2528" s="4">
        <v>22.7</v>
      </c>
      <c r="V2528" s="4">
        <v>2.6</v>
      </c>
      <c r="W2528" s="4">
        <v>5.7</v>
      </c>
      <c r="X2528" s="4">
        <v>519.92999999999995</v>
      </c>
      <c r="Y2528" s="7" t="e">
        <f t="shared" ca="1" si="54"/>
        <v>#VALUE!</v>
      </c>
    </row>
    <row r="2529" spans="1:25" ht="15" x14ac:dyDescent="0.25">
      <c r="A2529" s="4">
        <v>2461</v>
      </c>
      <c r="C2529" s="41" t="s">
        <v>4793</v>
      </c>
      <c r="D2529" s="42"/>
      <c r="E2529" s="5" t="str">
        <f t="shared" si="50"/>
        <v>https://www.screener.in/company//consolidated/</v>
      </c>
      <c r="F2529" s="4">
        <v>443059</v>
      </c>
      <c r="G2529" s="4">
        <v>3832241897</v>
      </c>
      <c r="H2529" s="6" t="e">
        <f t="shared" ca="1" si="51"/>
        <v>#VALUE!</v>
      </c>
      <c r="I2529" s="7" t="str">
        <f ca="1">IFERROR(__xludf.DUMMYFUNCTION("IMPORTXML(E2529,""/html/body/main/div[3]/div[3]/div[2]/ul/li[5]/span[2]/span"")"),"Loading...")</f>
        <v>Loading...</v>
      </c>
      <c r="J2529" s="7" t="str">
        <f ca="1">IFERROR(__xludf.DUMMYFUNCTION("GOOGLEFINANCE(""NSE:""&amp;D2529,""marketcap"")"),"#N/A")</f>
        <v>#N/A</v>
      </c>
      <c r="K2529" s="7">
        <v>992.8</v>
      </c>
      <c r="L2529" s="8" t="str">
        <f ca="1">IFERROR(__xludf.DUMMYFUNCTION("GOOGLEFINANCE(""NSE:""&amp;D2529,""price"")"),"#N/A")</f>
        <v>#N/A</v>
      </c>
      <c r="M2529" s="9" t="e">
        <f t="shared" ca="1" si="52"/>
        <v>#VALUE!</v>
      </c>
      <c r="N2529" s="10" t="e">
        <f t="shared" ca="1" si="53"/>
        <v>#VALUE!</v>
      </c>
      <c r="O2529" s="7" t="str">
        <f ca="1">IFERROR(__xludf.DUMMYFUNCTION("GOOGLEFINANCE(""NSE:""&amp;D2529,""pe"")"),"#N/A")</f>
        <v>#N/A</v>
      </c>
      <c r="P2529" s="7" t="str">
        <f ca="1">IFERROR(__xludf.DUMMYFUNCTION("GOOGLEFINANCE(""NSE:""&amp;D2529,""EPS"")"),"#N/A")</f>
        <v>#N/A</v>
      </c>
      <c r="Q2529" s="7">
        <v>13.5</v>
      </c>
      <c r="R2529" s="7" t="str">
        <f ca="1">IFERROR(__xludf.DUMMYFUNCTION("IMPORTXML(E2529,""/html/body/main/div[3]/div[3]/div[2]/ul/li[7]/span[2]/span"")"),"Loading...")</f>
        <v>Loading...</v>
      </c>
      <c r="S2529" s="7" t="str">
        <f ca="1">IFERROR(__xludf.DUMMYFUNCTION("IMPORTXML(E2529,""/html/body/main/div[3]/div[3]/div[2]/ul/li[8]/span[2]/span"")"),"Loading...")</f>
        <v>Loading...</v>
      </c>
      <c r="T2529" s="4">
        <v>34.6</v>
      </c>
      <c r="U2529" s="4">
        <v>22.7</v>
      </c>
      <c r="V2529" s="4">
        <v>2.6</v>
      </c>
      <c r="W2529" s="4">
        <v>5.7</v>
      </c>
      <c r="X2529" s="4">
        <v>519.92999999999995</v>
      </c>
      <c r="Y2529" s="7" t="e">
        <f t="shared" ca="1" si="54"/>
        <v>#VALUE!</v>
      </c>
    </row>
    <row r="2530" spans="1:25" ht="15" x14ac:dyDescent="0.25">
      <c r="A2530" s="4">
        <v>2463</v>
      </c>
      <c r="C2530" s="41" t="s">
        <v>4794</v>
      </c>
      <c r="D2530" s="42"/>
      <c r="E2530" s="5" t="str">
        <f t="shared" si="50"/>
        <v>https://www.screener.in/company//consolidated/</v>
      </c>
      <c r="F2530" s="4">
        <v>443059</v>
      </c>
      <c r="G2530" s="4">
        <v>3832241897</v>
      </c>
      <c r="H2530" s="6" t="e">
        <f t="shared" ca="1" si="51"/>
        <v>#VALUE!</v>
      </c>
      <c r="I2530" s="7" t="str">
        <f ca="1">IFERROR(__xludf.DUMMYFUNCTION("IMPORTXML(E2530,""/html/body/main/div[3]/div[3]/div[2]/ul/li[5]/span[2]/span"")"),"Loading...")</f>
        <v>Loading...</v>
      </c>
      <c r="J2530" s="7" t="str">
        <f ca="1">IFERROR(__xludf.DUMMYFUNCTION("GOOGLEFINANCE(""NSE:""&amp;D2530,""marketcap"")"),"#N/A")</f>
        <v>#N/A</v>
      </c>
      <c r="K2530" s="7">
        <v>992.8</v>
      </c>
      <c r="L2530" s="8" t="str">
        <f ca="1">IFERROR(__xludf.DUMMYFUNCTION("GOOGLEFINANCE(""NSE:""&amp;D2530,""price"")"),"#N/A")</f>
        <v>#N/A</v>
      </c>
      <c r="M2530" s="9" t="e">
        <f t="shared" ca="1" si="52"/>
        <v>#VALUE!</v>
      </c>
      <c r="N2530" s="10" t="e">
        <f t="shared" ca="1" si="53"/>
        <v>#VALUE!</v>
      </c>
      <c r="O2530" s="7" t="str">
        <f ca="1">IFERROR(__xludf.DUMMYFUNCTION("GOOGLEFINANCE(""NSE:""&amp;D2530,""pe"")"),"#N/A")</f>
        <v>#N/A</v>
      </c>
      <c r="P2530" s="7" t="str">
        <f ca="1">IFERROR(__xludf.DUMMYFUNCTION("GOOGLEFINANCE(""NSE:""&amp;D2530,""EPS"")"),"#N/A")</f>
        <v>#N/A</v>
      </c>
      <c r="Q2530" s="7">
        <v>13.5</v>
      </c>
      <c r="R2530" s="7" t="str">
        <f ca="1">IFERROR(__xludf.DUMMYFUNCTION("IMPORTXML(E2530,""/html/body/main/div[3]/div[3]/div[2]/ul/li[7]/span[2]/span"")"),"Loading...")</f>
        <v>Loading...</v>
      </c>
      <c r="S2530" s="7" t="str">
        <f ca="1">IFERROR(__xludf.DUMMYFUNCTION("IMPORTXML(E2530,""/html/body/main/div[3]/div[3]/div[2]/ul/li[8]/span[2]/span"")"),"Loading...")</f>
        <v>Loading...</v>
      </c>
      <c r="T2530" s="4">
        <v>34.6</v>
      </c>
      <c r="U2530" s="4">
        <v>22.7</v>
      </c>
      <c r="V2530" s="4">
        <v>2.6</v>
      </c>
      <c r="W2530" s="4">
        <v>5.7</v>
      </c>
      <c r="X2530" s="4">
        <v>519.92999999999995</v>
      </c>
      <c r="Y2530" s="7" t="e">
        <f t="shared" ca="1" si="54"/>
        <v>#VALUE!</v>
      </c>
    </row>
    <row r="2531" spans="1:25" ht="15" x14ac:dyDescent="0.25">
      <c r="A2531" s="4">
        <v>2464</v>
      </c>
      <c r="C2531" s="12" t="s">
        <v>4795</v>
      </c>
      <c r="D2531" s="37"/>
      <c r="E2531" s="5" t="str">
        <f t="shared" si="50"/>
        <v>https://www.screener.in/company//consolidated/</v>
      </c>
      <c r="F2531" s="4">
        <v>443059</v>
      </c>
      <c r="G2531" s="4">
        <v>3832241897</v>
      </c>
      <c r="H2531" s="6" t="e">
        <f t="shared" ca="1" si="51"/>
        <v>#VALUE!</v>
      </c>
      <c r="I2531" s="7" t="str">
        <f ca="1">IFERROR(__xludf.DUMMYFUNCTION("IMPORTXML(E2531,""/html/body/main/div[3]/div[3]/div[2]/ul/li[5]/span[2]/span"")"),"Loading...")</f>
        <v>Loading...</v>
      </c>
      <c r="J2531" s="7" t="str">
        <f ca="1">IFERROR(__xludf.DUMMYFUNCTION("GOOGLEFINANCE(""NSE:""&amp;D2531,""marketcap"")"),"#N/A")</f>
        <v>#N/A</v>
      </c>
      <c r="K2531" s="7">
        <v>992.8</v>
      </c>
      <c r="L2531" s="8" t="str">
        <f ca="1">IFERROR(__xludf.DUMMYFUNCTION("GOOGLEFINANCE(""NSE:""&amp;D2531,""price"")"),"#N/A")</f>
        <v>#N/A</v>
      </c>
      <c r="M2531" s="9" t="e">
        <f t="shared" ca="1" si="52"/>
        <v>#VALUE!</v>
      </c>
      <c r="N2531" s="10" t="e">
        <f t="shared" ca="1" si="53"/>
        <v>#VALUE!</v>
      </c>
      <c r="O2531" s="7" t="str">
        <f ca="1">IFERROR(__xludf.DUMMYFUNCTION("GOOGLEFINANCE(""NSE:""&amp;D2531,""pe"")"),"#N/A")</f>
        <v>#N/A</v>
      </c>
      <c r="P2531" s="7" t="str">
        <f ca="1">IFERROR(__xludf.DUMMYFUNCTION("GOOGLEFINANCE(""NSE:""&amp;D2531,""EPS"")"),"#N/A")</f>
        <v>#N/A</v>
      </c>
      <c r="Q2531" s="7">
        <v>13.5</v>
      </c>
      <c r="R2531" s="7" t="str">
        <f ca="1">IFERROR(__xludf.DUMMYFUNCTION("IMPORTXML(E2531,""/html/body/main/div[3]/div[3]/div[2]/ul/li[7]/span[2]/span"")"),"Loading...")</f>
        <v>Loading...</v>
      </c>
      <c r="S2531" s="7" t="str">
        <f ca="1">IFERROR(__xludf.DUMMYFUNCTION("IMPORTXML(E2531,""/html/body/main/div[3]/div[3]/div[2]/ul/li[8]/span[2]/span"")"),"Loading...")</f>
        <v>Loading...</v>
      </c>
      <c r="T2531" s="4">
        <v>34.6</v>
      </c>
      <c r="U2531" s="4">
        <v>22.7</v>
      </c>
      <c r="V2531" s="4">
        <v>2.6</v>
      </c>
      <c r="W2531" s="4">
        <v>5.7</v>
      </c>
      <c r="X2531" s="4">
        <v>519.92999999999995</v>
      </c>
      <c r="Y2531" s="7" t="e">
        <f t="shared" ca="1" si="54"/>
        <v>#VALUE!</v>
      </c>
    </row>
    <row r="2532" spans="1:25" ht="15" x14ac:dyDescent="0.25">
      <c r="A2532" s="4">
        <v>2465</v>
      </c>
      <c r="C2532" s="41" t="s">
        <v>4796</v>
      </c>
      <c r="D2532" s="42"/>
      <c r="E2532" s="5" t="str">
        <f t="shared" si="50"/>
        <v>https://www.screener.in/company//consolidated/</v>
      </c>
      <c r="F2532" s="4">
        <v>443059</v>
      </c>
      <c r="G2532" s="4">
        <v>3832241897</v>
      </c>
      <c r="H2532" s="6" t="e">
        <f t="shared" ca="1" si="51"/>
        <v>#VALUE!</v>
      </c>
      <c r="I2532" s="7" t="str">
        <f ca="1">IFERROR(__xludf.DUMMYFUNCTION("IMPORTXML(E2532,""/html/body/main/div[3]/div[3]/div[2]/ul/li[5]/span[2]/span"")"),"Loading...")</f>
        <v>Loading...</v>
      </c>
      <c r="J2532" s="7" t="str">
        <f ca="1">IFERROR(__xludf.DUMMYFUNCTION("GOOGLEFINANCE(""NSE:""&amp;D2532,""marketcap"")"),"#N/A")</f>
        <v>#N/A</v>
      </c>
      <c r="K2532" s="7">
        <v>992.8</v>
      </c>
      <c r="L2532" s="8" t="str">
        <f ca="1">IFERROR(__xludf.DUMMYFUNCTION("GOOGLEFINANCE(""NSE:""&amp;D2532,""price"")"),"#N/A")</f>
        <v>#N/A</v>
      </c>
      <c r="M2532" s="9" t="e">
        <f t="shared" ca="1" si="52"/>
        <v>#VALUE!</v>
      </c>
      <c r="N2532" s="10" t="e">
        <f t="shared" ca="1" si="53"/>
        <v>#VALUE!</v>
      </c>
      <c r="O2532" s="7" t="str">
        <f ca="1">IFERROR(__xludf.DUMMYFUNCTION("GOOGLEFINANCE(""NSE:""&amp;D2532,""pe"")"),"#N/A")</f>
        <v>#N/A</v>
      </c>
      <c r="P2532" s="7" t="str">
        <f ca="1">IFERROR(__xludf.DUMMYFUNCTION("GOOGLEFINANCE(""NSE:""&amp;D2532,""EPS"")"),"#N/A")</f>
        <v>#N/A</v>
      </c>
      <c r="Q2532" s="7">
        <v>13.5</v>
      </c>
      <c r="R2532" s="7" t="str">
        <f ca="1">IFERROR(__xludf.DUMMYFUNCTION("IMPORTXML(E2532,""/html/body/main/div[3]/div[3]/div[2]/ul/li[7]/span[2]/span"")"),"Loading...")</f>
        <v>Loading...</v>
      </c>
      <c r="S2532" s="7" t="str">
        <f ca="1">IFERROR(__xludf.DUMMYFUNCTION("IMPORTXML(E2532,""/html/body/main/div[3]/div[3]/div[2]/ul/li[8]/span[2]/span"")"),"Loading...")</f>
        <v>Loading...</v>
      </c>
      <c r="T2532" s="4">
        <v>34.6</v>
      </c>
      <c r="U2532" s="4">
        <v>22.7</v>
      </c>
      <c r="V2532" s="4">
        <v>2.6</v>
      </c>
      <c r="W2532" s="4">
        <v>5.7</v>
      </c>
      <c r="X2532" s="4">
        <v>519.92999999999995</v>
      </c>
      <c r="Y2532" s="7" t="e">
        <f t="shared" ca="1" si="54"/>
        <v>#VALUE!</v>
      </c>
    </row>
    <row r="2533" spans="1:25" ht="15" x14ac:dyDescent="0.25">
      <c r="A2533" s="4">
        <v>2466</v>
      </c>
      <c r="C2533" s="12" t="s">
        <v>4797</v>
      </c>
      <c r="D2533" s="12" t="s">
        <v>4798</v>
      </c>
      <c r="E2533" s="5" t="str">
        <f t="shared" si="50"/>
        <v>https://www.screener.in/company/DANGEE/consolidated/</v>
      </c>
      <c r="F2533" s="4">
        <v>443059</v>
      </c>
      <c r="G2533" s="4">
        <v>3832241897</v>
      </c>
      <c r="H2533" s="6">
        <f t="shared" ca="1" si="51"/>
        <v>1609.5415967400002</v>
      </c>
      <c r="I2533" s="7" t="str">
        <f ca="1">IFERROR(__xludf.DUMMYFUNCTION("IMPORTXML(E2533,""/html/body/main/div[3]/div[3]/div[2]/ul/li[5]/span[2]/span"")"),"Loading...")</f>
        <v>Loading...</v>
      </c>
      <c r="J2533" s="7">
        <f ca="1">IFERROR(__xludf.DUMMYFUNCTION("GOOGLEFINANCE(""NSE:""&amp;D2533,""marketcap"")"),646694970)</f>
        <v>646694970</v>
      </c>
      <c r="K2533" s="7">
        <v>992.8</v>
      </c>
      <c r="L2533" s="8">
        <f ca="1">IFERROR(__xludf.DUMMYFUNCTION("GOOGLEFINANCE(""NSE:""&amp;D2533,""price"")"),4.2)</f>
        <v>4.2</v>
      </c>
      <c r="M2533" s="9">
        <f t="shared" ca="1" si="52"/>
        <v>-988.59999999999991</v>
      </c>
      <c r="N2533" s="10">
        <f t="shared" ca="1" si="53"/>
        <v>-99.576954069298949</v>
      </c>
      <c r="O2533" s="7" t="str">
        <f ca="1">IFERROR(__xludf.DUMMYFUNCTION("GOOGLEFINANCE(""NSE:""&amp;D2533,""pe"")"),"#N/A")</f>
        <v>#N/A</v>
      </c>
      <c r="P2533" s="7">
        <f ca="1">IFERROR(__xludf.DUMMYFUNCTION("GOOGLEFINANCE(""NSE:""&amp;D2533,""EPS"")"),-0.05)</f>
        <v>-0.05</v>
      </c>
      <c r="Q2533" s="7">
        <v>13.5</v>
      </c>
      <c r="R2533" s="7" t="str">
        <f ca="1">IFERROR(__xludf.DUMMYFUNCTION("IMPORTXML(E2533,""/html/body/main/div[3]/div[3]/div[2]/ul/li[7]/span[2]/span"")"),"Loading...")</f>
        <v>Loading...</v>
      </c>
      <c r="S2533" s="7" t="str">
        <f ca="1">IFERROR(__xludf.DUMMYFUNCTION("IMPORTXML(E2533,""/html/body/main/div[3]/div[3]/div[2]/ul/li[8]/span[2]/span"")"),"Loading...")</f>
        <v>Loading...</v>
      </c>
      <c r="T2533" s="4">
        <v>34.6</v>
      </c>
      <c r="U2533" s="4">
        <v>22.7</v>
      </c>
      <c r="V2533" s="4">
        <v>2.6</v>
      </c>
      <c r="W2533" s="4">
        <v>5.7</v>
      </c>
      <c r="X2533" s="4">
        <v>519.92999999999995</v>
      </c>
      <c r="Y2533" s="7">
        <f t="shared" ca="1" si="54"/>
        <v>-515.7299999999999</v>
      </c>
    </row>
    <row r="2534" spans="1:25" ht="15" x14ac:dyDescent="0.25">
      <c r="A2534" s="4">
        <v>2467</v>
      </c>
      <c r="C2534" s="41" t="s">
        <v>4799</v>
      </c>
      <c r="D2534" s="42"/>
      <c r="E2534" s="5" t="str">
        <f t="shared" si="50"/>
        <v>https://www.screener.in/company//consolidated/</v>
      </c>
      <c r="F2534" s="4">
        <v>443059</v>
      </c>
      <c r="G2534" s="4">
        <v>3832241897</v>
      </c>
      <c r="H2534" s="6" t="e">
        <f t="shared" ca="1" si="51"/>
        <v>#VALUE!</v>
      </c>
      <c r="I2534" s="7" t="str">
        <f ca="1">IFERROR(__xludf.DUMMYFUNCTION("IMPORTXML(E2534,""/html/body/main/div[3]/div[3]/div[2]/ul/li[5]/span[2]/span"")"),"Loading...")</f>
        <v>Loading...</v>
      </c>
      <c r="J2534" s="7" t="str">
        <f ca="1">IFERROR(__xludf.DUMMYFUNCTION("GOOGLEFINANCE(""NSE:""&amp;D2534,""marketcap"")"),"#N/A")</f>
        <v>#N/A</v>
      </c>
      <c r="K2534" s="7">
        <v>992.8</v>
      </c>
      <c r="L2534" s="8" t="str">
        <f ca="1">IFERROR(__xludf.DUMMYFUNCTION("GOOGLEFINANCE(""NSE:""&amp;D2534,""price"")"),"#N/A")</f>
        <v>#N/A</v>
      </c>
      <c r="M2534" s="9" t="e">
        <f t="shared" ca="1" si="52"/>
        <v>#VALUE!</v>
      </c>
      <c r="N2534" s="10" t="e">
        <f t="shared" ca="1" si="53"/>
        <v>#VALUE!</v>
      </c>
      <c r="O2534" s="7" t="str">
        <f ca="1">IFERROR(__xludf.DUMMYFUNCTION("GOOGLEFINANCE(""NSE:""&amp;D2534,""pe"")"),"#N/A")</f>
        <v>#N/A</v>
      </c>
      <c r="P2534" s="7" t="str">
        <f ca="1">IFERROR(__xludf.DUMMYFUNCTION("GOOGLEFINANCE(""NSE:""&amp;D2534,""EPS"")"),"#N/A")</f>
        <v>#N/A</v>
      </c>
      <c r="Q2534" s="7">
        <v>13.5</v>
      </c>
      <c r="R2534" s="7" t="str">
        <f ca="1">IFERROR(__xludf.DUMMYFUNCTION("IMPORTXML(E2534,""/html/body/main/div[3]/div[3]/div[2]/ul/li[7]/span[2]/span"")"),"Loading...")</f>
        <v>Loading...</v>
      </c>
      <c r="S2534" s="7" t="str">
        <f ca="1">IFERROR(__xludf.DUMMYFUNCTION("IMPORTXML(E2534,""/html/body/main/div[3]/div[3]/div[2]/ul/li[8]/span[2]/span"")"),"Loading...")</f>
        <v>Loading...</v>
      </c>
      <c r="T2534" s="4">
        <v>34.6</v>
      </c>
      <c r="U2534" s="4">
        <v>22.7</v>
      </c>
      <c r="V2534" s="4">
        <v>2.6</v>
      </c>
      <c r="W2534" s="4">
        <v>5.7</v>
      </c>
      <c r="X2534" s="4">
        <v>519.92999999999995</v>
      </c>
      <c r="Y2534" s="7" t="e">
        <f t="shared" ca="1" si="54"/>
        <v>#VALUE!</v>
      </c>
    </row>
    <row r="2535" spans="1:25" ht="15" x14ac:dyDescent="0.25">
      <c r="A2535" s="4">
        <v>2468</v>
      </c>
      <c r="C2535" s="41" t="s">
        <v>4800</v>
      </c>
      <c r="D2535" s="42"/>
      <c r="E2535" s="5" t="str">
        <f t="shared" si="50"/>
        <v>https://www.screener.in/company//consolidated/</v>
      </c>
      <c r="F2535" s="4">
        <v>443059</v>
      </c>
      <c r="G2535" s="4">
        <v>3832241897</v>
      </c>
      <c r="H2535" s="6" t="e">
        <f t="shared" ca="1" si="51"/>
        <v>#VALUE!</v>
      </c>
      <c r="I2535" s="7" t="str">
        <f ca="1">IFERROR(__xludf.DUMMYFUNCTION("IMPORTXML(E2535,""/html/body/main/div[3]/div[3]/div[2]/ul/li[5]/span[2]/span"")"),"Loading...")</f>
        <v>Loading...</v>
      </c>
      <c r="J2535" s="7" t="str">
        <f ca="1">IFERROR(__xludf.DUMMYFUNCTION("GOOGLEFINANCE(""NSE:""&amp;D2535,""marketcap"")"),"#N/A")</f>
        <v>#N/A</v>
      </c>
      <c r="K2535" s="7">
        <v>992.8</v>
      </c>
      <c r="L2535" s="8" t="str">
        <f ca="1">IFERROR(__xludf.DUMMYFUNCTION("GOOGLEFINANCE(""NSE:""&amp;D2535,""price"")"),"#N/A")</f>
        <v>#N/A</v>
      </c>
      <c r="M2535" s="9" t="e">
        <f t="shared" ca="1" si="52"/>
        <v>#VALUE!</v>
      </c>
      <c r="N2535" s="10" t="e">
        <f t="shared" ca="1" si="53"/>
        <v>#VALUE!</v>
      </c>
      <c r="O2535" s="7" t="str">
        <f ca="1">IFERROR(__xludf.DUMMYFUNCTION("GOOGLEFINANCE(""NSE:""&amp;D2535,""pe"")"),"#N/A")</f>
        <v>#N/A</v>
      </c>
      <c r="P2535" s="7" t="str">
        <f ca="1">IFERROR(__xludf.DUMMYFUNCTION("GOOGLEFINANCE(""NSE:""&amp;D2535,""EPS"")"),"#N/A")</f>
        <v>#N/A</v>
      </c>
      <c r="Q2535" s="7">
        <v>13.5</v>
      </c>
      <c r="R2535" s="7" t="str">
        <f ca="1">IFERROR(__xludf.DUMMYFUNCTION("IMPORTXML(E2535,""/html/body/main/div[3]/div[3]/div[2]/ul/li[7]/span[2]/span"")"),"Loading...")</f>
        <v>Loading...</v>
      </c>
      <c r="S2535" s="7" t="str">
        <f ca="1">IFERROR(__xludf.DUMMYFUNCTION("IMPORTXML(E2535,""/html/body/main/div[3]/div[3]/div[2]/ul/li[8]/span[2]/span"")"),"Loading...")</f>
        <v>Loading...</v>
      </c>
      <c r="T2535" s="4">
        <v>34.6</v>
      </c>
      <c r="U2535" s="4">
        <v>22.7</v>
      </c>
      <c r="V2535" s="4">
        <v>2.6</v>
      </c>
      <c r="W2535" s="4">
        <v>5.7</v>
      </c>
      <c r="X2535" s="4">
        <v>519.92999999999995</v>
      </c>
      <c r="Y2535" s="7" t="e">
        <f t="shared" ca="1" si="54"/>
        <v>#VALUE!</v>
      </c>
    </row>
    <row r="2536" spans="1:25" ht="15" x14ac:dyDescent="0.25">
      <c r="A2536" s="4">
        <v>2469</v>
      </c>
      <c r="C2536" s="41" t="s">
        <v>4801</v>
      </c>
      <c r="D2536" s="42"/>
      <c r="E2536" s="5" t="str">
        <f t="shared" si="50"/>
        <v>https://www.screener.in/company//consolidated/</v>
      </c>
      <c r="F2536" s="4">
        <v>443059</v>
      </c>
      <c r="G2536" s="4">
        <v>3832241897</v>
      </c>
      <c r="H2536" s="6" t="e">
        <f t="shared" ca="1" si="51"/>
        <v>#VALUE!</v>
      </c>
      <c r="I2536" s="7" t="str">
        <f ca="1">IFERROR(__xludf.DUMMYFUNCTION("IMPORTXML(E2536,""/html/body/main/div[3]/div[3]/div[2]/ul/li[5]/span[2]/span"")"),"Loading...")</f>
        <v>Loading...</v>
      </c>
      <c r="J2536" s="7" t="str">
        <f ca="1">IFERROR(__xludf.DUMMYFUNCTION("GOOGLEFINANCE(""NSE:""&amp;D2536,""marketcap"")"),"#N/A")</f>
        <v>#N/A</v>
      </c>
      <c r="K2536" s="7">
        <v>992.8</v>
      </c>
      <c r="L2536" s="8" t="str">
        <f ca="1">IFERROR(__xludf.DUMMYFUNCTION("GOOGLEFINANCE(""NSE:""&amp;D2536,""price"")"),"#N/A")</f>
        <v>#N/A</v>
      </c>
      <c r="M2536" s="9" t="e">
        <f t="shared" ca="1" si="52"/>
        <v>#VALUE!</v>
      </c>
      <c r="N2536" s="10" t="e">
        <f t="shared" ca="1" si="53"/>
        <v>#VALUE!</v>
      </c>
      <c r="O2536" s="7" t="str">
        <f ca="1">IFERROR(__xludf.DUMMYFUNCTION("GOOGLEFINANCE(""NSE:""&amp;D2536,""pe"")"),"#N/A")</f>
        <v>#N/A</v>
      </c>
      <c r="P2536" s="7" t="str">
        <f ca="1">IFERROR(__xludf.DUMMYFUNCTION("GOOGLEFINANCE(""NSE:""&amp;D2536,""EPS"")"),"#N/A")</f>
        <v>#N/A</v>
      </c>
      <c r="Q2536" s="7">
        <v>13.5</v>
      </c>
      <c r="R2536" s="7" t="str">
        <f ca="1">IFERROR(__xludf.DUMMYFUNCTION("IMPORTXML(E2536,""/html/body/main/div[3]/div[3]/div[2]/ul/li[7]/span[2]/span"")"),"Loading...")</f>
        <v>Loading...</v>
      </c>
      <c r="S2536" s="7" t="str">
        <f ca="1">IFERROR(__xludf.DUMMYFUNCTION("IMPORTXML(E2536,""/html/body/main/div[3]/div[3]/div[2]/ul/li[8]/span[2]/span"")"),"Loading...")</f>
        <v>Loading...</v>
      </c>
      <c r="T2536" s="4">
        <v>34.6</v>
      </c>
      <c r="U2536" s="4">
        <v>22.7</v>
      </c>
      <c r="V2536" s="4">
        <v>2.6</v>
      </c>
      <c r="W2536" s="4">
        <v>5.7</v>
      </c>
      <c r="X2536" s="4">
        <v>519.92999999999995</v>
      </c>
      <c r="Y2536" s="7" t="e">
        <f t="shared" ca="1" si="54"/>
        <v>#VALUE!</v>
      </c>
    </row>
    <row r="2537" spans="1:25" ht="15" x14ac:dyDescent="0.25">
      <c r="A2537" s="4">
        <v>2470</v>
      </c>
      <c r="C2537" s="41" t="s">
        <v>4802</v>
      </c>
      <c r="D2537" s="42"/>
      <c r="E2537" s="5" t="str">
        <f t="shared" si="50"/>
        <v>https://www.screener.in/company//consolidated/</v>
      </c>
      <c r="F2537" s="4">
        <v>443059</v>
      </c>
      <c r="G2537" s="4">
        <v>3832241897</v>
      </c>
      <c r="H2537" s="6" t="e">
        <f t="shared" ca="1" si="51"/>
        <v>#VALUE!</v>
      </c>
      <c r="I2537" s="7" t="str">
        <f ca="1">IFERROR(__xludf.DUMMYFUNCTION("IMPORTXML(E2537,""/html/body/main/div[3]/div[3]/div[2]/ul/li[5]/span[2]/span"")"),"Loading...")</f>
        <v>Loading...</v>
      </c>
      <c r="J2537" s="7" t="str">
        <f ca="1">IFERROR(__xludf.DUMMYFUNCTION("GOOGLEFINANCE(""NSE:""&amp;D2537,""marketcap"")"),"#N/A")</f>
        <v>#N/A</v>
      </c>
      <c r="K2537" s="7">
        <v>992.8</v>
      </c>
      <c r="L2537" s="8" t="str">
        <f ca="1">IFERROR(__xludf.DUMMYFUNCTION("GOOGLEFINANCE(""NSE:""&amp;D2537,""price"")"),"#N/A")</f>
        <v>#N/A</v>
      </c>
      <c r="M2537" s="9" t="e">
        <f t="shared" ca="1" si="52"/>
        <v>#VALUE!</v>
      </c>
      <c r="N2537" s="10" t="e">
        <f t="shared" ca="1" si="53"/>
        <v>#VALUE!</v>
      </c>
      <c r="O2537" s="7" t="str">
        <f ca="1">IFERROR(__xludf.DUMMYFUNCTION("GOOGLEFINANCE(""NSE:""&amp;D2537,""pe"")"),"#N/A")</f>
        <v>#N/A</v>
      </c>
      <c r="P2537" s="7" t="str">
        <f ca="1">IFERROR(__xludf.DUMMYFUNCTION("GOOGLEFINANCE(""NSE:""&amp;D2537,""EPS"")"),"#N/A")</f>
        <v>#N/A</v>
      </c>
      <c r="Q2537" s="7">
        <v>13.5</v>
      </c>
      <c r="R2537" s="7" t="str">
        <f ca="1">IFERROR(__xludf.DUMMYFUNCTION("IMPORTXML(E2537,""/html/body/main/div[3]/div[3]/div[2]/ul/li[7]/span[2]/span"")"),"Loading...")</f>
        <v>Loading...</v>
      </c>
      <c r="S2537" s="7" t="str">
        <f ca="1">IFERROR(__xludf.DUMMYFUNCTION("IMPORTXML(E2537,""/html/body/main/div[3]/div[3]/div[2]/ul/li[8]/span[2]/span"")"),"Loading...")</f>
        <v>Loading...</v>
      </c>
      <c r="T2537" s="4">
        <v>34.6</v>
      </c>
      <c r="U2537" s="4">
        <v>22.7</v>
      </c>
      <c r="V2537" s="4">
        <v>2.6</v>
      </c>
      <c r="W2537" s="4">
        <v>5.7</v>
      </c>
      <c r="X2537" s="4">
        <v>519.92999999999995</v>
      </c>
      <c r="Y2537" s="7" t="e">
        <f t="shared" ca="1" si="54"/>
        <v>#VALUE!</v>
      </c>
    </row>
    <row r="2538" spans="1:25" ht="15" x14ac:dyDescent="0.25">
      <c r="A2538" s="4">
        <v>2471</v>
      </c>
      <c r="C2538" s="41" t="s">
        <v>4803</v>
      </c>
      <c r="D2538" s="42"/>
      <c r="E2538" s="5" t="str">
        <f t="shared" si="50"/>
        <v>https://www.screener.in/company//consolidated/</v>
      </c>
      <c r="F2538" s="4">
        <v>443059</v>
      </c>
      <c r="G2538" s="4">
        <v>3832241897</v>
      </c>
      <c r="H2538" s="6" t="e">
        <f t="shared" ca="1" si="51"/>
        <v>#VALUE!</v>
      </c>
      <c r="I2538" s="7" t="str">
        <f ca="1">IFERROR(__xludf.DUMMYFUNCTION("IMPORTXML(E2538,""/html/body/main/div[3]/div[3]/div[2]/ul/li[5]/span[2]/span"")"),"Loading...")</f>
        <v>Loading...</v>
      </c>
      <c r="J2538" s="7" t="str">
        <f ca="1">IFERROR(__xludf.DUMMYFUNCTION("GOOGLEFINANCE(""NSE:""&amp;D2538,""marketcap"")"),"#N/A")</f>
        <v>#N/A</v>
      </c>
      <c r="K2538" s="7">
        <v>992.8</v>
      </c>
      <c r="L2538" s="8" t="str">
        <f ca="1">IFERROR(__xludf.DUMMYFUNCTION("GOOGLEFINANCE(""NSE:""&amp;D2538,""price"")"),"#N/A")</f>
        <v>#N/A</v>
      </c>
      <c r="M2538" s="9" t="e">
        <f t="shared" ca="1" si="52"/>
        <v>#VALUE!</v>
      </c>
      <c r="N2538" s="10" t="e">
        <f t="shared" ca="1" si="53"/>
        <v>#VALUE!</v>
      </c>
      <c r="O2538" s="7" t="str">
        <f ca="1">IFERROR(__xludf.DUMMYFUNCTION("GOOGLEFINANCE(""NSE:""&amp;D2538,""pe"")"),"#N/A")</f>
        <v>#N/A</v>
      </c>
      <c r="P2538" s="7" t="str">
        <f ca="1">IFERROR(__xludf.DUMMYFUNCTION("GOOGLEFINANCE(""NSE:""&amp;D2538,""EPS"")"),"#N/A")</f>
        <v>#N/A</v>
      </c>
      <c r="Q2538" s="7">
        <v>13.5</v>
      </c>
      <c r="R2538" s="7" t="str">
        <f ca="1">IFERROR(__xludf.DUMMYFUNCTION("IMPORTXML(E2538,""/html/body/main/div[3]/div[3]/div[2]/ul/li[7]/span[2]/span"")"),"Loading...")</f>
        <v>Loading...</v>
      </c>
      <c r="S2538" s="7" t="str">
        <f ca="1">IFERROR(__xludf.DUMMYFUNCTION("IMPORTXML(E2538,""/html/body/main/div[3]/div[3]/div[2]/ul/li[8]/span[2]/span"")"),"Loading...")</f>
        <v>Loading...</v>
      </c>
      <c r="T2538" s="4">
        <v>34.6</v>
      </c>
      <c r="U2538" s="4">
        <v>22.7</v>
      </c>
      <c r="V2538" s="4">
        <v>2.6</v>
      </c>
      <c r="W2538" s="4">
        <v>5.7</v>
      </c>
      <c r="X2538" s="4">
        <v>519.92999999999995</v>
      </c>
      <c r="Y2538" s="7" t="e">
        <f t="shared" ca="1" si="54"/>
        <v>#VALUE!</v>
      </c>
    </row>
    <row r="2539" spans="1:25" ht="15" x14ac:dyDescent="0.25">
      <c r="A2539" s="4">
        <v>2472</v>
      </c>
      <c r="C2539" s="41" t="s">
        <v>4804</v>
      </c>
      <c r="D2539" s="42"/>
      <c r="E2539" s="5" t="str">
        <f t="shared" si="50"/>
        <v>https://www.screener.in/company//consolidated/</v>
      </c>
      <c r="F2539" s="4">
        <v>443059</v>
      </c>
      <c r="G2539" s="4">
        <v>3832241897</v>
      </c>
      <c r="H2539" s="6" t="e">
        <f t="shared" ca="1" si="51"/>
        <v>#VALUE!</v>
      </c>
      <c r="I2539" s="7" t="str">
        <f ca="1">IFERROR(__xludf.DUMMYFUNCTION("IMPORTXML(E2539,""/html/body/main/div[3]/div[3]/div[2]/ul/li[5]/span[2]/span"")"),"Loading...")</f>
        <v>Loading...</v>
      </c>
      <c r="J2539" s="7" t="str">
        <f ca="1">IFERROR(__xludf.DUMMYFUNCTION("GOOGLEFINANCE(""NSE:""&amp;D2539,""marketcap"")"),"#N/A")</f>
        <v>#N/A</v>
      </c>
      <c r="K2539" s="7">
        <v>992.8</v>
      </c>
      <c r="L2539" s="8" t="str">
        <f ca="1">IFERROR(__xludf.DUMMYFUNCTION("GOOGLEFINANCE(""NSE:""&amp;D2539,""price"")"),"#N/A")</f>
        <v>#N/A</v>
      </c>
      <c r="M2539" s="9" t="e">
        <f t="shared" ca="1" si="52"/>
        <v>#VALUE!</v>
      </c>
      <c r="N2539" s="10" t="e">
        <f t="shared" ca="1" si="53"/>
        <v>#VALUE!</v>
      </c>
      <c r="O2539" s="7" t="str">
        <f ca="1">IFERROR(__xludf.DUMMYFUNCTION("GOOGLEFINANCE(""NSE:""&amp;D2539,""pe"")"),"#N/A")</f>
        <v>#N/A</v>
      </c>
      <c r="P2539" s="7" t="str">
        <f ca="1">IFERROR(__xludf.DUMMYFUNCTION("GOOGLEFINANCE(""NSE:""&amp;D2539,""EPS"")"),"#N/A")</f>
        <v>#N/A</v>
      </c>
      <c r="Q2539" s="7">
        <v>13.5</v>
      </c>
      <c r="R2539" s="7" t="str">
        <f ca="1">IFERROR(__xludf.DUMMYFUNCTION("IMPORTXML(E2539,""/html/body/main/div[3]/div[3]/div[2]/ul/li[7]/span[2]/span"")"),"Loading...")</f>
        <v>Loading...</v>
      </c>
      <c r="S2539" s="7" t="str">
        <f ca="1">IFERROR(__xludf.DUMMYFUNCTION("IMPORTXML(E2539,""/html/body/main/div[3]/div[3]/div[2]/ul/li[8]/span[2]/span"")"),"Loading...")</f>
        <v>Loading...</v>
      </c>
      <c r="T2539" s="4">
        <v>34.6</v>
      </c>
      <c r="U2539" s="4">
        <v>22.7</v>
      </c>
      <c r="V2539" s="4">
        <v>2.6</v>
      </c>
      <c r="W2539" s="4">
        <v>5.7</v>
      </c>
      <c r="X2539" s="4">
        <v>519.92999999999995</v>
      </c>
      <c r="Y2539" s="7" t="e">
        <f t="shared" ca="1" si="54"/>
        <v>#VALUE!</v>
      </c>
    </row>
    <row r="2540" spans="1:25" ht="15" x14ac:dyDescent="0.25">
      <c r="A2540" s="4">
        <v>2473</v>
      </c>
      <c r="C2540" s="41" t="s">
        <v>4805</v>
      </c>
      <c r="D2540" s="42"/>
      <c r="E2540" s="5" t="str">
        <f t="shared" si="50"/>
        <v>https://www.screener.in/company//consolidated/</v>
      </c>
      <c r="F2540" s="4">
        <v>443059</v>
      </c>
      <c r="G2540" s="4">
        <v>3832241897</v>
      </c>
      <c r="H2540" s="6" t="e">
        <f t="shared" ca="1" si="51"/>
        <v>#VALUE!</v>
      </c>
      <c r="I2540" s="7" t="str">
        <f ca="1">IFERROR(__xludf.DUMMYFUNCTION("IMPORTXML(E2540,""/html/body/main/div[3]/div[3]/div[2]/ul/li[5]/span[2]/span"")"),"Loading...")</f>
        <v>Loading...</v>
      </c>
      <c r="J2540" s="7" t="str">
        <f ca="1">IFERROR(__xludf.DUMMYFUNCTION("GOOGLEFINANCE(""NSE:""&amp;D2540,""marketcap"")"),"#N/A")</f>
        <v>#N/A</v>
      </c>
      <c r="K2540" s="7">
        <v>992.8</v>
      </c>
      <c r="L2540" s="8" t="str">
        <f ca="1">IFERROR(__xludf.DUMMYFUNCTION("GOOGLEFINANCE(""NSE:""&amp;D2540,""price"")"),"#N/A")</f>
        <v>#N/A</v>
      </c>
      <c r="M2540" s="9" t="e">
        <f t="shared" ca="1" si="52"/>
        <v>#VALUE!</v>
      </c>
      <c r="N2540" s="10" t="e">
        <f t="shared" ca="1" si="53"/>
        <v>#VALUE!</v>
      </c>
      <c r="O2540" s="7" t="str">
        <f ca="1">IFERROR(__xludf.DUMMYFUNCTION("GOOGLEFINANCE(""NSE:""&amp;D2540,""pe"")"),"#N/A")</f>
        <v>#N/A</v>
      </c>
      <c r="P2540" s="7" t="str">
        <f ca="1">IFERROR(__xludf.DUMMYFUNCTION("GOOGLEFINANCE(""NSE:""&amp;D2540,""EPS"")"),"#N/A")</f>
        <v>#N/A</v>
      </c>
      <c r="Q2540" s="7">
        <v>13.5</v>
      </c>
      <c r="R2540" s="7" t="str">
        <f ca="1">IFERROR(__xludf.DUMMYFUNCTION("IMPORTXML(E2540,""/html/body/main/div[3]/div[3]/div[2]/ul/li[7]/span[2]/span"")"),"Loading...")</f>
        <v>Loading...</v>
      </c>
      <c r="S2540" s="7" t="str">
        <f ca="1">IFERROR(__xludf.DUMMYFUNCTION("IMPORTXML(E2540,""/html/body/main/div[3]/div[3]/div[2]/ul/li[8]/span[2]/span"")"),"Loading...")</f>
        <v>Loading...</v>
      </c>
      <c r="T2540" s="4">
        <v>34.6</v>
      </c>
      <c r="U2540" s="4">
        <v>22.7</v>
      </c>
      <c r="V2540" s="4">
        <v>2.6</v>
      </c>
      <c r="W2540" s="4">
        <v>5.7</v>
      </c>
      <c r="X2540" s="4">
        <v>519.92999999999995</v>
      </c>
      <c r="Y2540" s="7" t="e">
        <f t="shared" ca="1" si="54"/>
        <v>#VALUE!</v>
      </c>
    </row>
    <row r="2541" spans="1:25" ht="15" x14ac:dyDescent="0.25">
      <c r="A2541" s="4">
        <v>2474</v>
      </c>
      <c r="C2541" s="41" t="s">
        <v>4806</v>
      </c>
      <c r="D2541" s="42"/>
      <c r="E2541" s="5" t="str">
        <f t="shared" si="50"/>
        <v>https://www.screener.in/company//consolidated/</v>
      </c>
      <c r="F2541" s="4">
        <v>443059</v>
      </c>
      <c r="G2541" s="4">
        <v>3832241897</v>
      </c>
      <c r="H2541" s="6" t="e">
        <f t="shared" ca="1" si="51"/>
        <v>#VALUE!</v>
      </c>
      <c r="I2541" s="7" t="str">
        <f ca="1">IFERROR(__xludf.DUMMYFUNCTION("IMPORTXML(E2541,""/html/body/main/div[3]/div[3]/div[2]/ul/li[5]/span[2]/span"")"),"Loading...")</f>
        <v>Loading...</v>
      </c>
      <c r="J2541" s="7" t="str">
        <f ca="1">IFERROR(__xludf.DUMMYFUNCTION("GOOGLEFINANCE(""NSE:""&amp;D2541,""marketcap"")"),"#N/A")</f>
        <v>#N/A</v>
      </c>
      <c r="K2541" s="7">
        <v>992.8</v>
      </c>
      <c r="L2541" s="8" t="str">
        <f ca="1">IFERROR(__xludf.DUMMYFUNCTION("GOOGLEFINANCE(""NSE:""&amp;D2541,""price"")"),"#N/A")</f>
        <v>#N/A</v>
      </c>
      <c r="M2541" s="9" t="e">
        <f t="shared" ca="1" si="52"/>
        <v>#VALUE!</v>
      </c>
      <c r="N2541" s="10" t="e">
        <f t="shared" ca="1" si="53"/>
        <v>#VALUE!</v>
      </c>
      <c r="O2541" s="7" t="str">
        <f ca="1">IFERROR(__xludf.DUMMYFUNCTION("GOOGLEFINANCE(""NSE:""&amp;D2541,""pe"")"),"#N/A")</f>
        <v>#N/A</v>
      </c>
      <c r="P2541" s="7" t="str">
        <f ca="1">IFERROR(__xludf.DUMMYFUNCTION("GOOGLEFINANCE(""NSE:""&amp;D2541,""EPS"")"),"#N/A")</f>
        <v>#N/A</v>
      </c>
      <c r="Q2541" s="7">
        <v>13.5</v>
      </c>
      <c r="R2541" s="7" t="str">
        <f ca="1">IFERROR(__xludf.DUMMYFUNCTION("IMPORTXML(E2541,""/html/body/main/div[3]/div[3]/div[2]/ul/li[7]/span[2]/span"")"),"Loading...")</f>
        <v>Loading...</v>
      </c>
      <c r="S2541" s="7" t="str">
        <f ca="1">IFERROR(__xludf.DUMMYFUNCTION("IMPORTXML(E2541,""/html/body/main/div[3]/div[3]/div[2]/ul/li[8]/span[2]/span"")"),"Loading...")</f>
        <v>Loading...</v>
      </c>
      <c r="T2541" s="4">
        <v>34.6</v>
      </c>
      <c r="U2541" s="4">
        <v>22.7</v>
      </c>
      <c r="V2541" s="4">
        <v>2.6</v>
      </c>
      <c r="W2541" s="4">
        <v>5.7</v>
      </c>
      <c r="X2541" s="4">
        <v>519.92999999999995</v>
      </c>
      <c r="Y2541" s="7" t="e">
        <f t="shared" ca="1" si="54"/>
        <v>#VALUE!</v>
      </c>
    </row>
    <row r="2542" spans="1:25" ht="15" x14ac:dyDescent="0.25">
      <c r="A2542" s="4">
        <v>2475</v>
      </c>
      <c r="C2542" s="41" t="s">
        <v>4807</v>
      </c>
      <c r="D2542" s="42"/>
      <c r="E2542" s="5" t="str">
        <f t="shared" si="50"/>
        <v>https://www.screener.in/company//consolidated/</v>
      </c>
      <c r="F2542" s="4">
        <v>443059</v>
      </c>
      <c r="G2542" s="4">
        <v>3832241897</v>
      </c>
      <c r="H2542" s="6" t="e">
        <f t="shared" ca="1" si="51"/>
        <v>#VALUE!</v>
      </c>
      <c r="I2542" s="7" t="str">
        <f ca="1">IFERROR(__xludf.DUMMYFUNCTION("IMPORTXML(E2542,""/html/body/main/div[3]/div[3]/div[2]/ul/li[5]/span[2]/span"")"),"Loading...")</f>
        <v>Loading...</v>
      </c>
      <c r="J2542" s="7" t="str">
        <f ca="1">IFERROR(__xludf.DUMMYFUNCTION("GOOGLEFINANCE(""NSE:""&amp;D2542,""marketcap"")"),"#N/A")</f>
        <v>#N/A</v>
      </c>
      <c r="K2542" s="7">
        <v>992.8</v>
      </c>
      <c r="L2542" s="8" t="str">
        <f ca="1">IFERROR(__xludf.DUMMYFUNCTION("GOOGLEFINANCE(""NSE:""&amp;D2542,""price"")"),"#N/A")</f>
        <v>#N/A</v>
      </c>
      <c r="M2542" s="9" t="e">
        <f t="shared" ca="1" si="52"/>
        <v>#VALUE!</v>
      </c>
      <c r="N2542" s="10" t="e">
        <f t="shared" ca="1" si="53"/>
        <v>#VALUE!</v>
      </c>
      <c r="O2542" s="7" t="str">
        <f ca="1">IFERROR(__xludf.DUMMYFUNCTION("GOOGLEFINANCE(""NSE:""&amp;D2542,""pe"")"),"#N/A")</f>
        <v>#N/A</v>
      </c>
      <c r="P2542" s="7" t="str">
        <f ca="1">IFERROR(__xludf.DUMMYFUNCTION("GOOGLEFINANCE(""NSE:""&amp;D2542,""EPS"")"),"#N/A")</f>
        <v>#N/A</v>
      </c>
      <c r="Q2542" s="7">
        <v>13.5</v>
      </c>
      <c r="R2542" s="7" t="str">
        <f ca="1">IFERROR(__xludf.DUMMYFUNCTION("IMPORTXML(E2542,""/html/body/main/div[3]/div[3]/div[2]/ul/li[7]/span[2]/span"")"),"Loading...")</f>
        <v>Loading...</v>
      </c>
      <c r="S2542" s="7" t="str">
        <f ca="1">IFERROR(__xludf.DUMMYFUNCTION("IMPORTXML(E2542,""/html/body/main/div[3]/div[3]/div[2]/ul/li[8]/span[2]/span"")"),"Loading...")</f>
        <v>Loading...</v>
      </c>
      <c r="T2542" s="4">
        <v>34.6</v>
      </c>
      <c r="U2542" s="4">
        <v>22.7</v>
      </c>
      <c r="V2542" s="4">
        <v>2.6</v>
      </c>
      <c r="W2542" s="4">
        <v>5.7</v>
      </c>
      <c r="X2542" s="4">
        <v>519.92999999999995</v>
      </c>
      <c r="Y2542" s="7" t="e">
        <f t="shared" ca="1" si="54"/>
        <v>#VALUE!</v>
      </c>
    </row>
    <row r="2543" spans="1:25" ht="15" x14ac:dyDescent="0.25">
      <c r="A2543" s="4">
        <v>2476</v>
      </c>
      <c r="C2543" s="41" t="s">
        <v>4808</v>
      </c>
      <c r="D2543" s="42"/>
      <c r="E2543" s="5" t="str">
        <f t="shared" si="50"/>
        <v>https://www.screener.in/company//consolidated/</v>
      </c>
      <c r="F2543" s="4">
        <v>443059</v>
      </c>
      <c r="G2543" s="4">
        <v>3832241897</v>
      </c>
      <c r="H2543" s="6" t="e">
        <f t="shared" ca="1" si="51"/>
        <v>#VALUE!</v>
      </c>
      <c r="I2543" s="7" t="str">
        <f ca="1">IFERROR(__xludf.DUMMYFUNCTION("IMPORTXML(E2543,""/html/body/main/div[3]/div[3]/div[2]/ul/li[5]/span[2]/span"")"),"Loading...")</f>
        <v>Loading...</v>
      </c>
      <c r="J2543" s="7" t="str">
        <f ca="1">IFERROR(__xludf.DUMMYFUNCTION("GOOGLEFINANCE(""NSE:""&amp;D2543,""marketcap"")"),"#N/A")</f>
        <v>#N/A</v>
      </c>
      <c r="K2543" s="7">
        <v>992.8</v>
      </c>
      <c r="L2543" s="8" t="str">
        <f ca="1">IFERROR(__xludf.DUMMYFUNCTION("GOOGLEFINANCE(""NSE:""&amp;D2543,""price"")"),"#N/A")</f>
        <v>#N/A</v>
      </c>
      <c r="M2543" s="9" t="e">
        <f t="shared" ca="1" si="52"/>
        <v>#VALUE!</v>
      </c>
      <c r="N2543" s="10" t="e">
        <f t="shared" ca="1" si="53"/>
        <v>#VALUE!</v>
      </c>
      <c r="O2543" s="7" t="str">
        <f ca="1">IFERROR(__xludf.DUMMYFUNCTION("GOOGLEFINANCE(""NSE:""&amp;D2543,""pe"")"),"#N/A")</f>
        <v>#N/A</v>
      </c>
      <c r="P2543" s="7" t="str">
        <f ca="1">IFERROR(__xludf.DUMMYFUNCTION("GOOGLEFINANCE(""NSE:""&amp;D2543,""EPS"")"),"#N/A")</f>
        <v>#N/A</v>
      </c>
      <c r="Q2543" s="7">
        <v>13.5</v>
      </c>
      <c r="R2543" s="7" t="str">
        <f ca="1">IFERROR(__xludf.DUMMYFUNCTION("IMPORTXML(E2543,""/html/body/main/div[3]/div[3]/div[2]/ul/li[7]/span[2]/span"")"),"Loading...")</f>
        <v>Loading...</v>
      </c>
      <c r="S2543" s="7" t="str">
        <f ca="1">IFERROR(__xludf.DUMMYFUNCTION("IMPORTXML(E2543,""/html/body/main/div[3]/div[3]/div[2]/ul/li[8]/span[2]/span"")"),"Loading...")</f>
        <v>Loading...</v>
      </c>
      <c r="T2543" s="4">
        <v>34.6</v>
      </c>
      <c r="U2543" s="4">
        <v>22.7</v>
      </c>
      <c r="V2543" s="4">
        <v>2.6</v>
      </c>
      <c r="W2543" s="4">
        <v>5.7</v>
      </c>
      <c r="X2543" s="4">
        <v>519.92999999999995</v>
      </c>
      <c r="Y2543" s="7" t="e">
        <f t="shared" ca="1" si="54"/>
        <v>#VALUE!</v>
      </c>
    </row>
    <row r="2544" spans="1:25" ht="15" x14ac:dyDescent="0.25">
      <c r="A2544" s="4">
        <v>2477</v>
      </c>
      <c r="C2544" s="12" t="s">
        <v>4809</v>
      </c>
      <c r="D2544" s="12" t="s">
        <v>4810</v>
      </c>
      <c r="E2544" s="5" t="str">
        <f t="shared" si="50"/>
        <v>https://www.screener.in/company/ARSHIYA/consolidated/</v>
      </c>
      <c r="F2544" s="4">
        <v>443059</v>
      </c>
      <c r="G2544" s="4">
        <v>3832241897</v>
      </c>
      <c r="H2544" s="6">
        <f t="shared" ca="1" si="51"/>
        <v>724.29371853299995</v>
      </c>
      <c r="I2544" s="7" t="str">
        <f ca="1">IFERROR(__xludf.DUMMYFUNCTION("IMPORTXML(E2544,""/html/body/main/div[3]/div[3]/div[2]/ul/li[5]/span[2]/span"")"),"Loading...")</f>
        <v>Loading...</v>
      </c>
      <c r="J2544" s="7">
        <f ca="1">IFERROR(__xludf.DUMMYFUNCTION("GOOGLEFINANCE(""NSE:""&amp;D2544,""marketcap"")"),497969500)</f>
        <v>497969500</v>
      </c>
      <c r="K2544" s="7">
        <v>992.8</v>
      </c>
      <c r="L2544" s="8">
        <f ca="1">IFERROR(__xludf.DUMMYFUNCTION("GOOGLEFINANCE(""NSE:""&amp;D2544,""price"")"),1.89)</f>
        <v>1.89</v>
      </c>
      <c r="M2544" s="9">
        <f t="shared" ca="1" si="52"/>
        <v>-990.91</v>
      </c>
      <c r="N2544" s="10">
        <f t="shared" ca="1" si="53"/>
        <v>-99.809629331184539</v>
      </c>
      <c r="O2544" s="7" t="str">
        <f ca="1">IFERROR(__xludf.DUMMYFUNCTION("GOOGLEFINANCE(""NSE:""&amp;D2544,""pe"")"),"#N/A")</f>
        <v>#N/A</v>
      </c>
      <c r="P2544" s="7" t="str">
        <f ca="1">IFERROR(__xludf.DUMMYFUNCTION("GOOGLEFINANCE(""NSE:""&amp;D2544,""EPS"")"),"#N/A")</f>
        <v>#N/A</v>
      </c>
      <c r="Q2544" s="7">
        <v>13.5</v>
      </c>
      <c r="R2544" s="7" t="str">
        <f ca="1">IFERROR(__xludf.DUMMYFUNCTION("IMPORTXML(E2544,""/html/body/main/div[3]/div[3]/div[2]/ul/li[7]/span[2]/span"")"),"Loading...")</f>
        <v>Loading...</v>
      </c>
      <c r="S2544" s="7" t="str">
        <f ca="1">IFERROR(__xludf.DUMMYFUNCTION("IMPORTXML(E2544,""/html/body/main/div[3]/div[3]/div[2]/ul/li[8]/span[2]/span"")"),"Loading...")</f>
        <v>Loading...</v>
      </c>
      <c r="T2544" s="4">
        <v>34.6</v>
      </c>
      <c r="U2544" s="4">
        <v>22.7</v>
      </c>
      <c r="V2544" s="4">
        <v>2.6</v>
      </c>
      <c r="W2544" s="4">
        <v>5.7</v>
      </c>
      <c r="X2544" s="4">
        <v>519.92999999999995</v>
      </c>
      <c r="Y2544" s="7">
        <f t="shared" ca="1" si="54"/>
        <v>-518.04</v>
      </c>
    </row>
    <row r="2545" spans="1:25" ht="15" x14ac:dyDescent="0.25">
      <c r="A2545" s="4">
        <v>2478</v>
      </c>
      <c r="C2545" s="41" t="s">
        <v>4811</v>
      </c>
      <c r="D2545" s="42"/>
      <c r="E2545" s="5" t="str">
        <f t="shared" si="50"/>
        <v>https://www.screener.in/company//consolidated/</v>
      </c>
      <c r="F2545" s="4">
        <v>443059</v>
      </c>
      <c r="G2545" s="4">
        <v>3832241897</v>
      </c>
      <c r="H2545" s="6" t="e">
        <f t="shared" ca="1" si="51"/>
        <v>#VALUE!</v>
      </c>
      <c r="I2545" s="7" t="str">
        <f ca="1">IFERROR(__xludf.DUMMYFUNCTION("IMPORTXML(E2545,""/html/body/main/div[3]/div[3]/div[2]/ul/li[5]/span[2]/span"")"),"Loading...")</f>
        <v>Loading...</v>
      </c>
      <c r="J2545" s="7" t="str">
        <f ca="1">IFERROR(__xludf.DUMMYFUNCTION("GOOGLEFINANCE(""NSE:""&amp;D2545,""marketcap"")"),"#N/A")</f>
        <v>#N/A</v>
      </c>
      <c r="K2545" s="7">
        <v>992.8</v>
      </c>
      <c r="L2545" s="8" t="str">
        <f ca="1">IFERROR(__xludf.DUMMYFUNCTION("GOOGLEFINANCE(""NSE:""&amp;D2545,""price"")"),"#N/A")</f>
        <v>#N/A</v>
      </c>
      <c r="M2545" s="9" t="e">
        <f t="shared" ca="1" si="52"/>
        <v>#VALUE!</v>
      </c>
      <c r="N2545" s="10" t="e">
        <f t="shared" ca="1" si="53"/>
        <v>#VALUE!</v>
      </c>
      <c r="O2545" s="7" t="str">
        <f ca="1">IFERROR(__xludf.DUMMYFUNCTION("GOOGLEFINANCE(""NSE:""&amp;D2545,""pe"")"),"#N/A")</f>
        <v>#N/A</v>
      </c>
      <c r="P2545" s="7" t="str">
        <f ca="1">IFERROR(__xludf.DUMMYFUNCTION("GOOGLEFINANCE(""NSE:""&amp;D2545,""EPS"")"),"#N/A")</f>
        <v>#N/A</v>
      </c>
      <c r="Q2545" s="7">
        <v>13.5</v>
      </c>
      <c r="R2545" s="7" t="str">
        <f ca="1">IFERROR(__xludf.DUMMYFUNCTION("IMPORTXML(E2545,""/html/body/main/div[3]/div[3]/div[2]/ul/li[7]/span[2]/span"")"),"Loading...")</f>
        <v>Loading...</v>
      </c>
      <c r="S2545" s="7" t="str">
        <f ca="1">IFERROR(__xludf.DUMMYFUNCTION("IMPORTXML(E2545,""/html/body/main/div[3]/div[3]/div[2]/ul/li[8]/span[2]/span"")"),"Loading...")</f>
        <v>Loading...</v>
      </c>
      <c r="T2545" s="4">
        <v>34.6</v>
      </c>
      <c r="U2545" s="4">
        <v>22.7</v>
      </c>
      <c r="V2545" s="4">
        <v>2.6</v>
      </c>
      <c r="W2545" s="4">
        <v>5.7</v>
      </c>
      <c r="X2545" s="4">
        <v>519.92999999999995</v>
      </c>
      <c r="Y2545" s="7" t="e">
        <f t="shared" ca="1" si="54"/>
        <v>#VALUE!</v>
      </c>
    </row>
    <row r="2546" spans="1:25" ht="15" x14ac:dyDescent="0.25">
      <c r="A2546" s="4">
        <v>2479</v>
      </c>
      <c r="C2546" s="41" t="s">
        <v>4812</v>
      </c>
      <c r="D2546" s="42"/>
      <c r="E2546" s="5" t="str">
        <f t="shared" si="50"/>
        <v>https://www.screener.in/company//consolidated/</v>
      </c>
      <c r="F2546" s="4">
        <v>443059</v>
      </c>
      <c r="G2546" s="4">
        <v>3832241897</v>
      </c>
      <c r="H2546" s="6" t="e">
        <f t="shared" ca="1" si="51"/>
        <v>#VALUE!</v>
      </c>
      <c r="I2546" s="7" t="str">
        <f ca="1">IFERROR(__xludf.DUMMYFUNCTION("IMPORTXML(E2546,""/html/body/main/div[3]/div[3]/div[2]/ul/li[5]/span[2]/span"")"),"Loading...")</f>
        <v>Loading...</v>
      </c>
      <c r="J2546" s="7" t="str">
        <f ca="1">IFERROR(__xludf.DUMMYFUNCTION("GOOGLEFINANCE(""NSE:""&amp;D2546,""marketcap"")"),"#N/A")</f>
        <v>#N/A</v>
      </c>
      <c r="K2546" s="7">
        <v>992.8</v>
      </c>
      <c r="L2546" s="8" t="str">
        <f ca="1">IFERROR(__xludf.DUMMYFUNCTION("GOOGLEFINANCE(""NSE:""&amp;D2546,""price"")"),"#N/A")</f>
        <v>#N/A</v>
      </c>
      <c r="M2546" s="9" t="e">
        <f t="shared" ca="1" si="52"/>
        <v>#VALUE!</v>
      </c>
      <c r="N2546" s="10" t="e">
        <f t="shared" ca="1" si="53"/>
        <v>#VALUE!</v>
      </c>
      <c r="O2546" s="7" t="str">
        <f ca="1">IFERROR(__xludf.DUMMYFUNCTION("GOOGLEFINANCE(""NSE:""&amp;D2546,""pe"")"),"#N/A")</f>
        <v>#N/A</v>
      </c>
      <c r="P2546" s="7" t="str">
        <f ca="1">IFERROR(__xludf.DUMMYFUNCTION("GOOGLEFINANCE(""NSE:""&amp;D2546,""EPS"")"),"#N/A")</f>
        <v>#N/A</v>
      </c>
      <c r="Q2546" s="7">
        <v>13.5</v>
      </c>
      <c r="R2546" s="7" t="str">
        <f ca="1">IFERROR(__xludf.DUMMYFUNCTION("IMPORTXML(E2546,""/html/body/main/div[3]/div[3]/div[2]/ul/li[7]/span[2]/span"")"),"Loading...")</f>
        <v>Loading...</v>
      </c>
      <c r="S2546" s="7" t="str">
        <f ca="1">IFERROR(__xludf.DUMMYFUNCTION("IMPORTXML(E2546,""/html/body/main/div[3]/div[3]/div[2]/ul/li[8]/span[2]/span"")"),"Loading...")</f>
        <v>Loading...</v>
      </c>
      <c r="T2546" s="4">
        <v>34.6</v>
      </c>
      <c r="U2546" s="4">
        <v>22.7</v>
      </c>
      <c r="V2546" s="4">
        <v>2.6</v>
      </c>
      <c r="W2546" s="4">
        <v>5.7</v>
      </c>
      <c r="X2546" s="4">
        <v>519.92999999999995</v>
      </c>
      <c r="Y2546" s="7" t="e">
        <f t="shared" ca="1" si="54"/>
        <v>#VALUE!</v>
      </c>
    </row>
    <row r="2547" spans="1:25" ht="15" x14ac:dyDescent="0.25">
      <c r="A2547" s="4">
        <v>2481</v>
      </c>
      <c r="C2547" s="41" t="s">
        <v>4813</v>
      </c>
      <c r="D2547" s="42"/>
      <c r="E2547" s="5" t="str">
        <f t="shared" si="50"/>
        <v>https://www.screener.in/company//consolidated/</v>
      </c>
      <c r="F2547" s="4">
        <v>443059</v>
      </c>
      <c r="G2547" s="4">
        <v>3832241897</v>
      </c>
      <c r="H2547" s="6" t="e">
        <f t="shared" ca="1" si="51"/>
        <v>#VALUE!</v>
      </c>
      <c r="I2547" s="7" t="str">
        <f ca="1">IFERROR(__xludf.DUMMYFUNCTION("IMPORTXML(E2547,""/html/body/main/div[3]/div[3]/div[2]/ul/li[5]/span[2]/span"")"),"Loading...")</f>
        <v>Loading...</v>
      </c>
      <c r="J2547" s="7" t="str">
        <f ca="1">IFERROR(__xludf.DUMMYFUNCTION("GOOGLEFINANCE(""NSE:""&amp;D2547,""marketcap"")"),"#N/A")</f>
        <v>#N/A</v>
      </c>
      <c r="K2547" s="7">
        <v>992.8</v>
      </c>
      <c r="L2547" s="8" t="str">
        <f ca="1">IFERROR(__xludf.DUMMYFUNCTION("GOOGLEFINANCE(""NSE:""&amp;D2547,""price"")"),"#N/A")</f>
        <v>#N/A</v>
      </c>
      <c r="M2547" s="9" t="e">
        <f t="shared" ca="1" si="52"/>
        <v>#VALUE!</v>
      </c>
      <c r="N2547" s="10" t="e">
        <f t="shared" ca="1" si="53"/>
        <v>#VALUE!</v>
      </c>
      <c r="O2547" s="7" t="str">
        <f ca="1">IFERROR(__xludf.DUMMYFUNCTION("GOOGLEFINANCE(""NSE:""&amp;D2547,""pe"")"),"#N/A")</f>
        <v>#N/A</v>
      </c>
      <c r="P2547" s="7" t="str">
        <f ca="1">IFERROR(__xludf.DUMMYFUNCTION("GOOGLEFINANCE(""NSE:""&amp;D2547,""EPS"")"),"#N/A")</f>
        <v>#N/A</v>
      </c>
      <c r="Q2547" s="7">
        <v>13.5</v>
      </c>
      <c r="R2547" s="7" t="str">
        <f ca="1">IFERROR(__xludf.DUMMYFUNCTION("IMPORTXML(E2547,""/html/body/main/div[3]/div[3]/div[2]/ul/li[7]/span[2]/span"")"),"Loading...")</f>
        <v>Loading...</v>
      </c>
      <c r="S2547" s="7" t="str">
        <f ca="1">IFERROR(__xludf.DUMMYFUNCTION("IMPORTXML(E2547,""/html/body/main/div[3]/div[3]/div[2]/ul/li[8]/span[2]/span"")"),"Loading...")</f>
        <v>Loading...</v>
      </c>
      <c r="T2547" s="4">
        <v>34.6</v>
      </c>
      <c r="U2547" s="4">
        <v>22.7</v>
      </c>
      <c r="V2547" s="4">
        <v>2.6</v>
      </c>
      <c r="W2547" s="4">
        <v>5.7</v>
      </c>
      <c r="X2547" s="4">
        <v>519.92999999999995</v>
      </c>
      <c r="Y2547" s="7" t="e">
        <f t="shared" ca="1" si="54"/>
        <v>#VALUE!</v>
      </c>
    </row>
    <row r="2548" spans="1:25" ht="15" x14ac:dyDescent="0.25">
      <c r="A2548" s="4">
        <v>2482</v>
      </c>
      <c r="C2548" s="41" t="s">
        <v>4814</v>
      </c>
      <c r="D2548" s="42"/>
      <c r="E2548" s="5" t="str">
        <f t="shared" si="50"/>
        <v>https://www.screener.in/company//consolidated/</v>
      </c>
      <c r="F2548" s="4">
        <v>443059</v>
      </c>
      <c r="G2548" s="4">
        <v>3832241897</v>
      </c>
      <c r="H2548" s="6" t="e">
        <f t="shared" ca="1" si="51"/>
        <v>#VALUE!</v>
      </c>
      <c r="I2548" s="7" t="str">
        <f ca="1">IFERROR(__xludf.DUMMYFUNCTION("IMPORTXML(E2548,""/html/body/main/div[3]/div[3]/div[2]/ul/li[5]/span[2]/span"")"),"Loading...")</f>
        <v>Loading...</v>
      </c>
      <c r="J2548" s="7" t="str">
        <f ca="1">IFERROR(__xludf.DUMMYFUNCTION("GOOGLEFINANCE(""NSE:""&amp;D2548,""marketcap"")"),"#N/A")</f>
        <v>#N/A</v>
      </c>
      <c r="K2548" s="7">
        <v>992.8</v>
      </c>
      <c r="L2548" s="8" t="str">
        <f ca="1">IFERROR(__xludf.DUMMYFUNCTION("GOOGLEFINANCE(""NSE:""&amp;D2548,""price"")"),"#N/A")</f>
        <v>#N/A</v>
      </c>
      <c r="M2548" s="9" t="e">
        <f t="shared" ca="1" si="52"/>
        <v>#VALUE!</v>
      </c>
      <c r="N2548" s="10" t="e">
        <f t="shared" ca="1" si="53"/>
        <v>#VALUE!</v>
      </c>
      <c r="O2548" s="7" t="str">
        <f ca="1">IFERROR(__xludf.DUMMYFUNCTION("GOOGLEFINANCE(""NSE:""&amp;D2548,""pe"")"),"#N/A")</f>
        <v>#N/A</v>
      </c>
      <c r="P2548" s="7" t="str">
        <f ca="1">IFERROR(__xludf.DUMMYFUNCTION("GOOGLEFINANCE(""NSE:""&amp;D2548,""EPS"")"),"#N/A")</f>
        <v>#N/A</v>
      </c>
      <c r="Q2548" s="7">
        <v>13.5</v>
      </c>
      <c r="R2548" s="7" t="str">
        <f ca="1">IFERROR(__xludf.DUMMYFUNCTION("IMPORTXML(E2548,""/html/body/main/div[3]/div[3]/div[2]/ul/li[7]/span[2]/span"")"),"Loading...")</f>
        <v>Loading...</v>
      </c>
      <c r="S2548" s="7" t="str">
        <f ca="1">IFERROR(__xludf.DUMMYFUNCTION("IMPORTXML(E2548,""/html/body/main/div[3]/div[3]/div[2]/ul/li[8]/span[2]/span"")"),"Loading...")</f>
        <v>Loading...</v>
      </c>
      <c r="T2548" s="4">
        <v>34.6</v>
      </c>
      <c r="U2548" s="4">
        <v>22.7</v>
      </c>
      <c r="V2548" s="4">
        <v>2.6</v>
      </c>
      <c r="W2548" s="4">
        <v>5.7</v>
      </c>
      <c r="X2548" s="4">
        <v>519.92999999999995</v>
      </c>
      <c r="Y2548" s="7" t="e">
        <f t="shared" ca="1" si="54"/>
        <v>#VALUE!</v>
      </c>
    </row>
    <row r="2549" spans="1:25" ht="15" x14ac:dyDescent="0.25">
      <c r="A2549" s="4">
        <v>2483</v>
      </c>
      <c r="C2549" s="41" t="s">
        <v>4815</v>
      </c>
      <c r="D2549" s="42"/>
      <c r="E2549" s="5" t="str">
        <f t="shared" si="50"/>
        <v>https://www.screener.in/company//consolidated/</v>
      </c>
      <c r="F2549" s="4">
        <v>443059</v>
      </c>
      <c r="G2549" s="4">
        <v>3832241897</v>
      </c>
      <c r="H2549" s="6" t="e">
        <f t="shared" ca="1" si="51"/>
        <v>#VALUE!</v>
      </c>
      <c r="I2549" s="7" t="str">
        <f ca="1">IFERROR(__xludf.DUMMYFUNCTION("IMPORTXML(E2549,""/html/body/main/div[3]/div[3]/div[2]/ul/li[5]/span[2]/span"")"),"Loading...")</f>
        <v>Loading...</v>
      </c>
      <c r="J2549" s="7" t="str">
        <f ca="1">IFERROR(__xludf.DUMMYFUNCTION("GOOGLEFINANCE(""NSE:""&amp;D2549,""marketcap"")"),"#N/A")</f>
        <v>#N/A</v>
      </c>
      <c r="K2549" s="7">
        <v>992.8</v>
      </c>
      <c r="L2549" s="8" t="str">
        <f ca="1">IFERROR(__xludf.DUMMYFUNCTION("GOOGLEFINANCE(""NSE:""&amp;D2549,""price"")"),"#N/A")</f>
        <v>#N/A</v>
      </c>
      <c r="M2549" s="9" t="e">
        <f t="shared" ca="1" si="52"/>
        <v>#VALUE!</v>
      </c>
      <c r="N2549" s="10" t="e">
        <f t="shared" ca="1" si="53"/>
        <v>#VALUE!</v>
      </c>
      <c r="O2549" s="7" t="str">
        <f ca="1">IFERROR(__xludf.DUMMYFUNCTION("GOOGLEFINANCE(""NSE:""&amp;D2549,""pe"")"),"#N/A")</f>
        <v>#N/A</v>
      </c>
      <c r="P2549" s="7" t="str">
        <f ca="1">IFERROR(__xludf.DUMMYFUNCTION("GOOGLEFINANCE(""NSE:""&amp;D2549,""EPS"")"),"#N/A")</f>
        <v>#N/A</v>
      </c>
      <c r="Q2549" s="7">
        <v>13.5</v>
      </c>
      <c r="R2549" s="7" t="str">
        <f ca="1">IFERROR(__xludf.DUMMYFUNCTION("IMPORTXML(E2549,""/html/body/main/div[3]/div[3]/div[2]/ul/li[7]/span[2]/span"")"),"Loading...")</f>
        <v>Loading...</v>
      </c>
      <c r="S2549" s="7" t="str">
        <f ca="1">IFERROR(__xludf.DUMMYFUNCTION("IMPORTXML(E2549,""/html/body/main/div[3]/div[3]/div[2]/ul/li[8]/span[2]/span"")"),"Loading...")</f>
        <v>Loading...</v>
      </c>
      <c r="T2549" s="4">
        <v>34.6</v>
      </c>
      <c r="U2549" s="4">
        <v>22.7</v>
      </c>
      <c r="V2549" s="4">
        <v>2.6</v>
      </c>
      <c r="W2549" s="4">
        <v>5.7</v>
      </c>
      <c r="X2549" s="4">
        <v>519.92999999999995</v>
      </c>
      <c r="Y2549" s="7" t="e">
        <f t="shared" ca="1" si="54"/>
        <v>#VALUE!</v>
      </c>
    </row>
    <row r="2550" spans="1:25" ht="15" x14ac:dyDescent="0.25">
      <c r="A2550" s="4">
        <v>2484</v>
      </c>
      <c r="C2550" s="41" t="s">
        <v>4816</v>
      </c>
      <c r="D2550" s="42"/>
      <c r="E2550" s="5" t="str">
        <f t="shared" si="50"/>
        <v>https://www.screener.in/company//consolidated/</v>
      </c>
      <c r="F2550" s="4">
        <v>443059</v>
      </c>
      <c r="G2550" s="4">
        <v>3832241897</v>
      </c>
      <c r="H2550" s="6" t="e">
        <f t="shared" ca="1" si="51"/>
        <v>#VALUE!</v>
      </c>
      <c r="I2550" s="7" t="str">
        <f ca="1">IFERROR(__xludf.DUMMYFUNCTION("IMPORTXML(E2550,""/html/body/main/div[3]/div[3]/div[2]/ul/li[5]/span[2]/span"")"),"Loading...")</f>
        <v>Loading...</v>
      </c>
      <c r="J2550" s="7" t="str">
        <f ca="1">IFERROR(__xludf.DUMMYFUNCTION("GOOGLEFINANCE(""NSE:""&amp;D2550,""marketcap"")"),"#N/A")</f>
        <v>#N/A</v>
      </c>
      <c r="K2550" s="7">
        <v>992.8</v>
      </c>
      <c r="L2550" s="8" t="str">
        <f ca="1">IFERROR(__xludf.DUMMYFUNCTION("GOOGLEFINANCE(""NSE:""&amp;D2550,""price"")"),"#N/A")</f>
        <v>#N/A</v>
      </c>
      <c r="M2550" s="9" t="e">
        <f t="shared" ca="1" si="52"/>
        <v>#VALUE!</v>
      </c>
      <c r="N2550" s="10" t="e">
        <f t="shared" ca="1" si="53"/>
        <v>#VALUE!</v>
      </c>
      <c r="O2550" s="7" t="str">
        <f ca="1">IFERROR(__xludf.DUMMYFUNCTION("GOOGLEFINANCE(""NSE:""&amp;D2550,""pe"")"),"#N/A")</f>
        <v>#N/A</v>
      </c>
      <c r="P2550" s="7" t="str">
        <f ca="1">IFERROR(__xludf.DUMMYFUNCTION("GOOGLEFINANCE(""NSE:""&amp;D2550,""EPS"")"),"#N/A")</f>
        <v>#N/A</v>
      </c>
      <c r="Q2550" s="7">
        <v>13.5</v>
      </c>
      <c r="R2550" s="7" t="str">
        <f ca="1">IFERROR(__xludf.DUMMYFUNCTION("IMPORTXML(E2550,""/html/body/main/div[3]/div[3]/div[2]/ul/li[7]/span[2]/span"")"),"Loading...")</f>
        <v>Loading...</v>
      </c>
      <c r="S2550" s="7" t="str">
        <f ca="1">IFERROR(__xludf.DUMMYFUNCTION("IMPORTXML(E2550,""/html/body/main/div[3]/div[3]/div[2]/ul/li[8]/span[2]/span"")"),"Loading...")</f>
        <v>Loading...</v>
      </c>
      <c r="T2550" s="4">
        <v>34.6</v>
      </c>
      <c r="U2550" s="4">
        <v>22.7</v>
      </c>
      <c r="V2550" s="4">
        <v>2.6</v>
      </c>
      <c r="W2550" s="4">
        <v>5.7</v>
      </c>
      <c r="X2550" s="4">
        <v>519.92999999999995</v>
      </c>
      <c r="Y2550" s="7" t="e">
        <f t="shared" ca="1" si="54"/>
        <v>#VALUE!</v>
      </c>
    </row>
    <row r="2551" spans="1:25" ht="15" x14ac:dyDescent="0.25">
      <c r="A2551" s="4">
        <v>2485</v>
      </c>
      <c r="C2551" s="41" t="s">
        <v>4817</v>
      </c>
      <c r="D2551" s="42"/>
      <c r="E2551" s="5" t="str">
        <f t="shared" si="50"/>
        <v>https://www.screener.in/company//consolidated/</v>
      </c>
      <c r="F2551" s="4">
        <v>443059</v>
      </c>
      <c r="G2551" s="4">
        <v>3832241897</v>
      </c>
      <c r="H2551" s="6" t="e">
        <f t="shared" ca="1" si="51"/>
        <v>#VALUE!</v>
      </c>
      <c r="I2551" s="7" t="str">
        <f ca="1">IFERROR(__xludf.DUMMYFUNCTION("IMPORTXML(E2551,""/html/body/main/div[3]/div[3]/div[2]/ul/li[5]/span[2]/span"")"),"Loading...")</f>
        <v>Loading...</v>
      </c>
      <c r="J2551" s="7" t="str">
        <f ca="1">IFERROR(__xludf.DUMMYFUNCTION("GOOGLEFINANCE(""NSE:""&amp;D2551,""marketcap"")"),"#N/A")</f>
        <v>#N/A</v>
      </c>
      <c r="K2551" s="7">
        <v>992.8</v>
      </c>
      <c r="L2551" s="8" t="str">
        <f ca="1">IFERROR(__xludf.DUMMYFUNCTION("GOOGLEFINANCE(""NSE:""&amp;D2551,""price"")"),"#N/A")</f>
        <v>#N/A</v>
      </c>
      <c r="M2551" s="9" t="e">
        <f t="shared" ca="1" si="52"/>
        <v>#VALUE!</v>
      </c>
      <c r="N2551" s="10" t="e">
        <f t="shared" ca="1" si="53"/>
        <v>#VALUE!</v>
      </c>
      <c r="O2551" s="7" t="str">
        <f ca="1">IFERROR(__xludf.DUMMYFUNCTION("GOOGLEFINANCE(""NSE:""&amp;D2551,""pe"")"),"#N/A")</f>
        <v>#N/A</v>
      </c>
      <c r="P2551" s="7" t="str">
        <f ca="1">IFERROR(__xludf.DUMMYFUNCTION("GOOGLEFINANCE(""NSE:""&amp;D2551,""EPS"")"),"#N/A")</f>
        <v>#N/A</v>
      </c>
      <c r="Q2551" s="7">
        <v>13.5</v>
      </c>
      <c r="R2551" s="7" t="str">
        <f ca="1">IFERROR(__xludf.DUMMYFUNCTION("IMPORTXML(E2551,""/html/body/main/div[3]/div[3]/div[2]/ul/li[7]/span[2]/span"")"),"Loading...")</f>
        <v>Loading...</v>
      </c>
      <c r="S2551" s="7" t="str">
        <f ca="1">IFERROR(__xludf.DUMMYFUNCTION("IMPORTXML(E2551,""/html/body/main/div[3]/div[3]/div[2]/ul/li[8]/span[2]/span"")"),"Loading...")</f>
        <v>Loading...</v>
      </c>
      <c r="T2551" s="4">
        <v>34.6</v>
      </c>
      <c r="U2551" s="4">
        <v>22.7</v>
      </c>
      <c r="V2551" s="4">
        <v>2.6</v>
      </c>
      <c r="W2551" s="4">
        <v>5.7</v>
      </c>
      <c r="X2551" s="4">
        <v>519.92999999999995</v>
      </c>
      <c r="Y2551" s="7" t="e">
        <f t="shared" ca="1" si="54"/>
        <v>#VALUE!</v>
      </c>
    </row>
    <row r="2552" spans="1:25" ht="15" x14ac:dyDescent="0.25">
      <c r="A2552" s="4">
        <v>2486</v>
      </c>
      <c r="C2552" s="41" t="s">
        <v>4818</v>
      </c>
      <c r="D2552" s="42"/>
      <c r="E2552" s="5" t="str">
        <f t="shared" si="50"/>
        <v>https://www.screener.in/company//consolidated/</v>
      </c>
      <c r="F2552" s="4">
        <v>443059</v>
      </c>
      <c r="G2552" s="4">
        <v>3832241897</v>
      </c>
      <c r="H2552" s="6" t="e">
        <f t="shared" ca="1" si="51"/>
        <v>#VALUE!</v>
      </c>
      <c r="I2552" s="7" t="str">
        <f ca="1">IFERROR(__xludf.DUMMYFUNCTION("IMPORTXML(E2552,""/html/body/main/div[3]/div[3]/div[2]/ul/li[5]/span[2]/span"")"),"Loading...")</f>
        <v>Loading...</v>
      </c>
      <c r="J2552" s="7" t="str">
        <f ca="1">IFERROR(__xludf.DUMMYFUNCTION("GOOGLEFINANCE(""NSE:""&amp;D2552,""marketcap"")"),"#N/A")</f>
        <v>#N/A</v>
      </c>
      <c r="K2552" s="7">
        <v>992.8</v>
      </c>
      <c r="L2552" s="8" t="str">
        <f ca="1">IFERROR(__xludf.DUMMYFUNCTION("GOOGLEFINANCE(""NSE:""&amp;D2552,""price"")"),"#N/A")</f>
        <v>#N/A</v>
      </c>
      <c r="M2552" s="9" t="e">
        <f t="shared" ca="1" si="52"/>
        <v>#VALUE!</v>
      </c>
      <c r="N2552" s="10" t="e">
        <f t="shared" ca="1" si="53"/>
        <v>#VALUE!</v>
      </c>
      <c r="O2552" s="7" t="str">
        <f ca="1">IFERROR(__xludf.DUMMYFUNCTION("GOOGLEFINANCE(""NSE:""&amp;D2552,""pe"")"),"#N/A")</f>
        <v>#N/A</v>
      </c>
      <c r="P2552" s="7" t="str">
        <f ca="1">IFERROR(__xludf.DUMMYFUNCTION("GOOGLEFINANCE(""NSE:""&amp;D2552,""EPS"")"),"#N/A")</f>
        <v>#N/A</v>
      </c>
      <c r="Q2552" s="7">
        <v>13.5</v>
      </c>
      <c r="R2552" s="7" t="str">
        <f ca="1">IFERROR(__xludf.DUMMYFUNCTION("IMPORTXML(E2552,""/html/body/main/div[3]/div[3]/div[2]/ul/li[7]/span[2]/span"")"),"Loading...")</f>
        <v>Loading...</v>
      </c>
      <c r="S2552" s="7" t="str">
        <f ca="1">IFERROR(__xludf.DUMMYFUNCTION("IMPORTXML(E2552,""/html/body/main/div[3]/div[3]/div[2]/ul/li[8]/span[2]/span"")"),"Loading...")</f>
        <v>Loading...</v>
      </c>
      <c r="T2552" s="4">
        <v>34.6</v>
      </c>
      <c r="U2552" s="4">
        <v>22.7</v>
      </c>
      <c r="V2552" s="4">
        <v>2.6</v>
      </c>
      <c r="W2552" s="4">
        <v>5.7</v>
      </c>
      <c r="X2552" s="4">
        <v>519.92999999999995</v>
      </c>
      <c r="Y2552" s="7" t="e">
        <f t="shared" ca="1" si="54"/>
        <v>#VALUE!</v>
      </c>
    </row>
    <row r="2553" spans="1:25" ht="15" x14ac:dyDescent="0.25">
      <c r="A2553" s="4">
        <v>2487</v>
      </c>
      <c r="C2553" s="41" t="s">
        <v>4819</v>
      </c>
      <c r="D2553" s="42"/>
      <c r="E2553" s="5" t="str">
        <f t="shared" si="50"/>
        <v>https://www.screener.in/company//consolidated/</v>
      </c>
      <c r="F2553" s="4">
        <v>443059</v>
      </c>
      <c r="G2553" s="4">
        <v>3832241897</v>
      </c>
      <c r="H2553" s="6" t="e">
        <f t="shared" ca="1" si="51"/>
        <v>#VALUE!</v>
      </c>
      <c r="I2553" s="7" t="str">
        <f ca="1">IFERROR(__xludf.DUMMYFUNCTION("IMPORTXML(E2553,""/html/body/main/div[3]/div[3]/div[2]/ul/li[5]/span[2]/span"")"),"Loading...")</f>
        <v>Loading...</v>
      </c>
      <c r="J2553" s="7" t="str">
        <f ca="1">IFERROR(__xludf.DUMMYFUNCTION("GOOGLEFINANCE(""NSE:""&amp;D2553,""marketcap"")"),"#N/A")</f>
        <v>#N/A</v>
      </c>
      <c r="K2553" s="7">
        <v>992.8</v>
      </c>
      <c r="L2553" s="8" t="str">
        <f ca="1">IFERROR(__xludf.DUMMYFUNCTION("GOOGLEFINANCE(""NSE:""&amp;D2553,""price"")"),"#N/A")</f>
        <v>#N/A</v>
      </c>
      <c r="M2553" s="9" t="e">
        <f t="shared" ca="1" si="52"/>
        <v>#VALUE!</v>
      </c>
      <c r="N2553" s="10" t="e">
        <f t="shared" ca="1" si="53"/>
        <v>#VALUE!</v>
      </c>
      <c r="O2553" s="7" t="str">
        <f ca="1">IFERROR(__xludf.DUMMYFUNCTION("GOOGLEFINANCE(""NSE:""&amp;D2553,""pe"")"),"#N/A")</f>
        <v>#N/A</v>
      </c>
      <c r="P2553" s="7" t="str">
        <f ca="1">IFERROR(__xludf.DUMMYFUNCTION("GOOGLEFINANCE(""NSE:""&amp;D2553,""EPS"")"),"#N/A")</f>
        <v>#N/A</v>
      </c>
      <c r="Q2553" s="7">
        <v>13.5</v>
      </c>
      <c r="R2553" s="7" t="str">
        <f ca="1">IFERROR(__xludf.DUMMYFUNCTION("IMPORTXML(E2553,""/html/body/main/div[3]/div[3]/div[2]/ul/li[7]/span[2]/span"")"),"Loading...")</f>
        <v>Loading...</v>
      </c>
      <c r="S2553" s="7" t="str">
        <f ca="1">IFERROR(__xludf.DUMMYFUNCTION("IMPORTXML(E2553,""/html/body/main/div[3]/div[3]/div[2]/ul/li[8]/span[2]/span"")"),"Loading...")</f>
        <v>Loading...</v>
      </c>
      <c r="T2553" s="4">
        <v>34.6</v>
      </c>
      <c r="U2553" s="4">
        <v>22.7</v>
      </c>
      <c r="V2553" s="4">
        <v>2.6</v>
      </c>
      <c r="W2553" s="4">
        <v>5.7</v>
      </c>
      <c r="X2553" s="4">
        <v>519.92999999999995</v>
      </c>
      <c r="Y2553" s="7" t="e">
        <f t="shared" ca="1" si="54"/>
        <v>#VALUE!</v>
      </c>
    </row>
    <row r="2554" spans="1:25" ht="15" x14ac:dyDescent="0.25">
      <c r="A2554" s="4">
        <v>2488</v>
      </c>
      <c r="C2554" s="41" t="s">
        <v>4820</v>
      </c>
      <c r="D2554" s="42"/>
      <c r="E2554" s="5" t="str">
        <f t="shared" si="50"/>
        <v>https://www.screener.in/company//consolidated/</v>
      </c>
      <c r="F2554" s="4">
        <v>443059</v>
      </c>
      <c r="G2554" s="4">
        <v>3832241897</v>
      </c>
      <c r="H2554" s="6" t="e">
        <f t="shared" ca="1" si="51"/>
        <v>#VALUE!</v>
      </c>
      <c r="I2554" s="7" t="str">
        <f ca="1">IFERROR(__xludf.DUMMYFUNCTION("IMPORTXML(E2554,""/html/body/main/div[3]/div[3]/div[2]/ul/li[5]/span[2]/span"")"),"Loading...")</f>
        <v>Loading...</v>
      </c>
      <c r="J2554" s="7" t="str">
        <f ca="1">IFERROR(__xludf.DUMMYFUNCTION("GOOGLEFINANCE(""NSE:""&amp;D2554,""marketcap"")"),"#N/A")</f>
        <v>#N/A</v>
      </c>
      <c r="K2554" s="7">
        <v>992.8</v>
      </c>
      <c r="L2554" s="8" t="str">
        <f ca="1">IFERROR(__xludf.DUMMYFUNCTION("GOOGLEFINANCE(""NSE:""&amp;D2554,""price"")"),"#N/A")</f>
        <v>#N/A</v>
      </c>
      <c r="M2554" s="9" t="e">
        <f t="shared" ca="1" si="52"/>
        <v>#VALUE!</v>
      </c>
      <c r="N2554" s="10" t="e">
        <f t="shared" ca="1" si="53"/>
        <v>#VALUE!</v>
      </c>
      <c r="O2554" s="7" t="str">
        <f ca="1">IFERROR(__xludf.DUMMYFUNCTION("GOOGLEFINANCE(""NSE:""&amp;D2554,""pe"")"),"#N/A")</f>
        <v>#N/A</v>
      </c>
      <c r="P2554" s="7" t="str">
        <f ca="1">IFERROR(__xludf.DUMMYFUNCTION("GOOGLEFINANCE(""NSE:""&amp;D2554,""EPS"")"),"#N/A")</f>
        <v>#N/A</v>
      </c>
      <c r="Q2554" s="7">
        <v>13.5</v>
      </c>
      <c r="R2554" s="7" t="str">
        <f ca="1">IFERROR(__xludf.DUMMYFUNCTION("IMPORTXML(E2554,""/html/body/main/div[3]/div[3]/div[2]/ul/li[7]/span[2]/span"")"),"Loading...")</f>
        <v>Loading...</v>
      </c>
      <c r="S2554" s="7" t="str">
        <f ca="1">IFERROR(__xludf.DUMMYFUNCTION("IMPORTXML(E2554,""/html/body/main/div[3]/div[3]/div[2]/ul/li[8]/span[2]/span"")"),"Loading...")</f>
        <v>Loading...</v>
      </c>
      <c r="T2554" s="4">
        <v>34.6</v>
      </c>
      <c r="U2554" s="4">
        <v>22.7</v>
      </c>
      <c r="V2554" s="4">
        <v>2.6</v>
      </c>
      <c r="W2554" s="4">
        <v>5.7</v>
      </c>
      <c r="X2554" s="4">
        <v>519.92999999999995</v>
      </c>
      <c r="Y2554" s="7" t="e">
        <f t="shared" ca="1" si="54"/>
        <v>#VALUE!</v>
      </c>
    </row>
    <row r="2555" spans="1:25" ht="15" x14ac:dyDescent="0.25">
      <c r="A2555" s="4">
        <v>2489</v>
      </c>
      <c r="C2555" s="41" t="s">
        <v>4821</v>
      </c>
      <c r="D2555" s="42"/>
      <c r="E2555" s="5" t="str">
        <f t="shared" si="50"/>
        <v>https://www.screener.in/company//consolidated/</v>
      </c>
      <c r="F2555" s="4">
        <v>443059</v>
      </c>
      <c r="G2555" s="4">
        <v>3832241897</v>
      </c>
      <c r="H2555" s="6" t="e">
        <f t="shared" ca="1" si="51"/>
        <v>#VALUE!</v>
      </c>
      <c r="I2555" s="7" t="str">
        <f ca="1">IFERROR(__xludf.DUMMYFUNCTION("IMPORTXML(E2555,""/html/body/main/div[3]/div[3]/div[2]/ul/li[5]/span[2]/span"")"),"Loading...")</f>
        <v>Loading...</v>
      </c>
      <c r="J2555" s="7" t="str">
        <f ca="1">IFERROR(__xludf.DUMMYFUNCTION("GOOGLEFINANCE(""NSE:""&amp;D2555,""marketcap"")"),"#N/A")</f>
        <v>#N/A</v>
      </c>
      <c r="K2555" s="7">
        <v>992.8</v>
      </c>
      <c r="L2555" s="8" t="str">
        <f ca="1">IFERROR(__xludf.DUMMYFUNCTION("GOOGLEFINANCE(""NSE:""&amp;D2555,""price"")"),"#N/A")</f>
        <v>#N/A</v>
      </c>
      <c r="M2555" s="9" t="e">
        <f t="shared" ca="1" si="52"/>
        <v>#VALUE!</v>
      </c>
      <c r="N2555" s="10" t="e">
        <f t="shared" ca="1" si="53"/>
        <v>#VALUE!</v>
      </c>
      <c r="O2555" s="7" t="str">
        <f ca="1">IFERROR(__xludf.DUMMYFUNCTION("GOOGLEFINANCE(""NSE:""&amp;D2555,""pe"")"),"#N/A")</f>
        <v>#N/A</v>
      </c>
      <c r="P2555" s="7" t="str">
        <f ca="1">IFERROR(__xludf.DUMMYFUNCTION("GOOGLEFINANCE(""NSE:""&amp;D2555,""EPS"")"),"#N/A")</f>
        <v>#N/A</v>
      </c>
      <c r="Q2555" s="7">
        <v>13.5</v>
      </c>
      <c r="R2555" s="7" t="str">
        <f ca="1">IFERROR(__xludf.DUMMYFUNCTION("IMPORTXML(E2555,""/html/body/main/div[3]/div[3]/div[2]/ul/li[7]/span[2]/span"")"),"Loading...")</f>
        <v>Loading...</v>
      </c>
      <c r="S2555" s="7" t="str">
        <f ca="1">IFERROR(__xludf.DUMMYFUNCTION("IMPORTXML(E2555,""/html/body/main/div[3]/div[3]/div[2]/ul/li[8]/span[2]/span"")"),"Loading...")</f>
        <v>Loading...</v>
      </c>
      <c r="T2555" s="4">
        <v>34.6</v>
      </c>
      <c r="U2555" s="4">
        <v>22.7</v>
      </c>
      <c r="V2555" s="4">
        <v>2.6</v>
      </c>
      <c r="W2555" s="4">
        <v>5.7</v>
      </c>
      <c r="X2555" s="4">
        <v>519.92999999999995</v>
      </c>
      <c r="Y2555" s="7" t="e">
        <f t="shared" ca="1" si="54"/>
        <v>#VALUE!</v>
      </c>
    </row>
    <row r="2556" spans="1:25" ht="15" x14ac:dyDescent="0.25">
      <c r="A2556" s="4">
        <v>2490</v>
      </c>
      <c r="C2556" s="41" t="s">
        <v>4822</v>
      </c>
      <c r="D2556" s="42"/>
      <c r="E2556" s="5" t="str">
        <f t="shared" si="50"/>
        <v>https://www.screener.in/company//consolidated/</v>
      </c>
      <c r="F2556" s="4">
        <v>443059</v>
      </c>
      <c r="G2556" s="4">
        <v>3832241897</v>
      </c>
      <c r="H2556" s="6" t="e">
        <f t="shared" ca="1" si="51"/>
        <v>#VALUE!</v>
      </c>
      <c r="I2556" s="7" t="str">
        <f ca="1">IFERROR(__xludf.DUMMYFUNCTION("IMPORTXML(E2556,""/html/body/main/div[3]/div[3]/div[2]/ul/li[5]/span[2]/span"")"),"Loading...")</f>
        <v>Loading...</v>
      </c>
      <c r="J2556" s="7" t="str">
        <f ca="1">IFERROR(__xludf.DUMMYFUNCTION("GOOGLEFINANCE(""NSE:""&amp;D2556,""marketcap"")"),"#N/A")</f>
        <v>#N/A</v>
      </c>
      <c r="K2556" s="7">
        <v>992.8</v>
      </c>
      <c r="L2556" s="8" t="str">
        <f ca="1">IFERROR(__xludf.DUMMYFUNCTION("GOOGLEFINANCE(""NSE:""&amp;D2556,""price"")"),"#N/A")</f>
        <v>#N/A</v>
      </c>
      <c r="M2556" s="9" t="e">
        <f t="shared" ca="1" si="52"/>
        <v>#VALUE!</v>
      </c>
      <c r="N2556" s="10" t="e">
        <f t="shared" ca="1" si="53"/>
        <v>#VALUE!</v>
      </c>
      <c r="O2556" s="7" t="str">
        <f ca="1">IFERROR(__xludf.DUMMYFUNCTION("GOOGLEFINANCE(""NSE:""&amp;D2556,""pe"")"),"#N/A")</f>
        <v>#N/A</v>
      </c>
      <c r="P2556" s="7" t="str">
        <f ca="1">IFERROR(__xludf.DUMMYFUNCTION("GOOGLEFINANCE(""NSE:""&amp;D2556,""EPS"")"),"#N/A")</f>
        <v>#N/A</v>
      </c>
      <c r="Q2556" s="7">
        <v>13.5</v>
      </c>
      <c r="R2556" s="7" t="str">
        <f ca="1">IFERROR(__xludf.DUMMYFUNCTION("IMPORTXML(E2556,""/html/body/main/div[3]/div[3]/div[2]/ul/li[7]/span[2]/span"")"),"Loading...")</f>
        <v>Loading...</v>
      </c>
      <c r="S2556" s="7" t="str">
        <f ca="1">IFERROR(__xludf.DUMMYFUNCTION("IMPORTXML(E2556,""/html/body/main/div[3]/div[3]/div[2]/ul/li[8]/span[2]/span"")"),"Loading...")</f>
        <v>Loading...</v>
      </c>
      <c r="T2556" s="4">
        <v>34.6</v>
      </c>
      <c r="U2556" s="4">
        <v>22.7</v>
      </c>
      <c r="V2556" s="4">
        <v>2.6</v>
      </c>
      <c r="W2556" s="4">
        <v>5.7</v>
      </c>
      <c r="X2556" s="4">
        <v>519.92999999999995</v>
      </c>
      <c r="Y2556" s="7" t="e">
        <f t="shared" ca="1" si="54"/>
        <v>#VALUE!</v>
      </c>
    </row>
    <row r="2557" spans="1:25" ht="15" x14ac:dyDescent="0.25">
      <c r="A2557" s="4">
        <v>2491</v>
      </c>
      <c r="C2557" s="12" t="s">
        <v>4823</v>
      </c>
      <c r="D2557" s="12" t="s">
        <v>4824</v>
      </c>
      <c r="E2557" s="5" t="str">
        <f t="shared" si="50"/>
        <v>https://www.screener.in/company/CINEVISTA/consolidated/</v>
      </c>
      <c r="F2557" s="4">
        <v>443059</v>
      </c>
      <c r="G2557" s="4">
        <v>3832241897</v>
      </c>
      <c r="H2557" s="6">
        <f t="shared" ca="1" si="51"/>
        <v>6783.0681576899997</v>
      </c>
      <c r="I2557" s="7" t="str">
        <f ca="1">IFERROR(__xludf.DUMMYFUNCTION("IMPORTXML(E2557,""/html/body/main/div[3]/div[3]/div[2]/ul/li[5]/span[2]/span"")"),"Loading...")</f>
        <v>Loading...</v>
      </c>
      <c r="J2557" s="7">
        <f ca="1">IFERROR(__xludf.DUMMYFUNCTION("GOOGLEFINANCE(""NSE:""&amp;D2557,""marketcap"")"),1041749905)</f>
        <v>1041749905</v>
      </c>
      <c r="K2557" s="7">
        <v>992.8</v>
      </c>
      <c r="L2557" s="8">
        <f ca="1">IFERROR(__xludf.DUMMYFUNCTION("GOOGLEFINANCE(""NSE:""&amp;D2557,""price"")"),17.7)</f>
        <v>17.7</v>
      </c>
      <c r="M2557" s="9">
        <f t="shared" ca="1" si="52"/>
        <v>-975.09999999999991</v>
      </c>
      <c r="N2557" s="10">
        <f t="shared" ca="1" si="53"/>
        <v>-98.217163577759862</v>
      </c>
      <c r="O2557" s="7" t="str">
        <f ca="1">IFERROR(__xludf.DUMMYFUNCTION("GOOGLEFINANCE(""NSE:""&amp;D2557,""pe"")"),"#N/A")</f>
        <v>#N/A</v>
      </c>
      <c r="P2557" s="7">
        <f ca="1">IFERROR(__xludf.DUMMYFUNCTION("GOOGLEFINANCE(""NSE:""&amp;D2557,""EPS"")"),-5.06)</f>
        <v>-5.0599999999999996</v>
      </c>
      <c r="Q2557" s="7">
        <v>13.5</v>
      </c>
      <c r="R2557" s="7" t="str">
        <f ca="1">IFERROR(__xludf.DUMMYFUNCTION("IMPORTXML(E2557,""/html/body/main/div[3]/div[3]/div[2]/ul/li[7]/span[2]/span"")"),"Loading...")</f>
        <v>Loading...</v>
      </c>
      <c r="S2557" s="7" t="str">
        <f ca="1">IFERROR(__xludf.DUMMYFUNCTION("IMPORTXML(E2557,""/html/body/main/div[3]/div[3]/div[2]/ul/li[8]/span[2]/span"")"),"Loading...")</f>
        <v>Loading...</v>
      </c>
      <c r="T2557" s="4">
        <v>34.6</v>
      </c>
      <c r="U2557" s="4">
        <v>22.7</v>
      </c>
      <c r="V2557" s="4">
        <v>2.6</v>
      </c>
      <c r="W2557" s="4">
        <v>5.7</v>
      </c>
      <c r="X2557" s="4">
        <v>519.92999999999995</v>
      </c>
      <c r="Y2557" s="7">
        <f t="shared" ca="1" si="54"/>
        <v>-502.22999999999996</v>
      </c>
    </row>
    <row r="2558" spans="1:25" ht="15" x14ac:dyDescent="0.25">
      <c r="A2558" s="4">
        <v>2492</v>
      </c>
      <c r="C2558" s="41" t="s">
        <v>4825</v>
      </c>
      <c r="D2558" s="42"/>
      <c r="E2558" s="5" t="str">
        <f t="shared" si="50"/>
        <v>https://www.screener.in/company//consolidated/</v>
      </c>
      <c r="F2558" s="4">
        <v>443059</v>
      </c>
      <c r="G2558" s="4">
        <v>3832241897</v>
      </c>
      <c r="H2558" s="6" t="e">
        <f t="shared" ca="1" si="51"/>
        <v>#VALUE!</v>
      </c>
      <c r="I2558" s="7" t="str">
        <f ca="1">IFERROR(__xludf.DUMMYFUNCTION("IMPORTXML(E2558,""/html/body/main/div[3]/div[3]/div[2]/ul/li[5]/span[2]/span"")"),"Loading...")</f>
        <v>Loading...</v>
      </c>
      <c r="J2558" s="7" t="str">
        <f ca="1">IFERROR(__xludf.DUMMYFUNCTION("GOOGLEFINANCE(""NSE:""&amp;D2558,""marketcap"")"),"#N/A")</f>
        <v>#N/A</v>
      </c>
      <c r="K2558" s="7">
        <v>992.8</v>
      </c>
      <c r="L2558" s="8" t="str">
        <f ca="1">IFERROR(__xludf.DUMMYFUNCTION("GOOGLEFINANCE(""NSE:""&amp;D2558,""price"")"),"#N/A")</f>
        <v>#N/A</v>
      </c>
      <c r="M2558" s="9" t="e">
        <f t="shared" ca="1" si="52"/>
        <v>#VALUE!</v>
      </c>
      <c r="N2558" s="10" t="e">
        <f t="shared" ca="1" si="53"/>
        <v>#VALUE!</v>
      </c>
      <c r="O2558" s="7" t="str">
        <f ca="1">IFERROR(__xludf.DUMMYFUNCTION("GOOGLEFINANCE(""NSE:""&amp;D2558,""pe"")"),"#N/A")</f>
        <v>#N/A</v>
      </c>
      <c r="P2558" s="7" t="str">
        <f ca="1">IFERROR(__xludf.DUMMYFUNCTION("GOOGLEFINANCE(""NSE:""&amp;D2558,""EPS"")"),"#N/A")</f>
        <v>#N/A</v>
      </c>
      <c r="Q2558" s="7">
        <v>13.5</v>
      </c>
      <c r="R2558" s="7" t="str">
        <f ca="1">IFERROR(__xludf.DUMMYFUNCTION("IMPORTXML(E2558,""/html/body/main/div[3]/div[3]/div[2]/ul/li[7]/span[2]/span"")"),"Loading...")</f>
        <v>Loading...</v>
      </c>
      <c r="S2558" s="7" t="str">
        <f ca="1">IFERROR(__xludf.DUMMYFUNCTION("IMPORTXML(E2558,""/html/body/main/div[3]/div[3]/div[2]/ul/li[8]/span[2]/span"")"),"Loading...")</f>
        <v>Loading...</v>
      </c>
      <c r="T2558" s="4">
        <v>34.6</v>
      </c>
      <c r="U2558" s="4">
        <v>22.7</v>
      </c>
      <c r="V2558" s="4">
        <v>2.6</v>
      </c>
      <c r="W2558" s="4">
        <v>5.7</v>
      </c>
      <c r="X2558" s="4">
        <v>519.92999999999995</v>
      </c>
      <c r="Y2558" s="7" t="e">
        <f t="shared" ca="1" si="54"/>
        <v>#VALUE!</v>
      </c>
    </row>
    <row r="2559" spans="1:25" ht="15" x14ac:dyDescent="0.25">
      <c r="A2559" s="4">
        <v>2493</v>
      </c>
      <c r="C2559" s="41" t="s">
        <v>4826</v>
      </c>
      <c r="D2559" s="42"/>
      <c r="E2559" s="5" t="str">
        <f t="shared" si="50"/>
        <v>https://www.screener.in/company//consolidated/</v>
      </c>
      <c r="F2559" s="4">
        <v>443059</v>
      </c>
      <c r="G2559" s="4">
        <v>3832241897</v>
      </c>
      <c r="H2559" s="6" t="e">
        <f t="shared" ca="1" si="51"/>
        <v>#VALUE!</v>
      </c>
      <c r="I2559" s="7" t="str">
        <f ca="1">IFERROR(__xludf.DUMMYFUNCTION("IMPORTXML(E2559,""/html/body/main/div[3]/div[3]/div[2]/ul/li[5]/span[2]/span"")"),"Loading...")</f>
        <v>Loading...</v>
      </c>
      <c r="J2559" s="7" t="str">
        <f ca="1">IFERROR(__xludf.DUMMYFUNCTION("GOOGLEFINANCE(""NSE:""&amp;D2559,""marketcap"")"),"#N/A")</f>
        <v>#N/A</v>
      </c>
      <c r="K2559" s="7">
        <v>992.8</v>
      </c>
      <c r="L2559" s="8" t="str">
        <f ca="1">IFERROR(__xludf.DUMMYFUNCTION("GOOGLEFINANCE(""NSE:""&amp;D2559,""price"")"),"#N/A")</f>
        <v>#N/A</v>
      </c>
      <c r="M2559" s="9" t="e">
        <f t="shared" ca="1" si="52"/>
        <v>#VALUE!</v>
      </c>
      <c r="N2559" s="10" t="e">
        <f t="shared" ca="1" si="53"/>
        <v>#VALUE!</v>
      </c>
      <c r="O2559" s="7" t="str">
        <f ca="1">IFERROR(__xludf.DUMMYFUNCTION("GOOGLEFINANCE(""NSE:""&amp;D2559,""pe"")"),"#N/A")</f>
        <v>#N/A</v>
      </c>
      <c r="P2559" s="7" t="str">
        <f ca="1">IFERROR(__xludf.DUMMYFUNCTION("GOOGLEFINANCE(""NSE:""&amp;D2559,""EPS"")"),"#N/A")</f>
        <v>#N/A</v>
      </c>
      <c r="Q2559" s="7">
        <v>13.5</v>
      </c>
      <c r="R2559" s="7" t="str">
        <f ca="1">IFERROR(__xludf.DUMMYFUNCTION("IMPORTXML(E2559,""/html/body/main/div[3]/div[3]/div[2]/ul/li[7]/span[2]/span"")"),"Loading...")</f>
        <v>Loading...</v>
      </c>
      <c r="S2559" s="7" t="str">
        <f ca="1">IFERROR(__xludf.DUMMYFUNCTION("IMPORTXML(E2559,""/html/body/main/div[3]/div[3]/div[2]/ul/li[8]/span[2]/span"")"),"Loading...")</f>
        <v>Loading...</v>
      </c>
      <c r="T2559" s="4">
        <v>34.6</v>
      </c>
      <c r="U2559" s="4">
        <v>22.7</v>
      </c>
      <c r="V2559" s="4">
        <v>2.6</v>
      </c>
      <c r="W2559" s="4">
        <v>5.7</v>
      </c>
      <c r="X2559" s="4">
        <v>519.92999999999995</v>
      </c>
      <c r="Y2559" s="7" t="e">
        <f t="shared" ca="1" si="54"/>
        <v>#VALUE!</v>
      </c>
    </row>
    <row r="2560" spans="1:25" ht="15" x14ac:dyDescent="0.25">
      <c r="A2560" s="4">
        <v>2494</v>
      </c>
      <c r="C2560" s="41" t="s">
        <v>4827</v>
      </c>
      <c r="D2560" s="42"/>
      <c r="E2560" s="5" t="str">
        <f t="shared" si="50"/>
        <v>https://www.screener.in/company//consolidated/</v>
      </c>
      <c r="F2560" s="4">
        <v>443059</v>
      </c>
      <c r="G2560" s="4">
        <v>3832241897</v>
      </c>
      <c r="H2560" s="6" t="e">
        <f t="shared" ca="1" si="51"/>
        <v>#VALUE!</v>
      </c>
      <c r="I2560" s="7" t="str">
        <f ca="1">IFERROR(__xludf.DUMMYFUNCTION("IMPORTXML(E2560,""/html/body/main/div[3]/div[3]/div[2]/ul/li[5]/span[2]/span"")"),"Loading...")</f>
        <v>Loading...</v>
      </c>
      <c r="J2560" s="7" t="str">
        <f ca="1">IFERROR(__xludf.DUMMYFUNCTION("GOOGLEFINANCE(""NSE:""&amp;D2560,""marketcap"")"),"#N/A")</f>
        <v>#N/A</v>
      </c>
      <c r="K2560" s="7">
        <v>992.8</v>
      </c>
      <c r="L2560" s="8" t="str">
        <f ca="1">IFERROR(__xludf.DUMMYFUNCTION("GOOGLEFINANCE(""NSE:""&amp;D2560,""price"")"),"#N/A")</f>
        <v>#N/A</v>
      </c>
      <c r="M2560" s="9" t="e">
        <f t="shared" ca="1" si="52"/>
        <v>#VALUE!</v>
      </c>
      <c r="N2560" s="10" t="e">
        <f t="shared" ca="1" si="53"/>
        <v>#VALUE!</v>
      </c>
      <c r="O2560" s="7" t="str">
        <f ca="1">IFERROR(__xludf.DUMMYFUNCTION("GOOGLEFINANCE(""NSE:""&amp;D2560,""pe"")"),"#N/A")</f>
        <v>#N/A</v>
      </c>
      <c r="P2560" s="7" t="str">
        <f ca="1">IFERROR(__xludf.DUMMYFUNCTION("GOOGLEFINANCE(""NSE:""&amp;D2560,""EPS"")"),"#N/A")</f>
        <v>#N/A</v>
      </c>
      <c r="Q2560" s="7">
        <v>13.5</v>
      </c>
      <c r="R2560" s="7" t="str">
        <f ca="1">IFERROR(__xludf.DUMMYFUNCTION("IMPORTXML(E2560,""/html/body/main/div[3]/div[3]/div[2]/ul/li[7]/span[2]/span"")"),"Loading...")</f>
        <v>Loading...</v>
      </c>
      <c r="S2560" s="7" t="str">
        <f ca="1">IFERROR(__xludf.DUMMYFUNCTION("IMPORTXML(E2560,""/html/body/main/div[3]/div[3]/div[2]/ul/li[8]/span[2]/span"")"),"Loading...")</f>
        <v>Loading...</v>
      </c>
      <c r="T2560" s="4">
        <v>34.6</v>
      </c>
      <c r="U2560" s="4">
        <v>22.7</v>
      </c>
      <c r="V2560" s="4">
        <v>2.6</v>
      </c>
      <c r="W2560" s="4">
        <v>5.7</v>
      </c>
      <c r="X2560" s="4">
        <v>519.92999999999995</v>
      </c>
      <c r="Y2560" s="7" t="e">
        <f t="shared" ca="1" si="54"/>
        <v>#VALUE!</v>
      </c>
    </row>
    <row r="2561" spans="1:25" ht="15" x14ac:dyDescent="0.25">
      <c r="A2561" s="4">
        <v>2496</v>
      </c>
      <c r="C2561" s="41" t="s">
        <v>4828</v>
      </c>
      <c r="D2561" s="42"/>
      <c r="E2561" s="5" t="str">
        <f t="shared" si="50"/>
        <v>https://www.screener.in/company//consolidated/</v>
      </c>
      <c r="F2561" s="4">
        <v>443059</v>
      </c>
      <c r="G2561" s="4">
        <v>3832241897</v>
      </c>
      <c r="H2561" s="6" t="e">
        <f t="shared" ca="1" si="51"/>
        <v>#VALUE!</v>
      </c>
      <c r="I2561" s="7" t="str">
        <f ca="1">IFERROR(__xludf.DUMMYFUNCTION("IMPORTXML(E2561,""/html/body/main/div[3]/div[3]/div[2]/ul/li[5]/span[2]/span"")"),"Loading...")</f>
        <v>Loading...</v>
      </c>
      <c r="J2561" s="7" t="str">
        <f ca="1">IFERROR(__xludf.DUMMYFUNCTION("GOOGLEFINANCE(""NSE:""&amp;D2561,""marketcap"")"),"#N/A")</f>
        <v>#N/A</v>
      </c>
      <c r="K2561" s="7">
        <v>992.8</v>
      </c>
      <c r="L2561" s="8" t="str">
        <f ca="1">IFERROR(__xludf.DUMMYFUNCTION("GOOGLEFINANCE(""NSE:""&amp;D2561,""price"")"),"#N/A")</f>
        <v>#N/A</v>
      </c>
      <c r="M2561" s="9" t="e">
        <f t="shared" ca="1" si="52"/>
        <v>#VALUE!</v>
      </c>
      <c r="N2561" s="10" t="e">
        <f t="shared" ca="1" si="53"/>
        <v>#VALUE!</v>
      </c>
      <c r="O2561" s="7" t="str">
        <f ca="1">IFERROR(__xludf.DUMMYFUNCTION("GOOGLEFINANCE(""NSE:""&amp;D2561,""pe"")"),"#N/A")</f>
        <v>#N/A</v>
      </c>
      <c r="P2561" s="7" t="str">
        <f ca="1">IFERROR(__xludf.DUMMYFUNCTION("GOOGLEFINANCE(""NSE:""&amp;D2561,""EPS"")"),"#N/A")</f>
        <v>#N/A</v>
      </c>
      <c r="Q2561" s="7">
        <v>13.5</v>
      </c>
      <c r="R2561" s="7" t="str">
        <f ca="1">IFERROR(__xludf.DUMMYFUNCTION("IMPORTXML(E2561,""/html/body/main/div[3]/div[3]/div[2]/ul/li[7]/span[2]/span"")"),"Loading...")</f>
        <v>Loading...</v>
      </c>
      <c r="S2561" s="7" t="str">
        <f ca="1">IFERROR(__xludf.DUMMYFUNCTION("IMPORTXML(E2561,""/html/body/main/div[3]/div[3]/div[2]/ul/li[8]/span[2]/span"")"),"Loading...")</f>
        <v>Loading...</v>
      </c>
      <c r="T2561" s="4">
        <v>34.6</v>
      </c>
      <c r="U2561" s="4">
        <v>22.7</v>
      </c>
      <c r="V2561" s="4">
        <v>2.6</v>
      </c>
      <c r="W2561" s="4">
        <v>5.7</v>
      </c>
      <c r="X2561" s="4">
        <v>519.92999999999995</v>
      </c>
      <c r="Y2561" s="7" t="e">
        <f t="shared" ca="1" si="54"/>
        <v>#VALUE!</v>
      </c>
    </row>
    <row r="2562" spans="1:25" ht="15" x14ac:dyDescent="0.25">
      <c r="A2562" s="4">
        <v>2497</v>
      </c>
      <c r="C2562" s="41" t="s">
        <v>4829</v>
      </c>
      <c r="D2562" s="42"/>
      <c r="E2562" s="5" t="str">
        <f t="shared" si="50"/>
        <v>https://www.screener.in/company//consolidated/</v>
      </c>
      <c r="F2562" s="4">
        <v>443059</v>
      </c>
      <c r="G2562" s="4">
        <v>3832241897</v>
      </c>
      <c r="H2562" s="6" t="e">
        <f t="shared" ca="1" si="51"/>
        <v>#VALUE!</v>
      </c>
      <c r="I2562" s="7" t="str">
        <f ca="1">IFERROR(__xludf.DUMMYFUNCTION("IMPORTXML(E2562,""/html/body/main/div[3]/div[3]/div[2]/ul/li[5]/span[2]/span"")"),"Loading...")</f>
        <v>Loading...</v>
      </c>
      <c r="J2562" s="7" t="str">
        <f ca="1">IFERROR(__xludf.DUMMYFUNCTION("GOOGLEFINANCE(""NSE:""&amp;D2562,""marketcap"")"),"#N/A")</f>
        <v>#N/A</v>
      </c>
      <c r="K2562" s="7">
        <v>992.8</v>
      </c>
      <c r="L2562" s="8" t="str">
        <f ca="1">IFERROR(__xludf.DUMMYFUNCTION("GOOGLEFINANCE(""NSE:""&amp;D2562,""price"")"),"#N/A")</f>
        <v>#N/A</v>
      </c>
      <c r="M2562" s="9" t="e">
        <f t="shared" ca="1" si="52"/>
        <v>#VALUE!</v>
      </c>
      <c r="N2562" s="10" t="e">
        <f t="shared" ca="1" si="53"/>
        <v>#VALUE!</v>
      </c>
      <c r="O2562" s="7" t="str">
        <f ca="1">IFERROR(__xludf.DUMMYFUNCTION("GOOGLEFINANCE(""NSE:""&amp;D2562,""pe"")"),"#N/A")</f>
        <v>#N/A</v>
      </c>
      <c r="P2562" s="7" t="str">
        <f ca="1">IFERROR(__xludf.DUMMYFUNCTION("GOOGLEFINANCE(""NSE:""&amp;D2562,""EPS"")"),"#N/A")</f>
        <v>#N/A</v>
      </c>
      <c r="Q2562" s="7">
        <v>13.5</v>
      </c>
      <c r="R2562" s="7" t="str">
        <f ca="1">IFERROR(__xludf.DUMMYFUNCTION("IMPORTXML(E2562,""/html/body/main/div[3]/div[3]/div[2]/ul/li[7]/span[2]/span"")"),"Loading...")</f>
        <v>Loading...</v>
      </c>
      <c r="S2562" s="7" t="str">
        <f ca="1">IFERROR(__xludf.DUMMYFUNCTION("IMPORTXML(E2562,""/html/body/main/div[3]/div[3]/div[2]/ul/li[8]/span[2]/span"")"),"Loading...")</f>
        <v>Loading...</v>
      </c>
      <c r="T2562" s="4">
        <v>34.6</v>
      </c>
      <c r="U2562" s="4">
        <v>22.7</v>
      </c>
      <c r="V2562" s="4">
        <v>2.6</v>
      </c>
      <c r="W2562" s="4">
        <v>5.7</v>
      </c>
      <c r="X2562" s="4">
        <v>519.92999999999995</v>
      </c>
      <c r="Y2562" s="7" t="e">
        <f t="shared" ca="1" si="54"/>
        <v>#VALUE!</v>
      </c>
    </row>
    <row r="2563" spans="1:25" ht="15" x14ac:dyDescent="0.25">
      <c r="A2563" s="4">
        <v>2498</v>
      </c>
      <c r="C2563" s="41" t="s">
        <v>4830</v>
      </c>
      <c r="D2563" s="42"/>
      <c r="E2563" s="5" t="str">
        <f t="shared" si="50"/>
        <v>https://www.screener.in/company//consolidated/</v>
      </c>
      <c r="F2563" s="4">
        <v>443059</v>
      </c>
      <c r="G2563" s="4">
        <v>3832241897</v>
      </c>
      <c r="H2563" s="6" t="e">
        <f t="shared" ca="1" si="51"/>
        <v>#VALUE!</v>
      </c>
      <c r="I2563" s="7" t="str">
        <f ca="1">IFERROR(__xludf.DUMMYFUNCTION("IMPORTXML(E2563,""/html/body/main/div[3]/div[3]/div[2]/ul/li[5]/span[2]/span"")"),"Loading...")</f>
        <v>Loading...</v>
      </c>
      <c r="J2563" s="7" t="str">
        <f ca="1">IFERROR(__xludf.DUMMYFUNCTION("GOOGLEFINANCE(""NSE:""&amp;D2563,""marketcap"")"),"#N/A")</f>
        <v>#N/A</v>
      </c>
      <c r="K2563" s="7">
        <v>992.8</v>
      </c>
      <c r="L2563" s="8" t="str">
        <f ca="1">IFERROR(__xludf.DUMMYFUNCTION("GOOGLEFINANCE(""NSE:""&amp;D2563,""price"")"),"#N/A")</f>
        <v>#N/A</v>
      </c>
      <c r="M2563" s="9" t="e">
        <f t="shared" ca="1" si="52"/>
        <v>#VALUE!</v>
      </c>
      <c r="N2563" s="10" t="e">
        <f t="shared" ca="1" si="53"/>
        <v>#VALUE!</v>
      </c>
      <c r="O2563" s="7" t="str">
        <f ca="1">IFERROR(__xludf.DUMMYFUNCTION("GOOGLEFINANCE(""NSE:""&amp;D2563,""pe"")"),"#N/A")</f>
        <v>#N/A</v>
      </c>
      <c r="P2563" s="7" t="str">
        <f ca="1">IFERROR(__xludf.DUMMYFUNCTION("GOOGLEFINANCE(""NSE:""&amp;D2563,""EPS"")"),"#N/A")</f>
        <v>#N/A</v>
      </c>
      <c r="Q2563" s="7">
        <v>13.5</v>
      </c>
      <c r="R2563" s="7" t="str">
        <f ca="1">IFERROR(__xludf.DUMMYFUNCTION("IMPORTXML(E2563,""/html/body/main/div[3]/div[3]/div[2]/ul/li[7]/span[2]/span"")"),"Loading...")</f>
        <v>Loading...</v>
      </c>
      <c r="S2563" s="7" t="str">
        <f ca="1">IFERROR(__xludf.DUMMYFUNCTION("IMPORTXML(E2563,""/html/body/main/div[3]/div[3]/div[2]/ul/li[8]/span[2]/span"")"),"Loading...")</f>
        <v>Loading...</v>
      </c>
      <c r="T2563" s="4">
        <v>34.6</v>
      </c>
      <c r="U2563" s="4">
        <v>22.7</v>
      </c>
      <c r="V2563" s="4">
        <v>2.6</v>
      </c>
      <c r="W2563" s="4">
        <v>5.7</v>
      </c>
      <c r="X2563" s="4">
        <v>519.92999999999995</v>
      </c>
      <c r="Y2563" s="7" t="e">
        <f t="shared" ca="1" si="54"/>
        <v>#VALUE!</v>
      </c>
    </row>
    <row r="2564" spans="1:25" ht="15" x14ac:dyDescent="0.25">
      <c r="A2564" s="4">
        <v>2499</v>
      </c>
      <c r="C2564" s="41" t="s">
        <v>4831</v>
      </c>
      <c r="D2564" s="42"/>
      <c r="E2564" s="5" t="str">
        <f t="shared" si="50"/>
        <v>https://www.screener.in/company//consolidated/</v>
      </c>
      <c r="F2564" s="4">
        <v>443059</v>
      </c>
      <c r="G2564" s="4">
        <v>3832241897</v>
      </c>
      <c r="H2564" s="6" t="e">
        <f t="shared" ca="1" si="51"/>
        <v>#VALUE!</v>
      </c>
      <c r="I2564" s="7" t="str">
        <f ca="1">IFERROR(__xludf.DUMMYFUNCTION("IMPORTXML(E2564,""/html/body/main/div[3]/div[3]/div[2]/ul/li[5]/span[2]/span"")"),"Loading...")</f>
        <v>Loading...</v>
      </c>
      <c r="J2564" s="7" t="str">
        <f ca="1">IFERROR(__xludf.DUMMYFUNCTION("GOOGLEFINANCE(""NSE:""&amp;D2564,""marketcap"")"),"#N/A")</f>
        <v>#N/A</v>
      </c>
      <c r="K2564" s="7">
        <v>992.8</v>
      </c>
      <c r="L2564" s="8" t="str">
        <f ca="1">IFERROR(__xludf.DUMMYFUNCTION("GOOGLEFINANCE(""NSE:""&amp;D2564,""price"")"),"#N/A")</f>
        <v>#N/A</v>
      </c>
      <c r="M2564" s="9" t="e">
        <f t="shared" ca="1" si="52"/>
        <v>#VALUE!</v>
      </c>
      <c r="N2564" s="10" t="e">
        <f t="shared" ca="1" si="53"/>
        <v>#VALUE!</v>
      </c>
      <c r="O2564" s="7" t="str">
        <f ca="1">IFERROR(__xludf.DUMMYFUNCTION("GOOGLEFINANCE(""NSE:""&amp;D2564,""pe"")"),"#N/A")</f>
        <v>#N/A</v>
      </c>
      <c r="P2564" s="7" t="str">
        <f ca="1">IFERROR(__xludf.DUMMYFUNCTION("GOOGLEFINANCE(""NSE:""&amp;D2564,""EPS"")"),"#N/A")</f>
        <v>#N/A</v>
      </c>
      <c r="Q2564" s="7">
        <v>13.5</v>
      </c>
      <c r="R2564" s="7" t="str">
        <f ca="1">IFERROR(__xludf.DUMMYFUNCTION("IMPORTXML(E2564,""/html/body/main/div[3]/div[3]/div[2]/ul/li[7]/span[2]/span"")"),"Loading...")</f>
        <v>Loading...</v>
      </c>
      <c r="S2564" s="7" t="str">
        <f ca="1">IFERROR(__xludf.DUMMYFUNCTION("IMPORTXML(E2564,""/html/body/main/div[3]/div[3]/div[2]/ul/li[8]/span[2]/span"")"),"Loading...")</f>
        <v>Loading...</v>
      </c>
      <c r="T2564" s="4">
        <v>34.6</v>
      </c>
      <c r="U2564" s="4">
        <v>22.7</v>
      </c>
      <c r="V2564" s="4">
        <v>2.6</v>
      </c>
      <c r="W2564" s="4">
        <v>5.7</v>
      </c>
      <c r="X2564" s="4">
        <v>519.92999999999995</v>
      </c>
      <c r="Y2564" s="7" t="e">
        <f t="shared" ca="1" si="54"/>
        <v>#VALUE!</v>
      </c>
    </row>
    <row r="2565" spans="1:25" ht="15" x14ac:dyDescent="0.25">
      <c r="A2565" s="4">
        <v>2500</v>
      </c>
      <c r="C2565" s="41" t="s">
        <v>4832</v>
      </c>
      <c r="D2565" s="42"/>
      <c r="E2565" s="5" t="str">
        <f t="shared" si="50"/>
        <v>https://www.screener.in/company//consolidated/</v>
      </c>
      <c r="F2565" s="4">
        <v>443059</v>
      </c>
      <c r="G2565" s="4">
        <v>3832241897</v>
      </c>
      <c r="H2565" s="6" t="e">
        <f t="shared" ca="1" si="51"/>
        <v>#VALUE!</v>
      </c>
      <c r="I2565" s="7" t="str">
        <f ca="1">IFERROR(__xludf.DUMMYFUNCTION("IMPORTXML(E2565,""/html/body/main/div[3]/div[3]/div[2]/ul/li[5]/span[2]/span"")"),"Loading...")</f>
        <v>Loading...</v>
      </c>
      <c r="J2565" s="7" t="str">
        <f ca="1">IFERROR(__xludf.DUMMYFUNCTION("GOOGLEFINANCE(""NSE:""&amp;D2565,""marketcap"")"),"#N/A")</f>
        <v>#N/A</v>
      </c>
      <c r="K2565" s="7">
        <v>992.8</v>
      </c>
      <c r="L2565" s="8" t="str">
        <f ca="1">IFERROR(__xludf.DUMMYFUNCTION("GOOGLEFINANCE(""NSE:""&amp;D2565,""price"")"),"#N/A")</f>
        <v>#N/A</v>
      </c>
      <c r="M2565" s="9" t="e">
        <f t="shared" ca="1" si="52"/>
        <v>#VALUE!</v>
      </c>
      <c r="N2565" s="10" t="e">
        <f t="shared" ca="1" si="53"/>
        <v>#VALUE!</v>
      </c>
      <c r="O2565" s="7" t="str">
        <f ca="1">IFERROR(__xludf.DUMMYFUNCTION("GOOGLEFINANCE(""NSE:""&amp;D2565,""pe"")"),"#N/A")</f>
        <v>#N/A</v>
      </c>
      <c r="P2565" s="7" t="str">
        <f ca="1">IFERROR(__xludf.DUMMYFUNCTION("GOOGLEFINANCE(""NSE:""&amp;D2565,""EPS"")"),"#N/A")</f>
        <v>#N/A</v>
      </c>
      <c r="Q2565" s="7">
        <v>13.5</v>
      </c>
      <c r="R2565" s="7" t="str">
        <f ca="1">IFERROR(__xludf.DUMMYFUNCTION("IMPORTXML(E2565,""/html/body/main/div[3]/div[3]/div[2]/ul/li[7]/span[2]/span"")"),"Loading...")</f>
        <v>Loading...</v>
      </c>
      <c r="S2565" s="7" t="str">
        <f ca="1">IFERROR(__xludf.DUMMYFUNCTION("IMPORTXML(E2565,""/html/body/main/div[3]/div[3]/div[2]/ul/li[8]/span[2]/span"")"),"Loading...")</f>
        <v>Loading...</v>
      </c>
      <c r="T2565" s="4">
        <v>34.6</v>
      </c>
      <c r="U2565" s="4">
        <v>22.7</v>
      </c>
      <c r="V2565" s="4">
        <v>2.6</v>
      </c>
      <c r="W2565" s="4">
        <v>5.7</v>
      </c>
      <c r="X2565" s="4">
        <v>519.92999999999995</v>
      </c>
      <c r="Y2565" s="7" t="e">
        <f t="shared" ca="1" si="54"/>
        <v>#VALUE!</v>
      </c>
    </row>
    <row r="2566" spans="1:25" ht="15" x14ac:dyDescent="0.25">
      <c r="A2566" s="4">
        <v>2501</v>
      </c>
      <c r="C2566" s="12" t="s">
        <v>4833</v>
      </c>
      <c r="D2566" s="12" t="s">
        <v>4834</v>
      </c>
      <c r="E2566" s="5" t="str">
        <f t="shared" si="50"/>
        <v>https://www.screener.in/company/ORIENTLTD/consolidated/</v>
      </c>
      <c r="F2566" s="4">
        <v>443059</v>
      </c>
      <c r="G2566" s="4">
        <v>3832241897</v>
      </c>
      <c r="H2566" s="6">
        <f t="shared" ca="1" si="51"/>
        <v>35360.095983619001</v>
      </c>
      <c r="I2566" s="7" t="str">
        <f ca="1">IFERROR(__xludf.DUMMYFUNCTION("IMPORTXML(E2566,""/html/body/main/div[3]/div[3]/div[2]/ul/li[5]/span[2]/span"")"),"Loading...")</f>
        <v>Loading...</v>
      </c>
      <c r="J2566" s="7">
        <f ca="1">IFERROR(__xludf.DUMMYFUNCTION("GOOGLEFINANCE(""NSE:""&amp;D2566,""marketcap"")"),892300000)</f>
        <v>892300000</v>
      </c>
      <c r="K2566" s="7">
        <v>992.8</v>
      </c>
      <c r="L2566" s="8">
        <f ca="1">IFERROR(__xludf.DUMMYFUNCTION("GOOGLEFINANCE(""NSE:""&amp;D2566,""price"")"),92.27)</f>
        <v>92.27</v>
      </c>
      <c r="M2566" s="9">
        <f t="shared" ca="1" si="52"/>
        <v>-900.53</v>
      </c>
      <c r="N2566" s="10">
        <f t="shared" ca="1" si="53"/>
        <v>-90.706083803384374</v>
      </c>
      <c r="O2566" s="7" t="str">
        <f ca="1">IFERROR(__xludf.DUMMYFUNCTION("GOOGLEFINANCE(""NSE:""&amp;D2566,""pe"")"),"#N/A")</f>
        <v>#N/A</v>
      </c>
      <c r="P2566" s="7">
        <f ca="1">IFERROR(__xludf.DUMMYFUNCTION("GOOGLEFINANCE(""NSE:""&amp;D2566,""EPS"")"),-2.8)</f>
        <v>-2.8</v>
      </c>
      <c r="Q2566" s="7">
        <v>13.5</v>
      </c>
      <c r="R2566" s="7" t="str">
        <f ca="1">IFERROR(__xludf.DUMMYFUNCTION("IMPORTXML(E2566,""/html/body/main/div[3]/div[3]/div[2]/ul/li[7]/span[2]/span"")"),"Loading...")</f>
        <v>Loading...</v>
      </c>
      <c r="S2566" s="7" t="str">
        <f ca="1">IFERROR(__xludf.DUMMYFUNCTION("IMPORTXML(E2566,""/html/body/main/div[3]/div[3]/div[2]/ul/li[8]/span[2]/span"")"),"Loading...")</f>
        <v>Loading...</v>
      </c>
      <c r="T2566" s="4">
        <v>34.6</v>
      </c>
      <c r="U2566" s="4">
        <v>22.7</v>
      </c>
      <c r="V2566" s="4">
        <v>2.6</v>
      </c>
      <c r="W2566" s="4">
        <v>5.7</v>
      </c>
      <c r="X2566" s="4">
        <v>519.92999999999995</v>
      </c>
      <c r="Y2566" s="7">
        <f t="shared" ca="1" si="54"/>
        <v>-427.65999999999997</v>
      </c>
    </row>
    <row r="2567" spans="1:25" ht="15" x14ac:dyDescent="0.25">
      <c r="A2567" s="4">
        <v>2504</v>
      </c>
      <c r="C2567" s="41" t="s">
        <v>4835</v>
      </c>
      <c r="D2567" s="42"/>
      <c r="E2567" s="5" t="str">
        <f t="shared" si="50"/>
        <v>https://www.screener.in/company//consolidated/</v>
      </c>
      <c r="F2567" s="4">
        <v>443059</v>
      </c>
      <c r="G2567" s="4">
        <v>3832241897</v>
      </c>
      <c r="H2567" s="6" t="e">
        <f t="shared" ca="1" si="51"/>
        <v>#VALUE!</v>
      </c>
      <c r="I2567" s="7" t="str">
        <f ca="1">IFERROR(__xludf.DUMMYFUNCTION("IMPORTXML(E2567,""/html/body/main/div[3]/div[3]/div[2]/ul/li[5]/span[2]/span"")"),"Loading...")</f>
        <v>Loading...</v>
      </c>
      <c r="J2567" s="7" t="str">
        <f ca="1">IFERROR(__xludf.DUMMYFUNCTION("GOOGLEFINANCE(""NSE:""&amp;D2567,""marketcap"")"),"#N/A")</f>
        <v>#N/A</v>
      </c>
      <c r="K2567" s="7">
        <v>992.8</v>
      </c>
      <c r="L2567" s="8" t="str">
        <f ca="1">IFERROR(__xludf.DUMMYFUNCTION("GOOGLEFINANCE(""NSE:""&amp;D2567,""price"")"),"#N/A")</f>
        <v>#N/A</v>
      </c>
      <c r="M2567" s="9" t="e">
        <f t="shared" ca="1" si="52"/>
        <v>#VALUE!</v>
      </c>
      <c r="N2567" s="10" t="e">
        <f t="shared" ca="1" si="53"/>
        <v>#VALUE!</v>
      </c>
      <c r="O2567" s="7" t="str">
        <f ca="1">IFERROR(__xludf.DUMMYFUNCTION("GOOGLEFINANCE(""NSE:""&amp;D2567,""pe"")"),"#N/A")</f>
        <v>#N/A</v>
      </c>
      <c r="P2567" s="7" t="str">
        <f ca="1">IFERROR(__xludf.DUMMYFUNCTION("GOOGLEFINANCE(""NSE:""&amp;D2567,""EPS"")"),"#N/A")</f>
        <v>#N/A</v>
      </c>
      <c r="Q2567" s="7">
        <v>13.5</v>
      </c>
      <c r="R2567" s="7" t="str">
        <f ca="1">IFERROR(__xludf.DUMMYFUNCTION("IMPORTXML(E2567,""/html/body/main/div[3]/div[3]/div[2]/ul/li[7]/span[2]/span"")"),"Loading...")</f>
        <v>Loading...</v>
      </c>
      <c r="S2567" s="7" t="str">
        <f ca="1">IFERROR(__xludf.DUMMYFUNCTION("IMPORTXML(E2567,""/html/body/main/div[3]/div[3]/div[2]/ul/li[8]/span[2]/span"")"),"Loading...")</f>
        <v>Loading...</v>
      </c>
      <c r="T2567" s="4">
        <v>34.6</v>
      </c>
      <c r="U2567" s="4">
        <v>22.7</v>
      </c>
      <c r="V2567" s="4">
        <v>2.6</v>
      </c>
      <c r="W2567" s="4">
        <v>5.7</v>
      </c>
      <c r="X2567" s="4">
        <v>519.92999999999995</v>
      </c>
      <c r="Y2567" s="7" t="e">
        <f t="shared" ca="1" si="54"/>
        <v>#VALUE!</v>
      </c>
    </row>
    <row r="2568" spans="1:25" ht="15" x14ac:dyDescent="0.25">
      <c r="A2568" s="4">
        <v>2506</v>
      </c>
      <c r="C2568" s="41" t="s">
        <v>4836</v>
      </c>
      <c r="D2568" s="42"/>
      <c r="E2568" s="5" t="str">
        <f t="shared" si="50"/>
        <v>https://www.screener.in/company//consolidated/</v>
      </c>
      <c r="F2568" s="4">
        <v>443059</v>
      </c>
      <c r="G2568" s="4">
        <v>3832241897</v>
      </c>
      <c r="H2568" s="6" t="e">
        <f t="shared" ca="1" si="51"/>
        <v>#VALUE!</v>
      </c>
      <c r="I2568" s="7" t="str">
        <f ca="1">IFERROR(__xludf.DUMMYFUNCTION("IMPORTXML(E2568,""/html/body/main/div[3]/div[3]/div[2]/ul/li[5]/span[2]/span"")"),"Loading...")</f>
        <v>Loading...</v>
      </c>
      <c r="J2568" s="7" t="str">
        <f ca="1">IFERROR(__xludf.DUMMYFUNCTION("GOOGLEFINANCE(""NSE:""&amp;D2568,""marketcap"")"),"#N/A")</f>
        <v>#N/A</v>
      </c>
      <c r="K2568" s="7">
        <v>992.8</v>
      </c>
      <c r="L2568" s="8" t="str">
        <f ca="1">IFERROR(__xludf.DUMMYFUNCTION("GOOGLEFINANCE(""NSE:""&amp;D2568,""price"")"),"#N/A")</f>
        <v>#N/A</v>
      </c>
      <c r="M2568" s="9" t="e">
        <f t="shared" ca="1" si="52"/>
        <v>#VALUE!</v>
      </c>
      <c r="N2568" s="10" t="e">
        <f t="shared" ca="1" si="53"/>
        <v>#VALUE!</v>
      </c>
      <c r="O2568" s="7" t="str">
        <f ca="1">IFERROR(__xludf.DUMMYFUNCTION("GOOGLEFINANCE(""NSE:""&amp;D2568,""pe"")"),"#N/A")</f>
        <v>#N/A</v>
      </c>
      <c r="P2568" s="7" t="str">
        <f ca="1">IFERROR(__xludf.DUMMYFUNCTION("GOOGLEFINANCE(""NSE:""&amp;D2568,""EPS"")"),"#N/A")</f>
        <v>#N/A</v>
      </c>
      <c r="Q2568" s="7">
        <v>13.5</v>
      </c>
      <c r="R2568" s="7" t="str">
        <f ca="1">IFERROR(__xludf.DUMMYFUNCTION("IMPORTXML(E2568,""/html/body/main/div[3]/div[3]/div[2]/ul/li[7]/span[2]/span"")"),"Loading...")</f>
        <v>Loading...</v>
      </c>
      <c r="S2568" s="7" t="str">
        <f ca="1">IFERROR(__xludf.DUMMYFUNCTION("IMPORTXML(E2568,""/html/body/main/div[3]/div[3]/div[2]/ul/li[8]/span[2]/span"")"),"Loading...")</f>
        <v>Loading...</v>
      </c>
      <c r="T2568" s="4">
        <v>34.6</v>
      </c>
      <c r="U2568" s="4">
        <v>22.7</v>
      </c>
      <c r="V2568" s="4">
        <v>2.6</v>
      </c>
      <c r="W2568" s="4">
        <v>5.7</v>
      </c>
      <c r="X2568" s="4">
        <v>519.92999999999995</v>
      </c>
      <c r="Y2568" s="7" t="e">
        <f t="shared" ca="1" si="54"/>
        <v>#VALUE!</v>
      </c>
    </row>
    <row r="2569" spans="1:25" ht="15" x14ac:dyDescent="0.25">
      <c r="A2569" s="4">
        <v>2507</v>
      </c>
      <c r="C2569" s="41" t="s">
        <v>4837</v>
      </c>
      <c r="D2569" s="42"/>
      <c r="E2569" s="5" t="str">
        <f t="shared" si="50"/>
        <v>https://www.screener.in/company//consolidated/</v>
      </c>
      <c r="F2569" s="4">
        <v>443059</v>
      </c>
      <c r="G2569" s="4">
        <v>3832241897</v>
      </c>
      <c r="H2569" s="6" t="e">
        <f t="shared" ca="1" si="51"/>
        <v>#VALUE!</v>
      </c>
      <c r="I2569" s="7" t="str">
        <f ca="1">IFERROR(__xludf.DUMMYFUNCTION("IMPORTXML(E2569,""/html/body/main/div[3]/div[3]/div[2]/ul/li[5]/span[2]/span"")"),"Loading...")</f>
        <v>Loading...</v>
      </c>
      <c r="J2569" s="7" t="str">
        <f ca="1">IFERROR(__xludf.DUMMYFUNCTION("GOOGLEFINANCE(""NSE:""&amp;D2569,""marketcap"")"),"#N/A")</f>
        <v>#N/A</v>
      </c>
      <c r="K2569" s="7">
        <v>992.8</v>
      </c>
      <c r="L2569" s="8" t="str">
        <f ca="1">IFERROR(__xludf.DUMMYFUNCTION("GOOGLEFINANCE(""NSE:""&amp;D2569,""price"")"),"#N/A")</f>
        <v>#N/A</v>
      </c>
      <c r="M2569" s="9" t="e">
        <f t="shared" ca="1" si="52"/>
        <v>#VALUE!</v>
      </c>
      <c r="N2569" s="10" t="e">
        <f t="shared" ca="1" si="53"/>
        <v>#VALUE!</v>
      </c>
      <c r="O2569" s="7" t="str">
        <f ca="1">IFERROR(__xludf.DUMMYFUNCTION("GOOGLEFINANCE(""NSE:""&amp;D2569,""pe"")"),"#N/A")</f>
        <v>#N/A</v>
      </c>
      <c r="P2569" s="7" t="str">
        <f ca="1">IFERROR(__xludf.DUMMYFUNCTION("GOOGLEFINANCE(""NSE:""&amp;D2569,""EPS"")"),"#N/A")</f>
        <v>#N/A</v>
      </c>
      <c r="Q2569" s="7">
        <v>13.5</v>
      </c>
      <c r="R2569" s="7" t="str">
        <f ca="1">IFERROR(__xludf.DUMMYFUNCTION("IMPORTXML(E2569,""/html/body/main/div[3]/div[3]/div[2]/ul/li[7]/span[2]/span"")"),"Loading...")</f>
        <v>Loading...</v>
      </c>
      <c r="S2569" s="7" t="str">
        <f ca="1">IFERROR(__xludf.DUMMYFUNCTION("IMPORTXML(E2569,""/html/body/main/div[3]/div[3]/div[2]/ul/li[8]/span[2]/span"")"),"Loading...")</f>
        <v>Loading...</v>
      </c>
      <c r="T2569" s="4">
        <v>34.6</v>
      </c>
      <c r="U2569" s="4">
        <v>22.7</v>
      </c>
      <c r="V2569" s="4">
        <v>2.6</v>
      </c>
      <c r="W2569" s="4">
        <v>5.7</v>
      </c>
      <c r="X2569" s="4">
        <v>519.92999999999995</v>
      </c>
      <c r="Y2569" s="7" t="e">
        <f t="shared" ca="1" si="54"/>
        <v>#VALUE!</v>
      </c>
    </row>
    <row r="2570" spans="1:25" ht="15" x14ac:dyDescent="0.25">
      <c r="A2570" s="4">
        <v>2508</v>
      </c>
      <c r="C2570" s="41" t="s">
        <v>4838</v>
      </c>
      <c r="D2570" s="42"/>
      <c r="E2570" s="5" t="str">
        <f t="shared" si="50"/>
        <v>https://www.screener.in/company//consolidated/</v>
      </c>
      <c r="F2570" s="4">
        <v>443059</v>
      </c>
      <c r="G2570" s="4">
        <v>3832241897</v>
      </c>
      <c r="H2570" s="6" t="e">
        <f t="shared" ca="1" si="51"/>
        <v>#VALUE!</v>
      </c>
      <c r="I2570" s="7" t="str">
        <f ca="1">IFERROR(__xludf.DUMMYFUNCTION("IMPORTXML(E2570,""/html/body/main/div[3]/div[3]/div[2]/ul/li[5]/span[2]/span"")"),"Loading...")</f>
        <v>Loading...</v>
      </c>
      <c r="J2570" s="7" t="str">
        <f ca="1">IFERROR(__xludf.DUMMYFUNCTION("GOOGLEFINANCE(""NSE:""&amp;D2570,""marketcap"")"),"#N/A")</f>
        <v>#N/A</v>
      </c>
      <c r="K2570" s="7">
        <v>992.8</v>
      </c>
      <c r="L2570" s="8" t="str">
        <f ca="1">IFERROR(__xludf.DUMMYFUNCTION("GOOGLEFINANCE(""NSE:""&amp;D2570,""price"")"),"#N/A")</f>
        <v>#N/A</v>
      </c>
      <c r="M2570" s="9" t="e">
        <f t="shared" ca="1" si="52"/>
        <v>#VALUE!</v>
      </c>
      <c r="N2570" s="10" t="e">
        <f t="shared" ca="1" si="53"/>
        <v>#VALUE!</v>
      </c>
      <c r="O2570" s="7" t="str">
        <f ca="1">IFERROR(__xludf.DUMMYFUNCTION("GOOGLEFINANCE(""NSE:""&amp;D2570,""pe"")"),"#N/A")</f>
        <v>#N/A</v>
      </c>
      <c r="P2570" s="7" t="str">
        <f ca="1">IFERROR(__xludf.DUMMYFUNCTION("GOOGLEFINANCE(""NSE:""&amp;D2570,""EPS"")"),"#N/A")</f>
        <v>#N/A</v>
      </c>
      <c r="Q2570" s="7">
        <v>13.5</v>
      </c>
      <c r="R2570" s="7" t="str">
        <f ca="1">IFERROR(__xludf.DUMMYFUNCTION("IMPORTXML(E2570,""/html/body/main/div[3]/div[3]/div[2]/ul/li[7]/span[2]/span"")"),"Loading...")</f>
        <v>Loading...</v>
      </c>
      <c r="S2570" s="7" t="str">
        <f ca="1">IFERROR(__xludf.DUMMYFUNCTION("IMPORTXML(E2570,""/html/body/main/div[3]/div[3]/div[2]/ul/li[8]/span[2]/span"")"),"Loading...")</f>
        <v>Loading...</v>
      </c>
      <c r="T2570" s="4">
        <v>34.6</v>
      </c>
      <c r="U2570" s="4">
        <v>22.7</v>
      </c>
      <c r="V2570" s="4">
        <v>2.6</v>
      </c>
      <c r="W2570" s="4">
        <v>5.7</v>
      </c>
      <c r="X2570" s="4">
        <v>519.92999999999995</v>
      </c>
      <c r="Y2570" s="7" t="e">
        <f t="shared" ca="1" si="54"/>
        <v>#VALUE!</v>
      </c>
    </row>
    <row r="2571" spans="1:25" ht="15" x14ac:dyDescent="0.25">
      <c r="A2571" s="4">
        <v>2509</v>
      </c>
      <c r="C2571" s="41" t="s">
        <v>4839</v>
      </c>
      <c r="D2571" s="42"/>
      <c r="E2571" s="5" t="str">
        <f t="shared" si="50"/>
        <v>https://www.screener.in/company//consolidated/</v>
      </c>
      <c r="F2571" s="4">
        <v>443059</v>
      </c>
      <c r="G2571" s="4">
        <v>3832241897</v>
      </c>
      <c r="H2571" s="6" t="e">
        <f t="shared" ca="1" si="51"/>
        <v>#VALUE!</v>
      </c>
      <c r="I2571" s="7" t="str">
        <f ca="1">IFERROR(__xludf.DUMMYFUNCTION("IMPORTXML(E2571,""/html/body/main/div[3]/div[3]/div[2]/ul/li[5]/span[2]/span"")"),"Loading...")</f>
        <v>Loading...</v>
      </c>
      <c r="J2571" s="7" t="str">
        <f ca="1">IFERROR(__xludf.DUMMYFUNCTION("GOOGLEFINANCE(""NSE:""&amp;D2571,""marketcap"")"),"#N/A")</f>
        <v>#N/A</v>
      </c>
      <c r="K2571" s="7">
        <v>992.8</v>
      </c>
      <c r="L2571" s="8" t="str">
        <f ca="1">IFERROR(__xludf.DUMMYFUNCTION("GOOGLEFINANCE(""NSE:""&amp;D2571,""price"")"),"#N/A")</f>
        <v>#N/A</v>
      </c>
      <c r="M2571" s="9" t="e">
        <f t="shared" ca="1" si="52"/>
        <v>#VALUE!</v>
      </c>
      <c r="N2571" s="10" t="e">
        <f t="shared" ca="1" si="53"/>
        <v>#VALUE!</v>
      </c>
      <c r="O2571" s="7" t="str">
        <f ca="1">IFERROR(__xludf.DUMMYFUNCTION("GOOGLEFINANCE(""NSE:""&amp;D2571,""pe"")"),"#N/A")</f>
        <v>#N/A</v>
      </c>
      <c r="P2571" s="7" t="str">
        <f ca="1">IFERROR(__xludf.DUMMYFUNCTION("GOOGLEFINANCE(""NSE:""&amp;D2571,""EPS"")"),"#N/A")</f>
        <v>#N/A</v>
      </c>
      <c r="Q2571" s="7">
        <v>13.5</v>
      </c>
      <c r="R2571" s="7" t="str">
        <f ca="1">IFERROR(__xludf.DUMMYFUNCTION("IMPORTXML(E2571,""/html/body/main/div[3]/div[3]/div[2]/ul/li[7]/span[2]/span"")"),"Loading...")</f>
        <v>Loading...</v>
      </c>
      <c r="S2571" s="7" t="str">
        <f ca="1">IFERROR(__xludf.DUMMYFUNCTION("IMPORTXML(E2571,""/html/body/main/div[3]/div[3]/div[2]/ul/li[8]/span[2]/span"")"),"Loading...")</f>
        <v>Loading...</v>
      </c>
      <c r="T2571" s="4">
        <v>34.6</v>
      </c>
      <c r="U2571" s="4">
        <v>22.7</v>
      </c>
      <c r="V2571" s="4">
        <v>2.6</v>
      </c>
      <c r="W2571" s="4">
        <v>5.7</v>
      </c>
      <c r="X2571" s="4">
        <v>519.92999999999995</v>
      </c>
      <c r="Y2571" s="7" t="e">
        <f t="shared" ca="1" si="54"/>
        <v>#VALUE!</v>
      </c>
    </row>
    <row r="2572" spans="1:25" ht="15" x14ac:dyDescent="0.25">
      <c r="A2572" s="4">
        <v>2511</v>
      </c>
      <c r="C2572" s="41" t="s">
        <v>4840</v>
      </c>
      <c r="D2572" s="42"/>
      <c r="E2572" s="5" t="str">
        <f t="shared" si="50"/>
        <v>https://www.screener.in/company//consolidated/</v>
      </c>
      <c r="F2572" s="4">
        <v>443059</v>
      </c>
      <c r="G2572" s="4">
        <v>3832241897</v>
      </c>
      <c r="H2572" s="6" t="e">
        <f t="shared" ca="1" si="51"/>
        <v>#VALUE!</v>
      </c>
      <c r="I2572" s="7" t="str">
        <f ca="1">IFERROR(__xludf.DUMMYFUNCTION("IMPORTXML(E2572,""/html/body/main/div[3]/div[3]/div[2]/ul/li[5]/span[2]/span"")"),"Loading...")</f>
        <v>Loading...</v>
      </c>
      <c r="J2572" s="7" t="str">
        <f ca="1">IFERROR(__xludf.DUMMYFUNCTION("GOOGLEFINANCE(""NSE:""&amp;D2572,""marketcap"")"),"#N/A")</f>
        <v>#N/A</v>
      </c>
      <c r="K2572" s="7">
        <v>992.8</v>
      </c>
      <c r="L2572" s="8" t="str">
        <f ca="1">IFERROR(__xludf.DUMMYFUNCTION("GOOGLEFINANCE(""NSE:""&amp;D2572,""price"")"),"#N/A")</f>
        <v>#N/A</v>
      </c>
      <c r="M2572" s="9" t="e">
        <f t="shared" ca="1" si="52"/>
        <v>#VALUE!</v>
      </c>
      <c r="N2572" s="10" t="e">
        <f t="shared" ca="1" si="53"/>
        <v>#VALUE!</v>
      </c>
      <c r="O2572" s="7" t="str">
        <f ca="1">IFERROR(__xludf.DUMMYFUNCTION("GOOGLEFINANCE(""NSE:""&amp;D2572,""pe"")"),"#N/A")</f>
        <v>#N/A</v>
      </c>
      <c r="P2572" s="7" t="str">
        <f ca="1">IFERROR(__xludf.DUMMYFUNCTION("GOOGLEFINANCE(""NSE:""&amp;D2572,""EPS"")"),"#N/A")</f>
        <v>#N/A</v>
      </c>
      <c r="Q2572" s="7">
        <v>13.5</v>
      </c>
      <c r="R2572" s="7" t="str">
        <f ca="1">IFERROR(__xludf.DUMMYFUNCTION("IMPORTXML(E2572,""/html/body/main/div[3]/div[3]/div[2]/ul/li[7]/span[2]/span"")"),"Loading...")</f>
        <v>Loading...</v>
      </c>
      <c r="S2572" s="7" t="str">
        <f ca="1">IFERROR(__xludf.DUMMYFUNCTION("IMPORTXML(E2572,""/html/body/main/div[3]/div[3]/div[2]/ul/li[8]/span[2]/span"")"),"Loading...")</f>
        <v>Loading...</v>
      </c>
      <c r="T2572" s="4">
        <v>34.6</v>
      </c>
      <c r="U2572" s="4">
        <v>22.7</v>
      </c>
      <c r="V2572" s="4">
        <v>2.6</v>
      </c>
      <c r="W2572" s="4">
        <v>5.7</v>
      </c>
      <c r="X2572" s="4">
        <v>519.92999999999995</v>
      </c>
      <c r="Y2572" s="7" t="e">
        <f t="shared" ca="1" si="54"/>
        <v>#VALUE!</v>
      </c>
    </row>
    <row r="2573" spans="1:25" ht="15" x14ac:dyDescent="0.25">
      <c r="A2573" s="4">
        <v>2512</v>
      </c>
      <c r="C2573" s="41" t="s">
        <v>4841</v>
      </c>
      <c r="D2573" s="42"/>
      <c r="E2573" s="5" t="str">
        <f t="shared" si="50"/>
        <v>https://www.screener.in/company//consolidated/</v>
      </c>
      <c r="F2573" s="4">
        <v>443059</v>
      </c>
      <c r="G2573" s="4">
        <v>3832241897</v>
      </c>
      <c r="H2573" s="6" t="e">
        <f t="shared" ca="1" si="51"/>
        <v>#VALUE!</v>
      </c>
      <c r="I2573" s="7" t="str">
        <f ca="1">IFERROR(__xludf.DUMMYFUNCTION("IMPORTXML(E2573,""/html/body/main/div[3]/div[3]/div[2]/ul/li[5]/span[2]/span"")"),"Loading...")</f>
        <v>Loading...</v>
      </c>
      <c r="J2573" s="7" t="str">
        <f ca="1">IFERROR(__xludf.DUMMYFUNCTION("GOOGLEFINANCE(""NSE:""&amp;D2573,""marketcap"")"),"#N/A")</f>
        <v>#N/A</v>
      </c>
      <c r="K2573" s="7">
        <v>992.8</v>
      </c>
      <c r="L2573" s="8" t="str">
        <f ca="1">IFERROR(__xludf.DUMMYFUNCTION("GOOGLEFINANCE(""NSE:""&amp;D2573,""price"")"),"#N/A")</f>
        <v>#N/A</v>
      </c>
      <c r="M2573" s="9" t="e">
        <f t="shared" ca="1" si="52"/>
        <v>#VALUE!</v>
      </c>
      <c r="N2573" s="10" t="e">
        <f t="shared" ca="1" si="53"/>
        <v>#VALUE!</v>
      </c>
      <c r="O2573" s="7" t="str">
        <f ca="1">IFERROR(__xludf.DUMMYFUNCTION("GOOGLEFINANCE(""NSE:""&amp;D2573,""pe"")"),"#N/A")</f>
        <v>#N/A</v>
      </c>
      <c r="P2573" s="7" t="str">
        <f ca="1">IFERROR(__xludf.DUMMYFUNCTION("GOOGLEFINANCE(""NSE:""&amp;D2573,""EPS"")"),"#N/A")</f>
        <v>#N/A</v>
      </c>
      <c r="Q2573" s="7">
        <v>13.5</v>
      </c>
      <c r="R2573" s="7" t="str">
        <f ca="1">IFERROR(__xludf.DUMMYFUNCTION("IMPORTXML(E2573,""/html/body/main/div[3]/div[3]/div[2]/ul/li[7]/span[2]/span"")"),"Loading...")</f>
        <v>Loading...</v>
      </c>
      <c r="S2573" s="7" t="str">
        <f ca="1">IFERROR(__xludf.DUMMYFUNCTION("IMPORTXML(E2573,""/html/body/main/div[3]/div[3]/div[2]/ul/li[8]/span[2]/span"")"),"Loading...")</f>
        <v>Loading...</v>
      </c>
      <c r="T2573" s="4">
        <v>34.6</v>
      </c>
      <c r="U2573" s="4">
        <v>22.7</v>
      </c>
      <c r="V2573" s="4">
        <v>2.6</v>
      </c>
      <c r="W2573" s="4">
        <v>5.7</v>
      </c>
      <c r="X2573" s="4">
        <v>519.92999999999995</v>
      </c>
      <c r="Y2573" s="7" t="e">
        <f t="shared" ca="1" si="54"/>
        <v>#VALUE!</v>
      </c>
    </row>
    <row r="2574" spans="1:25" ht="15" x14ac:dyDescent="0.25">
      <c r="A2574" s="4">
        <v>2513</v>
      </c>
      <c r="C2574" s="41" t="s">
        <v>4842</v>
      </c>
      <c r="D2574" s="42"/>
      <c r="E2574" s="5" t="str">
        <f t="shared" si="50"/>
        <v>https://www.screener.in/company//consolidated/</v>
      </c>
      <c r="F2574" s="4">
        <v>443059</v>
      </c>
      <c r="G2574" s="4">
        <v>3832241897</v>
      </c>
      <c r="H2574" s="6" t="e">
        <f t="shared" ca="1" si="51"/>
        <v>#VALUE!</v>
      </c>
      <c r="I2574" s="7" t="str">
        <f ca="1">IFERROR(__xludf.DUMMYFUNCTION("IMPORTXML(E2574,""/html/body/main/div[3]/div[3]/div[2]/ul/li[5]/span[2]/span"")"),"Loading...")</f>
        <v>Loading...</v>
      </c>
      <c r="J2574" s="7" t="str">
        <f ca="1">IFERROR(__xludf.DUMMYFUNCTION("GOOGLEFINANCE(""NSE:""&amp;D2574,""marketcap"")"),"#N/A")</f>
        <v>#N/A</v>
      </c>
      <c r="K2574" s="7">
        <v>992.8</v>
      </c>
      <c r="L2574" s="8" t="str">
        <f ca="1">IFERROR(__xludf.DUMMYFUNCTION("GOOGLEFINANCE(""NSE:""&amp;D2574,""price"")"),"#N/A")</f>
        <v>#N/A</v>
      </c>
      <c r="M2574" s="9" t="e">
        <f t="shared" ca="1" si="52"/>
        <v>#VALUE!</v>
      </c>
      <c r="N2574" s="10" t="e">
        <f t="shared" ca="1" si="53"/>
        <v>#VALUE!</v>
      </c>
      <c r="O2574" s="7" t="str">
        <f ca="1">IFERROR(__xludf.DUMMYFUNCTION("GOOGLEFINANCE(""NSE:""&amp;D2574,""pe"")"),"#N/A")</f>
        <v>#N/A</v>
      </c>
      <c r="P2574" s="7" t="str">
        <f ca="1">IFERROR(__xludf.DUMMYFUNCTION("GOOGLEFINANCE(""NSE:""&amp;D2574,""EPS"")"),"#N/A")</f>
        <v>#N/A</v>
      </c>
      <c r="Q2574" s="7">
        <v>13.5</v>
      </c>
      <c r="R2574" s="7" t="str">
        <f ca="1">IFERROR(__xludf.DUMMYFUNCTION("IMPORTXML(E2574,""/html/body/main/div[3]/div[3]/div[2]/ul/li[7]/span[2]/span"")"),"Loading...")</f>
        <v>Loading...</v>
      </c>
      <c r="S2574" s="7" t="str">
        <f ca="1">IFERROR(__xludf.DUMMYFUNCTION("IMPORTXML(E2574,""/html/body/main/div[3]/div[3]/div[2]/ul/li[8]/span[2]/span"")"),"Loading...")</f>
        <v>Loading...</v>
      </c>
      <c r="T2574" s="4">
        <v>34.6</v>
      </c>
      <c r="U2574" s="4">
        <v>22.7</v>
      </c>
      <c r="V2574" s="4">
        <v>2.6</v>
      </c>
      <c r="W2574" s="4">
        <v>5.7</v>
      </c>
      <c r="X2574" s="4">
        <v>519.92999999999995</v>
      </c>
      <c r="Y2574" s="7" t="e">
        <f t="shared" ca="1" si="54"/>
        <v>#VALUE!</v>
      </c>
    </row>
    <row r="2575" spans="1:25" ht="15" x14ac:dyDescent="0.25">
      <c r="A2575" s="4">
        <v>2514</v>
      </c>
      <c r="C2575" s="41" t="s">
        <v>4843</v>
      </c>
      <c r="D2575" s="42"/>
      <c r="E2575" s="5" t="str">
        <f t="shared" si="50"/>
        <v>https://www.screener.in/company//consolidated/</v>
      </c>
      <c r="F2575" s="4">
        <v>443059</v>
      </c>
      <c r="G2575" s="4">
        <v>3832241897</v>
      </c>
      <c r="H2575" s="6" t="e">
        <f t="shared" ca="1" si="51"/>
        <v>#VALUE!</v>
      </c>
      <c r="I2575" s="7" t="str">
        <f ca="1">IFERROR(__xludf.DUMMYFUNCTION("IMPORTXML(E2575,""/html/body/main/div[3]/div[3]/div[2]/ul/li[5]/span[2]/span"")"),"Loading...")</f>
        <v>Loading...</v>
      </c>
      <c r="J2575" s="7" t="str">
        <f ca="1">IFERROR(__xludf.DUMMYFUNCTION("GOOGLEFINANCE(""NSE:""&amp;D2575,""marketcap"")"),"#N/A")</f>
        <v>#N/A</v>
      </c>
      <c r="K2575" s="7">
        <v>992.8</v>
      </c>
      <c r="L2575" s="8" t="str">
        <f ca="1">IFERROR(__xludf.DUMMYFUNCTION("GOOGLEFINANCE(""NSE:""&amp;D2575,""price"")"),"#N/A")</f>
        <v>#N/A</v>
      </c>
      <c r="M2575" s="9" t="e">
        <f t="shared" ca="1" si="52"/>
        <v>#VALUE!</v>
      </c>
      <c r="N2575" s="10" t="e">
        <f t="shared" ca="1" si="53"/>
        <v>#VALUE!</v>
      </c>
      <c r="O2575" s="7" t="str">
        <f ca="1">IFERROR(__xludf.DUMMYFUNCTION("GOOGLEFINANCE(""NSE:""&amp;D2575,""pe"")"),"#N/A")</f>
        <v>#N/A</v>
      </c>
      <c r="P2575" s="7" t="str">
        <f ca="1">IFERROR(__xludf.DUMMYFUNCTION("GOOGLEFINANCE(""NSE:""&amp;D2575,""EPS"")"),"#N/A")</f>
        <v>#N/A</v>
      </c>
      <c r="Q2575" s="7">
        <v>13.5</v>
      </c>
      <c r="R2575" s="7" t="str">
        <f ca="1">IFERROR(__xludf.DUMMYFUNCTION("IMPORTXML(E2575,""/html/body/main/div[3]/div[3]/div[2]/ul/li[7]/span[2]/span"")"),"Loading...")</f>
        <v>Loading...</v>
      </c>
      <c r="S2575" s="7" t="str">
        <f ca="1">IFERROR(__xludf.DUMMYFUNCTION("IMPORTXML(E2575,""/html/body/main/div[3]/div[3]/div[2]/ul/li[8]/span[2]/span"")"),"Loading...")</f>
        <v>Loading...</v>
      </c>
      <c r="T2575" s="4">
        <v>34.6</v>
      </c>
      <c r="U2575" s="4">
        <v>22.7</v>
      </c>
      <c r="V2575" s="4">
        <v>2.6</v>
      </c>
      <c r="W2575" s="4">
        <v>5.7</v>
      </c>
      <c r="X2575" s="4">
        <v>519.92999999999995</v>
      </c>
      <c r="Y2575" s="7" t="e">
        <f t="shared" ca="1" si="54"/>
        <v>#VALUE!</v>
      </c>
    </row>
    <row r="2576" spans="1:25" ht="15" x14ac:dyDescent="0.25">
      <c r="A2576" s="4">
        <v>2515</v>
      </c>
      <c r="C2576" s="41" t="s">
        <v>4844</v>
      </c>
      <c r="D2576" s="42"/>
      <c r="E2576" s="5" t="str">
        <f t="shared" si="50"/>
        <v>https://www.screener.in/company//consolidated/</v>
      </c>
      <c r="F2576" s="4">
        <v>443059</v>
      </c>
      <c r="G2576" s="4">
        <v>3832241897</v>
      </c>
      <c r="H2576" s="6" t="e">
        <f t="shared" ca="1" si="51"/>
        <v>#VALUE!</v>
      </c>
      <c r="I2576" s="7" t="str">
        <f ca="1">IFERROR(__xludf.DUMMYFUNCTION("IMPORTXML(E2576,""/html/body/main/div[3]/div[3]/div[2]/ul/li[5]/span[2]/span"")"),"Loading...")</f>
        <v>Loading...</v>
      </c>
      <c r="J2576" s="7" t="str">
        <f ca="1">IFERROR(__xludf.DUMMYFUNCTION("GOOGLEFINANCE(""NSE:""&amp;D2576,""marketcap"")"),"#N/A")</f>
        <v>#N/A</v>
      </c>
      <c r="K2576" s="7">
        <v>992.8</v>
      </c>
      <c r="L2576" s="8" t="str">
        <f ca="1">IFERROR(__xludf.DUMMYFUNCTION("GOOGLEFINANCE(""NSE:""&amp;D2576,""price"")"),"#N/A")</f>
        <v>#N/A</v>
      </c>
      <c r="M2576" s="9" t="e">
        <f t="shared" ca="1" si="52"/>
        <v>#VALUE!</v>
      </c>
      <c r="N2576" s="10" t="e">
        <f t="shared" ca="1" si="53"/>
        <v>#VALUE!</v>
      </c>
      <c r="O2576" s="7" t="str">
        <f ca="1">IFERROR(__xludf.DUMMYFUNCTION("GOOGLEFINANCE(""NSE:""&amp;D2576,""pe"")"),"#N/A")</f>
        <v>#N/A</v>
      </c>
      <c r="P2576" s="7" t="str">
        <f ca="1">IFERROR(__xludf.DUMMYFUNCTION("GOOGLEFINANCE(""NSE:""&amp;D2576,""EPS"")"),"#N/A")</f>
        <v>#N/A</v>
      </c>
      <c r="Q2576" s="7">
        <v>13.5</v>
      </c>
      <c r="R2576" s="7" t="str">
        <f ca="1">IFERROR(__xludf.DUMMYFUNCTION("IMPORTXML(E2576,""/html/body/main/div[3]/div[3]/div[2]/ul/li[7]/span[2]/span"")"),"Loading...")</f>
        <v>Loading...</v>
      </c>
      <c r="S2576" s="7" t="str">
        <f ca="1">IFERROR(__xludf.DUMMYFUNCTION("IMPORTXML(E2576,""/html/body/main/div[3]/div[3]/div[2]/ul/li[8]/span[2]/span"")"),"Loading...")</f>
        <v>Loading...</v>
      </c>
      <c r="T2576" s="4">
        <v>34.6</v>
      </c>
      <c r="U2576" s="4">
        <v>22.7</v>
      </c>
      <c r="V2576" s="4">
        <v>2.6</v>
      </c>
      <c r="W2576" s="4">
        <v>5.7</v>
      </c>
      <c r="X2576" s="4">
        <v>519.92999999999995</v>
      </c>
      <c r="Y2576" s="7" t="e">
        <f t="shared" ca="1" si="54"/>
        <v>#VALUE!</v>
      </c>
    </row>
    <row r="2577" spans="1:25" ht="15" x14ac:dyDescent="0.25">
      <c r="A2577" s="4">
        <v>2516</v>
      </c>
      <c r="C2577" s="12" t="s">
        <v>4845</v>
      </c>
      <c r="D2577" s="12" t="s">
        <v>4846</v>
      </c>
      <c r="E2577" s="5" t="str">
        <f t="shared" si="50"/>
        <v>https://www.screener.in/company/DELTAMAGNT/consolidated/</v>
      </c>
      <c r="F2577" s="4">
        <v>443059</v>
      </c>
      <c r="G2577" s="4">
        <v>3832241897</v>
      </c>
      <c r="H2577" s="6">
        <f t="shared" ca="1" si="51"/>
        <v>34110.785125197006</v>
      </c>
      <c r="I2577" s="7" t="str">
        <f ca="1">IFERROR(__xludf.DUMMYFUNCTION("IMPORTXML(E2577,""/html/body/main/div[3]/div[3]/div[2]/ul/li[5]/span[2]/span"")"),"Loading...")</f>
        <v>Loading...</v>
      </c>
      <c r="J2577" s="7">
        <f ca="1">IFERROR(__xludf.DUMMYFUNCTION("GOOGLEFINANCE(""NSE:""&amp;D2577,""marketcap"")"),939370080)</f>
        <v>939370080</v>
      </c>
      <c r="K2577" s="7">
        <v>992.8</v>
      </c>
      <c r="L2577" s="8">
        <f ca="1">IFERROR(__xludf.DUMMYFUNCTION("GOOGLEFINANCE(""NSE:""&amp;D2577,""price"")"),89.01)</f>
        <v>89.01</v>
      </c>
      <c r="M2577" s="9">
        <f t="shared" ca="1" si="52"/>
        <v>-903.79</v>
      </c>
      <c r="N2577" s="10">
        <f t="shared" ca="1" si="53"/>
        <v>-91.03444802578565</v>
      </c>
      <c r="O2577" s="7" t="str">
        <f ca="1">IFERROR(__xludf.DUMMYFUNCTION("GOOGLEFINANCE(""NSE:""&amp;D2577,""pe"")"),"#N/A")</f>
        <v>#N/A</v>
      </c>
      <c r="P2577" s="7">
        <f ca="1">IFERROR(__xludf.DUMMYFUNCTION("GOOGLEFINANCE(""NSE:""&amp;D2577,""EPS"")"),-10.47)</f>
        <v>-10.47</v>
      </c>
      <c r="Q2577" s="7">
        <v>13.5</v>
      </c>
      <c r="R2577" s="7" t="str">
        <f ca="1">IFERROR(__xludf.DUMMYFUNCTION("IMPORTXML(E2577,""/html/body/main/div[3]/div[3]/div[2]/ul/li[7]/span[2]/span"")"),"Loading...")</f>
        <v>Loading...</v>
      </c>
      <c r="S2577" s="7" t="str">
        <f ca="1">IFERROR(__xludf.DUMMYFUNCTION("IMPORTXML(E2577,""/html/body/main/div[3]/div[3]/div[2]/ul/li[8]/span[2]/span"")"),"Loading...")</f>
        <v>Loading...</v>
      </c>
      <c r="T2577" s="4">
        <v>34.6</v>
      </c>
      <c r="U2577" s="4">
        <v>22.7</v>
      </c>
      <c r="V2577" s="4">
        <v>2.6</v>
      </c>
      <c r="W2577" s="4">
        <v>5.7</v>
      </c>
      <c r="X2577" s="4">
        <v>519.92999999999995</v>
      </c>
      <c r="Y2577" s="7">
        <f t="shared" ca="1" si="54"/>
        <v>-430.91999999999996</v>
      </c>
    </row>
    <row r="2578" spans="1:25" ht="15" x14ac:dyDescent="0.25">
      <c r="A2578" s="4">
        <v>2517</v>
      </c>
      <c r="C2578" s="41" t="s">
        <v>4847</v>
      </c>
      <c r="D2578" s="42"/>
      <c r="E2578" s="5" t="str">
        <f t="shared" si="50"/>
        <v>https://www.screener.in/company//consolidated/</v>
      </c>
      <c r="F2578" s="4">
        <v>443059</v>
      </c>
      <c r="G2578" s="4">
        <v>3832241897</v>
      </c>
      <c r="H2578" s="6" t="e">
        <f t="shared" ca="1" si="51"/>
        <v>#VALUE!</v>
      </c>
      <c r="I2578" s="7" t="str">
        <f ca="1">IFERROR(__xludf.DUMMYFUNCTION("IMPORTXML(E2578,""/html/body/main/div[3]/div[3]/div[2]/ul/li[5]/span[2]/span"")"),"Loading...")</f>
        <v>Loading...</v>
      </c>
      <c r="J2578" s="7" t="str">
        <f ca="1">IFERROR(__xludf.DUMMYFUNCTION("GOOGLEFINANCE(""NSE:""&amp;D2578,""marketcap"")"),"#N/A")</f>
        <v>#N/A</v>
      </c>
      <c r="K2578" s="7">
        <v>992.8</v>
      </c>
      <c r="L2578" s="8" t="str">
        <f ca="1">IFERROR(__xludf.DUMMYFUNCTION("GOOGLEFINANCE(""NSE:""&amp;D2578,""price"")"),"#N/A")</f>
        <v>#N/A</v>
      </c>
      <c r="M2578" s="9" t="e">
        <f t="shared" ca="1" si="52"/>
        <v>#VALUE!</v>
      </c>
      <c r="N2578" s="10" t="e">
        <f t="shared" ca="1" si="53"/>
        <v>#VALUE!</v>
      </c>
      <c r="O2578" s="7" t="str">
        <f ca="1">IFERROR(__xludf.DUMMYFUNCTION("GOOGLEFINANCE(""NSE:""&amp;D2578,""pe"")"),"#N/A")</f>
        <v>#N/A</v>
      </c>
      <c r="P2578" s="7" t="str">
        <f ca="1">IFERROR(__xludf.DUMMYFUNCTION("GOOGLEFINANCE(""NSE:""&amp;D2578,""EPS"")"),"#N/A")</f>
        <v>#N/A</v>
      </c>
      <c r="Q2578" s="7">
        <v>13.5</v>
      </c>
      <c r="R2578" s="7" t="str">
        <f ca="1">IFERROR(__xludf.DUMMYFUNCTION("IMPORTXML(E2578,""/html/body/main/div[3]/div[3]/div[2]/ul/li[7]/span[2]/span"")"),"Loading...")</f>
        <v>Loading...</v>
      </c>
      <c r="S2578" s="7" t="str">
        <f ca="1">IFERROR(__xludf.DUMMYFUNCTION("IMPORTXML(E2578,""/html/body/main/div[3]/div[3]/div[2]/ul/li[8]/span[2]/span"")"),"Loading...")</f>
        <v>Loading...</v>
      </c>
      <c r="T2578" s="4">
        <v>34.6</v>
      </c>
      <c r="U2578" s="4">
        <v>22.7</v>
      </c>
      <c r="V2578" s="4">
        <v>2.6</v>
      </c>
      <c r="W2578" s="4">
        <v>5.7</v>
      </c>
      <c r="X2578" s="4">
        <v>519.92999999999995</v>
      </c>
      <c r="Y2578" s="7" t="e">
        <f t="shared" ca="1" si="54"/>
        <v>#VALUE!</v>
      </c>
    </row>
    <row r="2579" spans="1:25" ht="15" x14ac:dyDescent="0.25">
      <c r="A2579" s="4">
        <v>2518</v>
      </c>
      <c r="C2579" s="41" t="s">
        <v>4848</v>
      </c>
      <c r="D2579" s="42"/>
      <c r="E2579" s="5" t="str">
        <f t="shared" si="50"/>
        <v>https://www.screener.in/company//consolidated/</v>
      </c>
      <c r="F2579" s="4">
        <v>443059</v>
      </c>
      <c r="G2579" s="4">
        <v>3832241897</v>
      </c>
      <c r="H2579" s="6" t="e">
        <f t="shared" ca="1" si="51"/>
        <v>#VALUE!</v>
      </c>
      <c r="I2579" s="7" t="str">
        <f ca="1">IFERROR(__xludf.DUMMYFUNCTION("IMPORTXML(E2579,""/html/body/main/div[3]/div[3]/div[2]/ul/li[5]/span[2]/span"")"),"Loading...")</f>
        <v>Loading...</v>
      </c>
      <c r="J2579" s="7" t="str">
        <f ca="1">IFERROR(__xludf.DUMMYFUNCTION("GOOGLEFINANCE(""NSE:""&amp;D2579,""marketcap"")"),"#N/A")</f>
        <v>#N/A</v>
      </c>
      <c r="K2579" s="7">
        <v>992.8</v>
      </c>
      <c r="L2579" s="8" t="str">
        <f ca="1">IFERROR(__xludf.DUMMYFUNCTION("GOOGLEFINANCE(""NSE:""&amp;D2579,""price"")"),"#N/A")</f>
        <v>#N/A</v>
      </c>
      <c r="M2579" s="9" t="e">
        <f t="shared" ca="1" si="52"/>
        <v>#VALUE!</v>
      </c>
      <c r="N2579" s="10" t="e">
        <f t="shared" ca="1" si="53"/>
        <v>#VALUE!</v>
      </c>
      <c r="O2579" s="7" t="str">
        <f ca="1">IFERROR(__xludf.DUMMYFUNCTION("GOOGLEFINANCE(""NSE:""&amp;D2579,""pe"")"),"#N/A")</f>
        <v>#N/A</v>
      </c>
      <c r="P2579" s="7" t="str">
        <f ca="1">IFERROR(__xludf.DUMMYFUNCTION("GOOGLEFINANCE(""NSE:""&amp;D2579,""EPS"")"),"#N/A")</f>
        <v>#N/A</v>
      </c>
      <c r="Q2579" s="7">
        <v>13.5</v>
      </c>
      <c r="R2579" s="7" t="str">
        <f ca="1">IFERROR(__xludf.DUMMYFUNCTION("IMPORTXML(E2579,""/html/body/main/div[3]/div[3]/div[2]/ul/li[7]/span[2]/span"")"),"Loading...")</f>
        <v>Loading...</v>
      </c>
      <c r="S2579" s="7" t="str">
        <f ca="1">IFERROR(__xludf.DUMMYFUNCTION("IMPORTXML(E2579,""/html/body/main/div[3]/div[3]/div[2]/ul/li[8]/span[2]/span"")"),"Loading...")</f>
        <v>Loading...</v>
      </c>
      <c r="T2579" s="4">
        <v>34.6</v>
      </c>
      <c r="U2579" s="4">
        <v>22.7</v>
      </c>
      <c r="V2579" s="4">
        <v>2.6</v>
      </c>
      <c r="W2579" s="4">
        <v>5.7</v>
      </c>
      <c r="X2579" s="4">
        <v>519.92999999999995</v>
      </c>
      <c r="Y2579" s="7" t="e">
        <f t="shared" ca="1" si="54"/>
        <v>#VALUE!</v>
      </c>
    </row>
    <row r="2580" spans="1:25" ht="15" x14ac:dyDescent="0.25">
      <c r="A2580" s="4">
        <v>2519</v>
      </c>
      <c r="C2580" s="12" t="s">
        <v>4849</v>
      </c>
      <c r="D2580" s="12" t="s">
        <v>4850</v>
      </c>
      <c r="E2580" s="5" t="str">
        <f t="shared" si="50"/>
        <v>https://www.screener.in/company/ASTRON/consolidated/</v>
      </c>
      <c r="F2580" s="4">
        <v>443059</v>
      </c>
      <c r="G2580" s="4">
        <v>3832241897</v>
      </c>
      <c r="H2580" s="6">
        <f t="shared" ca="1" si="51"/>
        <v>6882.7064470120013</v>
      </c>
      <c r="I2580" s="7" t="str">
        <f ca="1">IFERROR(__xludf.DUMMYFUNCTION("IMPORTXML(E2580,""/html/body/main/div[3]/div[3]/div[2]/ul/li[5]/span[2]/span"")"),"Loading...")</f>
        <v>Loading...</v>
      </c>
      <c r="J2580" s="7">
        <f ca="1">IFERROR(__xludf.DUMMYFUNCTION("GOOGLEFINANCE(""NSE:""&amp;D2580,""marketcap"")"),839325000)</f>
        <v>839325000</v>
      </c>
      <c r="K2580" s="7">
        <v>992.8</v>
      </c>
      <c r="L2580" s="8">
        <f ca="1">IFERROR(__xludf.DUMMYFUNCTION("GOOGLEFINANCE(""NSE:""&amp;D2580,""price"")"),17.96)</f>
        <v>17.96</v>
      </c>
      <c r="M2580" s="9">
        <f t="shared" ca="1" si="52"/>
        <v>-974.83999999999992</v>
      </c>
      <c r="N2580" s="10">
        <f t="shared" ca="1" si="53"/>
        <v>-98.190975020145046</v>
      </c>
      <c r="O2580" s="7" t="str">
        <f ca="1">IFERROR(__xludf.DUMMYFUNCTION("GOOGLEFINANCE(""NSE:""&amp;D2580,""pe"")"),"#N/A")</f>
        <v>#N/A</v>
      </c>
      <c r="P2580" s="7">
        <f ca="1">IFERROR(__xludf.DUMMYFUNCTION("GOOGLEFINANCE(""NSE:""&amp;D2580,""EPS"")"),-11.29)</f>
        <v>-11.29</v>
      </c>
      <c r="Q2580" s="7">
        <v>13.5</v>
      </c>
      <c r="R2580" s="7" t="str">
        <f ca="1">IFERROR(__xludf.DUMMYFUNCTION("IMPORTXML(E2580,""/html/body/main/div[3]/div[3]/div[2]/ul/li[7]/span[2]/span"")"),"Loading...")</f>
        <v>Loading...</v>
      </c>
      <c r="S2580" s="7" t="str">
        <f ca="1">IFERROR(__xludf.DUMMYFUNCTION("IMPORTXML(E2580,""/html/body/main/div[3]/div[3]/div[2]/ul/li[8]/span[2]/span"")"),"Loading...")</f>
        <v>Loading...</v>
      </c>
      <c r="T2580" s="4">
        <v>34.6</v>
      </c>
      <c r="U2580" s="4">
        <v>22.7</v>
      </c>
      <c r="V2580" s="4">
        <v>2.6</v>
      </c>
      <c r="W2580" s="4">
        <v>5.7</v>
      </c>
      <c r="X2580" s="4">
        <v>519.92999999999995</v>
      </c>
      <c r="Y2580" s="7">
        <f t="shared" ca="1" si="54"/>
        <v>-501.96999999999997</v>
      </c>
    </row>
    <row r="2581" spans="1:25" ht="15" x14ac:dyDescent="0.25">
      <c r="A2581" s="4">
        <v>2520</v>
      </c>
      <c r="C2581" s="41" t="s">
        <v>4851</v>
      </c>
      <c r="D2581" s="42"/>
      <c r="E2581" s="5" t="str">
        <f t="shared" si="50"/>
        <v>https://www.screener.in/company//consolidated/</v>
      </c>
      <c r="F2581" s="4">
        <v>443059</v>
      </c>
      <c r="G2581" s="4">
        <v>3832241897</v>
      </c>
      <c r="H2581" s="6" t="e">
        <f t="shared" ca="1" si="51"/>
        <v>#VALUE!</v>
      </c>
      <c r="I2581" s="7" t="str">
        <f ca="1">IFERROR(__xludf.DUMMYFUNCTION("IMPORTXML(E2581,""/html/body/main/div[3]/div[3]/div[2]/ul/li[5]/span[2]/span"")"),"Loading...")</f>
        <v>Loading...</v>
      </c>
      <c r="J2581" s="7" t="str">
        <f ca="1">IFERROR(__xludf.DUMMYFUNCTION("GOOGLEFINANCE(""NSE:""&amp;D2581,""marketcap"")"),"#N/A")</f>
        <v>#N/A</v>
      </c>
      <c r="K2581" s="7">
        <v>992.8</v>
      </c>
      <c r="L2581" s="8" t="str">
        <f ca="1">IFERROR(__xludf.DUMMYFUNCTION("GOOGLEFINANCE(""NSE:""&amp;D2581,""price"")"),"#N/A")</f>
        <v>#N/A</v>
      </c>
      <c r="M2581" s="9" t="e">
        <f t="shared" ca="1" si="52"/>
        <v>#VALUE!</v>
      </c>
      <c r="N2581" s="10" t="e">
        <f t="shared" ca="1" si="53"/>
        <v>#VALUE!</v>
      </c>
      <c r="O2581" s="7" t="str">
        <f ca="1">IFERROR(__xludf.DUMMYFUNCTION("GOOGLEFINANCE(""NSE:""&amp;D2581,""pe"")"),"#N/A")</f>
        <v>#N/A</v>
      </c>
      <c r="P2581" s="7" t="str">
        <f ca="1">IFERROR(__xludf.DUMMYFUNCTION("GOOGLEFINANCE(""NSE:""&amp;D2581,""EPS"")"),"#N/A")</f>
        <v>#N/A</v>
      </c>
      <c r="Q2581" s="7">
        <v>13.5</v>
      </c>
      <c r="R2581" s="7" t="str">
        <f ca="1">IFERROR(__xludf.DUMMYFUNCTION("IMPORTXML(E2581,""/html/body/main/div[3]/div[3]/div[2]/ul/li[7]/span[2]/span"")"),"Loading...")</f>
        <v>Loading...</v>
      </c>
      <c r="S2581" s="7" t="str">
        <f ca="1">IFERROR(__xludf.DUMMYFUNCTION("IMPORTXML(E2581,""/html/body/main/div[3]/div[3]/div[2]/ul/li[8]/span[2]/span"")"),"Loading...")</f>
        <v>Loading...</v>
      </c>
      <c r="T2581" s="4">
        <v>34.6</v>
      </c>
      <c r="U2581" s="4">
        <v>22.7</v>
      </c>
      <c r="V2581" s="4">
        <v>2.6</v>
      </c>
      <c r="W2581" s="4">
        <v>5.7</v>
      </c>
      <c r="X2581" s="4">
        <v>519.92999999999995</v>
      </c>
      <c r="Y2581" s="7" t="e">
        <f t="shared" ca="1" si="54"/>
        <v>#VALUE!</v>
      </c>
    </row>
    <row r="2582" spans="1:25" ht="15" x14ac:dyDescent="0.25">
      <c r="A2582" s="4">
        <v>2521</v>
      </c>
      <c r="C2582" s="41" t="s">
        <v>4852</v>
      </c>
      <c r="D2582" s="42"/>
      <c r="E2582" s="5" t="str">
        <f t="shared" si="50"/>
        <v>https://www.screener.in/company//consolidated/</v>
      </c>
      <c r="F2582" s="4">
        <v>443059</v>
      </c>
      <c r="G2582" s="4">
        <v>3832241897</v>
      </c>
      <c r="H2582" s="6" t="e">
        <f t="shared" ca="1" si="51"/>
        <v>#VALUE!</v>
      </c>
      <c r="I2582" s="7" t="str">
        <f ca="1">IFERROR(__xludf.DUMMYFUNCTION("IMPORTXML(E2582,""/html/body/main/div[3]/div[3]/div[2]/ul/li[5]/span[2]/span"")"),"Loading...")</f>
        <v>Loading...</v>
      </c>
      <c r="J2582" s="7" t="str">
        <f ca="1">IFERROR(__xludf.DUMMYFUNCTION("GOOGLEFINANCE(""NSE:""&amp;D2582,""marketcap"")"),"#N/A")</f>
        <v>#N/A</v>
      </c>
      <c r="K2582" s="7">
        <v>992.8</v>
      </c>
      <c r="L2582" s="8" t="str">
        <f ca="1">IFERROR(__xludf.DUMMYFUNCTION("GOOGLEFINANCE(""NSE:""&amp;D2582,""price"")"),"#N/A")</f>
        <v>#N/A</v>
      </c>
      <c r="M2582" s="9" t="e">
        <f t="shared" ca="1" si="52"/>
        <v>#VALUE!</v>
      </c>
      <c r="N2582" s="10" t="e">
        <f t="shared" ca="1" si="53"/>
        <v>#VALUE!</v>
      </c>
      <c r="O2582" s="7" t="str">
        <f ca="1">IFERROR(__xludf.DUMMYFUNCTION("GOOGLEFINANCE(""NSE:""&amp;D2582,""pe"")"),"#N/A")</f>
        <v>#N/A</v>
      </c>
      <c r="P2582" s="7" t="str">
        <f ca="1">IFERROR(__xludf.DUMMYFUNCTION("GOOGLEFINANCE(""NSE:""&amp;D2582,""EPS"")"),"#N/A")</f>
        <v>#N/A</v>
      </c>
      <c r="Q2582" s="7">
        <v>13.5</v>
      </c>
      <c r="R2582" s="7" t="str">
        <f ca="1">IFERROR(__xludf.DUMMYFUNCTION("IMPORTXML(E2582,""/html/body/main/div[3]/div[3]/div[2]/ul/li[7]/span[2]/span"")"),"Loading...")</f>
        <v>Loading...</v>
      </c>
      <c r="S2582" s="7" t="str">
        <f ca="1">IFERROR(__xludf.DUMMYFUNCTION("IMPORTXML(E2582,""/html/body/main/div[3]/div[3]/div[2]/ul/li[8]/span[2]/span"")"),"Loading...")</f>
        <v>Loading...</v>
      </c>
      <c r="T2582" s="4">
        <v>34.6</v>
      </c>
      <c r="U2582" s="4">
        <v>22.7</v>
      </c>
      <c r="V2582" s="4">
        <v>2.6</v>
      </c>
      <c r="W2582" s="4">
        <v>5.7</v>
      </c>
      <c r="X2582" s="4">
        <v>519.92999999999995</v>
      </c>
      <c r="Y2582" s="7" t="e">
        <f t="shared" ca="1" si="54"/>
        <v>#VALUE!</v>
      </c>
    </row>
    <row r="2583" spans="1:25" ht="15" x14ac:dyDescent="0.25">
      <c r="A2583" s="4">
        <v>2522</v>
      </c>
      <c r="C2583" s="41" t="s">
        <v>4853</v>
      </c>
      <c r="D2583" s="42"/>
      <c r="E2583" s="5" t="str">
        <f t="shared" si="50"/>
        <v>https://www.screener.in/company//consolidated/</v>
      </c>
      <c r="F2583" s="4">
        <v>443059</v>
      </c>
      <c r="G2583" s="4">
        <v>3832241897</v>
      </c>
      <c r="H2583" s="6" t="e">
        <f t="shared" ca="1" si="51"/>
        <v>#VALUE!</v>
      </c>
      <c r="I2583" s="7" t="str">
        <f ca="1">IFERROR(__xludf.DUMMYFUNCTION("IMPORTXML(E2583,""/html/body/main/div[3]/div[3]/div[2]/ul/li[5]/span[2]/span"")"),"Loading...")</f>
        <v>Loading...</v>
      </c>
      <c r="J2583" s="7" t="str">
        <f ca="1">IFERROR(__xludf.DUMMYFUNCTION("GOOGLEFINANCE(""NSE:""&amp;D2583,""marketcap"")"),"#N/A")</f>
        <v>#N/A</v>
      </c>
      <c r="K2583" s="7">
        <v>992.8</v>
      </c>
      <c r="L2583" s="8" t="str">
        <f ca="1">IFERROR(__xludf.DUMMYFUNCTION("GOOGLEFINANCE(""NSE:""&amp;D2583,""price"")"),"#N/A")</f>
        <v>#N/A</v>
      </c>
      <c r="M2583" s="9" t="e">
        <f t="shared" ca="1" si="52"/>
        <v>#VALUE!</v>
      </c>
      <c r="N2583" s="10" t="e">
        <f t="shared" ca="1" si="53"/>
        <v>#VALUE!</v>
      </c>
      <c r="O2583" s="7" t="str">
        <f ca="1">IFERROR(__xludf.DUMMYFUNCTION("GOOGLEFINANCE(""NSE:""&amp;D2583,""pe"")"),"#N/A")</f>
        <v>#N/A</v>
      </c>
      <c r="P2583" s="7" t="str">
        <f ca="1">IFERROR(__xludf.DUMMYFUNCTION("GOOGLEFINANCE(""NSE:""&amp;D2583,""EPS"")"),"#N/A")</f>
        <v>#N/A</v>
      </c>
      <c r="Q2583" s="7">
        <v>13.5</v>
      </c>
      <c r="R2583" s="7" t="str">
        <f ca="1">IFERROR(__xludf.DUMMYFUNCTION("IMPORTXML(E2583,""/html/body/main/div[3]/div[3]/div[2]/ul/li[7]/span[2]/span"")"),"Loading...")</f>
        <v>Loading...</v>
      </c>
      <c r="S2583" s="7" t="str">
        <f ca="1">IFERROR(__xludf.DUMMYFUNCTION("IMPORTXML(E2583,""/html/body/main/div[3]/div[3]/div[2]/ul/li[8]/span[2]/span"")"),"Loading...")</f>
        <v>Loading...</v>
      </c>
      <c r="T2583" s="4">
        <v>34.6</v>
      </c>
      <c r="U2583" s="4">
        <v>22.7</v>
      </c>
      <c r="V2583" s="4">
        <v>2.6</v>
      </c>
      <c r="W2583" s="4">
        <v>5.7</v>
      </c>
      <c r="X2583" s="4">
        <v>519.92999999999995</v>
      </c>
      <c r="Y2583" s="7" t="e">
        <f t="shared" ca="1" si="54"/>
        <v>#VALUE!</v>
      </c>
    </row>
    <row r="2584" spans="1:25" ht="15" x14ac:dyDescent="0.25">
      <c r="A2584" s="4">
        <v>2523</v>
      </c>
      <c r="C2584" s="41" t="s">
        <v>4854</v>
      </c>
      <c r="D2584" s="42"/>
      <c r="E2584" s="5" t="str">
        <f t="shared" si="50"/>
        <v>https://www.screener.in/company//consolidated/</v>
      </c>
      <c r="F2584" s="4">
        <v>443059</v>
      </c>
      <c r="G2584" s="4">
        <v>3832241897</v>
      </c>
      <c r="H2584" s="6" t="e">
        <f t="shared" ca="1" si="51"/>
        <v>#VALUE!</v>
      </c>
      <c r="I2584" s="7" t="str">
        <f ca="1">IFERROR(__xludf.DUMMYFUNCTION("IMPORTXML(E2584,""/html/body/main/div[3]/div[3]/div[2]/ul/li[5]/span[2]/span"")"),"Loading...")</f>
        <v>Loading...</v>
      </c>
      <c r="J2584" s="7" t="str">
        <f ca="1">IFERROR(__xludf.DUMMYFUNCTION("GOOGLEFINANCE(""NSE:""&amp;D2584,""marketcap"")"),"#N/A")</f>
        <v>#N/A</v>
      </c>
      <c r="K2584" s="7">
        <v>992.8</v>
      </c>
      <c r="L2584" s="8" t="str">
        <f ca="1">IFERROR(__xludf.DUMMYFUNCTION("GOOGLEFINANCE(""NSE:""&amp;D2584,""price"")"),"#N/A")</f>
        <v>#N/A</v>
      </c>
      <c r="M2584" s="9" t="e">
        <f t="shared" ca="1" si="52"/>
        <v>#VALUE!</v>
      </c>
      <c r="N2584" s="10" t="e">
        <f t="shared" ca="1" si="53"/>
        <v>#VALUE!</v>
      </c>
      <c r="O2584" s="7" t="str">
        <f ca="1">IFERROR(__xludf.DUMMYFUNCTION("GOOGLEFINANCE(""NSE:""&amp;D2584,""pe"")"),"#N/A")</f>
        <v>#N/A</v>
      </c>
      <c r="P2584" s="7" t="str">
        <f ca="1">IFERROR(__xludf.DUMMYFUNCTION("GOOGLEFINANCE(""NSE:""&amp;D2584,""EPS"")"),"#N/A")</f>
        <v>#N/A</v>
      </c>
      <c r="Q2584" s="7">
        <v>13.5</v>
      </c>
      <c r="R2584" s="7" t="str">
        <f ca="1">IFERROR(__xludf.DUMMYFUNCTION("IMPORTXML(E2584,""/html/body/main/div[3]/div[3]/div[2]/ul/li[7]/span[2]/span"")"),"Loading...")</f>
        <v>Loading...</v>
      </c>
      <c r="S2584" s="7" t="str">
        <f ca="1">IFERROR(__xludf.DUMMYFUNCTION("IMPORTXML(E2584,""/html/body/main/div[3]/div[3]/div[2]/ul/li[8]/span[2]/span"")"),"Loading...")</f>
        <v>Loading...</v>
      </c>
      <c r="T2584" s="4">
        <v>34.6</v>
      </c>
      <c r="U2584" s="4">
        <v>22.7</v>
      </c>
      <c r="V2584" s="4">
        <v>2.6</v>
      </c>
      <c r="W2584" s="4">
        <v>5.7</v>
      </c>
      <c r="X2584" s="4">
        <v>519.92999999999995</v>
      </c>
      <c r="Y2584" s="7" t="e">
        <f t="shared" ca="1" si="54"/>
        <v>#VALUE!</v>
      </c>
    </row>
    <row r="2585" spans="1:25" ht="15" x14ac:dyDescent="0.25">
      <c r="A2585" s="4">
        <v>2524</v>
      </c>
      <c r="C2585" s="41" t="s">
        <v>4855</v>
      </c>
      <c r="D2585" s="42"/>
      <c r="E2585" s="5" t="str">
        <f t="shared" si="50"/>
        <v>https://www.screener.in/company//consolidated/</v>
      </c>
      <c r="F2585" s="4">
        <v>443059</v>
      </c>
      <c r="G2585" s="4">
        <v>3832241897</v>
      </c>
      <c r="H2585" s="6" t="e">
        <f t="shared" ca="1" si="51"/>
        <v>#VALUE!</v>
      </c>
      <c r="I2585" s="7" t="str">
        <f ca="1">IFERROR(__xludf.DUMMYFUNCTION("IMPORTXML(E2585,""/html/body/main/div[3]/div[3]/div[2]/ul/li[5]/span[2]/span"")"),"Loading...")</f>
        <v>Loading...</v>
      </c>
      <c r="J2585" s="7" t="str">
        <f ca="1">IFERROR(__xludf.DUMMYFUNCTION("GOOGLEFINANCE(""NSE:""&amp;D2585,""marketcap"")"),"#N/A")</f>
        <v>#N/A</v>
      </c>
      <c r="K2585" s="7">
        <v>992.8</v>
      </c>
      <c r="L2585" s="8" t="str">
        <f ca="1">IFERROR(__xludf.DUMMYFUNCTION("GOOGLEFINANCE(""NSE:""&amp;D2585,""price"")"),"#N/A")</f>
        <v>#N/A</v>
      </c>
      <c r="M2585" s="9" t="e">
        <f t="shared" ca="1" si="52"/>
        <v>#VALUE!</v>
      </c>
      <c r="N2585" s="10" t="e">
        <f t="shared" ca="1" si="53"/>
        <v>#VALUE!</v>
      </c>
      <c r="O2585" s="7" t="str">
        <f ca="1">IFERROR(__xludf.DUMMYFUNCTION("GOOGLEFINANCE(""NSE:""&amp;D2585,""pe"")"),"#N/A")</f>
        <v>#N/A</v>
      </c>
      <c r="P2585" s="7" t="str">
        <f ca="1">IFERROR(__xludf.DUMMYFUNCTION("GOOGLEFINANCE(""NSE:""&amp;D2585,""EPS"")"),"#N/A")</f>
        <v>#N/A</v>
      </c>
      <c r="Q2585" s="7">
        <v>13.5</v>
      </c>
      <c r="R2585" s="7" t="str">
        <f ca="1">IFERROR(__xludf.DUMMYFUNCTION("IMPORTXML(E2585,""/html/body/main/div[3]/div[3]/div[2]/ul/li[7]/span[2]/span"")"),"Loading...")</f>
        <v>Loading...</v>
      </c>
      <c r="S2585" s="7" t="str">
        <f ca="1">IFERROR(__xludf.DUMMYFUNCTION("IMPORTXML(E2585,""/html/body/main/div[3]/div[3]/div[2]/ul/li[8]/span[2]/span"")"),"Loading...")</f>
        <v>Loading...</v>
      </c>
      <c r="T2585" s="4">
        <v>34.6</v>
      </c>
      <c r="U2585" s="4">
        <v>22.7</v>
      </c>
      <c r="V2585" s="4">
        <v>2.6</v>
      </c>
      <c r="W2585" s="4">
        <v>5.7</v>
      </c>
      <c r="X2585" s="4">
        <v>519.92999999999995</v>
      </c>
      <c r="Y2585" s="7" t="e">
        <f t="shared" ca="1" si="54"/>
        <v>#VALUE!</v>
      </c>
    </row>
    <row r="2586" spans="1:25" ht="15" x14ac:dyDescent="0.25">
      <c r="A2586" s="4">
        <v>2525</v>
      </c>
      <c r="C2586" s="41" t="s">
        <v>4856</v>
      </c>
      <c r="D2586" s="42"/>
      <c r="E2586" s="5" t="str">
        <f t="shared" si="50"/>
        <v>https://www.screener.in/company//consolidated/</v>
      </c>
      <c r="F2586" s="4">
        <v>443059</v>
      </c>
      <c r="G2586" s="4">
        <v>3832241897</v>
      </c>
      <c r="H2586" s="6" t="e">
        <f t="shared" ca="1" si="51"/>
        <v>#VALUE!</v>
      </c>
      <c r="I2586" s="7" t="str">
        <f ca="1">IFERROR(__xludf.DUMMYFUNCTION("IMPORTXML(E2586,""/html/body/main/div[3]/div[3]/div[2]/ul/li[5]/span[2]/span"")"),"Loading...")</f>
        <v>Loading...</v>
      </c>
      <c r="J2586" s="7" t="str">
        <f ca="1">IFERROR(__xludf.DUMMYFUNCTION("GOOGLEFINANCE(""NSE:""&amp;D2586,""marketcap"")"),"#N/A")</f>
        <v>#N/A</v>
      </c>
      <c r="K2586" s="7">
        <v>992.8</v>
      </c>
      <c r="L2586" s="8" t="str">
        <f ca="1">IFERROR(__xludf.DUMMYFUNCTION("GOOGLEFINANCE(""NSE:""&amp;D2586,""price"")"),"#N/A")</f>
        <v>#N/A</v>
      </c>
      <c r="M2586" s="9" t="e">
        <f t="shared" ca="1" si="52"/>
        <v>#VALUE!</v>
      </c>
      <c r="N2586" s="10" t="e">
        <f t="shared" ca="1" si="53"/>
        <v>#VALUE!</v>
      </c>
      <c r="O2586" s="7" t="str">
        <f ca="1">IFERROR(__xludf.DUMMYFUNCTION("GOOGLEFINANCE(""NSE:""&amp;D2586,""pe"")"),"#N/A")</f>
        <v>#N/A</v>
      </c>
      <c r="P2586" s="7" t="str">
        <f ca="1">IFERROR(__xludf.DUMMYFUNCTION("GOOGLEFINANCE(""NSE:""&amp;D2586,""EPS"")"),"#N/A")</f>
        <v>#N/A</v>
      </c>
      <c r="Q2586" s="7">
        <v>13.5</v>
      </c>
      <c r="R2586" s="7" t="str">
        <f ca="1">IFERROR(__xludf.DUMMYFUNCTION("IMPORTXML(E2586,""/html/body/main/div[3]/div[3]/div[2]/ul/li[7]/span[2]/span"")"),"Loading...")</f>
        <v>Loading...</v>
      </c>
      <c r="S2586" s="7" t="str">
        <f ca="1">IFERROR(__xludf.DUMMYFUNCTION("IMPORTXML(E2586,""/html/body/main/div[3]/div[3]/div[2]/ul/li[8]/span[2]/span"")"),"Loading...")</f>
        <v>Loading...</v>
      </c>
      <c r="T2586" s="4">
        <v>34.6</v>
      </c>
      <c r="U2586" s="4">
        <v>22.7</v>
      </c>
      <c r="V2586" s="4">
        <v>2.6</v>
      </c>
      <c r="W2586" s="4">
        <v>5.7</v>
      </c>
      <c r="X2586" s="4">
        <v>519.92999999999995</v>
      </c>
      <c r="Y2586" s="7" t="e">
        <f t="shared" ca="1" si="54"/>
        <v>#VALUE!</v>
      </c>
    </row>
    <row r="2587" spans="1:25" ht="15" x14ac:dyDescent="0.25">
      <c r="A2587" s="4">
        <v>2527</v>
      </c>
      <c r="C2587" s="41" t="s">
        <v>4857</v>
      </c>
      <c r="D2587" s="42"/>
      <c r="E2587" s="5" t="str">
        <f t="shared" si="50"/>
        <v>https://www.screener.in/company//consolidated/</v>
      </c>
      <c r="F2587" s="4">
        <v>443059</v>
      </c>
      <c r="G2587" s="4">
        <v>3832241897</v>
      </c>
      <c r="H2587" s="6" t="e">
        <f t="shared" ca="1" si="51"/>
        <v>#VALUE!</v>
      </c>
      <c r="I2587" s="7" t="str">
        <f ca="1">IFERROR(__xludf.DUMMYFUNCTION("IMPORTXML(E2587,""/html/body/main/div[3]/div[3]/div[2]/ul/li[5]/span[2]/span"")"),"Loading...")</f>
        <v>Loading...</v>
      </c>
      <c r="J2587" s="7" t="str">
        <f ca="1">IFERROR(__xludf.DUMMYFUNCTION("GOOGLEFINANCE(""NSE:""&amp;D2587,""marketcap"")"),"#N/A")</f>
        <v>#N/A</v>
      </c>
      <c r="K2587" s="7">
        <v>992.8</v>
      </c>
      <c r="L2587" s="8" t="str">
        <f ca="1">IFERROR(__xludf.DUMMYFUNCTION("GOOGLEFINANCE(""NSE:""&amp;D2587,""price"")"),"#N/A")</f>
        <v>#N/A</v>
      </c>
      <c r="M2587" s="9" t="e">
        <f t="shared" ca="1" si="52"/>
        <v>#VALUE!</v>
      </c>
      <c r="N2587" s="10" t="e">
        <f t="shared" ca="1" si="53"/>
        <v>#VALUE!</v>
      </c>
      <c r="O2587" s="7" t="str">
        <f ca="1">IFERROR(__xludf.DUMMYFUNCTION("GOOGLEFINANCE(""NSE:""&amp;D2587,""pe"")"),"#N/A")</f>
        <v>#N/A</v>
      </c>
      <c r="P2587" s="7" t="str">
        <f ca="1">IFERROR(__xludf.DUMMYFUNCTION("GOOGLEFINANCE(""NSE:""&amp;D2587,""EPS"")"),"#N/A")</f>
        <v>#N/A</v>
      </c>
      <c r="Q2587" s="7">
        <v>13.5</v>
      </c>
      <c r="R2587" s="7" t="str">
        <f ca="1">IFERROR(__xludf.DUMMYFUNCTION("IMPORTXML(E2587,""/html/body/main/div[3]/div[3]/div[2]/ul/li[7]/span[2]/span"")"),"Loading...")</f>
        <v>Loading...</v>
      </c>
      <c r="S2587" s="7" t="str">
        <f ca="1">IFERROR(__xludf.DUMMYFUNCTION("IMPORTXML(E2587,""/html/body/main/div[3]/div[3]/div[2]/ul/li[8]/span[2]/span"")"),"Loading...")</f>
        <v>Loading...</v>
      </c>
      <c r="T2587" s="4">
        <v>34.6</v>
      </c>
      <c r="U2587" s="4">
        <v>22.7</v>
      </c>
      <c r="V2587" s="4">
        <v>2.6</v>
      </c>
      <c r="W2587" s="4">
        <v>5.7</v>
      </c>
      <c r="X2587" s="4">
        <v>519.92999999999995</v>
      </c>
      <c r="Y2587" s="7" t="e">
        <f t="shared" ca="1" si="54"/>
        <v>#VALUE!</v>
      </c>
    </row>
    <row r="2588" spans="1:25" ht="15" x14ac:dyDescent="0.25">
      <c r="A2588" s="4">
        <v>2528</v>
      </c>
      <c r="C2588" s="41" t="s">
        <v>4858</v>
      </c>
      <c r="D2588" s="42"/>
      <c r="E2588" s="5" t="str">
        <f t="shared" si="50"/>
        <v>https://www.screener.in/company//consolidated/</v>
      </c>
      <c r="F2588" s="4">
        <v>443059</v>
      </c>
      <c r="G2588" s="4">
        <v>3832241897</v>
      </c>
      <c r="H2588" s="6" t="e">
        <f t="shared" ca="1" si="51"/>
        <v>#VALUE!</v>
      </c>
      <c r="I2588" s="7" t="str">
        <f ca="1">IFERROR(__xludf.DUMMYFUNCTION("IMPORTXML(E2588,""/html/body/main/div[3]/div[3]/div[2]/ul/li[5]/span[2]/span"")"),"Loading...")</f>
        <v>Loading...</v>
      </c>
      <c r="J2588" s="7" t="str">
        <f ca="1">IFERROR(__xludf.DUMMYFUNCTION("GOOGLEFINANCE(""NSE:""&amp;D2588,""marketcap"")"),"#N/A")</f>
        <v>#N/A</v>
      </c>
      <c r="K2588" s="7">
        <v>992.8</v>
      </c>
      <c r="L2588" s="8" t="str">
        <f ca="1">IFERROR(__xludf.DUMMYFUNCTION("GOOGLEFINANCE(""NSE:""&amp;D2588,""price"")"),"#N/A")</f>
        <v>#N/A</v>
      </c>
      <c r="M2588" s="9" t="e">
        <f t="shared" ca="1" si="52"/>
        <v>#VALUE!</v>
      </c>
      <c r="N2588" s="10" t="e">
        <f t="shared" ca="1" si="53"/>
        <v>#VALUE!</v>
      </c>
      <c r="O2588" s="7" t="str">
        <f ca="1">IFERROR(__xludf.DUMMYFUNCTION("GOOGLEFINANCE(""NSE:""&amp;D2588,""pe"")"),"#N/A")</f>
        <v>#N/A</v>
      </c>
      <c r="P2588" s="7" t="str">
        <f ca="1">IFERROR(__xludf.DUMMYFUNCTION("GOOGLEFINANCE(""NSE:""&amp;D2588,""EPS"")"),"#N/A")</f>
        <v>#N/A</v>
      </c>
      <c r="Q2588" s="7">
        <v>13.5</v>
      </c>
      <c r="R2588" s="7" t="str">
        <f ca="1">IFERROR(__xludf.DUMMYFUNCTION("IMPORTXML(E2588,""/html/body/main/div[3]/div[3]/div[2]/ul/li[7]/span[2]/span"")"),"Loading...")</f>
        <v>Loading...</v>
      </c>
      <c r="S2588" s="7" t="str">
        <f ca="1">IFERROR(__xludf.DUMMYFUNCTION("IMPORTXML(E2588,""/html/body/main/div[3]/div[3]/div[2]/ul/li[8]/span[2]/span"")"),"Loading...")</f>
        <v>Loading...</v>
      </c>
      <c r="T2588" s="4">
        <v>34.6</v>
      </c>
      <c r="U2588" s="4">
        <v>22.7</v>
      </c>
      <c r="V2588" s="4">
        <v>2.6</v>
      </c>
      <c r="W2588" s="4">
        <v>5.7</v>
      </c>
      <c r="X2588" s="4">
        <v>519.92999999999995</v>
      </c>
      <c r="Y2588" s="7" t="e">
        <f t="shared" ca="1" si="54"/>
        <v>#VALUE!</v>
      </c>
    </row>
    <row r="2589" spans="1:25" ht="15" x14ac:dyDescent="0.25">
      <c r="A2589" s="4">
        <v>2530</v>
      </c>
      <c r="C2589" s="41" t="s">
        <v>4859</v>
      </c>
      <c r="D2589" s="42"/>
      <c r="E2589" s="5" t="str">
        <f t="shared" si="50"/>
        <v>https://www.screener.in/company//consolidated/</v>
      </c>
      <c r="F2589" s="4">
        <v>443059</v>
      </c>
      <c r="G2589" s="4">
        <v>3832241897</v>
      </c>
      <c r="H2589" s="6" t="e">
        <f t="shared" ca="1" si="51"/>
        <v>#VALUE!</v>
      </c>
      <c r="I2589" s="7" t="str">
        <f ca="1">IFERROR(__xludf.DUMMYFUNCTION("IMPORTXML(E2589,""/html/body/main/div[3]/div[3]/div[2]/ul/li[5]/span[2]/span"")"),"Loading...")</f>
        <v>Loading...</v>
      </c>
      <c r="J2589" s="7" t="str">
        <f ca="1">IFERROR(__xludf.DUMMYFUNCTION("GOOGLEFINANCE(""NSE:""&amp;D2589,""marketcap"")"),"#N/A")</f>
        <v>#N/A</v>
      </c>
      <c r="K2589" s="7">
        <v>992.8</v>
      </c>
      <c r="L2589" s="8" t="str">
        <f ca="1">IFERROR(__xludf.DUMMYFUNCTION("GOOGLEFINANCE(""NSE:""&amp;D2589,""price"")"),"#N/A")</f>
        <v>#N/A</v>
      </c>
      <c r="M2589" s="9" t="e">
        <f t="shared" ca="1" si="52"/>
        <v>#VALUE!</v>
      </c>
      <c r="N2589" s="10" t="e">
        <f t="shared" ca="1" si="53"/>
        <v>#VALUE!</v>
      </c>
      <c r="O2589" s="7" t="str">
        <f ca="1">IFERROR(__xludf.DUMMYFUNCTION("GOOGLEFINANCE(""NSE:""&amp;D2589,""pe"")"),"#N/A")</f>
        <v>#N/A</v>
      </c>
      <c r="P2589" s="7" t="str">
        <f ca="1">IFERROR(__xludf.DUMMYFUNCTION("GOOGLEFINANCE(""NSE:""&amp;D2589,""EPS"")"),"#N/A")</f>
        <v>#N/A</v>
      </c>
      <c r="Q2589" s="7">
        <v>13.5</v>
      </c>
      <c r="R2589" s="7" t="str">
        <f ca="1">IFERROR(__xludf.DUMMYFUNCTION("IMPORTXML(E2589,""/html/body/main/div[3]/div[3]/div[2]/ul/li[7]/span[2]/span"")"),"Loading...")</f>
        <v>Loading...</v>
      </c>
      <c r="S2589" s="7" t="str">
        <f ca="1">IFERROR(__xludf.DUMMYFUNCTION("IMPORTXML(E2589,""/html/body/main/div[3]/div[3]/div[2]/ul/li[8]/span[2]/span"")"),"Loading...")</f>
        <v>Loading...</v>
      </c>
      <c r="T2589" s="4">
        <v>34.6</v>
      </c>
      <c r="U2589" s="4">
        <v>22.7</v>
      </c>
      <c r="V2589" s="4">
        <v>2.6</v>
      </c>
      <c r="W2589" s="4">
        <v>5.7</v>
      </c>
      <c r="X2589" s="4">
        <v>519.92999999999995</v>
      </c>
      <c r="Y2589" s="7" t="e">
        <f t="shared" ca="1" si="54"/>
        <v>#VALUE!</v>
      </c>
    </row>
    <row r="2590" spans="1:25" ht="15" x14ac:dyDescent="0.25">
      <c r="A2590" s="4">
        <v>2531</v>
      </c>
      <c r="C2590" s="41" t="s">
        <v>4860</v>
      </c>
      <c r="D2590" s="42"/>
      <c r="E2590" s="5" t="str">
        <f t="shared" si="50"/>
        <v>https://www.screener.in/company//consolidated/</v>
      </c>
      <c r="F2590" s="4">
        <v>443059</v>
      </c>
      <c r="G2590" s="4">
        <v>3832241897</v>
      </c>
      <c r="H2590" s="6" t="e">
        <f t="shared" ca="1" si="51"/>
        <v>#VALUE!</v>
      </c>
      <c r="I2590" s="7" t="str">
        <f ca="1">IFERROR(__xludf.DUMMYFUNCTION("IMPORTXML(E2590,""/html/body/main/div[3]/div[3]/div[2]/ul/li[5]/span[2]/span"")"),"Loading...")</f>
        <v>Loading...</v>
      </c>
      <c r="J2590" s="7" t="str">
        <f ca="1">IFERROR(__xludf.DUMMYFUNCTION("GOOGLEFINANCE(""NSE:""&amp;D2590,""marketcap"")"),"#N/A")</f>
        <v>#N/A</v>
      </c>
      <c r="K2590" s="7">
        <v>992.8</v>
      </c>
      <c r="L2590" s="8" t="str">
        <f ca="1">IFERROR(__xludf.DUMMYFUNCTION("GOOGLEFINANCE(""NSE:""&amp;D2590,""price"")"),"#N/A")</f>
        <v>#N/A</v>
      </c>
      <c r="M2590" s="9" t="e">
        <f t="shared" ca="1" si="52"/>
        <v>#VALUE!</v>
      </c>
      <c r="N2590" s="10" t="e">
        <f t="shared" ca="1" si="53"/>
        <v>#VALUE!</v>
      </c>
      <c r="O2590" s="7" t="str">
        <f ca="1">IFERROR(__xludf.DUMMYFUNCTION("GOOGLEFINANCE(""NSE:""&amp;D2590,""pe"")"),"#N/A")</f>
        <v>#N/A</v>
      </c>
      <c r="P2590" s="7" t="str">
        <f ca="1">IFERROR(__xludf.DUMMYFUNCTION("GOOGLEFINANCE(""NSE:""&amp;D2590,""EPS"")"),"#N/A")</f>
        <v>#N/A</v>
      </c>
      <c r="Q2590" s="7">
        <v>13.5</v>
      </c>
      <c r="R2590" s="7" t="str">
        <f ca="1">IFERROR(__xludf.DUMMYFUNCTION("IMPORTXML(E2590,""/html/body/main/div[3]/div[3]/div[2]/ul/li[7]/span[2]/span"")"),"Loading...")</f>
        <v>Loading...</v>
      </c>
      <c r="S2590" s="7" t="str">
        <f ca="1">IFERROR(__xludf.DUMMYFUNCTION("IMPORTXML(E2590,""/html/body/main/div[3]/div[3]/div[2]/ul/li[8]/span[2]/span"")"),"Loading...")</f>
        <v>Loading...</v>
      </c>
      <c r="T2590" s="4">
        <v>34.6</v>
      </c>
      <c r="U2590" s="4">
        <v>22.7</v>
      </c>
      <c r="V2590" s="4">
        <v>2.6</v>
      </c>
      <c r="W2590" s="4">
        <v>5.7</v>
      </c>
      <c r="X2590" s="4">
        <v>519.92999999999995</v>
      </c>
      <c r="Y2590" s="7" t="e">
        <f t="shared" ca="1" si="54"/>
        <v>#VALUE!</v>
      </c>
    </row>
    <row r="2591" spans="1:25" ht="15" x14ac:dyDescent="0.25">
      <c r="A2591" s="4">
        <v>2533</v>
      </c>
      <c r="C2591" s="41" t="s">
        <v>4861</v>
      </c>
      <c r="D2591" s="42"/>
      <c r="E2591" s="5" t="str">
        <f t="shared" si="50"/>
        <v>https://www.screener.in/company//consolidated/</v>
      </c>
      <c r="F2591" s="4">
        <v>443059</v>
      </c>
      <c r="G2591" s="4">
        <v>3832241897</v>
      </c>
      <c r="H2591" s="6" t="e">
        <f t="shared" ca="1" si="51"/>
        <v>#VALUE!</v>
      </c>
      <c r="I2591" s="7" t="str">
        <f ca="1">IFERROR(__xludf.DUMMYFUNCTION("IMPORTXML(E2591,""/html/body/main/div[3]/div[3]/div[2]/ul/li[5]/span[2]/span"")"),"Loading...")</f>
        <v>Loading...</v>
      </c>
      <c r="J2591" s="7" t="str">
        <f ca="1">IFERROR(__xludf.DUMMYFUNCTION("GOOGLEFINANCE(""NSE:""&amp;D2591,""marketcap"")"),"#N/A")</f>
        <v>#N/A</v>
      </c>
      <c r="K2591" s="7">
        <v>992.8</v>
      </c>
      <c r="L2591" s="8" t="str">
        <f ca="1">IFERROR(__xludf.DUMMYFUNCTION("GOOGLEFINANCE(""NSE:""&amp;D2591,""price"")"),"#N/A")</f>
        <v>#N/A</v>
      </c>
      <c r="M2591" s="9" t="e">
        <f t="shared" ca="1" si="52"/>
        <v>#VALUE!</v>
      </c>
      <c r="N2591" s="10" t="e">
        <f t="shared" ca="1" si="53"/>
        <v>#VALUE!</v>
      </c>
      <c r="O2591" s="7" t="str">
        <f ca="1">IFERROR(__xludf.DUMMYFUNCTION("GOOGLEFINANCE(""NSE:""&amp;D2591,""pe"")"),"#N/A")</f>
        <v>#N/A</v>
      </c>
      <c r="P2591" s="7" t="str">
        <f ca="1">IFERROR(__xludf.DUMMYFUNCTION("GOOGLEFINANCE(""NSE:""&amp;D2591,""EPS"")"),"#N/A")</f>
        <v>#N/A</v>
      </c>
      <c r="Q2591" s="7">
        <v>13.5</v>
      </c>
      <c r="R2591" s="7" t="str">
        <f ca="1">IFERROR(__xludf.DUMMYFUNCTION("IMPORTXML(E2591,""/html/body/main/div[3]/div[3]/div[2]/ul/li[7]/span[2]/span"")"),"Loading...")</f>
        <v>Loading...</v>
      </c>
      <c r="S2591" s="7" t="str">
        <f ca="1">IFERROR(__xludf.DUMMYFUNCTION("IMPORTXML(E2591,""/html/body/main/div[3]/div[3]/div[2]/ul/li[8]/span[2]/span"")"),"Loading...")</f>
        <v>Loading...</v>
      </c>
      <c r="T2591" s="4">
        <v>34.6</v>
      </c>
      <c r="U2591" s="4">
        <v>22.7</v>
      </c>
      <c r="V2591" s="4">
        <v>2.6</v>
      </c>
      <c r="W2591" s="4">
        <v>5.7</v>
      </c>
      <c r="X2591" s="4">
        <v>519.92999999999995</v>
      </c>
      <c r="Y2591" s="7" t="e">
        <f t="shared" ca="1" si="54"/>
        <v>#VALUE!</v>
      </c>
    </row>
    <row r="2592" spans="1:25" ht="15" x14ac:dyDescent="0.25">
      <c r="A2592" s="4">
        <v>2534</v>
      </c>
      <c r="C2592" s="41" t="s">
        <v>4862</v>
      </c>
      <c r="D2592" s="42"/>
      <c r="E2592" s="5" t="str">
        <f t="shared" si="50"/>
        <v>https://www.screener.in/company//consolidated/</v>
      </c>
      <c r="F2592" s="4">
        <v>443059</v>
      </c>
      <c r="G2592" s="4">
        <v>3832241897</v>
      </c>
      <c r="H2592" s="6" t="e">
        <f t="shared" ca="1" si="51"/>
        <v>#VALUE!</v>
      </c>
      <c r="I2592" s="7" t="str">
        <f ca="1">IFERROR(__xludf.DUMMYFUNCTION("IMPORTXML(E2592,""/html/body/main/div[3]/div[3]/div[2]/ul/li[5]/span[2]/span"")"),"Loading...")</f>
        <v>Loading...</v>
      </c>
      <c r="J2592" s="7" t="str">
        <f ca="1">IFERROR(__xludf.DUMMYFUNCTION("GOOGLEFINANCE(""NSE:""&amp;D2592,""marketcap"")"),"#N/A")</f>
        <v>#N/A</v>
      </c>
      <c r="K2592" s="7">
        <v>992.8</v>
      </c>
      <c r="L2592" s="8" t="str">
        <f ca="1">IFERROR(__xludf.DUMMYFUNCTION("GOOGLEFINANCE(""NSE:""&amp;D2592,""price"")"),"#N/A")</f>
        <v>#N/A</v>
      </c>
      <c r="M2592" s="9" t="e">
        <f t="shared" ca="1" si="52"/>
        <v>#VALUE!</v>
      </c>
      <c r="N2592" s="10" t="e">
        <f t="shared" ca="1" si="53"/>
        <v>#VALUE!</v>
      </c>
      <c r="O2592" s="7" t="str">
        <f ca="1">IFERROR(__xludf.DUMMYFUNCTION("GOOGLEFINANCE(""NSE:""&amp;D2592,""pe"")"),"#N/A")</f>
        <v>#N/A</v>
      </c>
      <c r="P2592" s="7" t="str">
        <f ca="1">IFERROR(__xludf.DUMMYFUNCTION("GOOGLEFINANCE(""NSE:""&amp;D2592,""EPS"")"),"#N/A")</f>
        <v>#N/A</v>
      </c>
      <c r="Q2592" s="7">
        <v>13.5</v>
      </c>
      <c r="R2592" s="7" t="str">
        <f ca="1">IFERROR(__xludf.DUMMYFUNCTION("IMPORTXML(E2592,""/html/body/main/div[3]/div[3]/div[2]/ul/li[7]/span[2]/span"")"),"Loading...")</f>
        <v>Loading...</v>
      </c>
      <c r="S2592" s="7" t="str">
        <f ca="1">IFERROR(__xludf.DUMMYFUNCTION("IMPORTXML(E2592,""/html/body/main/div[3]/div[3]/div[2]/ul/li[8]/span[2]/span"")"),"Loading...")</f>
        <v>Loading...</v>
      </c>
      <c r="T2592" s="4">
        <v>34.6</v>
      </c>
      <c r="U2592" s="4">
        <v>22.7</v>
      </c>
      <c r="V2592" s="4">
        <v>2.6</v>
      </c>
      <c r="W2592" s="4">
        <v>5.7</v>
      </c>
      <c r="X2592" s="4">
        <v>519.92999999999995</v>
      </c>
      <c r="Y2592" s="7" t="e">
        <f t="shared" ca="1" si="54"/>
        <v>#VALUE!</v>
      </c>
    </row>
    <row r="2593" spans="1:25" ht="15" x14ac:dyDescent="0.25">
      <c r="A2593" s="4">
        <v>2535</v>
      </c>
      <c r="C2593" s="12" t="s">
        <v>4863</v>
      </c>
      <c r="D2593" s="12" t="s">
        <v>4864</v>
      </c>
      <c r="E2593" s="5" t="str">
        <f t="shared" si="50"/>
        <v>https://www.screener.in/company/MEP/consolidated/</v>
      </c>
      <c r="F2593" s="4">
        <v>443059</v>
      </c>
      <c r="G2593" s="4">
        <v>3832241897</v>
      </c>
      <c r="H2593" s="6">
        <f t="shared" ca="1" si="51"/>
        <v>582.50076834400011</v>
      </c>
      <c r="I2593" s="7" t="str">
        <f ca="1">IFERROR(__xludf.DUMMYFUNCTION("IMPORTXML(E2593,""/html/body/main/div[3]/div[3]/div[2]/ul/li[5]/span[2]/span"")"),"Loading...")</f>
        <v>Loading...</v>
      </c>
      <c r="J2593" s="7">
        <f ca="1">IFERROR(__xludf.DUMMYFUNCTION("GOOGLEFINANCE(""NSE:""&amp;D2593,""marketcap"")"),278838000)</f>
        <v>278838000</v>
      </c>
      <c r="K2593" s="7">
        <v>992.8</v>
      </c>
      <c r="L2593" s="8">
        <f ca="1">IFERROR(__xludf.DUMMYFUNCTION("GOOGLEFINANCE(""NSE:""&amp;D2593,""price"")"),1.52)</f>
        <v>1.52</v>
      </c>
      <c r="M2593" s="9">
        <f t="shared" ca="1" si="52"/>
        <v>-991.28</v>
      </c>
      <c r="N2593" s="10">
        <f t="shared" ca="1" si="53"/>
        <v>-99.846897663174857</v>
      </c>
      <c r="O2593" s="7" t="str">
        <f ca="1">IFERROR(__xludf.DUMMYFUNCTION("GOOGLEFINANCE(""NSE:""&amp;D2593,""pe"")"),"#N/A")</f>
        <v>#N/A</v>
      </c>
      <c r="P2593" s="7" t="str">
        <f ca="1">IFERROR(__xludf.DUMMYFUNCTION("GOOGLEFINANCE(""NSE:""&amp;D2593,""EPS"")"),"#N/A")</f>
        <v>#N/A</v>
      </c>
      <c r="Q2593" s="7">
        <v>13.5</v>
      </c>
      <c r="R2593" s="7" t="str">
        <f ca="1">IFERROR(__xludf.DUMMYFUNCTION("IMPORTXML(E2593,""/html/body/main/div[3]/div[3]/div[2]/ul/li[7]/span[2]/span"")"),"Loading...")</f>
        <v>Loading...</v>
      </c>
      <c r="S2593" s="7" t="str">
        <f ca="1">IFERROR(__xludf.DUMMYFUNCTION("IMPORTXML(E2593,""/html/body/main/div[3]/div[3]/div[2]/ul/li[8]/span[2]/span"")"),"Loading...")</f>
        <v>Loading...</v>
      </c>
      <c r="T2593" s="4">
        <v>34.6</v>
      </c>
      <c r="U2593" s="4">
        <v>22.7</v>
      </c>
      <c r="V2593" s="4">
        <v>2.6</v>
      </c>
      <c r="W2593" s="4">
        <v>5.7</v>
      </c>
      <c r="X2593" s="4">
        <v>519.92999999999995</v>
      </c>
      <c r="Y2593" s="7">
        <f t="shared" ca="1" si="54"/>
        <v>-518.41</v>
      </c>
    </row>
    <row r="2594" spans="1:25" ht="15" x14ac:dyDescent="0.25">
      <c r="A2594" s="4">
        <v>2536</v>
      </c>
      <c r="C2594" s="41" t="s">
        <v>4865</v>
      </c>
      <c r="D2594" s="42"/>
      <c r="E2594" s="5" t="str">
        <f t="shared" si="50"/>
        <v>https://www.screener.in/company//consolidated/</v>
      </c>
      <c r="F2594" s="4">
        <v>443059</v>
      </c>
      <c r="G2594" s="4">
        <v>3832241897</v>
      </c>
      <c r="H2594" s="6" t="e">
        <f t="shared" ca="1" si="51"/>
        <v>#VALUE!</v>
      </c>
      <c r="I2594" s="7" t="str">
        <f ca="1">IFERROR(__xludf.DUMMYFUNCTION("IMPORTXML(E2594,""/html/body/main/div[3]/div[3]/div[2]/ul/li[5]/span[2]/span"")"),"Loading...")</f>
        <v>Loading...</v>
      </c>
      <c r="J2594" s="7" t="str">
        <f ca="1">IFERROR(__xludf.DUMMYFUNCTION("GOOGLEFINANCE(""NSE:""&amp;D2594,""marketcap"")"),"#N/A")</f>
        <v>#N/A</v>
      </c>
      <c r="K2594" s="7">
        <v>992.8</v>
      </c>
      <c r="L2594" s="8" t="str">
        <f ca="1">IFERROR(__xludf.DUMMYFUNCTION("GOOGLEFINANCE(""NSE:""&amp;D2594,""price"")"),"#N/A")</f>
        <v>#N/A</v>
      </c>
      <c r="M2594" s="9" t="e">
        <f t="shared" ca="1" si="52"/>
        <v>#VALUE!</v>
      </c>
      <c r="N2594" s="10" t="e">
        <f t="shared" ca="1" si="53"/>
        <v>#VALUE!</v>
      </c>
      <c r="O2594" s="7" t="str">
        <f ca="1">IFERROR(__xludf.DUMMYFUNCTION("GOOGLEFINANCE(""NSE:""&amp;D2594,""pe"")"),"#N/A")</f>
        <v>#N/A</v>
      </c>
      <c r="P2594" s="7" t="str">
        <f ca="1">IFERROR(__xludf.DUMMYFUNCTION("GOOGLEFINANCE(""NSE:""&amp;D2594,""EPS"")"),"#N/A")</f>
        <v>#N/A</v>
      </c>
      <c r="Q2594" s="7">
        <v>13.5</v>
      </c>
      <c r="R2594" s="7" t="str">
        <f ca="1">IFERROR(__xludf.DUMMYFUNCTION("IMPORTXML(E2594,""/html/body/main/div[3]/div[3]/div[2]/ul/li[7]/span[2]/span"")"),"Loading...")</f>
        <v>Loading...</v>
      </c>
      <c r="S2594" s="7" t="str">
        <f ca="1">IFERROR(__xludf.DUMMYFUNCTION("IMPORTXML(E2594,""/html/body/main/div[3]/div[3]/div[2]/ul/li[8]/span[2]/span"")"),"Loading...")</f>
        <v>Loading...</v>
      </c>
      <c r="T2594" s="4">
        <v>34.6</v>
      </c>
      <c r="U2594" s="4">
        <v>22.7</v>
      </c>
      <c r="V2594" s="4">
        <v>2.6</v>
      </c>
      <c r="W2594" s="4">
        <v>5.7</v>
      </c>
      <c r="X2594" s="4">
        <v>519.92999999999995</v>
      </c>
      <c r="Y2594" s="7" t="e">
        <f t="shared" ca="1" si="54"/>
        <v>#VALUE!</v>
      </c>
    </row>
    <row r="2595" spans="1:25" ht="15" x14ac:dyDescent="0.25">
      <c r="A2595" s="4">
        <v>2538</v>
      </c>
      <c r="C2595" s="41" t="s">
        <v>4866</v>
      </c>
      <c r="D2595" s="42"/>
      <c r="E2595" s="5" t="str">
        <f t="shared" si="50"/>
        <v>https://www.screener.in/company//consolidated/</v>
      </c>
      <c r="F2595" s="4">
        <v>443059</v>
      </c>
      <c r="G2595" s="4">
        <v>3832241897</v>
      </c>
      <c r="H2595" s="6" t="e">
        <f t="shared" ca="1" si="51"/>
        <v>#VALUE!</v>
      </c>
      <c r="I2595" s="7" t="str">
        <f ca="1">IFERROR(__xludf.DUMMYFUNCTION("IMPORTXML(E2595,""/html/body/main/div[3]/div[3]/div[2]/ul/li[5]/span[2]/span"")"),"Loading...")</f>
        <v>Loading...</v>
      </c>
      <c r="J2595" s="7" t="str">
        <f ca="1">IFERROR(__xludf.DUMMYFUNCTION("GOOGLEFINANCE(""NSE:""&amp;D2595,""marketcap"")"),"#N/A")</f>
        <v>#N/A</v>
      </c>
      <c r="K2595" s="7">
        <v>992.8</v>
      </c>
      <c r="L2595" s="8" t="str">
        <f ca="1">IFERROR(__xludf.DUMMYFUNCTION("GOOGLEFINANCE(""NSE:""&amp;D2595,""price"")"),"#N/A")</f>
        <v>#N/A</v>
      </c>
      <c r="M2595" s="9" t="e">
        <f t="shared" ca="1" si="52"/>
        <v>#VALUE!</v>
      </c>
      <c r="N2595" s="10" t="e">
        <f t="shared" ca="1" si="53"/>
        <v>#VALUE!</v>
      </c>
      <c r="O2595" s="7" t="str">
        <f ca="1">IFERROR(__xludf.DUMMYFUNCTION("GOOGLEFINANCE(""NSE:""&amp;D2595,""pe"")"),"#N/A")</f>
        <v>#N/A</v>
      </c>
      <c r="P2595" s="7" t="str">
        <f ca="1">IFERROR(__xludf.DUMMYFUNCTION("GOOGLEFINANCE(""NSE:""&amp;D2595,""EPS"")"),"#N/A")</f>
        <v>#N/A</v>
      </c>
      <c r="Q2595" s="7">
        <v>13.5</v>
      </c>
      <c r="R2595" s="7" t="str">
        <f ca="1">IFERROR(__xludf.DUMMYFUNCTION("IMPORTXML(E2595,""/html/body/main/div[3]/div[3]/div[2]/ul/li[7]/span[2]/span"")"),"Loading...")</f>
        <v>Loading...</v>
      </c>
      <c r="S2595" s="7" t="str">
        <f ca="1">IFERROR(__xludf.DUMMYFUNCTION("IMPORTXML(E2595,""/html/body/main/div[3]/div[3]/div[2]/ul/li[8]/span[2]/span"")"),"Loading...")</f>
        <v>Loading...</v>
      </c>
      <c r="T2595" s="4">
        <v>34.6</v>
      </c>
      <c r="U2595" s="4">
        <v>22.7</v>
      </c>
      <c r="V2595" s="4">
        <v>2.6</v>
      </c>
      <c r="W2595" s="4">
        <v>5.7</v>
      </c>
      <c r="X2595" s="4">
        <v>519.92999999999995</v>
      </c>
      <c r="Y2595" s="7" t="e">
        <f t="shared" ca="1" si="54"/>
        <v>#VALUE!</v>
      </c>
    </row>
    <row r="2596" spans="1:25" ht="15" x14ac:dyDescent="0.25">
      <c r="A2596" s="4">
        <v>2539</v>
      </c>
      <c r="C2596" s="41" t="s">
        <v>4867</v>
      </c>
      <c r="D2596" s="42"/>
      <c r="E2596" s="5" t="str">
        <f t="shared" si="50"/>
        <v>https://www.screener.in/company//consolidated/</v>
      </c>
      <c r="F2596" s="4">
        <v>443059</v>
      </c>
      <c r="G2596" s="4">
        <v>3832241897</v>
      </c>
      <c r="H2596" s="6" t="e">
        <f t="shared" ca="1" si="51"/>
        <v>#VALUE!</v>
      </c>
      <c r="I2596" s="7" t="str">
        <f ca="1">IFERROR(__xludf.DUMMYFUNCTION("IMPORTXML(E2596,""/html/body/main/div[3]/div[3]/div[2]/ul/li[5]/span[2]/span"")"),"Loading...")</f>
        <v>Loading...</v>
      </c>
      <c r="J2596" s="7" t="str">
        <f ca="1">IFERROR(__xludf.DUMMYFUNCTION("GOOGLEFINANCE(""NSE:""&amp;D2596,""marketcap"")"),"#N/A")</f>
        <v>#N/A</v>
      </c>
      <c r="K2596" s="7">
        <v>992.8</v>
      </c>
      <c r="L2596" s="8" t="str">
        <f ca="1">IFERROR(__xludf.DUMMYFUNCTION("GOOGLEFINANCE(""NSE:""&amp;D2596,""price"")"),"#N/A")</f>
        <v>#N/A</v>
      </c>
      <c r="M2596" s="9" t="e">
        <f t="shared" ca="1" si="52"/>
        <v>#VALUE!</v>
      </c>
      <c r="N2596" s="10" t="e">
        <f t="shared" ca="1" si="53"/>
        <v>#VALUE!</v>
      </c>
      <c r="O2596" s="7" t="str">
        <f ca="1">IFERROR(__xludf.DUMMYFUNCTION("GOOGLEFINANCE(""NSE:""&amp;D2596,""pe"")"),"#N/A")</f>
        <v>#N/A</v>
      </c>
      <c r="P2596" s="7" t="str">
        <f ca="1">IFERROR(__xludf.DUMMYFUNCTION("GOOGLEFINANCE(""NSE:""&amp;D2596,""EPS"")"),"#N/A")</f>
        <v>#N/A</v>
      </c>
      <c r="Q2596" s="7">
        <v>13.5</v>
      </c>
      <c r="R2596" s="7" t="str">
        <f ca="1">IFERROR(__xludf.DUMMYFUNCTION("IMPORTXML(E2596,""/html/body/main/div[3]/div[3]/div[2]/ul/li[7]/span[2]/span"")"),"Loading...")</f>
        <v>Loading...</v>
      </c>
      <c r="S2596" s="7" t="str">
        <f ca="1">IFERROR(__xludf.DUMMYFUNCTION("IMPORTXML(E2596,""/html/body/main/div[3]/div[3]/div[2]/ul/li[8]/span[2]/span"")"),"Loading...")</f>
        <v>Loading...</v>
      </c>
      <c r="T2596" s="4">
        <v>34.6</v>
      </c>
      <c r="U2596" s="4">
        <v>22.7</v>
      </c>
      <c r="V2596" s="4">
        <v>2.6</v>
      </c>
      <c r="W2596" s="4">
        <v>5.7</v>
      </c>
      <c r="X2596" s="4">
        <v>519.92999999999995</v>
      </c>
      <c r="Y2596" s="7" t="e">
        <f t="shared" ca="1" si="54"/>
        <v>#VALUE!</v>
      </c>
    </row>
    <row r="2597" spans="1:25" ht="15" x14ac:dyDescent="0.25">
      <c r="A2597" s="4">
        <v>2540</v>
      </c>
      <c r="C2597" s="41" t="s">
        <v>4868</v>
      </c>
      <c r="D2597" s="42"/>
      <c r="E2597" s="5" t="str">
        <f t="shared" si="50"/>
        <v>https://www.screener.in/company//consolidated/</v>
      </c>
      <c r="F2597" s="4">
        <v>443059</v>
      </c>
      <c r="G2597" s="4">
        <v>3832241897</v>
      </c>
      <c r="H2597" s="6" t="e">
        <f t="shared" ca="1" si="51"/>
        <v>#VALUE!</v>
      </c>
      <c r="I2597" s="7" t="str">
        <f ca="1">IFERROR(__xludf.DUMMYFUNCTION("IMPORTXML(E2597,""/html/body/main/div[3]/div[3]/div[2]/ul/li[5]/span[2]/span"")"),"Loading...")</f>
        <v>Loading...</v>
      </c>
      <c r="J2597" s="7" t="str">
        <f ca="1">IFERROR(__xludf.DUMMYFUNCTION("GOOGLEFINANCE(""NSE:""&amp;D2597,""marketcap"")"),"#N/A")</f>
        <v>#N/A</v>
      </c>
      <c r="K2597" s="7">
        <v>992.8</v>
      </c>
      <c r="L2597" s="8" t="str">
        <f ca="1">IFERROR(__xludf.DUMMYFUNCTION("GOOGLEFINANCE(""NSE:""&amp;D2597,""price"")"),"#N/A")</f>
        <v>#N/A</v>
      </c>
      <c r="M2597" s="9" t="e">
        <f t="shared" ca="1" si="52"/>
        <v>#VALUE!</v>
      </c>
      <c r="N2597" s="10" t="e">
        <f t="shared" ca="1" si="53"/>
        <v>#VALUE!</v>
      </c>
      <c r="O2597" s="7" t="str">
        <f ca="1">IFERROR(__xludf.DUMMYFUNCTION("GOOGLEFINANCE(""NSE:""&amp;D2597,""pe"")"),"#N/A")</f>
        <v>#N/A</v>
      </c>
      <c r="P2597" s="7" t="str">
        <f ca="1">IFERROR(__xludf.DUMMYFUNCTION("GOOGLEFINANCE(""NSE:""&amp;D2597,""EPS"")"),"#N/A")</f>
        <v>#N/A</v>
      </c>
      <c r="Q2597" s="7">
        <v>13.5</v>
      </c>
      <c r="R2597" s="7" t="str">
        <f ca="1">IFERROR(__xludf.DUMMYFUNCTION("IMPORTXML(E2597,""/html/body/main/div[3]/div[3]/div[2]/ul/li[7]/span[2]/span"")"),"Loading...")</f>
        <v>Loading...</v>
      </c>
      <c r="S2597" s="7" t="str">
        <f ca="1">IFERROR(__xludf.DUMMYFUNCTION("IMPORTXML(E2597,""/html/body/main/div[3]/div[3]/div[2]/ul/li[8]/span[2]/span"")"),"Loading...")</f>
        <v>Loading...</v>
      </c>
      <c r="T2597" s="4">
        <v>34.6</v>
      </c>
      <c r="U2597" s="4">
        <v>22.7</v>
      </c>
      <c r="V2597" s="4">
        <v>2.6</v>
      </c>
      <c r="W2597" s="4">
        <v>5.7</v>
      </c>
      <c r="X2597" s="4">
        <v>519.92999999999995</v>
      </c>
      <c r="Y2597" s="7" t="e">
        <f t="shared" ca="1" si="54"/>
        <v>#VALUE!</v>
      </c>
    </row>
    <row r="2598" spans="1:25" ht="15" x14ac:dyDescent="0.25">
      <c r="A2598" s="4">
        <v>2541</v>
      </c>
      <c r="C2598" s="41" t="s">
        <v>4869</v>
      </c>
      <c r="D2598" s="42"/>
      <c r="E2598" s="5" t="str">
        <f t="shared" si="50"/>
        <v>https://www.screener.in/company//consolidated/</v>
      </c>
      <c r="F2598" s="4">
        <v>443059</v>
      </c>
      <c r="G2598" s="4">
        <v>3832241897</v>
      </c>
      <c r="H2598" s="6" t="e">
        <f t="shared" ca="1" si="51"/>
        <v>#VALUE!</v>
      </c>
      <c r="I2598" s="7" t="str">
        <f ca="1">IFERROR(__xludf.DUMMYFUNCTION("IMPORTXML(E2598,""/html/body/main/div[3]/div[3]/div[2]/ul/li[5]/span[2]/span"")"),"Loading...")</f>
        <v>Loading...</v>
      </c>
      <c r="J2598" s="7" t="str">
        <f ca="1">IFERROR(__xludf.DUMMYFUNCTION("GOOGLEFINANCE(""NSE:""&amp;D2598,""marketcap"")"),"#N/A")</f>
        <v>#N/A</v>
      </c>
      <c r="K2598" s="7">
        <v>992.8</v>
      </c>
      <c r="L2598" s="8" t="str">
        <f ca="1">IFERROR(__xludf.DUMMYFUNCTION("GOOGLEFINANCE(""NSE:""&amp;D2598,""price"")"),"#N/A")</f>
        <v>#N/A</v>
      </c>
      <c r="M2598" s="9" t="e">
        <f t="shared" ca="1" si="52"/>
        <v>#VALUE!</v>
      </c>
      <c r="N2598" s="10" t="e">
        <f t="shared" ca="1" si="53"/>
        <v>#VALUE!</v>
      </c>
      <c r="O2598" s="7" t="str">
        <f ca="1">IFERROR(__xludf.DUMMYFUNCTION("GOOGLEFINANCE(""NSE:""&amp;D2598,""pe"")"),"#N/A")</f>
        <v>#N/A</v>
      </c>
      <c r="P2598" s="7" t="str">
        <f ca="1">IFERROR(__xludf.DUMMYFUNCTION("GOOGLEFINANCE(""NSE:""&amp;D2598,""EPS"")"),"#N/A")</f>
        <v>#N/A</v>
      </c>
      <c r="Q2598" s="7">
        <v>13.5</v>
      </c>
      <c r="R2598" s="7" t="str">
        <f ca="1">IFERROR(__xludf.DUMMYFUNCTION("IMPORTXML(E2598,""/html/body/main/div[3]/div[3]/div[2]/ul/li[7]/span[2]/span"")"),"Loading...")</f>
        <v>Loading...</v>
      </c>
      <c r="S2598" s="7" t="str">
        <f ca="1">IFERROR(__xludf.DUMMYFUNCTION("IMPORTXML(E2598,""/html/body/main/div[3]/div[3]/div[2]/ul/li[8]/span[2]/span"")"),"Loading...")</f>
        <v>Loading...</v>
      </c>
      <c r="T2598" s="4">
        <v>34.6</v>
      </c>
      <c r="U2598" s="4">
        <v>22.7</v>
      </c>
      <c r="V2598" s="4">
        <v>2.6</v>
      </c>
      <c r="W2598" s="4">
        <v>5.7</v>
      </c>
      <c r="X2598" s="4">
        <v>519.92999999999995</v>
      </c>
      <c r="Y2598" s="7" t="e">
        <f t="shared" ca="1" si="54"/>
        <v>#VALUE!</v>
      </c>
    </row>
    <row r="2599" spans="1:25" ht="15" x14ac:dyDescent="0.25">
      <c r="A2599" s="4">
        <v>2542</v>
      </c>
      <c r="C2599" s="41" t="s">
        <v>4870</v>
      </c>
      <c r="D2599" s="42"/>
      <c r="E2599" s="5" t="str">
        <f t="shared" si="50"/>
        <v>https://www.screener.in/company//consolidated/</v>
      </c>
      <c r="F2599" s="4">
        <v>443059</v>
      </c>
      <c r="G2599" s="4">
        <v>3832241897</v>
      </c>
      <c r="H2599" s="6" t="e">
        <f t="shared" ca="1" si="51"/>
        <v>#VALUE!</v>
      </c>
      <c r="I2599" s="7" t="str">
        <f ca="1">IFERROR(__xludf.DUMMYFUNCTION("IMPORTXML(E2599,""/html/body/main/div[3]/div[3]/div[2]/ul/li[5]/span[2]/span"")"),"Loading...")</f>
        <v>Loading...</v>
      </c>
      <c r="J2599" s="7" t="str">
        <f ca="1">IFERROR(__xludf.DUMMYFUNCTION("GOOGLEFINANCE(""NSE:""&amp;D2599,""marketcap"")"),"#N/A")</f>
        <v>#N/A</v>
      </c>
      <c r="K2599" s="7">
        <v>992.8</v>
      </c>
      <c r="L2599" s="8" t="str">
        <f ca="1">IFERROR(__xludf.DUMMYFUNCTION("GOOGLEFINANCE(""NSE:""&amp;D2599,""price"")"),"#N/A")</f>
        <v>#N/A</v>
      </c>
      <c r="M2599" s="9" t="e">
        <f t="shared" ca="1" si="52"/>
        <v>#VALUE!</v>
      </c>
      <c r="N2599" s="10" t="e">
        <f t="shared" ca="1" si="53"/>
        <v>#VALUE!</v>
      </c>
      <c r="O2599" s="7" t="str">
        <f ca="1">IFERROR(__xludf.DUMMYFUNCTION("GOOGLEFINANCE(""NSE:""&amp;D2599,""pe"")"),"#N/A")</f>
        <v>#N/A</v>
      </c>
      <c r="P2599" s="7" t="str">
        <f ca="1">IFERROR(__xludf.DUMMYFUNCTION("GOOGLEFINANCE(""NSE:""&amp;D2599,""EPS"")"),"#N/A")</f>
        <v>#N/A</v>
      </c>
      <c r="Q2599" s="7">
        <v>13.5</v>
      </c>
      <c r="R2599" s="7" t="str">
        <f ca="1">IFERROR(__xludf.DUMMYFUNCTION("IMPORTXML(E2599,""/html/body/main/div[3]/div[3]/div[2]/ul/li[7]/span[2]/span"")"),"Loading...")</f>
        <v>Loading...</v>
      </c>
      <c r="S2599" s="7" t="str">
        <f ca="1">IFERROR(__xludf.DUMMYFUNCTION("IMPORTXML(E2599,""/html/body/main/div[3]/div[3]/div[2]/ul/li[8]/span[2]/span"")"),"Loading...")</f>
        <v>Loading...</v>
      </c>
      <c r="T2599" s="4">
        <v>34.6</v>
      </c>
      <c r="U2599" s="4">
        <v>22.7</v>
      </c>
      <c r="V2599" s="4">
        <v>2.6</v>
      </c>
      <c r="W2599" s="4">
        <v>5.7</v>
      </c>
      <c r="X2599" s="4">
        <v>519.92999999999995</v>
      </c>
      <c r="Y2599" s="7" t="e">
        <f t="shared" ca="1" si="54"/>
        <v>#VALUE!</v>
      </c>
    </row>
    <row r="2600" spans="1:25" ht="15" x14ac:dyDescent="0.25">
      <c r="A2600" s="4">
        <v>2543</v>
      </c>
      <c r="C2600" s="41" t="s">
        <v>4871</v>
      </c>
      <c r="D2600" s="42"/>
      <c r="E2600" s="5" t="str">
        <f t="shared" si="50"/>
        <v>https://www.screener.in/company//consolidated/</v>
      </c>
      <c r="F2600" s="4">
        <v>443059</v>
      </c>
      <c r="G2600" s="4">
        <v>3832241897</v>
      </c>
      <c r="H2600" s="6" t="e">
        <f t="shared" ca="1" si="51"/>
        <v>#VALUE!</v>
      </c>
      <c r="I2600" s="7" t="str">
        <f ca="1">IFERROR(__xludf.DUMMYFUNCTION("IMPORTXML(E2600,""/html/body/main/div[3]/div[3]/div[2]/ul/li[5]/span[2]/span"")"),"Loading...")</f>
        <v>Loading...</v>
      </c>
      <c r="J2600" s="7" t="str">
        <f ca="1">IFERROR(__xludf.DUMMYFUNCTION("GOOGLEFINANCE(""NSE:""&amp;D2600,""marketcap"")"),"#N/A")</f>
        <v>#N/A</v>
      </c>
      <c r="K2600" s="7">
        <v>992.8</v>
      </c>
      <c r="L2600" s="8" t="str">
        <f ca="1">IFERROR(__xludf.DUMMYFUNCTION("GOOGLEFINANCE(""NSE:""&amp;D2600,""price"")"),"#N/A")</f>
        <v>#N/A</v>
      </c>
      <c r="M2600" s="9" t="e">
        <f t="shared" ca="1" si="52"/>
        <v>#VALUE!</v>
      </c>
      <c r="N2600" s="10" t="e">
        <f t="shared" ca="1" si="53"/>
        <v>#VALUE!</v>
      </c>
      <c r="O2600" s="7" t="str">
        <f ca="1">IFERROR(__xludf.DUMMYFUNCTION("GOOGLEFINANCE(""NSE:""&amp;D2600,""pe"")"),"#N/A")</f>
        <v>#N/A</v>
      </c>
      <c r="P2600" s="7" t="str">
        <f ca="1">IFERROR(__xludf.DUMMYFUNCTION("GOOGLEFINANCE(""NSE:""&amp;D2600,""EPS"")"),"#N/A")</f>
        <v>#N/A</v>
      </c>
      <c r="Q2600" s="7">
        <v>13.5</v>
      </c>
      <c r="R2600" s="7" t="str">
        <f ca="1">IFERROR(__xludf.DUMMYFUNCTION("IMPORTXML(E2600,""/html/body/main/div[3]/div[3]/div[2]/ul/li[7]/span[2]/span"")"),"Loading...")</f>
        <v>Loading...</v>
      </c>
      <c r="S2600" s="7" t="str">
        <f ca="1">IFERROR(__xludf.DUMMYFUNCTION("IMPORTXML(E2600,""/html/body/main/div[3]/div[3]/div[2]/ul/li[8]/span[2]/span"")"),"Loading...")</f>
        <v>Loading...</v>
      </c>
      <c r="T2600" s="4">
        <v>34.6</v>
      </c>
      <c r="U2600" s="4">
        <v>22.7</v>
      </c>
      <c r="V2600" s="4">
        <v>2.6</v>
      </c>
      <c r="W2600" s="4">
        <v>5.7</v>
      </c>
      <c r="X2600" s="4">
        <v>519.92999999999995</v>
      </c>
      <c r="Y2600" s="7" t="e">
        <f t="shared" ca="1" si="54"/>
        <v>#VALUE!</v>
      </c>
    </row>
    <row r="2601" spans="1:25" ht="15" x14ac:dyDescent="0.25">
      <c r="A2601" s="4">
        <v>2544</v>
      </c>
      <c r="C2601" s="41" t="s">
        <v>4872</v>
      </c>
      <c r="D2601" s="42"/>
      <c r="E2601" s="5" t="str">
        <f t="shared" si="50"/>
        <v>https://www.screener.in/company//consolidated/</v>
      </c>
      <c r="F2601" s="4">
        <v>443059</v>
      </c>
      <c r="G2601" s="4">
        <v>3832241897</v>
      </c>
      <c r="H2601" s="6" t="e">
        <f t="shared" ca="1" si="51"/>
        <v>#VALUE!</v>
      </c>
      <c r="I2601" s="7" t="str">
        <f ca="1">IFERROR(__xludf.DUMMYFUNCTION("IMPORTXML(E2601,""/html/body/main/div[3]/div[3]/div[2]/ul/li[5]/span[2]/span"")"),"Loading...")</f>
        <v>Loading...</v>
      </c>
      <c r="J2601" s="7" t="str">
        <f ca="1">IFERROR(__xludf.DUMMYFUNCTION("GOOGLEFINANCE(""NSE:""&amp;D2601,""marketcap"")"),"#N/A")</f>
        <v>#N/A</v>
      </c>
      <c r="K2601" s="7">
        <v>992.8</v>
      </c>
      <c r="L2601" s="8" t="str">
        <f ca="1">IFERROR(__xludf.DUMMYFUNCTION("GOOGLEFINANCE(""NSE:""&amp;D2601,""price"")"),"#N/A")</f>
        <v>#N/A</v>
      </c>
      <c r="M2601" s="9" t="e">
        <f t="shared" ca="1" si="52"/>
        <v>#VALUE!</v>
      </c>
      <c r="N2601" s="10" t="e">
        <f t="shared" ca="1" si="53"/>
        <v>#VALUE!</v>
      </c>
      <c r="O2601" s="7" t="str">
        <f ca="1">IFERROR(__xludf.DUMMYFUNCTION("GOOGLEFINANCE(""NSE:""&amp;D2601,""pe"")"),"#N/A")</f>
        <v>#N/A</v>
      </c>
      <c r="P2601" s="7" t="str">
        <f ca="1">IFERROR(__xludf.DUMMYFUNCTION("GOOGLEFINANCE(""NSE:""&amp;D2601,""EPS"")"),"#N/A")</f>
        <v>#N/A</v>
      </c>
      <c r="Q2601" s="7">
        <v>13.5</v>
      </c>
      <c r="R2601" s="7" t="str">
        <f ca="1">IFERROR(__xludf.DUMMYFUNCTION("IMPORTXML(E2601,""/html/body/main/div[3]/div[3]/div[2]/ul/li[7]/span[2]/span"")"),"Loading...")</f>
        <v>Loading...</v>
      </c>
      <c r="S2601" s="7" t="str">
        <f ca="1">IFERROR(__xludf.DUMMYFUNCTION("IMPORTXML(E2601,""/html/body/main/div[3]/div[3]/div[2]/ul/li[8]/span[2]/span"")"),"Loading...")</f>
        <v>Loading...</v>
      </c>
      <c r="T2601" s="4">
        <v>34.6</v>
      </c>
      <c r="U2601" s="4">
        <v>22.7</v>
      </c>
      <c r="V2601" s="4">
        <v>2.6</v>
      </c>
      <c r="W2601" s="4">
        <v>5.7</v>
      </c>
      <c r="X2601" s="4">
        <v>519.92999999999995</v>
      </c>
      <c r="Y2601" s="7" t="e">
        <f t="shared" ca="1" si="54"/>
        <v>#VALUE!</v>
      </c>
    </row>
    <row r="2602" spans="1:25" ht="15" x14ac:dyDescent="0.25">
      <c r="A2602" s="4">
        <v>2546</v>
      </c>
      <c r="C2602" s="41" t="s">
        <v>4873</v>
      </c>
      <c r="D2602" s="42"/>
      <c r="E2602" s="5" t="str">
        <f t="shared" si="50"/>
        <v>https://www.screener.in/company//consolidated/</v>
      </c>
      <c r="F2602" s="4">
        <v>443059</v>
      </c>
      <c r="G2602" s="4">
        <v>3832241897</v>
      </c>
      <c r="H2602" s="6" t="e">
        <f t="shared" ca="1" si="51"/>
        <v>#VALUE!</v>
      </c>
      <c r="I2602" s="7" t="str">
        <f ca="1">IFERROR(__xludf.DUMMYFUNCTION("IMPORTXML(E2602,""/html/body/main/div[3]/div[3]/div[2]/ul/li[5]/span[2]/span"")"),"Loading...")</f>
        <v>Loading...</v>
      </c>
      <c r="J2602" s="7" t="str">
        <f ca="1">IFERROR(__xludf.DUMMYFUNCTION("GOOGLEFINANCE(""NSE:""&amp;D2602,""marketcap"")"),"#N/A")</f>
        <v>#N/A</v>
      </c>
      <c r="K2602" s="7">
        <v>992.8</v>
      </c>
      <c r="L2602" s="8" t="str">
        <f ca="1">IFERROR(__xludf.DUMMYFUNCTION("GOOGLEFINANCE(""NSE:""&amp;D2602,""price"")"),"#N/A")</f>
        <v>#N/A</v>
      </c>
      <c r="M2602" s="9" t="e">
        <f t="shared" ca="1" si="52"/>
        <v>#VALUE!</v>
      </c>
      <c r="N2602" s="10" t="e">
        <f t="shared" ca="1" si="53"/>
        <v>#VALUE!</v>
      </c>
      <c r="O2602" s="7" t="str">
        <f ca="1">IFERROR(__xludf.DUMMYFUNCTION("GOOGLEFINANCE(""NSE:""&amp;D2602,""pe"")"),"#N/A")</f>
        <v>#N/A</v>
      </c>
      <c r="P2602" s="7" t="str">
        <f ca="1">IFERROR(__xludf.DUMMYFUNCTION("GOOGLEFINANCE(""NSE:""&amp;D2602,""EPS"")"),"#N/A")</f>
        <v>#N/A</v>
      </c>
      <c r="Q2602" s="7">
        <v>13.5</v>
      </c>
      <c r="R2602" s="7" t="str">
        <f ca="1">IFERROR(__xludf.DUMMYFUNCTION("IMPORTXML(E2602,""/html/body/main/div[3]/div[3]/div[2]/ul/li[7]/span[2]/span"")"),"Loading...")</f>
        <v>Loading...</v>
      </c>
      <c r="S2602" s="7" t="str">
        <f ca="1">IFERROR(__xludf.DUMMYFUNCTION("IMPORTXML(E2602,""/html/body/main/div[3]/div[3]/div[2]/ul/li[8]/span[2]/span"")"),"Loading...")</f>
        <v>Loading...</v>
      </c>
      <c r="T2602" s="4">
        <v>34.6</v>
      </c>
      <c r="U2602" s="4">
        <v>22.7</v>
      </c>
      <c r="V2602" s="4">
        <v>2.6</v>
      </c>
      <c r="W2602" s="4">
        <v>5.7</v>
      </c>
      <c r="X2602" s="4">
        <v>519.92999999999995</v>
      </c>
      <c r="Y2602" s="7" t="e">
        <f t="shared" ca="1" si="54"/>
        <v>#VALUE!</v>
      </c>
    </row>
    <row r="2603" spans="1:25" ht="15" x14ac:dyDescent="0.25">
      <c r="A2603" s="4">
        <v>2547</v>
      </c>
      <c r="C2603" s="41" t="s">
        <v>4874</v>
      </c>
      <c r="D2603" s="42"/>
      <c r="E2603" s="5" t="str">
        <f t="shared" si="50"/>
        <v>https://www.screener.in/company//consolidated/</v>
      </c>
      <c r="F2603" s="4">
        <v>443059</v>
      </c>
      <c r="G2603" s="4">
        <v>3832241897</v>
      </c>
      <c r="H2603" s="6" t="e">
        <f t="shared" ca="1" si="51"/>
        <v>#VALUE!</v>
      </c>
      <c r="I2603" s="7" t="str">
        <f ca="1">IFERROR(__xludf.DUMMYFUNCTION("IMPORTXML(E2603,""/html/body/main/div[3]/div[3]/div[2]/ul/li[5]/span[2]/span"")"),"Loading...")</f>
        <v>Loading...</v>
      </c>
      <c r="J2603" s="7" t="str">
        <f ca="1">IFERROR(__xludf.DUMMYFUNCTION("GOOGLEFINANCE(""NSE:""&amp;D2603,""marketcap"")"),"#N/A")</f>
        <v>#N/A</v>
      </c>
      <c r="K2603" s="7">
        <v>992.8</v>
      </c>
      <c r="L2603" s="8" t="str">
        <f ca="1">IFERROR(__xludf.DUMMYFUNCTION("GOOGLEFINANCE(""NSE:""&amp;D2603,""price"")"),"#N/A")</f>
        <v>#N/A</v>
      </c>
      <c r="M2603" s="9" t="e">
        <f t="shared" ca="1" si="52"/>
        <v>#VALUE!</v>
      </c>
      <c r="N2603" s="10" t="e">
        <f t="shared" ca="1" si="53"/>
        <v>#VALUE!</v>
      </c>
      <c r="O2603" s="7" t="str">
        <f ca="1">IFERROR(__xludf.DUMMYFUNCTION("GOOGLEFINANCE(""NSE:""&amp;D2603,""pe"")"),"#N/A")</f>
        <v>#N/A</v>
      </c>
      <c r="P2603" s="7" t="str">
        <f ca="1">IFERROR(__xludf.DUMMYFUNCTION("GOOGLEFINANCE(""NSE:""&amp;D2603,""EPS"")"),"#N/A")</f>
        <v>#N/A</v>
      </c>
      <c r="Q2603" s="7">
        <v>13.5</v>
      </c>
      <c r="R2603" s="7" t="str">
        <f ca="1">IFERROR(__xludf.DUMMYFUNCTION("IMPORTXML(E2603,""/html/body/main/div[3]/div[3]/div[2]/ul/li[7]/span[2]/span"")"),"Loading...")</f>
        <v>Loading...</v>
      </c>
      <c r="S2603" s="7" t="str">
        <f ca="1">IFERROR(__xludf.DUMMYFUNCTION("IMPORTXML(E2603,""/html/body/main/div[3]/div[3]/div[2]/ul/li[8]/span[2]/span"")"),"Loading...")</f>
        <v>Loading...</v>
      </c>
      <c r="T2603" s="4">
        <v>34.6</v>
      </c>
      <c r="U2603" s="4">
        <v>22.7</v>
      </c>
      <c r="V2603" s="4">
        <v>2.6</v>
      </c>
      <c r="W2603" s="4">
        <v>5.7</v>
      </c>
      <c r="X2603" s="4">
        <v>519.92999999999995</v>
      </c>
      <c r="Y2603" s="7" t="e">
        <f t="shared" ca="1" si="54"/>
        <v>#VALUE!</v>
      </c>
    </row>
    <row r="2604" spans="1:25" ht="15" x14ac:dyDescent="0.25">
      <c r="A2604" s="4">
        <v>2548</v>
      </c>
      <c r="C2604" s="41" t="s">
        <v>4875</v>
      </c>
      <c r="D2604" s="42"/>
      <c r="E2604" s="5" t="str">
        <f t="shared" si="50"/>
        <v>https://www.screener.in/company//consolidated/</v>
      </c>
      <c r="F2604" s="4">
        <v>443059</v>
      </c>
      <c r="G2604" s="4">
        <v>3832241897</v>
      </c>
      <c r="H2604" s="6" t="e">
        <f t="shared" ca="1" si="51"/>
        <v>#VALUE!</v>
      </c>
      <c r="I2604" s="7" t="str">
        <f ca="1">IFERROR(__xludf.DUMMYFUNCTION("IMPORTXML(E2604,""/html/body/main/div[3]/div[3]/div[2]/ul/li[5]/span[2]/span"")"),"Loading...")</f>
        <v>Loading...</v>
      </c>
      <c r="J2604" s="7" t="str">
        <f ca="1">IFERROR(__xludf.DUMMYFUNCTION("GOOGLEFINANCE(""NSE:""&amp;D2604,""marketcap"")"),"#N/A")</f>
        <v>#N/A</v>
      </c>
      <c r="K2604" s="7">
        <v>992.8</v>
      </c>
      <c r="L2604" s="8" t="str">
        <f ca="1">IFERROR(__xludf.DUMMYFUNCTION("GOOGLEFINANCE(""NSE:""&amp;D2604,""price"")"),"#N/A")</f>
        <v>#N/A</v>
      </c>
      <c r="M2604" s="9" t="e">
        <f t="shared" ca="1" si="52"/>
        <v>#VALUE!</v>
      </c>
      <c r="N2604" s="10" t="e">
        <f t="shared" ca="1" si="53"/>
        <v>#VALUE!</v>
      </c>
      <c r="O2604" s="7" t="str">
        <f ca="1">IFERROR(__xludf.DUMMYFUNCTION("GOOGLEFINANCE(""NSE:""&amp;D2604,""pe"")"),"#N/A")</f>
        <v>#N/A</v>
      </c>
      <c r="P2604" s="7" t="str">
        <f ca="1">IFERROR(__xludf.DUMMYFUNCTION("GOOGLEFINANCE(""NSE:""&amp;D2604,""EPS"")"),"#N/A")</f>
        <v>#N/A</v>
      </c>
      <c r="Q2604" s="7">
        <v>13.5</v>
      </c>
      <c r="R2604" s="7" t="str">
        <f ca="1">IFERROR(__xludf.DUMMYFUNCTION("IMPORTXML(E2604,""/html/body/main/div[3]/div[3]/div[2]/ul/li[7]/span[2]/span"")"),"Loading...")</f>
        <v>Loading...</v>
      </c>
      <c r="S2604" s="7" t="str">
        <f ca="1">IFERROR(__xludf.DUMMYFUNCTION("IMPORTXML(E2604,""/html/body/main/div[3]/div[3]/div[2]/ul/li[8]/span[2]/span"")"),"Loading...")</f>
        <v>Loading...</v>
      </c>
      <c r="T2604" s="4">
        <v>34.6</v>
      </c>
      <c r="U2604" s="4">
        <v>22.7</v>
      </c>
      <c r="V2604" s="4">
        <v>2.6</v>
      </c>
      <c r="W2604" s="4">
        <v>5.7</v>
      </c>
      <c r="X2604" s="4">
        <v>519.92999999999995</v>
      </c>
      <c r="Y2604" s="7" t="e">
        <f t="shared" ca="1" si="54"/>
        <v>#VALUE!</v>
      </c>
    </row>
    <row r="2605" spans="1:25" ht="15" x14ac:dyDescent="0.25">
      <c r="A2605" s="4">
        <v>2549</v>
      </c>
      <c r="C2605" s="41" t="s">
        <v>4876</v>
      </c>
      <c r="D2605" s="42"/>
      <c r="E2605" s="5" t="str">
        <f t="shared" si="50"/>
        <v>https://www.screener.in/company//consolidated/</v>
      </c>
      <c r="F2605" s="4">
        <v>443059</v>
      </c>
      <c r="G2605" s="4">
        <v>3832241897</v>
      </c>
      <c r="H2605" s="6" t="e">
        <f t="shared" ca="1" si="51"/>
        <v>#VALUE!</v>
      </c>
      <c r="I2605" s="7" t="str">
        <f ca="1">IFERROR(__xludf.DUMMYFUNCTION("IMPORTXML(E2605,""/html/body/main/div[3]/div[3]/div[2]/ul/li[5]/span[2]/span"")"),"Loading...")</f>
        <v>Loading...</v>
      </c>
      <c r="J2605" s="7" t="str">
        <f ca="1">IFERROR(__xludf.DUMMYFUNCTION("GOOGLEFINANCE(""NSE:""&amp;D2605,""marketcap"")"),"#N/A")</f>
        <v>#N/A</v>
      </c>
      <c r="K2605" s="7">
        <v>992.8</v>
      </c>
      <c r="L2605" s="8" t="str">
        <f ca="1">IFERROR(__xludf.DUMMYFUNCTION("GOOGLEFINANCE(""NSE:""&amp;D2605,""price"")"),"#N/A")</f>
        <v>#N/A</v>
      </c>
      <c r="M2605" s="9" t="e">
        <f t="shared" ca="1" si="52"/>
        <v>#VALUE!</v>
      </c>
      <c r="N2605" s="10" t="e">
        <f t="shared" ca="1" si="53"/>
        <v>#VALUE!</v>
      </c>
      <c r="O2605" s="7" t="str">
        <f ca="1">IFERROR(__xludf.DUMMYFUNCTION("GOOGLEFINANCE(""NSE:""&amp;D2605,""pe"")"),"#N/A")</f>
        <v>#N/A</v>
      </c>
      <c r="P2605" s="7" t="str">
        <f ca="1">IFERROR(__xludf.DUMMYFUNCTION("GOOGLEFINANCE(""NSE:""&amp;D2605,""EPS"")"),"#N/A")</f>
        <v>#N/A</v>
      </c>
      <c r="Q2605" s="7">
        <v>13.5</v>
      </c>
      <c r="R2605" s="7" t="str">
        <f ca="1">IFERROR(__xludf.DUMMYFUNCTION("IMPORTXML(E2605,""/html/body/main/div[3]/div[3]/div[2]/ul/li[7]/span[2]/span"")"),"Loading...")</f>
        <v>Loading...</v>
      </c>
      <c r="S2605" s="7" t="str">
        <f ca="1">IFERROR(__xludf.DUMMYFUNCTION("IMPORTXML(E2605,""/html/body/main/div[3]/div[3]/div[2]/ul/li[8]/span[2]/span"")"),"Loading...")</f>
        <v>Loading...</v>
      </c>
      <c r="T2605" s="4">
        <v>34.6</v>
      </c>
      <c r="U2605" s="4">
        <v>22.7</v>
      </c>
      <c r="V2605" s="4">
        <v>2.6</v>
      </c>
      <c r="W2605" s="4">
        <v>5.7</v>
      </c>
      <c r="X2605" s="4">
        <v>519.92999999999995</v>
      </c>
      <c r="Y2605" s="7" t="e">
        <f t="shared" ca="1" si="54"/>
        <v>#VALUE!</v>
      </c>
    </row>
    <row r="2606" spans="1:25" ht="15" x14ac:dyDescent="0.25">
      <c r="A2606" s="4">
        <v>2551</v>
      </c>
      <c r="C2606" s="41" t="s">
        <v>4877</v>
      </c>
      <c r="D2606" s="42"/>
      <c r="E2606" s="5" t="str">
        <f t="shared" si="50"/>
        <v>https://www.screener.in/company//consolidated/</v>
      </c>
      <c r="F2606" s="4">
        <v>443059</v>
      </c>
      <c r="G2606" s="4">
        <v>3832241897</v>
      </c>
      <c r="H2606" s="6" t="e">
        <f t="shared" ca="1" si="51"/>
        <v>#VALUE!</v>
      </c>
      <c r="I2606" s="7" t="str">
        <f ca="1">IFERROR(__xludf.DUMMYFUNCTION("IMPORTXML(E2606,""/html/body/main/div[3]/div[3]/div[2]/ul/li[5]/span[2]/span"")"),"Loading...")</f>
        <v>Loading...</v>
      </c>
      <c r="J2606" s="7" t="str">
        <f ca="1">IFERROR(__xludf.DUMMYFUNCTION("GOOGLEFINANCE(""NSE:""&amp;D2606,""marketcap"")"),"#N/A")</f>
        <v>#N/A</v>
      </c>
      <c r="K2606" s="7">
        <v>992.8</v>
      </c>
      <c r="L2606" s="8" t="str">
        <f ca="1">IFERROR(__xludf.DUMMYFUNCTION("GOOGLEFINANCE(""NSE:""&amp;D2606,""price"")"),"#N/A")</f>
        <v>#N/A</v>
      </c>
      <c r="M2606" s="9" t="e">
        <f t="shared" ca="1" si="52"/>
        <v>#VALUE!</v>
      </c>
      <c r="N2606" s="10" t="e">
        <f t="shared" ca="1" si="53"/>
        <v>#VALUE!</v>
      </c>
      <c r="O2606" s="7" t="str">
        <f ca="1">IFERROR(__xludf.DUMMYFUNCTION("GOOGLEFINANCE(""NSE:""&amp;D2606,""pe"")"),"#N/A")</f>
        <v>#N/A</v>
      </c>
      <c r="P2606" s="7" t="str">
        <f ca="1">IFERROR(__xludf.DUMMYFUNCTION("GOOGLEFINANCE(""NSE:""&amp;D2606,""EPS"")"),"#N/A")</f>
        <v>#N/A</v>
      </c>
      <c r="Q2606" s="7">
        <v>13.5</v>
      </c>
      <c r="R2606" s="7" t="str">
        <f ca="1">IFERROR(__xludf.DUMMYFUNCTION("IMPORTXML(E2606,""/html/body/main/div[3]/div[3]/div[2]/ul/li[7]/span[2]/span"")"),"Loading...")</f>
        <v>Loading...</v>
      </c>
      <c r="S2606" s="7" t="str">
        <f ca="1">IFERROR(__xludf.DUMMYFUNCTION("IMPORTXML(E2606,""/html/body/main/div[3]/div[3]/div[2]/ul/li[8]/span[2]/span"")"),"Loading...")</f>
        <v>Loading...</v>
      </c>
      <c r="T2606" s="4">
        <v>34.6</v>
      </c>
      <c r="U2606" s="4">
        <v>22.7</v>
      </c>
      <c r="V2606" s="4">
        <v>2.6</v>
      </c>
      <c r="W2606" s="4">
        <v>5.7</v>
      </c>
      <c r="X2606" s="4">
        <v>519.92999999999995</v>
      </c>
      <c r="Y2606" s="7" t="e">
        <f t="shared" ca="1" si="54"/>
        <v>#VALUE!</v>
      </c>
    </row>
    <row r="2607" spans="1:25" ht="15" x14ac:dyDescent="0.25">
      <c r="A2607" s="4">
        <v>2552</v>
      </c>
      <c r="C2607" s="41" t="s">
        <v>4878</v>
      </c>
      <c r="D2607" s="42"/>
      <c r="E2607" s="5" t="str">
        <f t="shared" si="50"/>
        <v>https://www.screener.in/company//consolidated/</v>
      </c>
      <c r="F2607" s="4">
        <v>443059</v>
      </c>
      <c r="G2607" s="4">
        <v>3832241897</v>
      </c>
      <c r="H2607" s="6" t="e">
        <f t="shared" ca="1" si="51"/>
        <v>#VALUE!</v>
      </c>
      <c r="I2607" s="7" t="str">
        <f ca="1">IFERROR(__xludf.DUMMYFUNCTION("IMPORTXML(E2607,""/html/body/main/div[3]/div[3]/div[2]/ul/li[5]/span[2]/span"")"),"Loading...")</f>
        <v>Loading...</v>
      </c>
      <c r="J2607" s="7" t="str">
        <f ca="1">IFERROR(__xludf.DUMMYFUNCTION("GOOGLEFINANCE(""NSE:""&amp;D2607,""marketcap"")"),"#N/A")</f>
        <v>#N/A</v>
      </c>
      <c r="K2607" s="7">
        <v>992.8</v>
      </c>
      <c r="L2607" s="8" t="str">
        <f ca="1">IFERROR(__xludf.DUMMYFUNCTION("GOOGLEFINANCE(""NSE:""&amp;D2607,""price"")"),"#N/A")</f>
        <v>#N/A</v>
      </c>
      <c r="M2607" s="9" t="e">
        <f t="shared" ca="1" si="52"/>
        <v>#VALUE!</v>
      </c>
      <c r="N2607" s="10" t="e">
        <f t="shared" ca="1" si="53"/>
        <v>#VALUE!</v>
      </c>
      <c r="O2607" s="7" t="str">
        <f ca="1">IFERROR(__xludf.DUMMYFUNCTION("GOOGLEFINANCE(""NSE:""&amp;D2607,""pe"")"),"#N/A")</f>
        <v>#N/A</v>
      </c>
      <c r="P2607" s="7" t="str">
        <f ca="1">IFERROR(__xludf.DUMMYFUNCTION("GOOGLEFINANCE(""NSE:""&amp;D2607,""EPS"")"),"#N/A")</f>
        <v>#N/A</v>
      </c>
      <c r="Q2607" s="7">
        <v>13.5</v>
      </c>
      <c r="R2607" s="7" t="str">
        <f ca="1">IFERROR(__xludf.DUMMYFUNCTION("IMPORTXML(E2607,""/html/body/main/div[3]/div[3]/div[2]/ul/li[7]/span[2]/span"")"),"Loading...")</f>
        <v>Loading...</v>
      </c>
      <c r="S2607" s="7" t="str">
        <f ca="1">IFERROR(__xludf.DUMMYFUNCTION("IMPORTXML(E2607,""/html/body/main/div[3]/div[3]/div[2]/ul/li[8]/span[2]/span"")"),"Loading...")</f>
        <v>Loading...</v>
      </c>
      <c r="T2607" s="4">
        <v>34.6</v>
      </c>
      <c r="U2607" s="4">
        <v>22.7</v>
      </c>
      <c r="V2607" s="4">
        <v>2.6</v>
      </c>
      <c r="W2607" s="4">
        <v>5.7</v>
      </c>
      <c r="X2607" s="4">
        <v>519.92999999999995</v>
      </c>
      <c r="Y2607" s="7" t="e">
        <f t="shared" ca="1" si="54"/>
        <v>#VALUE!</v>
      </c>
    </row>
    <row r="2608" spans="1:25" ht="15" x14ac:dyDescent="0.25">
      <c r="A2608" s="4">
        <v>2553</v>
      </c>
      <c r="C2608" s="41" t="s">
        <v>4879</v>
      </c>
      <c r="D2608" s="42"/>
      <c r="E2608" s="5" t="str">
        <f t="shared" si="50"/>
        <v>https://www.screener.in/company//consolidated/</v>
      </c>
      <c r="F2608" s="4">
        <v>443059</v>
      </c>
      <c r="G2608" s="4">
        <v>3832241897</v>
      </c>
      <c r="H2608" s="6" t="e">
        <f t="shared" ca="1" si="51"/>
        <v>#VALUE!</v>
      </c>
      <c r="I2608" s="7" t="str">
        <f ca="1">IFERROR(__xludf.DUMMYFUNCTION("IMPORTXML(E2608,""/html/body/main/div[3]/div[3]/div[2]/ul/li[5]/span[2]/span"")"),"Loading...")</f>
        <v>Loading...</v>
      </c>
      <c r="J2608" s="7" t="str">
        <f ca="1">IFERROR(__xludf.DUMMYFUNCTION("GOOGLEFINANCE(""NSE:""&amp;D2608,""marketcap"")"),"#N/A")</f>
        <v>#N/A</v>
      </c>
      <c r="K2608" s="7">
        <v>992.8</v>
      </c>
      <c r="L2608" s="8" t="str">
        <f ca="1">IFERROR(__xludf.DUMMYFUNCTION("GOOGLEFINANCE(""NSE:""&amp;D2608,""price"")"),"#N/A")</f>
        <v>#N/A</v>
      </c>
      <c r="M2608" s="9" t="e">
        <f t="shared" ca="1" si="52"/>
        <v>#VALUE!</v>
      </c>
      <c r="N2608" s="10" t="e">
        <f t="shared" ca="1" si="53"/>
        <v>#VALUE!</v>
      </c>
      <c r="O2608" s="7" t="str">
        <f ca="1">IFERROR(__xludf.DUMMYFUNCTION("GOOGLEFINANCE(""NSE:""&amp;D2608,""pe"")"),"#N/A")</f>
        <v>#N/A</v>
      </c>
      <c r="P2608" s="7" t="str">
        <f ca="1">IFERROR(__xludf.DUMMYFUNCTION("GOOGLEFINANCE(""NSE:""&amp;D2608,""EPS"")"),"#N/A")</f>
        <v>#N/A</v>
      </c>
      <c r="Q2608" s="7">
        <v>13.5</v>
      </c>
      <c r="R2608" s="7" t="str">
        <f ca="1">IFERROR(__xludf.DUMMYFUNCTION("IMPORTXML(E2608,""/html/body/main/div[3]/div[3]/div[2]/ul/li[7]/span[2]/span"")"),"Loading...")</f>
        <v>Loading...</v>
      </c>
      <c r="S2608" s="7" t="str">
        <f ca="1">IFERROR(__xludf.DUMMYFUNCTION("IMPORTXML(E2608,""/html/body/main/div[3]/div[3]/div[2]/ul/li[8]/span[2]/span"")"),"Loading...")</f>
        <v>Loading...</v>
      </c>
      <c r="T2608" s="4">
        <v>34.6</v>
      </c>
      <c r="U2608" s="4">
        <v>22.7</v>
      </c>
      <c r="V2608" s="4">
        <v>2.6</v>
      </c>
      <c r="W2608" s="4">
        <v>5.7</v>
      </c>
      <c r="X2608" s="4">
        <v>519.92999999999995</v>
      </c>
      <c r="Y2608" s="7" t="e">
        <f t="shared" ca="1" si="54"/>
        <v>#VALUE!</v>
      </c>
    </row>
    <row r="2609" spans="1:25" ht="15" x14ac:dyDescent="0.25">
      <c r="A2609" s="4">
        <v>2554</v>
      </c>
      <c r="C2609" s="41" t="s">
        <v>4880</v>
      </c>
      <c r="D2609" s="42"/>
      <c r="E2609" s="5" t="str">
        <f t="shared" si="50"/>
        <v>https://www.screener.in/company//consolidated/</v>
      </c>
      <c r="F2609" s="4">
        <v>443059</v>
      </c>
      <c r="G2609" s="4">
        <v>3832241897</v>
      </c>
      <c r="H2609" s="6" t="e">
        <f t="shared" ca="1" si="51"/>
        <v>#VALUE!</v>
      </c>
      <c r="I2609" s="7" t="str">
        <f ca="1">IFERROR(__xludf.DUMMYFUNCTION("IMPORTXML(E2609,""/html/body/main/div[3]/div[3]/div[2]/ul/li[5]/span[2]/span"")"),"Loading...")</f>
        <v>Loading...</v>
      </c>
      <c r="J2609" s="7" t="str">
        <f ca="1">IFERROR(__xludf.DUMMYFUNCTION("GOOGLEFINANCE(""NSE:""&amp;D2609,""marketcap"")"),"#N/A")</f>
        <v>#N/A</v>
      </c>
      <c r="K2609" s="7">
        <v>992.8</v>
      </c>
      <c r="L2609" s="8" t="str">
        <f ca="1">IFERROR(__xludf.DUMMYFUNCTION("GOOGLEFINANCE(""NSE:""&amp;D2609,""price"")"),"#N/A")</f>
        <v>#N/A</v>
      </c>
      <c r="M2609" s="9" t="e">
        <f t="shared" ca="1" si="52"/>
        <v>#VALUE!</v>
      </c>
      <c r="N2609" s="10" t="e">
        <f t="shared" ca="1" si="53"/>
        <v>#VALUE!</v>
      </c>
      <c r="O2609" s="7" t="str">
        <f ca="1">IFERROR(__xludf.DUMMYFUNCTION("GOOGLEFINANCE(""NSE:""&amp;D2609,""pe"")"),"#N/A")</f>
        <v>#N/A</v>
      </c>
      <c r="P2609" s="7" t="str">
        <f ca="1">IFERROR(__xludf.DUMMYFUNCTION("GOOGLEFINANCE(""NSE:""&amp;D2609,""EPS"")"),"#N/A")</f>
        <v>#N/A</v>
      </c>
      <c r="Q2609" s="7">
        <v>13.5</v>
      </c>
      <c r="R2609" s="7" t="str">
        <f ca="1">IFERROR(__xludf.DUMMYFUNCTION("IMPORTXML(E2609,""/html/body/main/div[3]/div[3]/div[2]/ul/li[7]/span[2]/span"")"),"Loading...")</f>
        <v>Loading...</v>
      </c>
      <c r="S2609" s="7" t="str">
        <f ca="1">IFERROR(__xludf.DUMMYFUNCTION("IMPORTXML(E2609,""/html/body/main/div[3]/div[3]/div[2]/ul/li[8]/span[2]/span"")"),"Loading...")</f>
        <v>Loading...</v>
      </c>
      <c r="T2609" s="4">
        <v>34.6</v>
      </c>
      <c r="U2609" s="4">
        <v>22.7</v>
      </c>
      <c r="V2609" s="4">
        <v>2.6</v>
      </c>
      <c r="W2609" s="4">
        <v>5.7</v>
      </c>
      <c r="X2609" s="4">
        <v>519.92999999999995</v>
      </c>
      <c r="Y2609" s="7" t="e">
        <f t="shared" ca="1" si="54"/>
        <v>#VALUE!</v>
      </c>
    </row>
    <row r="2610" spans="1:25" ht="15" x14ac:dyDescent="0.25">
      <c r="A2610" s="4">
        <v>2555</v>
      </c>
      <c r="C2610" s="12" t="s">
        <v>4881</v>
      </c>
      <c r="D2610" s="12" t="s">
        <v>4882</v>
      </c>
      <c r="E2610" s="5" t="str">
        <f t="shared" si="50"/>
        <v>https://www.screener.in/company/LCCINFOTEC/consolidated/</v>
      </c>
      <c r="F2610" s="4">
        <v>443059</v>
      </c>
      <c r="G2610" s="4">
        <v>3832241897</v>
      </c>
      <c r="H2610" s="6">
        <f t="shared" ca="1" si="51"/>
        <v>1758.999030723</v>
      </c>
      <c r="I2610" s="7" t="str">
        <f ca="1">IFERROR(__xludf.DUMMYFUNCTION("IMPORTXML(E2610,""/html/body/main/div[3]/div[3]/div[2]/ul/li[5]/span[2]/span"")"),"Loading...")</f>
        <v>Loading...</v>
      </c>
      <c r="J2610" s="7">
        <f ca="1">IFERROR(__xludf.DUMMYFUNCTION("GOOGLEFINANCE(""NSE:""&amp;D2610,""marketcap"")"),574733800)</f>
        <v>574733800</v>
      </c>
      <c r="K2610" s="7">
        <v>992.8</v>
      </c>
      <c r="L2610" s="8">
        <f ca="1">IFERROR(__xludf.DUMMYFUNCTION("GOOGLEFINANCE(""NSE:""&amp;D2610,""price"")"),4.59)</f>
        <v>4.59</v>
      </c>
      <c r="M2610" s="9">
        <f t="shared" ca="1" si="52"/>
        <v>-988.20999999999992</v>
      </c>
      <c r="N2610" s="10">
        <f t="shared" ca="1" si="53"/>
        <v>-99.537671232876718</v>
      </c>
      <c r="O2610" s="7" t="str">
        <f ca="1">IFERROR(__xludf.DUMMYFUNCTION("GOOGLEFINANCE(""NSE:""&amp;D2610,""pe"")"),"#N/A")</f>
        <v>#N/A</v>
      </c>
      <c r="P2610" s="7">
        <f ca="1">IFERROR(__xludf.DUMMYFUNCTION("GOOGLEFINANCE(""NSE:""&amp;D2610,""EPS"")"),-0.22)</f>
        <v>-0.22</v>
      </c>
      <c r="Q2610" s="7">
        <v>13.5</v>
      </c>
      <c r="R2610" s="7" t="str">
        <f ca="1">IFERROR(__xludf.DUMMYFUNCTION("IMPORTXML(E2610,""/html/body/main/div[3]/div[3]/div[2]/ul/li[7]/span[2]/span"")"),"Loading...")</f>
        <v>Loading...</v>
      </c>
      <c r="S2610" s="7" t="str">
        <f ca="1">IFERROR(__xludf.DUMMYFUNCTION("IMPORTXML(E2610,""/html/body/main/div[3]/div[3]/div[2]/ul/li[8]/span[2]/span"")"),"Loading...")</f>
        <v>Loading...</v>
      </c>
      <c r="T2610" s="4">
        <v>34.6</v>
      </c>
      <c r="U2610" s="4">
        <v>22.7</v>
      </c>
      <c r="V2610" s="4">
        <v>2.6</v>
      </c>
      <c r="W2610" s="4">
        <v>5.7</v>
      </c>
      <c r="X2610" s="4">
        <v>519.92999999999995</v>
      </c>
      <c r="Y2610" s="7">
        <f t="shared" ca="1" si="54"/>
        <v>-515.33999999999992</v>
      </c>
    </row>
    <row r="2611" spans="1:25" ht="15" x14ac:dyDescent="0.25">
      <c r="A2611" s="4">
        <v>2556</v>
      </c>
      <c r="C2611" s="41" t="s">
        <v>4883</v>
      </c>
      <c r="D2611" s="42"/>
      <c r="E2611" s="5" t="str">
        <f t="shared" si="50"/>
        <v>https://www.screener.in/company//consolidated/</v>
      </c>
      <c r="F2611" s="4">
        <v>443059</v>
      </c>
      <c r="G2611" s="4">
        <v>3832241897</v>
      </c>
      <c r="H2611" s="6" t="e">
        <f t="shared" ca="1" si="51"/>
        <v>#VALUE!</v>
      </c>
      <c r="I2611" s="7" t="str">
        <f ca="1">IFERROR(__xludf.DUMMYFUNCTION("IMPORTXML(E2611,""/html/body/main/div[3]/div[3]/div[2]/ul/li[5]/span[2]/span"")"),"Loading...")</f>
        <v>Loading...</v>
      </c>
      <c r="J2611" s="7" t="str">
        <f ca="1">IFERROR(__xludf.DUMMYFUNCTION("GOOGLEFINANCE(""NSE:""&amp;D2611,""marketcap"")"),"#N/A")</f>
        <v>#N/A</v>
      </c>
      <c r="K2611" s="7">
        <v>992.8</v>
      </c>
      <c r="L2611" s="8" t="str">
        <f ca="1">IFERROR(__xludf.DUMMYFUNCTION("GOOGLEFINANCE(""NSE:""&amp;D2611,""price"")"),"#N/A")</f>
        <v>#N/A</v>
      </c>
      <c r="M2611" s="9" t="e">
        <f t="shared" ca="1" si="52"/>
        <v>#VALUE!</v>
      </c>
      <c r="N2611" s="10" t="e">
        <f t="shared" ca="1" si="53"/>
        <v>#VALUE!</v>
      </c>
      <c r="O2611" s="7" t="str">
        <f ca="1">IFERROR(__xludf.DUMMYFUNCTION("GOOGLEFINANCE(""NSE:""&amp;D2611,""pe"")"),"#N/A")</f>
        <v>#N/A</v>
      </c>
      <c r="P2611" s="7" t="str">
        <f ca="1">IFERROR(__xludf.DUMMYFUNCTION("GOOGLEFINANCE(""NSE:""&amp;D2611,""EPS"")"),"#N/A")</f>
        <v>#N/A</v>
      </c>
      <c r="Q2611" s="7">
        <v>13.5</v>
      </c>
      <c r="R2611" s="7" t="str">
        <f ca="1">IFERROR(__xludf.DUMMYFUNCTION("IMPORTXML(E2611,""/html/body/main/div[3]/div[3]/div[2]/ul/li[7]/span[2]/span"")"),"Loading...")</f>
        <v>Loading...</v>
      </c>
      <c r="S2611" s="7" t="str">
        <f ca="1">IFERROR(__xludf.DUMMYFUNCTION("IMPORTXML(E2611,""/html/body/main/div[3]/div[3]/div[2]/ul/li[8]/span[2]/span"")"),"Loading...")</f>
        <v>Loading...</v>
      </c>
      <c r="T2611" s="4">
        <v>34.6</v>
      </c>
      <c r="U2611" s="4">
        <v>22.7</v>
      </c>
      <c r="V2611" s="4">
        <v>2.6</v>
      </c>
      <c r="W2611" s="4">
        <v>5.7</v>
      </c>
      <c r="X2611" s="4">
        <v>519.92999999999995</v>
      </c>
      <c r="Y2611" s="7" t="e">
        <f t="shared" ca="1" si="54"/>
        <v>#VALUE!</v>
      </c>
    </row>
    <row r="2612" spans="1:25" ht="15" x14ac:dyDescent="0.25">
      <c r="A2612" s="4">
        <v>2557</v>
      </c>
      <c r="C2612" s="41" t="s">
        <v>4884</v>
      </c>
      <c r="D2612" s="42"/>
      <c r="E2612" s="5" t="str">
        <f t="shared" si="50"/>
        <v>https://www.screener.in/company//consolidated/</v>
      </c>
      <c r="F2612" s="4">
        <v>443059</v>
      </c>
      <c r="G2612" s="4">
        <v>3832241897</v>
      </c>
      <c r="H2612" s="6" t="e">
        <f t="shared" ca="1" si="51"/>
        <v>#VALUE!</v>
      </c>
      <c r="I2612" s="7" t="str">
        <f ca="1">IFERROR(__xludf.DUMMYFUNCTION("IMPORTXML(E2612,""/html/body/main/div[3]/div[3]/div[2]/ul/li[5]/span[2]/span"")"),"Loading...")</f>
        <v>Loading...</v>
      </c>
      <c r="J2612" s="7" t="str">
        <f ca="1">IFERROR(__xludf.DUMMYFUNCTION("GOOGLEFINANCE(""NSE:""&amp;D2612,""marketcap"")"),"#N/A")</f>
        <v>#N/A</v>
      </c>
      <c r="K2612" s="7">
        <v>992.8</v>
      </c>
      <c r="L2612" s="8" t="str">
        <f ca="1">IFERROR(__xludf.DUMMYFUNCTION("GOOGLEFINANCE(""NSE:""&amp;D2612,""price"")"),"#N/A")</f>
        <v>#N/A</v>
      </c>
      <c r="M2612" s="9" t="e">
        <f t="shared" ca="1" si="52"/>
        <v>#VALUE!</v>
      </c>
      <c r="N2612" s="10" t="e">
        <f t="shared" ca="1" si="53"/>
        <v>#VALUE!</v>
      </c>
      <c r="O2612" s="7" t="str">
        <f ca="1">IFERROR(__xludf.DUMMYFUNCTION("GOOGLEFINANCE(""NSE:""&amp;D2612,""pe"")"),"#N/A")</f>
        <v>#N/A</v>
      </c>
      <c r="P2612" s="7" t="str">
        <f ca="1">IFERROR(__xludf.DUMMYFUNCTION("GOOGLEFINANCE(""NSE:""&amp;D2612,""EPS"")"),"#N/A")</f>
        <v>#N/A</v>
      </c>
      <c r="Q2612" s="7">
        <v>13.5</v>
      </c>
      <c r="R2612" s="7" t="str">
        <f ca="1">IFERROR(__xludf.DUMMYFUNCTION("IMPORTXML(E2612,""/html/body/main/div[3]/div[3]/div[2]/ul/li[7]/span[2]/span"")"),"Loading...")</f>
        <v>Loading...</v>
      </c>
      <c r="S2612" s="7" t="str">
        <f ca="1">IFERROR(__xludf.DUMMYFUNCTION("IMPORTXML(E2612,""/html/body/main/div[3]/div[3]/div[2]/ul/li[8]/span[2]/span"")"),"Loading...")</f>
        <v>Loading...</v>
      </c>
      <c r="T2612" s="4">
        <v>34.6</v>
      </c>
      <c r="U2612" s="4">
        <v>22.7</v>
      </c>
      <c r="V2612" s="4">
        <v>2.6</v>
      </c>
      <c r="W2612" s="4">
        <v>5.7</v>
      </c>
      <c r="X2612" s="4">
        <v>519.92999999999995</v>
      </c>
      <c r="Y2612" s="7" t="e">
        <f t="shared" ca="1" si="54"/>
        <v>#VALUE!</v>
      </c>
    </row>
    <row r="2613" spans="1:25" ht="15" x14ac:dyDescent="0.25">
      <c r="A2613" s="4">
        <v>2558</v>
      </c>
      <c r="C2613" s="41" t="s">
        <v>4885</v>
      </c>
      <c r="D2613" s="42"/>
      <c r="E2613" s="5" t="str">
        <f t="shared" si="50"/>
        <v>https://www.screener.in/company//consolidated/</v>
      </c>
      <c r="F2613" s="4">
        <v>443059</v>
      </c>
      <c r="G2613" s="4">
        <v>3832241897</v>
      </c>
      <c r="H2613" s="6" t="e">
        <f t="shared" ca="1" si="51"/>
        <v>#VALUE!</v>
      </c>
      <c r="I2613" s="7" t="str">
        <f ca="1">IFERROR(__xludf.DUMMYFUNCTION("IMPORTXML(E2613,""/html/body/main/div[3]/div[3]/div[2]/ul/li[5]/span[2]/span"")"),"Loading...")</f>
        <v>Loading...</v>
      </c>
      <c r="J2613" s="7" t="str">
        <f ca="1">IFERROR(__xludf.DUMMYFUNCTION("GOOGLEFINANCE(""NSE:""&amp;D2613,""marketcap"")"),"#N/A")</f>
        <v>#N/A</v>
      </c>
      <c r="K2613" s="7">
        <v>992.8</v>
      </c>
      <c r="L2613" s="8" t="str">
        <f ca="1">IFERROR(__xludf.DUMMYFUNCTION("GOOGLEFINANCE(""NSE:""&amp;D2613,""price"")"),"#N/A")</f>
        <v>#N/A</v>
      </c>
      <c r="M2613" s="9" t="e">
        <f t="shared" ca="1" si="52"/>
        <v>#VALUE!</v>
      </c>
      <c r="N2613" s="10" t="e">
        <f t="shared" ca="1" si="53"/>
        <v>#VALUE!</v>
      </c>
      <c r="O2613" s="7" t="str">
        <f ca="1">IFERROR(__xludf.DUMMYFUNCTION("GOOGLEFINANCE(""NSE:""&amp;D2613,""pe"")"),"#N/A")</f>
        <v>#N/A</v>
      </c>
      <c r="P2613" s="7" t="str">
        <f ca="1">IFERROR(__xludf.DUMMYFUNCTION("GOOGLEFINANCE(""NSE:""&amp;D2613,""EPS"")"),"#N/A")</f>
        <v>#N/A</v>
      </c>
      <c r="Q2613" s="7">
        <v>13.5</v>
      </c>
      <c r="R2613" s="7" t="str">
        <f ca="1">IFERROR(__xludf.DUMMYFUNCTION("IMPORTXML(E2613,""/html/body/main/div[3]/div[3]/div[2]/ul/li[7]/span[2]/span"")"),"Loading...")</f>
        <v>Loading...</v>
      </c>
      <c r="S2613" s="7" t="str">
        <f ca="1">IFERROR(__xludf.DUMMYFUNCTION("IMPORTXML(E2613,""/html/body/main/div[3]/div[3]/div[2]/ul/li[8]/span[2]/span"")"),"Loading...")</f>
        <v>Loading...</v>
      </c>
      <c r="T2613" s="4">
        <v>34.6</v>
      </c>
      <c r="U2613" s="4">
        <v>22.7</v>
      </c>
      <c r="V2613" s="4">
        <v>2.6</v>
      </c>
      <c r="W2613" s="4">
        <v>5.7</v>
      </c>
      <c r="X2613" s="4">
        <v>519.92999999999995</v>
      </c>
      <c r="Y2613" s="7" t="e">
        <f t="shared" ca="1" si="54"/>
        <v>#VALUE!</v>
      </c>
    </row>
    <row r="2614" spans="1:25" ht="15" x14ac:dyDescent="0.25">
      <c r="A2614" s="4">
        <v>2559</v>
      </c>
      <c r="C2614" s="41" t="s">
        <v>4886</v>
      </c>
      <c r="D2614" s="42"/>
      <c r="E2614" s="5" t="str">
        <f t="shared" si="50"/>
        <v>https://www.screener.in/company//consolidated/</v>
      </c>
      <c r="F2614" s="4">
        <v>443059</v>
      </c>
      <c r="G2614" s="4">
        <v>3832241897</v>
      </c>
      <c r="H2614" s="6" t="e">
        <f t="shared" ca="1" si="51"/>
        <v>#VALUE!</v>
      </c>
      <c r="I2614" s="7" t="str">
        <f ca="1">IFERROR(__xludf.DUMMYFUNCTION("IMPORTXML(E2614,""/html/body/main/div[3]/div[3]/div[2]/ul/li[5]/span[2]/span"")"),"Loading...")</f>
        <v>Loading...</v>
      </c>
      <c r="J2614" s="7" t="str">
        <f ca="1">IFERROR(__xludf.DUMMYFUNCTION("GOOGLEFINANCE(""NSE:""&amp;D2614,""marketcap"")"),"#N/A")</f>
        <v>#N/A</v>
      </c>
      <c r="K2614" s="7">
        <v>992.8</v>
      </c>
      <c r="L2614" s="8" t="str">
        <f ca="1">IFERROR(__xludf.DUMMYFUNCTION("GOOGLEFINANCE(""NSE:""&amp;D2614,""price"")"),"#N/A")</f>
        <v>#N/A</v>
      </c>
      <c r="M2614" s="9" t="e">
        <f t="shared" ca="1" si="52"/>
        <v>#VALUE!</v>
      </c>
      <c r="N2614" s="10" t="e">
        <f t="shared" ca="1" si="53"/>
        <v>#VALUE!</v>
      </c>
      <c r="O2614" s="7" t="str">
        <f ca="1">IFERROR(__xludf.DUMMYFUNCTION("GOOGLEFINANCE(""NSE:""&amp;D2614,""pe"")"),"#N/A")</f>
        <v>#N/A</v>
      </c>
      <c r="P2614" s="7" t="str">
        <f ca="1">IFERROR(__xludf.DUMMYFUNCTION("GOOGLEFINANCE(""NSE:""&amp;D2614,""EPS"")"),"#N/A")</f>
        <v>#N/A</v>
      </c>
      <c r="Q2614" s="7">
        <v>13.5</v>
      </c>
      <c r="R2614" s="7" t="str">
        <f ca="1">IFERROR(__xludf.DUMMYFUNCTION("IMPORTXML(E2614,""/html/body/main/div[3]/div[3]/div[2]/ul/li[7]/span[2]/span"")"),"Loading...")</f>
        <v>Loading...</v>
      </c>
      <c r="S2614" s="7" t="str">
        <f ca="1">IFERROR(__xludf.DUMMYFUNCTION("IMPORTXML(E2614,""/html/body/main/div[3]/div[3]/div[2]/ul/li[8]/span[2]/span"")"),"Loading...")</f>
        <v>Loading...</v>
      </c>
      <c r="T2614" s="4">
        <v>34.6</v>
      </c>
      <c r="U2614" s="4">
        <v>22.7</v>
      </c>
      <c r="V2614" s="4">
        <v>2.6</v>
      </c>
      <c r="W2614" s="4">
        <v>5.7</v>
      </c>
      <c r="X2614" s="4">
        <v>519.92999999999995</v>
      </c>
      <c r="Y2614" s="7" t="e">
        <f t="shared" ca="1" si="54"/>
        <v>#VALUE!</v>
      </c>
    </row>
    <row r="2615" spans="1:25" ht="15" x14ac:dyDescent="0.25">
      <c r="A2615" s="4">
        <v>2560</v>
      </c>
      <c r="C2615" s="41" t="s">
        <v>4887</v>
      </c>
      <c r="D2615" s="42"/>
      <c r="E2615" s="5" t="str">
        <f t="shared" si="50"/>
        <v>https://www.screener.in/company//consolidated/</v>
      </c>
      <c r="F2615" s="4">
        <v>443059</v>
      </c>
      <c r="G2615" s="4">
        <v>3832241897</v>
      </c>
      <c r="H2615" s="6" t="e">
        <f t="shared" ca="1" si="51"/>
        <v>#VALUE!</v>
      </c>
      <c r="I2615" s="7" t="str">
        <f ca="1">IFERROR(__xludf.DUMMYFUNCTION("IMPORTXML(E2615,""/html/body/main/div[3]/div[3]/div[2]/ul/li[5]/span[2]/span"")"),"Loading...")</f>
        <v>Loading...</v>
      </c>
      <c r="J2615" s="7" t="str">
        <f ca="1">IFERROR(__xludf.DUMMYFUNCTION("GOOGLEFINANCE(""NSE:""&amp;D2615,""marketcap"")"),"#N/A")</f>
        <v>#N/A</v>
      </c>
      <c r="K2615" s="7">
        <v>992.8</v>
      </c>
      <c r="L2615" s="8" t="str">
        <f ca="1">IFERROR(__xludf.DUMMYFUNCTION("GOOGLEFINANCE(""NSE:""&amp;D2615,""price"")"),"#N/A")</f>
        <v>#N/A</v>
      </c>
      <c r="M2615" s="9" t="e">
        <f t="shared" ca="1" si="52"/>
        <v>#VALUE!</v>
      </c>
      <c r="N2615" s="10" t="e">
        <f t="shared" ca="1" si="53"/>
        <v>#VALUE!</v>
      </c>
      <c r="O2615" s="7" t="str">
        <f ca="1">IFERROR(__xludf.DUMMYFUNCTION("GOOGLEFINANCE(""NSE:""&amp;D2615,""pe"")"),"#N/A")</f>
        <v>#N/A</v>
      </c>
      <c r="P2615" s="7" t="str">
        <f ca="1">IFERROR(__xludf.DUMMYFUNCTION("GOOGLEFINANCE(""NSE:""&amp;D2615,""EPS"")"),"#N/A")</f>
        <v>#N/A</v>
      </c>
      <c r="Q2615" s="7">
        <v>13.5</v>
      </c>
      <c r="R2615" s="7" t="str">
        <f ca="1">IFERROR(__xludf.DUMMYFUNCTION("IMPORTXML(E2615,""/html/body/main/div[3]/div[3]/div[2]/ul/li[7]/span[2]/span"")"),"Loading...")</f>
        <v>Loading...</v>
      </c>
      <c r="S2615" s="7" t="str">
        <f ca="1">IFERROR(__xludf.DUMMYFUNCTION("IMPORTXML(E2615,""/html/body/main/div[3]/div[3]/div[2]/ul/li[8]/span[2]/span"")"),"Loading...")</f>
        <v>Loading...</v>
      </c>
      <c r="T2615" s="4">
        <v>34.6</v>
      </c>
      <c r="U2615" s="4">
        <v>22.7</v>
      </c>
      <c r="V2615" s="4">
        <v>2.6</v>
      </c>
      <c r="W2615" s="4">
        <v>5.7</v>
      </c>
      <c r="X2615" s="4">
        <v>519.92999999999995</v>
      </c>
      <c r="Y2615" s="7" t="e">
        <f t="shared" ca="1" si="54"/>
        <v>#VALUE!</v>
      </c>
    </row>
    <row r="2616" spans="1:25" ht="15" x14ac:dyDescent="0.25">
      <c r="A2616" s="4">
        <v>2561</v>
      </c>
      <c r="C2616" s="41" t="s">
        <v>4888</v>
      </c>
      <c r="D2616" s="42"/>
      <c r="E2616" s="5" t="str">
        <f t="shared" si="50"/>
        <v>https://www.screener.in/company//consolidated/</v>
      </c>
      <c r="F2616" s="4">
        <v>443059</v>
      </c>
      <c r="G2616" s="4">
        <v>3832241897</v>
      </c>
      <c r="H2616" s="6" t="e">
        <f t="shared" ca="1" si="51"/>
        <v>#VALUE!</v>
      </c>
      <c r="I2616" s="7" t="str">
        <f ca="1">IFERROR(__xludf.DUMMYFUNCTION("IMPORTXML(E2616,""/html/body/main/div[3]/div[3]/div[2]/ul/li[5]/span[2]/span"")"),"Loading...")</f>
        <v>Loading...</v>
      </c>
      <c r="J2616" s="7" t="str">
        <f ca="1">IFERROR(__xludf.DUMMYFUNCTION("GOOGLEFINANCE(""NSE:""&amp;D2616,""marketcap"")"),"#N/A")</f>
        <v>#N/A</v>
      </c>
      <c r="K2616" s="7">
        <v>992.8</v>
      </c>
      <c r="L2616" s="8" t="str">
        <f ca="1">IFERROR(__xludf.DUMMYFUNCTION("GOOGLEFINANCE(""NSE:""&amp;D2616,""price"")"),"#N/A")</f>
        <v>#N/A</v>
      </c>
      <c r="M2616" s="9" t="e">
        <f t="shared" ca="1" si="52"/>
        <v>#VALUE!</v>
      </c>
      <c r="N2616" s="10" t="e">
        <f t="shared" ca="1" si="53"/>
        <v>#VALUE!</v>
      </c>
      <c r="O2616" s="7" t="str">
        <f ca="1">IFERROR(__xludf.DUMMYFUNCTION("GOOGLEFINANCE(""NSE:""&amp;D2616,""pe"")"),"#N/A")</f>
        <v>#N/A</v>
      </c>
      <c r="P2616" s="7" t="str">
        <f ca="1">IFERROR(__xludf.DUMMYFUNCTION("GOOGLEFINANCE(""NSE:""&amp;D2616,""EPS"")"),"#N/A")</f>
        <v>#N/A</v>
      </c>
      <c r="Q2616" s="7">
        <v>13.5</v>
      </c>
      <c r="R2616" s="7" t="str">
        <f ca="1">IFERROR(__xludf.DUMMYFUNCTION("IMPORTXML(E2616,""/html/body/main/div[3]/div[3]/div[2]/ul/li[7]/span[2]/span"")"),"Loading...")</f>
        <v>Loading...</v>
      </c>
      <c r="S2616" s="7" t="str">
        <f ca="1">IFERROR(__xludf.DUMMYFUNCTION("IMPORTXML(E2616,""/html/body/main/div[3]/div[3]/div[2]/ul/li[8]/span[2]/span"")"),"Loading...")</f>
        <v>Loading...</v>
      </c>
      <c r="T2616" s="4">
        <v>34.6</v>
      </c>
      <c r="U2616" s="4">
        <v>22.7</v>
      </c>
      <c r="V2616" s="4">
        <v>2.6</v>
      </c>
      <c r="W2616" s="4">
        <v>5.7</v>
      </c>
      <c r="X2616" s="4">
        <v>519.92999999999995</v>
      </c>
      <c r="Y2616" s="7" t="e">
        <f t="shared" ca="1" si="54"/>
        <v>#VALUE!</v>
      </c>
    </row>
    <row r="2617" spans="1:25" ht="15" x14ac:dyDescent="0.25">
      <c r="A2617" s="4">
        <v>2562</v>
      </c>
      <c r="C2617" s="41" t="s">
        <v>4889</v>
      </c>
      <c r="D2617" s="42"/>
      <c r="E2617" s="5" t="str">
        <f t="shared" si="50"/>
        <v>https://www.screener.in/company//consolidated/</v>
      </c>
      <c r="F2617" s="4">
        <v>443059</v>
      </c>
      <c r="G2617" s="4">
        <v>3832241897</v>
      </c>
      <c r="H2617" s="6" t="e">
        <f t="shared" ca="1" si="51"/>
        <v>#VALUE!</v>
      </c>
      <c r="I2617" s="7" t="str">
        <f ca="1">IFERROR(__xludf.DUMMYFUNCTION("IMPORTXML(E2617,""/html/body/main/div[3]/div[3]/div[2]/ul/li[5]/span[2]/span"")"),"Loading...")</f>
        <v>Loading...</v>
      </c>
      <c r="J2617" s="7" t="str">
        <f ca="1">IFERROR(__xludf.DUMMYFUNCTION("GOOGLEFINANCE(""NSE:""&amp;D2617,""marketcap"")"),"#N/A")</f>
        <v>#N/A</v>
      </c>
      <c r="K2617" s="7">
        <v>992.8</v>
      </c>
      <c r="L2617" s="8" t="str">
        <f ca="1">IFERROR(__xludf.DUMMYFUNCTION("GOOGLEFINANCE(""NSE:""&amp;D2617,""price"")"),"#N/A")</f>
        <v>#N/A</v>
      </c>
      <c r="M2617" s="9" t="e">
        <f t="shared" ca="1" si="52"/>
        <v>#VALUE!</v>
      </c>
      <c r="N2617" s="10" t="e">
        <f t="shared" ca="1" si="53"/>
        <v>#VALUE!</v>
      </c>
      <c r="O2617" s="7" t="str">
        <f ca="1">IFERROR(__xludf.DUMMYFUNCTION("GOOGLEFINANCE(""NSE:""&amp;D2617,""pe"")"),"#N/A")</f>
        <v>#N/A</v>
      </c>
      <c r="P2617" s="7" t="str">
        <f ca="1">IFERROR(__xludf.DUMMYFUNCTION("GOOGLEFINANCE(""NSE:""&amp;D2617,""EPS"")"),"#N/A")</f>
        <v>#N/A</v>
      </c>
      <c r="Q2617" s="7">
        <v>13.5</v>
      </c>
      <c r="R2617" s="7" t="str">
        <f ca="1">IFERROR(__xludf.DUMMYFUNCTION("IMPORTXML(E2617,""/html/body/main/div[3]/div[3]/div[2]/ul/li[7]/span[2]/span"")"),"Loading...")</f>
        <v>Loading...</v>
      </c>
      <c r="S2617" s="7" t="str">
        <f ca="1">IFERROR(__xludf.DUMMYFUNCTION("IMPORTXML(E2617,""/html/body/main/div[3]/div[3]/div[2]/ul/li[8]/span[2]/span"")"),"Loading...")</f>
        <v>Loading...</v>
      </c>
      <c r="T2617" s="4">
        <v>34.6</v>
      </c>
      <c r="U2617" s="4">
        <v>22.7</v>
      </c>
      <c r="V2617" s="4">
        <v>2.6</v>
      </c>
      <c r="W2617" s="4">
        <v>5.7</v>
      </c>
      <c r="X2617" s="4">
        <v>519.92999999999995</v>
      </c>
      <c r="Y2617" s="7" t="e">
        <f t="shared" ca="1" si="54"/>
        <v>#VALUE!</v>
      </c>
    </row>
    <row r="2618" spans="1:25" ht="15" x14ac:dyDescent="0.25">
      <c r="A2618" s="4">
        <v>2563</v>
      </c>
      <c r="C2618" s="41" t="s">
        <v>4890</v>
      </c>
      <c r="D2618" s="42"/>
      <c r="E2618" s="5" t="str">
        <f t="shared" si="50"/>
        <v>https://www.screener.in/company//consolidated/</v>
      </c>
      <c r="F2618" s="4">
        <v>443059</v>
      </c>
      <c r="G2618" s="4">
        <v>3832241897</v>
      </c>
      <c r="H2618" s="6" t="e">
        <f t="shared" ca="1" si="51"/>
        <v>#VALUE!</v>
      </c>
      <c r="I2618" s="7" t="str">
        <f ca="1">IFERROR(__xludf.DUMMYFUNCTION("IMPORTXML(E2618,""/html/body/main/div[3]/div[3]/div[2]/ul/li[5]/span[2]/span"")"),"Loading...")</f>
        <v>Loading...</v>
      </c>
      <c r="J2618" s="7" t="str">
        <f ca="1">IFERROR(__xludf.DUMMYFUNCTION("GOOGLEFINANCE(""NSE:""&amp;D2618,""marketcap"")"),"#N/A")</f>
        <v>#N/A</v>
      </c>
      <c r="K2618" s="7">
        <v>992.8</v>
      </c>
      <c r="L2618" s="8" t="str">
        <f ca="1">IFERROR(__xludf.DUMMYFUNCTION("GOOGLEFINANCE(""NSE:""&amp;D2618,""price"")"),"#N/A")</f>
        <v>#N/A</v>
      </c>
      <c r="M2618" s="9" t="e">
        <f t="shared" ca="1" si="52"/>
        <v>#VALUE!</v>
      </c>
      <c r="N2618" s="10" t="e">
        <f t="shared" ca="1" si="53"/>
        <v>#VALUE!</v>
      </c>
      <c r="O2618" s="7" t="str">
        <f ca="1">IFERROR(__xludf.DUMMYFUNCTION("GOOGLEFINANCE(""NSE:""&amp;D2618,""pe"")"),"#N/A")</f>
        <v>#N/A</v>
      </c>
      <c r="P2618" s="7" t="str">
        <f ca="1">IFERROR(__xludf.DUMMYFUNCTION("GOOGLEFINANCE(""NSE:""&amp;D2618,""EPS"")"),"#N/A")</f>
        <v>#N/A</v>
      </c>
      <c r="Q2618" s="7">
        <v>13.5</v>
      </c>
      <c r="R2618" s="7" t="str">
        <f ca="1">IFERROR(__xludf.DUMMYFUNCTION("IMPORTXML(E2618,""/html/body/main/div[3]/div[3]/div[2]/ul/li[7]/span[2]/span"")"),"Loading...")</f>
        <v>Loading...</v>
      </c>
      <c r="S2618" s="7" t="str">
        <f ca="1">IFERROR(__xludf.DUMMYFUNCTION("IMPORTXML(E2618,""/html/body/main/div[3]/div[3]/div[2]/ul/li[8]/span[2]/span"")"),"Loading...")</f>
        <v>Loading...</v>
      </c>
      <c r="T2618" s="4">
        <v>34.6</v>
      </c>
      <c r="U2618" s="4">
        <v>22.7</v>
      </c>
      <c r="V2618" s="4">
        <v>2.6</v>
      </c>
      <c r="W2618" s="4">
        <v>5.7</v>
      </c>
      <c r="X2618" s="4">
        <v>519.92999999999995</v>
      </c>
      <c r="Y2618" s="7" t="e">
        <f t="shared" ca="1" si="54"/>
        <v>#VALUE!</v>
      </c>
    </row>
    <row r="2619" spans="1:25" ht="15" x14ac:dyDescent="0.25">
      <c r="A2619" s="4">
        <v>2565</v>
      </c>
      <c r="C2619" s="41" t="s">
        <v>4891</v>
      </c>
      <c r="D2619" s="42"/>
      <c r="E2619" s="5" t="str">
        <f t="shared" si="50"/>
        <v>https://www.screener.in/company//consolidated/</v>
      </c>
      <c r="F2619" s="4">
        <v>443059</v>
      </c>
      <c r="G2619" s="4">
        <v>3832241897</v>
      </c>
      <c r="H2619" s="6" t="e">
        <f t="shared" ca="1" si="51"/>
        <v>#VALUE!</v>
      </c>
      <c r="I2619" s="7" t="str">
        <f ca="1">IFERROR(__xludf.DUMMYFUNCTION("IMPORTXML(E2619,""/html/body/main/div[3]/div[3]/div[2]/ul/li[5]/span[2]/span"")"),"Loading...")</f>
        <v>Loading...</v>
      </c>
      <c r="J2619" s="7" t="str">
        <f ca="1">IFERROR(__xludf.DUMMYFUNCTION("GOOGLEFINANCE(""NSE:""&amp;D2619,""marketcap"")"),"#N/A")</f>
        <v>#N/A</v>
      </c>
      <c r="K2619" s="7">
        <v>992.8</v>
      </c>
      <c r="L2619" s="8" t="str">
        <f ca="1">IFERROR(__xludf.DUMMYFUNCTION("GOOGLEFINANCE(""NSE:""&amp;D2619,""price"")"),"#N/A")</f>
        <v>#N/A</v>
      </c>
      <c r="M2619" s="9" t="e">
        <f t="shared" ca="1" si="52"/>
        <v>#VALUE!</v>
      </c>
      <c r="N2619" s="10" t="e">
        <f t="shared" ca="1" si="53"/>
        <v>#VALUE!</v>
      </c>
      <c r="O2619" s="7" t="str">
        <f ca="1">IFERROR(__xludf.DUMMYFUNCTION("GOOGLEFINANCE(""NSE:""&amp;D2619,""pe"")"),"#N/A")</f>
        <v>#N/A</v>
      </c>
      <c r="P2619" s="7" t="str">
        <f ca="1">IFERROR(__xludf.DUMMYFUNCTION("GOOGLEFINANCE(""NSE:""&amp;D2619,""EPS"")"),"#N/A")</f>
        <v>#N/A</v>
      </c>
      <c r="Q2619" s="7">
        <v>13.5</v>
      </c>
      <c r="R2619" s="7" t="str">
        <f ca="1">IFERROR(__xludf.DUMMYFUNCTION("IMPORTXML(E2619,""/html/body/main/div[3]/div[3]/div[2]/ul/li[7]/span[2]/span"")"),"Loading...")</f>
        <v>Loading...</v>
      </c>
      <c r="S2619" s="7" t="str">
        <f ca="1">IFERROR(__xludf.DUMMYFUNCTION("IMPORTXML(E2619,""/html/body/main/div[3]/div[3]/div[2]/ul/li[8]/span[2]/span"")"),"Loading...")</f>
        <v>Loading...</v>
      </c>
      <c r="T2619" s="4">
        <v>34.6</v>
      </c>
      <c r="U2619" s="4">
        <v>22.7</v>
      </c>
      <c r="V2619" s="4">
        <v>2.6</v>
      </c>
      <c r="W2619" s="4">
        <v>5.7</v>
      </c>
      <c r="X2619" s="4">
        <v>519.92999999999995</v>
      </c>
      <c r="Y2619" s="7" t="e">
        <f t="shared" ca="1" si="54"/>
        <v>#VALUE!</v>
      </c>
    </row>
    <row r="2620" spans="1:25" ht="15" x14ac:dyDescent="0.25">
      <c r="A2620" s="4">
        <v>2566</v>
      </c>
      <c r="C2620" s="41" t="s">
        <v>4892</v>
      </c>
      <c r="D2620" s="42"/>
      <c r="E2620" s="5" t="str">
        <f t="shared" si="50"/>
        <v>https://www.screener.in/company//consolidated/</v>
      </c>
      <c r="F2620" s="4">
        <v>443059</v>
      </c>
      <c r="G2620" s="4">
        <v>3832241897</v>
      </c>
      <c r="H2620" s="6" t="e">
        <f t="shared" ca="1" si="51"/>
        <v>#VALUE!</v>
      </c>
      <c r="I2620" s="7" t="str">
        <f ca="1">IFERROR(__xludf.DUMMYFUNCTION("IMPORTXML(E2620,""/html/body/main/div[3]/div[3]/div[2]/ul/li[5]/span[2]/span"")"),"Loading...")</f>
        <v>Loading...</v>
      </c>
      <c r="J2620" s="7" t="str">
        <f ca="1">IFERROR(__xludf.DUMMYFUNCTION("GOOGLEFINANCE(""NSE:""&amp;D2620,""marketcap"")"),"#N/A")</f>
        <v>#N/A</v>
      </c>
      <c r="K2620" s="7">
        <v>992.8</v>
      </c>
      <c r="L2620" s="8" t="str">
        <f ca="1">IFERROR(__xludf.DUMMYFUNCTION("GOOGLEFINANCE(""NSE:""&amp;D2620,""price"")"),"#N/A")</f>
        <v>#N/A</v>
      </c>
      <c r="M2620" s="9" t="e">
        <f t="shared" ca="1" si="52"/>
        <v>#VALUE!</v>
      </c>
      <c r="N2620" s="10" t="e">
        <f t="shared" ca="1" si="53"/>
        <v>#VALUE!</v>
      </c>
      <c r="O2620" s="7" t="str">
        <f ca="1">IFERROR(__xludf.DUMMYFUNCTION("GOOGLEFINANCE(""NSE:""&amp;D2620,""pe"")"),"#N/A")</f>
        <v>#N/A</v>
      </c>
      <c r="P2620" s="7" t="str">
        <f ca="1">IFERROR(__xludf.DUMMYFUNCTION("GOOGLEFINANCE(""NSE:""&amp;D2620,""EPS"")"),"#N/A")</f>
        <v>#N/A</v>
      </c>
      <c r="Q2620" s="7">
        <v>13.5</v>
      </c>
      <c r="R2620" s="7" t="str">
        <f ca="1">IFERROR(__xludf.DUMMYFUNCTION("IMPORTXML(E2620,""/html/body/main/div[3]/div[3]/div[2]/ul/li[7]/span[2]/span"")"),"Loading...")</f>
        <v>Loading...</v>
      </c>
      <c r="S2620" s="7" t="str">
        <f ca="1">IFERROR(__xludf.DUMMYFUNCTION("IMPORTXML(E2620,""/html/body/main/div[3]/div[3]/div[2]/ul/li[8]/span[2]/span"")"),"Loading...")</f>
        <v>Loading...</v>
      </c>
      <c r="T2620" s="4">
        <v>34.6</v>
      </c>
      <c r="U2620" s="4">
        <v>22.7</v>
      </c>
      <c r="V2620" s="4">
        <v>2.6</v>
      </c>
      <c r="W2620" s="4">
        <v>5.7</v>
      </c>
      <c r="X2620" s="4">
        <v>519.92999999999995</v>
      </c>
      <c r="Y2620" s="7" t="e">
        <f t="shared" ca="1" si="54"/>
        <v>#VALUE!</v>
      </c>
    </row>
    <row r="2621" spans="1:25" ht="15" x14ac:dyDescent="0.25">
      <c r="A2621" s="4">
        <v>2567</v>
      </c>
      <c r="C2621" s="12" t="s">
        <v>4893</v>
      </c>
      <c r="D2621" s="12" t="s">
        <v>4894</v>
      </c>
      <c r="E2621" s="5" t="str">
        <f t="shared" si="50"/>
        <v>https://www.screener.in/company/HBSL/consolidated/</v>
      </c>
      <c r="F2621" s="4">
        <v>443059</v>
      </c>
      <c r="G2621" s="4">
        <v>3832241897</v>
      </c>
      <c r="H2621" s="6">
        <f t="shared" ca="1" si="51"/>
        <v>29048.393579259999</v>
      </c>
      <c r="I2621" s="7" t="str">
        <f ca="1">IFERROR(__xludf.DUMMYFUNCTION("IMPORTXML(E2621,""/html/body/main/div[3]/div[3]/div[2]/ul/li[5]/span[2]/span"")"),"Loading...")</f>
        <v>Loading...</v>
      </c>
      <c r="J2621" s="7">
        <f ca="1">IFERROR(__xludf.DUMMYFUNCTION("GOOGLEFINANCE(""NSE:""&amp;D2621,""marketcap"")"),559296036)</f>
        <v>559296036</v>
      </c>
      <c r="K2621" s="7">
        <v>992.8</v>
      </c>
      <c r="L2621" s="8">
        <f ca="1">IFERROR(__xludf.DUMMYFUNCTION("GOOGLEFINANCE(""NSE:""&amp;D2621,""price"")"),75.8)</f>
        <v>75.8</v>
      </c>
      <c r="M2621" s="9">
        <f t="shared" ca="1" si="52"/>
        <v>-917</v>
      </c>
      <c r="N2621" s="10">
        <f t="shared" ca="1" si="53"/>
        <v>-92.365028203062053</v>
      </c>
      <c r="O2621" s="7" t="str">
        <f ca="1">IFERROR(__xludf.DUMMYFUNCTION("GOOGLEFINANCE(""NSE:""&amp;D2621,""pe"")"),"#N/A")</f>
        <v>#N/A</v>
      </c>
      <c r="P2621" s="7">
        <f ca="1">IFERROR(__xludf.DUMMYFUNCTION("GOOGLEFINANCE(""NSE:""&amp;D2621,""EPS"")"),-15.39)</f>
        <v>-15.39</v>
      </c>
      <c r="Q2621" s="7">
        <v>13.5</v>
      </c>
      <c r="R2621" s="7" t="str">
        <f ca="1">IFERROR(__xludf.DUMMYFUNCTION("IMPORTXML(E2621,""/html/body/main/div[3]/div[3]/div[2]/ul/li[7]/span[2]/span"")"),"Loading...")</f>
        <v>Loading...</v>
      </c>
      <c r="S2621" s="7" t="str">
        <f ca="1">IFERROR(__xludf.DUMMYFUNCTION("IMPORTXML(E2621,""/html/body/main/div[3]/div[3]/div[2]/ul/li[8]/span[2]/span"")"),"Loading...")</f>
        <v>Loading...</v>
      </c>
      <c r="T2621" s="4">
        <v>34.6</v>
      </c>
      <c r="U2621" s="4">
        <v>22.7</v>
      </c>
      <c r="V2621" s="4">
        <v>2.6</v>
      </c>
      <c r="W2621" s="4">
        <v>5.7</v>
      </c>
      <c r="X2621" s="4">
        <v>519.92999999999995</v>
      </c>
      <c r="Y2621" s="7">
        <f t="shared" ca="1" si="54"/>
        <v>-444.12999999999994</v>
      </c>
    </row>
    <row r="2622" spans="1:25" ht="15" x14ac:dyDescent="0.25">
      <c r="A2622" s="4">
        <v>2568</v>
      </c>
      <c r="C2622" s="12" t="s">
        <v>4895</v>
      </c>
      <c r="D2622" s="12" t="s">
        <v>4896</v>
      </c>
      <c r="E2622" s="5" t="str">
        <f t="shared" si="50"/>
        <v>https://www.screener.in/company/MADHUCON/consolidated/</v>
      </c>
      <c r="F2622" s="4">
        <v>443059</v>
      </c>
      <c r="G2622" s="4">
        <v>3832241897</v>
      </c>
      <c r="H2622" s="6">
        <f t="shared" ca="1" si="51"/>
        <v>2460.2992978739999</v>
      </c>
      <c r="I2622" s="7" t="str">
        <f ca="1">IFERROR(__xludf.DUMMYFUNCTION("IMPORTXML(E2622,""/html/body/main/div[3]/div[3]/div[2]/ul/li[5]/span[2]/span"")"),"Loading...")</f>
        <v>Loading...</v>
      </c>
      <c r="J2622" s="7">
        <f ca="1">IFERROR(__xludf.DUMMYFUNCTION("GOOGLEFINANCE(""NSE:""&amp;D2622,""marketcap"")"),466384000)</f>
        <v>466384000</v>
      </c>
      <c r="K2622" s="7">
        <v>992.8</v>
      </c>
      <c r="L2622" s="8">
        <f ca="1">IFERROR(__xludf.DUMMYFUNCTION("GOOGLEFINANCE(""NSE:""&amp;D2622,""price"")"),6.42)</f>
        <v>6.42</v>
      </c>
      <c r="M2622" s="9">
        <f t="shared" ca="1" si="52"/>
        <v>-986.38</v>
      </c>
      <c r="N2622" s="10">
        <f t="shared" ca="1" si="53"/>
        <v>-99.353344077356979</v>
      </c>
      <c r="O2622" s="7" t="str">
        <f ca="1">IFERROR(__xludf.DUMMYFUNCTION("GOOGLEFINANCE(""NSE:""&amp;D2622,""pe"")"),"#N/A")</f>
        <v>#N/A</v>
      </c>
      <c r="P2622" s="7">
        <f ca="1">IFERROR(__xludf.DUMMYFUNCTION("GOOGLEFINANCE(""NSE:""&amp;D2622,""EPS"")"),-79.07)</f>
        <v>-79.069999999999993</v>
      </c>
      <c r="Q2622" s="7">
        <v>13.5</v>
      </c>
      <c r="R2622" s="7" t="str">
        <f ca="1">IFERROR(__xludf.DUMMYFUNCTION("IMPORTXML(E2622,""/html/body/main/div[3]/div[3]/div[2]/ul/li[7]/span[2]/span"")"),"Loading...")</f>
        <v>Loading...</v>
      </c>
      <c r="S2622" s="7" t="str">
        <f ca="1">IFERROR(__xludf.DUMMYFUNCTION("IMPORTXML(E2622,""/html/body/main/div[3]/div[3]/div[2]/ul/li[8]/span[2]/span"")"),"Loading...")</f>
        <v>Loading...</v>
      </c>
      <c r="T2622" s="4">
        <v>34.6</v>
      </c>
      <c r="U2622" s="4">
        <v>22.7</v>
      </c>
      <c r="V2622" s="4">
        <v>2.6</v>
      </c>
      <c r="W2622" s="4">
        <v>5.7</v>
      </c>
      <c r="X2622" s="4">
        <v>519.92999999999995</v>
      </c>
      <c r="Y2622" s="7">
        <f t="shared" ca="1" si="54"/>
        <v>-513.51</v>
      </c>
    </row>
    <row r="2623" spans="1:25" ht="15" x14ac:dyDescent="0.25">
      <c r="A2623" s="4">
        <v>2569</v>
      </c>
      <c r="C2623" s="41" t="s">
        <v>4897</v>
      </c>
      <c r="D2623" s="42"/>
      <c r="E2623" s="5" t="str">
        <f t="shared" si="50"/>
        <v>https://www.screener.in/company//consolidated/</v>
      </c>
      <c r="F2623" s="4">
        <v>443059</v>
      </c>
      <c r="G2623" s="4">
        <v>3832241897</v>
      </c>
      <c r="H2623" s="6" t="e">
        <f t="shared" ca="1" si="51"/>
        <v>#VALUE!</v>
      </c>
      <c r="I2623" s="7" t="str">
        <f ca="1">IFERROR(__xludf.DUMMYFUNCTION("IMPORTXML(E2623,""/html/body/main/div[3]/div[3]/div[2]/ul/li[5]/span[2]/span"")"),"Loading...")</f>
        <v>Loading...</v>
      </c>
      <c r="J2623" s="7" t="str">
        <f ca="1">IFERROR(__xludf.DUMMYFUNCTION("GOOGLEFINANCE(""NSE:""&amp;D2623,""marketcap"")"),"#N/A")</f>
        <v>#N/A</v>
      </c>
      <c r="K2623" s="7">
        <v>992.8</v>
      </c>
      <c r="L2623" s="8" t="str">
        <f ca="1">IFERROR(__xludf.DUMMYFUNCTION("GOOGLEFINANCE(""NSE:""&amp;D2623,""price"")"),"#N/A")</f>
        <v>#N/A</v>
      </c>
      <c r="M2623" s="9" t="e">
        <f t="shared" ca="1" si="52"/>
        <v>#VALUE!</v>
      </c>
      <c r="N2623" s="10" t="e">
        <f t="shared" ca="1" si="53"/>
        <v>#VALUE!</v>
      </c>
      <c r="O2623" s="7" t="str">
        <f ca="1">IFERROR(__xludf.DUMMYFUNCTION("GOOGLEFINANCE(""NSE:""&amp;D2623,""pe"")"),"#N/A")</f>
        <v>#N/A</v>
      </c>
      <c r="P2623" s="7" t="str">
        <f ca="1">IFERROR(__xludf.DUMMYFUNCTION("GOOGLEFINANCE(""NSE:""&amp;D2623,""EPS"")"),"#N/A")</f>
        <v>#N/A</v>
      </c>
      <c r="Q2623" s="7">
        <v>13.5</v>
      </c>
      <c r="R2623" s="7" t="str">
        <f ca="1">IFERROR(__xludf.DUMMYFUNCTION("IMPORTXML(E2623,""/html/body/main/div[3]/div[3]/div[2]/ul/li[7]/span[2]/span"")"),"Loading...")</f>
        <v>Loading...</v>
      </c>
      <c r="S2623" s="7" t="str">
        <f ca="1">IFERROR(__xludf.DUMMYFUNCTION("IMPORTXML(E2623,""/html/body/main/div[3]/div[3]/div[2]/ul/li[8]/span[2]/span"")"),"Loading...")</f>
        <v>Loading...</v>
      </c>
      <c r="T2623" s="4">
        <v>34.6</v>
      </c>
      <c r="U2623" s="4">
        <v>22.7</v>
      </c>
      <c r="V2623" s="4">
        <v>2.6</v>
      </c>
      <c r="W2623" s="4">
        <v>5.7</v>
      </c>
      <c r="X2623" s="4">
        <v>519.92999999999995</v>
      </c>
      <c r="Y2623" s="7" t="e">
        <f t="shared" ca="1" si="54"/>
        <v>#VALUE!</v>
      </c>
    </row>
    <row r="2624" spans="1:25" ht="15" x14ac:dyDescent="0.25">
      <c r="A2624" s="4">
        <v>2570</v>
      </c>
      <c r="C2624" s="41" t="s">
        <v>4898</v>
      </c>
      <c r="D2624" s="42"/>
      <c r="E2624" s="5" t="str">
        <f t="shared" si="50"/>
        <v>https://www.screener.in/company//consolidated/</v>
      </c>
      <c r="F2624" s="4">
        <v>443059</v>
      </c>
      <c r="G2624" s="4">
        <v>3832241897</v>
      </c>
      <c r="H2624" s="6" t="e">
        <f t="shared" ca="1" si="51"/>
        <v>#VALUE!</v>
      </c>
      <c r="I2624" s="7" t="str">
        <f ca="1">IFERROR(__xludf.DUMMYFUNCTION("IMPORTXML(E2624,""/html/body/main/div[3]/div[3]/div[2]/ul/li[5]/span[2]/span"")"),"Loading...")</f>
        <v>Loading...</v>
      </c>
      <c r="J2624" s="7" t="str">
        <f ca="1">IFERROR(__xludf.DUMMYFUNCTION("GOOGLEFINANCE(""NSE:""&amp;D2624,""marketcap"")"),"#N/A")</f>
        <v>#N/A</v>
      </c>
      <c r="K2624" s="7">
        <v>992.8</v>
      </c>
      <c r="L2624" s="8" t="str">
        <f ca="1">IFERROR(__xludf.DUMMYFUNCTION("GOOGLEFINANCE(""NSE:""&amp;D2624,""price"")"),"#N/A")</f>
        <v>#N/A</v>
      </c>
      <c r="M2624" s="9" t="e">
        <f t="shared" ca="1" si="52"/>
        <v>#VALUE!</v>
      </c>
      <c r="N2624" s="10" t="e">
        <f t="shared" ca="1" si="53"/>
        <v>#VALUE!</v>
      </c>
      <c r="O2624" s="7" t="str">
        <f ca="1">IFERROR(__xludf.DUMMYFUNCTION("GOOGLEFINANCE(""NSE:""&amp;D2624,""pe"")"),"#N/A")</f>
        <v>#N/A</v>
      </c>
      <c r="P2624" s="7" t="str">
        <f ca="1">IFERROR(__xludf.DUMMYFUNCTION("GOOGLEFINANCE(""NSE:""&amp;D2624,""EPS"")"),"#N/A")</f>
        <v>#N/A</v>
      </c>
      <c r="Q2624" s="7">
        <v>13.5</v>
      </c>
      <c r="R2624" s="7" t="str">
        <f ca="1">IFERROR(__xludf.DUMMYFUNCTION("IMPORTXML(E2624,""/html/body/main/div[3]/div[3]/div[2]/ul/li[7]/span[2]/span"")"),"Loading...")</f>
        <v>Loading...</v>
      </c>
      <c r="S2624" s="7" t="str">
        <f ca="1">IFERROR(__xludf.DUMMYFUNCTION("IMPORTXML(E2624,""/html/body/main/div[3]/div[3]/div[2]/ul/li[8]/span[2]/span"")"),"Loading...")</f>
        <v>Loading...</v>
      </c>
      <c r="T2624" s="4">
        <v>34.6</v>
      </c>
      <c r="U2624" s="4">
        <v>22.7</v>
      </c>
      <c r="V2624" s="4">
        <v>2.6</v>
      </c>
      <c r="W2624" s="4">
        <v>5.7</v>
      </c>
      <c r="X2624" s="4">
        <v>519.92999999999995</v>
      </c>
      <c r="Y2624" s="7" t="e">
        <f t="shared" ca="1" si="54"/>
        <v>#VALUE!</v>
      </c>
    </row>
    <row r="2625" spans="1:25" ht="15" x14ac:dyDescent="0.25">
      <c r="A2625" s="4">
        <v>2571</v>
      </c>
      <c r="C2625" s="41" t="s">
        <v>4899</v>
      </c>
      <c r="D2625" s="42"/>
      <c r="E2625" s="5" t="str">
        <f t="shared" si="50"/>
        <v>https://www.screener.in/company//consolidated/</v>
      </c>
      <c r="F2625" s="4">
        <v>443059</v>
      </c>
      <c r="G2625" s="4">
        <v>3832241897</v>
      </c>
      <c r="H2625" s="6" t="e">
        <f t="shared" ca="1" si="51"/>
        <v>#VALUE!</v>
      </c>
      <c r="I2625" s="7" t="str">
        <f ca="1">IFERROR(__xludf.DUMMYFUNCTION("IMPORTXML(E2625,""/html/body/main/div[3]/div[3]/div[2]/ul/li[5]/span[2]/span"")"),"Loading...")</f>
        <v>Loading...</v>
      </c>
      <c r="J2625" s="7" t="str">
        <f ca="1">IFERROR(__xludf.DUMMYFUNCTION("GOOGLEFINANCE(""NSE:""&amp;D2625,""marketcap"")"),"#N/A")</f>
        <v>#N/A</v>
      </c>
      <c r="K2625" s="7">
        <v>992.8</v>
      </c>
      <c r="L2625" s="8" t="str">
        <f ca="1">IFERROR(__xludf.DUMMYFUNCTION("GOOGLEFINANCE(""NSE:""&amp;D2625,""price"")"),"#N/A")</f>
        <v>#N/A</v>
      </c>
      <c r="M2625" s="9" t="e">
        <f t="shared" ca="1" si="52"/>
        <v>#VALUE!</v>
      </c>
      <c r="N2625" s="10" t="e">
        <f t="shared" ca="1" si="53"/>
        <v>#VALUE!</v>
      </c>
      <c r="O2625" s="7" t="str">
        <f ca="1">IFERROR(__xludf.DUMMYFUNCTION("GOOGLEFINANCE(""NSE:""&amp;D2625,""pe"")"),"#N/A")</f>
        <v>#N/A</v>
      </c>
      <c r="P2625" s="7" t="str">
        <f ca="1">IFERROR(__xludf.DUMMYFUNCTION("GOOGLEFINANCE(""NSE:""&amp;D2625,""EPS"")"),"#N/A")</f>
        <v>#N/A</v>
      </c>
      <c r="Q2625" s="7">
        <v>13.5</v>
      </c>
      <c r="R2625" s="7" t="str">
        <f ca="1">IFERROR(__xludf.DUMMYFUNCTION("IMPORTXML(E2625,""/html/body/main/div[3]/div[3]/div[2]/ul/li[7]/span[2]/span"")"),"Loading...")</f>
        <v>Loading...</v>
      </c>
      <c r="S2625" s="7" t="str">
        <f ca="1">IFERROR(__xludf.DUMMYFUNCTION("IMPORTXML(E2625,""/html/body/main/div[3]/div[3]/div[2]/ul/li[8]/span[2]/span"")"),"Loading...")</f>
        <v>Loading...</v>
      </c>
      <c r="T2625" s="4">
        <v>34.6</v>
      </c>
      <c r="U2625" s="4">
        <v>22.7</v>
      </c>
      <c r="V2625" s="4">
        <v>2.6</v>
      </c>
      <c r="W2625" s="4">
        <v>5.7</v>
      </c>
      <c r="X2625" s="4">
        <v>519.92999999999995</v>
      </c>
      <c r="Y2625" s="7" t="e">
        <f t="shared" ca="1" si="54"/>
        <v>#VALUE!</v>
      </c>
    </row>
    <row r="2626" spans="1:25" ht="15" x14ac:dyDescent="0.25">
      <c r="A2626" s="4">
        <v>2574</v>
      </c>
      <c r="C2626" s="41" t="s">
        <v>4900</v>
      </c>
      <c r="D2626" s="42"/>
      <c r="E2626" s="5" t="str">
        <f t="shared" si="50"/>
        <v>https://www.screener.in/company//consolidated/</v>
      </c>
      <c r="F2626" s="4">
        <v>443059</v>
      </c>
      <c r="G2626" s="4">
        <v>3832241897</v>
      </c>
      <c r="H2626" s="6" t="e">
        <f t="shared" ca="1" si="51"/>
        <v>#VALUE!</v>
      </c>
      <c r="I2626" s="7" t="str">
        <f ca="1">IFERROR(__xludf.DUMMYFUNCTION("IMPORTXML(E2626,""/html/body/main/div[3]/div[3]/div[2]/ul/li[5]/span[2]/span"")"),"Loading...")</f>
        <v>Loading...</v>
      </c>
      <c r="J2626" s="7" t="str">
        <f ca="1">IFERROR(__xludf.DUMMYFUNCTION("GOOGLEFINANCE(""NSE:""&amp;D2626,""marketcap"")"),"#N/A")</f>
        <v>#N/A</v>
      </c>
      <c r="K2626" s="7">
        <v>992.8</v>
      </c>
      <c r="L2626" s="8" t="str">
        <f ca="1">IFERROR(__xludf.DUMMYFUNCTION("GOOGLEFINANCE(""NSE:""&amp;D2626,""price"")"),"#N/A")</f>
        <v>#N/A</v>
      </c>
      <c r="M2626" s="9" t="e">
        <f t="shared" ca="1" si="52"/>
        <v>#VALUE!</v>
      </c>
      <c r="N2626" s="10" t="e">
        <f t="shared" ca="1" si="53"/>
        <v>#VALUE!</v>
      </c>
      <c r="O2626" s="7" t="str">
        <f ca="1">IFERROR(__xludf.DUMMYFUNCTION("GOOGLEFINANCE(""NSE:""&amp;D2626,""pe"")"),"#N/A")</f>
        <v>#N/A</v>
      </c>
      <c r="P2626" s="7" t="str">
        <f ca="1">IFERROR(__xludf.DUMMYFUNCTION("GOOGLEFINANCE(""NSE:""&amp;D2626,""EPS"")"),"#N/A")</f>
        <v>#N/A</v>
      </c>
      <c r="Q2626" s="7">
        <v>13.5</v>
      </c>
      <c r="R2626" s="7" t="str">
        <f ca="1">IFERROR(__xludf.DUMMYFUNCTION("IMPORTXML(E2626,""/html/body/main/div[3]/div[3]/div[2]/ul/li[7]/span[2]/span"")"),"Loading...")</f>
        <v>Loading...</v>
      </c>
      <c r="S2626" s="7" t="str">
        <f ca="1">IFERROR(__xludf.DUMMYFUNCTION("IMPORTXML(E2626,""/html/body/main/div[3]/div[3]/div[2]/ul/li[8]/span[2]/span"")"),"Loading...")</f>
        <v>Loading...</v>
      </c>
      <c r="T2626" s="4">
        <v>34.6</v>
      </c>
      <c r="U2626" s="4">
        <v>22.7</v>
      </c>
      <c r="V2626" s="4">
        <v>2.6</v>
      </c>
      <c r="W2626" s="4">
        <v>5.7</v>
      </c>
      <c r="X2626" s="4">
        <v>519.92999999999995</v>
      </c>
      <c r="Y2626" s="7" t="e">
        <f t="shared" ca="1" si="54"/>
        <v>#VALUE!</v>
      </c>
    </row>
    <row r="2627" spans="1:25" ht="15" x14ac:dyDescent="0.25">
      <c r="A2627" s="4">
        <v>2575</v>
      </c>
      <c r="C2627" s="41" t="s">
        <v>4901</v>
      </c>
      <c r="D2627" s="42"/>
      <c r="E2627" s="5" t="str">
        <f t="shared" si="50"/>
        <v>https://www.screener.in/company//consolidated/</v>
      </c>
      <c r="F2627" s="4">
        <v>443059</v>
      </c>
      <c r="G2627" s="4">
        <v>3832241897</v>
      </c>
      <c r="H2627" s="6" t="e">
        <f t="shared" ca="1" si="51"/>
        <v>#VALUE!</v>
      </c>
      <c r="I2627" s="7" t="str">
        <f ca="1">IFERROR(__xludf.DUMMYFUNCTION("IMPORTXML(E2627,""/html/body/main/div[3]/div[3]/div[2]/ul/li[5]/span[2]/span"")"),"Loading...")</f>
        <v>Loading...</v>
      </c>
      <c r="J2627" s="7" t="str">
        <f ca="1">IFERROR(__xludf.DUMMYFUNCTION("GOOGLEFINANCE(""NSE:""&amp;D2627,""marketcap"")"),"#N/A")</f>
        <v>#N/A</v>
      </c>
      <c r="K2627" s="7">
        <v>992.8</v>
      </c>
      <c r="L2627" s="8" t="str">
        <f ca="1">IFERROR(__xludf.DUMMYFUNCTION("GOOGLEFINANCE(""NSE:""&amp;D2627,""price"")"),"#N/A")</f>
        <v>#N/A</v>
      </c>
      <c r="M2627" s="9" t="e">
        <f t="shared" ca="1" si="52"/>
        <v>#VALUE!</v>
      </c>
      <c r="N2627" s="10" t="e">
        <f t="shared" ca="1" si="53"/>
        <v>#VALUE!</v>
      </c>
      <c r="O2627" s="7" t="str">
        <f ca="1">IFERROR(__xludf.DUMMYFUNCTION("GOOGLEFINANCE(""NSE:""&amp;D2627,""pe"")"),"#N/A")</f>
        <v>#N/A</v>
      </c>
      <c r="P2627" s="7" t="str">
        <f ca="1">IFERROR(__xludf.DUMMYFUNCTION("GOOGLEFINANCE(""NSE:""&amp;D2627,""EPS"")"),"#N/A")</f>
        <v>#N/A</v>
      </c>
      <c r="Q2627" s="7">
        <v>13.5</v>
      </c>
      <c r="R2627" s="7" t="str">
        <f ca="1">IFERROR(__xludf.DUMMYFUNCTION("IMPORTXML(E2627,""/html/body/main/div[3]/div[3]/div[2]/ul/li[7]/span[2]/span"")"),"Loading...")</f>
        <v>Loading...</v>
      </c>
      <c r="S2627" s="7" t="str">
        <f ca="1">IFERROR(__xludf.DUMMYFUNCTION("IMPORTXML(E2627,""/html/body/main/div[3]/div[3]/div[2]/ul/li[8]/span[2]/span"")"),"Loading...")</f>
        <v>Loading...</v>
      </c>
      <c r="T2627" s="4">
        <v>34.6</v>
      </c>
      <c r="U2627" s="4">
        <v>22.7</v>
      </c>
      <c r="V2627" s="4">
        <v>2.6</v>
      </c>
      <c r="W2627" s="4">
        <v>5.7</v>
      </c>
      <c r="X2627" s="4">
        <v>519.92999999999995</v>
      </c>
      <c r="Y2627" s="7" t="e">
        <f t="shared" ca="1" si="54"/>
        <v>#VALUE!</v>
      </c>
    </row>
    <row r="2628" spans="1:25" ht="15" x14ac:dyDescent="0.25">
      <c r="A2628" s="4">
        <v>2576</v>
      </c>
      <c r="C2628" s="41" t="s">
        <v>4902</v>
      </c>
      <c r="D2628" s="42"/>
      <c r="E2628" s="5" t="str">
        <f t="shared" si="50"/>
        <v>https://www.screener.in/company//consolidated/</v>
      </c>
      <c r="F2628" s="4">
        <v>443059</v>
      </c>
      <c r="G2628" s="4">
        <v>3832241897</v>
      </c>
      <c r="H2628" s="6" t="e">
        <f t="shared" ca="1" si="51"/>
        <v>#VALUE!</v>
      </c>
      <c r="I2628" s="7" t="str">
        <f ca="1">IFERROR(__xludf.DUMMYFUNCTION("IMPORTXML(E2628,""/html/body/main/div[3]/div[3]/div[2]/ul/li[5]/span[2]/span"")"),"Loading...")</f>
        <v>Loading...</v>
      </c>
      <c r="J2628" s="7" t="str">
        <f ca="1">IFERROR(__xludf.DUMMYFUNCTION("GOOGLEFINANCE(""NSE:""&amp;D2628,""marketcap"")"),"#N/A")</f>
        <v>#N/A</v>
      </c>
      <c r="K2628" s="7">
        <v>992.8</v>
      </c>
      <c r="L2628" s="8" t="str">
        <f ca="1">IFERROR(__xludf.DUMMYFUNCTION("GOOGLEFINANCE(""NSE:""&amp;D2628,""price"")"),"#N/A")</f>
        <v>#N/A</v>
      </c>
      <c r="M2628" s="9" t="e">
        <f t="shared" ca="1" si="52"/>
        <v>#VALUE!</v>
      </c>
      <c r="N2628" s="10" t="e">
        <f t="shared" ca="1" si="53"/>
        <v>#VALUE!</v>
      </c>
      <c r="O2628" s="7" t="str">
        <f ca="1">IFERROR(__xludf.DUMMYFUNCTION("GOOGLEFINANCE(""NSE:""&amp;D2628,""pe"")"),"#N/A")</f>
        <v>#N/A</v>
      </c>
      <c r="P2628" s="7" t="str">
        <f ca="1">IFERROR(__xludf.DUMMYFUNCTION("GOOGLEFINANCE(""NSE:""&amp;D2628,""EPS"")"),"#N/A")</f>
        <v>#N/A</v>
      </c>
      <c r="Q2628" s="7">
        <v>13.5</v>
      </c>
      <c r="R2628" s="7" t="str">
        <f ca="1">IFERROR(__xludf.DUMMYFUNCTION("IMPORTXML(E2628,""/html/body/main/div[3]/div[3]/div[2]/ul/li[7]/span[2]/span"")"),"Loading...")</f>
        <v>Loading...</v>
      </c>
      <c r="S2628" s="7" t="str">
        <f ca="1">IFERROR(__xludf.DUMMYFUNCTION("IMPORTXML(E2628,""/html/body/main/div[3]/div[3]/div[2]/ul/li[8]/span[2]/span"")"),"Loading...")</f>
        <v>Loading...</v>
      </c>
      <c r="T2628" s="4">
        <v>34.6</v>
      </c>
      <c r="U2628" s="4">
        <v>22.7</v>
      </c>
      <c r="V2628" s="4">
        <v>2.6</v>
      </c>
      <c r="W2628" s="4">
        <v>5.7</v>
      </c>
      <c r="X2628" s="4">
        <v>519.92999999999995</v>
      </c>
      <c r="Y2628" s="7" t="e">
        <f t="shared" ca="1" si="54"/>
        <v>#VALUE!</v>
      </c>
    </row>
    <row r="2629" spans="1:25" ht="15" x14ac:dyDescent="0.25">
      <c r="A2629" s="4">
        <v>2577</v>
      </c>
      <c r="C2629" s="41" t="s">
        <v>4903</v>
      </c>
      <c r="D2629" s="42"/>
      <c r="E2629" s="5" t="str">
        <f t="shared" si="50"/>
        <v>https://www.screener.in/company//consolidated/</v>
      </c>
      <c r="F2629" s="4">
        <v>443059</v>
      </c>
      <c r="G2629" s="4">
        <v>3832241897</v>
      </c>
      <c r="H2629" s="6" t="e">
        <f t="shared" ca="1" si="51"/>
        <v>#VALUE!</v>
      </c>
      <c r="I2629" s="7" t="str">
        <f ca="1">IFERROR(__xludf.DUMMYFUNCTION("IMPORTXML(E2629,""/html/body/main/div[3]/div[3]/div[2]/ul/li[5]/span[2]/span"")"),"Loading...")</f>
        <v>Loading...</v>
      </c>
      <c r="J2629" s="7" t="str">
        <f ca="1">IFERROR(__xludf.DUMMYFUNCTION("GOOGLEFINANCE(""NSE:""&amp;D2629,""marketcap"")"),"#N/A")</f>
        <v>#N/A</v>
      </c>
      <c r="K2629" s="7">
        <v>992.8</v>
      </c>
      <c r="L2629" s="8" t="str">
        <f ca="1">IFERROR(__xludf.DUMMYFUNCTION("GOOGLEFINANCE(""NSE:""&amp;D2629,""price"")"),"#N/A")</f>
        <v>#N/A</v>
      </c>
      <c r="M2629" s="9" t="e">
        <f t="shared" ca="1" si="52"/>
        <v>#VALUE!</v>
      </c>
      <c r="N2629" s="10" t="e">
        <f t="shared" ca="1" si="53"/>
        <v>#VALUE!</v>
      </c>
      <c r="O2629" s="7" t="str">
        <f ca="1">IFERROR(__xludf.DUMMYFUNCTION("GOOGLEFINANCE(""NSE:""&amp;D2629,""pe"")"),"#N/A")</f>
        <v>#N/A</v>
      </c>
      <c r="P2629" s="7" t="str">
        <f ca="1">IFERROR(__xludf.DUMMYFUNCTION("GOOGLEFINANCE(""NSE:""&amp;D2629,""EPS"")"),"#N/A")</f>
        <v>#N/A</v>
      </c>
      <c r="Q2629" s="7">
        <v>13.5</v>
      </c>
      <c r="R2629" s="7" t="str">
        <f ca="1">IFERROR(__xludf.DUMMYFUNCTION("IMPORTXML(E2629,""/html/body/main/div[3]/div[3]/div[2]/ul/li[7]/span[2]/span"")"),"Loading...")</f>
        <v>Loading...</v>
      </c>
      <c r="S2629" s="7" t="str">
        <f ca="1">IFERROR(__xludf.DUMMYFUNCTION("IMPORTXML(E2629,""/html/body/main/div[3]/div[3]/div[2]/ul/li[8]/span[2]/span"")"),"Loading...")</f>
        <v>Loading...</v>
      </c>
      <c r="T2629" s="4">
        <v>34.6</v>
      </c>
      <c r="U2629" s="4">
        <v>22.7</v>
      </c>
      <c r="V2629" s="4">
        <v>2.6</v>
      </c>
      <c r="W2629" s="4">
        <v>5.7</v>
      </c>
      <c r="X2629" s="4">
        <v>519.92999999999995</v>
      </c>
      <c r="Y2629" s="7" t="e">
        <f t="shared" ca="1" si="54"/>
        <v>#VALUE!</v>
      </c>
    </row>
    <row r="2630" spans="1:25" ht="15" x14ac:dyDescent="0.25">
      <c r="A2630" s="4">
        <v>2578</v>
      </c>
      <c r="C2630" s="41" t="s">
        <v>4904</v>
      </c>
      <c r="D2630" s="42"/>
      <c r="E2630" s="5" t="str">
        <f t="shared" si="50"/>
        <v>https://www.screener.in/company//consolidated/</v>
      </c>
      <c r="F2630" s="4">
        <v>443059</v>
      </c>
      <c r="G2630" s="4">
        <v>3832241897</v>
      </c>
      <c r="H2630" s="6" t="e">
        <f t="shared" ca="1" si="51"/>
        <v>#VALUE!</v>
      </c>
      <c r="I2630" s="7" t="str">
        <f ca="1">IFERROR(__xludf.DUMMYFUNCTION("IMPORTXML(E2630,""/html/body/main/div[3]/div[3]/div[2]/ul/li[5]/span[2]/span"")"),"Loading...")</f>
        <v>Loading...</v>
      </c>
      <c r="J2630" s="7" t="str">
        <f ca="1">IFERROR(__xludf.DUMMYFUNCTION("GOOGLEFINANCE(""NSE:""&amp;D2630,""marketcap"")"),"#N/A")</f>
        <v>#N/A</v>
      </c>
      <c r="K2630" s="7">
        <v>992.8</v>
      </c>
      <c r="L2630" s="8" t="str">
        <f ca="1">IFERROR(__xludf.DUMMYFUNCTION("GOOGLEFINANCE(""NSE:""&amp;D2630,""price"")"),"#N/A")</f>
        <v>#N/A</v>
      </c>
      <c r="M2630" s="9" t="e">
        <f t="shared" ca="1" si="52"/>
        <v>#VALUE!</v>
      </c>
      <c r="N2630" s="10" t="e">
        <f t="shared" ca="1" si="53"/>
        <v>#VALUE!</v>
      </c>
      <c r="O2630" s="7" t="str">
        <f ca="1">IFERROR(__xludf.DUMMYFUNCTION("GOOGLEFINANCE(""NSE:""&amp;D2630,""pe"")"),"#N/A")</f>
        <v>#N/A</v>
      </c>
      <c r="P2630" s="7" t="str">
        <f ca="1">IFERROR(__xludf.DUMMYFUNCTION("GOOGLEFINANCE(""NSE:""&amp;D2630,""EPS"")"),"#N/A")</f>
        <v>#N/A</v>
      </c>
      <c r="Q2630" s="7">
        <v>13.5</v>
      </c>
      <c r="R2630" s="7" t="str">
        <f ca="1">IFERROR(__xludf.DUMMYFUNCTION("IMPORTXML(E2630,""/html/body/main/div[3]/div[3]/div[2]/ul/li[7]/span[2]/span"")"),"Loading...")</f>
        <v>Loading...</v>
      </c>
      <c r="S2630" s="7" t="str">
        <f ca="1">IFERROR(__xludf.DUMMYFUNCTION("IMPORTXML(E2630,""/html/body/main/div[3]/div[3]/div[2]/ul/li[8]/span[2]/span"")"),"Loading...")</f>
        <v>Loading...</v>
      </c>
      <c r="T2630" s="4">
        <v>34.6</v>
      </c>
      <c r="U2630" s="4">
        <v>22.7</v>
      </c>
      <c r="V2630" s="4">
        <v>2.6</v>
      </c>
      <c r="W2630" s="4">
        <v>5.7</v>
      </c>
      <c r="X2630" s="4">
        <v>519.92999999999995</v>
      </c>
      <c r="Y2630" s="7" t="e">
        <f t="shared" ca="1" si="54"/>
        <v>#VALUE!</v>
      </c>
    </row>
    <row r="2631" spans="1:25" ht="15" x14ac:dyDescent="0.25">
      <c r="A2631" s="4">
        <v>2579</v>
      </c>
      <c r="C2631" s="41" t="s">
        <v>4905</v>
      </c>
      <c r="D2631" s="42"/>
      <c r="E2631" s="5" t="str">
        <f t="shared" si="50"/>
        <v>https://www.screener.in/company//consolidated/</v>
      </c>
      <c r="F2631" s="4">
        <v>443059</v>
      </c>
      <c r="G2631" s="4">
        <v>3832241897</v>
      </c>
      <c r="H2631" s="6" t="e">
        <f t="shared" ca="1" si="51"/>
        <v>#VALUE!</v>
      </c>
      <c r="I2631" s="7" t="str">
        <f ca="1">IFERROR(__xludf.DUMMYFUNCTION("IMPORTXML(E2631,""/html/body/main/div[3]/div[3]/div[2]/ul/li[5]/span[2]/span"")"),"Loading...")</f>
        <v>Loading...</v>
      </c>
      <c r="J2631" s="7" t="str">
        <f ca="1">IFERROR(__xludf.DUMMYFUNCTION("GOOGLEFINANCE(""NSE:""&amp;D2631,""marketcap"")"),"#N/A")</f>
        <v>#N/A</v>
      </c>
      <c r="K2631" s="7">
        <v>992.8</v>
      </c>
      <c r="L2631" s="8" t="str">
        <f ca="1">IFERROR(__xludf.DUMMYFUNCTION("GOOGLEFINANCE(""NSE:""&amp;D2631,""price"")"),"#N/A")</f>
        <v>#N/A</v>
      </c>
      <c r="M2631" s="9" t="e">
        <f t="shared" ca="1" si="52"/>
        <v>#VALUE!</v>
      </c>
      <c r="N2631" s="10" t="e">
        <f t="shared" ca="1" si="53"/>
        <v>#VALUE!</v>
      </c>
      <c r="O2631" s="7" t="str">
        <f ca="1">IFERROR(__xludf.DUMMYFUNCTION("GOOGLEFINANCE(""NSE:""&amp;D2631,""pe"")"),"#N/A")</f>
        <v>#N/A</v>
      </c>
      <c r="P2631" s="7" t="str">
        <f ca="1">IFERROR(__xludf.DUMMYFUNCTION("GOOGLEFINANCE(""NSE:""&amp;D2631,""EPS"")"),"#N/A")</f>
        <v>#N/A</v>
      </c>
      <c r="Q2631" s="7">
        <v>13.5</v>
      </c>
      <c r="R2631" s="7" t="str">
        <f ca="1">IFERROR(__xludf.DUMMYFUNCTION("IMPORTXML(E2631,""/html/body/main/div[3]/div[3]/div[2]/ul/li[7]/span[2]/span"")"),"Loading...")</f>
        <v>Loading...</v>
      </c>
      <c r="S2631" s="7" t="str">
        <f ca="1">IFERROR(__xludf.DUMMYFUNCTION("IMPORTXML(E2631,""/html/body/main/div[3]/div[3]/div[2]/ul/li[8]/span[2]/span"")"),"Loading...")</f>
        <v>Loading...</v>
      </c>
      <c r="T2631" s="4">
        <v>34.6</v>
      </c>
      <c r="U2631" s="4">
        <v>22.7</v>
      </c>
      <c r="V2631" s="4">
        <v>2.6</v>
      </c>
      <c r="W2631" s="4">
        <v>5.7</v>
      </c>
      <c r="X2631" s="4">
        <v>519.92999999999995</v>
      </c>
      <c r="Y2631" s="7" t="e">
        <f t="shared" ca="1" si="54"/>
        <v>#VALUE!</v>
      </c>
    </row>
    <row r="2632" spans="1:25" ht="15" x14ac:dyDescent="0.25">
      <c r="A2632" s="4">
        <v>2580</v>
      </c>
      <c r="C2632" s="41" t="s">
        <v>4906</v>
      </c>
      <c r="D2632" s="42"/>
      <c r="E2632" s="5" t="str">
        <f t="shared" si="50"/>
        <v>https://www.screener.in/company//consolidated/</v>
      </c>
      <c r="F2632" s="4">
        <v>443059</v>
      </c>
      <c r="G2632" s="4">
        <v>3832241897</v>
      </c>
      <c r="H2632" s="6" t="e">
        <f t="shared" ca="1" si="51"/>
        <v>#VALUE!</v>
      </c>
      <c r="I2632" s="7" t="str">
        <f ca="1">IFERROR(__xludf.DUMMYFUNCTION("IMPORTXML(E2632,""/html/body/main/div[3]/div[3]/div[2]/ul/li[5]/span[2]/span"")"),"Loading...")</f>
        <v>Loading...</v>
      </c>
      <c r="J2632" s="7" t="str">
        <f ca="1">IFERROR(__xludf.DUMMYFUNCTION("GOOGLEFINANCE(""NSE:""&amp;D2632,""marketcap"")"),"#N/A")</f>
        <v>#N/A</v>
      </c>
      <c r="K2632" s="7">
        <v>992.8</v>
      </c>
      <c r="L2632" s="8" t="str">
        <f ca="1">IFERROR(__xludf.DUMMYFUNCTION("GOOGLEFINANCE(""NSE:""&amp;D2632,""price"")"),"#N/A")</f>
        <v>#N/A</v>
      </c>
      <c r="M2632" s="9" t="e">
        <f t="shared" ca="1" si="52"/>
        <v>#VALUE!</v>
      </c>
      <c r="N2632" s="10" t="e">
        <f t="shared" ca="1" si="53"/>
        <v>#VALUE!</v>
      </c>
      <c r="O2632" s="7" t="str">
        <f ca="1">IFERROR(__xludf.DUMMYFUNCTION("GOOGLEFINANCE(""NSE:""&amp;D2632,""pe"")"),"#N/A")</f>
        <v>#N/A</v>
      </c>
      <c r="P2632" s="7" t="str">
        <f ca="1">IFERROR(__xludf.DUMMYFUNCTION("GOOGLEFINANCE(""NSE:""&amp;D2632,""EPS"")"),"#N/A")</f>
        <v>#N/A</v>
      </c>
      <c r="Q2632" s="7">
        <v>13.5</v>
      </c>
      <c r="R2632" s="7" t="str">
        <f ca="1">IFERROR(__xludf.DUMMYFUNCTION("IMPORTXML(E2632,""/html/body/main/div[3]/div[3]/div[2]/ul/li[7]/span[2]/span"")"),"Loading...")</f>
        <v>Loading...</v>
      </c>
      <c r="S2632" s="7" t="str">
        <f ca="1">IFERROR(__xludf.DUMMYFUNCTION("IMPORTXML(E2632,""/html/body/main/div[3]/div[3]/div[2]/ul/li[8]/span[2]/span"")"),"Loading...")</f>
        <v>Loading...</v>
      </c>
      <c r="T2632" s="4">
        <v>34.6</v>
      </c>
      <c r="U2632" s="4">
        <v>22.7</v>
      </c>
      <c r="V2632" s="4">
        <v>2.6</v>
      </c>
      <c r="W2632" s="4">
        <v>5.7</v>
      </c>
      <c r="X2632" s="4">
        <v>519.92999999999995</v>
      </c>
      <c r="Y2632" s="7" t="e">
        <f t="shared" ca="1" si="54"/>
        <v>#VALUE!</v>
      </c>
    </row>
    <row r="2633" spans="1:25" ht="15" x14ac:dyDescent="0.25">
      <c r="A2633" s="4">
        <v>2581</v>
      </c>
      <c r="C2633" s="41" t="s">
        <v>4907</v>
      </c>
      <c r="D2633" s="42"/>
      <c r="E2633" s="5" t="str">
        <f t="shared" si="50"/>
        <v>https://www.screener.in/company//consolidated/</v>
      </c>
      <c r="F2633" s="4">
        <v>443059</v>
      </c>
      <c r="G2633" s="4">
        <v>3832241897</v>
      </c>
      <c r="H2633" s="6" t="e">
        <f t="shared" ca="1" si="51"/>
        <v>#VALUE!</v>
      </c>
      <c r="I2633" s="7" t="str">
        <f ca="1">IFERROR(__xludf.DUMMYFUNCTION("IMPORTXML(E2633,""/html/body/main/div[3]/div[3]/div[2]/ul/li[5]/span[2]/span"")"),"Loading...")</f>
        <v>Loading...</v>
      </c>
      <c r="J2633" s="7" t="str">
        <f ca="1">IFERROR(__xludf.DUMMYFUNCTION("GOOGLEFINANCE(""NSE:""&amp;D2633,""marketcap"")"),"#N/A")</f>
        <v>#N/A</v>
      </c>
      <c r="K2633" s="7">
        <v>992.8</v>
      </c>
      <c r="L2633" s="8" t="str">
        <f ca="1">IFERROR(__xludf.DUMMYFUNCTION("GOOGLEFINANCE(""NSE:""&amp;D2633,""price"")"),"#N/A")</f>
        <v>#N/A</v>
      </c>
      <c r="M2633" s="9" t="e">
        <f t="shared" ca="1" si="52"/>
        <v>#VALUE!</v>
      </c>
      <c r="N2633" s="10" t="e">
        <f t="shared" ca="1" si="53"/>
        <v>#VALUE!</v>
      </c>
      <c r="O2633" s="7" t="str">
        <f ca="1">IFERROR(__xludf.DUMMYFUNCTION("GOOGLEFINANCE(""NSE:""&amp;D2633,""pe"")"),"#N/A")</f>
        <v>#N/A</v>
      </c>
      <c r="P2633" s="7" t="str">
        <f ca="1">IFERROR(__xludf.DUMMYFUNCTION("GOOGLEFINANCE(""NSE:""&amp;D2633,""EPS"")"),"#N/A")</f>
        <v>#N/A</v>
      </c>
      <c r="Q2633" s="7">
        <v>13.5</v>
      </c>
      <c r="R2633" s="7" t="str">
        <f ca="1">IFERROR(__xludf.DUMMYFUNCTION("IMPORTXML(E2633,""/html/body/main/div[3]/div[3]/div[2]/ul/li[7]/span[2]/span"")"),"Loading...")</f>
        <v>Loading...</v>
      </c>
      <c r="S2633" s="7" t="str">
        <f ca="1">IFERROR(__xludf.DUMMYFUNCTION("IMPORTXML(E2633,""/html/body/main/div[3]/div[3]/div[2]/ul/li[8]/span[2]/span"")"),"Loading...")</f>
        <v>Loading...</v>
      </c>
      <c r="T2633" s="4">
        <v>34.6</v>
      </c>
      <c r="U2633" s="4">
        <v>22.7</v>
      </c>
      <c r="V2633" s="4">
        <v>2.6</v>
      </c>
      <c r="W2633" s="4">
        <v>5.7</v>
      </c>
      <c r="X2633" s="4">
        <v>519.92999999999995</v>
      </c>
      <c r="Y2633" s="7" t="e">
        <f t="shared" ca="1" si="54"/>
        <v>#VALUE!</v>
      </c>
    </row>
    <row r="2634" spans="1:25" ht="15" x14ac:dyDescent="0.25">
      <c r="A2634" s="4">
        <v>2582</v>
      </c>
      <c r="C2634" s="12" t="s">
        <v>4908</v>
      </c>
      <c r="D2634" s="12" t="s">
        <v>4909</v>
      </c>
      <c r="E2634" s="5" t="str">
        <f t="shared" si="50"/>
        <v>https://www.screener.in/company/CELEBRITY/consolidated/</v>
      </c>
      <c r="F2634" s="4">
        <v>443059</v>
      </c>
      <c r="G2634" s="4">
        <v>3832241897</v>
      </c>
      <c r="H2634" s="6">
        <f t="shared" ca="1" si="51"/>
        <v>4698.3285657220003</v>
      </c>
      <c r="I2634" s="7" t="str">
        <f ca="1">IFERROR(__xludf.DUMMYFUNCTION("IMPORTXML(E2634,""/html/body/main/div[3]/div[3]/div[2]/ul/li[5]/span[2]/span"")"),"Loading...")</f>
        <v>Loading...</v>
      </c>
      <c r="J2634" s="7">
        <f ca="1">IFERROR(__xludf.DUMMYFUNCTION("GOOGLEFINANCE(""NSE:""&amp;D2634,""marketcap"")"),731657197)</f>
        <v>731657197</v>
      </c>
      <c r="K2634" s="7">
        <v>992.8</v>
      </c>
      <c r="L2634" s="8">
        <f ca="1">IFERROR(__xludf.DUMMYFUNCTION("GOOGLEFINANCE(""NSE:""&amp;D2634,""price"")"),12.26)</f>
        <v>12.26</v>
      </c>
      <c r="M2634" s="9">
        <f t="shared" ca="1" si="52"/>
        <v>-980.54</v>
      </c>
      <c r="N2634" s="10">
        <f t="shared" ca="1" si="53"/>
        <v>-98.765108783239313</v>
      </c>
      <c r="O2634" s="7" t="str">
        <f ca="1">IFERROR(__xludf.DUMMYFUNCTION("GOOGLEFINANCE(""NSE:""&amp;D2634,""pe"")"),"#N/A")</f>
        <v>#N/A</v>
      </c>
      <c r="P2634" s="7">
        <f ca="1">IFERROR(__xludf.DUMMYFUNCTION("GOOGLEFINANCE(""NSE:""&amp;D2634,""EPS"")"),-2.88)</f>
        <v>-2.88</v>
      </c>
      <c r="Q2634" s="7">
        <v>13.5</v>
      </c>
      <c r="R2634" s="7" t="str">
        <f ca="1">IFERROR(__xludf.DUMMYFUNCTION("IMPORTXML(E2634,""/html/body/main/div[3]/div[3]/div[2]/ul/li[7]/span[2]/span"")"),"Loading...")</f>
        <v>Loading...</v>
      </c>
      <c r="S2634" s="7" t="str">
        <f ca="1">IFERROR(__xludf.DUMMYFUNCTION("IMPORTXML(E2634,""/html/body/main/div[3]/div[3]/div[2]/ul/li[8]/span[2]/span"")"),"Loading...")</f>
        <v>Loading...</v>
      </c>
      <c r="T2634" s="4">
        <v>34.6</v>
      </c>
      <c r="U2634" s="4">
        <v>22.7</v>
      </c>
      <c r="V2634" s="4">
        <v>2.6</v>
      </c>
      <c r="W2634" s="4">
        <v>5.7</v>
      </c>
      <c r="X2634" s="4">
        <v>519.92999999999995</v>
      </c>
      <c r="Y2634" s="7">
        <f t="shared" ca="1" si="54"/>
        <v>-507.66999999999996</v>
      </c>
    </row>
    <row r="2635" spans="1:25" ht="15" x14ac:dyDescent="0.25">
      <c r="A2635" s="4">
        <v>2583</v>
      </c>
      <c r="C2635" s="12" t="s">
        <v>4910</v>
      </c>
      <c r="D2635" s="37"/>
      <c r="E2635" s="5" t="str">
        <f t="shared" si="50"/>
        <v>https://www.screener.in/company//consolidated/</v>
      </c>
      <c r="F2635" s="4">
        <v>443059</v>
      </c>
      <c r="G2635" s="4">
        <v>3832241897</v>
      </c>
      <c r="H2635" s="6" t="e">
        <f t="shared" ca="1" si="51"/>
        <v>#VALUE!</v>
      </c>
      <c r="I2635" s="7" t="str">
        <f ca="1">IFERROR(__xludf.DUMMYFUNCTION("IMPORTXML(E2635,""/html/body/main/div[3]/div[3]/div[2]/ul/li[5]/span[2]/span"")"),"Loading...")</f>
        <v>Loading...</v>
      </c>
      <c r="J2635" s="7" t="str">
        <f ca="1">IFERROR(__xludf.DUMMYFUNCTION("GOOGLEFINANCE(""NSE:""&amp;D2635,""marketcap"")"),"#N/A")</f>
        <v>#N/A</v>
      </c>
      <c r="K2635" s="7">
        <v>992.8</v>
      </c>
      <c r="L2635" s="8" t="str">
        <f ca="1">IFERROR(__xludf.DUMMYFUNCTION("GOOGLEFINANCE(""NSE:""&amp;D2635,""price"")"),"#N/A")</f>
        <v>#N/A</v>
      </c>
      <c r="M2635" s="9" t="e">
        <f t="shared" ca="1" si="52"/>
        <v>#VALUE!</v>
      </c>
      <c r="N2635" s="10" t="e">
        <f t="shared" ca="1" si="53"/>
        <v>#VALUE!</v>
      </c>
      <c r="O2635" s="7" t="str">
        <f ca="1">IFERROR(__xludf.DUMMYFUNCTION("GOOGLEFINANCE(""NSE:""&amp;D2635,""pe"")"),"#N/A")</f>
        <v>#N/A</v>
      </c>
      <c r="P2635" s="7" t="str">
        <f ca="1">IFERROR(__xludf.DUMMYFUNCTION("GOOGLEFINANCE(""NSE:""&amp;D2635,""EPS"")"),"#N/A")</f>
        <v>#N/A</v>
      </c>
      <c r="Q2635" s="7">
        <v>13.5</v>
      </c>
      <c r="R2635" s="7" t="str">
        <f ca="1">IFERROR(__xludf.DUMMYFUNCTION("IMPORTXML(E2635,""/html/body/main/div[3]/div[3]/div[2]/ul/li[7]/span[2]/span"")"),"Loading...")</f>
        <v>Loading...</v>
      </c>
      <c r="S2635" s="7" t="str">
        <f ca="1">IFERROR(__xludf.DUMMYFUNCTION("IMPORTXML(E2635,""/html/body/main/div[3]/div[3]/div[2]/ul/li[8]/span[2]/span"")"),"Loading...")</f>
        <v>Loading...</v>
      </c>
      <c r="T2635" s="4">
        <v>34.6</v>
      </c>
      <c r="U2635" s="4">
        <v>22.7</v>
      </c>
      <c r="V2635" s="4">
        <v>2.6</v>
      </c>
      <c r="W2635" s="4">
        <v>5.7</v>
      </c>
      <c r="X2635" s="4">
        <v>519.92999999999995</v>
      </c>
      <c r="Y2635" s="7" t="e">
        <f t="shared" ca="1" si="54"/>
        <v>#VALUE!</v>
      </c>
    </row>
    <row r="2636" spans="1:25" ht="15" x14ac:dyDescent="0.25">
      <c r="A2636" s="4">
        <v>2584</v>
      </c>
      <c r="C2636" s="41" t="s">
        <v>4911</v>
      </c>
      <c r="D2636" s="42"/>
      <c r="E2636" s="5" t="str">
        <f t="shared" si="50"/>
        <v>https://www.screener.in/company//consolidated/</v>
      </c>
      <c r="F2636" s="4">
        <v>443059</v>
      </c>
      <c r="G2636" s="4">
        <v>3832241897</v>
      </c>
      <c r="H2636" s="6" t="e">
        <f t="shared" ca="1" si="51"/>
        <v>#VALUE!</v>
      </c>
      <c r="I2636" s="7" t="str">
        <f ca="1">IFERROR(__xludf.DUMMYFUNCTION("IMPORTXML(E2636,""/html/body/main/div[3]/div[3]/div[2]/ul/li[5]/span[2]/span"")"),"Loading...")</f>
        <v>Loading...</v>
      </c>
      <c r="J2636" s="7" t="str">
        <f ca="1">IFERROR(__xludf.DUMMYFUNCTION("GOOGLEFINANCE(""NSE:""&amp;D2636,""marketcap"")"),"#N/A")</f>
        <v>#N/A</v>
      </c>
      <c r="K2636" s="7">
        <v>992.8</v>
      </c>
      <c r="L2636" s="8" t="str">
        <f ca="1">IFERROR(__xludf.DUMMYFUNCTION("GOOGLEFINANCE(""NSE:""&amp;D2636,""price"")"),"#N/A")</f>
        <v>#N/A</v>
      </c>
      <c r="M2636" s="9" t="e">
        <f t="shared" ca="1" si="52"/>
        <v>#VALUE!</v>
      </c>
      <c r="N2636" s="10" t="e">
        <f t="shared" ca="1" si="53"/>
        <v>#VALUE!</v>
      </c>
      <c r="O2636" s="7" t="str">
        <f ca="1">IFERROR(__xludf.DUMMYFUNCTION("GOOGLEFINANCE(""NSE:""&amp;D2636,""pe"")"),"#N/A")</f>
        <v>#N/A</v>
      </c>
      <c r="P2636" s="7" t="str">
        <f ca="1">IFERROR(__xludf.DUMMYFUNCTION("GOOGLEFINANCE(""NSE:""&amp;D2636,""EPS"")"),"#N/A")</f>
        <v>#N/A</v>
      </c>
      <c r="Q2636" s="7">
        <v>13.5</v>
      </c>
      <c r="R2636" s="7" t="str">
        <f ca="1">IFERROR(__xludf.DUMMYFUNCTION("IMPORTXML(E2636,""/html/body/main/div[3]/div[3]/div[2]/ul/li[7]/span[2]/span"")"),"Loading...")</f>
        <v>Loading...</v>
      </c>
      <c r="S2636" s="7" t="str">
        <f ca="1">IFERROR(__xludf.DUMMYFUNCTION("IMPORTXML(E2636,""/html/body/main/div[3]/div[3]/div[2]/ul/li[8]/span[2]/span"")"),"Loading...")</f>
        <v>Loading...</v>
      </c>
      <c r="T2636" s="4">
        <v>34.6</v>
      </c>
      <c r="U2636" s="4">
        <v>22.7</v>
      </c>
      <c r="V2636" s="4">
        <v>2.6</v>
      </c>
      <c r="W2636" s="4">
        <v>5.7</v>
      </c>
      <c r="X2636" s="4">
        <v>519.92999999999995</v>
      </c>
      <c r="Y2636" s="7" t="e">
        <f t="shared" ca="1" si="54"/>
        <v>#VALUE!</v>
      </c>
    </row>
    <row r="2637" spans="1:25" ht="15" x14ac:dyDescent="0.25">
      <c r="A2637" s="4">
        <v>2585</v>
      </c>
      <c r="C2637" s="41" t="s">
        <v>4912</v>
      </c>
      <c r="D2637" s="42"/>
      <c r="E2637" s="5" t="str">
        <f t="shared" si="50"/>
        <v>https://www.screener.in/company//consolidated/</v>
      </c>
      <c r="F2637" s="4">
        <v>443059</v>
      </c>
      <c r="G2637" s="4">
        <v>3832241897</v>
      </c>
      <c r="H2637" s="6" t="e">
        <f t="shared" ca="1" si="51"/>
        <v>#VALUE!</v>
      </c>
      <c r="I2637" s="7" t="str">
        <f ca="1">IFERROR(__xludf.DUMMYFUNCTION("IMPORTXML(E2637,""/html/body/main/div[3]/div[3]/div[2]/ul/li[5]/span[2]/span"")"),"Loading...")</f>
        <v>Loading...</v>
      </c>
      <c r="J2637" s="7" t="str">
        <f ca="1">IFERROR(__xludf.DUMMYFUNCTION("GOOGLEFINANCE(""NSE:""&amp;D2637,""marketcap"")"),"#N/A")</f>
        <v>#N/A</v>
      </c>
      <c r="K2637" s="7">
        <v>992.8</v>
      </c>
      <c r="L2637" s="8" t="str">
        <f ca="1">IFERROR(__xludf.DUMMYFUNCTION("GOOGLEFINANCE(""NSE:""&amp;D2637,""price"")"),"#N/A")</f>
        <v>#N/A</v>
      </c>
      <c r="M2637" s="9" t="e">
        <f t="shared" ca="1" si="52"/>
        <v>#VALUE!</v>
      </c>
      <c r="N2637" s="10" t="e">
        <f t="shared" ca="1" si="53"/>
        <v>#VALUE!</v>
      </c>
      <c r="O2637" s="7" t="str">
        <f ca="1">IFERROR(__xludf.DUMMYFUNCTION("GOOGLEFINANCE(""NSE:""&amp;D2637,""pe"")"),"#N/A")</f>
        <v>#N/A</v>
      </c>
      <c r="P2637" s="7" t="str">
        <f ca="1">IFERROR(__xludf.DUMMYFUNCTION("GOOGLEFINANCE(""NSE:""&amp;D2637,""EPS"")"),"#N/A")</f>
        <v>#N/A</v>
      </c>
      <c r="Q2637" s="7">
        <v>13.5</v>
      </c>
      <c r="R2637" s="7" t="str">
        <f ca="1">IFERROR(__xludf.DUMMYFUNCTION("IMPORTXML(E2637,""/html/body/main/div[3]/div[3]/div[2]/ul/li[7]/span[2]/span"")"),"Loading...")</f>
        <v>Loading...</v>
      </c>
      <c r="S2637" s="7" t="str">
        <f ca="1">IFERROR(__xludf.DUMMYFUNCTION("IMPORTXML(E2637,""/html/body/main/div[3]/div[3]/div[2]/ul/li[8]/span[2]/span"")"),"Loading...")</f>
        <v>Loading...</v>
      </c>
      <c r="T2637" s="4">
        <v>34.6</v>
      </c>
      <c r="U2637" s="4">
        <v>22.7</v>
      </c>
      <c r="V2637" s="4">
        <v>2.6</v>
      </c>
      <c r="W2637" s="4">
        <v>5.7</v>
      </c>
      <c r="X2637" s="4">
        <v>519.92999999999995</v>
      </c>
      <c r="Y2637" s="7" t="e">
        <f t="shared" ca="1" si="54"/>
        <v>#VALUE!</v>
      </c>
    </row>
    <row r="2638" spans="1:25" ht="15" x14ac:dyDescent="0.25">
      <c r="A2638" s="4">
        <v>2586</v>
      </c>
      <c r="C2638" s="41" t="s">
        <v>4913</v>
      </c>
      <c r="D2638" s="42"/>
      <c r="E2638" s="5" t="str">
        <f t="shared" si="50"/>
        <v>https://www.screener.in/company//consolidated/</v>
      </c>
      <c r="F2638" s="4">
        <v>443059</v>
      </c>
      <c r="G2638" s="4">
        <v>3832241897</v>
      </c>
      <c r="H2638" s="6" t="e">
        <f t="shared" ca="1" si="51"/>
        <v>#VALUE!</v>
      </c>
      <c r="I2638" s="7" t="str">
        <f ca="1">IFERROR(__xludf.DUMMYFUNCTION("IMPORTXML(E2638,""/html/body/main/div[3]/div[3]/div[2]/ul/li[5]/span[2]/span"")"),"Loading...")</f>
        <v>Loading...</v>
      </c>
      <c r="J2638" s="7" t="str">
        <f ca="1">IFERROR(__xludf.DUMMYFUNCTION("GOOGLEFINANCE(""NSE:""&amp;D2638,""marketcap"")"),"#N/A")</f>
        <v>#N/A</v>
      </c>
      <c r="K2638" s="7">
        <v>992.8</v>
      </c>
      <c r="L2638" s="8" t="str">
        <f ca="1">IFERROR(__xludf.DUMMYFUNCTION("GOOGLEFINANCE(""NSE:""&amp;D2638,""price"")"),"#N/A")</f>
        <v>#N/A</v>
      </c>
      <c r="M2638" s="9" t="e">
        <f t="shared" ca="1" si="52"/>
        <v>#VALUE!</v>
      </c>
      <c r="N2638" s="10" t="e">
        <f t="shared" ca="1" si="53"/>
        <v>#VALUE!</v>
      </c>
      <c r="O2638" s="7" t="str">
        <f ca="1">IFERROR(__xludf.DUMMYFUNCTION("GOOGLEFINANCE(""NSE:""&amp;D2638,""pe"")"),"#N/A")</f>
        <v>#N/A</v>
      </c>
      <c r="P2638" s="7" t="str">
        <f ca="1">IFERROR(__xludf.DUMMYFUNCTION("GOOGLEFINANCE(""NSE:""&amp;D2638,""EPS"")"),"#N/A")</f>
        <v>#N/A</v>
      </c>
      <c r="Q2638" s="7">
        <v>13.5</v>
      </c>
      <c r="R2638" s="7" t="str">
        <f ca="1">IFERROR(__xludf.DUMMYFUNCTION("IMPORTXML(E2638,""/html/body/main/div[3]/div[3]/div[2]/ul/li[7]/span[2]/span"")"),"Loading...")</f>
        <v>Loading...</v>
      </c>
      <c r="S2638" s="7" t="str">
        <f ca="1">IFERROR(__xludf.DUMMYFUNCTION("IMPORTXML(E2638,""/html/body/main/div[3]/div[3]/div[2]/ul/li[8]/span[2]/span"")"),"Loading...")</f>
        <v>Loading...</v>
      </c>
      <c r="T2638" s="4">
        <v>34.6</v>
      </c>
      <c r="U2638" s="4">
        <v>22.7</v>
      </c>
      <c r="V2638" s="4">
        <v>2.6</v>
      </c>
      <c r="W2638" s="4">
        <v>5.7</v>
      </c>
      <c r="X2638" s="4">
        <v>519.92999999999995</v>
      </c>
      <c r="Y2638" s="7" t="e">
        <f t="shared" ca="1" si="54"/>
        <v>#VALUE!</v>
      </c>
    </row>
    <row r="2639" spans="1:25" ht="15" x14ac:dyDescent="0.25">
      <c r="A2639" s="4">
        <v>2587</v>
      </c>
      <c r="C2639" s="12" t="s">
        <v>4914</v>
      </c>
      <c r="D2639" s="37"/>
      <c r="E2639" s="5" t="str">
        <f t="shared" si="50"/>
        <v>https://www.screener.in/company//consolidated/</v>
      </c>
      <c r="F2639" s="4">
        <v>443059</v>
      </c>
      <c r="G2639" s="4">
        <v>3832241897</v>
      </c>
      <c r="H2639" s="6" t="e">
        <f t="shared" ca="1" si="51"/>
        <v>#VALUE!</v>
      </c>
      <c r="I2639" s="7" t="str">
        <f ca="1">IFERROR(__xludf.DUMMYFUNCTION("IMPORTXML(E2639,""/html/body/main/div[3]/div[3]/div[2]/ul/li[5]/span[2]/span"")"),"Loading...")</f>
        <v>Loading...</v>
      </c>
      <c r="J2639" s="7" t="str">
        <f ca="1">IFERROR(__xludf.DUMMYFUNCTION("GOOGLEFINANCE(""NSE:""&amp;D2639,""marketcap"")"),"#N/A")</f>
        <v>#N/A</v>
      </c>
      <c r="K2639" s="7">
        <v>992.8</v>
      </c>
      <c r="L2639" s="8" t="str">
        <f ca="1">IFERROR(__xludf.DUMMYFUNCTION("GOOGLEFINANCE(""NSE:""&amp;D2639,""price"")"),"#N/A")</f>
        <v>#N/A</v>
      </c>
      <c r="M2639" s="9" t="e">
        <f t="shared" ca="1" si="52"/>
        <v>#VALUE!</v>
      </c>
      <c r="N2639" s="10" t="e">
        <f t="shared" ca="1" si="53"/>
        <v>#VALUE!</v>
      </c>
      <c r="O2639" s="7" t="str">
        <f ca="1">IFERROR(__xludf.DUMMYFUNCTION("GOOGLEFINANCE(""NSE:""&amp;D2639,""pe"")"),"#N/A")</f>
        <v>#N/A</v>
      </c>
      <c r="P2639" s="7" t="str">
        <f ca="1">IFERROR(__xludf.DUMMYFUNCTION("GOOGLEFINANCE(""NSE:""&amp;D2639,""EPS"")"),"#N/A")</f>
        <v>#N/A</v>
      </c>
      <c r="Q2639" s="7">
        <v>13.5</v>
      </c>
      <c r="R2639" s="7" t="str">
        <f ca="1">IFERROR(__xludf.DUMMYFUNCTION("IMPORTXML(E2639,""/html/body/main/div[3]/div[3]/div[2]/ul/li[7]/span[2]/span"")"),"Loading...")</f>
        <v>Loading...</v>
      </c>
      <c r="S2639" s="7" t="str">
        <f ca="1">IFERROR(__xludf.DUMMYFUNCTION("IMPORTXML(E2639,""/html/body/main/div[3]/div[3]/div[2]/ul/li[8]/span[2]/span"")"),"Loading...")</f>
        <v>Loading...</v>
      </c>
      <c r="T2639" s="4">
        <v>34.6</v>
      </c>
      <c r="U2639" s="4">
        <v>22.7</v>
      </c>
      <c r="V2639" s="4">
        <v>2.6</v>
      </c>
      <c r="W2639" s="4">
        <v>5.7</v>
      </c>
      <c r="X2639" s="4">
        <v>519.92999999999995</v>
      </c>
      <c r="Y2639" s="7" t="e">
        <f t="shared" ca="1" si="54"/>
        <v>#VALUE!</v>
      </c>
    </row>
    <row r="2640" spans="1:25" ht="15" x14ac:dyDescent="0.25">
      <c r="A2640" s="4">
        <v>2588</v>
      </c>
      <c r="C2640" s="12" t="s">
        <v>4915</v>
      </c>
      <c r="D2640" s="12" t="s">
        <v>4916</v>
      </c>
      <c r="E2640" s="5" t="str">
        <f t="shared" si="50"/>
        <v>https://www.screener.in/company/ARCHIES/consolidated/</v>
      </c>
      <c r="F2640" s="4">
        <v>443059</v>
      </c>
      <c r="G2640" s="4">
        <v>3832241897</v>
      </c>
      <c r="H2640" s="6">
        <f t="shared" ca="1" si="51"/>
        <v>7016.8349134069995</v>
      </c>
      <c r="I2640" s="7" t="str">
        <f ca="1">IFERROR(__xludf.DUMMYFUNCTION("IMPORTXML(E2640,""/html/body/main/div[3]/div[3]/div[2]/ul/li[5]/span[2]/span"")"),"Loading...")</f>
        <v>Loading...</v>
      </c>
      <c r="J2640" s="7">
        <f ca="1">IFERROR(__xludf.DUMMYFUNCTION("GOOGLEFINANCE(""NSE:""&amp;D2640,""marketcap"")"),619187400)</f>
        <v>619187400</v>
      </c>
      <c r="K2640" s="7">
        <v>992.8</v>
      </c>
      <c r="L2640" s="8">
        <f ca="1">IFERROR(__xludf.DUMMYFUNCTION("GOOGLEFINANCE(""NSE:""&amp;D2640,""price"")"),18.31)</f>
        <v>18.309999999999999</v>
      </c>
      <c r="M2640" s="9">
        <f t="shared" ca="1" si="52"/>
        <v>-974.49</v>
      </c>
      <c r="N2640" s="10">
        <f t="shared" ca="1" si="53"/>
        <v>-98.155721192586626</v>
      </c>
      <c r="O2640" s="7" t="str">
        <f ca="1">IFERROR(__xludf.DUMMYFUNCTION("GOOGLEFINANCE(""NSE:""&amp;D2640,""pe"")"),"#N/A")</f>
        <v>#N/A</v>
      </c>
      <c r="P2640" s="7">
        <f ca="1">IFERROR(__xludf.DUMMYFUNCTION("GOOGLEFINANCE(""NSE:""&amp;D2640,""EPS"")"),-0.04)</f>
        <v>-0.04</v>
      </c>
      <c r="Q2640" s="7">
        <v>13.5</v>
      </c>
      <c r="R2640" s="7" t="str">
        <f ca="1">IFERROR(__xludf.DUMMYFUNCTION("IMPORTXML(E2640,""/html/body/main/div[3]/div[3]/div[2]/ul/li[7]/span[2]/span"")"),"Loading...")</f>
        <v>Loading...</v>
      </c>
      <c r="S2640" s="7" t="str">
        <f ca="1">IFERROR(__xludf.DUMMYFUNCTION("IMPORTXML(E2640,""/html/body/main/div[3]/div[3]/div[2]/ul/li[8]/span[2]/span"")"),"Loading...")</f>
        <v>Loading...</v>
      </c>
      <c r="T2640" s="4">
        <v>34.6</v>
      </c>
      <c r="U2640" s="4">
        <v>22.7</v>
      </c>
      <c r="V2640" s="4">
        <v>2.6</v>
      </c>
      <c r="W2640" s="4">
        <v>5.7</v>
      </c>
      <c r="X2640" s="4">
        <v>519.92999999999995</v>
      </c>
      <c r="Y2640" s="7">
        <f t="shared" ca="1" si="54"/>
        <v>-501.61999999999995</v>
      </c>
    </row>
    <row r="2641" spans="1:25" ht="15" x14ac:dyDescent="0.25">
      <c r="A2641" s="4">
        <v>2589</v>
      </c>
      <c r="C2641" s="41" t="s">
        <v>4917</v>
      </c>
      <c r="D2641" s="42"/>
      <c r="E2641" s="5" t="str">
        <f t="shared" si="50"/>
        <v>https://www.screener.in/company//consolidated/</v>
      </c>
      <c r="F2641" s="4">
        <v>443059</v>
      </c>
      <c r="G2641" s="4">
        <v>3832241897</v>
      </c>
      <c r="H2641" s="6" t="e">
        <f t="shared" ca="1" si="51"/>
        <v>#VALUE!</v>
      </c>
      <c r="I2641" s="7" t="str">
        <f ca="1">IFERROR(__xludf.DUMMYFUNCTION("IMPORTXML(E2641,""/html/body/main/div[3]/div[3]/div[2]/ul/li[5]/span[2]/span"")"),"Loading...")</f>
        <v>Loading...</v>
      </c>
      <c r="J2641" s="7" t="str">
        <f ca="1">IFERROR(__xludf.DUMMYFUNCTION("GOOGLEFINANCE(""NSE:""&amp;D2641,""marketcap"")"),"#N/A")</f>
        <v>#N/A</v>
      </c>
      <c r="K2641" s="7">
        <v>992.8</v>
      </c>
      <c r="L2641" s="8" t="str">
        <f ca="1">IFERROR(__xludf.DUMMYFUNCTION("GOOGLEFINANCE(""NSE:""&amp;D2641,""price"")"),"#N/A")</f>
        <v>#N/A</v>
      </c>
      <c r="M2641" s="9" t="e">
        <f t="shared" ca="1" si="52"/>
        <v>#VALUE!</v>
      </c>
      <c r="N2641" s="10" t="e">
        <f t="shared" ca="1" si="53"/>
        <v>#VALUE!</v>
      </c>
      <c r="O2641" s="7" t="str">
        <f ca="1">IFERROR(__xludf.DUMMYFUNCTION("GOOGLEFINANCE(""NSE:""&amp;D2641,""pe"")"),"#N/A")</f>
        <v>#N/A</v>
      </c>
      <c r="P2641" s="7" t="str">
        <f ca="1">IFERROR(__xludf.DUMMYFUNCTION("GOOGLEFINANCE(""NSE:""&amp;D2641,""EPS"")"),"#N/A")</f>
        <v>#N/A</v>
      </c>
      <c r="Q2641" s="7">
        <v>13.5</v>
      </c>
      <c r="R2641" s="7" t="str">
        <f ca="1">IFERROR(__xludf.DUMMYFUNCTION("IMPORTXML(E2641,""/html/body/main/div[3]/div[3]/div[2]/ul/li[7]/span[2]/span"")"),"Loading...")</f>
        <v>Loading...</v>
      </c>
      <c r="S2641" s="7" t="str">
        <f ca="1">IFERROR(__xludf.DUMMYFUNCTION("IMPORTXML(E2641,""/html/body/main/div[3]/div[3]/div[2]/ul/li[8]/span[2]/span"")"),"Loading...")</f>
        <v>Loading...</v>
      </c>
      <c r="T2641" s="4">
        <v>34.6</v>
      </c>
      <c r="U2641" s="4">
        <v>22.7</v>
      </c>
      <c r="V2641" s="4">
        <v>2.6</v>
      </c>
      <c r="W2641" s="4">
        <v>5.7</v>
      </c>
      <c r="X2641" s="4">
        <v>519.92999999999995</v>
      </c>
      <c r="Y2641" s="7" t="e">
        <f t="shared" ca="1" si="54"/>
        <v>#VALUE!</v>
      </c>
    </row>
    <row r="2642" spans="1:25" ht="15" x14ac:dyDescent="0.25">
      <c r="A2642" s="4">
        <v>2590</v>
      </c>
      <c r="C2642" s="41" t="s">
        <v>4918</v>
      </c>
      <c r="D2642" s="42"/>
      <c r="E2642" s="5" t="str">
        <f t="shared" si="50"/>
        <v>https://www.screener.in/company//consolidated/</v>
      </c>
      <c r="F2642" s="4">
        <v>443059</v>
      </c>
      <c r="G2642" s="4">
        <v>3832241897</v>
      </c>
      <c r="H2642" s="6" t="e">
        <f t="shared" ca="1" si="51"/>
        <v>#VALUE!</v>
      </c>
      <c r="I2642" s="7" t="str">
        <f ca="1">IFERROR(__xludf.DUMMYFUNCTION("IMPORTXML(E2642,""/html/body/main/div[3]/div[3]/div[2]/ul/li[5]/span[2]/span"")"),"Loading...")</f>
        <v>Loading...</v>
      </c>
      <c r="J2642" s="7" t="str">
        <f ca="1">IFERROR(__xludf.DUMMYFUNCTION("GOOGLEFINANCE(""NSE:""&amp;D2642,""marketcap"")"),"#N/A")</f>
        <v>#N/A</v>
      </c>
      <c r="K2642" s="7">
        <v>992.8</v>
      </c>
      <c r="L2642" s="8" t="str">
        <f ca="1">IFERROR(__xludf.DUMMYFUNCTION("GOOGLEFINANCE(""NSE:""&amp;D2642,""price"")"),"#N/A")</f>
        <v>#N/A</v>
      </c>
      <c r="M2642" s="9" t="e">
        <f t="shared" ca="1" si="52"/>
        <v>#VALUE!</v>
      </c>
      <c r="N2642" s="10" t="e">
        <f t="shared" ca="1" si="53"/>
        <v>#VALUE!</v>
      </c>
      <c r="O2642" s="7" t="str">
        <f ca="1">IFERROR(__xludf.DUMMYFUNCTION("GOOGLEFINANCE(""NSE:""&amp;D2642,""pe"")"),"#N/A")</f>
        <v>#N/A</v>
      </c>
      <c r="P2642" s="7" t="str">
        <f ca="1">IFERROR(__xludf.DUMMYFUNCTION("GOOGLEFINANCE(""NSE:""&amp;D2642,""EPS"")"),"#N/A")</f>
        <v>#N/A</v>
      </c>
      <c r="Q2642" s="7">
        <v>13.5</v>
      </c>
      <c r="R2642" s="7" t="str">
        <f ca="1">IFERROR(__xludf.DUMMYFUNCTION("IMPORTXML(E2642,""/html/body/main/div[3]/div[3]/div[2]/ul/li[7]/span[2]/span"")"),"Loading...")</f>
        <v>Loading...</v>
      </c>
      <c r="S2642" s="7" t="str">
        <f ca="1">IFERROR(__xludf.DUMMYFUNCTION("IMPORTXML(E2642,""/html/body/main/div[3]/div[3]/div[2]/ul/li[8]/span[2]/span"")"),"Loading...")</f>
        <v>Loading...</v>
      </c>
      <c r="T2642" s="4">
        <v>34.6</v>
      </c>
      <c r="U2642" s="4">
        <v>22.7</v>
      </c>
      <c r="V2642" s="4">
        <v>2.6</v>
      </c>
      <c r="W2642" s="4">
        <v>5.7</v>
      </c>
      <c r="X2642" s="4">
        <v>519.92999999999995</v>
      </c>
      <c r="Y2642" s="7" t="e">
        <f t="shared" ca="1" si="54"/>
        <v>#VALUE!</v>
      </c>
    </row>
    <row r="2643" spans="1:25" ht="15" x14ac:dyDescent="0.25">
      <c r="A2643" s="4">
        <v>2591</v>
      </c>
      <c r="C2643" s="41" t="s">
        <v>4919</v>
      </c>
      <c r="D2643" s="42"/>
      <c r="E2643" s="5" t="str">
        <f t="shared" si="50"/>
        <v>https://www.screener.in/company//consolidated/</v>
      </c>
      <c r="F2643" s="4">
        <v>443059</v>
      </c>
      <c r="G2643" s="4">
        <v>3832241897</v>
      </c>
      <c r="H2643" s="6" t="e">
        <f t="shared" ca="1" si="51"/>
        <v>#VALUE!</v>
      </c>
      <c r="I2643" s="7" t="str">
        <f ca="1">IFERROR(__xludf.DUMMYFUNCTION("IMPORTXML(E2643,""/html/body/main/div[3]/div[3]/div[2]/ul/li[5]/span[2]/span"")"),"Loading...")</f>
        <v>Loading...</v>
      </c>
      <c r="J2643" s="7" t="str">
        <f ca="1">IFERROR(__xludf.DUMMYFUNCTION("GOOGLEFINANCE(""NSE:""&amp;D2643,""marketcap"")"),"#N/A")</f>
        <v>#N/A</v>
      </c>
      <c r="K2643" s="7">
        <v>992.8</v>
      </c>
      <c r="L2643" s="8" t="str">
        <f ca="1">IFERROR(__xludf.DUMMYFUNCTION("GOOGLEFINANCE(""NSE:""&amp;D2643,""price"")"),"#N/A")</f>
        <v>#N/A</v>
      </c>
      <c r="M2643" s="9" t="e">
        <f t="shared" ca="1" si="52"/>
        <v>#VALUE!</v>
      </c>
      <c r="N2643" s="10" t="e">
        <f t="shared" ca="1" si="53"/>
        <v>#VALUE!</v>
      </c>
      <c r="O2643" s="7" t="str">
        <f ca="1">IFERROR(__xludf.DUMMYFUNCTION("GOOGLEFINANCE(""NSE:""&amp;D2643,""pe"")"),"#N/A")</f>
        <v>#N/A</v>
      </c>
      <c r="P2643" s="7" t="str">
        <f ca="1">IFERROR(__xludf.DUMMYFUNCTION("GOOGLEFINANCE(""NSE:""&amp;D2643,""EPS"")"),"#N/A")</f>
        <v>#N/A</v>
      </c>
      <c r="Q2643" s="7">
        <v>13.5</v>
      </c>
      <c r="R2643" s="7" t="str">
        <f ca="1">IFERROR(__xludf.DUMMYFUNCTION("IMPORTXML(E2643,""/html/body/main/div[3]/div[3]/div[2]/ul/li[7]/span[2]/span"")"),"Loading...")</f>
        <v>Loading...</v>
      </c>
      <c r="S2643" s="7" t="str">
        <f ca="1">IFERROR(__xludf.DUMMYFUNCTION("IMPORTXML(E2643,""/html/body/main/div[3]/div[3]/div[2]/ul/li[8]/span[2]/span"")"),"Loading...")</f>
        <v>Loading...</v>
      </c>
      <c r="T2643" s="4">
        <v>34.6</v>
      </c>
      <c r="U2643" s="4">
        <v>22.7</v>
      </c>
      <c r="V2643" s="4">
        <v>2.6</v>
      </c>
      <c r="W2643" s="4">
        <v>5.7</v>
      </c>
      <c r="X2643" s="4">
        <v>519.92999999999995</v>
      </c>
      <c r="Y2643" s="7" t="e">
        <f t="shared" ca="1" si="54"/>
        <v>#VALUE!</v>
      </c>
    </row>
    <row r="2644" spans="1:25" ht="15" x14ac:dyDescent="0.25">
      <c r="A2644" s="4">
        <v>2592</v>
      </c>
      <c r="C2644" s="41" t="s">
        <v>4920</v>
      </c>
      <c r="D2644" s="42"/>
      <c r="E2644" s="5" t="str">
        <f t="shared" si="50"/>
        <v>https://www.screener.in/company//consolidated/</v>
      </c>
      <c r="F2644" s="4">
        <v>443059</v>
      </c>
      <c r="G2644" s="4">
        <v>3832241897</v>
      </c>
      <c r="H2644" s="6" t="e">
        <f t="shared" ca="1" si="51"/>
        <v>#VALUE!</v>
      </c>
      <c r="I2644" s="7" t="str">
        <f ca="1">IFERROR(__xludf.DUMMYFUNCTION("IMPORTXML(E2644,""/html/body/main/div[3]/div[3]/div[2]/ul/li[5]/span[2]/span"")"),"Loading...")</f>
        <v>Loading...</v>
      </c>
      <c r="J2644" s="7" t="str">
        <f ca="1">IFERROR(__xludf.DUMMYFUNCTION("GOOGLEFINANCE(""NSE:""&amp;D2644,""marketcap"")"),"#N/A")</f>
        <v>#N/A</v>
      </c>
      <c r="K2644" s="7">
        <v>992.8</v>
      </c>
      <c r="L2644" s="8" t="str">
        <f ca="1">IFERROR(__xludf.DUMMYFUNCTION("GOOGLEFINANCE(""NSE:""&amp;D2644,""price"")"),"#N/A")</f>
        <v>#N/A</v>
      </c>
      <c r="M2644" s="9" t="e">
        <f t="shared" ca="1" si="52"/>
        <v>#VALUE!</v>
      </c>
      <c r="N2644" s="10" t="e">
        <f t="shared" ca="1" si="53"/>
        <v>#VALUE!</v>
      </c>
      <c r="O2644" s="7" t="str">
        <f ca="1">IFERROR(__xludf.DUMMYFUNCTION("GOOGLEFINANCE(""NSE:""&amp;D2644,""pe"")"),"#N/A")</f>
        <v>#N/A</v>
      </c>
      <c r="P2644" s="7" t="str">
        <f ca="1">IFERROR(__xludf.DUMMYFUNCTION("GOOGLEFINANCE(""NSE:""&amp;D2644,""EPS"")"),"#N/A")</f>
        <v>#N/A</v>
      </c>
      <c r="Q2644" s="7">
        <v>13.5</v>
      </c>
      <c r="R2644" s="7" t="str">
        <f ca="1">IFERROR(__xludf.DUMMYFUNCTION("IMPORTXML(E2644,""/html/body/main/div[3]/div[3]/div[2]/ul/li[7]/span[2]/span"")"),"Loading...")</f>
        <v>Loading...</v>
      </c>
      <c r="S2644" s="7" t="str">
        <f ca="1">IFERROR(__xludf.DUMMYFUNCTION("IMPORTXML(E2644,""/html/body/main/div[3]/div[3]/div[2]/ul/li[8]/span[2]/span"")"),"Loading...")</f>
        <v>Loading...</v>
      </c>
      <c r="T2644" s="4">
        <v>34.6</v>
      </c>
      <c r="U2644" s="4">
        <v>22.7</v>
      </c>
      <c r="V2644" s="4">
        <v>2.6</v>
      </c>
      <c r="W2644" s="4">
        <v>5.7</v>
      </c>
      <c r="X2644" s="4">
        <v>519.92999999999995</v>
      </c>
      <c r="Y2644" s="7" t="e">
        <f t="shared" ca="1" si="54"/>
        <v>#VALUE!</v>
      </c>
    </row>
    <row r="2645" spans="1:25" ht="15" x14ac:dyDescent="0.25">
      <c r="A2645" s="4">
        <v>2593</v>
      </c>
      <c r="C2645" s="41" t="s">
        <v>4921</v>
      </c>
      <c r="D2645" s="42"/>
      <c r="E2645" s="5" t="str">
        <f t="shared" si="50"/>
        <v>https://www.screener.in/company//consolidated/</v>
      </c>
      <c r="F2645" s="4">
        <v>443059</v>
      </c>
      <c r="G2645" s="4">
        <v>3832241897</v>
      </c>
      <c r="H2645" s="6" t="e">
        <f t="shared" ca="1" si="51"/>
        <v>#VALUE!</v>
      </c>
      <c r="I2645" s="7" t="str">
        <f ca="1">IFERROR(__xludf.DUMMYFUNCTION("IMPORTXML(E2645,""/html/body/main/div[3]/div[3]/div[2]/ul/li[5]/span[2]/span"")"),"Loading...")</f>
        <v>Loading...</v>
      </c>
      <c r="J2645" s="7" t="str">
        <f ca="1">IFERROR(__xludf.DUMMYFUNCTION("GOOGLEFINANCE(""NSE:""&amp;D2645,""marketcap"")"),"#N/A")</f>
        <v>#N/A</v>
      </c>
      <c r="K2645" s="7">
        <v>992.8</v>
      </c>
      <c r="L2645" s="8" t="str">
        <f ca="1">IFERROR(__xludf.DUMMYFUNCTION("GOOGLEFINANCE(""NSE:""&amp;D2645,""price"")"),"#N/A")</f>
        <v>#N/A</v>
      </c>
      <c r="M2645" s="9" t="e">
        <f t="shared" ca="1" si="52"/>
        <v>#VALUE!</v>
      </c>
      <c r="N2645" s="10" t="e">
        <f t="shared" ca="1" si="53"/>
        <v>#VALUE!</v>
      </c>
      <c r="O2645" s="7" t="str">
        <f ca="1">IFERROR(__xludf.DUMMYFUNCTION("GOOGLEFINANCE(""NSE:""&amp;D2645,""pe"")"),"#N/A")</f>
        <v>#N/A</v>
      </c>
      <c r="P2645" s="7" t="str">
        <f ca="1">IFERROR(__xludf.DUMMYFUNCTION("GOOGLEFINANCE(""NSE:""&amp;D2645,""EPS"")"),"#N/A")</f>
        <v>#N/A</v>
      </c>
      <c r="Q2645" s="7">
        <v>13.5</v>
      </c>
      <c r="R2645" s="7" t="str">
        <f ca="1">IFERROR(__xludf.DUMMYFUNCTION("IMPORTXML(E2645,""/html/body/main/div[3]/div[3]/div[2]/ul/li[7]/span[2]/span"")"),"Loading...")</f>
        <v>Loading...</v>
      </c>
      <c r="S2645" s="7" t="str">
        <f ca="1">IFERROR(__xludf.DUMMYFUNCTION("IMPORTXML(E2645,""/html/body/main/div[3]/div[3]/div[2]/ul/li[8]/span[2]/span"")"),"Loading...")</f>
        <v>Loading...</v>
      </c>
      <c r="T2645" s="4">
        <v>34.6</v>
      </c>
      <c r="U2645" s="4">
        <v>22.7</v>
      </c>
      <c r="V2645" s="4">
        <v>2.6</v>
      </c>
      <c r="W2645" s="4">
        <v>5.7</v>
      </c>
      <c r="X2645" s="4">
        <v>519.92999999999995</v>
      </c>
      <c r="Y2645" s="7" t="e">
        <f t="shared" ca="1" si="54"/>
        <v>#VALUE!</v>
      </c>
    </row>
    <row r="2646" spans="1:25" ht="15" x14ac:dyDescent="0.25">
      <c r="A2646" s="4">
        <v>2594</v>
      </c>
      <c r="C2646" s="41" t="s">
        <v>4922</v>
      </c>
      <c r="D2646" s="42"/>
      <c r="E2646" s="5" t="str">
        <f t="shared" si="50"/>
        <v>https://www.screener.in/company//consolidated/</v>
      </c>
      <c r="F2646" s="4">
        <v>443059</v>
      </c>
      <c r="G2646" s="4">
        <v>3832241897</v>
      </c>
      <c r="H2646" s="6" t="e">
        <f t="shared" ca="1" si="51"/>
        <v>#VALUE!</v>
      </c>
      <c r="I2646" s="7" t="str">
        <f ca="1">IFERROR(__xludf.DUMMYFUNCTION("IMPORTXML(E2646,""/html/body/main/div[3]/div[3]/div[2]/ul/li[5]/span[2]/span"")"),"Loading...")</f>
        <v>Loading...</v>
      </c>
      <c r="J2646" s="7" t="str">
        <f ca="1">IFERROR(__xludf.DUMMYFUNCTION("GOOGLEFINANCE(""NSE:""&amp;D2646,""marketcap"")"),"#N/A")</f>
        <v>#N/A</v>
      </c>
      <c r="K2646" s="7">
        <v>992.8</v>
      </c>
      <c r="L2646" s="8" t="str">
        <f ca="1">IFERROR(__xludf.DUMMYFUNCTION("GOOGLEFINANCE(""NSE:""&amp;D2646,""price"")"),"#N/A")</f>
        <v>#N/A</v>
      </c>
      <c r="M2646" s="9" t="e">
        <f t="shared" ca="1" si="52"/>
        <v>#VALUE!</v>
      </c>
      <c r="N2646" s="10" t="e">
        <f t="shared" ca="1" si="53"/>
        <v>#VALUE!</v>
      </c>
      <c r="O2646" s="7" t="str">
        <f ca="1">IFERROR(__xludf.DUMMYFUNCTION("GOOGLEFINANCE(""NSE:""&amp;D2646,""pe"")"),"#N/A")</f>
        <v>#N/A</v>
      </c>
      <c r="P2646" s="7" t="str">
        <f ca="1">IFERROR(__xludf.DUMMYFUNCTION("GOOGLEFINANCE(""NSE:""&amp;D2646,""EPS"")"),"#N/A")</f>
        <v>#N/A</v>
      </c>
      <c r="Q2646" s="7">
        <v>13.5</v>
      </c>
      <c r="R2646" s="7" t="str">
        <f ca="1">IFERROR(__xludf.DUMMYFUNCTION("IMPORTXML(E2646,""/html/body/main/div[3]/div[3]/div[2]/ul/li[7]/span[2]/span"")"),"Loading...")</f>
        <v>Loading...</v>
      </c>
      <c r="S2646" s="7" t="str">
        <f ca="1">IFERROR(__xludf.DUMMYFUNCTION("IMPORTXML(E2646,""/html/body/main/div[3]/div[3]/div[2]/ul/li[8]/span[2]/span"")"),"Loading...")</f>
        <v>Loading...</v>
      </c>
      <c r="T2646" s="4">
        <v>34.6</v>
      </c>
      <c r="U2646" s="4">
        <v>22.7</v>
      </c>
      <c r="V2646" s="4">
        <v>2.6</v>
      </c>
      <c r="W2646" s="4">
        <v>5.7</v>
      </c>
      <c r="X2646" s="4">
        <v>519.92999999999995</v>
      </c>
      <c r="Y2646" s="7" t="e">
        <f t="shared" ca="1" si="54"/>
        <v>#VALUE!</v>
      </c>
    </row>
    <row r="2647" spans="1:25" ht="15" x14ac:dyDescent="0.25">
      <c r="A2647" s="4">
        <v>2595</v>
      </c>
      <c r="C2647" s="41" t="s">
        <v>4923</v>
      </c>
      <c r="D2647" s="42"/>
      <c r="E2647" s="5" t="str">
        <f t="shared" si="50"/>
        <v>https://www.screener.in/company//consolidated/</v>
      </c>
      <c r="F2647" s="4">
        <v>443059</v>
      </c>
      <c r="G2647" s="4">
        <v>3832241897</v>
      </c>
      <c r="H2647" s="6" t="e">
        <f t="shared" ca="1" si="51"/>
        <v>#VALUE!</v>
      </c>
      <c r="I2647" s="7" t="str">
        <f ca="1">IFERROR(__xludf.DUMMYFUNCTION("IMPORTXML(E2647,""/html/body/main/div[3]/div[3]/div[2]/ul/li[5]/span[2]/span"")"),"Loading...")</f>
        <v>Loading...</v>
      </c>
      <c r="J2647" s="7" t="str">
        <f ca="1">IFERROR(__xludf.DUMMYFUNCTION("GOOGLEFINANCE(""NSE:""&amp;D2647,""marketcap"")"),"#N/A")</f>
        <v>#N/A</v>
      </c>
      <c r="K2647" s="7">
        <v>992.8</v>
      </c>
      <c r="L2647" s="8" t="str">
        <f ca="1">IFERROR(__xludf.DUMMYFUNCTION("GOOGLEFINANCE(""NSE:""&amp;D2647,""price"")"),"#N/A")</f>
        <v>#N/A</v>
      </c>
      <c r="M2647" s="9" t="e">
        <f t="shared" ca="1" si="52"/>
        <v>#VALUE!</v>
      </c>
      <c r="N2647" s="10" t="e">
        <f t="shared" ca="1" si="53"/>
        <v>#VALUE!</v>
      </c>
      <c r="O2647" s="7" t="str">
        <f ca="1">IFERROR(__xludf.DUMMYFUNCTION("GOOGLEFINANCE(""NSE:""&amp;D2647,""pe"")"),"#N/A")</f>
        <v>#N/A</v>
      </c>
      <c r="P2647" s="7" t="str">
        <f ca="1">IFERROR(__xludf.DUMMYFUNCTION("GOOGLEFINANCE(""NSE:""&amp;D2647,""EPS"")"),"#N/A")</f>
        <v>#N/A</v>
      </c>
      <c r="Q2647" s="7">
        <v>13.5</v>
      </c>
      <c r="R2647" s="7" t="str">
        <f ca="1">IFERROR(__xludf.DUMMYFUNCTION("IMPORTXML(E2647,""/html/body/main/div[3]/div[3]/div[2]/ul/li[7]/span[2]/span"")"),"Loading...")</f>
        <v>Loading...</v>
      </c>
      <c r="S2647" s="7" t="str">
        <f ca="1">IFERROR(__xludf.DUMMYFUNCTION("IMPORTXML(E2647,""/html/body/main/div[3]/div[3]/div[2]/ul/li[8]/span[2]/span"")"),"Loading...")</f>
        <v>Loading...</v>
      </c>
      <c r="T2647" s="4">
        <v>34.6</v>
      </c>
      <c r="U2647" s="4">
        <v>22.7</v>
      </c>
      <c r="V2647" s="4">
        <v>2.6</v>
      </c>
      <c r="W2647" s="4">
        <v>5.7</v>
      </c>
      <c r="X2647" s="4">
        <v>519.92999999999995</v>
      </c>
      <c r="Y2647" s="7" t="e">
        <f t="shared" ca="1" si="54"/>
        <v>#VALUE!</v>
      </c>
    </row>
    <row r="2648" spans="1:25" ht="15" x14ac:dyDescent="0.25">
      <c r="A2648" s="4">
        <v>2596</v>
      </c>
      <c r="C2648" s="41" t="s">
        <v>4924</v>
      </c>
      <c r="D2648" s="42"/>
      <c r="E2648" s="5" t="str">
        <f t="shared" si="50"/>
        <v>https://www.screener.in/company//consolidated/</v>
      </c>
      <c r="F2648" s="4">
        <v>443059</v>
      </c>
      <c r="G2648" s="4">
        <v>3832241897</v>
      </c>
      <c r="H2648" s="6" t="e">
        <f t="shared" ca="1" si="51"/>
        <v>#VALUE!</v>
      </c>
      <c r="I2648" s="7" t="str">
        <f ca="1">IFERROR(__xludf.DUMMYFUNCTION("IMPORTXML(E2648,""/html/body/main/div[3]/div[3]/div[2]/ul/li[5]/span[2]/span"")"),"Loading...")</f>
        <v>Loading...</v>
      </c>
      <c r="J2648" s="7" t="str">
        <f ca="1">IFERROR(__xludf.DUMMYFUNCTION("GOOGLEFINANCE(""NSE:""&amp;D2648,""marketcap"")"),"#N/A")</f>
        <v>#N/A</v>
      </c>
      <c r="K2648" s="7">
        <v>992.8</v>
      </c>
      <c r="L2648" s="8" t="str">
        <f ca="1">IFERROR(__xludf.DUMMYFUNCTION("GOOGLEFINANCE(""NSE:""&amp;D2648,""price"")"),"#N/A")</f>
        <v>#N/A</v>
      </c>
      <c r="M2648" s="9" t="e">
        <f t="shared" ca="1" si="52"/>
        <v>#VALUE!</v>
      </c>
      <c r="N2648" s="10" t="e">
        <f t="shared" ca="1" si="53"/>
        <v>#VALUE!</v>
      </c>
      <c r="O2648" s="7" t="str">
        <f ca="1">IFERROR(__xludf.DUMMYFUNCTION("GOOGLEFINANCE(""NSE:""&amp;D2648,""pe"")"),"#N/A")</f>
        <v>#N/A</v>
      </c>
      <c r="P2648" s="7" t="str">
        <f ca="1">IFERROR(__xludf.DUMMYFUNCTION("GOOGLEFINANCE(""NSE:""&amp;D2648,""EPS"")"),"#N/A")</f>
        <v>#N/A</v>
      </c>
      <c r="Q2648" s="7">
        <v>13.5</v>
      </c>
      <c r="R2648" s="7" t="str">
        <f ca="1">IFERROR(__xludf.DUMMYFUNCTION("IMPORTXML(E2648,""/html/body/main/div[3]/div[3]/div[2]/ul/li[7]/span[2]/span"")"),"Loading...")</f>
        <v>Loading...</v>
      </c>
      <c r="S2648" s="7" t="str">
        <f ca="1">IFERROR(__xludf.DUMMYFUNCTION("IMPORTXML(E2648,""/html/body/main/div[3]/div[3]/div[2]/ul/li[8]/span[2]/span"")"),"Loading...")</f>
        <v>Loading...</v>
      </c>
      <c r="T2648" s="4">
        <v>34.6</v>
      </c>
      <c r="U2648" s="4">
        <v>22.7</v>
      </c>
      <c r="V2648" s="4">
        <v>2.6</v>
      </c>
      <c r="W2648" s="4">
        <v>5.7</v>
      </c>
      <c r="X2648" s="4">
        <v>519.92999999999995</v>
      </c>
      <c r="Y2648" s="7" t="e">
        <f t="shared" ca="1" si="54"/>
        <v>#VALUE!</v>
      </c>
    </row>
    <row r="2649" spans="1:25" ht="15" x14ac:dyDescent="0.25">
      <c r="A2649" s="4">
        <v>2597</v>
      </c>
      <c r="C2649" s="41" t="s">
        <v>4925</v>
      </c>
      <c r="D2649" s="42"/>
      <c r="E2649" s="5" t="str">
        <f t="shared" si="50"/>
        <v>https://www.screener.in/company//consolidated/</v>
      </c>
      <c r="F2649" s="4">
        <v>443059</v>
      </c>
      <c r="G2649" s="4">
        <v>3832241897</v>
      </c>
      <c r="H2649" s="6" t="e">
        <f t="shared" ca="1" si="51"/>
        <v>#VALUE!</v>
      </c>
      <c r="I2649" s="7" t="str">
        <f ca="1">IFERROR(__xludf.DUMMYFUNCTION("IMPORTXML(E2649,""/html/body/main/div[3]/div[3]/div[2]/ul/li[5]/span[2]/span"")"),"Loading...")</f>
        <v>Loading...</v>
      </c>
      <c r="J2649" s="7" t="str">
        <f ca="1">IFERROR(__xludf.DUMMYFUNCTION("GOOGLEFINANCE(""NSE:""&amp;D2649,""marketcap"")"),"#N/A")</f>
        <v>#N/A</v>
      </c>
      <c r="K2649" s="7">
        <v>992.8</v>
      </c>
      <c r="L2649" s="8" t="str">
        <f ca="1">IFERROR(__xludf.DUMMYFUNCTION("GOOGLEFINANCE(""NSE:""&amp;D2649,""price"")"),"#N/A")</f>
        <v>#N/A</v>
      </c>
      <c r="M2649" s="9" t="e">
        <f t="shared" ca="1" si="52"/>
        <v>#VALUE!</v>
      </c>
      <c r="N2649" s="10" t="e">
        <f t="shared" ca="1" si="53"/>
        <v>#VALUE!</v>
      </c>
      <c r="O2649" s="7" t="str">
        <f ca="1">IFERROR(__xludf.DUMMYFUNCTION("GOOGLEFINANCE(""NSE:""&amp;D2649,""pe"")"),"#N/A")</f>
        <v>#N/A</v>
      </c>
      <c r="P2649" s="7" t="str">
        <f ca="1">IFERROR(__xludf.DUMMYFUNCTION("GOOGLEFINANCE(""NSE:""&amp;D2649,""EPS"")"),"#N/A")</f>
        <v>#N/A</v>
      </c>
      <c r="Q2649" s="7">
        <v>13.5</v>
      </c>
      <c r="R2649" s="7" t="str">
        <f ca="1">IFERROR(__xludf.DUMMYFUNCTION("IMPORTXML(E2649,""/html/body/main/div[3]/div[3]/div[2]/ul/li[7]/span[2]/span"")"),"Loading...")</f>
        <v>Loading...</v>
      </c>
      <c r="S2649" s="7" t="str">
        <f ca="1">IFERROR(__xludf.DUMMYFUNCTION("IMPORTXML(E2649,""/html/body/main/div[3]/div[3]/div[2]/ul/li[8]/span[2]/span"")"),"Loading...")</f>
        <v>Loading...</v>
      </c>
      <c r="T2649" s="4">
        <v>34.6</v>
      </c>
      <c r="U2649" s="4">
        <v>22.7</v>
      </c>
      <c r="V2649" s="4">
        <v>2.6</v>
      </c>
      <c r="W2649" s="4">
        <v>5.7</v>
      </c>
      <c r="X2649" s="4">
        <v>519.92999999999995</v>
      </c>
      <c r="Y2649" s="7" t="e">
        <f t="shared" ca="1" si="54"/>
        <v>#VALUE!</v>
      </c>
    </row>
    <row r="2650" spans="1:25" ht="15" x14ac:dyDescent="0.25">
      <c r="A2650" s="4">
        <v>2598</v>
      </c>
      <c r="C2650" s="41" t="s">
        <v>4926</v>
      </c>
      <c r="D2650" s="42"/>
      <c r="E2650" s="5" t="str">
        <f t="shared" si="50"/>
        <v>https://www.screener.in/company//consolidated/</v>
      </c>
      <c r="F2650" s="4">
        <v>443059</v>
      </c>
      <c r="G2650" s="4">
        <v>3832241897</v>
      </c>
      <c r="H2650" s="6" t="e">
        <f t="shared" ca="1" si="51"/>
        <v>#VALUE!</v>
      </c>
      <c r="I2650" s="7" t="str">
        <f ca="1">IFERROR(__xludf.DUMMYFUNCTION("IMPORTXML(E2650,""/html/body/main/div[3]/div[3]/div[2]/ul/li[5]/span[2]/span"")"),"Loading...")</f>
        <v>Loading...</v>
      </c>
      <c r="J2650" s="7" t="str">
        <f ca="1">IFERROR(__xludf.DUMMYFUNCTION("GOOGLEFINANCE(""NSE:""&amp;D2650,""marketcap"")"),"#N/A")</f>
        <v>#N/A</v>
      </c>
      <c r="K2650" s="7">
        <v>992.8</v>
      </c>
      <c r="L2650" s="8" t="str">
        <f ca="1">IFERROR(__xludf.DUMMYFUNCTION("GOOGLEFINANCE(""NSE:""&amp;D2650,""price"")"),"#N/A")</f>
        <v>#N/A</v>
      </c>
      <c r="M2650" s="9" t="e">
        <f t="shared" ca="1" si="52"/>
        <v>#VALUE!</v>
      </c>
      <c r="N2650" s="10" t="e">
        <f t="shared" ca="1" si="53"/>
        <v>#VALUE!</v>
      </c>
      <c r="O2650" s="7" t="str">
        <f ca="1">IFERROR(__xludf.DUMMYFUNCTION("GOOGLEFINANCE(""NSE:""&amp;D2650,""pe"")"),"#N/A")</f>
        <v>#N/A</v>
      </c>
      <c r="P2650" s="7" t="str">
        <f ca="1">IFERROR(__xludf.DUMMYFUNCTION("GOOGLEFINANCE(""NSE:""&amp;D2650,""EPS"")"),"#N/A")</f>
        <v>#N/A</v>
      </c>
      <c r="Q2650" s="7">
        <v>13.5</v>
      </c>
      <c r="R2650" s="7" t="str">
        <f ca="1">IFERROR(__xludf.DUMMYFUNCTION("IMPORTXML(E2650,""/html/body/main/div[3]/div[3]/div[2]/ul/li[7]/span[2]/span"")"),"Loading...")</f>
        <v>Loading...</v>
      </c>
      <c r="S2650" s="7" t="str">
        <f ca="1">IFERROR(__xludf.DUMMYFUNCTION("IMPORTXML(E2650,""/html/body/main/div[3]/div[3]/div[2]/ul/li[8]/span[2]/span"")"),"Loading...")</f>
        <v>Loading...</v>
      </c>
      <c r="T2650" s="4">
        <v>34.6</v>
      </c>
      <c r="U2650" s="4">
        <v>22.7</v>
      </c>
      <c r="V2650" s="4">
        <v>2.6</v>
      </c>
      <c r="W2650" s="4">
        <v>5.7</v>
      </c>
      <c r="X2650" s="4">
        <v>519.92999999999995</v>
      </c>
      <c r="Y2650" s="7" t="e">
        <f t="shared" ca="1" si="54"/>
        <v>#VALUE!</v>
      </c>
    </row>
    <row r="2651" spans="1:25" ht="15" x14ac:dyDescent="0.25">
      <c r="A2651" s="4">
        <v>2599</v>
      </c>
      <c r="C2651" s="41" t="s">
        <v>4927</v>
      </c>
      <c r="D2651" s="42"/>
      <c r="E2651" s="5" t="str">
        <f t="shared" si="50"/>
        <v>https://www.screener.in/company//consolidated/</v>
      </c>
      <c r="F2651" s="4">
        <v>443059</v>
      </c>
      <c r="G2651" s="4">
        <v>3832241897</v>
      </c>
      <c r="H2651" s="6" t="e">
        <f t="shared" ca="1" si="51"/>
        <v>#VALUE!</v>
      </c>
      <c r="I2651" s="7" t="str">
        <f ca="1">IFERROR(__xludf.DUMMYFUNCTION("IMPORTXML(E2651,""/html/body/main/div[3]/div[3]/div[2]/ul/li[5]/span[2]/span"")"),"Loading...")</f>
        <v>Loading...</v>
      </c>
      <c r="J2651" s="7" t="str">
        <f ca="1">IFERROR(__xludf.DUMMYFUNCTION("GOOGLEFINANCE(""NSE:""&amp;D2651,""marketcap"")"),"#N/A")</f>
        <v>#N/A</v>
      </c>
      <c r="K2651" s="7">
        <v>992.8</v>
      </c>
      <c r="L2651" s="8" t="str">
        <f ca="1">IFERROR(__xludf.DUMMYFUNCTION("GOOGLEFINANCE(""NSE:""&amp;D2651,""price"")"),"#N/A")</f>
        <v>#N/A</v>
      </c>
      <c r="M2651" s="9" t="e">
        <f t="shared" ca="1" si="52"/>
        <v>#VALUE!</v>
      </c>
      <c r="N2651" s="10" t="e">
        <f t="shared" ca="1" si="53"/>
        <v>#VALUE!</v>
      </c>
      <c r="O2651" s="7" t="str">
        <f ca="1">IFERROR(__xludf.DUMMYFUNCTION("GOOGLEFINANCE(""NSE:""&amp;D2651,""pe"")"),"#N/A")</f>
        <v>#N/A</v>
      </c>
      <c r="P2651" s="7" t="str">
        <f ca="1">IFERROR(__xludf.DUMMYFUNCTION("GOOGLEFINANCE(""NSE:""&amp;D2651,""EPS"")"),"#N/A")</f>
        <v>#N/A</v>
      </c>
      <c r="Q2651" s="7">
        <v>13.5</v>
      </c>
      <c r="R2651" s="7" t="str">
        <f ca="1">IFERROR(__xludf.DUMMYFUNCTION("IMPORTXML(E2651,""/html/body/main/div[3]/div[3]/div[2]/ul/li[7]/span[2]/span"")"),"Loading...")</f>
        <v>Loading...</v>
      </c>
      <c r="S2651" s="7" t="str">
        <f ca="1">IFERROR(__xludf.DUMMYFUNCTION("IMPORTXML(E2651,""/html/body/main/div[3]/div[3]/div[2]/ul/li[8]/span[2]/span"")"),"Loading...")</f>
        <v>Loading...</v>
      </c>
      <c r="T2651" s="4">
        <v>34.6</v>
      </c>
      <c r="U2651" s="4">
        <v>22.7</v>
      </c>
      <c r="V2651" s="4">
        <v>2.6</v>
      </c>
      <c r="W2651" s="4">
        <v>5.7</v>
      </c>
      <c r="X2651" s="4">
        <v>519.92999999999995</v>
      </c>
      <c r="Y2651" s="7" t="e">
        <f t="shared" ca="1" si="54"/>
        <v>#VALUE!</v>
      </c>
    </row>
    <row r="2652" spans="1:25" ht="15" x14ac:dyDescent="0.25">
      <c r="A2652" s="4">
        <v>2600</v>
      </c>
      <c r="C2652" s="41" t="s">
        <v>4928</v>
      </c>
      <c r="D2652" s="42"/>
      <c r="E2652" s="5" t="str">
        <f t="shared" si="50"/>
        <v>https://www.screener.in/company//consolidated/</v>
      </c>
      <c r="F2652" s="4">
        <v>443059</v>
      </c>
      <c r="G2652" s="4">
        <v>3832241897</v>
      </c>
      <c r="H2652" s="6" t="e">
        <f t="shared" ca="1" si="51"/>
        <v>#VALUE!</v>
      </c>
      <c r="I2652" s="7" t="str">
        <f ca="1">IFERROR(__xludf.DUMMYFUNCTION("IMPORTXML(E2652,""/html/body/main/div[3]/div[3]/div[2]/ul/li[5]/span[2]/span"")"),"Loading...")</f>
        <v>Loading...</v>
      </c>
      <c r="J2652" s="7" t="str">
        <f ca="1">IFERROR(__xludf.DUMMYFUNCTION("GOOGLEFINANCE(""NSE:""&amp;D2652,""marketcap"")"),"#N/A")</f>
        <v>#N/A</v>
      </c>
      <c r="K2652" s="7">
        <v>992.8</v>
      </c>
      <c r="L2652" s="8" t="str">
        <f ca="1">IFERROR(__xludf.DUMMYFUNCTION("GOOGLEFINANCE(""NSE:""&amp;D2652,""price"")"),"#N/A")</f>
        <v>#N/A</v>
      </c>
      <c r="M2652" s="9" t="e">
        <f t="shared" ca="1" si="52"/>
        <v>#VALUE!</v>
      </c>
      <c r="N2652" s="10" t="e">
        <f t="shared" ca="1" si="53"/>
        <v>#VALUE!</v>
      </c>
      <c r="O2652" s="7" t="str">
        <f ca="1">IFERROR(__xludf.DUMMYFUNCTION("GOOGLEFINANCE(""NSE:""&amp;D2652,""pe"")"),"#N/A")</f>
        <v>#N/A</v>
      </c>
      <c r="P2652" s="7" t="str">
        <f ca="1">IFERROR(__xludf.DUMMYFUNCTION("GOOGLEFINANCE(""NSE:""&amp;D2652,""EPS"")"),"#N/A")</f>
        <v>#N/A</v>
      </c>
      <c r="Q2652" s="7">
        <v>13.5</v>
      </c>
      <c r="R2652" s="7" t="str">
        <f ca="1">IFERROR(__xludf.DUMMYFUNCTION("IMPORTXML(E2652,""/html/body/main/div[3]/div[3]/div[2]/ul/li[7]/span[2]/span"")"),"Loading...")</f>
        <v>Loading...</v>
      </c>
      <c r="S2652" s="7" t="str">
        <f ca="1">IFERROR(__xludf.DUMMYFUNCTION("IMPORTXML(E2652,""/html/body/main/div[3]/div[3]/div[2]/ul/li[8]/span[2]/span"")"),"Loading...")</f>
        <v>Loading...</v>
      </c>
      <c r="T2652" s="4">
        <v>34.6</v>
      </c>
      <c r="U2652" s="4">
        <v>22.7</v>
      </c>
      <c r="V2652" s="4">
        <v>2.6</v>
      </c>
      <c r="W2652" s="4">
        <v>5.7</v>
      </c>
      <c r="X2652" s="4">
        <v>519.92999999999995</v>
      </c>
      <c r="Y2652" s="7" t="e">
        <f t="shared" ca="1" si="54"/>
        <v>#VALUE!</v>
      </c>
    </row>
    <row r="2653" spans="1:25" ht="15" x14ac:dyDescent="0.25">
      <c r="A2653" s="4">
        <v>2601</v>
      </c>
      <c r="C2653" s="41" t="s">
        <v>4929</v>
      </c>
      <c r="D2653" s="42"/>
      <c r="E2653" s="5" t="str">
        <f t="shared" si="50"/>
        <v>https://www.screener.in/company//consolidated/</v>
      </c>
      <c r="F2653" s="4">
        <v>443059</v>
      </c>
      <c r="G2653" s="4">
        <v>3832241897</v>
      </c>
      <c r="H2653" s="6" t="e">
        <f t="shared" ca="1" si="51"/>
        <v>#VALUE!</v>
      </c>
      <c r="I2653" s="7" t="str">
        <f ca="1">IFERROR(__xludf.DUMMYFUNCTION("IMPORTXML(E2653,""/html/body/main/div[3]/div[3]/div[2]/ul/li[5]/span[2]/span"")"),"Loading...")</f>
        <v>Loading...</v>
      </c>
      <c r="J2653" s="7" t="str">
        <f ca="1">IFERROR(__xludf.DUMMYFUNCTION("GOOGLEFINANCE(""NSE:""&amp;D2653,""marketcap"")"),"#N/A")</f>
        <v>#N/A</v>
      </c>
      <c r="K2653" s="7">
        <v>992.8</v>
      </c>
      <c r="L2653" s="8" t="str">
        <f ca="1">IFERROR(__xludf.DUMMYFUNCTION("GOOGLEFINANCE(""NSE:""&amp;D2653,""price"")"),"#N/A")</f>
        <v>#N/A</v>
      </c>
      <c r="M2653" s="9" t="e">
        <f t="shared" ca="1" si="52"/>
        <v>#VALUE!</v>
      </c>
      <c r="N2653" s="10" t="e">
        <f t="shared" ca="1" si="53"/>
        <v>#VALUE!</v>
      </c>
      <c r="O2653" s="7" t="str">
        <f ca="1">IFERROR(__xludf.DUMMYFUNCTION("GOOGLEFINANCE(""NSE:""&amp;D2653,""pe"")"),"#N/A")</f>
        <v>#N/A</v>
      </c>
      <c r="P2653" s="7" t="str">
        <f ca="1">IFERROR(__xludf.DUMMYFUNCTION("GOOGLEFINANCE(""NSE:""&amp;D2653,""EPS"")"),"#N/A")</f>
        <v>#N/A</v>
      </c>
      <c r="Q2653" s="7">
        <v>13.5</v>
      </c>
      <c r="R2653" s="7" t="str">
        <f ca="1">IFERROR(__xludf.DUMMYFUNCTION("IMPORTXML(E2653,""/html/body/main/div[3]/div[3]/div[2]/ul/li[7]/span[2]/span"")"),"Loading...")</f>
        <v>Loading...</v>
      </c>
      <c r="S2653" s="7" t="str">
        <f ca="1">IFERROR(__xludf.DUMMYFUNCTION("IMPORTXML(E2653,""/html/body/main/div[3]/div[3]/div[2]/ul/li[8]/span[2]/span"")"),"Loading...")</f>
        <v>Loading...</v>
      </c>
      <c r="T2653" s="4">
        <v>34.6</v>
      </c>
      <c r="U2653" s="4">
        <v>22.7</v>
      </c>
      <c r="V2653" s="4">
        <v>2.6</v>
      </c>
      <c r="W2653" s="4">
        <v>5.7</v>
      </c>
      <c r="X2653" s="4">
        <v>519.92999999999995</v>
      </c>
      <c r="Y2653" s="7" t="e">
        <f t="shared" ca="1" si="54"/>
        <v>#VALUE!</v>
      </c>
    </row>
    <row r="2654" spans="1:25" ht="15" x14ac:dyDescent="0.25">
      <c r="A2654" s="4">
        <v>2602</v>
      </c>
      <c r="C2654" s="41" t="s">
        <v>4930</v>
      </c>
      <c r="D2654" s="42"/>
      <c r="E2654" s="5" t="str">
        <f t="shared" si="50"/>
        <v>https://www.screener.in/company//consolidated/</v>
      </c>
      <c r="F2654" s="4">
        <v>443059</v>
      </c>
      <c r="G2654" s="4">
        <v>3832241897</v>
      </c>
      <c r="H2654" s="6" t="e">
        <f t="shared" ca="1" si="51"/>
        <v>#VALUE!</v>
      </c>
      <c r="I2654" s="7" t="str">
        <f ca="1">IFERROR(__xludf.DUMMYFUNCTION("IMPORTXML(E2654,""/html/body/main/div[3]/div[3]/div[2]/ul/li[5]/span[2]/span"")"),"Loading...")</f>
        <v>Loading...</v>
      </c>
      <c r="J2654" s="7" t="str">
        <f ca="1">IFERROR(__xludf.DUMMYFUNCTION("GOOGLEFINANCE(""NSE:""&amp;D2654,""marketcap"")"),"#N/A")</f>
        <v>#N/A</v>
      </c>
      <c r="K2654" s="7">
        <v>992.8</v>
      </c>
      <c r="L2654" s="8" t="str">
        <f ca="1">IFERROR(__xludf.DUMMYFUNCTION("GOOGLEFINANCE(""NSE:""&amp;D2654,""price"")"),"#N/A")</f>
        <v>#N/A</v>
      </c>
      <c r="M2654" s="9" t="e">
        <f t="shared" ca="1" si="52"/>
        <v>#VALUE!</v>
      </c>
      <c r="N2654" s="10" t="e">
        <f t="shared" ca="1" si="53"/>
        <v>#VALUE!</v>
      </c>
      <c r="O2654" s="7" t="str">
        <f ca="1">IFERROR(__xludf.DUMMYFUNCTION("GOOGLEFINANCE(""NSE:""&amp;D2654,""pe"")"),"#N/A")</f>
        <v>#N/A</v>
      </c>
      <c r="P2654" s="7" t="str">
        <f ca="1">IFERROR(__xludf.DUMMYFUNCTION("GOOGLEFINANCE(""NSE:""&amp;D2654,""EPS"")"),"#N/A")</f>
        <v>#N/A</v>
      </c>
      <c r="Q2654" s="7">
        <v>13.5</v>
      </c>
      <c r="R2654" s="7" t="str">
        <f ca="1">IFERROR(__xludf.DUMMYFUNCTION("IMPORTXML(E2654,""/html/body/main/div[3]/div[3]/div[2]/ul/li[7]/span[2]/span"")"),"Loading...")</f>
        <v>Loading...</v>
      </c>
      <c r="S2654" s="7" t="str">
        <f ca="1">IFERROR(__xludf.DUMMYFUNCTION("IMPORTXML(E2654,""/html/body/main/div[3]/div[3]/div[2]/ul/li[8]/span[2]/span"")"),"Loading...")</f>
        <v>Loading...</v>
      </c>
      <c r="T2654" s="4">
        <v>34.6</v>
      </c>
      <c r="U2654" s="4">
        <v>22.7</v>
      </c>
      <c r="V2654" s="4">
        <v>2.6</v>
      </c>
      <c r="W2654" s="4">
        <v>5.7</v>
      </c>
      <c r="X2654" s="4">
        <v>519.92999999999995</v>
      </c>
      <c r="Y2654" s="7" t="e">
        <f t="shared" ca="1" si="54"/>
        <v>#VALUE!</v>
      </c>
    </row>
    <row r="2655" spans="1:25" ht="15" x14ac:dyDescent="0.25">
      <c r="A2655" s="4">
        <v>2603</v>
      </c>
      <c r="C2655" s="41" t="s">
        <v>4931</v>
      </c>
      <c r="D2655" s="42"/>
      <c r="E2655" s="5" t="str">
        <f t="shared" si="50"/>
        <v>https://www.screener.in/company//consolidated/</v>
      </c>
      <c r="F2655" s="4">
        <v>443059</v>
      </c>
      <c r="G2655" s="4">
        <v>3832241897</v>
      </c>
      <c r="H2655" s="6" t="e">
        <f t="shared" ca="1" si="51"/>
        <v>#VALUE!</v>
      </c>
      <c r="I2655" s="7" t="str">
        <f ca="1">IFERROR(__xludf.DUMMYFUNCTION("IMPORTXML(E2655,""/html/body/main/div[3]/div[3]/div[2]/ul/li[5]/span[2]/span"")"),"Loading...")</f>
        <v>Loading...</v>
      </c>
      <c r="J2655" s="7" t="str">
        <f ca="1">IFERROR(__xludf.DUMMYFUNCTION("GOOGLEFINANCE(""NSE:""&amp;D2655,""marketcap"")"),"#N/A")</f>
        <v>#N/A</v>
      </c>
      <c r="K2655" s="7">
        <v>992.8</v>
      </c>
      <c r="L2655" s="8" t="str">
        <f ca="1">IFERROR(__xludf.DUMMYFUNCTION("GOOGLEFINANCE(""NSE:""&amp;D2655,""price"")"),"#N/A")</f>
        <v>#N/A</v>
      </c>
      <c r="M2655" s="9" t="e">
        <f t="shared" ca="1" si="52"/>
        <v>#VALUE!</v>
      </c>
      <c r="N2655" s="10" t="e">
        <f t="shared" ca="1" si="53"/>
        <v>#VALUE!</v>
      </c>
      <c r="O2655" s="7" t="str">
        <f ca="1">IFERROR(__xludf.DUMMYFUNCTION("GOOGLEFINANCE(""NSE:""&amp;D2655,""pe"")"),"#N/A")</f>
        <v>#N/A</v>
      </c>
      <c r="P2655" s="7" t="str">
        <f ca="1">IFERROR(__xludf.DUMMYFUNCTION("GOOGLEFINANCE(""NSE:""&amp;D2655,""EPS"")"),"#N/A")</f>
        <v>#N/A</v>
      </c>
      <c r="Q2655" s="7">
        <v>13.5</v>
      </c>
      <c r="R2655" s="7" t="str">
        <f ca="1">IFERROR(__xludf.DUMMYFUNCTION("IMPORTXML(E2655,""/html/body/main/div[3]/div[3]/div[2]/ul/li[7]/span[2]/span"")"),"Loading...")</f>
        <v>Loading...</v>
      </c>
      <c r="S2655" s="7" t="str">
        <f ca="1">IFERROR(__xludf.DUMMYFUNCTION("IMPORTXML(E2655,""/html/body/main/div[3]/div[3]/div[2]/ul/li[8]/span[2]/span"")"),"Loading...")</f>
        <v>Loading...</v>
      </c>
      <c r="T2655" s="4">
        <v>34.6</v>
      </c>
      <c r="U2655" s="4">
        <v>22.7</v>
      </c>
      <c r="V2655" s="4">
        <v>2.6</v>
      </c>
      <c r="W2655" s="4">
        <v>5.7</v>
      </c>
      <c r="X2655" s="4">
        <v>519.92999999999995</v>
      </c>
      <c r="Y2655" s="7" t="e">
        <f t="shared" ca="1" si="54"/>
        <v>#VALUE!</v>
      </c>
    </row>
    <row r="2656" spans="1:25" ht="15" x14ac:dyDescent="0.25">
      <c r="A2656" s="4">
        <v>2604</v>
      </c>
      <c r="C2656" s="41" t="s">
        <v>4932</v>
      </c>
      <c r="D2656" s="42"/>
      <c r="E2656" s="5" t="str">
        <f t="shared" si="50"/>
        <v>https://www.screener.in/company//consolidated/</v>
      </c>
      <c r="F2656" s="4">
        <v>443059</v>
      </c>
      <c r="G2656" s="4">
        <v>3832241897</v>
      </c>
      <c r="H2656" s="6" t="e">
        <f t="shared" ca="1" si="51"/>
        <v>#VALUE!</v>
      </c>
      <c r="I2656" s="7" t="str">
        <f ca="1">IFERROR(__xludf.DUMMYFUNCTION("IMPORTXML(E2656,""/html/body/main/div[3]/div[3]/div[2]/ul/li[5]/span[2]/span"")"),"Loading...")</f>
        <v>Loading...</v>
      </c>
      <c r="J2656" s="7" t="str">
        <f ca="1">IFERROR(__xludf.DUMMYFUNCTION("GOOGLEFINANCE(""NSE:""&amp;D2656,""marketcap"")"),"#N/A")</f>
        <v>#N/A</v>
      </c>
      <c r="K2656" s="7">
        <v>992.8</v>
      </c>
      <c r="L2656" s="8" t="str">
        <f ca="1">IFERROR(__xludf.DUMMYFUNCTION("GOOGLEFINANCE(""NSE:""&amp;D2656,""price"")"),"#N/A")</f>
        <v>#N/A</v>
      </c>
      <c r="M2656" s="9" t="e">
        <f t="shared" ca="1" si="52"/>
        <v>#VALUE!</v>
      </c>
      <c r="N2656" s="10" t="e">
        <f t="shared" ca="1" si="53"/>
        <v>#VALUE!</v>
      </c>
      <c r="O2656" s="7" t="str">
        <f ca="1">IFERROR(__xludf.DUMMYFUNCTION("GOOGLEFINANCE(""NSE:""&amp;D2656,""pe"")"),"#N/A")</f>
        <v>#N/A</v>
      </c>
      <c r="P2656" s="7" t="str">
        <f ca="1">IFERROR(__xludf.DUMMYFUNCTION("GOOGLEFINANCE(""NSE:""&amp;D2656,""EPS"")"),"#N/A")</f>
        <v>#N/A</v>
      </c>
      <c r="Q2656" s="7">
        <v>13.5</v>
      </c>
      <c r="R2656" s="7" t="str">
        <f ca="1">IFERROR(__xludf.DUMMYFUNCTION("IMPORTXML(E2656,""/html/body/main/div[3]/div[3]/div[2]/ul/li[7]/span[2]/span"")"),"Loading...")</f>
        <v>Loading...</v>
      </c>
      <c r="S2656" s="7" t="str">
        <f ca="1">IFERROR(__xludf.DUMMYFUNCTION("IMPORTXML(E2656,""/html/body/main/div[3]/div[3]/div[2]/ul/li[8]/span[2]/span"")"),"Loading...")</f>
        <v>Loading...</v>
      </c>
      <c r="T2656" s="4">
        <v>34.6</v>
      </c>
      <c r="U2656" s="4">
        <v>22.7</v>
      </c>
      <c r="V2656" s="4">
        <v>2.6</v>
      </c>
      <c r="W2656" s="4">
        <v>5.7</v>
      </c>
      <c r="X2656" s="4">
        <v>519.92999999999995</v>
      </c>
      <c r="Y2656" s="7" t="e">
        <f t="shared" ca="1" si="54"/>
        <v>#VALUE!</v>
      </c>
    </row>
    <row r="2657" spans="1:25" ht="15" x14ac:dyDescent="0.25">
      <c r="A2657" s="4">
        <v>2605</v>
      </c>
      <c r="C2657" s="12" t="s">
        <v>4933</v>
      </c>
      <c r="D2657" s="12" t="s">
        <v>4934</v>
      </c>
      <c r="E2657" s="5" t="str">
        <f t="shared" si="50"/>
        <v>https://www.screener.in/company/AGROPHOS/consolidated/</v>
      </c>
      <c r="F2657" s="4">
        <v>443059</v>
      </c>
      <c r="G2657" s="4">
        <v>3832241897</v>
      </c>
      <c r="H2657" s="6">
        <f t="shared" ca="1" si="51"/>
        <v>16172.060805340003</v>
      </c>
      <c r="I2657" s="7" t="str">
        <f ca="1">IFERROR(__xludf.DUMMYFUNCTION("IMPORTXML(E2657,""/html/body/main/div[3]/div[3]/div[2]/ul/li[5]/span[2]/span"")"),"Loading...")</f>
        <v>Loading...</v>
      </c>
      <c r="J2657" s="7">
        <f ca="1">IFERROR(__xludf.DUMMYFUNCTION("GOOGLEFINANCE(""NSE:""&amp;D2657,""marketcap"")"),855567457)</f>
        <v>855567457</v>
      </c>
      <c r="K2657" s="7">
        <v>992.8</v>
      </c>
      <c r="L2657" s="8">
        <f ca="1">IFERROR(__xludf.DUMMYFUNCTION("GOOGLEFINANCE(""NSE:""&amp;D2657,""price"")"),42.2)</f>
        <v>42.2</v>
      </c>
      <c r="M2657" s="9">
        <f t="shared" ca="1" si="52"/>
        <v>-950.59999999999991</v>
      </c>
      <c r="N2657" s="10">
        <f t="shared" ca="1" si="53"/>
        <v>-95.749395648670415</v>
      </c>
      <c r="O2657" s="7">
        <f ca="1">IFERROR(__xludf.DUMMYFUNCTION("GOOGLEFINANCE(""NSE:""&amp;D2657,""pe"")"),8.92)</f>
        <v>8.92</v>
      </c>
      <c r="P2657" s="7">
        <f ca="1">IFERROR(__xludf.DUMMYFUNCTION("GOOGLEFINANCE(""NSE:""&amp;D2657,""EPS"")"),4.73)</f>
        <v>4.7300000000000004</v>
      </c>
      <c r="Q2657" s="7">
        <v>13.5</v>
      </c>
      <c r="R2657" s="7" t="str">
        <f ca="1">IFERROR(__xludf.DUMMYFUNCTION("IMPORTXML(E2657,""/html/body/main/div[3]/div[3]/div[2]/ul/li[7]/span[2]/span"")"),"Loading...")</f>
        <v>Loading...</v>
      </c>
      <c r="S2657" s="7" t="str">
        <f ca="1">IFERROR(__xludf.DUMMYFUNCTION("IMPORTXML(E2657,""/html/body/main/div[3]/div[3]/div[2]/ul/li[8]/span[2]/span"")"),"Loading...")</f>
        <v>Loading...</v>
      </c>
      <c r="T2657" s="4">
        <v>34.6</v>
      </c>
      <c r="U2657" s="4">
        <v>22.7</v>
      </c>
      <c r="V2657" s="4">
        <v>2.6</v>
      </c>
      <c r="W2657" s="4">
        <v>5.7</v>
      </c>
      <c r="X2657" s="4">
        <v>519.92999999999995</v>
      </c>
      <c r="Y2657" s="7">
        <f t="shared" ca="1" si="54"/>
        <v>-477.72999999999996</v>
      </c>
    </row>
    <row r="2658" spans="1:25" ht="15" x14ac:dyDescent="0.25">
      <c r="A2658" s="4">
        <v>2606</v>
      </c>
      <c r="C2658" s="41" t="s">
        <v>4935</v>
      </c>
      <c r="D2658" s="42"/>
      <c r="E2658" s="5" t="str">
        <f t="shared" si="50"/>
        <v>https://www.screener.in/company//consolidated/</v>
      </c>
      <c r="F2658" s="4">
        <v>443059</v>
      </c>
      <c r="G2658" s="4">
        <v>3832241897</v>
      </c>
      <c r="H2658" s="6" t="e">
        <f t="shared" ca="1" si="51"/>
        <v>#VALUE!</v>
      </c>
      <c r="I2658" s="7" t="str">
        <f ca="1">IFERROR(__xludf.DUMMYFUNCTION("IMPORTXML(E2658,""/html/body/main/div[3]/div[3]/div[2]/ul/li[5]/span[2]/span"")"),"Loading...")</f>
        <v>Loading...</v>
      </c>
      <c r="J2658" s="7" t="str">
        <f ca="1">IFERROR(__xludf.DUMMYFUNCTION("GOOGLEFINANCE(""NSE:""&amp;D2658,""marketcap"")"),"#N/A")</f>
        <v>#N/A</v>
      </c>
      <c r="K2658" s="7">
        <v>992.8</v>
      </c>
      <c r="L2658" s="8" t="str">
        <f ca="1">IFERROR(__xludf.DUMMYFUNCTION("GOOGLEFINANCE(""NSE:""&amp;D2658,""price"")"),"#N/A")</f>
        <v>#N/A</v>
      </c>
      <c r="M2658" s="9" t="e">
        <f t="shared" ca="1" si="52"/>
        <v>#VALUE!</v>
      </c>
      <c r="N2658" s="10" t="e">
        <f t="shared" ca="1" si="53"/>
        <v>#VALUE!</v>
      </c>
      <c r="O2658" s="7" t="str">
        <f ca="1">IFERROR(__xludf.DUMMYFUNCTION("GOOGLEFINANCE(""NSE:""&amp;D2658,""pe"")"),"#N/A")</f>
        <v>#N/A</v>
      </c>
      <c r="P2658" s="7" t="str">
        <f ca="1">IFERROR(__xludf.DUMMYFUNCTION("GOOGLEFINANCE(""NSE:""&amp;D2658,""EPS"")"),"#N/A")</f>
        <v>#N/A</v>
      </c>
      <c r="Q2658" s="7">
        <v>13.5</v>
      </c>
      <c r="R2658" s="7" t="str">
        <f ca="1">IFERROR(__xludf.DUMMYFUNCTION("IMPORTXML(E2658,""/html/body/main/div[3]/div[3]/div[2]/ul/li[7]/span[2]/span"")"),"Loading...")</f>
        <v>Loading...</v>
      </c>
      <c r="S2658" s="7" t="str">
        <f ca="1">IFERROR(__xludf.DUMMYFUNCTION("IMPORTXML(E2658,""/html/body/main/div[3]/div[3]/div[2]/ul/li[8]/span[2]/span"")"),"Loading...")</f>
        <v>Loading...</v>
      </c>
      <c r="T2658" s="4">
        <v>34.6</v>
      </c>
      <c r="U2658" s="4">
        <v>22.7</v>
      </c>
      <c r="V2658" s="4">
        <v>2.6</v>
      </c>
      <c r="W2658" s="4">
        <v>5.7</v>
      </c>
      <c r="X2658" s="4">
        <v>519.92999999999995</v>
      </c>
      <c r="Y2658" s="7" t="e">
        <f t="shared" ca="1" si="54"/>
        <v>#VALUE!</v>
      </c>
    </row>
    <row r="2659" spans="1:25" ht="15" x14ac:dyDescent="0.25">
      <c r="A2659" s="4">
        <v>2607</v>
      </c>
      <c r="C2659" s="41" t="s">
        <v>4936</v>
      </c>
      <c r="D2659" s="42"/>
      <c r="E2659" s="5" t="str">
        <f t="shared" si="50"/>
        <v>https://www.screener.in/company//consolidated/</v>
      </c>
      <c r="F2659" s="4">
        <v>443059</v>
      </c>
      <c r="G2659" s="4">
        <v>3832241897</v>
      </c>
      <c r="H2659" s="6" t="e">
        <f t="shared" ca="1" si="51"/>
        <v>#VALUE!</v>
      </c>
      <c r="I2659" s="7" t="str">
        <f ca="1">IFERROR(__xludf.DUMMYFUNCTION("IMPORTXML(E2659,""/html/body/main/div[3]/div[3]/div[2]/ul/li[5]/span[2]/span"")"),"Loading...")</f>
        <v>Loading...</v>
      </c>
      <c r="J2659" s="7" t="str">
        <f ca="1">IFERROR(__xludf.DUMMYFUNCTION("GOOGLEFINANCE(""NSE:""&amp;D2659,""marketcap"")"),"#N/A")</f>
        <v>#N/A</v>
      </c>
      <c r="K2659" s="7">
        <v>992.8</v>
      </c>
      <c r="L2659" s="8" t="str">
        <f ca="1">IFERROR(__xludf.DUMMYFUNCTION("GOOGLEFINANCE(""NSE:""&amp;D2659,""price"")"),"#N/A")</f>
        <v>#N/A</v>
      </c>
      <c r="M2659" s="9" t="e">
        <f t="shared" ca="1" si="52"/>
        <v>#VALUE!</v>
      </c>
      <c r="N2659" s="10" t="e">
        <f t="shared" ca="1" si="53"/>
        <v>#VALUE!</v>
      </c>
      <c r="O2659" s="7" t="str">
        <f ca="1">IFERROR(__xludf.DUMMYFUNCTION("GOOGLEFINANCE(""NSE:""&amp;D2659,""pe"")"),"#N/A")</f>
        <v>#N/A</v>
      </c>
      <c r="P2659" s="7" t="str">
        <f ca="1">IFERROR(__xludf.DUMMYFUNCTION("GOOGLEFINANCE(""NSE:""&amp;D2659,""EPS"")"),"#N/A")</f>
        <v>#N/A</v>
      </c>
      <c r="Q2659" s="7">
        <v>13.5</v>
      </c>
      <c r="R2659" s="7" t="str">
        <f ca="1">IFERROR(__xludf.DUMMYFUNCTION("IMPORTXML(E2659,""/html/body/main/div[3]/div[3]/div[2]/ul/li[7]/span[2]/span"")"),"Loading...")</f>
        <v>Loading...</v>
      </c>
      <c r="S2659" s="7" t="str">
        <f ca="1">IFERROR(__xludf.DUMMYFUNCTION("IMPORTXML(E2659,""/html/body/main/div[3]/div[3]/div[2]/ul/li[8]/span[2]/span"")"),"Loading...")</f>
        <v>Loading...</v>
      </c>
      <c r="T2659" s="4">
        <v>34.6</v>
      </c>
      <c r="U2659" s="4">
        <v>22.7</v>
      </c>
      <c r="V2659" s="4">
        <v>2.6</v>
      </c>
      <c r="W2659" s="4">
        <v>5.7</v>
      </c>
      <c r="X2659" s="4">
        <v>519.92999999999995</v>
      </c>
      <c r="Y2659" s="7" t="e">
        <f t="shared" ca="1" si="54"/>
        <v>#VALUE!</v>
      </c>
    </row>
    <row r="2660" spans="1:25" ht="15" x14ac:dyDescent="0.25">
      <c r="A2660" s="4">
        <v>2608</v>
      </c>
      <c r="C2660" s="41" t="s">
        <v>4937</v>
      </c>
      <c r="D2660" s="42"/>
      <c r="E2660" s="5" t="str">
        <f t="shared" si="50"/>
        <v>https://www.screener.in/company//consolidated/</v>
      </c>
      <c r="F2660" s="4">
        <v>443059</v>
      </c>
      <c r="G2660" s="4">
        <v>3832241897</v>
      </c>
      <c r="H2660" s="6" t="e">
        <f t="shared" ca="1" si="51"/>
        <v>#VALUE!</v>
      </c>
      <c r="I2660" s="7" t="str">
        <f ca="1">IFERROR(__xludf.DUMMYFUNCTION("IMPORTXML(E2660,""/html/body/main/div[3]/div[3]/div[2]/ul/li[5]/span[2]/span"")"),"Loading...")</f>
        <v>Loading...</v>
      </c>
      <c r="J2660" s="7" t="str">
        <f ca="1">IFERROR(__xludf.DUMMYFUNCTION("GOOGLEFINANCE(""NSE:""&amp;D2660,""marketcap"")"),"#N/A")</f>
        <v>#N/A</v>
      </c>
      <c r="K2660" s="7">
        <v>992.8</v>
      </c>
      <c r="L2660" s="8" t="str">
        <f ca="1">IFERROR(__xludf.DUMMYFUNCTION("GOOGLEFINANCE(""NSE:""&amp;D2660,""price"")"),"#N/A")</f>
        <v>#N/A</v>
      </c>
      <c r="M2660" s="9" t="e">
        <f t="shared" ca="1" si="52"/>
        <v>#VALUE!</v>
      </c>
      <c r="N2660" s="10" t="e">
        <f t="shared" ca="1" si="53"/>
        <v>#VALUE!</v>
      </c>
      <c r="O2660" s="7" t="str">
        <f ca="1">IFERROR(__xludf.DUMMYFUNCTION("GOOGLEFINANCE(""NSE:""&amp;D2660,""pe"")"),"#N/A")</f>
        <v>#N/A</v>
      </c>
      <c r="P2660" s="7" t="str">
        <f ca="1">IFERROR(__xludf.DUMMYFUNCTION("GOOGLEFINANCE(""NSE:""&amp;D2660,""EPS"")"),"#N/A")</f>
        <v>#N/A</v>
      </c>
      <c r="Q2660" s="7">
        <v>13.5</v>
      </c>
      <c r="R2660" s="7" t="str">
        <f ca="1">IFERROR(__xludf.DUMMYFUNCTION("IMPORTXML(E2660,""/html/body/main/div[3]/div[3]/div[2]/ul/li[7]/span[2]/span"")"),"Loading...")</f>
        <v>Loading...</v>
      </c>
      <c r="S2660" s="7" t="str">
        <f ca="1">IFERROR(__xludf.DUMMYFUNCTION("IMPORTXML(E2660,""/html/body/main/div[3]/div[3]/div[2]/ul/li[8]/span[2]/span"")"),"Loading...")</f>
        <v>Loading...</v>
      </c>
      <c r="T2660" s="4">
        <v>34.6</v>
      </c>
      <c r="U2660" s="4">
        <v>22.7</v>
      </c>
      <c r="V2660" s="4">
        <v>2.6</v>
      </c>
      <c r="W2660" s="4">
        <v>5.7</v>
      </c>
      <c r="X2660" s="4">
        <v>519.92999999999995</v>
      </c>
      <c r="Y2660" s="7" t="e">
        <f t="shared" ca="1" si="54"/>
        <v>#VALUE!</v>
      </c>
    </row>
    <row r="2661" spans="1:25" ht="15" x14ac:dyDescent="0.25">
      <c r="A2661" s="4">
        <v>2609</v>
      </c>
      <c r="C2661" s="41" t="s">
        <v>4938</v>
      </c>
      <c r="D2661" s="42"/>
      <c r="E2661" s="5" t="str">
        <f t="shared" si="50"/>
        <v>https://www.screener.in/company//consolidated/</v>
      </c>
      <c r="F2661" s="4">
        <v>443059</v>
      </c>
      <c r="G2661" s="4">
        <v>3832241897</v>
      </c>
      <c r="H2661" s="6" t="e">
        <f t="shared" ca="1" si="51"/>
        <v>#VALUE!</v>
      </c>
      <c r="I2661" s="7" t="str">
        <f ca="1">IFERROR(__xludf.DUMMYFUNCTION("IMPORTXML(E2661,""/html/body/main/div[3]/div[3]/div[2]/ul/li[5]/span[2]/span"")"),"Loading...")</f>
        <v>Loading...</v>
      </c>
      <c r="J2661" s="7" t="str">
        <f ca="1">IFERROR(__xludf.DUMMYFUNCTION("GOOGLEFINANCE(""NSE:""&amp;D2661,""marketcap"")"),"#N/A")</f>
        <v>#N/A</v>
      </c>
      <c r="K2661" s="7">
        <v>992.8</v>
      </c>
      <c r="L2661" s="8" t="str">
        <f ca="1">IFERROR(__xludf.DUMMYFUNCTION("GOOGLEFINANCE(""NSE:""&amp;D2661,""price"")"),"#N/A")</f>
        <v>#N/A</v>
      </c>
      <c r="M2661" s="9" t="e">
        <f t="shared" ca="1" si="52"/>
        <v>#VALUE!</v>
      </c>
      <c r="N2661" s="10" t="e">
        <f t="shared" ca="1" si="53"/>
        <v>#VALUE!</v>
      </c>
      <c r="O2661" s="7" t="str">
        <f ca="1">IFERROR(__xludf.DUMMYFUNCTION("GOOGLEFINANCE(""NSE:""&amp;D2661,""pe"")"),"#N/A")</f>
        <v>#N/A</v>
      </c>
      <c r="P2661" s="7" t="str">
        <f ca="1">IFERROR(__xludf.DUMMYFUNCTION("GOOGLEFINANCE(""NSE:""&amp;D2661,""EPS"")"),"#N/A")</f>
        <v>#N/A</v>
      </c>
      <c r="Q2661" s="7">
        <v>13.5</v>
      </c>
      <c r="R2661" s="7" t="str">
        <f ca="1">IFERROR(__xludf.DUMMYFUNCTION("IMPORTXML(E2661,""/html/body/main/div[3]/div[3]/div[2]/ul/li[7]/span[2]/span"")"),"Loading...")</f>
        <v>Loading...</v>
      </c>
      <c r="S2661" s="7" t="str">
        <f ca="1">IFERROR(__xludf.DUMMYFUNCTION("IMPORTXML(E2661,""/html/body/main/div[3]/div[3]/div[2]/ul/li[8]/span[2]/span"")"),"Loading...")</f>
        <v>Loading...</v>
      </c>
      <c r="T2661" s="4">
        <v>34.6</v>
      </c>
      <c r="U2661" s="4">
        <v>22.7</v>
      </c>
      <c r="V2661" s="4">
        <v>2.6</v>
      </c>
      <c r="W2661" s="4">
        <v>5.7</v>
      </c>
      <c r="X2661" s="4">
        <v>519.92999999999995</v>
      </c>
      <c r="Y2661" s="7" t="e">
        <f t="shared" ca="1" si="54"/>
        <v>#VALUE!</v>
      </c>
    </row>
    <row r="2662" spans="1:25" ht="15" x14ac:dyDescent="0.25">
      <c r="A2662" s="4">
        <v>2610</v>
      </c>
      <c r="C2662" s="41" t="s">
        <v>4939</v>
      </c>
      <c r="D2662" s="42"/>
      <c r="E2662" s="5" t="str">
        <f t="shared" si="50"/>
        <v>https://www.screener.in/company//consolidated/</v>
      </c>
      <c r="F2662" s="4">
        <v>443059</v>
      </c>
      <c r="G2662" s="4">
        <v>3832241897</v>
      </c>
      <c r="H2662" s="6" t="e">
        <f t="shared" ca="1" si="51"/>
        <v>#VALUE!</v>
      </c>
      <c r="I2662" s="7" t="str">
        <f ca="1">IFERROR(__xludf.DUMMYFUNCTION("IMPORTXML(E2662,""/html/body/main/div[3]/div[3]/div[2]/ul/li[5]/span[2]/span"")"),"Loading...")</f>
        <v>Loading...</v>
      </c>
      <c r="J2662" s="7" t="str">
        <f ca="1">IFERROR(__xludf.DUMMYFUNCTION("GOOGLEFINANCE(""NSE:""&amp;D2662,""marketcap"")"),"#N/A")</f>
        <v>#N/A</v>
      </c>
      <c r="K2662" s="7">
        <v>992.8</v>
      </c>
      <c r="L2662" s="8" t="str">
        <f ca="1">IFERROR(__xludf.DUMMYFUNCTION("GOOGLEFINANCE(""NSE:""&amp;D2662,""price"")"),"#N/A")</f>
        <v>#N/A</v>
      </c>
      <c r="M2662" s="9" t="e">
        <f t="shared" ca="1" si="52"/>
        <v>#VALUE!</v>
      </c>
      <c r="N2662" s="10" t="e">
        <f t="shared" ca="1" si="53"/>
        <v>#VALUE!</v>
      </c>
      <c r="O2662" s="7" t="str">
        <f ca="1">IFERROR(__xludf.DUMMYFUNCTION("GOOGLEFINANCE(""NSE:""&amp;D2662,""pe"")"),"#N/A")</f>
        <v>#N/A</v>
      </c>
      <c r="P2662" s="7" t="str">
        <f ca="1">IFERROR(__xludf.DUMMYFUNCTION("GOOGLEFINANCE(""NSE:""&amp;D2662,""EPS"")"),"#N/A")</f>
        <v>#N/A</v>
      </c>
      <c r="Q2662" s="7">
        <v>13.5</v>
      </c>
      <c r="R2662" s="7" t="str">
        <f ca="1">IFERROR(__xludf.DUMMYFUNCTION("IMPORTXML(E2662,""/html/body/main/div[3]/div[3]/div[2]/ul/li[7]/span[2]/span"")"),"Loading...")</f>
        <v>Loading...</v>
      </c>
      <c r="S2662" s="7" t="str">
        <f ca="1">IFERROR(__xludf.DUMMYFUNCTION("IMPORTXML(E2662,""/html/body/main/div[3]/div[3]/div[2]/ul/li[8]/span[2]/span"")"),"Loading...")</f>
        <v>Loading...</v>
      </c>
      <c r="T2662" s="4">
        <v>34.6</v>
      </c>
      <c r="U2662" s="4">
        <v>22.7</v>
      </c>
      <c r="V2662" s="4">
        <v>2.6</v>
      </c>
      <c r="W2662" s="4">
        <v>5.7</v>
      </c>
      <c r="X2662" s="4">
        <v>519.92999999999995</v>
      </c>
      <c r="Y2662" s="7" t="e">
        <f t="shared" ca="1" si="54"/>
        <v>#VALUE!</v>
      </c>
    </row>
    <row r="2663" spans="1:25" ht="15" x14ac:dyDescent="0.25">
      <c r="A2663" s="4">
        <v>2611</v>
      </c>
      <c r="C2663" s="12" t="s">
        <v>4940</v>
      </c>
      <c r="D2663" s="37"/>
      <c r="E2663" s="5" t="str">
        <f t="shared" si="50"/>
        <v>https://www.screener.in/company//consolidated/</v>
      </c>
      <c r="F2663" s="4">
        <v>443059</v>
      </c>
      <c r="G2663" s="4">
        <v>3832241897</v>
      </c>
      <c r="H2663" s="6" t="e">
        <f t="shared" ca="1" si="51"/>
        <v>#VALUE!</v>
      </c>
      <c r="I2663" s="7" t="str">
        <f ca="1">IFERROR(__xludf.DUMMYFUNCTION("IMPORTXML(E2663,""/html/body/main/div[3]/div[3]/div[2]/ul/li[5]/span[2]/span"")"),"Loading...")</f>
        <v>Loading...</v>
      </c>
      <c r="J2663" s="7" t="str">
        <f ca="1">IFERROR(__xludf.DUMMYFUNCTION("GOOGLEFINANCE(""NSE:""&amp;D2663,""marketcap"")"),"#N/A")</f>
        <v>#N/A</v>
      </c>
      <c r="K2663" s="7">
        <v>992.8</v>
      </c>
      <c r="L2663" s="8" t="str">
        <f ca="1">IFERROR(__xludf.DUMMYFUNCTION("GOOGLEFINANCE(""NSE:""&amp;D2663,""price"")"),"#N/A")</f>
        <v>#N/A</v>
      </c>
      <c r="M2663" s="9" t="e">
        <f t="shared" ca="1" si="52"/>
        <v>#VALUE!</v>
      </c>
      <c r="N2663" s="10" t="e">
        <f t="shared" ca="1" si="53"/>
        <v>#VALUE!</v>
      </c>
      <c r="O2663" s="7" t="str">
        <f ca="1">IFERROR(__xludf.DUMMYFUNCTION("GOOGLEFINANCE(""NSE:""&amp;D2663,""pe"")"),"#N/A")</f>
        <v>#N/A</v>
      </c>
      <c r="P2663" s="7" t="str">
        <f ca="1">IFERROR(__xludf.DUMMYFUNCTION("GOOGLEFINANCE(""NSE:""&amp;D2663,""EPS"")"),"#N/A")</f>
        <v>#N/A</v>
      </c>
      <c r="Q2663" s="7">
        <v>13.5</v>
      </c>
      <c r="R2663" s="7" t="str">
        <f ca="1">IFERROR(__xludf.DUMMYFUNCTION("IMPORTXML(E2663,""/html/body/main/div[3]/div[3]/div[2]/ul/li[7]/span[2]/span"")"),"Loading...")</f>
        <v>Loading...</v>
      </c>
      <c r="S2663" s="7" t="str">
        <f ca="1">IFERROR(__xludf.DUMMYFUNCTION("IMPORTXML(E2663,""/html/body/main/div[3]/div[3]/div[2]/ul/li[8]/span[2]/span"")"),"Loading...")</f>
        <v>Loading...</v>
      </c>
      <c r="T2663" s="4">
        <v>34.6</v>
      </c>
      <c r="U2663" s="4">
        <v>22.7</v>
      </c>
      <c r="V2663" s="4">
        <v>2.6</v>
      </c>
      <c r="W2663" s="4">
        <v>5.7</v>
      </c>
      <c r="X2663" s="4">
        <v>519.92999999999995</v>
      </c>
      <c r="Y2663" s="7" t="e">
        <f t="shared" ca="1" si="54"/>
        <v>#VALUE!</v>
      </c>
    </row>
    <row r="2664" spans="1:25" ht="15" x14ac:dyDescent="0.25">
      <c r="A2664" s="4">
        <v>2612</v>
      </c>
      <c r="C2664" s="41" t="s">
        <v>4941</v>
      </c>
      <c r="D2664" s="42"/>
      <c r="E2664" s="5" t="str">
        <f t="shared" si="50"/>
        <v>https://www.screener.in/company//consolidated/</v>
      </c>
      <c r="F2664" s="4">
        <v>443059</v>
      </c>
      <c r="G2664" s="4">
        <v>3832241897</v>
      </c>
      <c r="H2664" s="6" t="e">
        <f t="shared" ca="1" si="51"/>
        <v>#VALUE!</v>
      </c>
      <c r="I2664" s="7" t="str">
        <f ca="1">IFERROR(__xludf.DUMMYFUNCTION("IMPORTXML(E2664,""/html/body/main/div[3]/div[3]/div[2]/ul/li[5]/span[2]/span"")"),"Loading...")</f>
        <v>Loading...</v>
      </c>
      <c r="J2664" s="7" t="str">
        <f ca="1">IFERROR(__xludf.DUMMYFUNCTION("GOOGLEFINANCE(""NSE:""&amp;D2664,""marketcap"")"),"#N/A")</f>
        <v>#N/A</v>
      </c>
      <c r="K2664" s="7">
        <v>992.8</v>
      </c>
      <c r="L2664" s="8" t="str">
        <f ca="1">IFERROR(__xludf.DUMMYFUNCTION("GOOGLEFINANCE(""NSE:""&amp;D2664,""price"")"),"#N/A")</f>
        <v>#N/A</v>
      </c>
      <c r="M2664" s="9" t="e">
        <f t="shared" ca="1" si="52"/>
        <v>#VALUE!</v>
      </c>
      <c r="N2664" s="10" t="e">
        <f t="shared" ca="1" si="53"/>
        <v>#VALUE!</v>
      </c>
      <c r="O2664" s="7" t="str">
        <f ca="1">IFERROR(__xludf.DUMMYFUNCTION("GOOGLEFINANCE(""NSE:""&amp;D2664,""pe"")"),"#N/A")</f>
        <v>#N/A</v>
      </c>
      <c r="P2664" s="7" t="str">
        <f ca="1">IFERROR(__xludf.DUMMYFUNCTION("GOOGLEFINANCE(""NSE:""&amp;D2664,""EPS"")"),"#N/A")</f>
        <v>#N/A</v>
      </c>
      <c r="Q2664" s="7">
        <v>13.5</v>
      </c>
      <c r="R2664" s="7" t="str">
        <f ca="1">IFERROR(__xludf.DUMMYFUNCTION("IMPORTXML(E2664,""/html/body/main/div[3]/div[3]/div[2]/ul/li[7]/span[2]/span"")"),"Loading...")</f>
        <v>Loading...</v>
      </c>
      <c r="S2664" s="7" t="str">
        <f ca="1">IFERROR(__xludf.DUMMYFUNCTION("IMPORTXML(E2664,""/html/body/main/div[3]/div[3]/div[2]/ul/li[8]/span[2]/span"")"),"Loading...")</f>
        <v>Loading...</v>
      </c>
      <c r="T2664" s="4">
        <v>34.6</v>
      </c>
      <c r="U2664" s="4">
        <v>22.7</v>
      </c>
      <c r="V2664" s="4">
        <v>2.6</v>
      </c>
      <c r="W2664" s="4">
        <v>5.7</v>
      </c>
      <c r="X2664" s="4">
        <v>519.92999999999995</v>
      </c>
      <c r="Y2664" s="7" t="e">
        <f t="shared" ca="1" si="54"/>
        <v>#VALUE!</v>
      </c>
    </row>
    <row r="2665" spans="1:25" ht="15" x14ac:dyDescent="0.25">
      <c r="A2665" s="4">
        <v>2613</v>
      </c>
      <c r="C2665" s="41" t="s">
        <v>4942</v>
      </c>
      <c r="D2665" s="42"/>
      <c r="E2665" s="5" t="str">
        <f t="shared" si="50"/>
        <v>https://www.screener.in/company//consolidated/</v>
      </c>
      <c r="F2665" s="4">
        <v>443059</v>
      </c>
      <c r="G2665" s="4">
        <v>3832241897</v>
      </c>
      <c r="H2665" s="6" t="e">
        <f t="shared" ca="1" si="51"/>
        <v>#VALUE!</v>
      </c>
      <c r="I2665" s="7" t="str">
        <f ca="1">IFERROR(__xludf.DUMMYFUNCTION("IMPORTXML(E2665,""/html/body/main/div[3]/div[3]/div[2]/ul/li[5]/span[2]/span"")"),"Loading...")</f>
        <v>Loading...</v>
      </c>
      <c r="J2665" s="7" t="str">
        <f ca="1">IFERROR(__xludf.DUMMYFUNCTION("GOOGLEFINANCE(""NSE:""&amp;D2665,""marketcap"")"),"#N/A")</f>
        <v>#N/A</v>
      </c>
      <c r="K2665" s="7">
        <v>992.8</v>
      </c>
      <c r="L2665" s="8" t="str">
        <f ca="1">IFERROR(__xludf.DUMMYFUNCTION("GOOGLEFINANCE(""NSE:""&amp;D2665,""price"")"),"#N/A")</f>
        <v>#N/A</v>
      </c>
      <c r="M2665" s="9" t="e">
        <f t="shared" ca="1" si="52"/>
        <v>#VALUE!</v>
      </c>
      <c r="N2665" s="10" t="e">
        <f t="shared" ca="1" si="53"/>
        <v>#VALUE!</v>
      </c>
      <c r="O2665" s="7" t="str">
        <f ca="1">IFERROR(__xludf.DUMMYFUNCTION("GOOGLEFINANCE(""NSE:""&amp;D2665,""pe"")"),"#N/A")</f>
        <v>#N/A</v>
      </c>
      <c r="P2665" s="7" t="str">
        <f ca="1">IFERROR(__xludf.DUMMYFUNCTION("GOOGLEFINANCE(""NSE:""&amp;D2665,""EPS"")"),"#N/A")</f>
        <v>#N/A</v>
      </c>
      <c r="Q2665" s="7">
        <v>13.5</v>
      </c>
      <c r="R2665" s="7" t="str">
        <f ca="1">IFERROR(__xludf.DUMMYFUNCTION("IMPORTXML(E2665,""/html/body/main/div[3]/div[3]/div[2]/ul/li[7]/span[2]/span"")"),"Loading...")</f>
        <v>Loading...</v>
      </c>
      <c r="S2665" s="7" t="str">
        <f ca="1">IFERROR(__xludf.DUMMYFUNCTION("IMPORTXML(E2665,""/html/body/main/div[3]/div[3]/div[2]/ul/li[8]/span[2]/span"")"),"Loading...")</f>
        <v>Loading...</v>
      </c>
      <c r="T2665" s="4">
        <v>34.6</v>
      </c>
      <c r="U2665" s="4">
        <v>22.7</v>
      </c>
      <c r="V2665" s="4">
        <v>2.6</v>
      </c>
      <c r="W2665" s="4">
        <v>5.7</v>
      </c>
      <c r="X2665" s="4">
        <v>519.92999999999995</v>
      </c>
      <c r="Y2665" s="7" t="e">
        <f t="shared" ca="1" si="54"/>
        <v>#VALUE!</v>
      </c>
    </row>
    <row r="2666" spans="1:25" ht="15" x14ac:dyDescent="0.25">
      <c r="A2666" s="4">
        <v>2614</v>
      </c>
      <c r="C2666" s="41" t="s">
        <v>4943</v>
      </c>
      <c r="D2666" s="42"/>
      <c r="E2666" s="5" t="str">
        <f t="shared" si="50"/>
        <v>https://www.screener.in/company//consolidated/</v>
      </c>
      <c r="F2666" s="4">
        <v>443059</v>
      </c>
      <c r="G2666" s="4">
        <v>3832241897</v>
      </c>
      <c r="H2666" s="6" t="e">
        <f t="shared" ca="1" si="51"/>
        <v>#VALUE!</v>
      </c>
      <c r="I2666" s="7" t="str">
        <f ca="1">IFERROR(__xludf.DUMMYFUNCTION("IMPORTXML(E2666,""/html/body/main/div[3]/div[3]/div[2]/ul/li[5]/span[2]/span"")"),"Loading...")</f>
        <v>Loading...</v>
      </c>
      <c r="J2666" s="7" t="str">
        <f ca="1">IFERROR(__xludf.DUMMYFUNCTION("GOOGLEFINANCE(""NSE:""&amp;D2666,""marketcap"")"),"#N/A")</f>
        <v>#N/A</v>
      </c>
      <c r="K2666" s="7">
        <v>992.8</v>
      </c>
      <c r="L2666" s="8" t="str">
        <f ca="1">IFERROR(__xludf.DUMMYFUNCTION("GOOGLEFINANCE(""NSE:""&amp;D2666,""price"")"),"#N/A")</f>
        <v>#N/A</v>
      </c>
      <c r="M2666" s="9" t="e">
        <f t="shared" ca="1" si="52"/>
        <v>#VALUE!</v>
      </c>
      <c r="N2666" s="10" t="e">
        <f t="shared" ca="1" si="53"/>
        <v>#VALUE!</v>
      </c>
      <c r="O2666" s="7" t="str">
        <f ca="1">IFERROR(__xludf.DUMMYFUNCTION("GOOGLEFINANCE(""NSE:""&amp;D2666,""pe"")"),"#N/A")</f>
        <v>#N/A</v>
      </c>
      <c r="P2666" s="7" t="str">
        <f ca="1">IFERROR(__xludf.DUMMYFUNCTION("GOOGLEFINANCE(""NSE:""&amp;D2666,""EPS"")"),"#N/A")</f>
        <v>#N/A</v>
      </c>
      <c r="Q2666" s="7">
        <v>13.5</v>
      </c>
      <c r="R2666" s="7" t="str">
        <f ca="1">IFERROR(__xludf.DUMMYFUNCTION("IMPORTXML(E2666,""/html/body/main/div[3]/div[3]/div[2]/ul/li[7]/span[2]/span"")"),"Loading...")</f>
        <v>Loading...</v>
      </c>
      <c r="S2666" s="7" t="str">
        <f ca="1">IFERROR(__xludf.DUMMYFUNCTION("IMPORTXML(E2666,""/html/body/main/div[3]/div[3]/div[2]/ul/li[8]/span[2]/span"")"),"Loading...")</f>
        <v>Loading...</v>
      </c>
      <c r="T2666" s="4">
        <v>34.6</v>
      </c>
      <c r="U2666" s="4">
        <v>22.7</v>
      </c>
      <c r="V2666" s="4">
        <v>2.6</v>
      </c>
      <c r="W2666" s="4">
        <v>5.7</v>
      </c>
      <c r="X2666" s="4">
        <v>519.92999999999995</v>
      </c>
      <c r="Y2666" s="7" t="e">
        <f t="shared" ca="1" si="54"/>
        <v>#VALUE!</v>
      </c>
    </row>
    <row r="2667" spans="1:25" ht="15" x14ac:dyDescent="0.25">
      <c r="A2667" s="4">
        <v>2615</v>
      </c>
      <c r="C2667" s="12" t="s">
        <v>4944</v>
      </c>
      <c r="D2667" s="12" t="s">
        <v>4945</v>
      </c>
      <c r="E2667" s="5" t="str">
        <f t="shared" si="50"/>
        <v>https://www.screener.in/company/KARMAENG/consolidated/</v>
      </c>
      <c r="F2667" s="4">
        <v>443059</v>
      </c>
      <c r="G2667" s="4">
        <v>3832241897</v>
      </c>
      <c r="H2667" s="6">
        <f t="shared" ca="1" si="51"/>
        <v>20215.076006675001</v>
      </c>
      <c r="I2667" s="7" t="str">
        <f ca="1">IFERROR(__xludf.DUMMYFUNCTION("IMPORTXML(E2667,""/html/body/main/div[3]/div[3]/div[2]/ul/li[5]/span[2]/span"")"),"Loading...")</f>
        <v>Loading...</v>
      </c>
      <c r="J2667" s="7">
        <f ca="1">IFERROR(__xludf.DUMMYFUNCTION("GOOGLEFINANCE(""NSE:""&amp;D2667,""marketcap"")"),609966100)</f>
        <v>609966100</v>
      </c>
      <c r="K2667" s="7">
        <v>992.8</v>
      </c>
      <c r="L2667" s="8">
        <f ca="1">IFERROR(__xludf.DUMMYFUNCTION("GOOGLEFINANCE(""NSE:""&amp;D2667,""price"")"),52.75)</f>
        <v>52.75</v>
      </c>
      <c r="M2667" s="9">
        <f t="shared" ca="1" si="52"/>
        <v>-940.05</v>
      </c>
      <c r="N2667" s="10">
        <f t="shared" ca="1" si="53"/>
        <v>-94.686744560838036</v>
      </c>
      <c r="O2667" s="7">
        <f ca="1">IFERROR(__xludf.DUMMYFUNCTION("GOOGLEFINANCE(""NSE:""&amp;D2667,""pe"")"),49.3)</f>
        <v>49.3</v>
      </c>
      <c r="P2667" s="7">
        <f ca="1">IFERROR(__xludf.DUMMYFUNCTION("GOOGLEFINANCE(""NSE:""&amp;D2667,""EPS"")"),1.07)</f>
        <v>1.07</v>
      </c>
      <c r="Q2667" s="7">
        <v>13.5</v>
      </c>
      <c r="R2667" s="7" t="str">
        <f ca="1">IFERROR(__xludf.DUMMYFUNCTION("IMPORTXML(E2667,""/html/body/main/div[3]/div[3]/div[2]/ul/li[7]/span[2]/span"")"),"Loading...")</f>
        <v>Loading...</v>
      </c>
      <c r="S2667" s="7" t="str">
        <f ca="1">IFERROR(__xludf.DUMMYFUNCTION("IMPORTXML(E2667,""/html/body/main/div[3]/div[3]/div[2]/ul/li[8]/span[2]/span"")"),"Loading...")</f>
        <v>Loading...</v>
      </c>
      <c r="T2667" s="4">
        <v>34.6</v>
      </c>
      <c r="U2667" s="4">
        <v>22.7</v>
      </c>
      <c r="V2667" s="4">
        <v>2.6</v>
      </c>
      <c r="W2667" s="4">
        <v>5.7</v>
      </c>
      <c r="X2667" s="4">
        <v>519.92999999999995</v>
      </c>
      <c r="Y2667" s="7">
        <f t="shared" ca="1" si="54"/>
        <v>-467.17999999999995</v>
      </c>
    </row>
    <row r="2668" spans="1:25" ht="15" x14ac:dyDescent="0.25">
      <c r="A2668" s="4">
        <v>2616</v>
      </c>
      <c r="C2668" s="12" t="s">
        <v>4946</v>
      </c>
      <c r="D2668" s="12" t="s">
        <v>4947</v>
      </c>
      <c r="E2668" s="5" t="str">
        <f t="shared" si="50"/>
        <v>https://www.screener.in/company/LEXUS/consolidated/</v>
      </c>
      <c r="F2668" s="4">
        <v>443059</v>
      </c>
      <c r="G2668" s="4">
        <v>3832241897</v>
      </c>
      <c r="H2668" s="6">
        <f t="shared" ca="1" si="51"/>
        <v>10787.760940054999</v>
      </c>
      <c r="I2668" s="7" t="str">
        <f ca="1">IFERROR(__xludf.DUMMYFUNCTION("IMPORTXML(E2668,""/html/body/main/div[3]/div[3]/div[2]/ul/li[5]/span[2]/span"")"),"Loading...")</f>
        <v>Loading...</v>
      </c>
      <c r="J2668" s="7">
        <f ca="1">IFERROR(__xludf.DUMMYFUNCTION("GOOGLEFINANCE(""NSE:""&amp;D2668,""marketcap"")"),568368760)</f>
        <v>568368760</v>
      </c>
      <c r="K2668" s="7">
        <v>992.8</v>
      </c>
      <c r="L2668" s="8">
        <f ca="1">IFERROR(__xludf.DUMMYFUNCTION("GOOGLEFINANCE(""NSE:""&amp;D2668,""price"")"),28.15)</f>
        <v>28.15</v>
      </c>
      <c r="M2668" s="9">
        <f t="shared" ca="1" si="52"/>
        <v>-964.65</v>
      </c>
      <c r="N2668" s="10">
        <f t="shared" ca="1" si="53"/>
        <v>-97.164585012087031</v>
      </c>
      <c r="O2668" s="7" t="str">
        <f ca="1">IFERROR(__xludf.DUMMYFUNCTION("GOOGLEFINANCE(""NSE:""&amp;D2668,""pe"")"),"#N/A")</f>
        <v>#N/A</v>
      </c>
      <c r="P2668" s="7">
        <f ca="1">IFERROR(__xludf.DUMMYFUNCTION("GOOGLEFINANCE(""NSE:""&amp;D2668,""EPS"")"),-0.32)</f>
        <v>-0.32</v>
      </c>
      <c r="Q2668" s="7">
        <v>13.5</v>
      </c>
      <c r="R2668" s="7" t="str">
        <f ca="1">IFERROR(__xludf.DUMMYFUNCTION("IMPORTXML(E2668,""/html/body/main/div[3]/div[3]/div[2]/ul/li[7]/span[2]/span"")"),"Loading...")</f>
        <v>Loading...</v>
      </c>
      <c r="S2668" s="7" t="str">
        <f ca="1">IFERROR(__xludf.DUMMYFUNCTION("IMPORTXML(E2668,""/html/body/main/div[3]/div[3]/div[2]/ul/li[8]/span[2]/span"")"),"Loading...")</f>
        <v>Loading...</v>
      </c>
      <c r="T2668" s="4">
        <v>34.6</v>
      </c>
      <c r="U2668" s="4">
        <v>22.7</v>
      </c>
      <c r="V2668" s="4">
        <v>2.6</v>
      </c>
      <c r="W2668" s="4">
        <v>5.7</v>
      </c>
      <c r="X2668" s="4">
        <v>519.92999999999995</v>
      </c>
      <c r="Y2668" s="7">
        <f t="shared" ca="1" si="54"/>
        <v>-491.78</v>
      </c>
    </row>
    <row r="2669" spans="1:25" ht="15" x14ac:dyDescent="0.25">
      <c r="A2669" s="4">
        <v>2617</v>
      </c>
      <c r="C2669" s="41" t="s">
        <v>4948</v>
      </c>
      <c r="D2669" s="42"/>
      <c r="E2669" s="5" t="str">
        <f t="shared" si="50"/>
        <v>https://www.screener.in/company//consolidated/</v>
      </c>
      <c r="F2669" s="4">
        <v>443059</v>
      </c>
      <c r="G2669" s="4">
        <v>3832241897</v>
      </c>
      <c r="H2669" s="6" t="e">
        <f t="shared" ca="1" si="51"/>
        <v>#VALUE!</v>
      </c>
      <c r="I2669" s="7" t="str">
        <f ca="1">IFERROR(__xludf.DUMMYFUNCTION("IMPORTXML(E2669,""/html/body/main/div[3]/div[3]/div[2]/ul/li[5]/span[2]/span"")"),"Loading...")</f>
        <v>Loading...</v>
      </c>
      <c r="J2669" s="7" t="str">
        <f ca="1">IFERROR(__xludf.DUMMYFUNCTION("GOOGLEFINANCE(""NSE:""&amp;D2669,""marketcap"")"),"#N/A")</f>
        <v>#N/A</v>
      </c>
      <c r="K2669" s="7">
        <v>992.8</v>
      </c>
      <c r="L2669" s="8" t="str">
        <f ca="1">IFERROR(__xludf.DUMMYFUNCTION("GOOGLEFINANCE(""NSE:""&amp;D2669,""price"")"),"#N/A")</f>
        <v>#N/A</v>
      </c>
      <c r="M2669" s="9" t="e">
        <f t="shared" ca="1" si="52"/>
        <v>#VALUE!</v>
      </c>
      <c r="N2669" s="10" t="e">
        <f t="shared" ca="1" si="53"/>
        <v>#VALUE!</v>
      </c>
      <c r="O2669" s="7" t="str">
        <f ca="1">IFERROR(__xludf.DUMMYFUNCTION("GOOGLEFINANCE(""NSE:""&amp;D2669,""pe"")"),"#N/A")</f>
        <v>#N/A</v>
      </c>
      <c r="P2669" s="7" t="str">
        <f ca="1">IFERROR(__xludf.DUMMYFUNCTION("GOOGLEFINANCE(""NSE:""&amp;D2669,""EPS"")"),"#N/A")</f>
        <v>#N/A</v>
      </c>
      <c r="Q2669" s="7">
        <v>13.5</v>
      </c>
      <c r="R2669" s="7" t="str">
        <f ca="1">IFERROR(__xludf.DUMMYFUNCTION("IMPORTXML(E2669,""/html/body/main/div[3]/div[3]/div[2]/ul/li[7]/span[2]/span"")"),"Loading...")</f>
        <v>Loading...</v>
      </c>
      <c r="S2669" s="7" t="str">
        <f ca="1">IFERROR(__xludf.DUMMYFUNCTION("IMPORTXML(E2669,""/html/body/main/div[3]/div[3]/div[2]/ul/li[8]/span[2]/span"")"),"Loading...")</f>
        <v>Loading...</v>
      </c>
      <c r="T2669" s="4">
        <v>34.6</v>
      </c>
      <c r="U2669" s="4">
        <v>22.7</v>
      </c>
      <c r="V2669" s="4">
        <v>2.6</v>
      </c>
      <c r="W2669" s="4">
        <v>5.7</v>
      </c>
      <c r="X2669" s="4">
        <v>519.92999999999995</v>
      </c>
      <c r="Y2669" s="7" t="e">
        <f t="shared" ca="1" si="54"/>
        <v>#VALUE!</v>
      </c>
    </row>
    <row r="2670" spans="1:25" ht="15" x14ac:dyDescent="0.25">
      <c r="A2670" s="4">
        <v>2618</v>
      </c>
      <c r="C2670" s="41" t="s">
        <v>4949</v>
      </c>
      <c r="D2670" s="42"/>
      <c r="E2670" s="5" t="str">
        <f t="shared" si="50"/>
        <v>https://www.screener.in/company//consolidated/</v>
      </c>
      <c r="F2670" s="4">
        <v>443059</v>
      </c>
      <c r="G2670" s="4">
        <v>3832241897</v>
      </c>
      <c r="H2670" s="6" t="e">
        <f t="shared" ca="1" si="51"/>
        <v>#VALUE!</v>
      </c>
      <c r="I2670" s="7" t="str">
        <f ca="1">IFERROR(__xludf.DUMMYFUNCTION("IMPORTXML(E2670,""/html/body/main/div[3]/div[3]/div[2]/ul/li[5]/span[2]/span"")"),"Loading...")</f>
        <v>Loading...</v>
      </c>
      <c r="J2670" s="7" t="str">
        <f ca="1">IFERROR(__xludf.DUMMYFUNCTION("GOOGLEFINANCE(""NSE:""&amp;D2670,""marketcap"")"),"#N/A")</f>
        <v>#N/A</v>
      </c>
      <c r="K2670" s="7">
        <v>992.8</v>
      </c>
      <c r="L2670" s="8" t="str">
        <f ca="1">IFERROR(__xludf.DUMMYFUNCTION("GOOGLEFINANCE(""NSE:""&amp;D2670,""price"")"),"#N/A")</f>
        <v>#N/A</v>
      </c>
      <c r="M2670" s="9" t="e">
        <f t="shared" ca="1" si="52"/>
        <v>#VALUE!</v>
      </c>
      <c r="N2670" s="10" t="e">
        <f t="shared" ca="1" si="53"/>
        <v>#VALUE!</v>
      </c>
      <c r="O2670" s="7" t="str">
        <f ca="1">IFERROR(__xludf.DUMMYFUNCTION("GOOGLEFINANCE(""NSE:""&amp;D2670,""pe"")"),"#N/A")</f>
        <v>#N/A</v>
      </c>
      <c r="P2670" s="7" t="str">
        <f ca="1">IFERROR(__xludf.DUMMYFUNCTION("GOOGLEFINANCE(""NSE:""&amp;D2670,""EPS"")"),"#N/A")</f>
        <v>#N/A</v>
      </c>
      <c r="Q2670" s="7">
        <v>13.5</v>
      </c>
      <c r="R2670" s="7" t="str">
        <f ca="1">IFERROR(__xludf.DUMMYFUNCTION("IMPORTXML(E2670,""/html/body/main/div[3]/div[3]/div[2]/ul/li[7]/span[2]/span"")"),"Loading...")</f>
        <v>Loading...</v>
      </c>
      <c r="S2670" s="7" t="str">
        <f ca="1">IFERROR(__xludf.DUMMYFUNCTION("IMPORTXML(E2670,""/html/body/main/div[3]/div[3]/div[2]/ul/li[8]/span[2]/span"")"),"Loading...")</f>
        <v>Loading...</v>
      </c>
      <c r="T2670" s="4">
        <v>34.6</v>
      </c>
      <c r="U2670" s="4">
        <v>22.7</v>
      </c>
      <c r="V2670" s="4">
        <v>2.6</v>
      </c>
      <c r="W2670" s="4">
        <v>5.7</v>
      </c>
      <c r="X2670" s="4">
        <v>519.92999999999995</v>
      </c>
      <c r="Y2670" s="7" t="e">
        <f t="shared" ca="1" si="54"/>
        <v>#VALUE!</v>
      </c>
    </row>
    <row r="2671" spans="1:25" ht="15" x14ac:dyDescent="0.25">
      <c r="A2671" s="4">
        <v>2619</v>
      </c>
      <c r="C2671" s="41" t="s">
        <v>4950</v>
      </c>
      <c r="D2671" s="42"/>
      <c r="E2671" s="5" t="str">
        <f t="shared" si="50"/>
        <v>https://www.screener.in/company//consolidated/</v>
      </c>
      <c r="F2671" s="4">
        <v>443059</v>
      </c>
      <c r="G2671" s="4">
        <v>3832241897</v>
      </c>
      <c r="H2671" s="6" t="e">
        <f t="shared" ca="1" si="51"/>
        <v>#VALUE!</v>
      </c>
      <c r="I2671" s="7" t="str">
        <f ca="1">IFERROR(__xludf.DUMMYFUNCTION("IMPORTXML(E2671,""/html/body/main/div[3]/div[3]/div[2]/ul/li[5]/span[2]/span"")"),"Loading...")</f>
        <v>Loading...</v>
      </c>
      <c r="J2671" s="7" t="str">
        <f ca="1">IFERROR(__xludf.DUMMYFUNCTION("GOOGLEFINANCE(""NSE:""&amp;D2671,""marketcap"")"),"#N/A")</f>
        <v>#N/A</v>
      </c>
      <c r="K2671" s="7">
        <v>992.8</v>
      </c>
      <c r="L2671" s="8" t="str">
        <f ca="1">IFERROR(__xludf.DUMMYFUNCTION("GOOGLEFINANCE(""NSE:""&amp;D2671,""price"")"),"#N/A")</f>
        <v>#N/A</v>
      </c>
      <c r="M2671" s="9" t="e">
        <f t="shared" ca="1" si="52"/>
        <v>#VALUE!</v>
      </c>
      <c r="N2671" s="10" t="e">
        <f t="shared" ca="1" si="53"/>
        <v>#VALUE!</v>
      </c>
      <c r="O2671" s="7" t="str">
        <f ca="1">IFERROR(__xludf.DUMMYFUNCTION("GOOGLEFINANCE(""NSE:""&amp;D2671,""pe"")"),"#N/A")</f>
        <v>#N/A</v>
      </c>
      <c r="P2671" s="7" t="str">
        <f ca="1">IFERROR(__xludf.DUMMYFUNCTION("GOOGLEFINANCE(""NSE:""&amp;D2671,""EPS"")"),"#N/A")</f>
        <v>#N/A</v>
      </c>
      <c r="Q2671" s="7">
        <v>13.5</v>
      </c>
      <c r="R2671" s="7" t="str">
        <f ca="1">IFERROR(__xludf.DUMMYFUNCTION("IMPORTXML(E2671,""/html/body/main/div[3]/div[3]/div[2]/ul/li[7]/span[2]/span"")"),"Loading...")</f>
        <v>Loading...</v>
      </c>
      <c r="S2671" s="7" t="str">
        <f ca="1">IFERROR(__xludf.DUMMYFUNCTION("IMPORTXML(E2671,""/html/body/main/div[3]/div[3]/div[2]/ul/li[8]/span[2]/span"")"),"Loading...")</f>
        <v>Loading...</v>
      </c>
      <c r="T2671" s="4">
        <v>34.6</v>
      </c>
      <c r="U2671" s="4">
        <v>22.7</v>
      </c>
      <c r="V2671" s="4">
        <v>2.6</v>
      </c>
      <c r="W2671" s="4">
        <v>5.7</v>
      </c>
      <c r="X2671" s="4">
        <v>519.92999999999995</v>
      </c>
      <c r="Y2671" s="7" t="e">
        <f t="shared" ca="1" si="54"/>
        <v>#VALUE!</v>
      </c>
    </row>
    <row r="2672" spans="1:25" ht="15" x14ac:dyDescent="0.25">
      <c r="A2672" s="4">
        <v>2620</v>
      </c>
      <c r="C2672" s="41" t="s">
        <v>4951</v>
      </c>
      <c r="D2672" s="42"/>
      <c r="E2672" s="5" t="str">
        <f t="shared" si="50"/>
        <v>https://www.screener.in/company//consolidated/</v>
      </c>
      <c r="F2672" s="4">
        <v>443059</v>
      </c>
      <c r="G2672" s="4">
        <v>3832241897</v>
      </c>
      <c r="H2672" s="6" t="e">
        <f t="shared" ca="1" si="51"/>
        <v>#VALUE!</v>
      </c>
      <c r="I2672" s="7" t="str">
        <f ca="1">IFERROR(__xludf.DUMMYFUNCTION("IMPORTXML(E2672,""/html/body/main/div[3]/div[3]/div[2]/ul/li[5]/span[2]/span"")"),"Loading...")</f>
        <v>Loading...</v>
      </c>
      <c r="J2672" s="7" t="str">
        <f ca="1">IFERROR(__xludf.DUMMYFUNCTION("GOOGLEFINANCE(""NSE:""&amp;D2672,""marketcap"")"),"#N/A")</f>
        <v>#N/A</v>
      </c>
      <c r="K2672" s="7">
        <v>992.8</v>
      </c>
      <c r="L2672" s="8" t="str">
        <f ca="1">IFERROR(__xludf.DUMMYFUNCTION("GOOGLEFINANCE(""NSE:""&amp;D2672,""price"")"),"#N/A")</f>
        <v>#N/A</v>
      </c>
      <c r="M2672" s="9" t="e">
        <f t="shared" ca="1" si="52"/>
        <v>#VALUE!</v>
      </c>
      <c r="N2672" s="10" t="e">
        <f t="shared" ca="1" si="53"/>
        <v>#VALUE!</v>
      </c>
      <c r="O2672" s="7" t="str">
        <f ca="1">IFERROR(__xludf.DUMMYFUNCTION("GOOGLEFINANCE(""NSE:""&amp;D2672,""pe"")"),"#N/A")</f>
        <v>#N/A</v>
      </c>
      <c r="P2672" s="7" t="str">
        <f ca="1">IFERROR(__xludf.DUMMYFUNCTION("GOOGLEFINANCE(""NSE:""&amp;D2672,""EPS"")"),"#N/A")</f>
        <v>#N/A</v>
      </c>
      <c r="Q2672" s="7">
        <v>13.5</v>
      </c>
      <c r="R2672" s="7" t="str">
        <f ca="1">IFERROR(__xludf.DUMMYFUNCTION("IMPORTXML(E2672,""/html/body/main/div[3]/div[3]/div[2]/ul/li[7]/span[2]/span"")"),"Loading...")</f>
        <v>Loading...</v>
      </c>
      <c r="S2672" s="7" t="str">
        <f ca="1">IFERROR(__xludf.DUMMYFUNCTION("IMPORTXML(E2672,""/html/body/main/div[3]/div[3]/div[2]/ul/li[8]/span[2]/span"")"),"Loading...")</f>
        <v>Loading...</v>
      </c>
      <c r="T2672" s="4">
        <v>34.6</v>
      </c>
      <c r="U2672" s="4">
        <v>22.7</v>
      </c>
      <c r="V2672" s="4">
        <v>2.6</v>
      </c>
      <c r="W2672" s="4">
        <v>5.7</v>
      </c>
      <c r="X2672" s="4">
        <v>519.92999999999995</v>
      </c>
      <c r="Y2672" s="7" t="e">
        <f t="shared" ca="1" si="54"/>
        <v>#VALUE!</v>
      </c>
    </row>
    <row r="2673" spans="1:25" ht="15" x14ac:dyDescent="0.25">
      <c r="A2673" s="4">
        <v>2621</v>
      </c>
      <c r="C2673" s="41" t="s">
        <v>4952</v>
      </c>
      <c r="D2673" s="42"/>
      <c r="E2673" s="5" t="str">
        <f t="shared" si="50"/>
        <v>https://www.screener.in/company//consolidated/</v>
      </c>
      <c r="F2673" s="4">
        <v>443059</v>
      </c>
      <c r="G2673" s="4">
        <v>3832241897</v>
      </c>
      <c r="H2673" s="6" t="e">
        <f t="shared" ca="1" si="51"/>
        <v>#VALUE!</v>
      </c>
      <c r="I2673" s="7" t="str">
        <f ca="1">IFERROR(__xludf.DUMMYFUNCTION("IMPORTXML(E2673,""/html/body/main/div[3]/div[3]/div[2]/ul/li[5]/span[2]/span"")"),"Loading...")</f>
        <v>Loading...</v>
      </c>
      <c r="J2673" s="7" t="str">
        <f ca="1">IFERROR(__xludf.DUMMYFUNCTION("GOOGLEFINANCE(""NSE:""&amp;D2673,""marketcap"")"),"#N/A")</f>
        <v>#N/A</v>
      </c>
      <c r="K2673" s="7">
        <v>992.8</v>
      </c>
      <c r="L2673" s="8" t="str">
        <f ca="1">IFERROR(__xludf.DUMMYFUNCTION("GOOGLEFINANCE(""NSE:""&amp;D2673,""price"")"),"#N/A")</f>
        <v>#N/A</v>
      </c>
      <c r="M2673" s="9" t="e">
        <f t="shared" ca="1" si="52"/>
        <v>#VALUE!</v>
      </c>
      <c r="N2673" s="10" t="e">
        <f t="shared" ca="1" si="53"/>
        <v>#VALUE!</v>
      </c>
      <c r="O2673" s="7" t="str">
        <f ca="1">IFERROR(__xludf.DUMMYFUNCTION("GOOGLEFINANCE(""NSE:""&amp;D2673,""pe"")"),"#N/A")</f>
        <v>#N/A</v>
      </c>
      <c r="P2673" s="7" t="str">
        <f ca="1">IFERROR(__xludf.DUMMYFUNCTION("GOOGLEFINANCE(""NSE:""&amp;D2673,""EPS"")"),"#N/A")</f>
        <v>#N/A</v>
      </c>
      <c r="Q2673" s="7">
        <v>13.5</v>
      </c>
      <c r="R2673" s="7" t="str">
        <f ca="1">IFERROR(__xludf.DUMMYFUNCTION("IMPORTXML(E2673,""/html/body/main/div[3]/div[3]/div[2]/ul/li[7]/span[2]/span"")"),"Loading...")</f>
        <v>Loading...</v>
      </c>
      <c r="S2673" s="7" t="str">
        <f ca="1">IFERROR(__xludf.DUMMYFUNCTION("IMPORTXML(E2673,""/html/body/main/div[3]/div[3]/div[2]/ul/li[8]/span[2]/span"")"),"Loading...")</f>
        <v>Loading...</v>
      </c>
      <c r="T2673" s="4">
        <v>34.6</v>
      </c>
      <c r="U2673" s="4">
        <v>22.7</v>
      </c>
      <c r="V2673" s="4">
        <v>2.6</v>
      </c>
      <c r="W2673" s="4">
        <v>5.7</v>
      </c>
      <c r="X2673" s="4">
        <v>519.92999999999995</v>
      </c>
      <c r="Y2673" s="7" t="e">
        <f t="shared" ca="1" si="54"/>
        <v>#VALUE!</v>
      </c>
    </row>
    <row r="2674" spans="1:25" ht="15" x14ac:dyDescent="0.25">
      <c r="A2674" s="4">
        <v>2622</v>
      </c>
      <c r="C2674" s="41" t="s">
        <v>4953</v>
      </c>
      <c r="D2674" s="42"/>
      <c r="E2674" s="5" t="str">
        <f t="shared" si="50"/>
        <v>https://www.screener.in/company//consolidated/</v>
      </c>
      <c r="F2674" s="4">
        <v>443059</v>
      </c>
      <c r="G2674" s="4">
        <v>3832241897</v>
      </c>
      <c r="H2674" s="6" t="e">
        <f t="shared" ca="1" si="51"/>
        <v>#VALUE!</v>
      </c>
      <c r="I2674" s="7" t="str">
        <f ca="1">IFERROR(__xludf.DUMMYFUNCTION("IMPORTXML(E2674,""/html/body/main/div[3]/div[3]/div[2]/ul/li[5]/span[2]/span"")"),"Loading...")</f>
        <v>Loading...</v>
      </c>
      <c r="J2674" s="7" t="str">
        <f ca="1">IFERROR(__xludf.DUMMYFUNCTION("GOOGLEFINANCE(""NSE:""&amp;D2674,""marketcap"")"),"#N/A")</f>
        <v>#N/A</v>
      </c>
      <c r="K2674" s="7">
        <v>992.8</v>
      </c>
      <c r="L2674" s="8" t="str">
        <f ca="1">IFERROR(__xludf.DUMMYFUNCTION("GOOGLEFINANCE(""NSE:""&amp;D2674,""price"")"),"#N/A")</f>
        <v>#N/A</v>
      </c>
      <c r="M2674" s="9" t="e">
        <f t="shared" ca="1" si="52"/>
        <v>#VALUE!</v>
      </c>
      <c r="N2674" s="10" t="e">
        <f t="shared" ca="1" si="53"/>
        <v>#VALUE!</v>
      </c>
      <c r="O2674" s="7" t="str">
        <f ca="1">IFERROR(__xludf.DUMMYFUNCTION("GOOGLEFINANCE(""NSE:""&amp;D2674,""pe"")"),"#N/A")</f>
        <v>#N/A</v>
      </c>
      <c r="P2674" s="7" t="str">
        <f ca="1">IFERROR(__xludf.DUMMYFUNCTION("GOOGLEFINANCE(""NSE:""&amp;D2674,""EPS"")"),"#N/A")</f>
        <v>#N/A</v>
      </c>
      <c r="Q2674" s="7">
        <v>13.5</v>
      </c>
      <c r="R2674" s="7" t="str">
        <f ca="1">IFERROR(__xludf.DUMMYFUNCTION("IMPORTXML(E2674,""/html/body/main/div[3]/div[3]/div[2]/ul/li[7]/span[2]/span"")"),"Loading...")</f>
        <v>Loading...</v>
      </c>
      <c r="S2674" s="7" t="str">
        <f ca="1">IFERROR(__xludf.DUMMYFUNCTION("IMPORTXML(E2674,""/html/body/main/div[3]/div[3]/div[2]/ul/li[8]/span[2]/span"")"),"Loading...")</f>
        <v>Loading...</v>
      </c>
      <c r="T2674" s="4">
        <v>34.6</v>
      </c>
      <c r="U2674" s="4">
        <v>22.7</v>
      </c>
      <c r="V2674" s="4">
        <v>2.6</v>
      </c>
      <c r="W2674" s="4">
        <v>5.7</v>
      </c>
      <c r="X2674" s="4">
        <v>519.92999999999995</v>
      </c>
      <c r="Y2674" s="7" t="e">
        <f t="shared" ca="1" si="54"/>
        <v>#VALUE!</v>
      </c>
    </row>
    <row r="2675" spans="1:25" ht="15" x14ac:dyDescent="0.25">
      <c r="A2675" s="4">
        <v>2623</v>
      </c>
      <c r="C2675" s="41" t="s">
        <v>4954</v>
      </c>
      <c r="D2675" s="42"/>
      <c r="E2675" s="5" t="str">
        <f t="shared" si="50"/>
        <v>https://www.screener.in/company//consolidated/</v>
      </c>
      <c r="F2675" s="4">
        <v>443059</v>
      </c>
      <c r="G2675" s="4">
        <v>3832241897</v>
      </c>
      <c r="H2675" s="6" t="e">
        <f t="shared" ca="1" si="51"/>
        <v>#VALUE!</v>
      </c>
      <c r="I2675" s="7" t="str">
        <f ca="1">IFERROR(__xludf.DUMMYFUNCTION("IMPORTXML(E2675,""/html/body/main/div[3]/div[3]/div[2]/ul/li[5]/span[2]/span"")"),"Loading...")</f>
        <v>Loading...</v>
      </c>
      <c r="J2675" s="7" t="str">
        <f ca="1">IFERROR(__xludf.DUMMYFUNCTION("GOOGLEFINANCE(""NSE:""&amp;D2675,""marketcap"")"),"#N/A")</f>
        <v>#N/A</v>
      </c>
      <c r="K2675" s="7">
        <v>992.8</v>
      </c>
      <c r="L2675" s="8" t="str">
        <f ca="1">IFERROR(__xludf.DUMMYFUNCTION("GOOGLEFINANCE(""NSE:""&amp;D2675,""price"")"),"#N/A")</f>
        <v>#N/A</v>
      </c>
      <c r="M2675" s="9" t="e">
        <f t="shared" ca="1" si="52"/>
        <v>#VALUE!</v>
      </c>
      <c r="N2675" s="10" t="e">
        <f t="shared" ca="1" si="53"/>
        <v>#VALUE!</v>
      </c>
      <c r="O2675" s="7" t="str">
        <f ca="1">IFERROR(__xludf.DUMMYFUNCTION("GOOGLEFINANCE(""NSE:""&amp;D2675,""pe"")"),"#N/A")</f>
        <v>#N/A</v>
      </c>
      <c r="P2675" s="7" t="str">
        <f ca="1">IFERROR(__xludf.DUMMYFUNCTION("GOOGLEFINANCE(""NSE:""&amp;D2675,""EPS"")"),"#N/A")</f>
        <v>#N/A</v>
      </c>
      <c r="Q2675" s="7">
        <v>13.5</v>
      </c>
      <c r="R2675" s="7" t="str">
        <f ca="1">IFERROR(__xludf.DUMMYFUNCTION("IMPORTXML(E2675,""/html/body/main/div[3]/div[3]/div[2]/ul/li[7]/span[2]/span"")"),"Loading...")</f>
        <v>Loading...</v>
      </c>
      <c r="S2675" s="7" t="str">
        <f ca="1">IFERROR(__xludf.DUMMYFUNCTION("IMPORTXML(E2675,""/html/body/main/div[3]/div[3]/div[2]/ul/li[8]/span[2]/span"")"),"Loading...")</f>
        <v>Loading...</v>
      </c>
      <c r="T2675" s="4">
        <v>34.6</v>
      </c>
      <c r="U2675" s="4">
        <v>22.7</v>
      </c>
      <c r="V2675" s="4">
        <v>2.6</v>
      </c>
      <c r="W2675" s="4">
        <v>5.7</v>
      </c>
      <c r="X2675" s="4">
        <v>519.92999999999995</v>
      </c>
      <c r="Y2675" s="7" t="e">
        <f t="shared" ca="1" si="54"/>
        <v>#VALUE!</v>
      </c>
    </row>
    <row r="2676" spans="1:25" ht="15" x14ac:dyDescent="0.25">
      <c r="A2676" s="4">
        <v>2624</v>
      </c>
      <c r="C2676" s="41" t="s">
        <v>4955</v>
      </c>
      <c r="D2676" s="42"/>
      <c r="E2676" s="5" t="str">
        <f t="shared" si="50"/>
        <v>https://www.screener.in/company//consolidated/</v>
      </c>
      <c r="F2676" s="4">
        <v>443059</v>
      </c>
      <c r="G2676" s="4">
        <v>3832241897</v>
      </c>
      <c r="H2676" s="6" t="e">
        <f t="shared" ca="1" si="51"/>
        <v>#VALUE!</v>
      </c>
      <c r="I2676" s="7" t="str">
        <f ca="1">IFERROR(__xludf.DUMMYFUNCTION("IMPORTXML(E2676,""/html/body/main/div[3]/div[3]/div[2]/ul/li[5]/span[2]/span"")"),"Loading...")</f>
        <v>Loading...</v>
      </c>
      <c r="J2676" s="7" t="str">
        <f ca="1">IFERROR(__xludf.DUMMYFUNCTION("GOOGLEFINANCE(""NSE:""&amp;D2676,""marketcap"")"),"#N/A")</f>
        <v>#N/A</v>
      </c>
      <c r="K2676" s="7">
        <v>992.8</v>
      </c>
      <c r="L2676" s="8" t="str">
        <f ca="1">IFERROR(__xludf.DUMMYFUNCTION("GOOGLEFINANCE(""NSE:""&amp;D2676,""price"")"),"#N/A")</f>
        <v>#N/A</v>
      </c>
      <c r="M2676" s="9" t="e">
        <f t="shared" ca="1" si="52"/>
        <v>#VALUE!</v>
      </c>
      <c r="N2676" s="10" t="e">
        <f t="shared" ca="1" si="53"/>
        <v>#VALUE!</v>
      </c>
      <c r="O2676" s="7" t="str">
        <f ca="1">IFERROR(__xludf.DUMMYFUNCTION("GOOGLEFINANCE(""NSE:""&amp;D2676,""pe"")"),"#N/A")</f>
        <v>#N/A</v>
      </c>
      <c r="P2676" s="7" t="str">
        <f ca="1">IFERROR(__xludf.DUMMYFUNCTION("GOOGLEFINANCE(""NSE:""&amp;D2676,""EPS"")"),"#N/A")</f>
        <v>#N/A</v>
      </c>
      <c r="Q2676" s="7">
        <v>13.5</v>
      </c>
      <c r="R2676" s="7" t="str">
        <f ca="1">IFERROR(__xludf.DUMMYFUNCTION("IMPORTXML(E2676,""/html/body/main/div[3]/div[3]/div[2]/ul/li[7]/span[2]/span"")"),"Loading...")</f>
        <v>Loading...</v>
      </c>
      <c r="S2676" s="7" t="str">
        <f ca="1">IFERROR(__xludf.DUMMYFUNCTION("IMPORTXML(E2676,""/html/body/main/div[3]/div[3]/div[2]/ul/li[8]/span[2]/span"")"),"Loading...")</f>
        <v>Loading...</v>
      </c>
      <c r="T2676" s="4">
        <v>34.6</v>
      </c>
      <c r="U2676" s="4">
        <v>22.7</v>
      </c>
      <c r="V2676" s="4">
        <v>2.6</v>
      </c>
      <c r="W2676" s="4">
        <v>5.7</v>
      </c>
      <c r="X2676" s="4">
        <v>519.92999999999995</v>
      </c>
      <c r="Y2676" s="7" t="e">
        <f t="shared" ca="1" si="54"/>
        <v>#VALUE!</v>
      </c>
    </row>
    <row r="2677" spans="1:25" ht="15" x14ac:dyDescent="0.25">
      <c r="A2677" s="4">
        <v>2625</v>
      </c>
      <c r="C2677" s="41" t="s">
        <v>4956</v>
      </c>
      <c r="D2677" s="42"/>
      <c r="E2677" s="5" t="str">
        <f t="shared" si="50"/>
        <v>https://www.screener.in/company//consolidated/</v>
      </c>
      <c r="F2677" s="4">
        <v>443059</v>
      </c>
      <c r="G2677" s="4">
        <v>3832241897</v>
      </c>
      <c r="H2677" s="6" t="e">
        <f t="shared" ca="1" si="51"/>
        <v>#VALUE!</v>
      </c>
      <c r="I2677" s="7" t="str">
        <f ca="1">IFERROR(__xludf.DUMMYFUNCTION("IMPORTXML(E2677,""/html/body/main/div[3]/div[3]/div[2]/ul/li[5]/span[2]/span"")"),"Loading...")</f>
        <v>Loading...</v>
      </c>
      <c r="J2677" s="7" t="str">
        <f ca="1">IFERROR(__xludf.DUMMYFUNCTION("GOOGLEFINANCE(""NSE:""&amp;D2677,""marketcap"")"),"#N/A")</f>
        <v>#N/A</v>
      </c>
      <c r="K2677" s="7">
        <v>992.8</v>
      </c>
      <c r="L2677" s="8" t="str">
        <f ca="1">IFERROR(__xludf.DUMMYFUNCTION("GOOGLEFINANCE(""NSE:""&amp;D2677,""price"")"),"#N/A")</f>
        <v>#N/A</v>
      </c>
      <c r="M2677" s="9" t="e">
        <f t="shared" ca="1" si="52"/>
        <v>#VALUE!</v>
      </c>
      <c r="N2677" s="10" t="e">
        <f t="shared" ca="1" si="53"/>
        <v>#VALUE!</v>
      </c>
      <c r="O2677" s="7" t="str">
        <f ca="1">IFERROR(__xludf.DUMMYFUNCTION("GOOGLEFINANCE(""NSE:""&amp;D2677,""pe"")"),"#N/A")</f>
        <v>#N/A</v>
      </c>
      <c r="P2677" s="7" t="str">
        <f ca="1">IFERROR(__xludf.DUMMYFUNCTION("GOOGLEFINANCE(""NSE:""&amp;D2677,""EPS"")"),"#N/A")</f>
        <v>#N/A</v>
      </c>
      <c r="Q2677" s="7">
        <v>13.5</v>
      </c>
      <c r="R2677" s="7" t="str">
        <f ca="1">IFERROR(__xludf.DUMMYFUNCTION("IMPORTXML(E2677,""/html/body/main/div[3]/div[3]/div[2]/ul/li[7]/span[2]/span"")"),"Loading...")</f>
        <v>Loading...</v>
      </c>
      <c r="S2677" s="7" t="str">
        <f ca="1">IFERROR(__xludf.DUMMYFUNCTION("IMPORTXML(E2677,""/html/body/main/div[3]/div[3]/div[2]/ul/li[8]/span[2]/span"")"),"Loading...")</f>
        <v>Loading...</v>
      </c>
      <c r="T2677" s="4">
        <v>34.6</v>
      </c>
      <c r="U2677" s="4">
        <v>22.7</v>
      </c>
      <c r="V2677" s="4">
        <v>2.6</v>
      </c>
      <c r="W2677" s="4">
        <v>5.7</v>
      </c>
      <c r="X2677" s="4">
        <v>519.92999999999995</v>
      </c>
      <c r="Y2677" s="7" t="e">
        <f t="shared" ca="1" si="54"/>
        <v>#VALUE!</v>
      </c>
    </row>
    <row r="2678" spans="1:25" ht="15" x14ac:dyDescent="0.25">
      <c r="A2678" s="4">
        <v>2626</v>
      </c>
      <c r="C2678" s="41" t="s">
        <v>4957</v>
      </c>
      <c r="D2678" s="42"/>
      <c r="E2678" s="5" t="str">
        <f t="shared" si="50"/>
        <v>https://www.screener.in/company//consolidated/</v>
      </c>
      <c r="F2678" s="4">
        <v>443059</v>
      </c>
      <c r="G2678" s="4">
        <v>3832241897</v>
      </c>
      <c r="H2678" s="6" t="e">
        <f t="shared" ca="1" si="51"/>
        <v>#VALUE!</v>
      </c>
      <c r="I2678" s="7" t="str">
        <f ca="1">IFERROR(__xludf.DUMMYFUNCTION("IMPORTXML(E2678,""/html/body/main/div[3]/div[3]/div[2]/ul/li[5]/span[2]/span"")"),"Loading...")</f>
        <v>Loading...</v>
      </c>
      <c r="J2678" s="7" t="str">
        <f ca="1">IFERROR(__xludf.DUMMYFUNCTION("GOOGLEFINANCE(""NSE:""&amp;D2678,""marketcap"")"),"#N/A")</f>
        <v>#N/A</v>
      </c>
      <c r="K2678" s="7">
        <v>992.8</v>
      </c>
      <c r="L2678" s="8" t="str">
        <f ca="1">IFERROR(__xludf.DUMMYFUNCTION("GOOGLEFINANCE(""NSE:""&amp;D2678,""price"")"),"#N/A")</f>
        <v>#N/A</v>
      </c>
      <c r="M2678" s="9" t="e">
        <f t="shared" ca="1" si="52"/>
        <v>#VALUE!</v>
      </c>
      <c r="N2678" s="10" t="e">
        <f t="shared" ca="1" si="53"/>
        <v>#VALUE!</v>
      </c>
      <c r="O2678" s="7" t="str">
        <f ca="1">IFERROR(__xludf.DUMMYFUNCTION("GOOGLEFINANCE(""NSE:""&amp;D2678,""pe"")"),"#N/A")</f>
        <v>#N/A</v>
      </c>
      <c r="P2678" s="7" t="str">
        <f ca="1">IFERROR(__xludf.DUMMYFUNCTION("GOOGLEFINANCE(""NSE:""&amp;D2678,""EPS"")"),"#N/A")</f>
        <v>#N/A</v>
      </c>
      <c r="Q2678" s="7">
        <v>13.5</v>
      </c>
      <c r="R2678" s="7" t="str">
        <f ca="1">IFERROR(__xludf.DUMMYFUNCTION("IMPORTXML(E2678,""/html/body/main/div[3]/div[3]/div[2]/ul/li[7]/span[2]/span"")"),"Loading...")</f>
        <v>Loading...</v>
      </c>
      <c r="S2678" s="7" t="str">
        <f ca="1">IFERROR(__xludf.DUMMYFUNCTION("IMPORTXML(E2678,""/html/body/main/div[3]/div[3]/div[2]/ul/li[8]/span[2]/span"")"),"Loading...")</f>
        <v>Loading...</v>
      </c>
      <c r="T2678" s="4">
        <v>34.6</v>
      </c>
      <c r="U2678" s="4">
        <v>22.7</v>
      </c>
      <c r="V2678" s="4">
        <v>2.6</v>
      </c>
      <c r="W2678" s="4">
        <v>5.7</v>
      </c>
      <c r="X2678" s="4">
        <v>519.92999999999995</v>
      </c>
      <c r="Y2678" s="7" t="e">
        <f t="shared" ca="1" si="54"/>
        <v>#VALUE!</v>
      </c>
    </row>
    <row r="2679" spans="1:25" ht="15" x14ac:dyDescent="0.25">
      <c r="A2679" s="4">
        <v>2627</v>
      </c>
      <c r="C2679" s="41" t="s">
        <v>4958</v>
      </c>
      <c r="D2679" s="42"/>
      <c r="E2679" s="5" t="str">
        <f t="shared" si="50"/>
        <v>https://www.screener.in/company//consolidated/</v>
      </c>
      <c r="F2679" s="4">
        <v>443059</v>
      </c>
      <c r="G2679" s="4">
        <v>3832241897</v>
      </c>
      <c r="H2679" s="6" t="e">
        <f t="shared" ca="1" si="51"/>
        <v>#VALUE!</v>
      </c>
      <c r="I2679" s="7" t="str">
        <f ca="1">IFERROR(__xludf.DUMMYFUNCTION("IMPORTXML(E2679,""/html/body/main/div[3]/div[3]/div[2]/ul/li[5]/span[2]/span"")"),"Loading...")</f>
        <v>Loading...</v>
      </c>
      <c r="J2679" s="7" t="str">
        <f ca="1">IFERROR(__xludf.DUMMYFUNCTION("GOOGLEFINANCE(""NSE:""&amp;D2679,""marketcap"")"),"#N/A")</f>
        <v>#N/A</v>
      </c>
      <c r="K2679" s="7">
        <v>992.8</v>
      </c>
      <c r="L2679" s="8" t="str">
        <f ca="1">IFERROR(__xludf.DUMMYFUNCTION("GOOGLEFINANCE(""NSE:""&amp;D2679,""price"")"),"#N/A")</f>
        <v>#N/A</v>
      </c>
      <c r="M2679" s="9" t="e">
        <f t="shared" ca="1" si="52"/>
        <v>#VALUE!</v>
      </c>
      <c r="N2679" s="10" t="e">
        <f t="shared" ca="1" si="53"/>
        <v>#VALUE!</v>
      </c>
      <c r="O2679" s="7" t="str">
        <f ca="1">IFERROR(__xludf.DUMMYFUNCTION("GOOGLEFINANCE(""NSE:""&amp;D2679,""pe"")"),"#N/A")</f>
        <v>#N/A</v>
      </c>
      <c r="P2679" s="7" t="str">
        <f ca="1">IFERROR(__xludf.DUMMYFUNCTION("GOOGLEFINANCE(""NSE:""&amp;D2679,""EPS"")"),"#N/A")</f>
        <v>#N/A</v>
      </c>
      <c r="Q2679" s="7">
        <v>13.5</v>
      </c>
      <c r="R2679" s="7" t="str">
        <f ca="1">IFERROR(__xludf.DUMMYFUNCTION("IMPORTXML(E2679,""/html/body/main/div[3]/div[3]/div[2]/ul/li[7]/span[2]/span"")"),"Loading...")</f>
        <v>Loading...</v>
      </c>
      <c r="S2679" s="7" t="str">
        <f ca="1">IFERROR(__xludf.DUMMYFUNCTION("IMPORTXML(E2679,""/html/body/main/div[3]/div[3]/div[2]/ul/li[8]/span[2]/span"")"),"Loading...")</f>
        <v>Loading...</v>
      </c>
      <c r="T2679" s="4">
        <v>34.6</v>
      </c>
      <c r="U2679" s="4">
        <v>22.7</v>
      </c>
      <c r="V2679" s="4">
        <v>2.6</v>
      </c>
      <c r="W2679" s="4">
        <v>5.7</v>
      </c>
      <c r="X2679" s="4">
        <v>519.92999999999995</v>
      </c>
      <c r="Y2679" s="7" t="e">
        <f t="shared" ca="1" si="54"/>
        <v>#VALUE!</v>
      </c>
    </row>
    <row r="2680" spans="1:25" ht="15" x14ac:dyDescent="0.25">
      <c r="A2680" s="4">
        <v>2628</v>
      </c>
      <c r="C2680" s="41" t="s">
        <v>4959</v>
      </c>
      <c r="D2680" s="42"/>
      <c r="E2680" s="5" t="str">
        <f t="shared" si="50"/>
        <v>https://www.screener.in/company//consolidated/</v>
      </c>
      <c r="F2680" s="4">
        <v>443059</v>
      </c>
      <c r="G2680" s="4">
        <v>3832241897</v>
      </c>
      <c r="H2680" s="6" t="e">
        <f t="shared" ca="1" si="51"/>
        <v>#VALUE!</v>
      </c>
      <c r="I2680" s="7" t="str">
        <f ca="1">IFERROR(__xludf.DUMMYFUNCTION("IMPORTXML(E2680,""/html/body/main/div[3]/div[3]/div[2]/ul/li[5]/span[2]/span"")"),"Loading...")</f>
        <v>Loading...</v>
      </c>
      <c r="J2680" s="7" t="str">
        <f ca="1">IFERROR(__xludf.DUMMYFUNCTION("GOOGLEFINANCE(""NSE:""&amp;D2680,""marketcap"")"),"#N/A")</f>
        <v>#N/A</v>
      </c>
      <c r="K2680" s="7">
        <v>992.8</v>
      </c>
      <c r="L2680" s="8" t="str">
        <f ca="1">IFERROR(__xludf.DUMMYFUNCTION("GOOGLEFINANCE(""NSE:""&amp;D2680,""price"")"),"#N/A")</f>
        <v>#N/A</v>
      </c>
      <c r="M2680" s="9" t="e">
        <f t="shared" ca="1" si="52"/>
        <v>#VALUE!</v>
      </c>
      <c r="N2680" s="10" t="e">
        <f t="shared" ca="1" si="53"/>
        <v>#VALUE!</v>
      </c>
      <c r="O2680" s="7" t="str">
        <f ca="1">IFERROR(__xludf.DUMMYFUNCTION("GOOGLEFINANCE(""NSE:""&amp;D2680,""pe"")"),"#N/A")</f>
        <v>#N/A</v>
      </c>
      <c r="P2680" s="7" t="str">
        <f ca="1">IFERROR(__xludf.DUMMYFUNCTION("GOOGLEFINANCE(""NSE:""&amp;D2680,""EPS"")"),"#N/A")</f>
        <v>#N/A</v>
      </c>
      <c r="Q2680" s="7">
        <v>13.5</v>
      </c>
      <c r="R2680" s="7" t="str">
        <f ca="1">IFERROR(__xludf.DUMMYFUNCTION("IMPORTXML(E2680,""/html/body/main/div[3]/div[3]/div[2]/ul/li[7]/span[2]/span"")"),"Loading...")</f>
        <v>Loading...</v>
      </c>
      <c r="S2680" s="7" t="str">
        <f ca="1">IFERROR(__xludf.DUMMYFUNCTION("IMPORTXML(E2680,""/html/body/main/div[3]/div[3]/div[2]/ul/li[8]/span[2]/span"")"),"Loading...")</f>
        <v>Loading...</v>
      </c>
      <c r="T2680" s="4">
        <v>34.6</v>
      </c>
      <c r="U2680" s="4">
        <v>22.7</v>
      </c>
      <c r="V2680" s="4">
        <v>2.6</v>
      </c>
      <c r="W2680" s="4">
        <v>5.7</v>
      </c>
      <c r="X2680" s="4">
        <v>519.92999999999995</v>
      </c>
      <c r="Y2680" s="7" t="e">
        <f t="shared" ca="1" si="54"/>
        <v>#VALUE!</v>
      </c>
    </row>
    <row r="2681" spans="1:25" ht="15" x14ac:dyDescent="0.25">
      <c r="A2681" s="4">
        <v>2629</v>
      </c>
      <c r="C2681" s="41" t="s">
        <v>4960</v>
      </c>
      <c r="D2681" s="42"/>
      <c r="E2681" s="5" t="str">
        <f t="shared" si="50"/>
        <v>https://www.screener.in/company//consolidated/</v>
      </c>
      <c r="F2681" s="4">
        <v>443059</v>
      </c>
      <c r="G2681" s="4">
        <v>3832241897</v>
      </c>
      <c r="H2681" s="6" t="e">
        <f t="shared" ca="1" si="51"/>
        <v>#VALUE!</v>
      </c>
      <c r="I2681" s="7" t="str">
        <f ca="1">IFERROR(__xludf.DUMMYFUNCTION("IMPORTXML(E2681,""/html/body/main/div[3]/div[3]/div[2]/ul/li[5]/span[2]/span"")"),"Loading...")</f>
        <v>Loading...</v>
      </c>
      <c r="J2681" s="7" t="str">
        <f ca="1">IFERROR(__xludf.DUMMYFUNCTION("GOOGLEFINANCE(""NSE:""&amp;D2681,""marketcap"")"),"#N/A")</f>
        <v>#N/A</v>
      </c>
      <c r="K2681" s="7">
        <v>992.8</v>
      </c>
      <c r="L2681" s="8" t="str">
        <f ca="1">IFERROR(__xludf.DUMMYFUNCTION("GOOGLEFINANCE(""NSE:""&amp;D2681,""price"")"),"#N/A")</f>
        <v>#N/A</v>
      </c>
      <c r="M2681" s="9" t="e">
        <f t="shared" ca="1" si="52"/>
        <v>#VALUE!</v>
      </c>
      <c r="N2681" s="10" t="e">
        <f t="shared" ca="1" si="53"/>
        <v>#VALUE!</v>
      </c>
      <c r="O2681" s="7" t="str">
        <f ca="1">IFERROR(__xludf.DUMMYFUNCTION("GOOGLEFINANCE(""NSE:""&amp;D2681,""pe"")"),"#N/A")</f>
        <v>#N/A</v>
      </c>
      <c r="P2681" s="7" t="str">
        <f ca="1">IFERROR(__xludf.DUMMYFUNCTION("GOOGLEFINANCE(""NSE:""&amp;D2681,""EPS"")"),"#N/A")</f>
        <v>#N/A</v>
      </c>
      <c r="Q2681" s="7">
        <v>13.5</v>
      </c>
      <c r="R2681" s="7" t="str">
        <f ca="1">IFERROR(__xludf.DUMMYFUNCTION("IMPORTXML(E2681,""/html/body/main/div[3]/div[3]/div[2]/ul/li[7]/span[2]/span"")"),"Loading...")</f>
        <v>Loading...</v>
      </c>
      <c r="S2681" s="7" t="str">
        <f ca="1">IFERROR(__xludf.DUMMYFUNCTION("IMPORTXML(E2681,""/html/body/main/div[3]/div[3]/div[2]/ul/li[8]/span[2]/span"")"),"Loading...")</f>
        <v>Loading...</v>
      </c>
      <c r="T2681" s="4">
        <v>34.6</v>
      </c>
      <c r="U2681" s="4">
        <v>22.7</v>
      </c>
      <c r="V2681" s="4">
        <v>2.6</v>
      </c>
      <c r="W2681" s="4">
        <v>5.7</v>
      </c>
      <c r="X2681" s="4">
        <v>519.92999999999995</v>
      </c>
      <c r="Y2681" s="7" t="e">
        <f t="shared" ca="1" si="54"/>
        <v>#VALUE!</v>
      </c>
    </row>
    <row r="2682" spans="1:25" ht="15" x14ac:dyDescent="0.25">
      <c r="A2682" s="4">
        <v>2630</v>
      </c>
      <c r="C2682" s="41" t="s">
        <v>4961</v>
      </c>
      <c r="D2682" s="42"/>
      <c r="E2682" s="5" t="str">
        <f t="shared" si="50"/>
        <v>https://www.screener.in/company//consolidated/</v>
      </c>
      <c r="F2682" s="4">
        <v>443059</v>
      </c>
      <c r="G2682" s="4">
        <v>3832241897</v>
      </c>
      <c r="H2682" s="6" t="e">
        <f t="shared" ca="1" si="51"/>
        <v>#VALUE!</v>
      </c>
      <c r="I2682" s="7" t="str">
        <f ca="1">IFERROR(__xludf.DUMMYFUNCTION("IMPORTXML(E2682,""/html/body/main/div[3]/div[3]/div[2]/ul/li[5]/span[2]/span"")"),"Loading...")</f>
        <v>Loading...</v>
      </c>
      <c r="J2682" s="7" t="str">
        <f ca="1">IFERROR(__xludf.DUMMYFUNCTION("GOOGLEFINANCE(""NSE:""&amp;D2682,""marketcap"")"),"#N/A")</f>
        <v>#N/A</v>
      </c>
      <c r="K2682" s="7">
        <v>992.8</v>
      </c>
      <c r="L2682" s="8" t="str">
        <f ca="1">IFERROR(__xludf.DUMMYFUNCTION("GOOGLEFINANCE(""NSE:""&amp;D2682,""price"")"),"#N/A")</f>
        <v>#N/A</v>
      </c>
      <c r="M2682" s="9" t="e">
        <f t="shared" ca="1" si="52"/>
        <v>#VALUE!</v>
      </c>
      <c r="N2682" s="10" t="e">
        <f t="shared" ca="1" si="53"/>
        <v>#VALUE!</v>
      </c>
      <c r="O2682" s="7" t="str">
        <f ca="1">IFERROR(__xludf.DUMMYFUNCTION("GOOGLEFINANCE(""NSE:""&amp;D2682,""pe"")"),"#N/A")</f>
        <v>#N/A</v>
      </c>
      <c r="P2682" s="7" t="str">
        <f ca="1">IFERROR(__xludf.DUMMYFUNCTION("GOOGLEFINANCE(""NSE:""&amp;D2682,""EPS"")"),"#N/A")</f>
        <v>#N/A</v>
      </c>
      <c r="Q2682" s="7">
        <v>13.5</v>
      </c>
      <c r="R2682" s="7" t="str">
        <f ca="1">IFERROR(__xludf.DUMMYFUNCTION("IMPORTXML(E2682,""/html/body/main/div[3]/div[3]/div[2]/ul/li[7]/span[2]/span"")"),"Loading...")</f>
        <v>Loading...</v>
      </c>
      <c r="S2682" s="7" t="str">
        <f ca="1">IFERROR(__xludf.DUMMYFUNCTION("IMPORTXML(E2682,""/html/body/main/div[3]/div[3]/div[2]/ul/li[8]/span[2]/span"")"),"Loading...")</f>
        <v>Loading...</v>
      </c>
      <c r="T2682" s="4">
        <v>34.6</v>
      </c>
      <c r="U2682" s="4">
        <v>22.7</v>
      </c>
      <c r="V2682" s="4">
        <v>2.6</v>
      </c>
      <c r="W2682" s="4">
        <v>5.7</v>
      </c>
      <c r="X2682" s="4">
        <v>519.92999999999995</v>
      </c>
      <c r="Y2682" s="7" t="e">
        <f t="shared" ca="1" si="54"/>
        <v>#VALUE!</v>
      </c>
    </row>
    <row r="2683" spans="1:25" ht="15" x14ac:dyDescent="0.25">
      <c r="A2683" s="4">
        <v>2631</v>
      </c>
      <c r="C2683" s="41" t="s">
        <v>4962</v>
      </c>
      <c r="D2683" s="42"/>
      <c r="E2683" s="5" t="str">
        <f t="shared" si="50"/>
        <v>https://www.screener.in/company//consolidated/</v>
      </c>
      <c r="F2683" s="4">
        <v>443059</v>
      </c>
      <c r="G2683" s="4">
        <v>3832241897</v>
      </c>
      <c r="H2683" s="6" t="e">
        <f t="shared" ca="1" si="51"/>
        <v>#VALUE!</v>
      </c>
      <c r="I2683" s="7" t="str">
        <f ca="1">IFERROR(__xludf.DUMMYFUNCTION("IMPORTXML(E2683,""/html/body/main/div[3]/div[3]/div[2]/ul/li[5]/span[2]/span"")"),"Loading...")</f>
        <v>Loading...</v>
      </c>
      <c r="J2683" s="7" t="str">
        <f ca="1">IFERROR(__xludf.DUMMYFUNCTION("GOOGLEFINANCE(""NSE:""&amp;D2683,""marketcap"")"),"#N/A")</f>
        <v>#N/A</v>
      </c>
      <c r="K2683" s="7">
        <v>992.8</v>
      </c>
      <c r="L2683" s="8" t="str">
        <f ca="1">IFERROR(__xludf.DUMMYFUNCTION("GOOGLEFINANCE(""NSE:""&amp;D2683,""price"")"),"#N/A")</f>
        <v>#N/A</v>
      </c>
      <c r="M2683" s="9" t="e">
        <f t="shared" ca="1" si="52"/>
        <v>#VALUE!</v>
      </c>
      <c r="N2683" s="10" t="e">
        <f t="shared" ca="1" si="53"/>
        <v>#VALUE!</v>
      </c>
      <c r="O2683" s="7" t="str">
        <f ca="1">IFERROR(__xludf.DUMMYFUNCTION("GOOGLEFINANCE(""NSE:""&amp;D2683,""pe"")"),"#N/A")</f>
        <v>#N/A</v>
      </c>
      <c r="P2683" s="7" t="str">
        <f ca="1">IFERROR(__xludf.DUMMYFUNCTION("GOOGLEFINANCE(""NSE:""&amp;D2683,""EPS"")"),"#N/A")</f>
        <v>#N/A</v>
      </c>
      <c r="Q2683" s="7">
        <v>13.5</v>
      </c>
      <c r="R2683" s="7" t="str">
        <f ca="1">IFERROR(__xludf.DUMMYFUNCTION("IMPORTXML(E2683,""/html/body/main/div[3]/div[3]/div[2]/ul/li[7]/span[2]/span"")"),"Loading...")</f>
        <v>Loading...</v>
      </c>
      <c r="S2683" s="7" t="str">
        <f ca="1">IFERROR(__xludf.DUMMYFUNCTION("IMPORTXML(E2683,""/html/body/main/div[3]/div[3]/div[2]/ul/li[8]/span[2]/span"")"),"Loading...")</f>
        <v>Loading...</v>
      </c>
      <c r="T2683" s="4">
        <v>34.6</v>
      </c>
      <c r="U2683" s="4">
        <v>22.7</v>
      </c>
      <c r="V2683" s="4">
        <v>2.6</v>
      </c>
      <c r="W2683" s="4">
        <v>5.7</v>
      </c>
      <c r="X2683" s="4">
        <v>519.92999999999995</v>
      </c>
      <c r="Y2683" s="7" t="e">
        <f t="shared" ca="1" si="54"/>
        <v>#VALUE!</v>
      </c>
    </row>
    <row r="2684" spans="1:25" ht="15" x14ac:dyDescent="0.25">
      <c r="A2684" s="4">
        <v>2632</v>
      </c>
      <c r="C2684" s="41" t="s">
        <v>4963</v>
      </c>
      <c r="D2684" s="42"/>
      <c r="E2684" s="5" t="str">
        <f t="shared" si="50"/>
        <v>https://www.screener.in/company//consolidated/</v>
      </c>
      <c r="F2684" s="4">
        <v>443059</v>
      </c>
      <c r="G2684" s="4">
        <v>3832241897</v>
      </c>
      <c r="H2684" s="6" t="e">
        <f t="shared" ca="1" si="51"/>
        <v>#VALUE!</v>
      </c>
      <c r="I2684" s="7" t="str">
        <f ca="1">IFERROR(__xludf.DUMMYFUNCTION("IMPORTXML(E2684,""/html/body/main/div[3]/div[3]/div[2]/ul/li[5]/span[2]/span"")"),"Loading...")</f>
        <v>Loading...</v>
      </c>
      <c r="J2684" s="7" t="str">
        <f ca="1">IFERROR(__xludf.DUMMYFUNCTION("GOOGLEFINANCE(""NSE:""&amp;D2684,""marketcap"")"),"#N/A")</f>
        <v>#N/A</v>
      </c>
      <c r="K2684" s="7">
        <v>992.8</v>
      </c>
      <c r="L2684" s="8" t="str">
        <f ca="1">IFERROR(__xludf.DUMMYFUNCTION("GOOGLEFINANCE(""NSE:""&amp;D2684,""price"")"),"#N/A")</f>
        <v>#N/A</v>
      </c>
      <c r="M2684" s="9" t="e">
        <f t="shared" ca="1" si="52"/>
        <v>#VALUE!</v>
      </c>
      <c r="N2684" s="10" t="e">
        <f t="shared" ca="1" si="53"/>
        <v>#VALUE!</v>
      </c>
      <c r="O2684" s="7" t="str">
        <f ca="1">IFERROR(__xludf.DUMMYFUNCTION("GOOGLEFINANCE(""NSE:""&amp;D2684,""pe"")"),"#N/A")</f>
        <v>#N/A</v>
      </c>
      <c r="P2684" s="7" t="str">
        <f ca="1">IFERROR(__xludf.DUMMYFUNCTION("GOOGLEFINANCE(""NSE:""&amp;D2684,""EPS"")"),"#N/A")</f>
        <v>#N/A</v>
      </c>
      <c r="Q2684" s="7">
        <v>13.5</v>
      </c>
      <c r="R2684" s="7" t="str">
        <f ca="1">IFERROR(__xludf.DUMMYFUNCTION("IMPORTXML(E2684,""/html/body/main/div[3]/div[3]/div[2]/ul/li[7]/span[2]/span"")"),"Loading...")</f>
        <v>Loading...</v>
      </c>
      <c r="S2684" s="7" t="str">
        <f ca="1">IFERROR(__xludf.DUMMYFUNCTION("IMPORTXML(E2684,""/html/body/main/div[3]/div[3]/div[2]/ul/li[8]/span[2]/span"")"),"Loading...")</f>
        <v>Loading...</v>
      </c>
      <c r="T2684" s="4">
        <v>34.6</v>
      </c>
      <c r="U2684" s="4">
        <v>22.7</v>
      </c>
      <c r="V2684" s="4">
        <v>2.6</v>
      </c>
      <c r="W2684" s="4">
        <v>5.7</v>
      </c>
      <c r="X2684" s="4">
        <v>519.92999999999995</v>
      </c>
      <c r="Y2684" s="7" t="e">
        <f t="shared" ca="1" si="54"/>
        <v>#VALUE!</v>
      </c>
    </row>
    <row r="2685" spans="1:25" ht="15" x14ac:dyDescent="0.25">
      <c r="A2685" s="4">
        <v>2633</v>
      </c>
      <c r="C2685" s="41" t="s">
        <v>4964</v>
      </c>
      <c r="D2685" s="42"/>
      <c r="E2685" s="5" t="str">
        <f t="shared" si="50"/>
        <v>https://www.screener.in/company//consolidated/</v>
      </c>
      <c r="F2685" s="4">
        <v>443059</v>
      </c>
      <c r="G2685" s="4">
        <v>3832241897</v>
      </c>
      <c r="H2685" s="6" t="e">
        <f t="shared" ca="1" si="51"/>
        <v>#VALUE!</v>
      </c>
      <c r="I2685" s="7" t="str">
        <f ca="1">IFERROR(__xludf.DUMMYFUNCTION("IMPORTXML(E2685,""/html/body/main/div[3]/div[3]/div[2]/ul/li[5]/span[2]/span"")"),"Loading...")</f>
        <v>Loading...</v>
      </c>
      <c r="J2685" s="7" t="str">
        <f ca="1">IFERROR(__xludf.DUMMYFUNCTION("GOOGLEFINANCE(""NSE:""&amp;D2685,""marketcap"")"),"#N/A")</f>
        <v>#N/A</v>
      </c>
      <c r="K2685" s="7">
        <v>992.8</v>
      </c>
      <c r="L2685" s="8" t="str">
        <f ca="1">IFERROR(__xludf.DUMMYFUNCTION("GOOGLEFINANCE(""NSE:""&amp;D2685,""price"")"),"#N/A")</f>
        <v>#N/A</v>
      </c>
      <c r="M2685" s="9" t="e">
        <f t="shared" ca="1" si="52"/>
        <v>#VALUE!</v>
      </c>
      <c r="N2685" s="10" t="e">
        <f t="shared" ca="1" si="53"/>
        <v>#VALUE!</v>
      </c>
      <c r="O2685" s="7" t="str">
        <f ca="1">IFERROR(__xludf.DUMMYFUNCTION("GOOGLEFINANCE(""NSE:""&amp;D2685,""pe"")"),"#N/A")</f>
        <v>#N/A</v>
      </c>
      <c r="P2685" s="7" t="str">
        <f ca="1">IFERROR(__xludf.DUMMYFUNCTION("GOOGLEFINANCE(""NSE:""&amp;D2685,""EPS"")"),"#N/A")</f>
        <v>#N/A</v>
      </c>
      <c r="Q2685" s="7">
        <v>13.5</v>
      </c>
      <c r="R2685" s="7" t="str">
        <f ca="1">IFERROR(__xludf.DUMMYFUNCTION("IMPORTXML(E2685,""/html/body/main/div[3]/div[3]/div[2]/ul/li[7]/span[2]/span"")"),"Loading...")</f>
        <v>Loading...</v>
      </c>
      <c r="S2685" s="7" t="str">
        <f ca="1">IFERROR(__xludf.DUMMYFUNCTION("IMPORTXML(E2685,""/html/body/main/div[3]/div[3]/div[2]/ul/li[8]/span[2]/span"")"),"Loading...")</f>
        <v>Loading...</v>
      </c>
      <c r="T2685" s="4">
        <v>34.6</v>
      </c>
      <c r="U2685" s="4">
        <v>22.7</v>
      </c>
      <c r="V2685" s="4">
        <v>2.6</v>
      </c>
      <c r="W2685" s="4">
        <v>5.7</v>
      </c>
      <c r="X2685" s="4">
        <v>519.92999999999995</v>
      </c>
      <c r="Y2685" s="7" t="e">
        <f t="shared" ca="1" si="54"/>
        <v>#VALUE!</v>
      </c>
    </row>
    <row r="2686" spans="1:25" ht="15" x14ac:dyDescent="0.25">
      <c r="A2686" s="4">
        <v>2634</v>
      </c>
      <c r="C2686" s="41" t="s">
        <v>4965</v>
      </c>
      <c r="D2686" s="42"/>
      <c r="E2686" s="5" t="str">
        <f t="shared" si="50"/>
        <v>https://www.screener.in/company//consolidated/</v>
      </c>
      <c r="F2686" s="4">
        <v>443059</v>
      </c>
      <c r="G2686" s="4">
        <v>3832241897</v>
      </c>
      <c r="H2686" s="6" t="e">
        <f t="shared" ca="1" si="51"/>
        <v>#VALUE!</v>
      </c>
      <c r="I2686" s="7" t="str">
        <f ca="1">IFERROR(__xludf.DUMMYFUNCTION("IMPORTXML(E2686,""/html/body/main/div[3]/div[3]/div[2]/ul/li[5]/span[2]/span"")"),"Loading...")</f>
        <v>Loading...</v>
      </c>
      <c r="J2686" s="7" t="str">
        <f ca="1">IFERROR(__xludf.DUMMYFUNCTION("GOOGLEFINANCE(""NSE:""&amp;D2686,""marketcap"")"),"#N/A")</f>
        <v>#N/A</v>
      </c>
      <c r="K2686" s="7">
        <v>992.8</v>
      </c>
      <c r="L2686" s="8" t="str">
        <f ca="1">IFERROR(__xludf.DUMMYFUNCTION("GOOGLEFINANCE(""NSE:""&amp;D2686,""price"")"),"#N/A")</f>
        <v>#N/A</v>
      </c>
      <c r="M2686" s="9" t="e">
        <f t="shared" ca="1" si="52"/>
        <v>#VALUE!</v>
      </c>
      <c r="N2686" s="10" t="e">
        <f t="shared" ca="1" si="53"/>
        <v>#VALUE!</v>
      </c>
      <c r="O2686" s="7" t="str">
        <f ca="1">IFERROR(__xludf.DUMMYFUNCTION("GOOGLEFINANCE(""NSE:""&amp;D2686,""pe"")"),"#N/A")</f>
        <v>#N/A</v>
      </c>
      <c r="P2686" s="7" t="str">
        <f ca="1">IFERROR(__xludf.DUMMYFUNCTION("GOOGLEFINANCE(""NSE:""&amp;D2686,""EPS"")"),"#N/A")</f>
        <v>#N/A</v>
      </c>
      <c r="Q2686" s="7">
        <v>13.5</v>
      </c>
      <c r="R2686" s="7" t="str">
        <f ca="1">IFERROR(__xludf.DUMMYFUNCTION("IMPORTXML(E2686,""/html/body/main/div[3]/div[3]/div[2]/ul/li[7]/span[2]/span"")"),"Loading...")</f>
        <v>Loading...</v>
      </c>
      <c r="S2686" s="7" t="str">
        <f ca="1">IFERROR(__xludf.DUMMYFUNCTION("IMPORTXML(E2686,""/html/body/main/div[3]/div[3]/div[2]/ul/li[8]/span[2]/span"")"),"Loading...")</f>
        <v>Loading...</v>
      </c>
      <c r="T2686" s="4">
        <v>34.6</v>
      </c>
      <c r="U2686" s="4">
        <v>22.7</v>
      </c>
      <c r="V2686" s="4">
        <v>2.6</v>
      </c>
      <c r="W2686" s="4">
        <v>5.7</v>
      </c>
      <c r="X2686" s="4">
        <v>519.92999999999995</v>
      </c>
      <c r="Y2686" s="7" t="e">
        <f t="shared" ca="1" si="54"/>
        <v>#VALUE!</v>
      </c>
    </row>
    <row r="2687" spans="1:25" ht="15" x14ac:dyDescent="0.25">
      <c r="A2687" s="4">
        <v>2635</v>
      </c>
      <c r="C2687" s="41" t="s">
        <v>4966</v>
      </c>
      <c r="D2687" s="42"/>
      <c r="E2687" s="5" t="str">
        <f t="shared" si="50"/>
        <v>https://www.screener.in/company//consolidated/</v>
      </c>
      <c r="F2687" s="4">
        <v>443059</v>
      </c>
      <c r="G2687" s="4">
        <v>3832241897</v>
      </c>
      <c r="H2687" s="6" t="e">
        <f t="shared" ca="1" si="51"/>
        <v>#VALUE!</v>
      </c>
      <c r="I2687" s="7" t="str">
        <f ca="1">IFERROR(__xludf.DUMMYFUNCTION("IMPORTXML(E2687,""/html/body/main/div[3]/div[3]/div[2]/ul/li[5]/span[2]/span"")"),"Loading...")</f>
        <v>Loading...</v>
      </c>
      <c r="J2687" s="7" t="str">
        <f ca="1">IFERROR(__xludf.DUMMYFUNCTION("GOOGLEFINANCE(""NSE:""&amp;D2687,""marketcap"")"),"#N/A")</f>
        <v>#N/A</v>
      </c>
      <c r="K2687" s="7">
        <v>992.8</v>
      </c>
      <c r="L2687" s="8" t="str">
        <f ca="1">IFERROR(__xludf.DUMMYFUNCTION("GOOGLEFINANCE(""NSE:""&amp;D2687,""price"")"),"#N/A")</f>
        <v>#N/A</v>
      </c>
      <c r="M2687" s="9" t="e">
        <f t="shared" ca="1" si="52"/>
        <v>#VALUE!</v>
      </c>
      <c r="N2687" s="10" t="e">
        <f t="shared" ca="1" si="53"/>
        <v>#VALUE!</v>
      </c>
      <c r="O2687" s="7" t="str">
        <f ca="1">IFERROR(__xludf.DUMMYFUNCTION("GOOGLEFINANCE(""NSE:""&amp;D2687,""pe"")"),"#N/A")</f>
        <v>#N/A</v>
      </c>
      <c r="P2687" s="7" t="str">
        <f ca="1">IFERROR(__xludf.DUMMYFUNCTION("GOOGLEFINANCE(""NSE:""&amp;D2687,""EPS"")"),"#N/A")</f>
        <v>#N/A</v>
      </c>
      <c r="Q2687" s="7">
        <v>13.5</v>
      </c>
      <c r="R2687" s="7" t="str">
        <f ca="1">IFERROR(__xludf.DUMMYFUNCTION("IMPORTXML(E2687,""/html/body/main/div[3]/div[3]/div[2]/ul/li[7]/span[2]/span"")"),"Loading...")</f>
        <v>Loading...</v>
      </c>
      <c r="S2687" s="7" t="str">
        <f ca="1">IFERROR(__xludf.DUMMYFUNCTION("IMPORTXML(E2687,""/html/body/main/div[3]/div[3]/div[2]/ul/li[8]/span[2]/span"")"),"Loading...")</f>
        <v>Loading...</v>
      </c>
      <c r="T2687" s="4">
        <v>34.6</v>
      </c>
      <c r="U2687" s="4">
        <v>22.7</v>
      </c>
      <c r="V2687" s="4">
        <v>2.6</v>
      </c>
      <c r="W2687" s="4">
        <v>5.7</v>
      </c>
      <c r="X2687" s="4">
        <v>519.92999999999995</v>
      </c>
      <c r="Y2687" s="7" t="e">
        <f t="shared" ca="1" si="54"/>
        <v>#VALUE!</v>
      </c>
    </row>
    <row r="2688" spans="1:25" ht="15" x14ac:dyDescent="0.25">
      <c r="A2688" s="4">
        <v>2636</v>
      </c>
      <c r="C2688" s="41" t="s">
        <v>4967</v>
      </c>
      <c r="D2688" s="42"/>
      <c r="E2688" s="5" t="str">
        <f t="shared" si="50"/>
        <v>https://www.screener.in/company//consolidated/</v>
      </c>
      <c r="F2688" s="4">
        <v>443059</v>
      </c>
      <c r="G2688" s="4">
        <v>3832241897</v>
      </c>
      <c r="H2688" s="6" t="e">
        <f t="shared" ca="1" si="51"/>
        <v>#VALUE!</v>
      </c>
      <c r="I2688" s="7" t="str">
        <f ca="1">IFERROR(__xludf.DUMMYFUNCTION("IMPORTXML(E2688,""/html/body/main/div[3]/div[3]/div[2]/ul/li[5]/span[2]/span"")"),"Loading...")</f>
        <v>Loading...</v>
      </c>
      <c r="J2688" s="7" t="str">
        <f ca="1">IFERROR(__xludf.DUMMYFUNCTION("GOOGLEFINANCE(""NSE:""&amp;D2688,""marketcap"")"),"#N/A")</f>
        <v>#N/A</v>
      </c>
      <c r="K2688" s="7">
        <v>992.8</v>
      </c>
      <c r="L2688" s="8" t="str">
        <f ca="1">IFERROR(__xludf.DUMMYFUNCTION("GOOGLEFINANCE(""NSE:""&amp;D2688,""price"")"),"#N/A")</f>
        <v>#N/A</v>
      </c>
      <c r="M2688" s="9" t="e">
        <f t="shared" ca="1" si="52"/>
        <v>#VALUE!</v>
      </c>
      <c r="N2688" s="10" t="e">
        <f t="shared" ca="1" si="53"/>
        <v>#VALUE!</v>
      </c>
      <c r="O2688" s="7" t="str">
        <f ca="1">IFERROR(__xludf.DUMMYFUNCTION("GOOGLEFINANCE(""NSE:""&amp;D2688,""pe"")"),"#N/A")</f>
        <v>#N/A</v>
      </c>
      <c r="P2688" s="7" t="str">
        <f ca="1">IFERROR(__xludf.DUMMYFUNCTION("GOOGLEFINANCE(""NSE:""&amp;D2688,""EPS"")"),"#N/A")</f>
        <v>#N/A</v>
      </c>
      <c r="Q2688" s="7">
        <v>13.5</v>
      </c>
      <c r="R2688" s="7" t="str">
        <f ca="1">IFERROR(__xludf.DUMMYFUNCTION("IMPORTXML(E2688,""/html/body/main/div[3]/div[3]/div[2]/ul/li[7]/span[2]/span"")"),"Loading...")</f>
        <v>Loading...</v>
      </c>
      <c r="S2688" s="7" t="str">
        <f ca="1">IFERROR(__xludf.DUMMYFUNCTION("IMPORTXML(E2688,""/html/body/main/div[3]/div[3]/div[2]/ul/li[8]/span[2]/span"")"),"Loading...")</f>
        <v>Loading...</v>
      </c>
      <c r="T2688" s="4">
        <v>34.6</v>
      </c>
      <c r="U2688" s="4">
        <v>22.7</v>
      </c>
      <c r="V2688" s="4">
        <v>2.6</v>
      </c>
      <c r="W2688" s="4">
        <v>5.7</v>
      </c>
      <c r="X2688" s="4">
        <v>519.92999999999995</v>
      </c>
      <c r="Y2688" s="7" t="e">
        <f t="shared" ca="1" si="54"/>
        <v>#VALUE!</v>
      </c>
    </row>
    <row r="2689" spans="1:25" ht="15" x14ac:dyDescent="0.25">
      <c r="A2689" s="4">
        <v>2637</v>
      </c>
      <c r="C2689" s="41" t="s">
        <v>4968</v>
      </c>
      <c r="D2689" s="42"/>
      <c r="E2689" s="5" t="str">
        <f t="shared" si="50"/>
        <v>https://www.screener.in/company//consolidated/</v>
      </c>
      <c r="F2689" s="4">
        <v>443059</v>
      </c>
      <c r="G2689" s="4">
        <v>3832241897</v>
      </c>
      <c r="H2689" s="6" t="e">
        <f t="shared" ca="1" si="51"/>
        <v>#VALUE!</v>
      </c>
      <c r="I2689" s="7" t="str">
        <f ca="1">IFERROR(__xludf.DUMMYFUNCTION("IMPORTXML(E2689,""/html/body/main/div[3]/div[3]/div[2]/ul/li[5]/span[2]/span"")"),"Loading...")</f>
        <v>Loading...</v>
      </c>
      <c r="J2689" s="7" t="str">
        <f ca="1">IFERROR(__xludf.DUMMYFUNCTION("GOOGLEFINANCE(""NSE:""&amp;D2689,""marketcap"")"),"#N/A")</f>
        <v>#N/A</v>
      </c>
      <c r="K2689" s="7">
        <v>992.8</v>
      </c>
      <c r="L2689" s="8" t="str">
        <f ca="1">IFERROR(__xludf.DUMMYFUNCTION("GOOGLEFINANCE(""NSE:""&amp;D2689,""price"")"),"#N/A")</f>
        <v>#N/A</v>
      </c>
      <c r="M2689" s="9" t="e">
        <f t="shared" ca="1" si="52"/>
        <v>#VALUE!</v>
      </c>
      <c r="N2689" s="10" t="e">
        <f t="shared" ca="1" si="53"/>
        <v>#VALUE!</v>
      </c>
      <c r="O2689" s="7" t="str">
        <f ca="1">IFERROR(__xludf.DUMMYFUNCTION("GOOGLEFINANCE(""NSE:""&amp;D2689,""pe"")"),"#N/A")</f>
        <v>#N/A</v>
      </c>
      <c r="P2689" s="7" t="str">
        <f ca="1">IFERROR(__xludf.DUMMYFUNCTION("GOOGLEFINANCE(""NSE:""&amp;D2689,""EPS"")"),"#N/A")</f>
        <v>#N/A</v>
      </c>
      <c r="Q2689" s="7">
        <v>13.5</v>
      </c>
      <c r="R2689" s="7" t="str">
        <f ca="1">IFERROR(__xludf.DUMMYFUNCTION("IMPORTXML(E2689,""/html/body/main/div[3]/div[3]/div[2]/ul/li[7]/span[2]/span"")"),"Loading...")</f>
        <v>Loading...</v>
      </c>
      <c r="S2689" s="7" t="str">
        <f ca="1">IFERROR(__xludf.DUMMYFUNCTION("IMPORTXML(E2689,""/html/body/main/div[3]/div[3]/div[2]/ul/li[8]/span[2]/span"")"),"Loading...")</f>
        <v>Loading...</v>
      </c>
      <c r="T2689" s="4">
        <v>34.6</v>
      </c>
      <c r="U2689" s="4">
        <v>22.7</v>
      </c>
      <c r="V2689" s="4">
        <v>2.6</v>
      </c>
      <c r="W2689" s="4">
        <v>5.7</v>
      </c>
      <c r="X2689" s="4">
        <v>519.92999999999995</v>
      </c>
      <c r="Y2689" s="7" t="e">
        <f t="shared" ca="1" si="54"/>
        <v>#VALUE!</v>
      </c>
    </row>
    <row r="2690" spans="1:25" ht="15" x14ac:dyDescent="0.25">
      <c r="A2690" s="4">
        <v>2638</v>
      </c>
      <c r="C2690" s="41" t="s">
        <v>4969</v>
      </c>
      <c r="D2690" s="42"/>
      <c r="E2690" s="5" t="str">
        <f t="shared" si="50"/>
        <v>https://www.screener.in/company//consolidated/</v>
      </c>
      <c r="F2690" s="4">
        <v>443059</v>
      </c>
      <c r="G2690" s="4">
        <v>3832241897</v>
      </c>
      <c r="H2690" s="6" t="e">
        <f t="shared" ca="1" si="51"/>
        <v>#VALUE!</v>
      </c>
      <c r="I2690" s="7" t="str">
        <f ca="1">IFERROR(__xludf.DUMMYFUNCTION("IMPORTXML(E2690,""/html/body/main/div[3]/div[3]/div[2]/ul/li[5]/span[2]/span"")"),"Loading...")</f>
        <v>Loading...</v>
      </c>
      <c r="J2690" s="7" t="str">
        <f ca="1">IFERROR(__xludf.DUMMYFUNCTION("GOOGLEFINANCE(""NSE:""&amp;D2690,""marketcap"")"),"#N/A")</f>
        <v>#N/A</v>
      </c>
      <c r="K2690" s="7">
        <v>992.8</v>
      </c>
      <c r="L2690" s="8" t="str">
        <f ca="1">IFERROR(__xludf.DUMMYFUNCTION("GOOGLEFINANCE(""NSE:""&amp;D2690,""price"")"),"#N/A")</f>
        <v>#N/A</v>
      </c>
      <c r="M2690" s="9" t="e">
        <f t="shared" ca="1" si="52"/>
        <v>#VALUE!</v>
      </c>
      <c r="N2690" s="10" t="e">
        <f t="shared" ca="1" si="53"/>
        <v>#VALUE!</v>
      </c>
      <c r="O2690" s="7" t="str">
        <f ca="1">IFERROR(__xludf.DUMMYFUNCTION("GOOGLEFINANCE(""NSE:""&amp;D2690,""pe"")"),"#N/A")</f>
        <v>#N/A</v>
      </c>
      <c r="P2690" s="7" t="str">
        <f ca="1">IFERROR(__xludf.DUMMYFUNCTION("GOOGLEFINANCE(""NSE:""&amp;D2690,""EPS"")"),"#N/A")</f>
        <v>#N/A</v>
      </c>
      <c r="Q2690" s="7">
        <v>13.5</v>
      </c>
      <c r="R2690" s="7" t="str">
        <f ca="1">IFERROR(__xludf.DUMMYFUNCTION("IMPORTXML(E2690,""/html/body/main/div[3]/div[3]/div[2]/ul/li[7]/span[2]/span"")"),"Loading...")</f>
        <v>Loading...</v>
      </c>
      <c r="S2690" s="7" t="str">
        <f ca="1">IFERROR(__xludf.DUMMYFUNCTION("IMPORTXML(E2690,""/html/body/main/div[3]/div[3]/div[2]/ul/li[8]/span[2]/span"")"),"Loading...")</f>
        <v>Loading...</v>
      </c>
      <c r="T2690" s="4">
        <v>34.6</v>
      </c>
      <c r="U2690" s="4">
        <v>22.7</v>
      </c>
      <c r="V2690" s="4">
        <v>2.6</v>
      </c>
      <c r="W2690" s="4">
        <v>5.7</v>
      </c>
      <c r="X2690" s="4">
        <v>519.92999999999995</v>
      </c>
      <c r="Y2690" s="7" t="e">
        <f t="shared" ca="1" si="54"/>
        <v>#VALUE!</v>
      </c>
    </row>
    <row r="2691" spans="1:25" ht="15" x14ac:dyDescent="0.25">
      <c r="A2691" s="4">
        <v>2639</v>
      </c>
      <c r="C2691" s="12" t="s">
        <v>4970</v>
      </c>
      <c r="D2691" s="12" t="s">
        <v>4971</v>
      </c>
      <c r="E2691" s="5" t="str">
        <f t="shared" si="50"/>
        <v>https://www.screener.in/company/AKSHAR/consolidated/</v>
      </c>
      <c r="F2691" s="4">
        <v>443059</v>
      </c>
      <c r="G2691" s="4">
        <v>3832241897</v>
      </c>
      <c r="H2691" s="6">
        <f t="shared" ca="1" si="51"/>
        <v>206.94106243800002</v>
      </c>
      <c r="I2691" s="7" t="str">
        <f ca="1">IFERROR(__xludf.DUMMYFUNCTION("IMPORTXML(E2691,""/html/body/main/div[3]/div[3]/div[2]/ul/li[5]/span[2]/span"")"),"Loading...")</f>
        <v>Loading...</v>
      </c>
      <c r="J2691" s="7">
        <f ca="1">IFERROR(__xludf.DUMMYFUNCTION("GOOGLEFINANCE(""NSE:""&amp;D2691,""marketcap"")"),425233006)</f>
        <v>425233006</v>
      </c>
      <c r="K2691" s="7">
        <v>992.8</v>
      </c>
      <c r="L2691" s="8">
        <f ca="1">IFERROR(__xludf.DUMMYFUNCTION("GOOGLEFINANCE(""NSE:""&amp;D2691,""price"")"),0.54)</f>
        <v>0.54</v>
      </c>
      <c r="M2691" s="9">
        <f t="shared" ca="1" si="52"/>
        <v>-992.26</v>
      </c>
      <c r="N2691" s="10">
        <f t="shared" ca="1" si="53"/>
        <v>-99.945608380338442</v>
      </c>
      <c r="O2691" s="7" t="str">
        <f ca="1">IFERROR(__xludf.DUMMYFUNCTION("GOOGLEFINANCE(""NSE:""&amp;D2691,""pe"")"),"#N/A")</f>
        <v>#N/A</v>
      </c>
      <c r="P2691" s="7">
        <f ca="1">IFERROR(__xludf.DUMMYFUNCTION("GOOGLEFINANCE(""NSE:""&amp;D2691,""EPS"")"),-0.1)</f>
        <v>-0.1</v>
      </c>
      <c r="Q2691" s="7">
        <v>13.5</v>
      </c>
      <c r="R2691" s="7" t="str">
        <f ca="1">IFERROR(__xludf.DUMMYFUNCTION("IMPORTXML(E2691,""/html/body/main/div[3]/div[3]/div[2]/ul/li[7]/span[2]/span"")"),"Loading...")</f>
        <v>Loading...</v>
      </c>
      <c r="S2691" s="7" t="str">
        <f ca="1">IFERROR(__xludf.DUMMYFUNCTION("IMPORTXML(E2691,""/html/body/main/div[3]/div[3]/div[2]/ul/li[8]/span[2]/span"")"),"Loading...")</f>
        <v>Loading...</v>
      </c>
      <c r="T2691" s="4">
        <v>34.6</v>
      </c>
      <c r="U2691" s="4">
        <v>22.7</v>
      </c>
      <c r="V2691" s="4">
        <v>2.6</v>
      </c>
      <c r="W2691" s="4">
        <v>5.7</v>
      </c>
      <c r="X2691" s="4">
        <v>519.92999999999995</v>
      </c>
      <c r="Y2691" s="7">
        <f t="shared" ca="1" si="54"/>
        <v>-519.39</v>
      </c>
    </row>
    <row r="2692" spans="1:25" ht="15" x14ac:dyDescent="0.25">
      <c r="A2692" s="4">
        <v>2640</v>
      </c>
      <c r="C2692" s="12" t="s">
        <v>4972</v>
      </c>
      <c r="D2692" s="12" t="s">
        <v>4973</v>
      </c>
      <c r="E2692" s="5" t="str">
        <f t="shared" si="50"/>
        <v>https://www.screener.in/company/TREEHOUSE/consolidated/</v>
      </c>
      <c r="F2692" s="4">
        <v>443059</v>
      </c>
      <c r="G2692" s="4">
        <v>3832241897</v>
      </c>
      <c r="H2692" s="6">
        <f t="shared" ca="1" si="51"/>
        <v>2966.1552282780003</v>
      </c>
      <c r="I2692" s="7" t="str">
        <f ca="1">IFERROR(__xludf.DUMMYFUNCTION("IMPORTXML(E2692,""/html/body/main/div[3]/div[3]/div[2]/ul/li[5]/span[2]/span"")"),"Loading...")</f>
        <v>Loading...</v>
      </c>
      <c r="J2692" s="7">
        <f ca="1">IFERROR(__xludf.DUMMYFUNCTION("GOOGLEFINANCE(""NSE:""&amp;D2692,""marketcap"")"),327485000)</f>
        <v>327485000</v>
      </c>
      <c r="K2692" s="7">
        <v>992.8</v>
      </c>
      <c r="L2692" s="8">
        <f ca="1">IFERROR(__xludf.DUMMYFUNCTION("GOOGLEFINANCE(""NSE:""&amp;D2692,""price"")"),7.74)</f>
        <v>7.74</v>
      </c>
      <c r="M2692" s="9">
        <f t="shared" ca="1" si="52"/>
        <v>-985.06</v>
      </c>
      <c r="N2692" s="10">
        <f t="shared" ca="1" si="53"/>
        <v>-99.220386784850916</v>
      </c>
      <c r="O2692" s="7" t="str">
        <f ca="1">IFERROR(__xludf.DUMMYFUNCTION("GOOGLEFINANCE(""NSE:""&amp;D2692,""pe"")"),"#N/A")</f>
        <v>#N/A</v>
      </c>
      <c r="P2692" s="7">
        <f ca="1">IFERROR(__xludf.DUMMYFUNCTION("GOOGLEFINANCE(""NSE:""&amp;D2692,""EPS"")"),-3.94)</f>
        <v>-3.94</v>
      </c>
      <c r="Q2692" s="7">
        <v>13.5</v>
      </c>
      <c r="R2692" s="7" t="str">
        <f ca="1">IFERROR(__xludf.DUMMYFUNCTION("IMPORTXML(E2692,""/html/body/main/div[3]/div[3]/div[2]/ul/li[7]/span[2]/span"")"),"Loading...")</f>
        <v>Loading...</v>
      </c>
      <c r="S2692" s="7" t="str">
        <f ca="1">IFERROR(__xludf.DUMMYFUNCTION("IMPORTXML(E2692,""/html/body/main/div[3]/div[3]/div[2]/ul/li[8]/span[2]/span"")"),"Loading...")</f>
        <v>Loading...</v>
      </c>
      <c r="T2692" s="4">
        <v>34.6</v>
      </c>
      <c r="U2692" s="4">
        <v>22.7</v>
      </c>
      <c r="V2692" s="4">
        <v>2.6</v>
      </c>
      <c r="W2692" s="4">
        <v>5.7</v>
      </c>
      <c r="X2692" s="4">
        <v>519.92999999999995</v>
      </c>
      <c r="Y2692" s="7">
        <f t="shared" ca="1" si="54"/>
        <v>-512.18999999999994</v>
      </c>
    </row>
    <row r="2693" spans="1:25" ht="15" x14ac:dyDescent="0.25">
      <c r="A2693" s="4">
        <v>2641</v>
      </c>
      <c r="C2693" s="41" t="s">
        <v>4974</v>
      </c>
      <c r="D2693" s="42"/>
      <c r="E2693" s="5" t="str">
        <f t="shared" si="50"/>
        <v>https://www.screener.in/company//consolidated/</v>
      </c>
      <c r="F2693" s="4">
        <v>443059</v>
      </c>
      <c r="G2693" s="4">
        <v>3832241897</v>
      </c>
      <c r="H2693" s="6" t="e">
        <f t="shared" ca="1" si="51"/>
        <v>#VALUE!</v>
      </c>
      <c r="I2693" s="7" t="str">
        <f ca="1">IFERROR(__xludf.DUMMYFUNCTION("IMPORTXML(E2693,""/html/body/main/div[3]/div[3]/div[2]/ul/li[5]/span[2]/span"")"),"Loading...")</f>
        <v>Loading...</v>
      </c>
      <c r="J2693" s="7" t="str">
        <f ca="1">IFERROR(__xludf.DUMMYFUNCTION("GOOGLEFINANCE(""NSE:""&amp;D2693,""marketcap"")"),"#N/A")</f>
        <v>#N/A</v>
      </c>
      <c r="K2693" s="7">
        <v>992.8</v>
      </c>
      <c r="L2693" s="8" t="str">
        <f ca="1">IFERROR(__xludf.DUMMYFUNCTION("GOOGLEFINANCE(""NSE:""&amp;D2693,""price"")"),"#N/A")</f>
        <v>#N/A</v>
      </c>
      <c r="M2693" s="9" t="e">
        <f t="shared" ca="1" si="52"/>
        <v>#VALUE!</v>
      </c>
      <c r="N2693" s="10" t="e">
        <f t="shared" ca="1" si="53"/>
        <v>#VALUE!</v>
      </c>
      <c r="O2693" s="7" t="str">
        <f ca="1">IFERROR(__xludf.DUMMYFUNCTION("GOOGLEFINANCE(""NSE:""&amp;D2693,""pe"")"),"#N/A")</f>
        <v>#N/A</v>
      </c>
      <c r="P2693" s="7" t="str">
        <f ca="1">IFERROR(__xludf.DUMMYFUNCTION("GOOGLEFINANCE(""NSE:""&amp;D2693,""EPS"")"),"#N/A")</f>
        <v>#N/A</v>
      </c>
      <c r="Q2693" s="7">
        <v>13.5</v>
      </c>
      <c r="R2693" s="7" t="str">
        <f ca="1">IFERROR(__xludf.DUMMYFUNCTION("IMPORTXML(E2693,""/html/body/main/div[3]/div[3]/div[2]/ul/li[7]/span[2]/span"")"),"Loading...")</f>
        <v>Loading...</v>
      </c>
      <c r="S2693" s="7" t="str">
        <f ca="1">IFERROR(__xludf.DUMMYFUNCTION("IMPORTXML(E2693,""/html/body/main/div[3]/div[3]/div[2]/ul/li[8]/span[2]/span"")"),"Loading...")</f>
        <v>Loading...</v>
      </c>
      <c r="T2693" s="4">
        <v>34.6</v>
      </c>
      <c r="U2693" s="4">
        <v>22.7</v>
      </c>
      <c r="V2693" s="4">
        <v>2.6</v>
      </c>
      <c r="W2693" s="4">
        <v>5.7</v>
      </c>
      <c r="X2693" s="4">
        <v>519.92999999999995</v>
      </c>
      <c r="Y2693" s="7" t="e">
        <f t="shared" ca="1" si="54"/>
        <v>#VALUE!</v>
      </c>
    </row>
    <row r="2694" spans="1:25" ht="15" x14ac:dyDescent="0.25">
      <c r="A2694" s="4">
        <v>2642</v>
      </c>
      <c r="C2694" s="41" t="s">
        <v>4975</v>
      </c>
      <c r="D2694" s="42"/>
      <c r="E2694" s="5" t="str">
        <f t="shared" si="50"/>
        <v>https://www.screener.in/company//consolidated/</v>
      </c>
      <c r="F2694" s="4">
        <v>443059</v>
      </c>
      <c r="G2694" s="4">
        <v>3832241897</v>
      </c>
      <c r="H2694" s="6" t="e">
        <f t="shared" ca="1" si="51"/>
        <v>#VALUE!</v>
      </c>
      <c r="I2694" s="7" t="str">
        <f ca="1">IFERROR(__xludf.DUMMYFUNCTION("IMPORTXML(E2694,""/html/body/main/div[3]/div[3]/div[2]/ul/li[5]/span[2]/span"")"),"Loading...")</f>
        <v>Loading...</v>
      </c>
      <c r="J2694" s="7" t="str">
        <f ca="1">IFERROR(__xludf.DUMMYFUNCTION("GOOGLEFINANCE(""NSE:""&amp;D2694,""marketcap"")"),"#N/A")</f>
        <v>#N/A</v>
      </c>
      <c r="K2694" s="7">
        <v>992.8</v>
      </c>
      <c r="L2694" s="8" t="str">
        <f ca="1">IFERROR(__xludf.DUMMYFUNCTION("GOOGLEFINANCE(""NSE:""&amp;D2694,""price"")"),"#N/A")</f>
        <v>#N/A</v>
      </c>
      <c r="M2694" s="9" t="e">
        <f t="shared" ca="1" si="52"/>
        <v>#VALUE!</v>
      </c>
      <c r="N2694" s="10" t="e">
        <f t="shared" ca="1" si="53"/>
        <v>#VALUE!</v>
      </c>
      <c r="O2694" s="7" t="str">
        <f ca="1">IFERROR(__xludf.DUMMYFUNCTION("GOOGLEFINANCE(""NSE:""&amp;D2694,""pe"")"),"#N/A")</f>
        <v>#N/A</v>
      </c>
      <c r="P2694" s="7" t="str">
        <f ca="1">IFERROR(__xludf.DUMMYFUNCTION("GOOGLEFINANCE(""NSE:""&amp;D2694,""EPS"")"),"#N/A")</f>
        <v>#N/A</v>
      </c>
      <c r="Q2694" s="7">
        <v>13.5</v>
      </c>
      <c r="R2694" s="7" t="str">
        <f ca="1">IFERROR(__xludf.DUMMYFUNCTION("IMPORTXML(E2694,""/html/body/main/div[3]/div[3]/div[2]/ul/li[7]/span[2]/span"")"),"Loading...")</f>
        <v>Loading...</v>
      </c>
      <c r="S2694" s="7" t="str">
        <f ca="1">IFERROR(__xludf.DUMMYFUNCTION("IMPORTXML(E2694,""/html/body/main/div[3]/div[3]/div[2]/ul/li[8]/span[2]/span"")"),"Loading...")</f>
        <v>Loading...</v>
      </c>
      <c r="T2694" s="4">
        <v>34.6</v>
      </c>
      <c r="U2694" s="4">
        <v>22.7</v>
      </c>
      <c r="V2694" s="4">
        <v>2.6</v>
      </c>
      <c r="W2694" s="4">
        <v>5.7</v>
      </c>
      <c r="X2694" s="4">
        <v>519.92999999999995</v>
      </c>
      <c r="Y2694" s="7" t="e">
        <f t="shared" ca="1" si="54"/>
        <v>#VALUE!</v>
      </c>
    </row>
    <row r="2695" spans="1:25" ht="15" x14ac:dyDescent="0.25">
      <c r="A2695" s="4">
        <v>2643</v>
      </c>
      <c r="C2695" s="41" t="s">
        <v>4976</v>
      </c>
      <c r="D2695" s="42"/>
      <c r="E2695" s="5" t="str">
        <f t="shared" si="50"/>
        <v>https://www.screener.in/company//consolidated/</v>
      </c>
      <c r="F2695" s="4">
        <v>443059</v>
      </c>
      <c r="G2695" s="4">
        <v>3832241897</v>
      </c>
      <c r="H2695" s="6" t="e">
        <f t="shared" ca="1" si="51"/>
        <v>#VALUE!</v>
      </c>
      <c r="I2695" s="7" t="str">
        <f ca="1">IFERROR(__xludf.DUMMYFUNCTION("IMPORTXML(E2695,""/html/body/main/div[3]/div[3]/div[2]/ul/li[5]/span[2]/span"")"),"Loading...")</f>
        <v>Loading...</v>
      </c>
      <c r="J2695" s="7" t="str">
        <f ca="1">IFERROR(__xludf.DUMMYFUNCTION("GOOGLEFINANCE(""NSE:""&amp;D2695,""marketcap"")"),"#N/A")</f>
        <v>#N/A</v>
      </c>
      <c r="K2695" s="7">
        <v>992.8</v>
      </c>
      <c r="L2695" s="8" t="str">
        <f ca="1">IFERROR(__xludf.DUMMYFUNCTION("GOOGLEFINANCE(""NSE:""&amp;D2695,""price"")"),"#N/A")</f>
        <v>#N/A</v>
      </c>
      <c r="M2695" s="9" t="e">
        <f t="shared" ca="1" si="52"/>
        <v>#VALUE!</v>
      </c>
      <c r="N2695" s="10" t="e">
        <f t="shared" ca="1" si="53"/>
        <v>#VALUE!</v>
      </c>
      <c r="O2695" s="7" t="str">
        <f ca="1">IFERROR(__xludf.DUMMYFUNCTION("GOOGLEFINANCE(""NSE:""&amp;D2695,""pe"")"),"#N/A")</f>
        <v>#N/A</v>
      </c>
      <c r="P2695" s="7" t="str">
        <f ca="1">IFERROR(__xludf.DUMMYFUNCTION("GOOGLEFINANCE(""NSE:""&amp;D2695,""EPS"")"),"#N/A")</f>
        <v>#N/A</v>
      </c>
      <c r="Q2695" s="7">
        <v>13.5</v>
      </c>
      <c r="R2695" s="7" t="str">
        <f ca="1">IFERROR(__xludf.DUMMYFUNCTION("IMPORTXML(E2695,""/html/body/main/div[3]/div[3]/div[2]/ul/li[7]/span[2]/span"")"),"Loading...")</f>
        <v>Loading...</v>
      </c>
      <c r="S2695" s="7" t="str">
        <f ca="1">IFERROR(__xludf.DUMMYFUNCTION("IMPORTXML(E2695,""/html/body/main/div[3]/div[3]/div[2]/ul/li[8]/span[2]/span"")"),"Loading...")</f>
        <v>Loading...</v>
      </c>
      <c r="T2695" s="4">
        <v>34.6</v>
      </c>
      <c r="U2695" s="4">
        <v>22.7</v>
      </c>
      <c r="V2695" s="4">
        <v>2.6</v>
      </c>
      <c r="W2695" s="4">
        <v>5.7</v>
      </c>
      <c r="X2695" s="4">
        <v>519.92999999999995</v>
      </c>
      <c r="Y2695" s="7" t="e">
        <f t="shared" ca="1" si="54"/>
        <v>#VALUE!</v>
      </c>
    </row>
    <row r="2696" spans="1:25" ht="15" x14ac:dyDescent="0.25">
      <c r="A2696" s="4">
        <v>2644</v>
      </c>
      <c r="C2696" s="41" t="s">
        <v>4977</v>
      </c>
      <c r="D2696" s="42"/>
      <c r="E2696" s="5" t="str">
        <f t="shared" si="50"/>
        <v>https://www.screener.in/company//consolidated/</v>
      </c>
      <c r="F2696" s="4">
        <v>443059</v>
      </c>
      <c r="G2696" s="4">
        <v>3832241897</v>
      </c>
      <c r="H2696" s="6" t="e">
        <f t="shared" ca="1" si="51"/>
        <v>#VALUE!</v>
      </c>
      <c r="I2696" s="7" t="str">
        <f ca="1">IFERROR(__xludf.DUMMYFUNCTION("IMPORTXML(E2696,""/html/body/main/div[3]/div[3]/div[2]/ul/li[5]/span[2]/span"")"),"Loading...")</f>
        <v>Loading...</v>
      </c>
      <c r="J2696" s="7" t="str">
        <f ca="1">IFERROR(__xludf.DUMMYFUNCTION("GOOGLEFINANCE(""NSE:""&amp;D2696,""marketcap"")"),"#N/A")</f>
        <v>#N/A</v>
      </c>
      <c r="K2696" s="7">
        <v>992.8</v>
      </c>
      <c r="L2696" s="8" t="str">
        <f ca="1">IFERROR(__xludf.DUMMYFUNCTION("GOOGLEFINANCE(""NSE:""&amp;D2696,""price"")"),"#N/A")</f>
        <v>#N/A</v>
      </c>
      <c r="M2696" s="9" t="e">
        <f t="shared" ca="1" si="52"/>
        <v>#VALUE!</v>
      </c>
      <c r="N2696" s="10" t="e">
        <f t="shared" ca="1" si="53"/>
        <v>#VALUE!</v>
      </c>
      <c r="O2696" s="7" t="str">
        <f ca="1">IFERROR(__xludf.DUMMYFUNCTION("GOOGLEFINANCE(""NSE:""&amp;D2696,""pe"")"),"#N/A")</f>
        <v>#N/A</v>
      </c>
      <c r="P2696" s="7" t="str">
        <f ca="1">IFERROR(__xludf.DUMMYFUNCTION("GOOGLEFINANCE(""NSE:""&amp;D2696,""EPS"")"),"#N/A")</f>
        <v>#N/A</v>
      </c>
      <c r="Q2696" s="7">
        <v>13.5</v>
      </c>
      <c r="R2696" s="7" t="str">
        <f ca="1">IFERROR(__xludf.DUMMYFUNCTION("IMPORTXML(E2696,""/html/body/main/div[3]/div[3]/div[2]/ul/li[7]/span[2]/span"")"),"Loading...")</f>
        <v>Loading...</v>
      </c>
      <c r="S2696" s="7" t="str">
        <f ca="1">IFERROR(__xludf.DUMMYFUNCTION("IMPORTXML(E2696,""/html/body/main/div[3]/div[3]/div[2]/ul/li[8]/span[2]/span"")"),"Loading...")</f>
        <v>Loading...</v>
      </c>
      <c r="T2696" s="4">
        <v>34.6</v>
      </c>
      <c r="U2696" s="4">
        <v>22.7</v>
      </c>
      <c r="V2696" s="4">
        <v>2.6</v>
      </c>
      <c r="W2696" s="4">
        <v>5.7</v>
      </c>
      <c r="X2696" s="4">
        <v>519.92999999999995</v>
      </c>
      <c r="Y2696" s="7" t="e">
        <f t="shared" ca="1" si="54"/>
        <v>#VALUE!</v>
      </c>
    </row>
    <row r="2697" spans="1:25" ht="15" x14ac:dyDescent="0.25">
      <c r="A2697" s="4">
        <v>2645</v>
      </c>
      <c r="C2697" s="41" t="s">
        <v>4978</v>
      </c>
      <c r="D2697" s="42"/>
      <c r="E2697" s="5" t="str">
        <f t="shared" si="50"/>
        <v>https://www.screener.in/company//consolidated/</v>
      </c>
      <c r="F2697" s="4">
        <v>443059</v>
      </c>
      <c r="G2697" s="4">
        <v>3832241897</v>
      </c>
      <c r="H2697" s="6" t="e">
        <f t="shared" ca="1" si="51"/>
        <v>#VALUE!</v>
      </c>
      <c r="I2697" s="7" t="str">
        <f ca="1">IFERROR(__xludf.DUMMYFUNCTION("IMPORTXML(E2697,""/html/body/main/div[3]/div[3]/div[2]/ul/li[5]/span[2]/span"")"),"Loading...")</f>
        <v>Loading...</v>
      </c>
      <c r="J2697" s="7" t="str">
        <f ca="1">IFERROR(__xludf.DUMMYFUNCTION("GOOGLEFINANCE(""NSE:""&amp;D2697,""marketcap"")"),"#N/A")</f>
        <v>#N/A</v>
      </c>
      <c r="K2697" s="7">
        <v>992.8</v>
      </c>
      <c r="L2697" s="8" t="str">
        <f ca="1">IFERROR(__xludf.DUMMYFUNCTION("GOOGLEFINANCE(""NSE:""&amp;D2697,""price"")"),"#N/A")</f>
        <v>#N/A</v>
      </c>
      <c r="M2697" s="9" t="e">
        <f t="shared" ca="1" si="52"/>
        <v>#VALUE!</v>
      </c>
      <c r="N2697" s="10" t="e">
        <f t="shared" ca="1" si="53"/>
        <v>#VALUE!</v>
      </c>
      <c r="O2697" s="7" t="str">
        <f ca="1">IFERROR(__xludf.DUMMYFUNCTION("GOOGLEFINANCE(""NSE:""&amp;D2697,""pe"")"),"#N/A")</f>
        <v>#N/A</v>
      </c>
      <c r="P2697" s="7" t="str">
        <f ca="1">IFERROR(__xludf.DUMMYFUNCTION("GOOGLEFINANCE(""NSE:""&amp;D2697,""EPS"")"),"#N/A")</f>
        <v>#N/A</v>
      </c>
      <c r="Q2697" s="7">
        <v>13.5</v>
      </c>
      <c r="R2697" s="7" t="str">
        <f ca="1">IFERROR(__xludf.DUMMYFUNCTION("IMPORTXML(E2697,""/html/body/main/div[3]/div[3]/div[2]/ul/li[7]/span[2]/span"")"),"Loading...")</f>
        <v>Loading...</v>
      </c>
      <c r="S2697" s="7" t="str">
        <f ca="1">IFERROR(__xludf.DUMMYFUNCTION("IMPORTXML(E2697,""/html/body/main/div[3]/div[3]/div[2]/ul/li[8]/span[2]/span"")"),"Loading...")</f>
        <v>Loading...</v>
      </c>
      <c r="T2697" s="4">
        <v>34.6</v>
      </c>
      <c r="U2697" s="4">
        <v>22.7</v>
      </c>
      <c r="V2697" s="4">
        <v>2.6</v>
      </c>
      <c r="W2697" s="4">
        <v>5.7</v>
      </c>
      <c r="X2697" s="4">
        <v>519.92999999999995</v>
      </c>
      <c r="Y2697" s="7" t="e">
        <f t="shared" ca="1" si="54"/>
        <v>#VALUE!</v>
      </c>
    </row>
    <row r="2698" spans="1:25" ht="15" x14ac:dyDescent="0.25">
      <c r="A2698" s="4">
        <v>2646</v>
      </c>
      <c r="C2698" s="41" t="s">
        <v>4979</v>
      </c>
      <c r="D2698" s="42"/>
      <c r="E2698" s="5" t="str">
        <f t="shared" si="50"/>
        <v>https://www.screener.in/company//consolidated/</v>
      </c>
      <c r="F2698" s="4">
        <v>443059</v>
      </c>
      <c r="G2698" s="4">
        <v>3832241897</v>
      </c>
      <c r="H2698" s="6" t="e">
        <f t="shared" ca="1" si="51"/>
        <v>#VALUE!</v>
      </c>
      <c r="I2698" s="7" t="str">
        <f ca="1">IFERROR(__xludf.DUMMYFUNCTION("IMPORTXML(E2698,""/html/body/main/div[3]/div[3]/div[2]/ul/li[5]/span[2]/span"")"),"Loading...")</f>
        <v>Loading...</v>
      </c>
      <c r="J2698" s="7" t="str">
        <f ca="1">IFERROR(__xludf.DUMMYFUNCTION("GOOGLEFINANCE(""NSE:""&amp;D2698,""marketcap"")"),"#N/A")</f>
        <v>#N/A</v>
      </c>
      <c r="K2698" s="7">
        <v>992.8</v>
      </c>
      <c r="L2698" s="8" t="str">
        <f ca="1">IFERROR(__xludf.DUMMYFUNCTION("GOOGLEFINANCE(""NSE:""&amp;D2698,""price"")"),"#N/A")</f>
        <v>#N/A</v>
      </c>
      <c r="M2698" s="9" t="e">
        <f t="shared" ca="1" si="52"/>
        <v>#VALUE!</v>
      </c>
      <c r="N2698" s="10" t="e">
        <f t="shared" ca="1" si="53"/>
        <v>#VALUE!</v>
      </c>
      <c r="O2698" s="7" t="str">
        <f ca="1">IFERROR(__xludf.DUMMYFUNCTION("GOOGLEFINANCE(""NSE:""&amp;D2698,""pe"")"),"#N/A")</f>
        <v>#N/A</v>
      </c>
      <c r="P2698" s="7" t="str">
        <f ca="1">IFERROR(__xludf.DUMMYFUNCTION("GOOGLEFINANCE(""NSE:""&amp;D2698,""EPS"")"),"#N/A")</f>
        <v>#N/A</v>
      </c>
      <c r="Q2698" s="7">
        <v>13.5</v>
      </c>
      <c r="R2698" s="7" t="str">
        <f ca="1">IFERROR(__xludf.DUMMYFUNCTION("IMPORTXML(E2698,""/html/body/main/div[3]/div[3]/div[2]/ul/li[7]/span[2]/span"")"),"Loading...")</f>
        <v>Loading...</v>
      </c>
      <c r="S2698" s="7" t="str">
        <f ca="1">IFERROR(__xludf.DUMMYFUNCTION("IMPORTXML(E2698,""/html/body/main/div[3]/div[3]/div[2]/ul/li[8]/span[2]/span"")"),"Loading...")</f>
        <v>Loading...</v>
      </c>
      <c r="T2698" s="4">
        <v>34.6</v>
      </c>
      <c r="U2698" s="4">
        <v>22.7</v>
      </c>
      <c r="V2698" s="4">
        <v>2.6</v>
      </c>
      <c r="W2698" s="4">
        <v>5.7</v>
      </c>
      <c r="X2698" s="4">
        <v>519.92999999999995</v>
      </c>
      <c r="Y2698" s="7" t="e">
        <f t="shared" ca="1" si="54"/>
        <v>#VALUE!</v>
      </c>
    </row>
    <row r="2699" spans="1:25" ht="15" x14ac:dyDescent="0.25">
      <c r="A2699" s="4">
        <v>2647</v>
      </c>
      <c r="C2699" s="41" t="s">
        <v>4980</v>
      </c>
      <c r="D2699" s="42"/>
      <c r="E2699" s="5" t="str">
        <f t="shared" si="50"/>
        <v>https://www.screener.in/company//consolidated/</v>
      </c>
      <c r="F2699" s="4">
        <v>443059</v>
      </c>
      <c r="G2699" s="4">
        <v>3832241897</v>
      </c>
      <c r="H2699" s="6" t="e">
        <f t="shared" ca="1" si="51"/>
        <v>#VALUE!</v>
      </c>
      <c r="I2699" s="7" t="str">
        <f ca="1">IFERROR(__xludf.DUMMYFUNCTION("IMPORTXML(E2699,""/html/body/main/div[3]/div[3]/div[2]/ul/li[5]/span[2]/span"")"),"Loading...")</f>
        <v>Loading...</v>
      </c>
      <c r="J2699" s="7" t="str">
        <f ca="1">IFERROR(__xludf.DUMMYFUNCTION("GOOGLEFINANCE(""NSE:""&amp;D2699,""marketcap"")"),"#N/A")</f>
        <v>#N/A</v>
      </c>
      <c r="K2699" s="7">
        <v>992.8</v>
      </c>
      <c r="L2699" s="8" t="str">
        <f ca="1">IFERROR(__xludf.DUMMYFUNCTION("GOOGLEFINANCE(""NSE:""&amp;D2699,""price"")"),"#N/A")</f>
        <v>#N/A</v>
      </c>
      <c r="M2699" s="9" t="e">
        <f t="shared" ca="1" si="52"/>
        <v>#VALUE!</v>
      </c>
      <c r="N2699" s="10" t="e">
        <f t="shared" ca="1" si="53"/>
        <v>#VALUE!</v>
      </c>
      <c r="O2699" s="7" t="str">
        <f ca="1">IFERROR(__xludf.DUMMYFUNCTION("GOOGLEFINANCE(""NSE:""&amp;D2699,""pe"")"),"#N/A")</f>
        <v>#N/A</v>
      </c>
      <c r="P2699" s="7" t="str">
        <f ca="1">IFERROR(__xludf.DUMMYFUNCTION("GOOGLEFINANCE(""NSE:""&amp;D2699,""EPS"")"),"#N/A")</f>
        <v>#N/A</v>
      </c>
      <c r="Q2699" s="7">
        <v>13.5</v>
      </c>
      <c r="R2699" s="7" t="str">
        <f ca="1">IFERROR(__xludf.DUMMYFUNCTION("IMPORTXML(E2699,""/html/body/main/div[3]/div[3]/div[2]/ul/li[7]/span[2]/span"")"),"Loading...")</f>
        <v>Loading...</v>
      </c>
      <c r="S2699" s="7" t="str">
        <f ca="1">IFERROR(__xludf.DUMMYFUNCTION("IMPORTXML(E2699,""/html/body/main/div[3]/div[3]/div[2]/ul/li[8]/span[2]/span"")"),"Loading...")</f>
        <v>Loading...</v>
      </c>
      <c r="T2699" s="4">
        <v>34.6</v>
      </c>
      <c r="U2699" s="4">
        <v>22.7</v>
      </c>
      <c r="V2699" s="4">
        <v>2.6</v>
      </c>
      <c r="W2699" s="4">
        <v>5.7</v>
      </c>
      <c r="X2699" s="4">
        <v>519.92999999999995</v>
      </c>
      <c r="Y2699" s="7" t="e">
        <f t="shared" ca="1" si="54"/>
        <v>#VALUE!</v>
      </c>
    </row>
    <row r="2700" spans="1:25" ht="15" x14ac:dyDescent="0.25">
      <c r="A2700" s="4">
        <v>2648</v>
      </c>
      <c r="C2700" s="41" t="s">
        <v>4981</v>
      </c>
      <c r="D2700" s="42"/>
      <c r="E2700" s="5" t="str">
        <f t="shared" si="50"/>
        <v>https://www.screener.in/company//consolidated/</v>
      </c>
      <c r="F2700" s="4">
        <v>443059</v>
      </c>
      <c r="G2700" s="4">
        <v>3832241897</v>
      </c>
      <c r="H2700" s="6" t="e">
        <f t="shared" ca="1" si="51"/>
        <v>#VALUE!</v>
      </c>
      <c r="I2700" s="7" t="str">
        <f ca="1">IFERROR(__xludf.DUMMYFUNCTION("IMPORTXML(E2700,""/html/body/main/div[3]/div[3]/div[2]/ul/li[5]/span[2]/span"")"),"Loading...")</f>
        <v>Loading...</v>
      </c>
      <c r="J2700" s="7" t="str">
        <f ca="1">IFERROR(__xludf.DUMMYFUNCTION("GOOGLEFINANCE(""NSE:""&amp;D2700,""marketcap"")"),"#N/A")</f>
        <v>#N/A</v>
      </c>
      <c r="K2700" s="7">
        <v>992.8</v>
      </c>
      <c r="L2700" s="8" t="str">
        <f ca="1">IFERROR(__xludf.DUMMYFUNCTION("GOOGLEFINANCE(""NSE:""&amp;D2700,""price"")"),"#N/A")</f>
        <v>#N/A</v>
      </c>
      <c r="M2700" s="9" t="e">
        <f t="shared" ca="1" si="52"/>
        <v>#VALUE!</v>
      </c>
      <c r="N2700" s="10" t="e">
        <f t="shared" ca="1" si="53"/>
        <v>#VALUE!</v>
      </c>
      <c r="O2700" s="7" t="str">
        <f ca="1">IFERROR(__xludf.DUMMYFUNCTION("GOOGLEFINANCE(""NSE:""&amp;D2700,""pe"")"),"#N/A")</f>
        <v>#N/A</v>
      </c>
      <c r="P2700" s="7" t="str">
        <f ca="1">IFERROR(__xludf.DUMMYFUNCTION("GOOGLEFINANCE(""NSE:""&amp;D2700,""EPS"")"),"#N/A")</f>
        <v>#N/A</v>
      </c>
      <c r="Q2700" s="7">
        <v>13.5</v>
      </c>
      <c r="R2700" s="7" t="str">
        <f ca="1">IFERROR(__xludf.DUMMYFUNCTION("IMPORTXML(E2700,""/html/body/main/div[3]/div[3]/div[2]/ul/li[7]/span[2]/span"")"),"Loading...")</f>
        <v>Loading...</v>
      </c>
      <c r="S2700" s="7" t="str">
        <f ca="1">IFERROR(__xludf.DUMMYFUNCTION("IMPORTXML(E2700,""/html/body/main/div[3]/div[3]/div[2]/ul/li[8]/span[2]/span"")"),"Loading...")</f>
        <v>Loading...</v>
      </c>
      <c r="T2700" s="4">
        <v>34.6</v>
      </c>
      <c r="U2700" s="4">
        <v>22.7</v>
      </c>
      <c r="V2700" s="4">
        <v>2.6</v>
      </c>
      <c r="W2700" s="4">
        <v>5.7</v>
      </c>
      <c r="X2700" s="4">
        <v>519.92999999999995</v>
      </c>
      <c r="Y2700" s="7" t="e">
        <f t="shared" ca="1" si="54"/>
        <v>#VALUE!</v>
      </c>
    </row>
    <row r="2701" spans="1:25" ht="15" x14ac:dyDescent="0.25">
      <c r="A2701" s="4">
        <v>2649</v>
      </c>
      <c r="C2701" s="12" t="s">
        <v>4982</v>
      </c>
      <c r="D2701" s="12" t="s">
        <v>4983</v>
      </c>
      <c r="E2701" s="5" t="str">
        <f t="shared" si="50"/>
        <v>https://www.screener.in/company/RELIABLE/consolidated/</v>
      </c>
      <c r="F2701" s="4">
        <v>443059</v>
      </c>
      <c r="G2701" s="4">
        <v>3832241897</v>
      </c>
      <c r="H2701" s="6">
        <f t="shared" ca="1" si="51"/>
        <v>54318.196648078003</v>
      </c>
      <c r="I2701" s="7" t="str">
        <f ca="1">IFERROR(__xludf.DUMMYFUNCTION("IMPORTXML(E2701,""/html/body/main/div[3]/div[3]/div[2]/ul/li[5]/span[2]/span"")"),"Loading...")</f>
        <v>Loading...</v>
      </c>
      <c r="J2701" s="7">
        <f ca="1">IFERROR(__xludf.DUMMYFUNCTION("GOOGLEFINANCE(""NSE:""&amp;D2701,""marketcap"")"),1462756856)</f>
        <v>1462756856</v>
      </c>
      <c r="K2701" s="7">
        <v>992.8</v>
      </c>
      <c r="L2701" s="8">
        <f ca="1">IFERROR(__xludf.DUMMYFUNCTION("GOOGLEFINANCE(""NSE:""&amp;D2701,""price"")"),141.74)</f>
        <v>141.74</v>
      </c>
      <c r="M2701" s="9">
        <f t="shared" ca="1" si="52"/>
        <v>-851.06</v>
      </c>
      <c r="N2701" s="10">
        <f t="shared" ca="1" si="53"/>
        <v>-85.723207091055599</v>
      </c>
      <c r="O2701" s="7">
        <f ca="1">IFERROR(__xludf.DUMMYFUNCTION("GOOGLEFINANCE(""NSE:""&amp;D2701,""pe"")"),13.26)</f>
        <v>13.26</v>
      </c>
      <c r="P2701" s="7">
        <f ca="1">IFERROR(__xludf.DUMMYFUNCTION("GOOGLEFINANCE(""NSE:""&amp;D2701,""EPS"")"),10.69)</f>
        <v>10.69</v>
      </c>
      <c r="Q2701" s="7">
        <v>13.5</v>
      </c>
      <c r="R2701" s="7" t="str">
        <f ca="1">IFERROR(__xludf.DUMMYFUNCTION("IMPORTXML(E2701,""/html/body/main/div[3]/div[3]/div[2]/ul/li[7]/span[2]/span"")"),"Loading...")</f>
        <v>Loading...</v>
      </c>
      <c r="S2701" s="7" t="str">
        <f ca="1">IFERROR(__xludf.DUMMYFUNCTION("IMPORTXML(E2701,""/html/body/main/div[3]/div[3]/div[2]/ul/li[8]/span[2]/span"")"),"Loading...")</f>
        <v>Loading...</v>
      </c>
      <c r="T2701" s="4">
        <v>34.6</v>
      </c>
      <c r="U2701" s="4">
        <v>22.7</v>
      </c>
      <c r="V2701" s="4">
        <v>2.6</v>
      </c>
      <c r="W2701" s="4">
        <v>5.7</v>
      </c>
      <c r="X2701" s="4">
        <v>519.92999999999995</v>
      </c>
      <c r="Y2701" s="7">
        <f t="shared" ca="1" si="54"/>
        <v>-378.18999999999994</v>
      </c>
    </row>
    <row r="2702" spans="1:25" ht="15" x14ac:dyDescent="0.25">
      <c r="A2702" s="4">
        <v>2650</v>
      </c>
      <c r="C2702" s="12" t="s">
        <v>4984</v>
      </c>
      <c r="D2702" s="12" t="s">
        <v>4985</v>
      </c>
      <c r="E2702" s="5" t="str">
        <f t="shared" si="50"/>
        <v>https://www.screener.in/company/SVPGLOB/consolidated/</v>
      </c>
      <c r="F2702" s="4">
        <v>443059</v>
      </c>
      <c r="G2702" s="4">
        <v>3832241897</v>
      </c>
      <c r="H2702" s="6">
        <f t="shared" ca="1" si="51"/>
        <v>1406.432776199</v>
      </c>
      <c r="I2702" s="7" t="str">
        <f ca="1">IFERROR(__xludf.DUMMYFUNCTION("IMPORTXML(E2702,""/html/body/main/div[3]/div[3]/div[2]/ul/li[5]/span[2]/span"")"),"Loading...")</f>
        <v>Loading...</v>
      </c>
      <c r="J2702" s="7">
        <f ca="1">IFERROR(__xludf.DUMMYFUNCTION("GOOGLEFINANCE(""NSE:""&amp;D2702,""marketcap"")"),470552408)</f>
        <v>470552408</v>
      </c>
      <c r="K2702" s="7">
        <v>992.8</v>
      </c>
      <c r="L2702" s="8">
        <f ca="1">IFERROR(__xludf.DUMMYFUNCTION("GOOGLEFINANCE(""NSE:""&amp;D2702,""price"")"),3.67)</f>
        <v>3.67</v>
      </c>
      <c r="M2702" s="9">
        <f t="shared" ca="1" si="52"/>
        <v>-989.13</v>
      </c>
      <c r="N2702" s="10">
        <f t="shared" ca="1" si="53"/>
        <v>-99.630338436744566</v>
      </c>
      <c r="O2702" s="7" t="str">
        <f ca="1">IFERROR(__xludf.DUMMYFUNCTION("GOOGLEFINANCE(""NSE:""&amp;D2702,""pe"")"),"#N/A")</f>
        <v>#N/A</v>
      </c>
      <c r="P2702" s="7">
        <f ca="1">IFERROR(__xludf.DUMMYFUNCTION("GOOGLEFINANCE(""NSE:""&amp;D2702,""EPS"")"),-73.17)</f>
        <v>-73.17</v>
      </c>
      <c r="Q2702" s="7">
        <v>13.5</v>
      </c>
      <c r="R2702" s="7" t="str">
        <f ca="1">IFERROR(__xludf.DUMMYFUNCTION("IMPORTXML(E2702,""/html/body/main/div[3]/div[3]/div[2]/ul/li[7]/span[2]/span"")"),"Loading...")</f>
        <v>Loading...</v>
      </c>
      <c r="S2702" s="7" t="str">
        <f ca="1">IFERROR(__xludf.DUMMYFUNCTION("IMPORTXML(E2702,""/html/body/main/div[3]/div[3]/div[2]/ul/li[8]/span[2]/span"")"),"Loading...")</f>
        <v>Loading...</v>
      </c>
      <c r="T2702" s="4">
        <v>34.6</v>
      </c>
      <c r="U2702" s="4">
        <v>22.7</v>
      </c>
      <c r="V2702" s="4">
        <v>2.6</v>
      </c>
      <c r="W2702" s="4">
        <v>5.7</v>
      </c>
      <c r="X2702" s="4">
        <v>519.92999999999995</v>
      </c>
      <c r="Y2702" s="7">
        <f t="shared" ca="1" si="54"/>
        <v>-516.26</v>
      </c>
    </row>
    <row r="2703" spans="1:25" ht="15" x14ac:dyDescent="0.25">
      <c r="A2703" s="4">
        <v>2651</v>
      </c>
      <c r="C2703" s="12" t="s">
        <v>4986</v>
      </c>
      <c r="D2703" s="12" t="s">
        <v>4987</v>
      </c>
      <c r="E2703" s="5" t="str">
        <f t="shared" si="50"/>
        <v>https://www.screener.in/company/AROGRANITE/consolidated/</v>
      </c>
      <c r="F2703" s="4">
        <v>443059</v>
      </c>
      <c r="G2703" s="4">
        <v>3832241897</v>
      </c>
      <c r="H2703" s="6">
        <f t="shared" ca="1" si="51"/>
        <v>14183.127260797</v>
      </c>
      <c r="I2703" s="7" t="str">
        <f ca="1">IFERROR(__xludf.DUMMYFUNCTION("IMPORTXML(E2703,""/html/body/main/div[3]/div[3]/div[2]/ul/li[5]/span[2]/span"")"),"Loading...")</f>
        <v>Loading...</v>
      </c>
      <c r="J2703" s="7">
        <f ca="1">IFERROR(__xludf.DUMMYFUNCTION("GOOGLEFINANCE(""NSE:""&amp;D2703,""marketcap"")"),566253000)</f>
        <v>566253000</v>
      </c>
      <c r="K2703" s="7">
        <v>992.8</v>
      </c>
      <c r="L2703" s="8">
        <f ca="1">IFERROR(__xludf.DUMMYFUNCTION("GOOGLEFINANCE(""NSE:""&amp;D2703,""price"")"),37.01)</f>
        <v>37.01</v>
      </c>
      <c r="M2703" s="9">
        <f t="shared" ca="1" si="52"/>
        <v>-955.79</v>
      </c>
      <c r="N2703" s="10">
        <f t="shared" ca="1" si="53"/>
        <v>-96.272159548751006</v>
      </c>
      <c r="O2703" s="7" t="str">
        <f ca="1">IFERROR(__xludf.DUMMYFUNCTION("GOOGLEFINANCE(""NSE:""&amp;D2703,""pe"")"),"#N/A")</f>
        <v>#N/A</v>
      </c>
      <c r="P2703" s="7">
        <f ca="1">IFERROR(__xludf.DUMMYFUNCTION("GOOGLEFINANCE(""NSE:""&amp;D2703,""EPS"")"),-4.66)</f>
        <v>-4.66</v>
      </c>
      <c r="Q2703" s="7">
        <v>13.5</v>
      </c>
      <c r="R2703" s="7" t="str">
        <f ca="1">IFERROR(__xludf.DUMMYFUNCTION("IMPORTXML(E2703,""/html/body/main/div[3]/div[3]/div[2]/ul/li[7]/span[2]/span"")"),"Loading...")</f>
        <v>Loading...</v>
      </c>
      <c r="S2703" s="7" t="str">
        <f ca="1">IFERROR(__xludf.DUMMYFUNCTION("IMPORTXML(E2703,""/html/body/main/div[3]/div[3]/div[2]/ul/li[8]/span[2]/span"")"),"Loading...")</f>
        <v>Loading...</v>
      </c>
      <c r="T2703" s="4">
        <v>34.6</v>
      </c>
      <c r="U2703" s="4">
        <v>22.7</v>
      </c>
      <c r="V2703" s="4">
        <v>2.6</v>
      </c>
      <c r="W2703" s="4">
        <v>5.7</v>
      </c>
      <c r="X2703" s="4">
        <v>519.92999999999995</v>
      </c>
      <c r="Y2703" s="7">
        <f t="shared" ca="1" si="54"/>
        <v>-482.91999999999996</v>
      </c>
    </row>
    <row r="2704" spans="1:25" ht="15" x14ac:dyDescent="0.25">
      <c r="A2704" s="4">
        <v>2652</v>
      </c>
      <c r="C2704" s="41" t="s">
        <v>4988</v>
      </c>
      <c r="D2704" s="42"/>
      <c r="E2704" s="5" t="str">
        <f t="shared" si="50"/>
        <v>https://www.screener.in/company//consolidated/</v>
      </c>
      <c r="F2704" s="4">
        <v>443059</v>
      </c>
      <c r="G2704" s="4">
        <v>3832241897</v>
      </c>
      <c r="H2704" s="6" t="e">
        <f t="shared" ca="1" si="51"/>
        <v>#VALUE!</v>
      </c>
      <c r="I2704" s="7" t="str">
        <f ca="1">IFERROR(__xludf.DUMMYFUNCTION("IMPORTXML(E2704,""/html/body/main/div[3]/div[3]/div[2]/ul/li[5]/span[2]/span"")"),"Loading...")</f>
        <v>Loading...</v>
      </c>
      <c r="J2704" s="7" t="str">
        <f ca="1">IFERROR(__xludf.DUMMYFUNCTION("GOOGLEFINANCE(""NSE:""&amp;D2704,""marketcap"")"),"#N/A")</f>
        <v>#N/A</v>
      </c>
      <c r="K2704" s="7">
        <v>992.8</v>
      </c>
      <c r="L2704" s="8" t="str">
        <f ca="1">IFERROR(__xludf.DUMMYFUNCTION("GOOGLEFINANCE(""NSE:""&amp;D2704,""price"")"),"#N/A")</f>
        <v>#N/A</v>
      </c>
      <c r="M2704" s="9" t="e">
        <f t="shared" ca="1" si="52"/>
        <v>#VALUE!</v>
      </c>
      <c r="N2704" s="10" t="e">
        <f t="shared" ca="1" si="53"/>
        <v>#VALUE!</v>
      </c>
      <c r="O2704" s="7" t="str">
        <f ca="1">IFERROR(__xludf.DUMMYFUNCTION("GOOGLEFINANCE(""NSE:""&amp;D2704,""pe"")"),"#N/A")</f>
        <v>#N/A</v>
      </c>
      <c r="P2704" s="7" t="str">
        <f ca="1">IFERROR(__xludf.DUMMYFUNCTION("GOOGLEFINANCE(""NSE:""&amp;D2704,""EPS"")"),"#N/A")</f>
        <v>#N/A</v>
      </c>
      <c r="Q2704" s="7">
        <v>13.5</v>
      </c>
      <c r="R2704" s="7" t="str">
        <f ca="1">IFERROR(__xludf.DUMMYFUNCTION("IMPORTXML(E2704,""/html/body/main/div[3]/div[3]/div[2]/ul/li[7]/span[2]/span"")"),"Loading...")</f>
        <v>Loading...</v>
      </c>
      <c r="S2704" s="7" t="str">
        <f ca="1">IFERROR(__xludf.DUMMYFUNCTION("IMPORTXML(E2704,""/html/body/main/div[3]/div[3]/div[2]/ul/li[8]/span[2]/span"")"),"Loading...")</f>
        <v>Loading...</v>
      </c>
      <c r="T2704" s="4">
        <v>34.6</v>
      </c>
      <c r="U2704" s="4">
        <v>22.7</v>
      </c>
      <c r="V2704" s="4">
        <v>2.6</v>
      </c>
      <c r="W2704" s="4">
        <v>5.7</v>
      </c>
      <c r="X2704" s="4">
        <v>519.92999999999995</v>
      </c>
      <c r="Y2704" s="7" t="e">
        <f t="shared" ca="1" si="54"/>
        <v>#VALUE!</v>
      </c>
    </row>
    <row r="2705" spans="1:25" ht="15" x14ac:dyDescent="0.25">
      <c r="A2705" s="4">
        <v>2653</v>
      </c>
      <c r="C2705" s="41" t="s">
        <v>4989</v>
      </c>
      <c r="D2705" s="42"/>
      <c r="E2705" s="5" t="str">
        <f t="shared" si="50"/>
        <v>https://www.screener.in/company//consolidated/</v>
      </c>
      <c r="F2705" s="4">
        <v>443059</v>
      </c>
      <c r="G2705" s="4">
        <v>3832241897</v>
      </c>
      <c r="H2705" s="6" t="e">
        <f t="shared" ca="1" si="51"/>
        <v>#VALUE!</v>
      </c>
      <c r="I2705" s="7" t="str">
        <f ca="1">IFERROR(__xludf.DUMMYFUNCTION("IMPORTXML(E2705,""/html/body/main/div[3]/div[3]/div[2]/ul/li[5]/span[2]/span"")"),"Loading...")</f>
        <v>Loading...</v>
      </c>
      <c r="J2705" s="7" t="str">
        <f ca="1">IFERROR(__xludf.DUMMYFUNCTION("GOOGLEFINANCE(""NSE:""&amp;D2705,""marketcap"")"),"#N/A")</f>
        <v>#N/A</v>
      </c>
      <c r="K2705" s="7">
        <v>992.8</v>
      </c>
      <c r="L2705" s="8" t="str">
        <f ca="1">IFERROR(__xludf.DUMMYFUNCTION("GOOGLEFINANCE(""NSE:""&amp;D2705,""price"")"),"#N/A")</f>
        <v>#N/A</v>
      </c>
      <c r="M2705" s="9" t="e">
        <f t="shared" ca="1" si="52"/>
        <v>#VALUE!</v>
      </c>
      <c r="N2705" s="10" t="e">
        <f t="shared" ca="1" si="53"/>
        <v>#VALUE!</v>
      </c>
      <c r="O2705" s="7" t="str">
        <f ca="1">IFERROR(__xludf.DUMMYFUNCTION("GOOGLEFINANCE(""NSE:""&amp;D2705,""pe"")"),"#N/A")</f>
        <v>#N/A</v>
      </c>
      <c r="P2705" s="7" t="str">
        <f ca="1">IFERROR(__xludf.DUMMYFUNCTION("GOOGLEFINANCE(""NSE:""&amp;D2705,""EPS"")"),"#N/A")</f>
        <v>#N/A</v>
      </c>
      <c r="Q2705" s="7">
        <v>13.5</v>
      </c>
      <c r="R2705" s="7" t="str">
        <f ca="1">IFERROR(__xludf.DUMMYFUNCTION("IMPORTXML(E2705,""/html/body/main/div[3]/div[3]/div[2]/ul/li[7]/span[2]/span"")"),"Loading...")</f>
        <v>Loading...</v>
      </c>
      <c r="S2705" s="7" t="str">
        <f ca="1">IFERROR(__xludf.DUMMYFUNCTION("IMPORTXML(E2705,""/html/body/main/div[3]/div[3]/div[2]/ul/li[8]/span[2]/span"")"),"Loading...")</f>
        <v>Loading...</v>
      </c>
      <c r="T2705" s="4">
        <v>34.6</v>
      </c>
      <c r="U2705" s="4">
        <v>22.7</v>
      </c>
      <c r="V2705" s="4">
        <v>2.6</v>
      </c>
      <c r="W2705" s="4">
        <v>5.7</v>
      </c>
      <c r="X2705" s="4">
        <v>519.92999999999995</v>
      </c>
      <c r="Y2705" s="7" t="e">
        <f t="shared" ca="1" si="54"/>
        <v>#VALUE!</v>
      </c>
    </row>
    <row r="2706" spans="1:25" ht="15" x14ac:dyDescent="0.25">
      <c r="A2706" s="4">
        <v>2654</v>
      </c>
      <c r="C2706" s="41" t="s">
        <v>4990</v>
      </c>
      <c r="D2706" s="42"/>
      <c r="E2706" s="5" t="str">
        <f t="shared" si="50"/>
        <v>https://www.screener.in/company//consolidated/</v>
      </c>
      <c r="F2706" s="4">
        <v>443059</v>
      </c>
      <c r="G2706" s="4">
        <v>3832241897</v>
      </c>
      <c r="H2706" s="6" t="e">
        <f t="shared" ca="1" si="51"/>
        <v>#VALUE!</v>
      </c>
      <c r="I2706" s="7" t="str">
        <f ca="1">IFERROR(__xludf.DUMMYFUNCTION("IMPORTXML(E2706,""/html/body/main/div[3]/div[3]/div[2]/ul/li[5]/span[2]/span"")"),"Loading...")</f>
        <v>Loading...</v>
      </c>
      <c r="J2706" s="7" t="str">
        <f ca="1">IFERROR(__xludf.DUMMYFUNCTION("GOOGLEFINANCE(""NSE:""&amp;D2706,""marketcap"")"),"#N/A")</f>
        <v>#N/A</v>
      </c>
      <c r="K2706" s="7">
        <v>992.8</v>
      </c>
      <c r="L2706" s="8" t="str">
        <f ca="1">IFERROR(__xludf.DUMMYFUNCTION("GOOGLEFINANCE(""NSE:""&amp;D2706,""price"")"),"#N/A")</f>
        <v>#N/A</v>
      </c>
      <c r="M2706" s="9" t="e">
        <f t="shared" ca="1" si="52"/>
        <v>#VALUE!</v>
      </c>
      <c r="N2706" s="10" t="e">
        <f t="shared" ca="1" si="53"/>
        <v>#VALUE!</v>
      </c>
      <c r="O2706" s="7" t="str">
        <f ca="1">IFERROR(__xludf.DUMMYFUNCTION("GOOGLEFINANCE(""NSE:""&amp;D2706,""pe"")"),"#N/A")</f>
        <v>#N/A</v>
      </c>
      <c r="P2706" s="7" t="str">
        <f ca="1">IFERROR(__xludf.DUMMYFUNCTION("GOOGLEFINANCE(""NSE:""&amp;D2706,""EPS"")"),"#N/A")</f>
        <v>#N/A</v>
      </c>
      <c r="Q2706" s="7">
        <v>13.5</v>
      </c>
      <c r="R2706" s="7" t="str">
        <f ca="1">IFERROR(__xludf.DUMMYFUNCTION("IMPORTXML(E2706,""/html/body/main/div[3]/div[3]/div[2]/ul/li[7]/span[2]/span"")"),"Loading...")</f>
        <v>Loading...</v>
      </c>
      <c r="S2706" s="7" t="str">
        <f ca="1">IFERROR(__xludf.DUMMYFUNCTION("IMPORTXML(E2706,""/html/body/main/div[3]/div[3]/div[2]/ul/li[8]/span[2]/span"")"),"Loading...")</f>
        <v>Loading...</v>
      </c>
      <c r="T2706" s="4">
        <v>34.6</v>
      </c>
      <c r="U2706" s="4">
        <v>22.7</v>
      </c>
      <c r="V2706" s="4">
        <v>2.6</v>
      </c>
      <c r="W2706" s="4">
        <v>5.7</v>
      </c>
      <c r="X2706" s="4">
        <v>519.92999999999995</v>
      </c>
      <c r="Y2706" s="7" t="e">
        <f t="shared" ca="1" si="54"/>
        <v>#VALUE!</v>
      </c>
    </row>
    <row r="2707" spans="1:25" ht="15" x14ac:dyDescent="0.25">
      <c r="A2707" s="4">
        <v>2655</v>
      </c>
      <c r="C2707" s="41" t="s">
        <v>4991</v>
      </c>
      <c r="D2707" s="42"/>
      <c r="E2707" s="5" t="str">
        <f t="shared" si="50"/>
        <v>https://www.screener.in/company//consolidated/</v>
      </c>
      <c r="F2707" s="4">
        <v>443059</v>
      </c>
      <c r="G2707" s="4">
        <v>3832241897</v>
      </c>
      <c r="H2707" s="6" t="e">
        <f t="shared" ca="1" si="51"/>
        <v>#VALUE!</v>
      </c>
      <c r="I2707" s="7" t="str">
        <f ca="1">IFERROR(__xludf.DUMMYFUNCTION("IMPORTXML(E2707,""/html/body/main/div[3]/div[3]/div[2]/ul/li[5]/span[2]/span"")"),"Loading...")</f>
        <v>Loading...</v>
      </c>
      <c r="J2707" s="7" t="str">
        <f ca="1">IFERROR(__xludf.DUMMYFUNCTION("GOOGLEFINANCE(""NSE:""&amp;D2707,""marketcap"")"),"#N/A")</f>
        <v>#N/A</v>
      </c>
      <c r="K2707" s="7">
        <v>992.8</v>
      </c>
      <c r="L2707" s="8" t="str">
        <f ca="1">IFERROR(__xludf.DUMMYFUNCTION("GOOGLEFINANCE(""NSE:""&amp;D2707,""price"")"),"#N/A")</f>
        <v>#N/A</v>
      </c>
      <c r="M2707" s="9" t="e">
        <f t="shared" ca="1" si="52"/>
        <v>#VALUE!</v>
      </c>
      <c r="N2707" s="10" t="e">
        <f t="shared" ca="1" si="53"/>
        <v>#VALUE!</v>
      </c>
      <c r="O2707" s="7" t="str">
        <f ca="1">IFERROR(__xludf.DUMMYFUNCTION("GOOGLEFINANCE(""NSE:""&amp;D2707,""pe"")"),"#N/A")</f>
        <v>#N/A</v>
      </c>
      <c r="P2707" s="7" t="str">
        <f ca="1">IFERROR(__xludf.DUMMYFUNCTION("GOOGLEFINANCE(""NSE:""&amp;D2707,""EPS"")"),"#N/A")</f>
        <v>#N/A</v>
      </c>
      <c r="Q2707" s="7">
        <v>13.5</v>
      </c>
      <c r="R2707" s="7" t="str">
        <f ca="1">IFERROR(__xludf.DUMMYFUNCTION("IMPORTXML(E2707,""/html/body/main/div[3]/div[3]/div[2]/ul/li[7]/span[2]/span"")"),"Loading...")</f>
        <v>Loading...</v>
      </c>
      <c r="S2707" s="7" t="str">
        <f ca="1">IFERROR(__xludf.DUMMYFUNCTION("IMPORTXML(E2707,""/html/body/main/div[3]/div[3]/div[2]/ul/li[8]/span[2]/span"")"),"Loading...")</f>
        <v>Loading...</v>
      </c>
      <c r="T2707" s="4">
        <v>34.6</v>
      </c>
      <c r="U2707" s="4">
        <v>22.7</v>
      </c>
      <c r="V2707" s="4">
        <v>2.6</v>
      </c>
      <c r="W2707" s="4">
        <v>5.7</v>
      </c>
      <c r="X2707" s="4">
        <v>519.92999999999995</v>
      </c>
      <c r="Y2707" s="7" t="e">
        <f t="shared" ca="1" si="54"/>
        <v>#VALUE!</v>
      </c>
    </row>
    <row r="2708" spans="1:25" ht="15" x14ac:dyDescent="0.25">
      <c r="A2708" s="4">
        <v>2656</v>
      </c>
      <c r="C2708" s="41" t="s">
        <v>4992</v>
      </c>
      <c r="D2708" s="42"/>
      <c r="E2708" s="5" t="str">
        <f t="shared" si="50"/>
        <v>https://www.screener.in/company//consolidated/</v>
      </c>
      <c r="F2708" s="4">
        <v>443059</v>
      </c>
      <c r="G2708" s="4">
        <v>3832241897</v>
      </c>
      <c r="H2708" s="6" t="e">
        <f t="shared" ca="1" si="51"/>
        <v>#VALUE!</v>
      </c>
      <c r="I2708" s="7" t="str">
        <f ca="1">IFERROR(__xludf.DUMMYFUNCTION("IMPORTXML(E2708,""/html/body/main/div[3]/div[3]/div[2]/ul/li[5]/span[2]/span"")"),"Loading...")</f>
        <v>Loading...</v>
      </c>
      <c r="J2708" s="7" t="str">
        <f ca="1">IFERROR(__xludf.DUMMYFUNCTION("GOOGLEFINANCE(""NSE:""&amp;D2708,""marketcap"")"),"#N/A")</f>
        <v>#N/A</v>
      </c>
      <c r="K2708" s="7">
        <v>992.8</v>
      </c>
      <c r="L2708" s="8" t="str">
        <f ca="1">IFERROR(__xludf.DUMMYFUNCTION("GOOGLEFINANCE(""NSE:""&amp;D2708,""price"")"),"#N/A")</f>
        <v>#N/A</v>
      </c>
      <c r="M2708" s="9" t="e">
        <f t="shared" ca="1" si="52"/>
        <v>#VALUE!</v>
      </c>
      <c r="N2708" s="10" t="e">
        <f t="shared" ca="1" si="53"/>
        <v>#VALUE!</v>
      </c>
      <c r="O2708" s="7" t="str">
        <f ca="1">IFERROR(__xludf.DUMMYFUNCTION("GOOGLEFINANCE(""NSE:""&amp;D2708,""pe"")"),"#N/A")</f>
        <v>#N/A</v>
      </c>
      <c r="P2708" s="7" t="str">
        <f ca="1">IFERROR(__xludf.DUMMYFUNCTION("GOOGLEFINANCE(""NSE:""&amp;D2708,""EPS"")"),"#N/A")</f>
        <v>#N/A</v>
      </c>
      <c r="Q2708" s="7">
        <v>13.5</v>
      </c>
      <c r="R2708" s="7" t="str">
        <f ca="1">IFERROR(__xludf.DUMMYFUNCTION("IMPORTXML(E2708,""/html/body/main/div[3]/div[3]/div[2]/ul/li[7]/span[2]/span"")"),"Loading...")</f>
        <v>Loading...</v>
      </c>
      <c r="S2708" s="7" t="str">
        <f ca="1">IFERROR(__xludf.DUMMYFUNCTION("IMPORTXML(E2708,""/html/body/main/div[3]/div[3]/div[2]/ul/li[8]/span[2]/span"")"),"Loading...")</f>
        <v>Loading...</v>
      </c>
      <c r="T2708" s="4">
        <v>34.6</v>
      </c>
      <c r="U2708" s="4">
        <v>22.7</v>
      </c>
      <c r="V2708" s="4">
        <v>2.6</v>
      </c>
      <c r="W2708" s="4">
        <v>5.7</v>
      </c>
      <c r="X2708" s="4">
        <v>519.92999999999995</v>
      </c>
      <c r="Y2708" s="7" t="e">
        <f t="shared" ca="1" si="54"/>
        <v>#VALUE!</v>
      </c>
    </row>
    <row r="2709" spans="1:25" ht="15" x14ac:dyDescent="0.25">
      <c r="A2709" s="4">
        <v>2658</v>
      </c>
      <c r="C2709" s="41" t="s">
        <v>4993</v>
      </c>
      <c r="D2709" s="42"/>
      <c r="E2709" s="5" t="str">
        <f t="shared" si="50"/>
        <v>https://www.screener.in/company//consolidated/</v>
      </c>
      <c r="F2709" s="4">
        <v>443059</v>
      </c>
      <c r="G2709" s="4">
        <v>3832241897</v>
      </c>
      <c r="H2709" s="6" t="e">
        <f t="shared" ca="1" si="51"/>
        <v>#VALUE!</v>
      </c>
      <c r="I2709" s="7" t="str">
        <f ca="1">IFERROR(__xludf.DUMMYFUNCTION("IMPORTXML(E2709,""/html/body/main/div[3]/div[3]/div[2]/ul/li[5]/span[2]/span"")"),"Loading...")</f>
        <v>Loading...</v>
      </c>
      <c r="J2709" s="7" t="str">
        <f ca="1">IFERROR(__xludf.DUMMYFUNCTION("GOOGLEFINANCE(""NSE:""&amp;D2709,""marketcap"")"),"#N/A")</f>
        <v>#N/A</v>
      </c>
      <c r="K2709" s="7">
        <v>992.8</v>
      </c>
      <c r="L2709" s="8" t="str">
        <f ca="1">IFERROR(__xludf.DUMMYFUNCTION("GOOGLEFINANCE(""NSE:""&amp;D2709,""price"")"),"#N/A")</f>
        <v>#N/A</v>
      </c>
      <c r="M2709" s="9" t="e">
        <f t="shared" ca="1" si="52"/>
        <v>#VALUE!</v>
      </c>
      <c r="N2709" s="10" t="e">
        <f t="shared" ca="1" si="53"/>
        <v>#VALUE!</v>
      </c>
      <c r="O2709" s="7" t="str">
        <f ca="1">IFERROR(__xludf.DUMMYFUNCTION("GOOGLEFINANCE(""NSE:""&amp;D2709,""pe"")"),"#N/A")</f>
        <v>#N/A</v>
      </c>
      <c r="P2709" s="7" t="str">
        <f ca="1">IFERROR(__xludf.DUMMYFUNCTION("GOOGLEFINANCE(""NSE:""&amp;D2709,""EPS"")"),"#N/A")</f>
        <v>#N/A</v>
      </c>
      <c r="Q2709" s="7">
        <v>13.5</v>
      </c>
      <c r="R2709" s="7" t="str">
        <f ca="1">IFERROR(__xludf.DUMMYFUNCTION("IMPORTXML(E2709,""/html/body/main/div[3]/div[3]/div[2]/ul/li[7]/span[2]/span"")"),"Loading...")</f>
        <v>Loading...</v>
      </c>
      <c r="S2709" s="7" t="str">
        <f ca="1">IFERROR(__xludf.DUMMYFUNCTION("IMPORTXML(E2709,""/html/body/main/div[3]/div[3]/div[2]/ul/li[8]/span[2]/span"")"),"Loading...")</f>
        <v>Loading...</v>
      </c>
      <c r="T2709" s="4">
        <v>34.6</v>
      </c>
      <c r="U2709" s="4">
        <v>22.7</v>
      </c>
      <c r="V2709" s="4">
        <v>2.6</v>
      </c>
      <c r="W2709" s="4">
        <v>5.7</v>
      </c>
      <c r="X2709" s="4">
        <v>519.92999999999995</v>
      </c>
      <c r="Y2709" s="7" t="e">
        <f t="shared" ca="1" si="54"/>
        <v>#VALUE!</v>
      </c>
    </row>
    <row r="2710" spans="1:25" ht="15" x14ac:dyDescent="0.25">
      <c r="A2710" s="4">
        <v>2659</v>
      </c>
      <c r="C2710" s="41" t="s">
        <v>4994</v>
      </c>
      <c r="D2710" s="42"/>
      <c r="E2710" s="5" t="str">
        <f t="shared" si="50"/>
        <v>https://www.screener.in/company//consolidated/</v>
      </c>
      <c r="F2710" s="4">
        <v>443059</v>
      </c>
      <c r="G2710" s="4">
        <v>3832241897</v>
      </c>
      <c r="H2710" s="6" t="e">
        <f t="shared" ca="1" si="51"/>
        <v>#VALUE!</v>
      </c>
      <c r="I2710" s="7" t="str">
        <f ca="1">IFERROR(__xludf.DUMMYFUNCTION("IMPORTXML(E2710,""/html/body/main/div[3]/div[3]/div[2]/ul/li[5]/span[2]/span"")"),"Loading...")</f>
        <v>Loading...</v>
      </c>
      <c r="J2710" s="7" t="str">
        <f ca="1">IFERROR(__xludf.DUMMYFUNCTION("GOOGLEFINANCE(""NSE:""&amp;D2710,""marketcap"")"),"#N/A")</f>
        <v>#N/A</v>
      </c>
      <c r="K2710" s="7">
        <v>992.8</v>
      </c>
      <c r="L2710" s="8" t="str">
        <f ca="1">IFERROR(__xludf.DUMMYFUNCTION("GOOGLEFINANCE(""NSE:""&amp;D2710,""price"")"),"#N/A")</f>
        <v>#N/A</v>
      </c>
      <c r="M2710" s="9" t="e">
        <f t="shared" ca="1" si="52"/>
        <v>#VALUE!</v>
      </c>
      <c r="N2710" s="10" t="e">
        <f t="shared" ca="1" si="53"/>
        <v>#VALUE!</v>
      </c>
      <c r="O2710" s="7" t="str">
        <f ca="1">IFERROR(__xludf.DUMMYFUNCTION("GOOGLEFINANCE(""NSE:""&amp;D2710,""pe"")"),"#N/A")</f>
        <v>#N/A</v>
      </c>
      <c r="P2710" s="7" t="str">
        <f ca="1">IFERROR(__xludf.DUMMYFUNCTION("GOOGLEFINANCE(""NSE:""&amp;D2710,""EPS"")"),"#N/A")</f>
        <v>#N/A</v>
      </c>
      <c r="Q2710" s="7">
        <v>13.5</v>
      </c>
      <c r="R2710" s="7" t="str">
        <f ca="1">IFERROR(__xludf.DUMMYFUNCTION("IMPORTXML(E2710,""/html/body/main/div[3]/div[3]/div[2]/ul/li[7]/span[2]/span"")"),"Loading...")</f>
        <v>Loading...</v>
      </c>
      <c r="S2710" s="7" t="str">
        <f ca="1">IFERROR(__xludf.DUMMYFUNCTION("IMPORTXML(E2710,""/html/body/main/div[3]/div[3]/div[2]/ul/li[8]/span[2]/span"")"),"Loading...")</f>
        <v>Loading...</v>
      </c>
      <c r="T2710" s="4">
        <v>34.6</v>
      </c>
      <c r="U2710" s="4">
        <v>22.7</v>
      </c>
      <c r="V2710" s="4">
        <v>2.6</v>
      </c>
      <c r="W2710" s="4">
        <v>5.7</v>
      </c>
      <c r="X2710" s="4">
        <v>519.92999999999995</v>
      </c>
      <c r="Y2710" s="7" t="e">
        <f t="shared" ca="1" si="54"/>
        <v>#VALUE!</v>
      </c>
    </row>
    <row r="2711" spans="1:25" ht="15" x14ac:dyDescent="0.25">
      <c r="A2711" s="4">
        <v>2660</v>
      </c>
      <c r="C2711" s="41" t="s">
        <v>4995</v>
      </c>
      <c r="D2711" s="42"/>
      <c r="E2711" s="5" t="str">
        <f t="shared" si="50"/>
        <v>https://www.screener.in/company//consolidated/</v>
      </c>
      <c r="F2711" s="4">
        <v>443059</v>
      </c>
      <c r="G2711" s="4">
        <v>3832241897</v>
      </c>
      <c r="H2711" s="6" t="e">
        <f t="shared" ca="1" si="51"/>
        <v>#VALUE!</v>
      </c>
      <c r="I2711" s="7" t="str">
        <f ca="1">IFERROR(__xludf.DUMMYFUNCTION("IMPORTXML(E2711,""/html/body/main/div[3]/div[3]/div[2]/ul/li[5]/span[2]/span"")"),"Loading...")</f>
        <v>Loading...</v>
      </c>
      <c r="J2711" s="7" t="str">
        <f ca="1">IFERROR(__xludf.DUMMYFUNCTION("GOOGLEFINANCE(""NSE:""&amp;D2711,""marketcap"")"),"#N/A")</f>
        <v>#N/A</v>
      </c>
      <c r="K2711" s="7">
        <v>992.8</v>
      </c>
      <c r="L2711" s="8" t="str">
        <f ca="1">IFERROR(__xludf.DUMMYFUNCTION("GOOGLEFINANCE(""NSE:""&amp;D2711,""price"")"),"#N/A")</f>
        <v>#N/A</v>
      </c>
      <c r="M2711" s="9" t="e">
        <f t="shared" ca="1" si="52"/>
        <v>#VALUE!</v>
      </c>
      <c r="N2711" s="10" t="e">
        <f t="shared" ca="1" si="53"/>
        <v>#VALUE!</v>
      </c>
      <c r="O2711" s="7" t="str">
        <f ca="1">IFERROR(__xludf.DUMMYFUNCTION("GOOGLEFINANCE(""NSE:""&amp;D2711,""pe"")"),"#N/A")</f>
        <v>#N/A</v>
      </c>
      <c r="P2711" s="7" t="str">
        <f ca="1">IFERROR(__xludf.DUMMYFUNCTION("GOOGLEFINANCE(""NSE:""&amp;D2711,""EPS"")"),"#N/A")</f>
        <v>#N/A</v>
      </c>
      <c r="Q2711" s="7">
        <v>13.5</v>
      </c>
      <c r="R2711" s="7" t="str">
        <f ca="1">IFERROR(__xludf.DUMMYFUNCTION("IMPORTXML(E2711,""/html/body/main/div[3]/div[3]/div[2]/ul/li[7]/span[2]/span"")"),"Loading...")</f>
        <v>Loading...</v>
      </c>
      <c r="S2711" s="7" t="str">
        <f ca="1">IFERROR(__xludf.DUMMYFUNCTION("IMPORTXML(E2711,""/html/body/main/div[3]/div[3]/div[2]/ul/li[8]/span[2]/span"")"),"Loading...")</f>
        <v>Loading...</v>
      </c>
      <c r="T2711" s="4">
        <v>34.6</v>
      </c>
      <c r="U2711" s="4">
        <v>22.7</v>
      </c>
      <c r="V2711" s="4">
        <v>2.6</v>
      </c>
      <c r="W2711" s="4">
        <v>5.7</v>
      </c>
      <c r="X2711" s="4">
        <v>519.92999999999995</v>
      </c>
      <c r="Y2711" s="7" t="e">
        <f t="shared" ca="1" si="54"/>
        <v>#VALUE!</v>
      </c>
    </row>
    <row r="2712" spans="1:25" ht="15" x14ac:dyDescent="0.25">
      <c r="A2712" s="4">
        <v>2661</v>
      </c>
      <c r="C2712" s="41" t="s">
        <v>4996</v>
      </c>
      <c r="D2712" s="42"/>
      <c r="E2712" s="5" t="str">
        <f t="shared" si="50"/>
        <v>https://www.screener.in/company//consolidated/</v>
      </c>
      <c r="F2712" s="4">
        <v>443059</v>
      </c>
      <c r="G2712" s="4">
        <v>3832241897</v>
      </c>
      <c r="H2712" s="6" t="e">
        <f t="shared" ca="1" si="51"/>
        <v>#VALUE!</v>
      </c>
      <c r="I2712" s="7" t="str">
        <f ca="1">IFERROR(__xludf.DUMMYFUNCTION("IMPORTXML(E2712,""/html/body/main/div[3]/div[3]/div[2]/ul/li[5]/span[2]/span"")"),"Loading...")</f>
        <v>Loading...</v>
      </c>
      <c r="J2712" s="7" t="str">
        <f ca="1">IFERROR(__xludf.DUMMYFUNCTION("GOOGLEFINANCE(""NSE:""&amp;D2712,""marketcap"")"),"#N/A")</f>
        <v>#N/A</v>
      </c>
      <c r="K2712" s="7">
        <v>992.8</v>
      </c>
      <c r="L2712" s="8" t="str">
        <f ca="1">IFERROR(__xludf.DUMMYFUNCTION("GOOGLEFINANCE(""NSE:""&amp;D2712,""price"")"),"#N/A")</f>
        <v>#N/A</v>
      </c>
      <c r="M2712" s="9" t="e">
        <f t="shared" ca="1" si="52"/>
        <v>#VALUE!</v>
      </c>
      <c r="N2712" s="10" t="e">
        <f t="shared" ca="1" si="53"/>
        <v>#VALUE!</v>
      </c>
      <c r="O2712" s="7" t="str">
        <f ca="1">IFERROR(__xludf.DUMMYFUNCTION("GOOGLEFINANCE(""NSE:""&amp;D2712,""pe"")"),"#N/A")</f>
        <v>#N/A</v>
      </c>
      <c r="P2712" s="7" t="str">
        <f ca="1">IFERROR(__xludf.DUMMYFUNCTION("GOOGLEFINANCE(""NSE:""&amp;D2712,""EPS"")"),"#N/A")</f>
        <v>#N/A</v>
      </c>
      <c r="Q2712" s="7">
        <v>13.5</v>
      </c>
      <c r="R2712" s="7" t="str">
        <f ca="1">IFERROR(__xludf.DUMMYFUNCTION("IMPORTXML(E2712,""/html/body/main/div[3]/div[3]/div[2]/ul/li[7]/span[2]/span"")"),"Loading...")</f>
        <v>Loading...</v>
      </c>
      <c r="S2712" s="7" t="str">
        <f ca="1">IFERROR(__xludf.DUMMYFUNCTION("IMPORTXML(E2712,""/html/body/main/div[3]/div[3]/div[2]/ul/li[8]/span[2]/span"")"),"Loading...")</f>
        <v>Loading...</v>
      </c>
      <c r="T2712" s="4">
        <v>34.6</v>
      </c>
      <c r="U2712" s="4">
        <v>22.7</v>
      </c>
      <c r="V2712" s="4">
        <v>2.6</v>
      </c>
      <c r="W2712" s="4">
        <v>5.7</v>
      </c>
      <c r="X2712" s="4">
        <v>519.92999999999995</v>
      </c>
      <c r="Y2712" s="7" t="e">
        <f t="shared" ca="1" si="54"/>
        <v>#VALUE!</v>
      </c>
    </row>
    <row r="2713" spans="1:25" ht="15" x14ac:dyDescent="0.25">
      <c r="A2713" s="4">
        <v>2662</v>
      </c>
      <c r="C2713" s="41" t="s">
        <v>4997</v>
      </c>
      <c r="D2713" s="42"/>
      <c r="E2713" s="5" t="str">
        <f t="shared" ref="E2713:E2967" si="55">"https://www.screener.in/company/"&amp; D2713&amp;"/consolidated/"</f>
        <v>https://www.screener.in/company//consolidated/</v>
      </c>
      <c r="F2713" s="4">
        <v>443059</v>
      </c>
      <c r="G2713" s="4">
        <v>3832241897</v>
      </c>
      <c r="H2713" s="6" t="e">
        <f t="shared" ref="H2713:H2967" ca="1" si="56">(G2713*L2713)/10^7</f>
        <v>#VALUE!</v>
      </c>
      <c r="I2713" s="7" t="str">
        <f ca="1">IFERROR(__xludf.DUMMYFUNCTION("IMPORTXML(E2713,""/html/body/main/div[3]/div[3]/div[2]/ul/li[5]/span[2]/span"")"),"Loading...")</f>
        <v>Loading...</v>
      </c>
      <c r="J2713" s="7" t="str">
        <f ca="1">IFERROR(__xludf.DUMMYFUNCTION("GOOGLEFINANCE(""NSE:""&amp;D2713,""marketcap"")"),"#N/A")</f>
        <v>#N/A</v>
      </c>
      <c r="K2713" s="7">
        <v>992.8</v>
      </c>
      <c r="L2713" s="8" t="str">
        <f ca="1">IFERROR(__xludf.DUMMYFUNCTION("GOOGLEFINANCE(""NSE:""&amp;D2713,""price"")"),"#N/A")</f>
        <v>#N/A</v>
      </c>
      <c r="M2713" s="9" t="e">
        <f t="shared" ref="M2713:M2967" ca="1" si="57">L2713-K2713</f>
        <v>#VALUE!</v>
      </c>
      <c r="N2713" s="10" t="e">
        <f t="shared" ref="N2713:N2967" ca="1" si="58">(M2713/K2713)*100</f>
        <v>#VALUE!</v>
      </c>
      <c r="O2713" s="7" t="str">
        <f ca="1">IFERROR(__xludf.DUMMYFUNCTION("GOOGLEFINANCE(""NSE:""&amp;D2713,""pe"")"),"#N/A")</f>
        <v>#N/A</v>
      </c>
      <c r="P2713" s="7" t="str">
        <f ca="1">IFERROR(__xludf.DUMMYFUNCTION("GOOGLEFINANCE(""NSE:""&amp;D2713,""EPS"")"),"#N/A")</f>
        <v>#N/A</v>
      </c>
      <c r="Q2713" s="7">
        <v>13.5</v>
      </c>
      <c r="R2713" s="7" t="str">
        <f ca="1">IFERROR(__xludf.DUMMYFUNCTION("IMPORTXML(E2713,""/html/body/main/div[3]/div[3]/div[2]/ul/li[7]/span[2]/span"")"),"Loading...")</f>
        <v>Loading...</v>
      </c>
      <c r="S2713" s="7" t="str">
        <f ca="1">IFERROR(__xludf.DUMMYFUNCTION("IMPORTXML(E2713,""/html/body/main/div[3]/div[3]/div[2]/ul/li[8]/span[2]/span"")"),"Loading...")</f>
        <v>Loading...</v>
      </c>
      <c r="T2713" s="4">
        <v>34.6</v>
      </c>
      <c r="U2713" s="4">
        <v>22.7</v>
      </c>
      <c r="V2713" s="4">
        <v>2.6</v>
      </c>
      <c r="W2713" s="4">
        <v>5.7</v>
      </c>
      <c r="X2713" s="4">
        <v>519.92999999999995</v>
      </c>
      <c r="Y2713" s="7" t="e">
        <f t="shared" ref="Y2713:Y2967" ca="1" si="59">L2713-X2713</f>
        <v>#VALUE!</v>
      </c>
    </row>
    <row r="2714" spans="1:25" ht="15" x14ac:dyDescent="0.25">
      <c r="A2714" s="4">
        <v>2663</v>
      </c>
      <c r="C2714" s="12" t="s">
        <v>4998</v>
      </c>
      <c r="D2714" s="12" t="s">
        <v>4999</v>
      </c>
      <c r="E2714" s="5" t="str">
        <f t="shared" si="55"/>
        <v>https://www.screener.in/company/NIBL/consolidated/</v>
      </c>
      <c r="F2714" s="4">
        <v>443059</v>
      </c>
      <c r="G2714" s="4">
        <v>3832241897</v>
      </c>
      <c r="H2714" s="6">
        <f t="shared" ca="1" si="56"/>
        <v>10385.375540870002</v>
      </c>
      <c r="I2714" s="7" t="str">
        <f ca="1">IFERROR(__xludf.DUMMYFUNCTION("IMPORTXML(E2714,""/html/body/main/div[3]/div[3]/div[2]/ul/li[5]/span[2]/span"")"),"Loading...")</f>
        <v>Loading...</v>
      </c>
      <c r="J2714" s="7">
        <f ca="1">IFERROR(__xludf.DUMMYFUNCTION("GOOGLEFINANCE(""NSE:""&amp;D2714,""marketcap"")"),644293000)</f>
        <v>644293000</v>
      </c>
      <c r="K2714" s="7">
        <v>992.8</v>
      </c>
      <c r="L2714" s="8">
        <f ca="1">IFERROR(__xludf.DUMMYFUNCTION("GOOGLEFINANCE(""NSE:""&amp;D2714,""price"")"),27.1)</f>
        <v>27.1</v>
      </c>
      <c r="M2714" s="9">
        <f t="shared" ca="1" si="57"/>
        <v>-965.69999999999993</v>
      </c>
      <c r="N2714" s="10">
        <f t="shared" ca="1" si="58"/>
        <v>-97.270346494762279</v>
      </c>
      <c r="O2714" s="7">
        <f ca="1">IFERROR(__xludf.DUMMYFUNCTION("GOOGLEFINANCE(""NSE:""&amp;D2714,""pe"")"),3.04)</f>
        <v>3.04</v>
      </c>
      <c r="P2714" s="7">
        <f ca="1">IFERROR(__xludf.DUMMYFUNCTION("GOOGLEFINANCE(""NSE:""&amp;D2714,""EPS"")"),8.92)</f>
        <v>8.92</v>
      </c>
      <c r="Q2714" s="7">
        <v>13.5</v>
      </c>
      <c r="R2714" s="7" t="str">
        <f ca="1">IFERROR(__xludf.DUMMYFUNCTION("IMPORTXML(E2714,""/html/body/main/div[3]/div[3]/div[2]/ul/li[7]/span[2]/span"")"),"Loading...")</f>
        <v>Loading...</v>
      </c>
      <c r="S2714" s="7" t="str">
        <f ca="1">IFERROR(__xludf.DUMMYFUNCTION("IMPORTXML(E2714,""/html/body/main/div[3]/div[3]/div[2]/ul/li[8]/span[2]/span"")"),"Loading...")</f>
        <v>Loading...</v>
      </c>
      <c r="T2714" s="4">
        <v>34.6</v>
      </c>
      <c r="U2714" s="4">
        <v>22.7</v>
      </c>
      <c r="V2714" s="4">
        <v>2.6</v>
      </c>
      <c r="W2714" s="4">
        <v>5.7</v>
      </c>
      <c r="X2714" s="4">
        <v>519.92999999999995</v>
      </c>
      <c r="Y2714" s="7">
        <f t="shared" ca="1" si="59"/>
        <v>-492.82999999999993</v>
      </c>
    </row>
    <row r="2715" spans="1:25" ht="15" x14ac:dyDescent="0.25">
      <c r="A2715" s="4">
        <v>2664</v>
      </c>
      <c r="C2715" s="41" t="s">
        <v>5000</v>
      </c>
      <c r="D2715" s="42"/>
      <c r="E2715" s="5" t="str">
        <f t="shared" si="55"/>
        <v>https://www.screener.in/company//consolidated/</v>
      </c>
      <c r="F2715" s="4">
        <v>443059</v>
      </c>
      <c r="G2715" s="4">
        <v>3832241897</v>
      </c>
      <c r="H2715" s="6" t="e">
        <f t="shared" ca="1" si="56"/>
        <v>#VALUE!</v>
      </c>
      <c r="I2715" s="7" t="str">
        <f ca="1">IFERROR(__xludf.DUMMYFUNCTION("IMPORTXML(E2715,""/html/body/main/div[3]/div[3]/div[2]/ul/li[5]/span[2]/span"")"),"Loading...")</f>
        <v>Loading...</v>
      </c>
      <c r="J2715" s="7" t="str">
        <f ca="1">IFERROR(__xludf.DUMMYFUNCTION("GOOGLEFINANCE(""NSE:""&amp;D2715,""marketcap"")"),"#N/A")</f>
        <v>#N/A</v>
      </c>
      <c r="K2715" s="7">
        <v>992.8</v>
      </c>
      <c r="L2715" s="8" t="str">
        <f ca="1">IFERROR(__xludf.DUMMYFUNCTION("GOOGLEFINANCE(""NSE:""&amp;D2715,""price"")"),"#N/A")</f>
        <v>#N/A</v>
      </c>
      <c r="M2715" s="9" t="e">
        <f t="shared" ca="1" si="57"/>
        <v>#VALUE!</v>
      </c>
      <c r="N2715" s="10" t="e">
        <f t="shared" ca="1" si="58"/>
        <v>#VALUE!</v>
      </c>
      <c r="O2715" s="7" t="str">
        <f ca="1">IFERROR(__xludf.DUMMYFUNCTION("GOOGLEFINANCE(""NSE:""&amp;D2715,""pe"")"),"#N/A")</f>
        <v>#N/A</v>
      </c>
      <c r="P2715" s="7" t="str">
        <f ca="1">IFERROR(__xludf.DUMMYFUNCTION("GOOGLEFINANCE(""NSE:""&amp;D2715,""EPS"")"),"#N/A")</f>
        <v>#N/A</v>
      </c>
      <c r="Q2715" s="7">
        <v>13.5</v>
      </c>
      <c r="R2715" s="7" t="str">
        <f ca="1">IFERROR(__xludf.DUMMYFUNCTION("IMPORTXML(E2715,""/html/body/main/div[3]/div[3]/div[2]/ul/li[7]/span[2]/span"")"),"Loading...")</f>
        <v>Loading...</v>
      </c>
      <c r="S2715" s="7" t="str">
        <f ca="1">IFERROR(__xludf.DUMMYFUNCTION("IMPORTXML(E2715,""/html/body/main/div[3]/div[3]/div[2]/ul/li[8]/span[2]/span"")"),"Loading...")</f>
        <v>Loading...</v>
      </c>
      <c r="T2715" s="4">
        <v>34.6</v>
      </c>
      <c r="U2715" s="4">
        <v>22.7</v>
      </c>
      <c r="V2715" s="4">
        <v>2.6</v>
      </c>
      <c r="W2715" s="4">
        <v>5.7</v>
      </c>
      <c r="X2715" s="4">
        <v>519.92999999999995</v>
      </c>
      <c r="Y2715" s="7" t="e">
        <f t="shared" ca="1" si="59"/>
        <v>#VALUE!</v>
      </c>
    </row>
    <row r="2716" spans="1:25" ht="15" x14ac:dyDescent="0.25">
      <c r="A2716" s="4">
        <v>2665</v>
      </c>
      <c r="C2716" s="41" t="s">
        <v>5001</v>
      </c>
      <c r="D2716" s="42"/>
      <c r="E2716" s="5" t="str">
        <f t="shared" si="55"/>
        <v>https://www.screener.in/company//consolidated/</v>
      </c>
      <c r="F2716" s="4">
        <v>443059</v>
      </c>
      <c r="G2716" s="4">
        <v>3832241897</v>
      </c>
      <c r="H2716" s="6" t="e">
        <f t="shared" ca="1" si="56"/>
        <v>#VALUE!</v>
      </c>
      <c r="I2716" s="7" t="str">
        <f ca="1">IFERROR(__xludf.DUMMYFUNCTION("IMPORTXML(E2716,""/html/body/main/div[3]/div[3]/div[2]/ul/li[5]/span[2]/span"")"),"Loading...")</f>
        <v>Loading...</v>
      </c>
      <c r="J2716" s="7" t="str">
        <f ca="1">IFERROR(__xludf.DUMMYFUNCTION("GOOGLEFINANCE(""NSE:""&amp;D2716,""marketcap"")"),"#N/A")</f>
        <v>#N/A</v>
      </c>
      <c r="K2716" s="7">
        <v>992.8</v>
      </c>
      <c r="L2716" s="8" t="str">
        <f ca="1">IFERROR(__xludf.DUMMYFUNCTION("GOOGLEFINANCE(""NSE:""&amp;D2716,""price"")"),"#N/A")</f>
        <v>#N/A</v>
      </c>
      <c r="M2716" s="9" t="e">
        <f t="shared" ca="1" si="57"/>
        <v>#VALUE!</v>
      </c>
      <c r="N2716" s="10" t="e">
        <f t="shared" ca="1" si="58"/>
        <v>#VALUE!</v>
      </c>
      <c r="O2716" s="7" t="str">
        <f ca="1">IFERROR(__xludf.DUMMYFUNCTION("GOOGLEFINANCE(""NSE:""&amp;D2716,""pe"")"),"#N/A")</f>
        <v>#N/A</v>
      </c>
      <c r="P2716" s="7" t="str">
        <f ca="1">IFERROR(__xludf.DUMMYFUNCTION("GOOGLEFINANCE(""NSE:""&amp;D2716,""EPS"")"),"#N/A")</f>
        <v>#N/A</v>
      </c>
      <c r="Q2716" s="7">
        <v>13.5</v>
      </c>
      <c r="R2716" s="7" t="str">
        <f ca="1">IFERROR(__xludf.DUMMYFUNCTION("IMPORTXML(E2716,""/html/body/main/div[3]/div[3]/div[2]/ul/li[7]/span[2]/span"")"),"Loading...")</f>
        <v>Loading...</v>
      </c>
      <c r="S2716" s="7" t="str">
        <f ca="1">IFERROR(__xludf.DUMMYFUNCTION("IMPORTXML(E2716,""/html/body/main/div[3]/div[3]/div[2]/ul/li[8]/span[2]/span"")"),"Loading...")</f>
        <v>Loading...</v>
      </c>
      <c r="T2716" s="4">
        <v>34.6</v>
      </c>
      <c r="U2716" s="4">
        <v>22.7</v>
      </c>
      <c r="V2716" s="4">
        <v>2.6</v>
      </c>
      <c r="W2716" s="4">
        <v>5.7</v>
      </c>
      <c r="X2716" s="4">
        <v>519.92999999999995</v>
      </c>
      <c r="Y2716" s="7" t="e">
        <f t="shared" ca="1" si="59"/>
        <v>#VALUE!</v>
      </c>
    </row>
    <row r="2717" spans="1:25" ht="15" x14ac:dyDescent="0.25">
      <c r="A2717" s="4">
        <v>2667</v>
      </c>
      <c r="C2717" s="41" t="s">
        <v>5002</v>
      </c>
      <c r="D2717" s="42"/>
      <c r="E2717" s="5" t="str">
        <f t="shared" si="55"/>
        <v>https://www.screener.in/company//consolidated/</v>
      </c>
      <c r="F2717" s="4">
        <v>443059</v>
      </c>
      <c r="G2717" s="4">
        <v>3832241897</v>
      </c>
      <c r="H2717" s="6" t="e">
        <f t="shared" ca="1" si="56"/>
        <v>#VALUE!</v>
      </c>
      <c r="I2717" s="7" t="str">
        <f ca="1">IFERROR(__xludf.DUMMYFUNCTION("IMPORTXML(E2717,""/html/body/main/div[3]/div[3]/div[2]/ul/li[5]/span[2]/span"")"),"Loading...")</f>
        <v>Loading...</v>
      </c>
      <c r="J2717" s="7" t="str">
        <f ca="1">IFERROR(__xludf.DUMMYFUNCTION("GOOGLEFINANCE(""NSE:""&amp;D2717,""marketcap"")"),"#N/A")</f>
        <v>#N/A</v>
      </c>
      <c r="K2717" s="7">
        <v>992.8</v>
      </c>
      <c r="L2717" s="8" t="str">
        <f ca="1">IFERROR(__xludf.DUMMYFUNCTION("GOOGLEFINANCE(""NSE:""&amp;D2717,""price"")"),"#N/A")</f>
        <v>#N/A</v>
      </c>
      <c r="M2717" s="9" t="e">
        <f t="shared" ca="1" si="57"/>
        <v>#VALUE!</v>
      </c>
      <c r="N2717" s="10" t="e">
        <f t="shared" ca="1" si="58"/>
        <v>#VALUE!</v>
      </c>
      <c r="O2717" s="7" t="str">
        <f ca="1">IFERROR(__xludf.DUMMYFUNCTION("GOOGLEFINANCE(""NSE:""&amp;D2717,""pe"")"),"#N/A")</f>
        <v>#N/A</v>
      </c>
      <c r="P2717" s="7" t="str">
        <f ca="1">IFERROR(__xludf.DUMMYFUNCTION("GOOGLEFINANCE(""NSE:""&amp;D2717,""EPS"")"),"#N/A")</f>
        <v>#N/A</v>
      </c>
      <c r="Q2717" s="7">
        <v>13.5</v>
      </c>
      <c r="R2717" s="7" t="str">
        <f ca="1">IFERROR(__xludf.DUMMYFUNCTION("IMPORTXML(E2717,""/html/body/main/div[3]/div[3]/div[2]/ul/li[7]/span[2]/span"")"),"Loading...")</f>
        <v>Loading...</v>
      </c>
      <c r="S2717" s="7" t="str">
        <f ca="1">IFERROR(__xludf.DUMMYFUNCTION("IMPORTXML(E2717,""/html/body/main/div[3]/div[3]/div[2]/ul/li[8]/span[2]/span"")"),"Loading...")</f>
        <v>Loading...</v>
      </c>
      <c r="T2717" s="4">
        <v>34.6</v>
      </c>
      <c r="U2717" s="4">
        <v>22.7</v>
      </c>
      <c r="V2717" s="4">
        <v>2.6</v>
      </c>
      <c r="W2717" s="4">
        <v>5.7</v>
      </c>
      <c r="X2717" s="4">
        <v>519.92999999999995</v>
      </c>
      <c r="Y2717" s="7" t="e">
        <f t="shared" ca="1" si="59"/>
        <v>#VALUE!</v>
      </c>
    </row>
    <row r="2718" spans="1:25" ht="15" x14ac:dyDescent="0.25">
      <c r="A2718" s="4">
        <v>2668</v>
      </c>
      <c r="C2718" s="41" t="s">
        <v>5003</v>
      </c>
      <c r="D2718" s="42"/>
      <c r="E2718" s="5" t="str">
        <f t="shared" si="55"/>
        <v>https://www.screener.in/company//consolidated/</v>
      </c>
      <c r="F2718" s="4">
        <v>443059</v>
      </c>
      <c r="G2718" s="4">
        <v>3832241897</v>
      </c>
      <c r="H2718" s="6" t="e">
        <f t="shared" ca="1" si="56"/>
        <v>#VALUE!</v>
      </c>
      <c r="I2718" s="7" t="str">
        <f ca="1">IFERROR(__xludf.DUMMYFUNCTION("IMPORTXML(E2718,""/html/body/main/div[3]/div[3]/div[2]/ul/li[5]/span[2]/span"")"),"Loading...")</f>
        <v>Loading...</v>
      </c>
      <c r="J2718" s="7" t="str">
        <f ca="1">IFERROR(__xludf.DUMMYFUNCTION("GOOGLEFINANCE(""NSE:""&amp;D2718,""marketcap"")"),"#N/A")</f>
        <v>#N/A</v>
      </c>
      <c r="K2718" s="7">
        <v>992.8</v>
      </c>
      <c r="L2718" s="8" t="str">
        <f ca="1">IFERROR(__xludf.DUMMYFUNCTION("GOOGLEFINANCE(""NSE:""&amp;D2718,""price"")"),"#N/A")</f>
        <v>#N/A</v>
      </c>
      <c r="M2718" s="9" t="e">
        <f t="shared" ca="1" si="57"/>
        <v>#VALUE!</v>
      </c>
      <c r="N2718" s="10" t="e">
        <f t="shared" ca="1" si="58"/>
        <v>#VALUE!</v>
      </c>
      <c r="O2718" s="7" t="str">
        <f ca="1">IFERROR(__xludf.DUMMYFUNCTION("GOOGLEFINANCE(""NSE:""&amp;D2718,""pe"")"),"#N/A")</f>
        <v>#N/A</v>
      </c>
      <c r="P2718" s="7" t="str">
        <f ca="1">IFERROR(__xludf.DUMMYFUNCTION("GOOGLEFINANCE(""NSE:""&amp;D2718,""EPS"")"),"#N/A")</f>
        <v>#N/A</v>
      </c>
      <c r="Q2718" s="7">
        <v>13.5</v>
      </c>
      <c r="R2718" s="7" t="str">
        <f ca="1">IFERROR(__xludf.DUMMYFUNCTION("IMPORTXML(E2718,""/html/body/main/div[3]/div[3]/div[2]/ul/li[7]/span[2]/span"")"),"Loading...")</f>
        <v>Loading...</v>
      </c>
      <c r="S2718" s="7" t="str">
        <f ca="1">IFERROR(__xludf.DUMMYFUNCTION("IMPORTXML(E2718,""/html/body/main/div[3]/div[3]/div[2]/ul/li[8]/span[2]/span"")"),"Loading...")</f>
        <v>Loading...</v>
      </c>
      <c r="T2718" s="4">
        <v>34.6</v>
      </c>
      <c r="U2718" s="4">
        <v>22.7</v>
      </c>
      <c r="V2718" s="4">
        <v>2.6</v>
      </c>
      <c r="W2718" s="4">
        <v>5.7</v>
      </c>
      <c r="X2718" s="4">
        <v>519.92999999999995</v>
      </c>
      <c r="Y2718" s="7" t="e">
        <f t="shared" ca="1" si="59"/>
        <v>#VALUE!</v>
      </c>
    </row>
    <row r="2719" spans="1:25" ht="15" x14ac:dyDescent="0.25">
      <c r="A2719" s="4">
        <v>2669</v>
      </c>
      <c r="C2719" s="41" t="s">
        <v>5004</v>
      </c>
      <c r="D2719" s="42"/>
      <c r="E2719" s="5" t="str">
        <f t="shared" si="55"/>
        <v>https://www.screener.in/company//consolidated/</v>
      </c>
      <c r="F2719" s="4">
        <v>443059</v>
      </c>
      <c r="G2719" s="4">
        <v>3832241897</v>
      </c>
      <c r="H2719" s="6" t="e">
        <f t="shared" ca="1" si="56"/>
        <v>#VALUE!</v>
      </c>
      <c r="I2719" s="7" t="str">
        <f ca="1">IFERROR(__xludf.DUMMYFUNCTION("IMPORTXML(E2719,""/html/body/main/div[3]/div[3]/div[2]/ul/li[5]/span[2]/span"")"),"Loading...")</f>
        <v>Loading...</v>
      </c>
      <c r="J2719" s="7" t="str">
        <f ca="1">IFERROR(__xludf.DUMMYFUNCTION("GOOGLEFINANCE(""NSE:""&amp;D2719,""marketcap"")"),"#N/A")</f>
        <v>#N/A</v>
      </c>
      <c r="K2719" s="7">
        <v>992.8</v>
      </c>
      <c r="L2719" s="8" t="str">
        <f ca="1">IFERROR(__xludf.DUMMYFUNCTION("GOOGLEFINANCE(""NSE:""&amp;D2719,""price"")"),"#N/A")</f>
        <v>#N/A</v>
      </c>
      <c r="M2719" s="9" t="e">
        <f t="shared" ca="1" si="57"/>
        <v>#VALUE!</v>
      </c>
      <c r="N2719" s="10" t="e">
        <f t="shared" ca="1" si="58"/>
        <v>#VALUE!</v>
      </c>
      <c r="O2719" s="7" t="str">
        <f ca="1">IFERROR(__xludf.DUMMYFUNCTION("GOOGLEFINANCE(""NSE:""&amp;D2719,""pe"")"),"#N/A")</f>
        <v>#N/A</v>
      </c>
      <c r="P2719" s="7" t="str">
        <f ca="1">IFERROR(__xludf.DUMMYFUNCTION("GOOGLEFINANCE(""NSE:""&amp;D2719,""EPS"")"),"#N/A")</f>
        <v>#N/A</v>
      </c>
      <c r="Q2719" s="7">
        <v>13.5</v>
      </c>
      <c r="R2719" s="7" t="str">
        <f ca="1">IFERROR(__xludf.DUMMYFUNCTION("IMPORTXML(E2719,""/html/body/main/div[3]/div[3]/div[2]/ul/li[7]/span[2]/span"")"),"Loading...")</f>
        <v>Loading...</v>
      </c>
      <c r="S2719" s="7" t="str">
        <f ca="1">IFERROR(__xludf.DUMMYFUNCTION("IMPORTXML(E2719,""/html/body/main/div[3]/div[3]/div[2]/ul/li[8]/span[2]/span"")"),"Loading...")</f>
        <v>Loading...</v>
      </c>
      <c r="T2719" s="4">
        <v>34.6</v>
      </c>
      <c r="U2719" s="4">
        <v>22.7</v>
      </c>
      <c r="V2719" s="4">
        <v>2.6</v>
      </c>
      <c r="W2719" s="4">
        <v>5.7</v>
      </c>
      <c r="X2719" s="4">
        <v>519.92999999999995</v>
      </c>
      <c r="Y2719" s="7" t="e">
        <f t="shared" ca="1" si="59"/>
        <v>#VALUE!</v>
      </c>
    </row>
    <row r="2720" spans="1:25" ht="15" x14ac:dyDescent="0.25">
      <c r="A2720" s="4">
        <v>2670</v>
      </c>
      <c r="C2720" s="12" t="s">
        <v>5005</v>
      </c>
      <c r="D2720" s="12" t="s">
        <v>5006</v>
      </c>
      <c r="E2720" s="5" t="str">
        <f t="shared" si="55"/>
        <v>https://www.screener.in/company/SHIVAMILLS/consolidated/</v>
      </c>
      <c r="F2720" s="4">
        <v>443059</v>
      </c>
      <c r="G2720" s="4">
        <v>3832241897</v>
      </c>
      <c r="H2720" s="6">
        <f t="shared" ca="1" si="56"/>
        <v>26925.331568322003</v>
      </c>
      <c r="I2720" s="7" t="str">
        <f ca="1">IFERROR(__xludf.DUMMYFUNCTION("IMPORTXML(E2720,""/html/body/main/div[3]/div[3]/div[2]/ul/li[5]/span[2]/span"")"),"Loading...")</f>
        <v>Loading...</v>
      </c>
      <c r="J2720" s="7">
        <f ca="1">IFERROR(__xludf.DUMMYFUNCTION("GOOGLEFINANCE(""NSE:""&amp;D2720,""marketcap"")"),607173448)</f>
        <v>607173448</v>
      </c>
      <c r="K2720" s="7">
        <v>992.8</v>
      </c>
      <c r="L2720" s="8">
        <f ca="1">IFERROR(__xludf.DUMMYFUNCTION("GOOGLEFINANCE(""NSE:""&amp;D2720,""price"")"),70.26)</f>
        <v>70.260000000000005</v>
      </c>
      <c r="M2720" s="9">
        <f t="shared" ca="1" si="57"/>
        <v>-922.54</v>
      </c>
      <c r="N2720" s="10">
        <f t="shared" ca="1" si="58"/>
        <v>-92.923045930701051</v>
      </c>
      <c r="O2720" s="7" t="str">
        <f ca="1">IFERROR(__xludf.DUMMYFUNCTION("GOOGLEFINANCE(""NSE:""&amp;D2720,""pe"")"),"#N/A")</f>
        <v>#N/A</v>
      </c>
      <c r="P2720" s="7">
        <f ca="1">IFERROR(__xludf.DUMMYFUNCTION("GOOGLEFINANCE(""NSE:""&amp;D2720,""EPS"")"),-4.14)</f>
        <v>-4.1399999999999997</v>
      </c>
      <c r="Q2720" s="7">
        <v>13.5</v>
      </c>
      <c r="R2720" s="7" t="str">
        <f ca="1">IFERROR(__xludf.DUMMYFUNCTION("IMPORTXML(E2720,""/html/body/main/div[3]/div[3]/div[2]/ul/li[7]/span[2]/span"")"),"Loading...")</f>
        <v>Loading...</v>
      </c>
      <c r="S2720" s="7" t="str">
        <f ca="1">IFERROR(__xludf.DUMMYFUNCTION("IMPORTXML(E2720,""/html/body/main/div[3]/div[3]/div[2]/ul/li[8]/span[2]/span"")"),"Loading...")</f>
        <v>Loading...</v>
      </c>
      <c r="T2720" s="4">
        <v>34.6</v>
      </c>
      <c r="U2720" s="4">
        <v>22.7</v>
      </c>
      <c r="V2720" s="4">
        <v>2.6</v>
      </c>
      <c r="W2720" s="4">
        <v>5.7</v>
      </c>
      <c r="X2720" s="4">
        <v>519.92999999999995</v>
      </c>
      <c r="Y2720" s="7">
        <f t="shared" ca="1" si="59"/>
        <v>-449.66999999999996</v>
      </c>
    </row>
    <row r="2721" spans="1:25" ht="15" x14ac:dyDescent="0.25">
      <c r="A2721" s="4">
        <v>2671</v>
      </c>
      <c r="C2721" s="41" t="s">
        <v>5007</v>
      </c>
      <c r="D2721" s="42"/>
      <c r="E2721" s="5" t="str">
        <f t="shared" si="55"/>
        <v>https://www.screener.in/company//consolidated/</v>
      </c>
      <c r="F2721" s="4">
        <v>443059</v>
      </c>
      <c r="G2721" s="4">
        <v>3832241897</v>
      </c>
      <c r="H2721" s="6" t="e">
        <f t="shared" ca="1" si="56"/>
        <v>#VALUE!</v>
      </c>
      <c r="I2721" s="7" t="str">
        <f ca="1">IFERROR(__xludf.DUMMYFUNCTION("IMPORTXML(E2721,""/html/body/main/div[3]/div[3]/div[2]/ul/li[5]/span[2]/span"")"),"Loading...")</f>
        <v>Loading...</v>
      </c>
      <c r="J2721" s="7" t="str">
        <f ca="1">IFERROR(__xludf.DUMMYFUNCTION("GOOGLEFINANCE(""NSE:""&amp;D2721,""marketcap"")"),"#N/A")</f>
        <v>#N/A</v>
      </c>
      <c r="K2721" s="7">
        <v>992.8</v>
      </c>
      <c r="L2721" s="8" t="str">
        <f ca="1">IFERROR(__xludf.DUMMYFUNCTION("GOOGLEFINANCE(""NSE:""&amp;D2721,""price"")"),"#N/A")</f>
        <v>#N/A</v>
      </c>
      <c r="M2721" s="9" t="e">
        <f t="shared" ca="1" si="57"/>
        <v>#VALUE!</v>
      </c>
      <c r="N2721" s="10" t="e">
        <f t="shared" ca="1" si="58"/>
        <v>#VALUE!</v>
      </c>
      <c r="O2721" s="7" t="str">
        <f ca="1">IFERROR(__xludf.DUMMYFUNCTION("GOOGLEFINANCE(""NSE:""&amp;D2721,""pe"")"),"#N/A")</f>
        <v>#N/A</v>
      </c>
      <c r="P2721" s="7" t="str">
        <f ca="1">IFERROR(__xludf.DUMMYFUNCTION("GOOGLEFINANCE(""NSE:""&amp;D2721,""EPS"")"),"#N/A")</f>
        <v>#N/A</v>
      </c>
      <c r="Q2721" s="7">
        <v>13.5</v>
      </c>
      <c r="R2721" s="7" t="str">
        <f ca="1">IFERROR(__xludf.DUMMYFUNCTION("IMPORTXML(E2721,""/html/body/main/div[3]/div[3]/div[2]/ul/li[7]/span[2]/span"")"),"Loading...")</f>
        <v>Loading...</v>
      </c>
      <c r="S2721" s="7" t="str">
        <f ca="1">IFERROR(__xludf.DUMMYFUNCTION("IMPORTXML(E2721,""/html/body/main/div[3]/div[3]/div[2]/ul/li[8]/span[2]/span"")"),"Loading...")</f>
        <v>Loading...</v>
      </c>
      <c r="T2721" s="4">
        <v>34.6</v>
      </c>
      <c r="U2721" s="4">
        <v>22.7</v>
      </c>
      <c r="V2721" s="4">
        <v>2.6</v>
      </c>
      <c r="W2721" s="4">
        <v>5.7</v>
      </c>
      <c r="X2721" s="4">
        <v>519.92999999999995</v>
      </c>
      <c r="Y2721" s="7" t="e">
        <f t="shared" ca="1" si="59"/>
        <v>#VALUE!</v>
      </c>
    </row>
    <row r="2722" spans="1:25" ht="15" x14ac:dyDescent="0.25">
      <c r="A2722" s="4">
        <v>2672</v>
      </c>
      <c r="C2722" s="12" t="s">
        <v>5008</v>
      </c>
      <c r="D2722" s="12" t="s">
        <v>5009</v>
      </c>
      <c r="E2722" s="5" t="str">
        <f t="shared" si="55"/>
        <v>https://www.screener.in/company/BALKRISHNA/consolidated/</v>
      </c>
      <c r="F2722" s="4">
        <v>443059</v>
      </c>
      <c r="G2722" s="4">
        <v>3832241897</v>
      </c>
      <c r="H2722" s="6">
        <f t="shared" ca="1" si="56"/>
        <v>8358.1195773569998</v>
      </c>
      <c r="I2722" s="7" t="str">
        <f ca="1">IFERROR(__xludf.DUMMYFUNCTION("IMPORTXML(E2722,""/html/body/main/div[3]/div[3]/div[2]/ul/li[5]/span[2]/span"")"),"Loading...")</f>
        <v>Loading...</v>
      </c>
      <c r="J2722" s="7">
        <f ca="1">IFERROR(__xludf.DUMMYFUNCTION("GOOGLEFINANCE(""NSE:""&amp;D2722,""marketcap"")"),697875048)</f>
        <v>697875048</v>
      </c>
      <c r="K2722" s="7">
        <v>992.8</v>
      </c>
      <c r="L2722" s="8">
        <f ca="1">IFERROR(__xludf.DUMMYFUNCTION("GOOGLEFINANCE(""NSE:""&amp;D2722,""price"")"),21.81)</f>
        <v>21.81</v>
      </c>
      <c r="M2722" s="9">
        <f t="shared" ca="1" si="57"/>
        <v>-970.99</v>
      </c>
      <c r="N2722" s="10">
        <f t="shared" ca="1" si="58"/>
        <v>-97.803182917002417</v>
      </c>
      <c r="O2722" s="7">
        <f ca="1">IFERROR(__xludf.DUMMYFUNCTION("GOOGLEFINANCE(""NSE:""&amp;D2722,""pe"")"),218.1)</f>
        <v>218.1</v>
      </c>
      <c r="P2722" s="7">
        <f ca="1">IFERROR(__xludf.DUMMYFUNCTION("GOOGLEFINANCE(""NSE:""&amp;D2722,""EPS"")"),0.1)</f>
        <v>0.1</v>
      </c>
      <c r="Q2722" s="7">
        <v>13.5</v>
      </c>
      <c r="R2722" s="7" t="str">
        <f ca="1">IFERROR(__xludf.DUMMYFUNCTION("IMPORTXML(E2722,""/html/body/main/div[3]/div[3]/div[2]/ul/li[7]/span[2]/span"")"),"Loading...")</f>
        <v>Loading...</v>
      </c>
      <c r="S2722" s="7" t="str">
        <f ca="1">IFERROR(__xludf.DUMMYFUNCTION("IMPORTXML(E2722,""/html/body/main/div[3]/div[3]/div[2]/ul/li[8]/span[2]/span"")"),"Loading...")</f>
        <v>Loading...</v>
      </c>
      <c r="T2722" s="4">
        <v>34.6</v>
      </c>
      <c r="U2722" s="4">
        <v>22.7</v>
      </c>
      <c r="V2722" s="4">
        <v>2.6</v>
      </c>
      <c r="W2722" s="4">
        <v>5.7</v>
      </c>
      <c r="X2722" s="4">
        <v>519.92999999999995</v>
      </c>
      <c r="Y2722" s="7">
        <f t="shared" ca="1" si="59"/>
        <v>-498.11999999999995</v>
      </c>
    </row>
    <row r="2723" spans="1:25" ht="15" x14ac:dyDescent="0.25">
      <c r="A2723" s="4">
        <v>2673</v>
      </c>
      <c r="C2723" s="41" t="s">
        <v>5010</v>
      </c>
      <c r="D2723" s="42"/>
      <c r="E2723" s="5" t="str">
        <f t="shared" si="55"/>
        <v>https://www.screener.in/company//consolidated/</v>
      </c>
      <c r="F2723" s="4">
        <v>443059</v>
      </c>
      <c r="G2723" s="4">
        <v>3832241897</v>
      </c>
      <c r="H2723" s="6" t="e">
        <f t="shared" ca="1" si="56"/>
        <v>#VALUE!</v>
      </c>
      <c r="I2723" s="7" t="str">
        <f ca="1">IFERROR(__xludf.DUMMYFUNCTION("IMPORTXML(E2723,""/html/body/main/div[3]/div[3]/div[2]/ul/li[5]/span[2]/span"")"),"Loading...")</f>
        <v>Loading...</v>
      </c>
      <c r="J2723" s="7" t="str">
        <f ca="1">IFERROR(__xludf.DUMMYFUNCTION("GOOGLEFINANCE(""NSE:""&amp;D2723,""marketcap"")"),"#N/A")</f>
        <v>#N/A</v>
      </c>
      <c r="K2723" s="7">
        <v>992.8</v>
      </c>
      <c r="L2723" s="8" t="str">
        <f ca="1">IFERROR(__xludf.DUMMYFUNCTION("GOOGLEFINANCE(""NSE:""&amp;D2723,""price"")"),"#N/A")</f>
        <v>#N/A</v>
      </c>
      <c r="M2723" s="9" t="e">
        <f t="shared" ca="1" si="57"/>
        <v>#VALUE!</v>
      </c>
      <c r="N2723" s="10" t="e">
        <f t="shared" ca="1" si="58"/>
        <v>#VALUE!</v>
      </c>
      <c r="O2723" s="7" t="str">
        <f ca="1">IFERROR(__xludf.DUMMYFUNCTION("GOOGLEFINANCE(""NSE:""&amp;D2723,""pe"")"),"#N/A")</f>
        <v>#N/A</v>
      </c>
      <c r="P2723" s="7" t="str">
        <f ca="1">IFERROR(__xludf.DUMMYFUNCTION("GOOGLEFINANCE(""NSE:""&amp;D2723,""EPS"")"),"#N/A")</f>
        <v>#N/A</v>
      </c>
      <c r="Q2723" s="7">
        <v>13.5</v>
      </c>
      <c r="R2723" s="7" t="str">
        <f ca="1">IFERROR(__xludf.DUMMYFUNCTION("IMPORTXML(E2723,""/html/body/main/div[3]/div[3]/div[2]/ul/li[7]/span[2]/span"")"),"Loading...")</f>
        <v>Loading...</v>
      </c>
      <c r="S2723" s="7" t="str">
        <f ca="1">IFERROR(__xludf.DUMMYFUNCTION("IMPORTXML(E2723,""/html/body/main/div[3]/div[3]/div[2]/ul/li[8]/span[2]/span"")"),"Loading...")</f>
        <v>Loading...</v>
      </c>
      <c r="T2723" s="4">
        <v>34.6</v>
      </c>
      <c r="U2723" s="4">
        <v>22.7</v>
      </c>
      <c r="V2723" s="4">
        <v>2.6</v>
      </c>
      <c r="W2723" s="4">
        <v>5.7</v>
      </c>
      <c r="X2723" s="4">
        <v>519.92999999999995</v>
      </c>
      <c r="Y2723" s="7" t="e">
        <f t="shared" ca="1" si="59"/>
        <v>#VALUE!</v>
      </c>
    </row>
    <row r="2724" spans="1:25" ht="15" x14ac:dyDescent="0.25">
      <c r="A2724" s="4">
        <v>2674</v>
      </c>
      <c r="C2724" s="41" t="s">
        <v>5011</v>
      </c>
      <c r="D2724" s="42"/>
      <c r="E2724" s="5" t="str">
        <f t="shared" si="55"/>
        <v>https://www.screener.in/company//consolidated/</v>
      </c>
      <c r="F2724" s="4">
        <v>443059</v>
      </c>
      <c r="G2724" s="4">
        <v>3832241897</v>
      </c>
      <c r="H2724" s="6" t="e">
        <f t="shared" ca="1" si="56"/>
        <v>#VALUE!</v>
      </c>
      <c r="I2724" s="7" t="str">
        <f ca="1">IFERROR(__xludf.DUMMYFUNCTION("IMPORTXML(E2724,""/html/body/main/div[3]/div[3]/div[2]/ul/li[5]/span[2]/span"")"),"Loading...")</f>
        <v>Loading...</v>
      </c>
      <c r="J2724" s="7" t="str">
        <f ca="1">IFERROR(__xludf.DUMMYFUNCTION("GOOGLEFINANCE(""NSE:""&amp;D2724,""marketcap"")"),"#N/A")</f>
        <v>#N/A</v>
      </c>
      <c r="K2724" s="7">
        <v>992.8</v>
      </c>
      <c r="L2724" s="8" t="str">
        <f ca="1">IFERROR(__xludf.DUMMYFUNCTION("GOOGLEFINANCE(""NSE:""&amp;D2724,""price"")"),"#N/A")</f>
        <v>#N/A</v>
      </c>
      <c r="M2724" s="9" t="e">
        <f t="shared" ca="1" si="57"/>
        <v>#VALUE!</v>
      </c>
      <c r="N2724" s="10" t="e">
        <f t="shared" ca="1" si="58"/>
        <v>#VALUE!</v>
      </c>
      <c r="O2724" s="7" t="str">
        <f ca="1">IFERROR(__xludf.DUMMYFUNCTION("GOOGLEFINANCE(""NSE:""&amp;D2724,""pe"")"),"#N/A")</f>
        <v>#N/A</v>
      </c>
      <c r="P2724" s="7" t="str">
        <f ca="1">IFERROR(__xludf.DUMMYFUNCTION("GOOGLEFINANCE(""NSE:""&amp;D2724,""EPS"")"),"#N/A")</f>
        <v>#N/A</v>
      </c>
      <c r="Q2724" s="7">
        <v>13.5</v>
      </c>
      <c r="R2724" s="7" t="str">
        <f ca="1">IFERROR(__xludf.DUMMYFUNCTION("IMPORTXML(E2724,""/html/body/main/div[3]/div[3]/div[2]/ul/li[7]/span[2]/span"")"),"Loading...")</f>
        <v>Loading...</v>
      </c>
      <c r="S2724" s="7" t="str">
        <f ca="1">IFERROR(__xludf.DUMMYFUNCTION("IMPORTXML(E2724,""/html/body/main/div[3]/div[3]/div[2]/ul/li[8]/span[2]/span"")"),"Loading...")</f>
        <v>Loading...</v>
      </c>
      <c r="T2724" s="4">
        <v>34.6</v>
      </c>
      <c r="U2724" s="4">
        <v>22.7</v>
      </c>
      <c r="V2724" s="4">
        <v>2.6</v>
      </c>
      <c r="W2724" s="4">
        <v>5.7</v>
      </c>
      <c r="X2724" s="4">
        <v>519.92999999999995</v>
      </c>
      <c r="Y2724" s="7" t="e">
        <f t="shared" ca="1" si="59"/>
        <v>#VALUE!</v>
      </c>
    </row>
    <row r="2725" spans="1:25" ht="15" x14ac:dyDescent="0.25">
      <c r="A2725" s="4">
        <v>2675</v>
      </c>
      <c r="C2725" s="41" t="s">
        <v>5012</v>
      </c>
      <c r="D2725" s="42"/>
      <c r="E2725" s="5" t="str">
        <f t="shared" si="55"/>
        <v>https://www.screener.in/company//consolidated/</v>
      </c>
      <c r="F2725" s="4">
        <v>443059</v>
      </c>
      <c r="G2725" s="4">
        <v>3832241897</v>
      </c>
      <c r="H2725" s="6" t="e">
        <f t="shared" ca="1" si="56"/>
        <v>#VALUE!</v>
      </c>
      <c r="I2725" s="7" t="str">
        <f ca="1">IFERROR(__xludf.DUMMYFUNCTION("IMPORTXML(E2725,""/html/body/main/div[3]/div[3]/div[2]/ul/li[5]/span[2]/span"")"),"Loading...")</f>
        <v>Loading...</v>
      </c>
      <c r="J2725" s="7" t="str">
        <f ca="1">IFERROR(__xludf.DUMMYFUNCTION("GOOGLEFINANCE(""NSE:""&amp;D2725,""marketcap"")"),"#N/A")</f>
        <v>#N/A</v>
      </c>
      <c r="K2725" s="7">
        <v>992.8</v>
      </c>
      <c r="L2725" s="8" t="str">
        <f ca="1">IFERROR(__xludf.DUMMYFUNCTION("GOOGLEFINANCE(""NSE:""&amp;D2725,""price"")"),"#N/A")</f>
        <v>#N/A</v>
      </c>
      <c r="M2725" s="9" t="e">
        <f t="shared" ca="1" si="57"/>
        <v>#VALUE!</v>
      </c>
      <c r="N2725" s="10" t="e">
        <f t="shared" ca="1" si="58"/>
        <v>#VALUE!</v>
      </c>
      <c r="O2725" s="7" t="str">
        <f ca="1">IFERROR(__xludf.DUMMYFUNCTION("GOOGLEFINANCE(""NSE:""&amp;D2725,""pe"")"),"#N/A")</f>
        <v>#N/A</v>
      </c>
      <c r="P2725" s="7" t="str">
        <f ca="1">IFERROR(__xludf.DUMMYFUNCTION("GOOGLEFINANCE(""NSE:""&amp;D2725,""EPS"")"),"#N/A")</f>
        <v>#N/A</v>
      </c>
      <c r="Q2725" s="7">
        <v>13.5</v>
      </c>
      <c r="R2725" s="7" t="str">
        <f ca="1">IFERROR(__xludf.DUMMYFUNCTION("IMPORTXML(E2725,""/html/body/main/div[3]/div[3]/div[2]/ul/li[7]/span[2]/span"")"),"Loading...")</f>
        <v>Loading...</v>
      </c>
      <c r="S2725" s="7" t="str">
        <f ca="1">IFERROR(__xludf.DUMMYFUNCTION("IMPORTXML(E2725,""/html/body/main/div[3]/div[3]/div[2]/ul/li[8]/span[2]/span"")"),"Loading...")</f>
        <v>Loading...</v>
      </c>
      <c r="T2725" s="4">
        <v>34.6</v>
      </c>
      <c r="U2725" s="4">
        <v>22.7</v>
      </c>
      <c r="V2725" s="4">
        <v>2.6</v>
      </c>
      <c r="W2725" s="4">
        <v>5.7</v>
      </c>
      <c r="X2725" s="4">
        <v>519.92999999999995</v>
      </c>
      <c r="Y2725" s="7" t="e">
        <f t="shared" ca="1" si="59"/>
        <v>#VALUE!</v>
      </c>
    </row>
    <row r="2726" spans="1:25" ht="15" x14ac:dyDescent="0.25">
      <c r="A2726" s="4">
        <v>2676</v>
      </c>
      <c r="C2726" s="41" t="s">
        <v>5013</v>
      </c>
      <c r="D2726" s="42"/>
      <c r="E2726" s="5" t="str">
        <f t="shared" si="55"/>
        <v>https://www.screener.in/company//consolidated/</v>
      </c>
      <c r="F2726" s="4">
        <v>443059</v>
      </c>
      <c r="G2726" s="4">
        <v>3832241897</v>
      </c>
      <c r="H2726" s="6" t="e">
        <f t="shared" ca="1" si="56"/>
        <v>#VALUE!</v>
      </c>
      <c r="I2726" s="7" t="str">
        <f ca="1">IFERROR(__xludf.DUMMYFUNCTION("IMPORTXML(E2726,""/html/body/main/div[3]/div[3]/div[2]/ul/li[5]/span[2]/span"")"),"Loading...")</f>
        <v>Loading...</v>
      </c>
      <c r="J2726" s="7" t="str">
        <f ca="1">IFERROR(__xludf.DUMMYFUNCTION("GOOGLEFINANCE(""NSE:""&amp;D2726,""marketcap"")"),"#N/A")</f>
        <v>#N/A</v>
      </c>
      <c r="K2726" s="7">
        <v>992.8</v>
      </c>
      <c r="L2726" s="8" t="str">
        <f ca="1">IFERROR(__xludf.DUMMYFUNCTION("GOOGLEFINANCE(""NSE:""&amp;D2726,""price"")"),"#N/A")</f>
        <v>#N/A</v>
      </c>
      <c r="M2726" s="9" t="e">
        <f t="shared" ca="1" si="57"/>
        <v>#VALUE!</v>
      </c>
      <c r="N2726" s="10" t="e">
        <f t="shared" ca="1" si="58"/>
        <v>#VALUE!</v>
      </c>
      <c r="O2726" s="7" t="str">
        <f ca="1">IFERROR(__xludf.DUMMYFUNCTION("GOOGLEFINANCE(""NSE:""&amp;D2726,""pe"")"),"#N/A")</f>
        <v>#N/A</v>
      </c>
      <c r="P2726" s="7" t="str">
        <f ca="1">IFERROR(__xludf.DUMMYFUNCTION("GOOGLEFINANCE(""NSE:""&amp;D2726,""EPS"")"),"#N/A")</f>
        <v>#N/A</v>
      </c>
      <c r="Q2726" s="7">
        <v>13.5</v>
      </c>
      <c r="R2726" s="7" t="str">
        <f ca="1">IFERROR(__xludf.DUMMYFUNCTION("IMPORTXML(E2726,""/html/body/main/div[3]/div[3]/div[2]/ul/li[7]/span[2]/span"")"),"Loading...")</f>
        <v>Loading...</v>
      </c>
      <c r="S2726" s="7" t="str">
        <f ca="1">IFERROR(__xludf.DUMMYFUNCTION("IMPORTXML(E2726,""/html/body/main/div[3]/div[3]/div[2]/ul/li[8]/span[2]/span"")"),"Loading...")</f>
        <v>Loading...</v>
      </c>
      <c r="T2726" s="4">
        <v>34.6</v>
      </c>
      <c r="U2726" s="4">
        <v>22.7</v>
      </c>
      <c r="V2726" s="4">
        <v>2.6</v>
      </c>
      <c r="W2726" s="4">
        <v>5.7</v>
      </c>
      <c r="X2726" s="4">
        <v>519.92999999999995</v>
      </c>
      <c r="Y2726" s="7" t="e">
        <f t="shared" ca="1" si="59"/>
        <v>#VALUE!</v>
      </c>
    </row>
    <row r="2727" spans="1:25" ht="15" x14ac:dyDescent="0.25">
      <c r="A2727" s="4">
        <v>2677</v>
      </c>
      <c r="C2727" s="41" t="s">
        <v>5014</v>
      </c>
      <c r="D2727" s="42"/>
      <c r="E2727" s="5" t="str">
        <f t="shared" si="55"/>
        <v>https://www.screener.in/company//consolidated/</v>
      </c>
      <c r="F2727" s="4">
        <v>443059</v>
      </c>
      <c r="G2727" s="4">
        <v>3832241897</v>
      </c>
      <c r="H2727" s="6" t="e">
        <f t="shared" ca="1" si="56"/>
        <v>#VALUE!</v>
      </c>
      <c r="I2727" s="7" t="str">
        <f ca="1">IFERROR(__xludf.DUMMYFUNCTION("IMPORTXML(E2727,""/html/body/main/div[3]/div[3]/div[2]/ul/li[5]/span[2]/span"")"),"Loading...")</f>
        <v>Loading...</v>
      </c>
      <c r="J2727" s="7" t="str">
        <f ca="1">IFERROR(__xludf.DUMMYFUNCTION("GOOGLEFINANCE(""NSE:""&amp;D2727,""marketcap"")"),"#N/A")</f>
        <v>#N/A</v>
      </c>
      <c r="K2727" s="7">
        <v>992.8</v>
      </c>
      <c r="L2727" s="8" t="str">
        <f ca="1">IFERROR(__xludf.DUMMYFUNCTION("GOOGLEFINANCE(""NSE:""&amp;D2727,""price"")"),"#N/A")</f>
        <v>#N/A</v>
      </c>
      <c r="M2727" s="9" t="e">
        <f t="shared" ca="1" si="57"/>
        <v>#VALUE!</v>
      </c>
      <c r="N2727" s="10" t="e">
        <f t="shared" ca="1" si="58"/>
        <v>#VALUE!</v>
      </c>
      <c r="O2727" s="7" t="str">
        <f ca="1">IFERROR(__xludf.DUMMYFUNCTION("GOOGLEFINANCE(""NSE:""&amp;D2727,""pe"")"),"#N/A")</f>
        <v>#N/A</v>
      </c>
      <c r="P2727" s="7" t="str">
        <f ca="1">IFERROR(__xludf.DUMMYFUNCTION("GOOGLEFINANCE(""NSE:""&amp;D2727,""EPS"")"),"#N/A")</f>
        <v>#N/A</v>
      </c>
      <c r="Q2727" s="7">
        <v>13.5</v>
      </c>
      <c r="R2727" s="7" t="str">
        <f ca="1">IFERROR(__xludf.DUMMYFUNCTION("IMPORTXML(E2727,""/html/body/main/div[3]/div[3]/div[2]/ul/li[7]/span[2]/span"")"),"Loading...")</f>
        <v>Loading...</v>
      </c>
      <c r="S2727" s="7" t="str">
        <f ca="1">IFERROR(__xludf.DUMMYFUNCTION("IMPORTXML(E2727,""/html/body/main/div[3]/div[3]/div[2]/ul/li[8]/span[2]/span"")"),"Loading...")</f>
        <v>Loading...</v>
      </c>
      <c r="T2727" s="4">
        <v>34.6</v>
      </c>
      <c r="U2727" s="4">
        <v>22.7</v>
      </c>
      <c r="V2727" s="4">
        <v>2.6</v>
      </c>
      <c r="W2727" s="4">
        <v>5.7</v>
      </c>
      <c r="X2727" s="4">
        <v>519.92999999999995</v>
      </c>
      <c r="Y2727" s="7" t="e">
        <f t="shared" ca="1" si="59"/>
        <v>#VALUE!</v>
      </c>
    </row>
    <row r="2728" spans="1:25" ht="15" x14ac:dyDescent="0.25">
      <c r="A2728" s="4">
        <v>2678</v>
      </c>
      <c r="C2728" s="41" t="s">
        <v>5015</v>
      </c>
      <c r="D2728" s="42"/>
      <c r="E2728" s="5" t="str">
        <f t="shared" si="55"/>
        <v>https://www.screener.in/company//consolidated/</v>
      </c>
      <c r="F2728" s="4">
        <v>443059</v>
      </c>
      <c r="G2728" s="4">
        <v>3832241897</v>
      </c>
      <c r="H2728" s="6" t="e">
        <f t="shared" ca="1" si="56"/>
        <v>#VALUE!</v>
      </c>
      <c r="I2728" s="7" t="str">
        <f ca="1">IFERROR(__xludf.DUMMYFUNCTION("IMPORTXML(E2728,""/html/body/main/div[3]/div[3]/div[2]/ul/li[5]/span[2]/span"")"),"Loading...")</f>
        <v>Loading...</v>
      </c>
      <c r="J2728" s="7" t="str">
        <f ca="1">IFERROR(__xludf.DUMMYFUNCTION("GOOGLEFINANCE(""NSE:""&amp;D2728,""marketcap"")"),"#N/A")</f>
        <v>#N/A</v>
      </c>
      <c r="K2728" s="7">
        <v>992.8</v>
      </c>
      <c r="L2728" s="8" t="str">
        <f ca="1">IFERROR(__xludf.DUMMYFUNCTION("GOOGLEFINANCE(""NSE:""&amp;D2728,""price"")"),"#N/A")</f>
        <v>#N/A</v>
      </c>
      <c r="M2728" s="9" t="e">
        <f t="shared" ca="1" si="57"/>
        <v>#VALUE!</v>
      </c>
      <c r="N2728" s="10" t="e">
        <f t="shared" ca="1" si="58"/>
        <v>#VALUE!</v>
      </c>
      <c r="O2728" s="7" t="str">
        <f ca="1">IFERROR(__xludf.DUMMYFUNCTION("GOOGLEFINANCE(""NSE:""&amp;D2728,""pe"")"),"#N/A")</f>
        <v>#N/A</v>
      </c>
      <c r="P2728" s="7" t="str">
        <f ca="1">IFERROR(__xludf.DUMMYFUNCTION("GOOGLEFINANCE(""NSE:""&amp;D2728,""EPS"")"),"#N/A")</f>
        <v>#N/A</v>
      </c>
      <c r="Q2728" s="7">
        <v>13.5</v>
      </c>
      <c r="R2728" s="7" t="str">
        <f ca="1">IFERROR(__xludf.DUMMYFUNCTION("IMPORTXML(E2728,""/html/body/main/div[3]/div[3]/div[2]/ul/li[7]/span[2]/span"")"),"Loading...")</f>
        <v>Loading...</v>
      </c>
      <c r="S2728" s="7" t="str">
        <f ca="1">IFERROR(__xludf.DUMMYFUNCTION("IMPORTXML(E2728,""/html/body/main/div[3]/div[3]/div[2]/ul/li[8]/span[2]/span"")"),"Loading...")</f>
        <v>Loading...</v>
      </c>
      <c r="T2728" s="4">
        <v>34.6</v>
      </c>
      <c r="U2728" s="4">
        <v>22.7</v>
      </c>
      <c r="V2728" s="4">
        <v>2.6</v>
      </c>
      <c r="W2728" s="4">
        <v>5.7</v>
      </c>
      <c r="X2728" s="4">
        <v>519.92999999999995</v>
      </c>
      <c r="Y2728" s="7" t="e">
        <f t="shared" ca="1" si="59"/>
        <v>#VALUE!</v>
      </c>
    </row>
    <row r="2729" spans="1:25" ht="15" x14ac:dyDescent="0.25">
      <c r="A2729" s="4">
        <v>2679</v>
      </c>
      <c r="C2729" s="41" t="s">
        <v>5016</v>
      </c>
      <c r="D2729" s="42"/>
      <c r="E2729" s="5" t="str">
        <f t="shared" si="55"/>
        <v>https://www.screener.in/company//consolidated/</v>
      </c>
      <c r="F2729" s="4">
        <v>443059</v>
      </c>
      <c r="G2729" s="4">
        <v>3832241897</v>
      </c>
      <c r="H2729" s="6" t="e">
        <f t="shared" ca="1" si="56"/>
        <v>#VALUE!</v>
      </c>
      <c r="I2729" s="7" t="str">
        <f ca="1">IFERROR(__xludf.DUMMYFUNCTION("IMPORTXML(E2729,""/html/body/main/div[3]/div[3]/div[2]/ul/li[5]/span[2]/span"")"),"Loading...")</f>
        <v>Loading...</v>
      </c>
      <c r="J2729" s="7" t="str">
        <f ca="1">IFERROR(__xludf.DUMMYFUNCTION("GOOGLEFINANCE(""NSE:""&amp;D2729,""marketcap"")"),"#N/A")</f>
        <v>#N/A</v>
      </c>
      <c r="K2729" s="7">
        <v>992.8</v>
      </c>
      <c r="L2729" s="8" t="str">
        <f ca="1">IFERROR(__xludf.DUMMYFUNCTION("GOOGLEFINANCE(""NSE:""&amp;D2729,""price"")"),"#N/A")</f>
        <v>#N/A</v>
      </c>
      <c r="M2729" s="9" t="e">
        <f t="shared" ca="1" si="57"/>
        <v>#VALUE!</v>
      </c>
      <c r="N2729" s="10" t="e">
        <f t="shared" ca="1" si="58"/>
        <v>#VALUE!</v>
      </c>
      <c r="O2729" s="7" t="str">
        <f ca="1">IFERROR(__xludf.DUMMYFUNCTION("GOOGLEFINANCE(""NSE:""&amp;D2729,""pe"")"),"#N/A")</f>
        <v>#N/A</v>
      </c>
      <c r="P2729" s="7" t="str">
        <f ca="1">IFERROR(__xludf.DUMMYFUNCTION("GOOGLEFINANCE(""NSE:""&amp;D2729,""EPS"")"),"#N/A")</f>
        <v>#N/A</v>
      </c>
      <c r="Q2729" s="7">
        <v>13.5</v>
      </c>
      <c r="R2729" s="7" t="str">
        <f ca="1">IFERROR(__xludf.DUMMYFUNCTION("IMPORTXML(E2729,""/html/body/main/div[3]/div[3]/div[2]/ul/li[7]/span[2]/span"")"),"Loading...")</f>
        <v>Loading...</v>
      </c>
      <c r="S2729" s="7" t="str">
        <f ca="1">IFERROR(__xludf.DUMMYFUNCTION("IMPORTXML(E2729,""/html/body/main/div[3]/div[3]/div[2]/ul/li[8]/span[2]/span"")"),"Loading...")</f>
        <v>Loading...</v>
      </c>
      <c r="T2729" s="4">
        <v>34.6</v>
      </c>
      <c r="U2729" s="4">
        <v>22.7</v>
      </c>
      <c r="V2729" s="4">
        <v>2.6</v>
      </c>
      <c r="W2729" s="4">
        <v>5.7</v>
      </c>
      <c r="X2729" s="4">
        <v>519.92999999999995</v>
      </c>
      <c r="Y2729" s="7" t="e">
        <f t="shared" ca="1" si="59"/>
        <v>#VALUE!</v>
      </c>
    </row>
    <row r="2730" spans="1:25" ht="15" x14ac:dyDescent="0.25">
      <c r="A2730" s="4">
        <v>2681</v>
      </c>
      <c r="C2730" s="41" t="s">
        <v>5017</v>
      </c>
      <c r="D2730" s="42"/>
      <c r="E2730" s="5" t="str">
        <f t="shared" si="55"/>
        <v>https://www.screener.in/company//consolidated/</v>
      </c>
      <c r="F2730" s="4">
        <v>443059</v>
      </c>
      <c r="G2730" s="4">
        <v>3832241897</v>
      </c>
      <c r="H2730" s="6" t="e">
        <f t="shared" ca="1" si="56"/>
        <v>#VALUE!</v>
      </c>
      <c r="I2730" s="7" t="str">
        <f ca="1">IFERROR(__xludf.DUMMYFUNCTION("IMPORTXML(E2730,""/html/body/main/div[3]/div[3]/div[2]/ul/li[5]/span[2]/span"")"),"Loading...")</f>
        <v>Loading...</v>
      </c>
      <c r="J2730" s="7" t="str">
        <f ca="1">IFERROR(__xludf.DUMMYFUNCTION("GOOGLEFINANCE(""NSE:""&amp;D2730,""marketcap"")"),"#N/A")</f>
        <v>#N/A</v>
      </c>
      <c r="K2730" s="7">
        <v>992.8</v>
      </c>
      <c r="L2730" s="8" t="str">
        <f ca="1">IFERROR(__xludf.DUMMYFUNCTION("GOOGLEFINANCE(""NSE:""&amp;D2730,""price"")"),"#N/A")</f>
        <v>#N/A</v>
      </c>
      <c r="M2730" s="9" t="e">
        <f t="shared" ca="1" si="57"/>
        <v>#VALUE!</v>
      </c>
      <c r="N2730" s="10" t="e">
        <f t="shared" ca="1" si="58"/>
        <v>#VALUE!</v>
      </c>
      <c r="O2730" s="7" t="str">
        <f ca="1">IFERROR(__xludf.DUMMYFUNCTION("GOOGLEFINANCE(""NSE:""&amp;D2730,""pe"")"),"#N/A")</f>
        <v>#N/A</v>
      </c>
      <c r="P2730" s="7" t="str">
        <f ca="1">IFERROR(__xludf.DUMMYFUNCTION("GOOGLEFINANCE(""NSE:""&amp;D2730,""EPS"")"),"#N/A")</f>
        <v>#N/A</v>
      </c>
      <c r="Q2730" s="7">
        <v>13.5</v>
      </c>
      <c r="R2730" s="7" t="str">
        <f ca="1">IFERROR(__xludf.DUMMYFUNCTION("IMPORTXML(E2730,""/html/body/main/div[3]/div[3]/div[2]/ul/li[7]/span[2]/span"")"),"Loading...")</f>
        <v>Loading...</v>
      </c>
      <c r="S2730" s="7" t="str">
        <f ca="1">IFERROR(__xludf.DUMMYFUNCTION("IMPORTXML(E2730,""/html/body/main/div[3]/div[3]/div[2]/ul/li[8]/span[2]/span"")"),"Loading...")</f>
        <v>Loading...</v>
      </c>
      <c r="T2730" s="4">
        <v>34.6</v>
      </c>
      <c r="U2730" s="4">
        <v>22.7</v>
      </c>
      <c r="V2730" s="4">
        <v>2.6</v>
      </c>
      <c r="W2730" s="4">
        <v>5.7</v>
      </c>
      <c r="X2730" s="4">
        <v>519.92999999999995</v>
      </c>
      <c r="Y2730" s="7" t="e">
        <f t="shared" ca="1" si="59"/>
        <v>#VALUE!</v>
      </c>
    </row>
    <row r="2731" spans="1:25" ht="15" x14ac:dyDescent="0.25">
      <c r="A2731" s="4">
        <v>2682</v>
      </c>
      <c r="C2731" s="41" t="s">
        <v>5018</v>
      </c>
      <c r="D2731" s="42"/>
      <c r="E2731" s="5" t="str">
        <f t="shared" si="55"/>
        <v>https://www.screener.in/company//consolidated/</v>
      </c>
      <c r="F2731" s="4">
        <v>443059</v>
      </c>
      <c r="G2731" s="4">
        <v>3832241897</v>
      </c>
      <c r="H2731" s="6" t="e">
        <f t="shared" ca="1" si="56"/>
        <v>#VALUE!</v>
      </c>
      <c r="I2731" s="7" t="str">
        <f ca="1">IFERROR(__xludf.DUMMYFUNCTION("IMPORTXML(E2731,""/html/body/main/div[3]/div[3]/div[2]/ul/li[5]/span[2]/span"")"),"Loading...")</f>
        <v>Loading...</v>
      </c>
      <c r="J2731" s="7" t="str">
        <f ca="1">IFERROR(__xludf.DUMMYFUNCTION("GOOGLEFINANCE(""NSE:""&amp;D2731,""marketcap"")"),"#N/A")</f>
        <v>#N/A</v>
      </c>
      <c r="K2731" s="7">
        <v>992.8</v>
      </c>
      <c r="L2731" s="8" t="str">
        <f ca="1">IFERROR(__xludf.DUMMYFUNCTION("GOOGLEFINANCE(""NSE:""&amp;D2731,""price"")"),"#N/A")</f>
        <v>#N/A</v>
      </c>
      <c r="M2731" s="9" t="e">
        <f t="shared" ca="1" si="57"/>
        <v>#VALUE!</v>
      </c>
      <c r="N2731" s="10" t="e">
        <f t="shared" ca="1" si="58"/>
        <v>#VALUE!</v>
      </c>
      <c r="O2731" s="7" t="str">
        <f ca="1">IFERROR(__xludf.DUMMYFUNCTION("GOOGLEFINANCE(""NSE:""&amp;D2731,""pe"")"),"#N/A")</f>
        <v>#N/A</v>
      </c>
      <c r="P2731" s="7" t="str">
        <f ca="1">IFERROR(__xludf.DUMMYFUNCTION("GOOGLEFINANCE(""NSE:""&amp;D2731,""EPS"")"),"#N/A")</f>
        <v>#N/A</v>
      </c>
      <c r="Q2731" s="7">
        <v>13.5</v>
      </c>
      <c r="R2731" s="7" t="str">
        <f ca="1">IFERROR(__xludf.DUMMYFUNCTION("IMPORTXML(E2731,""/html/body/main/div[3]/div[3]/div[2]/ul/li[7]/span[2]/span"")"),"Loading...")</f>
        <v>Loading...</v>
      </c>
      <c r="S2731" s="7" t="str">
        <f ca="1">IFERROR(__xludf.DUMMYFUNCTION("IMPORTXML(E2731,""/html/body/main/div[3]/div[3]/div[2]/ul/li[8]/span[2]/span"")"),"Loading...")</f>
        <v>Loading...</v>
      </c>
      <c r="T2731" s="4">
        <v>34.6</v>
      </c>
      <c r="U2731" s="4">
        <v>22.7</v>
      </c>
      <c r="V2731" s="4">
        <v>2.6</v>
      </c>
      <c r="W2731" s="4">
        <v>5.7</v>
      </c>
      <c r="X2731" s="4">
        <v>519.92999999999995</v>
      </c>
      <c r="Y2731" s="7" t="e">
        <f t="shared" ca="1" si="59"/>
        <v>#VALUE!</v>
      </c>
    </row>
    <row r="2732" spans="1:25" ht="15" x14ac:dyDescent="0.25">
      <c r="A2732" s="4">
        <v>2683</v>
      </c>
      <c r="C2732" s="41" t="s">
        <v>5019</v>
      </c>
      <c r="D2732" s="42"/>
      <c r="E2732" s="5" t="str">
        <f t="shared" si="55"/>
        <v>https://www.screener.in/company//consolidated/</v>
      </c>
      <c r="F2732" s="4">
        <v>443059</v>
      </c>
      <c r="G2732" s="4">
        <v>3832241897</v>
      </c>
      <c r="H2732" s="6" t="e">
        <f t="shared" ca="1" si="56"/>
        <v>#VALUE!</v>
      </c>
      <c r="I2732" s="7" t="str">
        <f ca="1">IFERROR(__xludf.DUMMYFUNCTION("IMPORTXML(E2732,""/html/body/main/div[3]/div[3]/div[2]/ul/li[5]/span[2]/span"")"),"Loading...")</f>
        <v>Loading...</v>
      </c>
      <c r="J2732" s="7" t="str">
        <f ca="1">IFERROR(__xludf.DUMMYFUNCTION("GOOGLEFINANCE(""NSE:""&amp;D2732,""marketcap"")"),"#N/A")</f>
        <v>#N/A</v>
      </c>
      <c r="K2732" s="7">
        <v>992.8</v>
      </c>
      <c r="L2732" s="8" t="str">
        <f ca="1">IFERROR(__xludf.DUMMYFUNCTION("GOOGLEFINANCE(""NSE:""&amp;D2732,""price"")"),"#N/A")</f>
        <v>#N/A</v>
      </c>
      <c r="M2732" s="9" t="e">
        <f t="shared" ca="1" si="57"/>
        <v>#VALUE!</v>
      </c>
      <c r="N2732" s="10" t="e">
        <f t="shared" ca="1" si="58"/>
        <v>#VALUE!</v>
      </c>
      <c r="O2732" s="7" t="str">
        <f ca="1">IFERROR(__xludf.DUMMYFUNCTION("GOOGLEFINANCE(""NSE:""&amp;D2732,""pe"")"),"#N/A")</f>
        <v>#N/A</v>
      </c>
      <c r="P2732" s="7" t="str">
        <f ca="1">IFERROR(__xludf.DUMMYFUNCTION("GOOGLEFINANCE(""NSE:""&amp;D2732,""EPS"")"),"#N/A")</f>
        <v>#N/A</v>
      </c>
      <c r="Q2732" s="7">
        <v>13.5</v>
      </c>
      <c r="R2732" s="7" t="str">
        <f ca="1">IFERROR(__xludf.DUMMYFUNCTION("IMPORTXML(E2732,""/html/body/main/div[3]/div[3]/div[2]/ul/li[7]/span[2]/span"")"),"Loading...")</f>
        <v>Loading...</v>
      </c>
      <c r="S2732" s="7" t="str">
        <f ca="1">IFERROR(__xludf.DUMMYFUNCTION("IMPORTXML(E2732,""/html/body/main/div[3]/div[3]/div[2]/ul/li[8]/span[2]/span"")"),"Loading...")</f>
        <v>Loading...</v>
      </c>
      <c r="T2732" s="4">
        <v>34.6</v>
      </c>
      <c r="U2732" s="4">
        <v>22.7</v>
      </c>
      <c r="V2732" s="4">
        <v>2.6</v>
      </c>
      <c r="W2732" s="4">
        <v>5.7</v>
      </c>
      <c r="X2732" s="4">
        <v>519.92999999999995</v>
      </c>
      <c r="Y2732" s="7" t="e">
        <f t="shared" ca="1" si="59"/>
        <v>#VALUE!</v>
      </c>
    </row>
    <row r="2733" spans="1:25" ht="15" x14ac:dyDescent="0.25">
      <c r="A2733" s="4">
        <v>2684</v>
      </c>
      <c r="C2733" s="12" t="s">
        <v>5020</v>
      </c>
      <c r="D2733" s="12" t="s">
        <v>5021</v>
      </c>
      <c r="E2733" s="5" t="str">
        <f t="shared" si="55"/>
        <v>https://www.screener.in/company/MBECL/consolidated/</v>
      </c>
      <c r="F2733" s="4">
        <v>443059</v>
      </c>
      <c r="G2733" s="4">
        <v>3832241897</v>
      </c>
      <c r="H2733" s="6" t="e">
        <f t="shared" ca="1" si="56"/>
        <v>#VALUE!</v>
      </c>
      <c r="I2733" s="7" t="str">
        <f ca="1">IFERROR(__xludf.DUMMYFUNCTION("IMPORTXML(E2733,""/html/body/main/div[3]/div[3]/div[2]/ul/li[5]/span[2]/span"")"),"Loading...")</f>
        <v>Loading...</v>
      </c>
      <c r="J2733" s="7" t="str">
        <f ca="1">IFERROR(__xludf.DUMMYFUNCTION("GOOGLEFINANCE(""NSE:""&amp;D2733,""marketcap"")"),"#N/A")</f>
        <v>#N/A</v>
      </c>
      <c r="K2733" s="7">
        <v>992.8</v>
      </c>
      <c r="L2733" s="8" t="str">
        <f ca="1">IFERROR(__xludf.DUMMYFUNCTION("GOOGLEFINANCE(""NSE:""&amp;D2733,""price"")"),"#N/A")</f>
        <v>#N/A</v>
      </c>
      <c r="M2733" s="9" t="e">
        <f t="shared" ca="1" si="57"/>
        <v>#VALUE!</v>
      </c>
      <c r="N2733" s="10" t="e">
        <f t="shared" ca="1" si="58"/>
        <v>#VALUE!</v>
      </c>
      <c r="O2733" s="7" t="str">
        <f ca="1">IFERROR(__xludf.DUMMYFUNCTION("GOOGLEFINANCE(""NSE:""&amp;D2733,""pe"")"),"#N/A")</f>
        <v>#N/A</v>
      </c>
      <c r="P2733" s="7" t="str">
        <f ca="1">IFERROR(__xludf.DUMMYFUNCTION("GOOGLEFINANCE(""NSE:""&amp;D2733,""EPS"")"),"#N/A")</f>
        <v>#N/A</v>
      </c>
      <c r="Q2733" s="7">
        <v>13.5</v>
      </c>
      <c r="R2733" s="7" t="str">
        <f ca="1">IFERROR(__xludf.DUMMYFUNCTION("IMPORTXML(E2733,""/html/body/main/div[3]/div[3]/div[2]/ul/li[7]/span[2]/span"")"),"Loading...")</f>
        <v>Loading...</v>
      </c>
      <c r="S2733" s="7" t="str">
        <f ca="1">IFERROR(__xludf.DUMMYFUNCTION("IMPORTXML(E2733,""/html/body/main/div[3]/div[3]/div[2]/ul/li[8]/span[2]/span"")"),"Loading...")</f>
        <v>Loading...</v>
      </c>
      <c r="T2733" s="4">
        <v>34.6</v>
      </c>
      <c r="U2733" s="4">
        <v>22.7</v>
      </c>
      <c r="V2733" s="4">
        <v>2.6</v>
      </c>
      <c r="W2733" s="4">
        <v>5.7</v>
      </c>
      <c r="X2733" s="4">
        <v>519.92999999999995</v>
      </c>
      <c r="Y2733" s="7" t="e">
        <f t="shared" ca="1" si="59"/>
        <v>#VALUE!</v>
      </c>
    </row>
    <row r="2734" spans="1:25" ht="15" x14ac:dyDescent="0.25">
      <c r="A2734" s="4">
        <v>2685</v>
      </c>
      <c r="C2734" s="12" t="s">
        <v>5022</v>
      </c>
      <c r="D2734" s="12" t="s">
        <v>5023</v>
      </c>
      <c r="E2734" s="5" t="str">
        <f t="shared" si="55"/>
        <v>https://www.screener.in/company/BANG/consolidated/</v>
      </c>
      <c r="F2734" s="4">
        <v>443059</v>
      </c>
      <c r="G2734" s="4">
        <v>3832241897</v>
      </c>
      <c r="H2734" s="6">
        <f t="shared" ca="1" si="56"/>
        <v>19007.919809120001</v>
      </c>
      <c r="I2734" s="7" t="str">
        <f ca="1">IFERROR(__xludf.DUMMYFUNCTION("IMPORTXML(E2734,""/html/body/main/div[3]/div[3]/div[2]/ul/li[5]/span[2]/span"")"),"Loading...")</f>
        <v>Loading...</v>
      </c>
      <c r="J2734" s="7">
        <f ca="1">IFERROR(__xludf.DUMMYFUNCTION("GOOGLEFINANCE(""NSE:""&amp;D2734,""marketcap"")"),675288000)</f>
        <v>675288000</v>
      </c>
      <c r="K2734" s="7">
        <v>992.8</v>
      </c>
      <c r="L2734" s="8">
        <f ca="1">IFERROR(__xludf.DUMMYFUNCTION("GOOGLEFINANCE(""NSE:""&amp;D2734,""price"")"),49.6)</f>
        <v>49.6</v>
      </c>
      <c r="M2734" s="9">
        <f t="shared" ca="1" si="57"/>
        <v>-943.19999999999993</v>
      </c>
      <c r="N2734" s="10">
        <f t="shared" ca="1" si="58"/>
        <v>-95.004029008863824</v>
      </c>
      <c r="O2734" s="7">
        <f ca="1">IFERROR(__xludf.DUMMYFUNCTION("GOOGLEFINANCE(""NSE:""&amp;D2734,""pe"")"),17.28)</f>
        <v>17.28</v>
      </c>
      <c r="P2734" s="7">
        <f ca="1">IFERROR(__xludf.DUMMYFUNCTION("GOOGLEFINANCE(""NSE:""&amp;D2734,""EPS"")"),2.87)</f>
        <v>2.87</v>
      </c>
      <c r="Q2734" s="7">
        <v>13.5</v>
      </c>
      <c r="R2734" s="7" t="str">
        <f ca="1">IFERROR(__xludf.DUMMYFUNCTION("IMPORTXML(E2734,""/html/body/main/div[3]/div[3]/div[2]/ul/li[7]/span[2]/span"")"),"Loading...")</f>
        <v>Loading...</v>
      </c>
      <c r="S2734" s="7" t="str">
        <f ca="1">IFERROR(__xludf.DUMMYFUNCTION("IMPORTXML(E2734,""/html/body/main/div[3]/div[3]/div[2]/ul/li[8]/span[2]/span"")"),"Loading...")</f>
        <v>Loading...</v>
      </c>
      <c r="T2734" s="4">
        <v>34.6</v>
      </c>
      <c r="U2734" s="4">
        <v>22.7</v>
      </c>
      <c r="V2734" s="4">
        <v>2.6</v>
      </c>
      <c r="W2734" s="4">
        <v>5.7</v>
      </c>
      <c r="X2734" s="4">
        <v>519.92999999999995</v>
      </c>
      <c r="Y2734" s="7">
        <f t="shared" ca="1" si="59"/>
        <v>-470.32999999999993</v>
      </c>
    </row>
    <row r="2735" spans="1:25" ht="15" x14ac:dyDescent="0.25">
      <c r="A2735" s="4">
        <v>2686</v>
      </c>
      <c r="C2735" s="41" t="s">
        <v>5024</v>
      </c>
      <c r="D2735" s="42"/>
      <c r="E2735" s="5" t="str">
        <f t="shared" si="55"/>
        <v>https://www.screener.in/company//consolidated/</v>
      </c>
      <c r="F2735" s="4">
        <v>443059</v>
      </c>
      <c r="G2735" s="4">
        <v>3832241897</v>
      </c>
      <c r="H2735" s="6" t="e">
        <f t="shared" ca="1" si="56"/>
        <v>#VALUE!</v>
      </c>
      <c r="I2735" s="7" t="str">
        <f ca="1">IFERROR(__xludf.DUMMYFUNCTION("IMPORTXML(E2735,""/html/body/main/div[3]/div[3]/div[2]/ul/li[5]/span[2]/span"")"),"Loading...")</f>
        <v>Loading...</v>
      </c>
      <c r="J2735" s="7" t="str">
        <f ca="1">IFERROR(__xludf.DUMMYFUNCTION("GOOGLEFINANCE(""NSE:""&amp;D2735,""marketcap"")"),"#N/A")</f>
        <v>#N/A</v>
      </c>
      <c r="K2735" s="7">
        <v>992.8</v>
      </c>
      <c r="L2735" s="8" t="str">
        <f ca="1">IFERROR(__xludf.DUMMYFUNCTION("GOOGLEFINANCE(""NSE:""&amp;D2735,""price"")"),"#N/A")</f>
        <v>#N/A</v>
      </c>
      <c r="M2735" s="9" t="e">
        <f t="shared" ca="1" si="57"/>
        <v>#VALUE!</v>
      </c>
      <c r="N2735" s="10" t="e">
        <f t="shared" ca="1" si="58"/>
        <v>#VALUE!</v>
      </c>
      <c r="O2735" s="7" t="str">
        <f ca="1">IFERROR(__xludf.DUMMYFUNCTION("GOOGLEFINANCE(""NSE:""&amp;D2735,""pe"")"),"#N/A")</f>
        <v>#N/A</v>
      </c>
      <c r="P2735" s="7" t="str">
        <f ca="1">IFERROR(__xludf.DUMMYFUNCTION("GOOGLEFINANCE(""NSE:""&amp;D2735,""EPS"")"),"#N/A")</f>
        <v>#N/A</v>
      </c>
      <c r="Q2735" s="7">
        <v>13.5</v>
      </c>
      <c r="R2735" s="7" t="str">
        <f ca="1">IFERROR(__xludf.DUMMYFUNCTION("IMPORTXML(E2735,""/html/body/main/div[3]/div[3]/div[2]/ul/li[7]/span[2]/span"")"),"Loading...")</f>
        <v>Loading...</v>
      </c>
      <c r="S2735" s="7" t="str">
        <f ca="1">IFERROR(__xludf.DUMMYFUNCTION("IMPORTXML(E2735,""/html/body/main/div[3]/div[3]/div[2]/ul/li[8]/span[2]/span"")"),"Loading...")</f>
        <v>Loading...</v>
      </c>
      <c r="T2735" s="4">
        <v>34.6</v>
      </c>
      <c r="U2735" s="4">
        <v>22.7</v>
      </c>
      <c r="V2735" s="4">
        <v>2.6</v>
      </c>
      <c r="W2735" s="4">
        <v>5.7</v>
      </c>
      <c r="X2735" s="4">
        <v>519.92999999999995</v>
      </c>
      <c r="Y2735" s="7" t="e">
        <f t="shared" ca="1" si="59"/>
        <v>#VALUE!</v>
      </c>
    </row>
    <row r="2736" spans="1:25" ht="15" x14ac:dyDescent="0.25">
      <c r="A2736" s="4">
        <v>2687</v>
      </c>
      <c r="C2736" s="41" t="s">
        <v>5025</v>
      </c>
      <c r="D2736" s="42"/>
      <c r="E2736" s="5" t="str">
        <f t="shared" si="55"/>
        <v>https://www.screener.in/company//consolidated/</v>
      </c>
      <c r="F2736" s="4">
        <v>443059</v>
      </c>
      <c r="G2736" s="4">
        <v>3832241897</v>
      </c>
      <c r="H2736" s="6" t="e">
        <f t="shared" ca="1" si="56"/>
        <v>#VALUE!</v>
      </c>
      <c r="I2736" s="7" t="str">
        <f ca="1">IFERROR(__xludf.DUMMYFUNCTION("IMPORTXML(E2736,""/html/body/main/div[3]/div[3]/div[2]/ul/li[5]/span[2]/span"")"),"Loading...")</f>
        <v>Loading...</v>
      </c>
      <c r="J2736" s="7" t="str">
        <f ca="1">IFERROR(__xludf.DUMMYFUNCTION("GOOGLEFINANCE(""NSE:""&amp;D2736,""marketcap"")"),"#N/A")</f>
        <v>#N/A</v>
      </c>
      <c r="K2736" s="7">
        <v>992.8</v>
      </c>
      <c r="L2736" s="8" t="str">
        <f ca="1">IFERROR(__xludf.DUMMYFUNCTION("GOOGLEFINANCE(""NSE:""&amp;D2736,""price"")"),"#N/A")</f>
        <v>#N/A</v>
      </c>
      <c r="M2736" s="9" t="e">
        <f t="shared" ca="1" si="57"/>
        <v>#VALUE!</v>
      </c>
      <c r="N2736" s="10" t="e">
        <f t="shared" ca="1" si="58"/>
        <v>#VALUE!</v>
      </c>
      <c r="O2736" s="7" t="str">
        <f ca="1">IFERROR(__xludf.DUMMYFUNCTION("GOOGLEFINANCE(""NSE:""&amp;D2736,""pe"")"),"#N/A")</f>
        <v>#N/A</v>
      </c>
      <c r="P2736" s="7" t="str">
        <f ca="1">IFERROR(__xludf.DUMMYFUNCTION("GOOGLEFINANCE(""NSE:""&amp;D2736,""EPS"")"),"#N/A")</f>
        <v>#N/A</v>
      </c>
      <c r="Q2736" s="7">
        <v>13.5</v>
      </c>
      <c r="R2736" s="7" t="str">
        <f ca="1">IFERROR(__xludf.DUMMYFUNCTION("IMPORTXML(E2736,""/html/body/main/div[3]/div[3]/div[2]/ul/li[7]/span[2]/span"")"),"Loading...")</f>
        <v>Loading...</v>
      </c>
      <c r="S2736" s="7" t="str">
        <f ca="1">IFERROR(__xludf.DUMMYFUNCTION("IMPORTXML(E2736,""/html/body/main/div[3]/div[3]/div[2]/ul/li[8]/span[2]/span"")"),"Loading...")</f>
        <v>Loading...</v>
      </c>
      <c r="T2736" s="4">
        <v>34.6</v>
      </c>
      <c r="U2736" s="4">
        <v>22.7</v>
      </c>
      <c r="V2736" s="4">
        <v>2.6</v>
      </c>
      <c r="W2736" s="4">
        <v>5.7</v>
      </c>
      <c r="X2736" s="4">
        <v>519.92999999999995</v>
      </c>
      <c r="Y2736" s="7" t="e">
        <f t="shared" ca="1" si="59"/>
        <v>#VALUE!</v>
      </c>
    </row>
    <row r="2737" spans="1:25" ht="15" x14ac:dyDescent="0.25">
      <c r="A2737" s="4">
        <v>2688</v>
      </c>
      <c r="C2737" s="41" t="s">
        <v>5026</v>
      </c>
      <c r="D2737" s="42"/>
      <c r="E2737" s="5" t="str">
        <f t="shared" si="55"/>
        <v>https://www.screener.in/company//consolidated/</v>
      </c>
      <c r="F2737" s="4">
        <v>443059</v>
      </c>
      <c r="G2737" s="4">
        <v>3832241897</v>
      </c>
      <c r="H2737" s="6" t="e">
        <f t="shared" ca="1" si="56"/>
        <v>#VALUE!</v>
      </c>
      <c r="I2737" s="7" t="str">
        <f ca="1">IFERROR(__xludf.DUMMYFUNCTION("IMPORTXML(E2737,""/html/body/main/div[3]/div[3]/div[2]/ul/li[5]/span[2]/span"")"),"Loading...")</f>
        <v>Loading...</v>
      </c>
      <c r="J2737" s="7" t="str">
        <f ca="1">IFERROR(__xludf.DUMMYFUNCTION("GOOGLEFINANCE(""NSE:""&amp;D2737,""marketcap"")"),"#N/A")</f>
        <v>#N/A</v>
      </c>
      <c r="K2737" s="7">
        <v>992.8</v>
      </c>
      <c r="L2737" s="8" t="str">
        <f ca="1">IFERROR(__xludf.DUMMYFUNCTION("GOOGLEFINANCE(""NSE:""&amp;D2737,""price"")"),"#N/A")</f>
        <v>#N/A</v>
      </c>
      <c r="M2737" s="9" t="e">
        <f t="shared" ca="1" si="57"/>
        <v>#VALUE!</v>
      </c>
      <c r="N2737" s="10" t="e">
        <f t="shared" ca="1" si="58"/>
        <v>#VALUE!</v>
      </c>
      <c r="O2737" s="7" t="str">
        <f ca="1">IFERROR(__xludf.DUMMYFUNCTION("GOOGLEFINANCE(""NSE:""&amp;D2737,""pe"")"),"#N/A")</f>
        <v>#N/A</v>
      </c>
      <c r="P2737" s="7" t="str">
        <f ca="1">IFERROR(__xludf.DUMMYFUNCTION("GOOGLEFINANCE(""NSE:""&amp;D2737,""EPS"")"),"#N/A")</f>
        <v>#N/A</v>
      </c>
      <c r="Q2737" s="7">
        <v>13.5</v>
      </c>
      <c r="R2737" s="7" t="str">
        <f ca="1">IFERROR(__xludf.DUMMYFUNCTION("IMPORTXML(E2737,""/html/body/main/div[3]/div[3]/div[2]/ul/li[7]/span[2]/span"")"),"Loading...")</f>
        <v>Loading...</v>
      </c>
      <c r="S2737" s="7" t="str">
        <f ca="1">IFERROR(__xludf.DUMMYFUNCTION("IMPORTXML(E2737,""/html/body/main/div[3]/div[3]/div[2]/ul/li[8]/span[2]/span"")"),"Loading...")</f>
        <v>Loading...</v>
      </c>
      <c r="T2737" s="4">
        <v>34.6</v>
      </c>
      <c r="U2737" s="4">
        <v>22.7</v>
      </c>
      <c r="V2737" s="4">
        <v>2.6</v>
      </c>
      <c r="W2737" s="4">
        <v>5.7</v>
      </c>
      <c r="X2737" s="4">
        <v>519.92999999999995</v>
      </c>
      <c r="Y2737" s="7" t="e">
        <f t="shared" ca="1" si="59"/>
        <v>#VALUE!</v>
      </c>
    </row>
    <row r="2738" spans="1:25" ht="15" x14ac:dyDescent="0.25">
      <c r="A2738" s="4">
        <v>2689</v>
      </c>
      <c r="C2738" s="41" t="s">
        <v>5027</v>
      </c>
      <c r="D2738" s="42"/>
      <c r="E2738" s="5" t="str">
        <f t="shared" si="55"/>
        <v>https://www.screener.in/company//consolidated/</v>
      </c>
      <c r="F2738" s="4">
        <v>443059</v>
      </c>
      <c r="G2738" s="4">
        <v>3832241897</v>
      </c>
      <c r="H2738" s="6" t="e">
        <f t="shared" ca="1" si="56"/>
        <v>#VALUE!</v>
      </c>
      <c r="I2738" s="7" t="str">
        <f ca="1">IFERROR(__xludf.DUMMYFUNCTION("IMPORTXML(E2738,""/html/body/main/div[3]/div[3]/div[2]/ul/li[5]/span[2]/span"")"),"Loading...")</f>
        <v>Loading...</v>
      </c>
      <c r="J2738" s="7" t="str">
        <f ca="1">IFERROR(__xludf.DUMMYFUNCTION("GOOGLEFINANCE(""NSE:""&amp;D2738,""marketcap"")"),"#N/A")</f>
        <v>#N/A</v>
      </c>
      <c r="K2738" s="7">
        <v>992.8</v>
      </c>
      <c r="L2738" s="8" t="str">
        <f ca="1">IFERROR(__xludf.DUMMYFUNCTION("GOOGLEFINANCE(""NSE:""&amp;D2738,""price"")"),"#N/A")</f>
        <v>#N/A</v>
      </c>
      <c r="M2738" s="9" t="e">
        <f t="shared" ca="1" si="57"/>
        <v>#VALUE!</v>
      </c>
      <c r="N2738" s="10" t="e">
        <f t="shared" ca="1" si="58"/>
        <v>#VALUE!</v>
      </c>
      <c r="O2738" s="7" t="str">
        <f ca="1">IFERROR(__xludf.DUMMYFUNCTION("GOOGLEFINANCE(""NSE:""&amp;D2738,""pe"")"),"#N/A")</f>
        <v>#N/A</v>
      </c>
      <c r="P2738" s="7" t="str">
        <f ca="1">IFERROR(__xludf.DUMMYFUNCTION("GOOGLEFINANCE(""NSE:""&amp;D2738,""EPS"")"),"#N/A")</f>
        <v>#N/A</v>
      </c>
      <c r="Q2738" s="7">
        <v>13.5</v>
      </c>
      <c r="R2738" s="7" t="str">
        <f ca="1">IFERROR(__xludf.DUMMYFUNCTION("IMPORTXML(E2738,""/html/body/main/div[3]/div[3]/div[2]/ul/li[7]/span[2]/span"")"),"Loading...")</f>
        <v>Loading...</v>
      </c>
      <c r="S2738" s="7" t="str">
        <f ca="1">IFERROR(__xludf.DUMMYFUNCTION("IMPORTXML(E2738,""/html/body/main/div[3]/div[3]/div[2]/ul/li[8]/span[2]/span"")"),"Loading...")</f>
        <v>Loading...</v>
      </c>
      <c r="T2738" s="4">
        <v>34.6</v>
      </c>
      <c r="U2738" s="4">
        <v>22.7</v>
      </c>
      <c r="V2738" s="4">
        <v>2.6</v>
      </c>
      <c r="W2738" s="4">
        <v>5.7</v>
      </c>
      <c r="X2738" s="4">
        <v>519.92999999999995</v>
      </c>
      <c r="Y2738" s="7" t="e">
        <f t="shared" ca="1" si="59"/>
        <v>#VALUE!</v>
      </c>
    </row>
    <row r="2739" spans="1:25" ht="15" x14ac:dyDescent="0.25">
      <c r="A2739" s="4">
        <v>2690</v>
      </c>
      <c r="C2739" s="41" t="s">
        <v>5028</v>
      </c>
      <c r="D2739" s="42"/>
      <c r="E2739" s="5" t="str">
        <f t="shared" si="55"/>
        <v>https://www.screener.in/company//consolidated/</v>
      </c>
      <c r="F2739" s="4">
        <v>443059</v>
      </c>
      <c r="G2739" s="4">
        <v>3832241897</v>
      </c>
      <c r="H2739" s="6" t="e">
        <f t="shared" ca="1" si="56"/>
        <v>#VALUE!</v>
      </c>
      <c r="I2739" s="7" t="str">
        <f ca="1">IFERROR(__xludf.DUMMYFUNCTION("IMPORTXML(E2739,""/html/body/main/div[3]/div[3]/div[2]/ul/li[5]/span[2]/span"")"),"Loading...")</f>
        <v>Loading...</v>
      </c>
      <c r="J2739" s="7" t="str">
        <f ca="1">IFERROR(__xludf.DUMMYFUNCTION("GOOGLEFINANCE(""NSE:""&amp;D2739,""marketcap"")"),"#N/A")</f>
        <v>#N/A</v>
      </c>
      <c r="K2739" s="7">
        <v>992.8</v>
      </c>
      <c r="L2739" s="8" t="str">
        <f ca="1">IFERROR(__xludf.DUMMYFUNCTION("GOOGLEFINANCE(""NSE:""&amp;D2739,""price"")"),"#N/A")</f>
        <v>#N/A</v>
      </c>
      <c r="M2739" s="9" t="e">
        <f t="shared" ca="1" si="57"/>
        <v>#VALUE!</v>
      </c>
      <c r="N2739" s="10" t="e">
        <f t="shared" ca="1" si="58"/>
        <v>#VALUE!</v>
      </c>
      <c r="O2739" s="7" t="str">
        <f ca="1">IFERROR(__xludf.DUMMYFUNCTION("GOOGLEFINANCE(""NSE:""&amp;D2739,""pe"")"),"#N/A")</f>
        <v>#N/A</v>
      </c>
      <c r="P2739" s="7" t="str">
        <f ca="1">IFERROR(__xludf.DUMMYFUNCTION("GOOGLEFINANCE(""NSE:""&amp;D2739,""EPS"")"),"#N/A")</f>
        <v>#N/A</v>
      </c>
      <c r="Q2739" s="7">
        <v>13.5</v>
      </c>
      <c r="R2739" s="7" t="str">
        <f ca="1">IFERROR(__xludf.DUMMYFUNCTION("IMPORTXML(E2739,""/html/body/main/div[3]/div[3]/div[2]/ul/li[7]/span[2]/span"")"),"Loading...")</f>
        <v>Loading...</v>
      </c>
      <c r="S2739" s="7" t="str">
        <f ca="1">IFERROR(__xludf.DUMMYFUNCTION("IMPORTXML(E2739,""/html/body/main/div[3]/div[3]/div[2]/ul/li[8]/span[2]/span"")"),"Loading...")</f>
        <v>Loading...</v>
      </c>
      <c r="T2739" s="4">
        <v>34.6</v>
      </c>
      <c r="U2739" s="4">
        <v>22.7</v>
      </c>
      <c r="V2739" s="4">
        <v>2.6</v>
      </c>
      <c r="W2739" s="4">
        <v>5.7</v>
      </c>
      <c r="X2739" s="4">
        <v>519.92999999999995</v>
      </c>
      <c r="Y2739" s="7" t="e">
        <f t="shared" ca="1" si="59"/>
        <v>#VALUE!</v>
      </c>
    </row>
    <row r="2740" spans="1:25" ht="15" x14ac:dyDescent="0.25">
      <c r="A2740" s="4">
        <v>2691</v>
      </c>
      <c r="C2740" s="12" t="s">
        <v>5029</v>
      </c>
      <c r="D2740" s="12" t="s">
        <v>5030</v>
      </c>
      <c r="E2740" s="5" t="str">
        <f t="shared" si="55"/>
        <v>https://www.screener.in/company/MALUPAPER/consolidated/</v>
      </c>
      <c r="F2740" s="4">
        <v>443059</v>
      </c>
      <c r="G2740" s="4">
        <v>3832241897</v>
      </c>
      <c r="H2740" s="6">
        <f t="shared" ca="1" si="56"/>
        <v>14508.867822041999</v>
      </c>
      <c r="I2740" s="7" t="str">
        <f ca="1">IFERROR(__xludf.DUMMYFUNCTION("IMPORTXML(E2740,""/html/body/main/div[3]/div[3]/div[2]/ul/li[5]/span[2]/span"")"),"Loading...")</f>
        <v>Loading...</v>
      </c>
      <c r="J2740" s="7">
        <f ca="1">IFERROR(__xludf.DUMMYFUNCTION("GOOGLEFINANCE(""NSE:""&amp;D2740,""marketcap"")"),646886800)</f>
        <v>646886800</v>
      </c>
      <c r="K2740" s="7">
        <v>992.8</v>
      </c>
      <c r="L2740" s="8">
        <f ca="1">IFERROR(__xludf.DUMMYFUNCTION("GOOGLEFINANCE(""NSE:""&amp;D2740,""price"")"),37.86)</f>
        <v>37.86</v>
      </c>
      <c r="M2740" s="9">
        <f t="shared" ca="1" si="57"/>
        <v>-954.93999999999994</v>
      </c>
      <c r="N2740" s="10">
        <f t="shared" ca="1" si="58"/>
        <v>-96.186543110394837</v>
      </c>
      <c r="O2740" s="7" t="str">
        <f ca="1">IFERROR(__xludf.DUMMYFUNCTION("GOOGLEFINANCE(""NSE:""&amp;D2740,""pe"")"),"#N/A")</f>
        <v>#N/A</v>
      </c>
      <c r="P2740" s="7">
        <f ca="1">IFERROR(__xludf.DUMMYFUNCTION("GOOGLEFINANCE(""NSE:""&amp;D2740,""EPS"")"),-9.56)</f>
        <v>-9.56</v>
      </c>
      <c r="Q2740" s="7">
        <v>13.5</v>
      </c>
      <c r="R2740" s="7" t="str">
        <f ca="1">IFERROR(__xludf.DUMMYFUNCTION("IMPORTXML(E2740,""/html/body/main/div[3]/div[3]/div[2]/ul/li[7]/span[2]/span"")"),"Loading...")</f>
        <v>Loading...</v>
      </c>
      <c r="S2740" s="7" t="str">
        <f ca="1">IFERROR(__xludf.DUMMYFUNCTION("IMPORTXML(E2740,""/html/body/main/div[3]/div[3]/div[2]/ul/li[8]/span[2]/span"")"),"Loading...")</f>
        <v>Loading...</v>
      </c>
      <c r="T2740" s="4">
        <v>34.6</v>
      </c>
      <c r="U2740" s="4">
        <v>22.7</v>
      </c>
      <c r="V2740" s="4">
        <v>2.6</v>
      </c>
      <c r="W2740" s="4">
        <v>5.7</v>
      </c>
      <c r="X2740" s="4">
        <v>519.92999999999995</v>
      </c>
      <c r="Y2740" s="7">
        <f t="shared" ca="1" si="59"/>
        <v>-482.06999999999994</v>
      </c>
    </row>
    <row r="2741" spans="1:25" ht="15" x14ac:dyDescent="0.25">
      <c r="A2741" s="4">
        <v>2692</v>
      </c>
      <c r="C2741" s="12" t="s">
        <v>5031</v>
      </c>
      <c r="D2741" s="37"/>
      <c r="E2741" s="5" t="str">
        <f t="shared" si="55"/>
        <v>https://www.screener.in/company//consolidated/</v>
      </c>
      <c r="F2741" s="4">
        <v>443059</v>
      </c>
      <c r="G2741" s="4">
        <v>3832241897</v>
      </c>
      <c r="H2741" s="6" t="e">
        <f t="shared" ca="1" si="56"/>
        <v>#VALUE!</v>
      </c>
      <c r="I2741" s="7" t="str">
        <f ca="1">IFERROR(__xludf.DUMMYFUNCTION("IMPORTXML(E2741,""/html/body/main/div[3]/div[3]/div[2]/ul/li[5]/span[2]/span"")"),"Loading...")</f>
        <v>Loading...</v>
      </c>
      <c r="J2741" s="7" t="str">
        <f ca="1">IFERROR(__xludf.DUMMYFUNCTION("GOOGLEFINANCE(""NSE:""&amp;D2741,""marketcap"")"),"#N/A")</f>
        <v>#N/A</v>
      </c>
      <c r="K2741" s="7">
        <v>992.8</v>
      </c>
      <c r="L2741" s="8" t="str">
        <f ca="1">IFERROR(__xludf.DUMMYFUNCTION("GOOGLEFINANCE(""NSE:""&amp;D2741,""price"")"),"#N/A")</f>
        <v>#N/A</v>
      </c>
      <c r="M2741" s="9" t="e">
        <f t="shared" ca="1" si="57"/>
        <v>#VALUE!</v>
      </c>
      <c r="N2741" s="10" t="e">
        <f t="shared" ca="1" si="58"/>
        <v>#VALUE!</v>
      </c>
      <c r="O2741" s="7" t="str">
        <f ca="1">IFERROR(__xludf.DUMMYFUNCTION("GOOGLEFINANCE(""NSE:""&amp;D2741,""pe"")"),"#N/A")</f>
        <v>#N/A</v>
      </c>
      <c r="P2741" s="7" t="str">
        <f ca="1">IFERROR(__xludf.DUMMYFUNCTION("GOOGLEFINANCE(""NSE:""&amp;D2741,""EPS"")"),"#N/A")</f>
        <v>#N/A</v>
      </c>
      <c r="Q2741" s="7">
        <v>13.5</v>
      </c>
      <c r="R2741" s="7" t="str">
        <f ca="1">IFERROR(__xludf.DUMMYFUNCTION("IMPORTXML(E2741,""/html/body/main/div[3]/div[3]/div[2]/ul/li[7]/span[2]/span"")"),"Loading...")</f>
        <v>Loading...</v>
      </c>
      <c r="S2741" s="7" t="str">
        <f ca="1">IFERROR(__xludf.DUMMYFUNCTION("IMPORTXML(E2741,""/html/body/main/div[3]/div[3]/div[2]/ul/li[8]/span[2]/span"")"),"Loading...")</f>
        <v>Loading...</v>
      </c>
      <c r="T2741" s="4">
        <v>34.6</v>
      </c>
      <c r="U2741" s="4">
        <v>22.7</v>
      </c>
      <c r="V2741" s="4">
        <v>2.6</v>
      </c>
      <c r="W2741" s="4">
        <v>5.7</v>
      </c>
      <c r="X2741" s="4">
        <v>519.92999999999995</v>
      </c>
      <c r="Y2741" s="7" t="e">
        <f t="shared" ca="1" si="59"/>
        <v>#VALUE!</v>
      </c>
    </row>
    <row r="2742" spans="1:25" ht="15" x14ac:dyDescent="0.25">
      <c r="A2742" s="4">
        <v>2693</v>
      </c>
      <c r="C2742" s="41" t="s">
        <v>5032</v>
      </c>
      <c r="D2742" s="42"/>
      <c r="E2742" s="5" t="str">
        <f t="shared" si="55"/>
        <v>https://www.screener.in/company//consolidated/</v>
      </c>
      <c r="F2742" s="4">
        <v>443059</v>
      </c>
      <c r="G2742" s="4">
        <v>3832241897</v>
      </c>
      <c r="H2742" s="6" t="e">
        <f t="shared" ca="1" si="56"/>
        <v>#VALUE!</v>
      </c>
      <c r="I2742" s="7" t="str">
        <f ca="1">IFERROR(__xludf.DUMMYFUNCTION("IMPORTXML(E2742,""/html/body/main/div[3]/div[3]/div[2]/ul/li[5]/span[2]/span"")"),"Loading...")</f>
        <v>Loading...</v>
      </c>
      <c r="J2742" s="7" t="str">
        <f ca="1">IFERROR(__xludf.DUMMYFUNCTION("GOOGLEFINANCE(""NSE:""&amp;D2742,""marketcap"")"),"#N/A")</f>
        <v>#N/A</v>
      </c>
      <c r="K2742" s="7">
        <v>992.8</v>
      </c>
      <c r="L2742" s="8" t="str">
        <f ca="1">IFERROR(__xludf.DUMMYFUNCTION("GOOGLEFINANCE(""NSE:""&amp;D2742,""price"")"),"#N/A")</f>
        <v>#N/A</v>
      </c>
      <c r="M2742" s="9" t="e">
        <f t="shared" ca="1" si="57"/>
        <v>#VALUE!</v>
      </c>
      <c r="N2742" s="10" t="e">
        <f t="shared" ca="1" si="58"/>
        <v>#VALUE!</v>
      </c>
      <c r="O2742" s="7" t="str">
        <f ca="1">IFERROR(__xludf.DUMMYFUNCTION("GOOGLEFINANCE(""NSE:""&amp;D2742,""pe"")"),"#N/A")</f>
        <v>#N/A</v>
      </c>
      <c r="P2742" s="7" t="str">
        <f ca="1">IFERROR(__xludf.DUMMYFUNCTION("GOOGLEFINANCE(""NSE:""&amp;D2742,""EPS"")"),"#N/A")</f>
        <v>#N/A</v>
      </c>
      <c r="Q2742" s="7">
        <v>13.5</v>
      </c>
      <c r="R2742" s="7" t="str">
        <f ca="1">IFERROR(__xludf.DUMMYFUNCTION("IMPORTXML(E2742,""/html/body/main/div[3]/div[3]/div[2]/ul/li[7]/span[2]/span"")"),"Loading...")</f>
        <v>Loading...</v>
      </c>
      <c r="S2742" s="7" t="str">
        <f ca="1">IFERROR(__xludf.DUMMYFUNCTION("IMPORTXML(E2742,""/html/body/main/div[3]/div[3]/div[2]/ul/li[8]/span[2]/span"")"),"Loading...")</f>
        <v>Loading...</v>
      </c>
      <c r="T2742" s="4">
        <v>34.6</v>
      </c>
      <c r="U2742" s="4">
        <v>22.7</v>
      </c>
      <c r="V2742" s="4">
        <v>2.6</v>
      </c>
      <c r="W2742" s="4">
        <v>5.7</v>
      </c>
      <c r="X2742" s="4">
        <v>519.92999999999995</v>
      </c>
      <c r="Y2742" s="7" t="e">
        <f t="shared" ca="1" si="59"/>
        <v>#VALUE!</v>
      </c>
    </row>
    <row r="2743" spans="1:25" ht="15" x14ac:dyDescent="0.25">
      <c r="A2743" s="4">
        <v>2694</v>
      </c>
      <c r="C2743" s="41" t="s">
        <v>5033</v>
      </c>
      <c r="D2743" s="42"/>
      <c r="E2743" s="5" t="str">
        <f t="shared" si="55"/>
        <v>https://www.screener.in/company//consolidated/</v>
      </c>
      <c r="F2743" s="4">
        <v>443059</v>
      </c>
      <c r="G2743" s="4">
        <v>3832241897</v>
      </c>
      <c r="H2743" s="6" t="e">
        <f t="shared" ca="1" si="56"/>
        <v>#VALUE!</v>
      </c>
      <c r="I2743" s="7" t="str">
        <f ca="1">IFERROR(__xludf.DUMMYFUNCTION("IMPORTXML(E2743,""/html/body/main/div[3]/div[3]/div[2]/ul/li[5]/span[2]/span"")"),"Loading...")</f>
        <v>Loading...</v>
      </c>
      <c r="J2743" s="7" t="str">
        <f ca="1">IFERROR(__xludf.DUMMYFUNCTION("GOOGLEFINANCE(""NSE:""&amp;D2743,""marketcap"")"),"#N/A")</f>
        <v>#N/A</v>
      </c>
      <c r="K2743" s="7">
        <v>992.8</v>
      </c>
      <c r="L2743" s="8" t="str">
        <f ca="1">IFERROR(__xludf.DUMMYFUNCTION("GOOGLEFINANCE(""NSE:""&amp;D2743,""price"")"),"#N/A")</f>
        <v>#N/A</v>
      </c>
      <c r="M2743" s="9" t="e">
        <f t="shared" ca="1" si="57"/>
        <v>#VALUE!</v>
      </c>
      <c r="N2743" s="10" t="e">
        <f t="shared" ca="1" si="58"/>
        <v>#VALUE!</v>
      </c>
      <c r="O2743" s="7" t="str">
        <f ca="1">IFERROR(__xludf.DUMMYFUNCTION("GOOGLEFINANCE(""NSE:""&amp;D2743,""pe"")"),"#N/A")</f>
        <v>#N/A</v>
      </c>
      <c r="P2743" s="7" t="str">
        <f ca="1">IFERROR(__xludf.DUMMYFUNCTION("GOOGLEFINANCE(""NSE:""&amp;D2743,""EPS"")"),"#N/A")</f>
        <v>#N/A</v>
      </c>
      <c r="Q2743" s="7">
        <v>13.5</v>
      </c>
      <c r="R2743" s="7" t="str">
        <f ca="1">IFERROR(__xludf.DUMMYFUNCTION("IMPORTXML(E2743,""/html/body/main/div[3]/div[3]/div[2]/ul/li[7]/span[2]/span"")"),"Loading...")</f>
        <v>Loading...</v>
      </c>
      <c r="S2743" s="7" t="str">
        <f ca="1">IFERROR(__xludf.DUMMYFUNCTION("IMPORTXML(E2743,""/html/body/main/div[3]/div[3]/div[2]/ul/li[8]/span[2]/span"")"),"Loading...")</f>
        <v>Loading...</v>
      </c>
      <c r="T2743" s="4">
        <v>34.6</v>
      </c>
      <c r="U2743" s="4">
        <v>22.7</v>
      </c>
      <c r="V2743" s="4">
        <v>2.6</v>
      </c>
      <c r="W2743" s="4">
        <v>5.7</v>
      </c>
      <c r="X2743" s="4">
        <v>519.92999999999995</v>
      </c>
      <c r="Y2743" s="7" t="e">
        <f t="shared" ca="1" si="59"/>
        <v>#VALUE!</v>
      </c>
    </row>
    <row r="2744" spans="1:25" ht="15" x14ac:dyDescent="0.25">
      <c r="A2744" s="4">
        <v>2695</v>
      </c>
      <c r="C2744" s="41" t="s">
        <v>5034</v>
      </c>
      <c r="D2744" s="42"/>
      <c r="E2744" s="5" t="str">
        <f t="shared" si="55"/>
        <v>https://www.screener.in/company//consolidated/</v>
      </c>
      <c r="F2744" s="4">
        <v>443059</v>
      </c>
      <c r="G2744" s="4">
        <v>3832241897</v>
      </c>
      <c r="H2744" s="6" t="e">
        <f t="shared" ca="1" si="56"/>
        <v>#VALUE!</v>
      </c>
      <c r="I2744" s="7" t="str">
        <f ca="1">IFERROR(__xludf.DUMMYFUNCTION("IMPORTXML(E2744,""/html/body/main/div[3]/div[3]/div[2]/ul/li[5]/span[2]/span"")"),"Loading...")</f>
        <v>Loading...</v>
      </c>
      <c r="J2744" s="7" t="str">
        <f ca="1">IFERROR(__xludf.DUMMYFUNCTION("GOOGLEFINANCE(""NSE:""&amp;D2744,""marketcap"")"),"#N/A")</f>
        <v>#N/A</v>
      </c>
      <c r="K2744" s="7">
        <v>992.8</v>
      </c>
      <c r="L2744" s="8" t="str">
        <f ca="1">IFERROR(__xludf.DUMMYFUNCTION("GOOGLEFINANCE(""NSE:""&amp;D2744,""price"")"),"#N/A")</f>
        <v>#N/A</v>
      </c>
      <c r="M2744" s="9" t="e">
        <f t="shared" ca="1" si="57"/>
        <v>#VALUE!</v>
      </c>
      <c r="N2744" s="10" t="e">
        <f t="shared" ca="1" si="58"/>
        <v>#VALUE!</v>
      </c>
      <c r="O2744" s="7" t="str">
        <f ca="1">IFERROR(__xludf.DUMMYFUNCTION("GOOGLEFINANCE(""NSE:""&amp;D2744,""pe"")"),"#N/A")</f>
        <v>#N/A</v>
      </c>
      <c r="P2744" s="7" t="str">
        <f ca="1">IFERROR(__xludf.DUMMYFUNCTION("GOOGLEFINANCE(""NSE:""&amp;D2744,""EPS"")"),"#N/A")</f>
        <v>#N/A</v>
      </c>
      <c r="Q2744" s="7">
        <v>13.5</v>
      </c>
      <c r="R2744" s="7" t="str">
        <f ca="1">IFERROR(__xludf.DUMMYFUNCTION("IMPORTXML(E2744,""/html/body/main/div[3]/div[3]/div[2]/ul/li[7]/span[2]/span"")"),"Loading...")</f>
        <v>Loading...</v>
      </c>
      <c r="S2744" s="7" t="str">
        <f ca="1">IFERROR(__xludf.DUMMYFUNCTION("IMPORTXML(E2744,""/html/body/main/div[3]/div[3]/div[2]/ul/li[8]/span[2]/span"")"),"Loading...")</f>
        <v>Loading...</v>
      </c>
      <c r="T2744" s="4">
        <v>34.6</v>
      </c>
      <c r="U2744" s="4">
        <v>22.7</v>
      </c>
      <c r="V2744" s="4">
        <v>2.6</v>
      </c>
      <c r="W2744" s="4">
        <v>5.7</v>
      </c>
      <c r="X2744" s="4">
        <v>519.92999999999995</v>
      </c>
      <c r="Y2744" s="7" t="e">
        <f t="shared" ca="1" si="59"/>
        <v>#VALUE!</v>
      </c>
    </row>
    <row r="2745" spans="1:25" ht="15" x14ac:dyDescent="0.25">
      <c r="A2745" s="4">
        <v>2696</v>
      </c>
      <c r="C2745" s="41" t="s">
        <v>5035</v>
      </c>
      <c r="D2745" s="42"/>
      <c r="E2745" s="5" t="str">
        <f t="shared" si="55"/>
        <v>https://www.screener.in/company//consolidated/</v>
      </c>
      <c r="F2745" s="4">
        <v>443059</v>
      </c>
      <c r="G2745" s="4">
        <v>3832241897</v>
      </c>
      <c r="H2745" s="6" t="e">
        <f t="shared" ca="1" si="56"/>
        <v>#VALUE!</v>
      </c>
      <c r="I2745" s="7" t="str">
        <f ca="1">IFERROR(__xludf.DUMMYFUNCTION("IMPORTXML(E2745,""/html/body/main/div[3]/div[3]/div[2]/ul/li[5]/span[2]/span"")"),"Loading...")</f>
        <v>Loading...</v>
      </c>
      <c r="J2745" s="7" t="str">
        <f ca="1">IFERROR(__xludf.DUMMYFUNCTION("GOOGLEFINANCE(""NSE:""&amp;D2745,""marketcap"")"),"#N/A")</f>
        <v>#N/A</v>
      </c>
      <c r="K2745" s="7">
        <v>992.8</v>
      </c>
      <c r="L2745" s="8" t="str">
        <f ca="1">IFERROR(__xludf.DUMMYFUNCTION("GOOGLEFINANCE(""NSE:""&amp;D2745,""price"")"),"#N/A")</f>
        <v>#N/A</v>
      </c>
      <c r="M2745" s="9" t="e">
        <f t="shared" ca="1" si="57"/>
        <v>#VALUE!</v>
      </c>
      <c r="N2745" s="10" t="e">
        <f t="shared" ca="1" si="58"/>
        <v>#VALUE!</v>
      </c>
      <c r="O2745" s="7" t="str">
        <f ca="1">IFERROR(__xludf.DUMMYFUNCTION("GOOGLEFINANCE(""NSE:""&amp;D2745,""pe"")"),"#N/A")</f>
        <v>#N/A</v>
      </c>
      <c r="P2745" s="7" t="str">
        <f ca="1">IFERROR(__xludf.DUMMYFUNCTION("GOOGLEFINANCE(""NSE:""&amp;D2745,""EPS"")"),"#N/A")</f>
        <v>#N/A</v>
      </c>
      <c r="Q2745" s="7">
        <v>13.5</v>
      </c>
      <c r="R2745" s="7" t="str">
        <f ca="1">IFERROR(__xludf.DUMMYFUNCTION("IMPORTXML(E2745,""/html/body/main/div[3]/div[3]/div[2]/ul/li[7]/span[2]/span"")"),"Loading...")</f>
        <v>Loading...</v>
      </c>
      <c r="S2745" s="7" t="str">
        <f ca="1">IFERROR(__xludf.DUMMYFUNCTION("IMPORTXML(E2745,""/html/body/main/div[3]/div[3]/div[2]/ul/li[8]/span[2]/span"")"),"Loading...")</f>
        <v>Loading...</v>
      </c>
      <c r="T2745" s="4">
        <v>34.6</v>
      </c>
      <c r="U2745" s="4">
        <v>22.7</v>
      </c>
      <c r="V2745" s="4">
        <v>2.6</v>
      </c>
      <c r="W2745" s="4">
        <v>5.7</v>
      </c>
      <c r="X2745" s="4">
        <v>519.92999999999995</v>
      </c>
      <c r="Y2745" s="7" t="e">
        <f t="shared" ca="1" si="59"/>
        <v>#VALUE!</v>
      </c>
    </row>
    <row r="2746" spans="1:25" ht="15" x14ac:dyDescent="0.25">
      <c r="A2746" s="4">
        <v>2697</v>
      </c>
      <c r="C2746" s="41" t="s">
        <v>5036</v>
      </c>
      <c r="D2746" s="42"/>
      <c r="E2746" s="5" t="str">
        <f t="shared" si="55"/>
        <v>https://www.screener.in/company//consolidated/</v>
      </c>
      <c r="F2746" s="4">
        <v>443059</v>
      </c>
      <c r="G2746" s="4">
        <v>3832241897</v>
      </c>
      <c r="H2746" s="6" t="e">
        <f t="shared" ca="1" si="56"/>
        <v>#VALUE!</v>
      </c>
      <c r="I2746" s="7" t="str">
        <f ca="1">IFERROR(__xludf.DUMMYFUNCTION("IMPORTXML(E2746,""/html/body/main/div[3]/div[3]/div[2]/ul/li[5]/span[2]/span"")"),"Loading...")</f>
        <v>Loading...</v>
      </c>
      <c r="J2746" s="7" t="str">
        <f ca="1">IFERROR(__xludf.DUMMYFUNCTION("GOOGLEFINANCE(""NSE:""&amp;D2746,""marketcap"")"),"#N/A")</f>
        <v>#N/A</v>
      </c>
      <c r="K2746" s="7">
        <v>992.8</v>
      </c>
      <c r="L2746" s="8" t="str">
        <f ca="1">IFERROR(__xludf.DUMMYFUNCTION("GOOGLEFINANCE(""NSE:""&amp;D2746,""price"")"),"#N/A")</f>
        <v>#N/A</v>
      </c>
      <c r="M2746" s="9" t="e">
        <f t="shared" ca="1" si="57"/>
        <v>#VALUE!</v>
      </c>
      <c r="N2746" s="10" t="e">
        <f t="shared" ca="1" si="58"/>
        <v>#VALUE!</v>
      </c>
      <c r="O2746" s="7" t="str">
        <f ca="1">IFERROR(__xludf.DUMMYFUNCTION("GOOGLEFINANCE(""NSE:""&amp;D2746,""pe"")"),"#N/A")</f>
        <v>#N/A</v>
      </c>
      <c r="P2746" s="7" t="str">
        <f ca="1">IFERROR(__xludf.DUMMYFUNCTION("GOOGLEFINANCE(""NSE:""&amp;D2746,""EPS"")"),"#N/A")</f>
        <v>#N/A</v>
      </c>
      <c r="Q2746" s="7">
        <v>13.5</v>
      </c>
      <c r="R2746" s="7" t="str">
        <f ca="1">IFERROR(__xludf.DUMMYFUNCTION("IMPORTXML(E2746,""/html/body/main/div[3]/div[3]/div[2]/ul/li[7]/span[2]/span"")"),"Loading...")</f>
        <v>Loading...</v>
      </c>
      <c r="S2746" s="7" t="str">
        <f ca="1">IFERROR(__xludf.DUMMYFUNCTION("IMPORTXML(E2746,""/html/body/main/div[3]/div[3]/div[2]/ul/li[8]/span[2]/span"")"),"Loading...")</f>
        <v>Loading...</v>
      </c>
      <c r="T2746" s="4">
        <v>34.6</v>
      </c>
      <c r="U2746" s="4">
        <v>22.7</v>
      </c>
      <c r="V2746" s="4">
        <v>2.6</v>
      </c>
      <c r="W2746" s="4">
        <v>5.7</v>
      </c>
      <c r="X2746" s="4">
        <v>519.92999999999995</v>
      </c>
      <c r="Y2746" s="7" t="e">
        <f t="shared" ca="1" si="59"/>
        <v>#VALUE!</v>
      </c>
    </row>
    <row r="2747" spans="1:25" ht="15" x14ac:dyDescent="0.25">
      <c r="A2747" s="4">
        <v>2698</v>
      </c>
      <c r="C2747" s="12" t="s">
        <v>5037</v>
      </c>
      <c r="D2747" s="12" t="s">
        <v>5038</v>
      </c>
      <c r="E2747" s="5" t="str">
        <f t="shared" si="55"/>
        <v>https://www.screener.in/company/SITINET/consolidated/</v>
      </c>
      <c r="F2747" s="4">
        <v>443059</v>
      </c>
      <c r="G2747" s="4">
        <v>3832241897</v>
      </c>
      <c r="H2747" s="6">
        <f t="shared" ca="1" si="56"/>
        <v>195.44433674699999</v>
      </c>
      <c r="I2747" s="7" t="str">
        <f ca="1">IFERROR(__xludf.DUMMYFUNCTION("IMPORTXML(E2747,""/html/body/main/div[3]/div[3]/div[2]/ul/li[5]/span[2]/span"")"),"Loading...")</f>
        <v>Loading...</v>
      </c>
      <c r="J2747" s="7">
        <f ca="1">IFERROR(__xludf.DUMMYFUNCTION("GOOGLEFINANCE(""NSE:""&amp;D2747,""marketcap"")"),444747429)</f>
        <v>444747429</v>
      </c>
      <c r="K2747" s="7">
        <v>992.8</v>
      </c>
      <c r="L2747" s="8">
        <f ca="1">IFERROR(__xludf.DUMMYFUNCTION("GOOGLEFINANCE(""NSE:""&amp;D2747,""price"")"),0.51)</f>
        <v>0.51</v>
      </c>
      <c r="M2747" s="9">
        <f t="shared" ca="1" si="57"/>
        <v>-992.29</v>
      </c>
      <c r="N2747" s="10">
        <f t="shared" ca="1" si="58"/>
        <v>-99.94863013698631</v>
      </c>
      <c r="O2747" s="7" t="str">
        <f ca="1">IFERROR(__xludf.DUMMYFUNCTION("GOOGLEFINANCE(""NSE:""&amp;D2747,""pe"")"),"#N/A")</f>
        <v>#N/A</v>
      </c>
      <c r="P2747" s="7">
        <f ca="1">IFERROR(__xludf.DUMMYFUNCTION("GOOGLEFINANCE(""NSE:""&amp;D2747,""EPS"")"),-2.4)</f>
        <v>-2.4</v>
      </c>
      <c r="Q2747" s="7">
        <v>13.5</v>
      </c>
      <c r="R2747" s="7" t="str">
        <f ca="1">IFERROR(__xludf.DUMMYFUNCTION("IMPORTXML(E2747,""/html/body/main/div[3]/div[3]/div[2]/ul/li[7]/span[2]/span"")"),"Loading...")</f>
        <v>Loading...</v>
      </c>
      <c r="S2747" s="7" t="str">
        <f ca="1">IFERROR(__xludf.DUMMYFUNCTION("IMPORTXML(E2747,""/html/body/main/div[3]/div[3]/div[2]/ul/li[8]/span[2]/span"")"),"Loading...")</f>
        <v>Loading...</v>
      </c>
      <c r="T2747" s="4">
        <v>34.6</v>
      </c>
      <c r="U2747" s="4">
        <v>22.7</v>
      </c>
      <c r="V2747" s="4">
        <v>2.6</v>
      </c>
      <c r="W2747" s="4">
        <v>5.7</v>
      </c>
      <c r="X2747" s="4">
        <v>519.92999999999995</v>
      </c>
      <c r="Y2747" s="7">
        <f t="shared" ca="1" si="59"/>
        <v>-519.41999999999996</v>
      </c>
    </row>
    <row r="2748" spans="1:25" ht="15" x14ac:dyDescent="0.25">
      <c r="A2748" s="4">
        <v>2699</v>
      </c>
      <c r="C2748" s="41" t="s">
        <v>5039</v>
      </c>
      <c r="D2748" s="42"/>
      <c r="E2748" s="5" t="str">
        <f t="shared" si="55"/>
        <v>https://www.screener.in/company//consolidated/</v>
      </c>
      <c r="F2748" s="4">
        <v>443059</v>
      </c>
      <c r="G2748" s="4">
        <v>3832241897</v>
      </c>
      <c r="H2748" s="6" t="e">
        <f t="shared" ca="1" si="56"/>
        <v>#VALUE!</v>
      </c>
      <c r="I2748" s="7" t="str">
        <f ca="1">IFERROR(__xludf.DUMMYFUNCTION("IMPORTXML(E2748,""/html/body/main/div[3]/div[3]/div[2]/ul/li[5]/span[2]/span"")"),"Loading...")</f>
        <v>Loading...</v>
      </c>
      <c r="J2748" s="7" t="str">
        <f ca="1">IFERROR(__xludf.DUMMYFUNCTION("GOOGLEFINANCE(""NSE:""&amp;D2748,""marketcap"")"),"#N/A")</f>
        <v>#N/A</v>
      </c>
      <c r="K2748" s="7">
        <v>992.8</v>
      </c>
      <c r="L2748" s="8" t="str">
        <f ca="1">IFERROR(__xludf.DUMMYFUNCTION("GOOGLEFINANCE(""NSE:""&amp;D2748,""price"")"),"#N/A")</f>
        <v>#N/A</v>
      </c>
      <c r="M2748" s="9" t="e">
        <f t="shared" ca="1" si="57"/>
        <v>#VALUE!</v>
      </c>
      <c r="N2748" s="10" t="e">
        <f t="shared" ca="1" si="58"/>
        <v>#VALUE!</v>
      </c>
      <c r="O2748" s="7" t="str">
        <f ca="1">IFERROR(__xludf.DUMMYFUNCTION("GOOGLEFINANCE(""NSE:""&amp;D2748,""pe"")"),"#N/A")</f>
        <v>#N/A</v>
      </c>
      <c r="P2748" s="7" t="str">
        <f ca="1">IFERROR(__xludf.DUMMYFUNCTION("GOOGLEFINANCE(""NSE:""&amp;D2748,""EPS"")"),"#N/A")</f>
        <v>#N/A</v>
      </c>
      <c r="Q2748" s="7">
        <v>13.5</v>
      </c>
      <c r="R2748" s="7" t="str">
        <f ca="1">IFERROR(__xludf.DUMMYFUNCTION("IMPORTXML(E2748,""/html/body/main/div[3]/div[3]/div[2]/ul/li[7]/span[2]/span"")"),"Loading...")</f>
        <v>Loading...</v>
      </c>
      <c r="S2748" s="7" t="str">
        <f ca="1">IFERROR(__xludf.DUMMYFUNCTION("IMPORTXML(E2748,""/html/body/main/div[3]/div[3]/div[2]/ul/li[8]/span[2]/span"")"),"Loading...")</f>
        <v>Loading...</v>
      </c>
      <c r="T2748" s="4">
        <v>34.6</v>
      </c>
      <c r="U2748" s="4">
        <v>22.7</v>
      </c>
      <c r="V2748" s="4">
        <v>2.6</v>
      </c>
      <c r="W2748" s="4">
        <v>5.7</v>
      </c>
      <c r="X2748" s="4">
        <v>519.92999999999995</v>
      </c>
      <c r="Y2748" s="7" t="e">
        <f t="shared" ca="1" si="59"/>
        <v>#VALUE!</v>
      </c>
    </row>
    <row r="2749" spans="1:25" ht="15" x14ac:dyDescent="0.25">
      <c r="A2749" s="4">
        <v>2701</v>
      </c>
      <c r="C2749" s="41" t="s">
        <v>5040</v>
      </c>
      <c r="D2749" s="42"/>
      <c r="E2749" s="5" t="str">
        <f t="shared" si="55"/>
        <v>https://www.screener.in/company//consolidated/</v>
      </c>
      <c r="F2749" s="4">
        <v>443059</v>
      </c>
      <c r="G2749" s="4">
        <v>3832241897</v>
      </c>
      <c r="H2749" s="6" t="e">
        <f t="shared" ca="1" si="56"/>
        <v>#VALUE!</v>
      </c>
      <c r="I2749" s="7" t="str">
        <f ca="1">IFERROR(__xludf.DUMMYFUNCTION("IMPORTXML(E2749,""/html/body/main/div[3]/div[3]/div[2]/ul/li[5]/span[2]/span"")"),"Loading...")</f>
        <v>Loading...</v>
      </c>
      <c r="J2749" s="7" t="str">
        <f ca="1">IFERROR(__xludf.DUMMYFUNCTION("GOOGLEFINANCE(""NSE:""&amp;D2749,""marketcap"")"),"#N/A")</f>
        <v>#N/A</v>
      </c>
      <c r="K2749" s="7">
        <v>992.8</v>
      </c>
      <c r="L2749" s="8" t="str">
        <f ca="1">IFERROR(__xludf.DUMMYFUNCTION("GOOGLEFINANCE(""NSE:""&amp;D2749,""price"")"),"#N/A")</f>
        <v>#N/A</v>
      </c>
      <c r="M2749" s="9" t="e">
        <f t="shared" ca="1" si="57"/>
        <v>#VALUE!</v>
      </c>
      <c r="N2749" s="10" t="e">
        <f t="shared" ca="1" si="58"/>
        <v>#VALUE!</v>
      </c>
      <c r="O2749" s="7" t="str">
        <f ca="1">IFERROR(__xludf.DUMMYFUNCTION("GOOGLEFINANCE(""NSE:""&amp;D2749,""pe"")"),"#N/A")</f>
        <v>#N/A</v>
      </c>
      <c r="P2749" s="7" t="str">
        <f ca="1">IFERROR(__xludf.DUMMYFUNCTION("GOOGLEFINANCE(""NSE:""&amp;D2749,""EPS"")"),"#N/A")</f>
        <v>#N/A</v>
      </c>
      <c r="Q2749" s="7">
        <v>13.5</v>
      </c>
      <c r="R2749" s="7" t="str">
        <f ca="1">IFERROR(__xludf.DUMMYFUNCTION("IMPORTXML(E2749,""/html/body/main/div[3]/div[3]/div[2]/ul/li[7]/span[2]/span"")"),"Loading...")</f>
        <v>Loading...</v>
      </c>
      <c r="S2749" s="7" t="str">
        <f ca="1">IFERROR(__xludf.DUMMYFUNCTION("IMPORTXML(E2749,""/html/body/main/div[3]/div[3]/div[2]/ul/li[8]/span[2]/span"")"),"Loading...")</f>
        <v>Loading...</v>
      </c>
      <c r="T2749" s="4">
        <v>34.6</v>
      </c>
      <c r="U2749" s="4">
        <v>22.7</v>
      </c>
      <c r="V2749" s="4">
        <v>2.6</v>
      </c>
      <c r="W2749" s="4">
        <v>5.7</v>
      </c>
      <c r="X2749" s="4">
        <v>519.92999999999995</v>
      </c>
      <c r="Y2749" s="7" t="e">
        <f t="shared" ca="1" si="59"/>
        <v>#VALUE!</v>
      </c>
    </row>
    <row r="2750" spans="1:25" ht="15" x14ac:dyDescent="0.25">
      <c r="A2750" s="4">
        <v>2702</v>
      </c>
      <c r="C2750" s="41" t="s">
        <v>5041</v>
      </c>
      <c r="D2750" s="42"/>
      <c r="E2750" s="5" t="str">
        <f t="shared" si="55"/>
        <v>https://www.screener.in/company//consolidated/</v>
      </c>
      <c r="F2750" s="4">
        <v>443059</v>
      </c>
      <c r="G2750" s="4">
        <v>3832241897</v>
      </c>
      <c r="H2750" s="6" t="e">
        <f t="shared" ca="1" si="56"/>
        <v>#VALUE!</v>
      </c>
      <c r="I2750" s="7" t="str">
        <f ca="1">IFERROR(__xludf.DUMMYFUNCTION("IMPORTXML(E2750,""/html/body/main/div[3]/div[3]/div[2]/ul/li[5]/span[2]/span"")"),"Loading...")</f>
        <v>Loading...</v>
      </c>
      <c r="J2750" s="7" t="str">
        <f ca="1">IFERROR(__xludf.DUMMYFUNCTION("GOOGLEFINANCE(""NSE:""&amp;D2750,""marketcap"")"),"#N/A")</f>
        <v>#N/A</v>
      </c>
      <c r="K2750" s="7">
        <v>992.8</v>
      </c>
      <c r="L2750" s="8" t="str">
        <f ca="1">IFERROR(__xludf.DUMMYFUNCTION("GOOGLEFINANCE(""NSE:""&amp;D2750,""price"")"),"#N/A")</f>
        <v>#N/A</v>
      </c>
      <c r="M2750" s="9" t="e">
        <f t="shared" ca="1" si="57"/>
        <v>#VALUE!</v>
      </c>
      <c r="N2750" s="10" t="e">
        <f t="shared" ca="1" si="58"/>
        <v>#VALUE!</v>
      </c>
      <c r="O2750" s="7" t="str">
        <f ca="1">IFERROR(__xludf.DUMMYFUNCTION("GOOGLEFINANCE(""NSE:""&amp;D2750,""pe"")"),"#N/A")</f>
        <v>#N/A</v>
      </c>
      <c r="P2750" s="7" t="str">
        <f ca="1">IFERROR(__xludf.DUMMYFUNCTION("GOOGLEFINANCE(""NSE:""&amp;D2750,""EPS"")"),"#N/A")</f>
        <v>#N/A</v>
      </c>
      <c r="Q2750" s="7">
        <v>13.5</v>
      </c>
      <c r="R2750" s="7" t="str">
        <f ca="1">IFERROR(__xludf.DUMMYFUNCTION("IMPORTXML(E2750,""/html/body/main/div[3]/div[3]/div[2]/ul/li[7]/span[2]/span"")"),"Loading...")</f>
        <v>Loading...</v>
      </c>
      <c r="S2750" s="7" t="str">
        <f ca="1">IFERROR(__xludf.DUMMYFUNCTION("IMPORTXML(E2750,""/html/body/main/div[3]/div[3]/div[2]/ul/li[8]/span[2]/span"")"),"Loading...")</f>
        <v>Loading...</v>
      </c>
      <c r="T2750" s="4">
        <v>34.6</v>
      </c>
      <c r="U2750" s="4">
        <v>22.7</v>
      </c>
      <c r="V2750" s="4">
        <v>2.6</v>
      </c>
      <c r="W2750" s="4">
        <v>5.7</v>
      </c>
      <c r="X2750" s="4">
        <v>519.92999999999995</v>
      </c>
      <c r="Y2750" s="7" t="e">
        <f t="shared" ca="1" si="59"/>
        <v>#VALUE!</v>
      </c>
    </row>
    <row r="2751" spans="1:25" ht="15" x14ac:dyDescent="0.25">
      <c r="A2751" s="4">
        <v>2704</v>
      </c>
      <c r="C2751" s="41" t="s">
        <v>5042</v>
      </c>
      <c r="D2751" s="42"/>
      <c r="E2751" s="5" t="str">
        <f t="shared" si="55"/>
        <v>https://www.screener.in/company//consolidated/</v>
      </c>
      <c r="F2751" s="4">
        <v>443059</v>
      </c>
      <c r="G2751" s="4">
        <v>3832241897</v>
      </c>
      <c r="H2751" s="6" t="e">
        <f t="shared" ca="1" si="56"/>
        <v>#VALUE!</v>
      </c>
      <c r="I2751" s="7" t="str">
        <f ca="1">IFERROR(__xludf.DUMMYFUNCTION("IMPORTXML(E2751,""/html/body/main/div[3]/div[3]/div[2]/ul/li[5]/span[2]/span"")"),"Loading...")</f>
        <v>Loading...</v>
      </c>
      <c r="J2751" s="7" t="str">
        <f ca="1">IFERROR(__xludf.DUMMYFUNCTION("GOOGLEFINANCE(""NSE:""&amp;D2751,""marketcap"")"),"#N/A")</f>
        <v>#N/A</v>
      </c>
      <c r="K2751" s="7">
        <v>992.8</v>
      </c>
      <c r="L2751" s="8" t="str">
        <f ca="1">IFERROR(__xludf.DUMMYFUNCTION("GOOGLEFINANCE(""NSE:""&amp;D2751,""price"")"),"#N/A")</f>
        <v>#N/A</v>
      </c>
      <c r="M2751" s="9" t="e">
        <f t="shared" ca="1" si="57"/>
        <v>#VALUE!</v>
      </c>
      <c r="N2751" s="10" t="e">
        <f t="shared" ca="1" si="58"/>
        <v>#VALUE!</v>
      </c>
      <c r="O2751" s="7" t="str">
        <f ca="1">IFERROR(__xludf.DUMMYFUNCTION("GOOGLEFINANCE(""NSE:""&amp;D2751,""pe"")"),"#N/A")</f>
        <v>#N/A</v>
      </c>
      <c r="P2751" s="7" t="str">
        <f ca="1">IFERROR(__xludf.DUMMYFUNCTION("GOOGLEFINANCE(""NSE:""&amp;D2751,""EPS"")"),"#N/A")</f>
        <v>#N/A</v>
      </c>
      <c r="Q2751" s="7">
        <v>13.5</v>
      </c>
      <c r="R2751" s="7" t="str">
        <f ca="1">IFERROR(__xludf.DUMMYFUNCTION("IMPORTXML(E2751,""/html/body/main/div[3]/div[3]/div[2]/ul/li[7]/span[2]/span"")"),"Loading...")</f>
        <v>Loading...</v>
      </c>
      <c r="S2751" s="7" t="str">
        <f ca="1">IFERROR(__xludf.DUMMYFUNCTION("IMPORTXML(E2751,""/html/body/main/div[3]/div[3]/div[2]/ul/li[8]/span[2]/span"")"),"Loading...")</f>
        <v>Loading...</v>
      </c>
      <c r="T2751" s="4">
        <v>34.6</v>
      </c>
      <c r="U2751" s="4">
        <v>22.7</v>
      </c>
      <c r="V2751" s="4">
        <v>2.6</v>
      </c>
      <c r="W2751" s="4">
        <v>5.7</v>
      </c>
      <c r="X2751" s="4">
        <v>519.92999999999995</v>
      </c>
      <c r="Y2751" s="7" t="e">
        <f t="shared" ca="1" si="59"/>
        <v>#VALUE!</v>
      </c>
    </row>
    <row r="2752" spans="1:25" ht="15" x14ac:dyDescent="0.25">
      <c r="A2752" s="4">
        <v>2705</v>
      </c>
      <c r="C2752" s="41" t="s">
        <v>5043</v>
      </c>
      <c r="D2752" s="42"/>
      <c r="E2752" s="5" t="str">
        <f t="shared" si="55"/>
        <v>https://www.screener.in/company//consolidated/</v>
      </c>
      <c r="F2752" s="4">
        <v>443059</v>
      </c>
      <c r="G2752" s="4">
        <v>3832241897</v>
      </c>
      <c r="H2752" s="6" t="e">
        <f t="shared" ca="1" si="56"/>
        <v>#VALUE!</v>
      </c>
      <c r="I2752" s="7" t="str">
        <f ca="1">IFERROR(__xludf.DUMMYFUNCTION("IMPORTXML(E2752,""/html/body/main/div[3]/div[3]/div[2]/ul/li[5]/span[2]/span"")"),"Loading...")</f>
        <v>Loading...</v>
      </c>
      <c r="J2752" s="7" t="str">
        <f ca="1">IFERROR(__xludf.DUMMYFUNCTION("GOOGLEFINANCE(""NSE:""&amp;D2752,""marketcap"")"),"#N/A")</f>
        <v>#N/A</v>
      </c>
      <c r="K2752" s="7">
        <v>992.8</v>
      </c>
      <c r="L2752" s="8" t="str">
        <f ca="1">IFERROR(__xludf.DUMMYFUNCTION("GOOGLEFINANCE(""NSE:""&amp;D2752,""price"")"),"#N/A")</f>
        <v>#N/A</v>
      </c>
      <c r="M2752" s="9" t="e">
        <f t="shared" ca="1" si="57"/>
        <v>#VALUE!</v>
      </c>
      <c r="N2752" s="10" t="e">
        <f t="shared" ca="1" si="58"/>
        <v>#VALUE!</v>
      </c>
      <c r="O2752" s="7" t="str">
        <f ca="1">IFERROR(__xludf.DUMMYFUNCTION("GOOGLEFINANCE(""NSE:""&amp;D2752,""pe"")"),"#N/A")</f>
        <v>#N/A</v>
      </c>
      <c r="P2752" s="7" t="str">
        <f ca="1">IFERROR(__xludf.DUMMYFUNCTION("GOOGLEFINANCE(""NSE:""&amp;D2752,""EPS"")"),"#N/A")</f>
        <v>#N/A</v>
      </c>
      <c r="Q2752" s="7">
        <v>13.5</v>
      </c>
      <c r="R2752" s="7" t="str">
        <f ca="1">IFERROR(__xludf.DUMMYFUNCTION("IMPORTXML(E2752,""/html/body/main/div[3]/div[3]/div[2]/ul/li[7]/span[2]/span"")"),"Loading...")</f>
        <v>Loading...</v>
      </c>
      <c r="S2752" s="7" t="str">
        <f ca="1">IFERROR(__xludf.DUMMYFUNCTION("IMPORTXML(E2752,""/html/body/main/div[3]/div[3]/div[2]/ul/li[8]/span[2]/span"")"),"Loading...")</f>
        <v>Loading...</v>
      </c>
      <c r="T2752" s="4">
        <v>34.6</v>
      </c>
      <c r="U2752" s="4">
        <v>22.7</v>
      </c>
      <c r="V2752" s="4">
        <v>2.6</v>
      </c>
      <c r="W2752" s="4">
        <v>5.7</v>
      </c>
      <c r="X2752" s="4">
        <v>519.92999999999995</v>
      </c>
      <c r="Y2752" s="7" t="e">
        <f t="shared" ca="1" si="59"/>
        <v>#VALUE!</v>
      </c>
    </row>
    <row r="2753" spans="1:25" ht="15" x14ac:dyDescent="0.25">
      <c r="A2753" s="4">
        <v>2706</v>
      </c>
      <c r="C2753" s="41" t="s">
        <v>5044</v>
      </c>
      <c r="D2753" s="42"/>
      <c r="E2753" s="5" t="str">
        <f t="shared" si="55"/>
        <v>https://www.screener.in/company//consolidated/</v>
      </c>
      <c r="F2753" s="4">
        <v>443059</v>
      </c>
      <c r="G2753" s="4">
        <v>3832241897</v>
      </c>
      <c r="H2753" s="6" t="e">
        <f t="shared" ca="1" si="56"/>
        <v>#VALUE!</v>
      </c>
      <c r="I2753" s="7" t="str">
        <f ca="1">IFERROR(__xludf.DUMMYFUNCTION("IMPORTXML(E2753,""/html/body/main/div[3]/div[3]/div[2]/ul/li[5]/span[2]/span"")"),"Loading...")</f>
        <v>Loading...</v>
      </c>
      <c r="J2753" s="7" t="str">
        <f ca="1">IFERROR(__xludf.DUMMYFUNCTION("GOOGLEFINANCE(""NSE:""&amp;D2753,""marketcap"")"),"#N/A")</f>
        <v>#N/A</v>
      </c>
      <c r="K2753" s="7">
        <v>992.8</v>
      </c>
      <c r="L2753" s="8" t="str">
        <f ca="1">IFERROR(__xludf.DUMMYFUNCTION("GOOGLEFINANCE(""NSE:""&amp;D2753,""price"")"),"#N/A")</f>
        <v>#N/A</v>
      </c>
      <c r="M2753" s="9" t="e">
        <f t="shared" ca="1" si="57"/>
        <v>#VALUE!</v>
      </c>
      <c r="N2753" s="10" t="e">
        <f t="shared" ca="1" si="58"/>
        <v>#VALUE!</v>
      </c>
      <c r="O2753" s="7" t="str">
        <f ca="1">IFERROR(__xludf.DUMMYFUNCTION("GOOGLEFINANCE(""NSE:""&amp;D2753,""pe"")"),"#N/A")</f>
        <v>#N/A</v>
      </c>
      <c r="P2753" s="7" t="str">
        <f ca="1">IFERROR(__xludf.DUMMYFUNCTION("GOOGLEFINANCE(""NSE:""&amp;D2753,""EPS"")"),"#N/A")</f>
        <v>#N/A</v>
      </c>
      <c r="Q2753" s="7">
        <v>13.5</v>
      </c>
      <c r="R2753" s="7" t="str">
        <f ca="1">IFERROR(__xludf.DUMMYFUNCTION("IMPORTXML(E2753,""/html/body/main/div[3]/div[3]/div[2]/ul/li[7]/span[2]/span"")"),"Loading...")</f>
        <v>Loading...</v>
      </c>
      <c r="S2753" s="7" t="str">
        <f ca="1">IFERROR(__xludf.DUMMYFUNCTION("IMPORTXML(E2753,""/html/body/main/div[3]/div[3]/div[2]/ul/li[8]/span[2]/span"")"),"Loading...")</f>
        <v>Loading...</v>
      </c>
      <c r="T2753" s="4">
        <v>34.6</v>
      </c>
      <c r="U2753" s="4">
        <v>22.7</v>
      </c>
      <c r="V2753" s="4">
        <v>2.6</v>
      </c>
      <c r="W2753" s="4">
        <v>5.7</v>
      </c>
      <c r="X2753" s="4">
        <v>519.92999999999995</v>
      </c>
      <c r="Y2753" s="7" t="e">
        <f t="shared" ca="1" si="59"/>
        <v>#VALUE!</v>
      </c>
    </row>
    <row r="2754" spans="1:25" ht="15" x14ac:dyDescent="0.25">
      <c r="A2754" s="4">
        <v>2707</v>
      </c>
      <c r="C2754" s="41" t="s">
        <v>5045</v>
      </c>
      <c r="D2754" s="42"/>
      <c r="E2754" s="5" t="str">
        <f t="shared" si="55"/>
        <v>https://www.screener.in/company//consolidated/</v>
      </c>
      <c r="F2754" s="4">
        <v>443059</v>
      </c>
      <c r="G2754" s="4">
        <v>3832241897</v>
      </c>
      <c r="H2754" s="6" t="e">
        <f t="shared" ca="1" si="56"/>
        <v>#VALUE!</v>
      </c>
      <c r="I2754" s="7" t="str">
        <f ca="1">IFERROR(__xludf.DUMMYFUNCTION("IMPORTXML(E2754,""/html/body/main/div[3]/div[3]/div[2]/ul/li[5]/span[2]/span"")"),"Loading...")</f>
        <v>Loading...</v>
      </c>
      <c r="J2754" s="7" t="str">
        <f ca="1">IFERROR(__xludf.DUMMYFUNCTION("GOOGLEFINANCE(""NSE:""&amp;D2754,""marketcap"")"),"#N/A")</f>
        <v>#N/A</v>
      </c>
      <c r="K2754" s="7">
        <v>992.8</v>
      </c>
      <c r="L2754" s="8" t="str">
        <f ca="1">IFERROR(__xludf.DUMMYFUNCTION("GOOGLEFINANCE(""NSE:""&amp;D2754,""price"")"),"#N/A")</f>
        <v>#N/A</v>
      </c>
      <c r="M2754" s="9" t="e">
        <f t="shared" ca="1" si="57"/>
        <v>#VALUE!</v>
      </c>
      <c r="N2754" s="10" t="e">
        <f t="shared" ca="1" si="58"/>
        <v>#VALUE!</v>
      </c>
      <c r="O2754" s="7" t="str">
        <f ca="1">IFERROR(__xludf.DUMMYFUNCTION("GOOGLEFINANCE(""NSE:""&amp;D2754,""pe"")"),"#N/A")</f>
        <v>#N/A</v>
      </c>
      <c r="P2754" s="7" t="str">
        <f ca="1">IFERROR(__xludf.DUMMYFUNCTION("GOOGLEFINANCE(""NSE:""&amp;D2754,""EPS"")"),"#N/A")</f>
        <v>#N/A</v>
      </c>
      <c r="Q2754" s="7">
        <v>13.5</v>
      </c>
      <c r="R2754" s="7" t="str">
        <f ca="1">IFERROR(__xludf.DUMMYFUNCTION("IMPORTXML(E2754,""/html/body/main/div[3]/div[3]/div[2]/ul/li[7]/span[2]/span"")"),"Loading...")</f>
        <v>Loading...</v>
      </c>
      <c r="S2754" s="7" t="str">
        <f ca="1">IFERROR(__xludf.DUMMYFUNCTION("IMPORTXML(E2754,""/html/body/main/div[3]/div[3]/div[2]/ul/li[8]/span[2]/span"")"),"Loading...")</f>
        <v>Loading...</v>
      </c>
      <c r="T2754" s="4">
        <v>34.6</v>
      </c>
      <c r="U2754" s="4">
        <v>22.7</v>
      </c>
      <c r="V2754" s="4">
        <v>2.6</v>
      </c>
      <c r="W2754" s="4">
        <v>5.7</v>
      </c>
      <c r="X2754" s="4">
        <v>519.92999999999995</v>
      </c>
      <c r="Y2754" s="7" t="e">
        <f t="shared" ca="1" si="59"/>
        <v>#VALUE!</v>
      </c>
    </row>
    <row r="2755" spans="1:25" ht="15" x14ac:dyDescent="0.25">
      <c r="A2755" s="4">
        <v>2708</v>
      </c>
      <c r="C2755" s="41" t="s">
        <v>5046</v>
      </c>
      <c r="D2755" s="42"/>
      <c r="E2755" s="5" t="str">
        <f t="shared" si="55"/>
        <v>https://www.screener.in/company//consolidated/</v>
      </c>
      <c r="F2755" s="4">
        <v>443059</v>
      </c>
      <c r="G2755" s="4">
        <v>3832241897</v>
      </c>
      <c r="H2755" s="6" t="e">
        <f t="shared" ca="1" si="56"/>
        <v>#VALUE!</v>
      </c>
      <c r="I2755" s="7" t="str">
        <f ca="1">IFERROR(__xludf.DUMMYFUNCTION("IMPORTXML(E2755,""/html/body/main/div[3]/div[3]/div[2]/ul/li[5]/span[2]/span"")"),"Loading...")</f>
        <v>Loading...</v>
      </c>
      <c r="J2755" s="7" t="str">
        <f ca="1">IFERROR(__xludf.DUMMYFUNCTION("GOOGLEFINANCE(""NSE:""&amp;D2755,""marketcap"")"),"#N/A")</f>
        <v>#N/A</v>
      </c>
      <c r="K2755" s="7">
        <v>992.8</v>
      </c>
      <c r="L2755" s="8" t="str">
        <f ca="1">IFERROR(__xludf.DUMMYFUNCTION("GOOGLEFINANCE(""NSE:""&amp;D2755,""price"")"),"#N/A")</f>
        <v>#N/A</v>
      </c>
      <c r="M2755" s="9" t="e">
        <f t="shared" ca="1" si="57"/>
        <v>#VALUE!</v>
      </c>
      <c r="N2755" s="10" t="e">
        <f t="shared" ca="1" si="58"/>
        <v>#VALUE!</v>
      </c>
      <c r="O2755" s="7" t="str">
        <f ca="1">IFERROR(__xludf.DUMMYFUNCTION("GOOGLEFINANCE(""NSE:""&amp;D2755,""pe"")"),"#N/A")</f>
        <v>#N/A</v>
      </c>
      <c r="P2755" s="7" t="str">
        <f ca="1">IFERROR(__xludf.DUMMYFUNCTION("GOOGLEFINANCE(""NSE:""&amp;D2755,""EPS"")"),"#N/A")</f>
        <v>#N/A</v>
      </c>
      <c r="Q2755" s="7">
        <v>13.5</v>
      </c>
      <c r="R2755" s="7" t="str">
        <f ca="1">IFERROR(__xludf.DUMMYFUNCTION("IMPORTXML(E2755,""/html/body/main/div[3]/div[3]/div[2]/ul/li[7]/span[2]/span"")"),"Loading...")</f>
        <v>Loading...</v>
      </c>
      <c r="S2755" s="7" t="str">
        <f ca="1">IFERROR(__xludf.DUMMYFUNCTION("IMPORTXML(E2755,""/html/body/main/div[3]/div[3]/div[2]/ul/li[8]/span[2]/span"")"),"Loading...")</f>
        <v>Loading...</v>
      </c>
      <c r="T2755" s="4">
        <v>34.6</v>
      </c>
      <c r="U2755" s="4">
        <v>22.7</v>
      </c>
      <c r="V2755" s="4">
        <v>2.6</v>
      </c>
      <c r="W2755" s="4">
        <v>5.7</v>
      </c>
      <c r="X2755" s="4">
        <v>519.92999999999995</v>
      </c>
      <c r="Y2755" s="7" t="e">
        <f t="shared" ca="1" si="59"/>
        <v>#VALUE!</v>
      </c>
    </row>
    <row r="2756" spans="1:25" ht="15" x14ac:dyDescent="0.25">
      <c r="A2756" s="4">
        <v>2709</v>
      </c>
      <c r="C2756" s="41" t="s">
        <v>5047</v>
      </c>
      <c r="D2756" s="42"/>
      <c r="E2756" s="5" t="str">
        <f t="shared" si="55"/>
        <v>https://www.screener.in/company//consolidated/</v>
      </c>
      <c r="F2756" s="4">
        <v>443059</v>
      </c>
      <c r="G2756" s="4">
        <v>3832241897</v>
      </c>
      <c r="H2756" s="6" t="e">
        <f t="shared" ca="1" si="56"/>
        <v>#VALUE!</v>
      </c>
      <c r="I2756" s="7" t="str">
        <f ca="1">IFERROR(__xludf.DUMMYFUNCTION("IMPORTXML(E2756,""/html/body/main/div[3]/div[3]/div[2]/ul/li[5]/span[2]/span"")"),"Loading...")</f>
        <v>Loading...</v>
      </c>
      <c r="J2756" s="7" t="str">
        <f ca="1">IFERROR(__xludf.DUMMYFUNCTION("GOOGLEFINANCE(""NSE:""&amp;D2756,""marketcap"")"),"#N/A")</f>
        <v>#N/A</v>
      </c>
      <c r="K2756" s="7">
        <v>992.8</v>
      </c>
      <c r="L2756" s="8" t="str">
        <f ca="1">IFERROR(__xludf.DUMMYFUNCTION("GOOGLEFINANCE(""NSE:""&amp;D2756,""price"")"),"#N/A")</f>
        <v>#N/A</v>
      </c>
      <c r="M2756" s="9" t="e">
        <f t="shared" ca="1" si="57"/>
        <v>#VALUE!</v>
      </c>
      <c r="N2756" s="10" t="e">
        <f t="shared" ca="1" si="58"/>
        <v>#VALUE!</v>
      </c>
      <c r="O2756" s="7" t="str">
        <f ca="1">IFERROR(__xludf.DUMMYFUNCTION("GOOGLEFINANCE(""NSE:""&amp;D2756,""pe"")"),"#N/A")</f>
        <v>#N/A</v>
      </c>
      <c r="P2756" s="7" t="str">
        <f ca="1">IFERROR(__xludf.DUMMYFUNCTION("GOOGLEFINANCE(""NSE:""&amp;D2756,""EPS"")"),"#N/A")</f>
        <v>#N/A</v>
      </c>
      <c r="Q2756" s="7">
        <v>13.5</v>
      </c>
      <c r="R2756" s="7" t="str">
        <f ca="1">IFERROR(__xludf.DUMMYFUNCTION("IMPORTXML(E2756,""/html/body/main/div[3]/div[3]/div[2]/ul/li[7]/span[2]/span"")"),"Loading...")</f>
        <v>Loading...</v>
      </c>
      <c r="S2756" s="7" t="str">
        <f ca="1">IFERROR(__xludf.DUMMYFUNCTION("IMPORTXML(E2756,""/html/body/main/div[3]/div[3]/div[2]/ul/li[8]/span[2]/span"")"),"Loading...")</f>
        <v>Loading...</v>
      </c>
      <c r="T2756" s="4">
        <v>34.6</v>
      </c>
      <c r="U2756" s="4">
        <v>22.7</v>
      </c>
      <c r="V2756" s="4">
        <v>2.6</v>
      </c>
      <c r="W2756" s="4">
        <v>5.7</v>
      </c>
      <c r="X2756" s="4">
        <v>519.92999999999995</v>
      </c>
      <c r="Y2756" s="7" t="e">
        <f t="shared" ca="1" si="59"/>
        <v>#VALUE!</v>
      </c>
    </row>
    <row r="2757" spans="1:25" ht="15" x14ac:dyDescent="0.25">
      <c r="A2757" s="4">
        <v>2710</v>
      </c>
      <c r="C2757" s="41" t="s">
        <v>5048</v>
      </c>
      <c r="D2757" s="42"/>
      <c r="E2757" s="5" t="str">
        <f t="shared" si="55"/>
        <v>https://www.screener.in/company//consolidated/</v>
      </c>
      <c r="F2757" s="4">
        <v>443059</v>
      </c>
      <c r="G2757" s="4">
        <v>3832241897</v>
      </c>
      <c r="H2757" s="6" t="e">
        <f t="shared" ca="1" si="56"/>
        <v>#VALUE!</v>
      </c>
      <c r="I2757" s="7" t="str">
        <f ca="1">IFERROR(__xludf.DUMMYFUNCTION("IMPORTXML(E2757,""/html/body/main/div[3]/div[3]/div[2]/ul/li[5]/span[2]/span"")"),"Loading...")</f>
        <v>Loading...</v>
      </c>
      <c r="J2757" s="7" t="str">
        <f ca="1">IFERROR(__xludf.DUMMYFUNCTION("GOOGLEFINANCE(""NSE:""&amp;D2757,""marketcap"")"),"#N/A")</f>
        <v>#N/A</v>
      </c>
      <c r="K2757" s="7">
        <v>992.8</v>
      </c>
      <c r="L2757" s="8" t="str">
        <f ca="1">IFERROR(__xludf.DUMMYFUNCTION("GOOGLEFINANCE(""NSE:""&amp;D2757,""price"")"),"#N/A")</f>
        <v>#N/A</v>
      </c>
      <c r="M2757" s="9" t="e">
        <f t="shared" ca="1" si="57"/>
        <v>#VALUE!</v>
      </c>
      <c r="N2757" s="10" t="e">
        <f t="shared" ca="1" si="58"/>
        <v>#VALUE!</v>
      </c>
      <c r="O2757" s="7" t="str">
        <f ca="1">IFERROR(__xludf.DUMMYFUNCTION("GOOGLEFINANCE(""NSE:""&amp;D2757,""pe"")"),"#N/A")</f>
        <v>#N/A</v>
      </c>
      <c r="P2757" s="7" t="str">
        <f ca="1">IFERROR(__xludf.DUMMYFUNCTION("GOOGLEFINANCE(""NSE:""&amp;D2757,""EPS"")"),"#N/A")</f>
        <v>#N/A</v>
      </c>
      <c r="Q2757" s="7">
        <v>13.5</v>
      </c>
      <c r="R2757" s="7" t="str">
        <f ca="1">IFERROR(__xludf.DUMMYFUNCTION("IMPORTXML(E2757,""/html/body/main/div[3]/div[3]/div[2]/ul/li[7]/span[2]/span"")"),"Loading...")</f>
        <v>Loading...</v>
      </c>
      <c r="S2757" s="7" t="str">
        <f ca="1">IFERROR(__xludf.DUMMYFUNCTION("IMPORTXML(E2757,""/html/body/main/div[3]/div[3]/div[2]/ul/li[8]/span[2]/span"")"),"Loading...")</f>
        <v>Loading...</v>
      </c>
      <c r="T2757" s="4">
        <v>34.6</v>
      </c>
      <c r="U2757" s="4">
        <v>22.7</v>
      </c>
      <c r="V2757" s="4">
        <v>2.6</v>
      </c>
      <c r="W2757" s="4">
        <v>5.7</v>
      </c>
      <c r="X2757" s="4">
        <v>519.92999999999995</v>
      </c>
      <c r="Y2757" s="7" t="e">
        <f t="shared" ca="1" si="59"/>
        <v>#VALUE!</v>
      </c>
    </row>
    <row r="2758" spans="1:25" ht="15" x14ac:dyDescent="0.25">
      <c r="A2758" s="4">
        <v>2711</v>
      </c>
      <c r="C2758" s="12" t="s">
        <v>5049</v>
      </c>
      <c r="D2758" s="12" t="s">
        <v>5050</v>
      </c>
      <c r="E2758" s="5" t="str">
        <f t="shared" si="55"/>
        <v>https://www.screener.in/company/MARSHALL/consolidated/</v>
      </c>
      <c r="F2758" s="4">
        <v>443059</v>
      </c>
      <c r="G2758" s="4">
        <v>3832241897</v>
      </c>
      <c r="H2758" s="6">
        <f t="shared" ca="1" si="56"/>
        <v>2487.1249911530003</v>
      </c>
      <c r="I2758" s="7" t="str">
        <f ca="1">IFERROR(__xludf.DUMMYFUNCTION("IMPORTXML(E2758,""/html/body/main/div[3]/div[3]/div[2]/ul/li[5]/span[2]/span"")"),"Loading...")</f>
        <v>Loading...</v>
      </c>
      <c r="J2758" s="7">
        <f ca="1">IFERROR(__xludf.DUMMYFUNCTION("GOOGLEFINANCE(""NSE:""&amp;D2758,""marketcap"")"),155118900)</f>
        <v>155118900</v>
      </c>
      <c r="K2758" s="7">
        <v>992.8</v>
      </c>
      <c r="L2758" s="8">
        <f ca="1">IFERROR(__xludf.DUMMYFUNCTION("GOOGLEFINANCE(""NSE:""&amp;D2758,""price"")"),6.49)</f>
        <v>6.49</v>
      </c>
      <c r="M2758" s="9">
        <f t="shared" ca="1" si="57"/>
        <v>-986.31</v>
      </c>
      <c r="N2758" s="10">
        <f t="shared" ca="1" si="58"/>
        <v>-99.346293311845272</v>
      </c>
      <c r="O2758" s="7" t="str">
        <f ca="1">IFERROR(__xludf.DUMMYFUNCTION("GOOGLEFINANCE(""NSE:""&amp;D2758,""pe"")"),"#N/A")</f>
        <v>#N/A</v>
      </c>
      <c r="P2758" s="7" t="str">
        <f ca="1">IFERROR(__xludf.DUMMYFUNCTION("GOOGLEFINANCE(""NSE:""&amp;D2758,""EPS"")"),"#N/A")</f>
        <v>#N/A</v>
      </c>
      <c r="Q2758" s="7">
        <v>13.5</v>
      </c>
      <c r="R2758" s="7" t="str">
        <f ca="1">IFERROR(__xludf.DUMMYFUNCTION("IMPORTXML(E2758,""/html/body/main/div[3]/div[3]/div[2]/ul/li[7]/span[2]/span"")"),"Loading...")</f>
        <v>Loading...</v>
      </c>
      <c r="S2758" s="7" t="str">
        <f ca="1">IFERROR(__xludf.DUMMYFUNCTION("IMPORTXML(E2758,""/html/body/main/div[3]/div[3]/div[2]/ul/li[8]/span[2]/span"")"),"Loading...")</f>
        <v>Loading...</v>
      </c>
      <c r="T2758" s="4">
        <v>34.6</v>
      </c>
      <c r="U2758" s="4">
        <v>22.7</v>
      </c>
      <c r="V2758" s="4">
        <v>2.6</v>
      </c>
      <c r="W2758" s="4">
        <v>5.7</v>
      </c>
      <c r="X2758" s="4">
        <v>519.92999999999995</v>
      </c>
      <c r="Y2758" s="7">
        <f t="shared" ca="1" si="59"/>
        <v>-513.43999999999994</v>
      </c>
    </row>
    <row r="2759" spans="1:25" ht="15" x14ac:dyDescent="0.25">
      <c r="A2759" s="4">
        <v>2712</v>
      </c>
      <c r="C2759" s="41" t="s">
        <v>5051</v>
      </c>
      <c r="D2759" s="42"/>
      <c r="E2759" s="5" t="str">
        <f t="shared" si="55"/>
        <v>https://www.screener.in/company//consolidated/</v>
      </c>
      <c r="F2759" s="4">
        <v>443059</v>
      </c>
      <c r="G2759" s="4">
        <v>3832241897</v>
      </c>
      <c r="H2759" s="6" t="e">
        <f t="shared" ca="1" si="56"/>
        <v>#VALUE!</v>
      </c>
      <c r="I2759" s="7" t="str">
        <f ca="1">IFERROR(__xludf.DUMMYFUNCTION("IMPORTXML(E2759,""/html/body/main/div[3]/div[3]/div[2]/ul/li[5]/span[2]/span"")"),"Loading...")</f>
        <v>Loading...</v>
      </c>
      <c r="J2759" s="7" t="str">
        <f ca="1">IFERROR(__xludf.DUMMYFUNCTION("GOOGLEFINANCE(""NSE:""&amp;D2759,""marketcap"")"),"#N/A")</f>
        <v>#N/A</v>
      </c>
      <c r="K2759" s="7">
        <v>992.8</v>
      </c>
      <c r="L2759" s="8" t="str">
        <f ca="1">IFERROR(__xludf.DUMMYFUNCTION("GOOGLEFINANCE(""NSE:""&amp;D2759,""price"")"),"#N/A")</f>
        <v>#N/A</v>
      </c>
      <c r="M2759" s="9" t="e">
        <f t="shared" ca="1" si="57"/>
        <v>#VALUE!</v>
      </c>
      <c r="N2759" s="10" t="e">
        <f t="shared" ca="1" si="58"/>
        <v>#VALUE!</v>
      </c>
      <c r="O2759" s="7" t="str">
        <f ca="1">IFERROR(__xludf.DUMMYFUNCTION("GOOGLEFINANCE(""NSE:""&amp;D2759,""pe"")"),"#N/A")</f>
        <v>#N/A</v>
      </c>
      <c r="P2759" s="7" t="str">
        <f ca="1">IFERROR(__xludf.DUMMYFUNCTION("GOOGLEFINANCE(""NSE:""&amp;D2759,""EPS"")"),"#N/A")</f>
        <v>#N/A</v>
      </c>
      <c r="Q2759" s="7">
        <v>13.5</v>
      </c>
      <c r="R2759" s="7" t="str">
        <f ca="1">IFERROR(__xludf.DUMMYFUNCTION("IMPORTXML(E2759,""/html/body/main/div[3]/div[3]/div[2]/ul/li[7]/span[2]/span"")"),"Loading...")</f>
        <v>Loading...</v>
      </c>
      <c r="S2759" s="7" t="str">
        <f ca="1">IFERROR(__xludf.DUMMYFUNCTION("IMPORTXML(E2759,""/html/body/main/div[3]/div[3]/div[2]/ul/li[8]/span[2]/span"")"),"Loading...")</f>
        <v>Loading...</v>
      </c>
      <c r="T2759" s="4">
        <v>34.6</v>
      </c>
      <c r="U2759" s="4">
        <v>22.7</v>
      </c>
      <c r="V2759" s="4">
        <v>2.6</v>
      </c>
      <c r="W2759" s="4">
        <v>5.7</v>
      </c>
      <c r="X2759" s="4">
        <v>519.92999999999995</v>
      </c>
      <c r="Y2759" s="7" t="e">
        <f t="shared" ca="1" si="59"/>
        <v>#VALUE!</v>
      </c>
    </row>
    <row r="2760" spans="1:25" ht="15" x14ac:dyDescent="0.25">
      <c r="A2760" s="4">
        <v>2713</v>
      </c>
      <c r="C2760" s="41" t="s">
        <v>5052</v>
      </c>
      <c r="D2760" s="42"/>
      <c r="E2760" s="5" t="str">
        <f t="shared" si="55"/>
        <v>https://www.screener.in/company//consolidated/</v>
      </c>
      <c r="F2760" s="4">
        <v>443059</v>
      </c>
      <c r="G2760" s="4">
        <v>3832241897</v>
      </c>
      <c r="H2760" s="6" t="e">
        <f t="shared" ca="1" si="56"/>
        <v>#VALUE!</v>
      </c>
      <c r="I2760" s="7" t="str">
        <f ca="1">IFERROR(__xludf.DUMMYFUNCTION("IMPORTXML(E2760,""/html/body/main/div[3]/div[3]/div[2]/ul/li[5]/span[2]/span"")"),"Loading...")</f>
        <v>Loading...</v>
      </c>
      <c r="J2760" s="7" t="str">
        <f ca="1">IFERROR(__xludf.DUMMYFUNCTION("GOOGLEFINANCE(""NSE:""&amp;D2760,""marketcap"")"),"#N/A")</f>
        <v>#N/A</v>
      </c>
      <c r="K2760" s="7">
        <v>992.8</v>
      </c>
      <c r="L2760" s="8" t="str">
        <f ca="1">IFERROR(__xludf.DUMMYFUNCTION("GOOGLEFINANCE(""NSE:""&amp;D2760,""price"")"),"#N/A")</f>
        <v>#N/A</v>
      </c>
      <c r="M2760" s="9" t="e">
        <f t="shared" ca="1" si="57"/>
        <v>#VALUE!</v>
      </c>
      <c r="N2760" s="10" t="e">
        <f t="shared" ca="1" si="58"/>
        <v>#VALUE!</v>
      </c>
      <c r="O2760" s="7" t="str">
        <f ca="1">IFERROR(__xludf.DUMMYFUNCTION("GOOGLEFINANCE(""NSE:""&amp;D2760,""pe"")"),"#N/A")</f>
        <v>#N/A</v>
      </c>
      <c r="P2760" s="7" t="str">
        <f ca="1">IFERROR(__xludf.DUMMYFUNCTION("GOOGLEFINANCE(""NSE:""&amp;D2760,""EPS"")"),"#N/A")</f>
        <v>#N/A</v>
      </c>
      <c r="Q2760" s="7">
        <v>13.5</v>
      </c>
      <c r="R2760" s="7" t="str">
        <f ca="1">IFERROR(__xludf.DUMMYFUNCTION("IMPORTXML(E2760,""/html/body/main/div[3]/div[3]/div[2]/ul/li[7]/span[2]/span"")"),"Loading...")</f>
        <v>Loading...</v>
      </c>
      <c r="S2760" s="7" t="str">
        <f ca="1">IFERROR(__xludf.DUMMYFUNCTION("IMPORTXML(E2760,""/html/body/main/div[3]/div[3]/div[2]/ul/li[8]/span[2]/span"")"),"Loading...")</f>
        <v>Loading...</v>
      </c>
      <c r="T2760" s="4">
        <v>34.6</v>
      </c>
      <c r="U2760" s="4">
        <v>22.7</v>
      </c>
      <c r="V2760" s="4">
        <v>2.6</v>
      </c>
      <c r="W2760" s="4">
        <v>5.7</v>
      </c>
      <c r="X2760" s="4">
        <v>519.92999999999995</v>
      </c>
      <c r="Y2760" s="7" t="e">
        <f t="shared" ca="1" si="59"/>
        <v>#VALUE!</v>
      </c>
    </row>
    <row r="2761" spans="1:25" ht="15" x14ac:dyDescent="0.25">
      <c r="A2761" s="4">
        <v>2715</v>
      </c>
      <c r="C2761" s="41" t="s">
        <v>5053</v>
      </c>
      <c r="D2761" s="42"/>
      <c r="E2761" s="5" t="str">
        <f t="shared" si="55"/>
        <v>https://www.screener.in/company//consolidated/</v>
      </c>
      <c r="F2761" s="4">
        <v>443059</v>
      </c>
      <c r="G2761" s="4">
        <v>3832241897</v>
      </c>
      <c r="H2761" s="6" t="e">
        <f t="shared" ca="1" si="56"/>
        <v>#VALUE!</v>
      </c>
      <c r="I2761" s="7" t="str">
        <f ca="1">IFERROR(__xludf.DUMMYFUNCTION("IMPORTXML(E2761,""/html/body/main/div[3]/div[3]/div[2]/ul/li[5]/span[2]/span"")"),"Loading...")</f>
        <v>Loading...</v>
      </c>
      <c r="J2761" s="7" t="str">
        <f ca="1">IFERROR(__xludf.DUMMYFUNCTION("GOOGLEFINANCE(""NSE:""&amp;D2761,""marketcap"")"),"#N/A")</f>
        <v>#N/A</v>
      </c>
      <c r="K2761" s="7">
        <v>992.8</v>
      </c>
      <c r="L2761" s="8" t="str">
        <f ca="1">IFERROR(__xludf.DUMMYFUNCTION("GOOGLEFINANCE(""NSE:""&amp;D2761,""price"")"),"#N/A")</f>
        <v>#N/A</v>
      </c>
      <c r="M2761" s="9" t="e">
        <f t="shared" ca="1" si="57"/>
        <v>#VALUE!</v>
      </c>
      <c r="N2761" s="10" t="e">
        <f t="shared" ca="1" si="58"/>
        <v>#VALUE!</v>
      </c>
      <c r="O2761" s="7" t="str">
        <f ca="1">IFERROR(__xludf.DUMMYFUNCTION("GOOGLEFINANCE(""NSE:""&amp;D2761,""pe"")"),"#N/A")</f>
        <v>#N/A</v>
      </c>
      <c r="P2761" s="7" t="str">
        <f ca="1">IFERROR(__xludf.DUMMYFUNCTION("GOOGLEFINANCE(""NSE:""&amp;D2761,""EPS"")"),"#N/A")</f>
        <v>#N/A</v>
      </c>
      <c r="Q2761" s="7">
        <v>13.5</v>
      </c>
      <c r="R2761" s="7" t="str">
        <f ca="1">IFERROR(__xludf.DUMMYFUNCTION("IMPORTXML(E2761,""/html/body/main/div[3]/div[3]/div[2]/ul/li[7]/span[2]/span"")"),"Loading...")</f>
        <v>Loading...</v>
      </c>
      <c r="S2761" s="7" t="str">
        <f ca="1">IFERROR(__xludf.DUMMYFUNCTION("IMPORTXML(E2761,""/html/body/main/div[3]/div[3]/div[2]/ul/li[8]/span[2]/span"")"),"Loading...")</f>
        <v>Loading...</v>
      </c>
      <c r="T2761" s="4">
        <v>34.6</v>
      </c>
      <c r="U2761" s="4">
        <v>22.7</v>
      </c>
      <c r="V2761" s="4">
        <v>2.6</v>
      </c>
      <c r="W2761" s="4">
        <v>5.7</v>
      </c>
      <c r="X2761" s="4">
        <v>519.92999999999995</v>
      </c>
      <c r="Y2761" s="7" t="e">
        <f t="shared" ca="1" si="59"/>
        <v>#VALUE!</v>
      </c>
    </row>
    <row r="2762" spans="1:25" ht="15" x14ac:dyDescent="0.25">
      <c r="A2762" s="4">
        <v>2716</v>
      </c>
      <c r="C2762" s="41" t="s">
        <v>5054</v>
      </c>
      <c r="D2762" s="42"/>
      <c r="E2762" s="5" t="str">
        <f t="shared" si="55"/>
        <v>https://www.screener.in/company//consolidated/</v>
      </c>
      <c r="F2762" s="4">
        <v>443059</v>
      </c>
      <c r="G2762" s="4">
        <v>3832241897</v>
      </c>
      <c r="H2762" s="6" t="e">
        <f t="shared" ca="1" si="56"/>
        <v>#VALUE!</v>
      </c>
      <c r="I2762" s="7" t="str">
        <f ca="1">IFERROR(__xludf.DUMMYFUNCTION("IMPORTXML(E2762,""/html/body/main/div[3]/div[3]/div[2]/ul/li[5]/span[2]/span"")"),"Loading...")</f>
        <v>Loading...</v>
      </c>
      <c r="J2762" s="7" t="str">
        <f ca="1">IFERROR(__xludf.DUMMYFUNCTION("GOOGLEFINANCE(""NSE:""&amp;D2762,""marketcap"")"),"#N/A")</f>
        <v>#N/A</v>
      </c>
      <c r="K2762" s="7">
        <v>992.8</v>
      </c>
      <c r="L2762" s="8" t="str">
        <f ca="1">IFERROR(__xludf.DUMMYFUNCTION("GOOGLEFINANCE(""NSE:""&amp;D2762,""price"")"),"#N/A")</f>
        <v>#N/A</v>
      </c>
      <c r="M2762" s="9" t="e">
        <f t="shared" ca="1" si="57"/>
        <v>#VALUE!</v>
      </c>
      <c r="N2762" s="10" t="e">
        <f t="shared" ca="1" si="58"/>
        <v>#VALUE!</v>
      </c>
      <c r="O2762" s="7" t="str">
        <f ca="1">IFERROR(__xludf.DUMMYFUNCTION("GOOGLEFINANCE(""NSE:""&amp;D2762,""pe"")"),"#N/A")</f>
        <v>#N/A</v>
      </c>
      <c r="P2762" s="7" t="str">
        <f ca="1">IFERROR(__xludf.DUMMYFUNCTION("GOOGLEFINANCE(""NSE:""&amp;D2762,""EPS"")"),"#N/A")</f>
        <v>#N/A</v>
      </c>
      <c r="Q2762" s="7">
        <v>13.5</v>
      </c>
      <c r="R2762" s="7" t="str">
        <f ca="1">IFERROR(__xludf.DUMMYFUNCTION("IMPORTXML(E2762,""/html/body/main/div[3]/div[3]/div[2]/ul/li[7]/span[2]/span"")"),"Loading...")</f>
        <v>Loading...</v>
      </c>
      <c r="S2762" s="7" t="str">
        <f ca="1">IFERROR(__xludf.DUMMYFUNCTION("IMPORTXML(E2762,""/html/body/main/div[3]/div[3]/div[2]/ul/li[8]/span[2]/span"")"),"Loading...")</f>
        <v>Loading...</v>
      </c>
      <c r="T2762" s="4">
        <v>34.6</v>
      </c>
      <c r="U2762" s="4">
        <v>22.7</v>
      </c>
      <c r="V2762" s="4">
        <v>2.6</v>
      </c>
      <c r="W2762" s="4">
        <v>5.7</v>
      </c>
      <c r="X2762" s="4">
        <v>519.92999999999995</v>
      </c>
      <c r="Y2762" s="7" t="e">
        <f t="shared" ca="1" si="59"/>
        <v>#VALUE!</v>
      </c>
    </row>
    <row r="2763" spans="1:25" ht="15" x14ac:dyDescent="0.25">
      <c r="A2763" s="4">
        <v>2717</v>
      </c>
      <c r="C2763" s="41" t="s">
        <v>5055</v>
      </c>
      <c r="D2763" s="42"/>
      <c r="E2763" s="5" t="str">
        <f t="shared" si="55"/>
        <v>https://www.screener.in/company//consolidated/</v>
      </c>
      <c r="F2763" s="4">
        <v>443059</v>
      </c>
      <c r="G2763" s="4">
        <v>3832241897</v>
      </c>
      <c r="H2763" s="6" t="e">
        <f t="shared" ca="1" si="56"/>
        <v>#VALUE!</v>
      </c>
      <c r="I2763" s="7" t="str">
        <f ca="1">IFERROR(__xludf.DUMMYFUNCTION("IMPORTXML(E2763,""/html/body/main/div[3]/div[3]/div[2]/ul/li[5]/span[2]/span"")"),"Loading...")</f>
        <v>Loading...</v>
      </c>
      <c r="J2763" s="7" t="str">
        <f ca="1">IFERROR(__xludf.DUMMYFUNCTION("GOOGLEFINANCE(""NSE:""&amp;D2763,""marketcap"")"),"#N/A")</f>
        <v>#N/A</v>
      </c>
      <c r="K2763" s="7">
        <v>992.8</v>
      </c>
      <c r="L2763" s="8" t="str">
        <f ca="1">IFERROR(__xludf.DUMMYFUNCTION("GOOGLEFINANCE(""NSE:""&amp;D2763,""price"")"),"#N/A")</f>
        <v>#N/A</v>
      </c>
      <c r="M2763" s="9" t="e">
        <f t="shared" ca="1" si="57"/>
        <v>#VALUE!</v>
      </c>
      <c r="N2763" s="10" t="e">
        <f t="shared" ca="1" si="58"/>
        <v>#VALUE!</v>
      </c>
      <c r="O2763" s="7" t="str">
        <f ca="1">IFERROR(__xludf.DUMMYFUNCTION("GOOGLEFINANCE(""NSE:""&amp;D2763,""pe"")"),"#N/A")</f>
        <v>#N/A</v>
      </c>
      <c r="P2763" s="7" t="str">
        <f ca="1">IFERROR(__xludf.DUMMYFUNCTION("GOOGLEFINANCE(""NSE:""&amp;D2763,""EPS"")"),"#N/A")</f>
        <v>#N/A</v>
      </c>
      <c r="Q2763" s="7">
        <v>13.5</v>
      </c>
      <c r="R2763" s="7" t="str">
        <f ca="1">IFERROR(__xludf.DUMMYFUNCTION("IMPORTXML(E2763,""/html/body/main/div[3]/div[3]/div[2]/ul/li[7]/span[2]/span"")"),"Loading...")</f>
        <v>Loading...</v>
      </c>
      <c r="S2763" s="7" t="str">
        <f ca="1">IFERROR(__xludf.DUMMYFUNCTION("IMPORTXML(E2763,""/html/body/main/div[3]/div[3]/div[2]/ul/li[8]/span[2]/span"")"),"Loading...")</f>
        <v>Loading...</v>
      </c>
      <c r="T2763" s="4">
        <v>34.6</v>
      </c>
      <c r="U2763" s="4">
        <v>22.7</v>
      </c>
      <c r="V2763" s="4">
        <v>2.6</v>
      </c>
      <c r="W2763" s="4">
        <v>5.7</v>
      </c>
      <c r="X2763" s="4">
        <v>519.92999999999995</v>
      </c>
      <c r="Y2763" s="7" t="e">
        <f t="shared" ca="1" si="59"/>
        <v>#VALUE!</v>
      </c>
    </row>
    <row r="2764" spans="1:25" ht="15" x14ac:dyDescent="0.25">
      <c r="A2764" s="4">
        <v>2718</v>
      </c>
      <c r="C2764" s="41" t="s">
        <v>5056</v>
      </c>
      <c r="D2764" s="42"/>
      <c r="E2764" s="5" t="str">
        <f t="shared" si="55"/>
        <v>https://www.screener.in/company//consolidated/</v>
      </c>
      <c r="F2764" s="4">
        <v>443059</v>
      </c>
      <c r="G2764" s="4">
        <v>3832241897</v>
      </c>
      <c r="H2764" s="6" t="e">
        <f t="shared" ca="1" si="56"/>
        <v>#VALUE!</v>
      </c>
      <c r="I2764" s="7" t="str">
        <f ca="1">IFERROR(__xludf.DUMMYFUNCTION("IMPORTXML(E2764,""/html/body/main/div[3]/div[3]/div[2]/ul/li[5]/span[2]/span"")"),"Loading...")</f>
        <v>Loading...</v>
      </c>
      <c r="J2764" s="7" t="str">
        <f ca="1">IFERROR(__xludf.DUMMYFUNCTION("GOOGLEFINANCE(""NSE:""&amp;D2764,""marketcap"")"),"#N/A")</f>
        <v>#N/A</v>
      </c>
      <c r="K2764" s="7">
        <v>992.8</v>
      </c>
      <c r="L2764" s="8" t="str">
        <f ca="1">IFERROR(__xludf.DUMMYFUNCTION("GOOGLEFINANCE(""NSE:""&amp;D2764,""price"")"),"#N/A")</f>
        <v>#N/A</v>
      </c>
      <c r="M2764" s="9" t="e">
        <f t="shared" ca="1" si="57"/>
        <v>#VALUE!</v>
      </c>
      <c r="N2764" s="10" t="e">
        <f t="shared" ca="1" si="58"/>
        <v>#VALUE!</v>
      </c>
      <c r="O2764" s="7" t="str">
        <f ca="1">IFERROR(__xludf.DUMMYFUNCTION("GOOGLEFINANCE(""NSE:""&amp;D2764,""pe"")"),"#N/A")</f>
        <v>#N/A</v>
      </c>
      <c r="P2764" s="7" t="str">
        <f ca="1">IFERROR(__xludf.DUMMYFUNCTION("GOOGLEFINANCE(""NSE:""&amp;D2764,""EPS"")"),"#N/A")</f>
        <v>#N/A</v>
      </c>
      <c r="Q2764" s="7">
        <v>13.5</v>
      </c>
      <c r="R2764" s="7" t="str">
        <f ca="1">IFERROR(__xludf.DUMMYFUNCTION("IMPORTXML(E2764,""/html/body/main/div[3]/div[3]/div[2]/ul/li[7]/span[2]/span"")"),"Loading...")</f>
        <v>Loading...</v>
      </c>
      <c r="S2764" s="7" t="str">
        <f ca="1">IFERROR(__xludf.DUMMYFUNCTION("IMPORTXML(E2764,""/html/body/main/div[3]/div[3]/div[2]/ul/li[8]/span[2]/span"")"),"Loading...")</f>
        <v>Loading...</v>
      </c>
      <c r="T2764" s="4">
        <v>34.6</v>
      </c>
      <c r="U2764" s="4">
        <v>22.7</v>
      </c>
      <c r="V2764" s="4">
        <v>2.6</v>
      </c>
      <c r="W2764" s="4">
        <v>5.7</v>
      </c>
      <c r="X2764" s="4">
        <v>519.92999999999995</v>
      </c>
      <c r="Y2764" s="7" t="e">
        <f t="shared" ca="1" si="59"/>
        <v>#VALUE!</v>
      </c>
    </row>
    <row r="2765" spans="1:25" ht="15" x14ac:dyDescent="0.25">
      <c r="A2765" s="4">
        <v>2719</v>
      </c>
      <c r="C2765" s="12" t="s">
        <v>5057</v>
      </c>
      <c r="D2765" s="12" t="s">
        <v>5058</v>
      </c>
      <c r="E2765" s="5" t="str">
        <f t="shared" si="55"/>
        <v>https://www.screener.in/company/SEYAIND/consolidated/</v>
      </c>
      <c r="F2765" s="4">
        <v>443059</v>
      </c>
      <c r="G2765" s="4">
        <v>3832241897</v>
      </c>
      <c r="H2765" s="6">
        <f t="shared" ca="1" si="56"/>
        <v>6622.1139980160006</v>
      </c>
      <c r="I2765" s="7" t="str">
        <f ca="1">IFERROR(__xludf.DUMMYFUNCTION("IMPORTXML(E2765,""/html/body/main/div[3]/div[3]/div[2]/ul/li[5]/span[2]/span"")"),"Loading...")</f>
        <v>Loading...</v>
      </c>
      <c r="J2765" s="7">
        <f ca="1">IFERROR(__xludf.DUMMYFUNCTION("GOOGLEFINANCE(""NSE:""&amp;D2765,""marketcap"")"),459138949)</f>
        <v>459138949</v>
      </c>
      <c r="K2765" s="7">
        <v>992.8</v>
      </c>
      <c r="L2765" s="8">
        <f ca="1">IFERROR(__xludf.DUMMYFUNCTION("GOOGLEFINANCE(""NSE:""&amp;D2765,""price"")"),17.28)</f>
        <v>17.28</v>
      </c>
      <c r="M2765" s="9">
        <f t="shared" ca="1" si="57"/>
        <v>-975.52</v>
      </c>
      <c r="N2765" s="10">
        <f t="shared" ca="1" si="58"/>
        <v>-98.259468170829976</v>
      </c>
      <c r="O2765" s="7" t="str">
        <f ca="1">IFERROR(__xludf.DUMMYFUNCTION("GOOGLEFINANCE(""NSE:""&amp;D2765,""pe"")"),"#N/A")</f>
        <v>#N/A</v>
      </c>
      <c r="P2765" s="7">
        <f ca="1">IFERROR(__xludf.DUMMYFUNCTION("GOOGLEFINANCE(""NSE:""&amp;D2765,""EPS"")"),-2.56)</f>
        <v>-2.56</v>
      </c>
      <c r="Q2765" s="7">
        <v>13.5</v>
      </c>
      <c r="R2765" s="7" t="str">
        <f ca="1">IFERROR(__xludf.DUMMYFUNCTION("IMPORTXML(E2765,""/html/body/main/div[3]/div[3]/div[2]/ul/li[7]/span[2]/span"")"),"Loading...")</f>
        <v>Loading...</v>
      </c>
      <c r="S2765" s="7" t="str">
        <f ca="1">IFERROR(__xludf.DUMMYFUNCTION("IMPORTXML(E2765,""/html/body/main/div[3]/div[3]/div[2]/ul/li[8]/span[2]/span"")"),"Loading...")</f>
        <v>Loading...</v>
      </c>
      <c r="T2765" s="4">
        <v>34.6</v>
      </c>
      <c r="U2765" s="4">
        <v>22.7</v>
      </c>
      <c r="V2765" s="4">
        <v>2.6</v>
      </c>
      <c r="W2765" s="4">
        <v>5.7</v>
      </c>
      <c r="X2765" s="4">
        <v>519.92999999999995</v>
      </c>
      <c r="Y2765" s="7">
        <f t="shared" ca="1" si="59"/>
        <v>-502.65</v>
      </c>
    </row>
    <row r="2766" spans="1:25" ht="15" x14ac:dyDescent="0.25">
      <c r="A2766" s="4">
        <v>2720</v>
      </c>
      <c r="C2766" s="41" t="s">
        <v>5059</v>
      </c>
      <c r="D2766" s="42"/>
      <c r="E2766" s="5" t="str">
        <f t="shared" si="55"/>
        <v>https://www.screener.in/company//consolidated/</v>
      </c>
      <c r="F2766" s="4">
        <v>443059</v>
      </c>
      <c r="G2766" s="4">
        <v>3832241897</v>
      </c>
      <c r="H2766" s="6" t="e">
        <f t="shared" ca="1" si="56"/>
        <v>#VALUE!</v>
      </c>
      <c r="I2766" s="7" t="str">
        <f ca="1">IFERROR(__xludf.DUMMYFUNCTION("IMPORTXML(E2766,""/html/body/main/div[3]/div[3]/div[2]/ul/li[5]/span[2]/span"")"),"Loading...")</f>
        <v>Loading...</v>
      </c>
      <c r="J2766" s="7" t="str">
        <f ca="1">IFERROR(__xludf.DUMMYFUNCTION("GOOGLEFINANCE(""NSE:""&amp;D2766,""marketcap"")"),"#N/A")</f>
        <v>#N/A</v>
      </c>
      <c r="K2766" s="7">
        <v>992.8</v>
      </c>
      <c r="L2766" s="8" t="str">
        <f ca="1">IFERROR(__xludf.DUMMYFUNCTION("GOOGLEFINANCE(""NSE:""&amp;D2766,""price"")"),"#N/A")</f>
        <v>#N/A</v>
      </c>
      <c r="M2766" s="9" t="e">
        <f t="shared" ca="1" si="57"/>
        <v>#VALUE!</v>
      </c>
      <c r="N2766" s="10" t="e">
        <f t="shared" ca="1" si="58"/>
        <v>#VALUE!</v>
      </c>
      <c r="O2766" s="7" t="str">
        <f ca="1">IFERROR(__xludf.DUMMYFUNCTION("GOOGLEFINANCE(""NSE:""&amp;D2766,""pe"")"),"#N/A")</f>
        <v>#N/A</v>
      </c>
      <c r="P2766" s="7" t="str">
        <f ca="1">IFERROR(__xludf.DUMMYFUNCTION("GOOGLEFINANCE(""NSE:""&amp;D2766,""EPS"")"),"#N/A")</f>
        <v>#N/A</v>
      </c>
      <c r="Q2766" s="7">
        <v>13.5</v>
      </c>
      <c r="R2766" s="7" t="str">
        <f ca="1">IFERROR(__xludf.DUMMYFUNCTION("IMPORTXML(E2766,""/html/body/main/div[3]/div[3]/div[2]/ul/li[7]/span[2]/span"")"),"Loading...")</f>
        <v>Loading...</v>
      </c>
      <c r="S2766" s="7" t="str">
        <f ca="1">IFERROR(__xludf.DUMMYFUNCTION("IMPORTXML(E2766,""/html/body/main/div[3]/div[3]/div[2]/ul/li[8]/span[2]/span"")"),"Loading...")</f>
        <v>Loading...</v>
      </c>
      <c r="T2766" s="4">
        <v>34.6</v>
      </c>
      <c r="U2766" s="4">
        <v>22.7</v>
      </c>
      <c r="V2766" s="4">
        <v>2.6</v>
      </c>
      <c r="W2766" s="4">
        <v>5.7</v>
      </c>
      <c r="X2766" s="4">
        <v>519.92999999999995</v>
      </c>
      <c r="Y2766" s="7" t="e">
        <f t="shared" ca="1" si="59"/>
        <v>#VALUE!</v>
      </c>
    </row>
    <row r="2767" spans="1:25" ht="15" x14ac:dyDescent="0.25">
      <c r="A2767" s="4">
        <v>2721</v>
      </c>
      <c r="C2767" s="41" t="s">
        <v>5060</v>
      </c>
      <c r="D2767" s="42"/>
      <c r="E2767" s="5" t="str">
        <f t="shared" si="55"/>
        <v>https://www.screener.in/company//consolidated/</v>
      </c>
      <c r="F2767" s="4">
        <v>443059</v>
      </c>
      <c r="G2767" s="4">
        <v>3832241897</v>
      </c>
      <c r="H2767" s="6" t="e">
        <f t="shared" ca="1" si="56"/>
        <v>#VALUE!</v>
      </c>
      <c r="I2767" s="7" t="str">
        <f ca="1">IFERROR(__xludf.DUMMYFUNCTION("IMPORTXML(E2767,""/html/body/main/div[3]/div[3]/div[2]/ul/li[5]/span[2]/span"")"),"Loading...")</f>
        <v>Loading...</v>
      </c>
      <c r="J2767" s="7" t="str">
        <f ca="1">IFERROR(__xludf.DUMMYFUNCTION("GOOGLEFINANCE(""NSE:""&amp;D2767,""marketcap"")"),"#N/A")</f>
        <v>#N/A</v>
      </c>
      <c r="K2767" s="7">
        <v>992.8</v>
      </c>
      <c r="L2767" s="8" t="str">
        <f ca="1">IFERROR(__xludf.DUMMYFUNCTION("GOOGLEFINANCE(""NSE:""&amp;D2767,""price"")"),"#N/A")</f>
        <v>#N/A</v>
      </c>
      <c r="M2767" s="9" t="e">
        <f t="shared" ca="1" si="57"/>
        <v>#VALUE!</v>
      </c>
      <c r="N2767" s="10" t="e">
        <f t="shared" ca="1" si="58"/>
        <v>#VALUE!</v>
      </c>
      <c r="O2767" s="7" t="str">
        <f ca="1">IFERROR(__xludf.DUMMYFUNCTION("GOOGLEFINANCE(""NSE:""&amp;D2767,""pe"")"),"#N/A")</f>
        <v>#N/A</v>
      </c>
      <c r="P2767" s="7" t="str">
        <f ca="1">IFERROR(__xludf.DUMMYFUNCTION("GOOGLEFINANCE(""NSE:""&amp;D2767,""EPS"")"),"#N/A")</f>
        <v>#N/A</v>
      </c>
      <c r="Q2767" s="7">
        <v>13.5</v>
      </c>
      <c r="R2767" s="7" t="str">
        <f ca="1">IFERROR(__xludf.DUMMYFUNCTION("IMPORTXML(E2767,""/html/body/main/div[3]/div[3]/div[2]/ul/li[7]/span[2]/span"")"),"Loading...")</f>
        <v>Loading...</v>
      </c>
      <c r="S2767" s="7" t="str">
        <f ca="1">IFERROR(__xludf.DUMMYFUNCTION("IMPORTXML(E2767,""/html/body/main/div[3]/div[3]/div[2]/ul/li[8]/span[2]/span"")"),"Loading...")</f>
        <v>Loading...</v>
      </c>
      <c r="T2767" s="4">
        <v>34.6</v>
      </c>
      <c r="U2767" s="4">
        <v>22.7</v>
      </c>
      <c r="V2767" s="4">
        <v>2.6</v>
      </c>
      <c r="W2767" s="4">
        <v>5.7</v>
      </c>
      <c r="X2767" s="4">
        <v>519.92999999999995</v>
      </c>
      <c r="Y2767" s="7" t="e">
        <f t="shared" ca="1" si="59"/>
        <v>#VALUE!</v>
      </c>
    </row>
    <row r="2768" spans="1:25" ht="15" x14ac:dyDescent="0.25">
      <c r="A2768" s="4">
        <v>2722</v>
      </c>
      <c r="C2768" s="41" t="s">
        <v>5061</v>
      </c>
      <c r="D2768" s="42"/>
      <c r="E2768" s="5" t="str">
        <f t="shared" si="55"/>
        <v>https://www.screener.in/company//consolidated/</v>
      </c>
      <c r="F2768" s="4">
        <v>443059</v>
      </c>
      <c r="G2768" s="4">
        <v>3832241897</v>
      </c>
      <c r="H2768" s="6" t="e">
        <f t="shared" ca="1" si="56"/>
        <v>#VALUE!</v>
      </c>
      <c r="I2768" s="7" t="str">
        <f ca="1">IFERROR(__xludf.DUMMYFUNCTION("IMPORTXML(E2768,""/html/body/main/div[3]/div[3]/div[2]/ul/li[5]/span[2]/span"")"),"Loading...")</f>
        <v>Loading...</v>
      </c>
      <c r="J2768" s="7" t="str">
        <f ca="1">IFERROR(__xludf.DUMMYFUNCTION("GOOGLEFINANCE(""NSE:""&amp;D2768,""marketcap"")"),"#N/A")</f>
        <v>#N/A</v>
      </c>
      <c r="K2768" s="7">
        <v>992.8</v>
      </c>
      <c r="L2768" s="8" t="str">
        <f ca="1">IFERROR(__xludf.DUMMYFUNCTION("GOOGLEFINANCE(""NSE:""&amp;D2768,""price"")"),"#N/A")</f>
        <v>#N/A</v>
      </c>
      <c r="M2768" s="9" t="e">
        <f t="shared" ca="1" si="57"/>
        <v>#VALUE!</v>
      </c>
      <c r="N2768" s="10" t="e">
        <f t="shared" ca="1" si="58"/>
        <v>#VALUE!</v>
      </c>
      <c r="O2768" s="7" t="str">
        <f ca="1">IFERROR(__xludf.DUMMYFUNCTION("GOOGLEFINANCE(""NSE:""&amp;D2768,""pe"")"),"#N/A")</f>
        <v>#N/A</v>
      </c>
      <c r="P2768" s="7" t="str">
        <f ca="1">IFERROR(__xludf.DUMMYFUNCTION("GOOGLEFINANCE(""NSE:""&amp;D2768,""EPS"")"),"#N/A")</f>
        <v>#N/A</v>
      </c>
      <c r="Q2768" s="7">
        <v>13.5</v>
      </c>
      <c r="R2768" s="7" t="str">
        <f ca="1">IFERROR(__xludf.DUMMYFUNCTION("IMPORTXML(E2768,""/html/body/main/div[3]/div[3]/div[2]/ul/li[7]/span[2]/span"")"),"Loading...")</f>
        <v>Loading...</v>
      </c>
      <c r="S2768" s="7" t="str">
        <f ca="1">IFERROR(__xludf.DUMMYFUNCTION("IMPORTXML(E2768,""/html/body/main/div[3]/div[3]/div[2]/ul/li[8]/span[2]/span"")"),"Loading...")</f>
        <v>Loading...</v>
      </c>
      <c r="T2768" s="4">
        <v>34.6</v>
      </c>
      <c r="U2768" s="4">
        <v>22.7</v>
      </c>
      <c r="V2768" s="4">
        <v>2.6</v>
      </c>
      <c r="W2768" s="4">
        <v>5.7</v>
      </c>
      <c r="X2768" s="4">
        <v>519.92999999999995</v>
      </c>
      <c r="Y2768" s="7" t="e">
        <f t="shared" ca="1" si="59"/>
        <v>#VALUE!</v>
      </c>
    </row>
    <row r="2769" spans="1:25" ht="15" x14ac:dyDescent="0.25">
      <c r="A2769" s="4">
        <v>2723</v>
      </c>
      <c r="C2769" s="41" t="s">
        <v>5062</v>
      </c>
      <c r="D2769" s="42"/>
      <c r="E2769" s="5" t="str">
        <f t="shared" si="55"/>
        <v>https://www.screener.in/company//consolidated/</v>
      </c>
      <c r="F2769" s="4">
        <v>443059</v>
      </c>
      <c r="G2769" s="4">
        <v>3832241897</v>
      </c>
      <c r="H2769" s="6" t="e">
        <f t="shared" ca="1" si="56"/>
        <v>#VALUE!</v>
      </c>
      <c r="I2769" s="7" t="str">
        <f ca="1">IFERROR(__xludf.DUMMYFUNCTION("IMPORTXML(E2769,""/html/body/main/div[3]/div[3]/div[2]/ul/li[5]/span[2]/span"")"),"Loading...")</f>
        <v>Loading...</v>
      </c>
      <c r="J2769" s="7" t="str">
        <f ca="1">IFERROR(__xludf.DUMMYFUNCTION("GOOGLEFINANCE(""NSE:""&amp;D2769,""marketcap"")"),"#N/A")</f>
        <v>#N/A</v>
      </c>
      <c r="K2769" s="7">
        <v>992.8</v>
      </c>
      <c r="L2769" s="8" t="str">
        <f ca="1">IFERROR(__xludf.DUMMYFUNCTION("GOOGLEFINANCE(""NSE:""&amp;D2769,""price"")"),"#N/A")</f>
        <v>#N/A</v>
      </c>
      <c r="M2769" s="9" t="e">
        <f t="shared" ca="1" si="57"/>
        <v>#VALUE!</v>
      </c>
      <c r="N2769" s="10" t="e">
        <f t="shared" ca="1" si="58"/>
        <v>#VALUE!</v>
      </c>
      <c r="O2769" s="7" t="str">
        <f ca="1">IFERROR(__xludf.DUMMYFUNCTION("GOOGLEFINANCE(""NSE:""&amp;D2769,""pe"")"),"#N/A")</f>
        <v>#N/A</v>
      </c>
      <c r="P2769" s="7" t="str">
        <f ca="1">IFERROR(__xludf.DUMMYFUNCTION("GOOGLEFINANCE(""NSE:""&amp;D2769,""EPS"")"),"#N/A")</f>
        <v>#N/A</v>
      </c>
      <c r="Q2769" s="7">
        <v>13.5</v>
      </c>
      <c r="R2769" s="7" t="str">
        <f ca="1">IFERROR(__xludf.DUMMYFUNCTION("IMPORTXML(E2769,""/html/body/main/div[3]/div[3]/div[2]/ul/li[7]/span[2]/span"")"),"Loading...")</f>
        <v>Loading...</v>
      </c>
      <c r="S2769" s="7" t="str">
        <f ca="1">IFERROR(__xludf.DUMMYFUNCTION("IMPORTXML(E2769,""/html/body/main/div[3]/div[3]/div[2]/ul/li[8]/span[2]/span"")"),"Loading...")</f>
        <v>Loading...</v>
      </c>
      <c r="T2769" s="4">
        <v>34.6</v>
      </c>
      <c r="U2769" s="4">
        <v>22.7</v>
      </c>
      <c r="V2769" s="4">
        <v>2.6</v>
      </c>
      <c r="W2769" s="4">
        <v>5.7</v>
      </c>
      <c r="X2769" s="4">
        <v>519.92999999999995</v>
      </c>
      <c r="Y2769" s="7" t="e">
        <f t="shared" ca="1" si="59"/>
        <v>#VALUE!</v>
      </c>
    </row>
    <row r="2770" spans="1:25" ht="15" x14ac:dyDescent="0.25">
      <c r="A2770" s="4">
        <v>2724</v>
      </c>
      <c r="C2770" s="41" t="s">
        <v>5063</v>
      </c>
      <c r="D2770" s="42"/>
      <c r="E2770" s="5" t="str">
        <f t="shared" si="55"/>
        <v>https://www.screener.in/company//consolidated/</v>
      </c>
      <c r="F2770" s="4">
        <v>443059</v>
      </c>
      <c r="G2770" s="4">
        <v>3832241897</v>
      </c>
      <c r="H2770" s="6" t="e">
        <f t="shared" ca="1" si="56"/>
        <v>#VALUE!</v>
      </c>
      <c r="I2770" s="7" t="str">
        <f ca="1">IFERROR(__xludf.DUMMYFUNCTION("IMPORTXML(E2770,""/html/body/main/div[3]/div[3]/div[2]/ul/li[5]/span[2]/span"")"),"Loading...")</f>
        <v>Loading...</v>
      </c>
      <c r="J2770" s="7" t="str">
        <f ca="1">IFERROR(__xludf.DUMMYFUNCTION("GOOGLEFINANCE(""NSE:""&amp;D2770,""marketcap"")"),"#N/A")</f>
        <v>#N/A</v>
      </c>
      <c r="K2770" s="7">
        <v>992.8</v>
      </c>
      <c r="L2770" s="8" t="str">
        <f ca="1">IFERROR(__xludf.DUMMYFUNCTION("GOOGLEFINANCE(""NSE:""&amp;D2770,""price"")"),"#N/A")</f>
        <v>#N/A</v>
      </c>
      <c r="M2770" s="9" t="e">
        <f t="shared" ca="1" si="57"/>
        <v>#VALUE!</v>
      </c>
      <c r="N2770" s="10" t="e">
        <f t="shared" ca="1" si="58"/>
        <v>#VALUE!</v>
      </c>
      <c r="O2770" s="7" t="str">
        <f ca="1">IFERROR(__xludf.DUMMYFUNCTION("GOOGLEFINANCE(""NSE:""&amp;D2770,""pe"")"),"#N/A")</f>
        <v>#N/A</v>
      </c>
      <c r="P2770" s="7" t="str">
        <f ca="1">IFERROR(__xludf.DUMMYFUNCTION("GOOGLEFINANCE(""NSE:""&amp;D2770,""EPS"")"),"#N/A")</f>
        <v>#N/A</v>
      </c>
      <c r="Q2770" s="7">
        <v>13.5</v>
      </c>
      <c r="R2770" s="7" t="str">
        <f ca="1">IFERROR(__xludf.DUMMYFUNCTION("IMPORTXML(E2770,""/html/body/main/div[3]/div[3]/div[2]/ul/li[7]/span[2]/span"")"),"Loading...")</f>
        <v>Loading...</v>
      </c>
      <c r="S2770" s="7" t="str">
        <f ca="1">IFERROR(__xludf.DUMMYFUNCTION("IMPORTXML(E2770,""/html/body/main/div[3]/div[3]/div[2]/ul/li[8]/span[2]/span"")"),"Loading...")</f>
        <v>Loading...</v>
      </c>
      <c r="T2770" s="4">
        <v>34.6</v>
      </c>
      <c r="U2770" s="4">
        <v>22.7</v>
      </c>
      <c r="V2770" s="4">
        <v>2.6</v>
      </c>
      <c r="W2770" s="4">
        <v>5.7</v>
      </c>
      <c r="X2770" s="4">
        <v>519.92999999999995</v>
      </c>
      <c r="Y2770" s="7" t="e">
        <f t="shared" ca="1" si="59"/>
        <v>#VALUE!</v>
      </c>
    </row>
    <row r="2771" spans="1:25" ht="15" x14ac:dyDescent="0.25">
      <c r="A2771" s="4">
        <v>2726</v>
      </c>
      <c r="C2771" s="41" t="s">
        <v>5064</v>
      </c>
      <c r="D2771" s="42"/>
      <c r="E2771" s="5" t="str">
        <f t="shared" si="55"/>
        <v>https://www.screener.in/company//consolidated/</v>
      </c>
      <c r="F2771" s="4">
        <v>443059</v>
      </c>
      <c r="G2771" s="4">
        <v>3832241897</v>
      </c>
      <c r="H2771" s="6" t="e">
        <f t="shared" ca="1" si="56"/>
        <v>#VALUE!</v>
      </c>
      <c r="I2771" s="7" t="str">
        <f ca="1">IFERROR(__xludf.DUMMYFUNCTION("IMPORTXML(E2771,""/html/body/main/div[3]/div[3]/div[2]/ul/li[5]/span[2]/span"")"),"Loading...")</f>
        <v>Loading...</v>
      </c>
      <c r="J2771" s="7" t="str">
        <f ca="1">IFERROR(__xludf.DUMMYFUNCTION("GOOGLEFINANCE(""NSE:""&amp;D2771,""marketcap"")"),"#N/A")</f>
        <v>#N/A</v>
      </c>
      <c r="K2771" s="7">
        <v>992.8</v>
      </c>
      <c r="L2771" s="8" t="str">
        <f ca="1">IFERROR(__xludf.DUMMYFUNCTION("GOOGLEFINANCE(""NSE:""&amp;D2771,""price"")"),"#N/A")</f>
        <v>#N/A</v>
      </c>
      <c r="M2771" s="9" t="e">
        <f t="shared" ca="1" si="57"/>
        <v>#VALUE!</v>
      </c>
      <c r="N2771" s="10" t="e">
        <f t="shared" ca="1" si="58"/>
        <v>#VALUE!</v>
      </c>
      <c r="O2771" s="7" t="str">
        <f ca="1">IFERROR(__xludf.DUMMYFUNCTION("GOOGLEFINANCE(""NSE:""&amp;D2771,""pe"")"),"#N/A")</f>
        <v>#N/A</v>
      </c>
      <c r="P2771" s="7" t="str">
        <f ca="1">IFERROR(__xludf.DUMMYFUNCTION("GOOGLEFINANCE(""NSE:""&amp;D2771,""EPS"")"),"#N/A")</f>
        <v>#N/A</v>
      </c>
      <c r="Q2771" s="7">
        <v>13.5</v>
      </c>
      <c r="R2771" s="7" t="str">
        <f ca="1">IFERROR(__xludf.DUMMYFUNCTION("IMPORTXML(E2771,""/html/body/main/div[3]/div[3]/div[2]/ul/li[7]/span[2]/span"")"),"Loading...")</f>
        <v>Loading...</v>
      </c>
      <c r="S2771" s="7" t="str">
        <f ca="1">IFERROR(__xludf.DUMMYFUNCTION("IMPORTXML(E2771,""/html/body/main/div[3]/div[3]/div[2]/ul/li[8]/span[2]/span"")"),"Loading...")</f>
        <v>Loading...</v>
      </c>
      <c r="T2771" s="4">
        <v>34.6</v>
      </c>
      <c r="U2771" s="4">
        <v>22.7</v>
      </c>
      <c r="V2771" s="4">
        <v>2.6</v>
      </c>
      <c r="W2771" s="4">
        <v>5.7</v>
      </c>
      <c r="X2771" s="4">
        <v>519.92999999999995</v>
      </c>
      <c r="Y2771" s="7" t="e">
        <f t="shared" ca="1" si="59"/>
        <v>#VALUE!</v>
      </c>
    </row>
    <row r="2772" spans="1:25" ht="15" x14ac:dyDescent="0.25">
      <c r="A2772" s="4">
        <v>2727</v>
      </c>
      <c r="C2772" s="41" t="s">
        <v>5065</v>
      </c>
      <c r="D2772" s="42"/>
      <c r="E2772" s="5" t="str">
        <f t="shared" si="55"/>
        <v>https://www.screener.in/company//consolidated/</v>
      </c>
      <c r="F2772" s="4">
        <v>443059</v>
      </c>
      <c r="G2772" s="4">
        <v>3832241897</v>
      </c>
      <c r="H2772" s="6" t="e">
        <f t="shared" ca="1" si="56"/>
        <v>#VALUE!</v>
      </c>
      <c r="I2772" s="7" t="str">
        <f ca="1">IFERROR(__xludf.DUMMYFUNCTION("IMPORTXML(E2772,""/html/body/main/div[3]/div[3]/div[2]/ul/li[5]/span[2]/span"")"),"Loading...")</f>
        <v>Loading...</v>
      </c>
      <c r="J2772" s="7" t="str">
        <f ca="1">IFERROR(__xludf.DUMMYFUNCTION("GOOGLEFINANCE(""NSE:""&amp;D2772,""marketcap"")"),"#N/A")</f>
        <v>#N/A</v>
      </c>
      <c r="K2772" s="7">
        <v>992.8</v>
      </c>
      <c r="L2772" s="8" t="str">
        <f ca="1">IFERROR(__xludf.DUMMYFUNCTION("GOOGLEFINANCE(""NSE:""&amp;D2772,""price"")"),"#N/A")</f>
        <v>#N/A</v>
      </c>
      <c r="M2772" s="9" t="e">
        <f t="shared" ca="1" si="57"/>
        <v>#VALUE!</v>
      </c>
      <c r="N2772" s="10" t="e">
        <f t="shared" ca="1" si="58"/>
        <v>#VALUE!</v>
      </c>
      <c r="O2772" s="7" t="str">
        <f ca="1">IFERROR(__xludf.DUMMYFUNCTION("GOOGLEFINANCE(""NSE:""&amp;D2772,""pe"")"),"#N/A")</f>
        <v>#N/A</v>
      </c>
      <c r="P2772" s="7" t="str">
        <f ca="1">IFERROR(__xludf.DUMMYFUNCTION("GOOGLEFINANCE(""NSE:""&amp;D2772,""EPS"")"),"#N/A")</f>
        <v>#N/A</v>
      </c>
      <c r="Q2772" s="7">
        <v>13.5</v>
      </c>
      <c r="R2772" s="7" t="str">
        <f ca="1">IFERROR(__xludf.DUMMYFUNCTION("IMPORTXML(E2772,""/html/body/main/div[3]/div[3]/div[2]/ul/li[7]/span[2]/span"")"),"Loading...")</f>
        <v>Loading...</v>
      </c>
      <c r="S2772" s="7" t="str">
        <f ca="1">IFERROR(__xludf.DUMMYFUNCTION("IMPORTXML(E2772,""/html/body/main/div[3]/div[3]/div[2]/ul/li[8]/span[2]/span"")"),"Loading...")</f>
        <v>Loading...</v>
      </c>
      <c r="T2772" s="4">
        <v>34.6</v>
      </c>
      <c r="U2772" s="4">
        <v>22.7</v>
      </c>
      <c r="V2772" s="4">
        <v>2.6</v>
      </c>
      <c r="W2772" s="4">
        <v>5.7</v>
      </c>
      <c r="X2772" s="4">
        <v>519.92999999999995</v>
      </c>
      <c r="Y2772" s="7" t="e">
        <f t="shared" ca="1" si="59"/>
        <v>#VALUE!</v>
      </c>
    </row>
    <row r="2773" spans="1:25" ht="15" x14ac:dyDescent="0.25">
      <c r="A2773" s="4">
        <v>2728</v>
      </c>
      <c r="C2773" s="41" t="s">
        <v>5066</v>
      </c>
      <c r="D2773" s="42"/>
      <c r="E2773" s="5" t="str">
        <f t="shared" si="55"/>
        <v>https://www.screener.in/company//consolidated/</v>
      </c>
      <c r="F2773" s="4">
        <v>443059</v>
      </c>
      <c r="G2773" s="4">
        <v>3832241897</v>
      </c>
      <c r="H2773" s="6" t="e">
        <f t="shared" ca="1" si="56"/>
        <v>#VALUE!</v>
      </c>
      <c r="I2773" s="7" t="str">
        <f ca="1">IFERROR(__xludf.DUMMYFUNCTION("IMPORTXML(E2773,""/html/body/main/div[3]/div[3]/div[2]/ul/li[5]/span[2]/span"")"),"Loading...")</f>
        <v>Loading...</v>
      </c>
      <c r="J2773" s="7" t="str">
        <f ca="1">IFERROR(__xludf.DUMMYFUNCTION("GOOGLEFINANCE(""NSE:""&amp;D2773,""marketcap"")"),"#N/A")</f>
        <v>#N/A</v>
      </c>
      <c r="K2773" s="7">
        <v>992.8</v>
      </c>
      <c r="L2773" s="8" t="str">
        <f ca="1">IFERROR(__xludf.DUMMYFUNCTION("GOOGLEFINANCE(""NSE:""&amp;D2773,""price"")"),"#N/A")</f>
        <v>#N/A</v>
      </c>
      <c r="M2773" s="9" t="e">
        <f t="shared" ca="1" si="57"/>
        <v>#VALUE!</v>
      </c>
      <c r="N2773" s="10" t="e">
        <f t="shared" ca="1" si="58"/>
        <v>#VALUE!</v>
      </c>
      <c r="O2773" s="7" t="str">
        <f ca="1">IFERROR(__xludf.DUMMYFUNCTION("GOOGLEFINANCE(""NSE:""&amp;D2773,""pe"")"),"#N/A")</f>
        <v>#N/A</v>
      </c>
      <c r="P2773" s="7" t="str">
        <f ca="1">IFERROR(__xludf.DUMMYFUNCTION("GOOGLEFINANCE(""NSE:""&amp;D2773,""EPS"")"),"#N/A")</f>
        <v>#N/A</v>
      </c>
      <c r="Q2773" s="7">
        <v>13.5</v>
      </c>
      <c r="R2773" s="7" t="str">
        <f ca="1">IFERROR(__xludf.DUMMYFUNCTION("IMPORTXML(E2773,""/html/body/main/div[3]/div[3]/div[2]/ul/li[7]/span[2]/span"")"),"Loading...")</f>
        <v>Loading...</v>
      </c>
      <c r="S2773" s="7" t="str">
        <f ca="1">IFERROR(__xludf.DUMMYFUNCTION("IMPORTXML(E2773,""/html/body/main/div[3]/div[3]/div[2]/ul/li[8]/span[2]/span"")"),"Loading...")</f>
        <v>Loading...</v>
      </c>
      <c r="T2773" s="4">
        <v>34.6</v>
      </c>
      <c r="U2773" s="4">
        <v>22.7</v>
      </c>
      <c r="V2773" s="4">
        <v>2.6</v>
      </c>
      <c r="W2773" s="4">
        <v>5.7</v>
      </c>
      <c r="X2773" s="4">
        <v>519.92999999999995</v>
      </c>
      <c r="Y2773" s="7" t="e">
        <f t="shared" ca="1" si="59"/>
        <v>#VALUE!</v>
      </c>
    </row>
    <row r="2774" spans="1:25" ht="15" x14ac:dyDescent="0.25">
      <c r="A2774" s="4">
        <v>2729</v>
      </c>
      <c r="C2774" s="41" t="s">
        <v>5067</v>
      </c>
      <c r="D2774" s="42"/>
      <c r="E2774" s="5" t="str">
        <f t="shared" si="55"/>
        <v>https://www.screener.in/company//consolidated/</v>
      </c>
      <c r="F2774" s="4">
        <v>443059</v>
      </c>
      <c r="G2774" s="4">
        <v>3832241897</v>
      </c>
      <c r="H2774" s="6" t="e">
        <f t="shared" ca="1" si="56"/>
        <v>#VALUE!</v>
      </c>
      <c r="I2774" s="7" t="str">
        <f ca="1">IFERROR(__xludf.DUMMYFUNCTION("IMPORTXML(E2774,""/html/body/main/div[3]/div[3]/div[2]/ul/li[5]/span[2]/span"")"),"Loading...")</f>
        <v>Loading...</v>
      </c>
      <c r="J2774" s="7" t="str">
        <f ca="1">IFERROR(__xludf.DUMMYFUNCTION("GOOGLEFINANCE(""NSE:""&amp;D2774,""marketcap"")"),"#N/A")</f>
        <v>#N/A</v>
      </c>
      <c r="K2774" s="7">
        <v>992.8</v>
      </c>
      <c r="L2774" s="8" t="str">
        <f ca="1">IFERROR(__xludf.DUMMYFUNCTION("GOOGLEFINANCE(""NSE:""&amp;D2774,""price"")"),"#N/A")</f>
        <v>#N/A</v>
      </c>
      <c r="M2774" s="9" t="e">
        <f t="shared" ca="1" si="57"/>
        <v>#VALUE!</v>
      </c>
      <c r="N2774" s="10" t="e">
        <f t="shared" ca="1" si="58"/>
        <v>#VALUE!</v>
      </c>
      <c r="O2774" s="7" t="str">
        <f ca="1">IFERROR(__xludf.DUMMYFUNCTION("GOOGLEFINANCE(""NSE:""&amp;D2774,""pe"")"),"#N/A")</f>
        <v>#N/A</v>
      </c>
      <c r="P2774" s="7" t="str">
        <f ca="1">IFERROR(__xludf.DUMMYFUNCTION("GOOGLEFINANCE(""NSE:""&amp;D2774,""EPS"")"),"#N/A")</f>
        <v>#N/A</v>
      </c>
      <c r="Q2774" s="7">
        <v>13.5</v>
      </c>
      <c r="R2774" s="7" t="str">
        <f ca="1">IFERROR(__xludf.DUMMYFUNCTION("IMPORTXML(E2774,""/html/body/main/div[3]/div[3]/div[2]/ul/li[7]/span[2]/span"")"),"Loading...")</f>
        <v>Loading...</v>
      </c>
      <c r="S2774" s="7" t="str">
        <f ca="1">IFERROR(__xludf.DUMMYFUNCTION("IMPORTXML(E2774,""/html/body/main/div[3]/div[3]/div[2]/ul/li[8]/span[2]/span"")"),"Loading...")</f>
        <v>Loading...</v>
      </c>
      <c r="T2774" s="4">
        <v>34.6</v>
      </c>
      <c r="U2774" s="4">
        <v>22.7</v>
      </c>
      <c r="V2774" s="4">
        <v>2.6</v>
      </c>
      <c r="W2774" s="4">
        <v>5.7</v>
      </c>
      <c r="X2774" s="4">
        <v>519.92999999999995</v>
      </c>
      <c r="Y2774" s="7" t="e">
        <f t="shared" ca="1" si="59"/>
        <v>#VALUE!</v>
      </c>
    </row>
    <row r="2775" spans="1:25" ht="15" x14ac:dyDescent="0.25">
      <c r="A2775" s="4">
        <v>2730</v>
      </c>
      <c r="C2775" s="41" t="s">
        <v>5068</v>
      </c>
      <c r="D2775" s="42"/>
      <c r="E2775" s="5" t="str">
        <f t="shared" si="55"/>
        <v>https://www.screener.in/company//consolidated/</v>
      </c>
      <c r="F2775" s="4">
        <v>443059</v>
      </c>
      <c r="G2775" s="4">
        <v>3832241897</v>
      </c>
      <c r="H2775" s="6" t="e">
        <f t="shared" ca="1" si="56"/>
        <v>#VALUE!</v>
      </c>
      <c r="I2775" s="7" t="str">
        <f ca="1">IFERROR(__xludf.DUMMYFUNCTION("IMPORTXML(E2775,""/html/body/main/div[3]/div[3]/div[2]/ul/li[5]/span[2]/span"")"),"Loading...")</f>
        <v>Loading...</v>
      </c>
      <c r="J2775" s="7" t="str">
        <f ca="1">IFERROR(__xludf.DUMMYFUNCTION("GOOGLEFINANCE(""NSE:""&amp;D2775,""marketcap"")"),"#N/A")</f>
        <v>#N/A</v>
      </c>
      <c r="K2775" s="7">
        <v>992.8</v>
      </c>
      <c r="L2775" s="8" t="str">
        <f ca="1">IFERROR(__xludf.DUMMYFUNCTION("GOOGLEFINANCE(""NSE:""&amp;D2775,""price"")"),"#N/A")</f>
        <v>#N/A</v>
      </c>
      <c r="M2775" s="9" t="e">
        <f t="shared" ca="1" si="57"/>
        <v>#VALUE!</v>
      </c>
      <c r="N2775" s="10" t="e">
        <f t="shared" ca="1" si="58"/>
        <v>#VALUE!</v>
      </c>
      <c r="O2775" s="7" t="str">
        <f ca="1">IFERROR(__xludf.DUMMYFUNCTION("GOOGLEFINANCE(""NSE:""&amp;D2775,""pe"")"),"#N/A")</f>
        <v>#N/A</v>
      </c>
      <c r="P2775" s="7" t="str">
        <f ca="1">IFERROR(__xludf.DUMMYFUNCTION("GOOGLEFINANCE(""NSE:""&amp;D2775,""EPS"")"),"#N/A")</f>
        <v>#N/A</v>
      </c>
      <c r="Q2775" s="7">
        <v>13.5</v>
      </c>
      <c r="R2775" s="7" t="str">
        <f ca="1">IFERROR(__xludf.DUMMYFUNCTION("IMPORTXML(E2775,""/html/body/main/div[3]/div[3]/div[2]/ul/li[7]/span[2]/span"")"),"Loading...")</f>
        <v>Loading...</v>
      </c>
      <c r="S2775" s="7" t="str">
        <f ca="1">IFERROR(__xludf.DUMMYFUNCTION("IMPORTXML(E2775,""/html/body/main/div[3]/div[3]/div[2]/ul/li[8]/span[2]/span"")"),"Loading...")</f>
        <v>Loading...</v>
      </c>
      <c r="T2775" s="4">
        <v>34.6</v>
      </c>
      <c r="U2775" s="4">
        <v>22.7</v>
      </c>
      <c r="V2775" s="4">
        <v>2.6</v>
      </c>
      <c r="W2775" s="4">
        <v>5.7</v>
      </c>
      <c r="X2775" s="4">
        <v>519.92999999999995</v>
      </c>
      <c r="Y2775" s="7" t="e">
        <f t="shared" ca="1" si="59"/>
        <v>#VALUE!</v>
      </c>
    </row>
    <row r="2776" spans="1:25" ht="15" x14ac:dyDescent="0.25">
      <c r="A2776" s="4">
        <v>2731</v>
      </c>
      <c r="C2776" s="41" t="s">
        <v>5069</v>
      </c>
      <c r="D2776" s="42"/>
      <c r="E2776" s="5" t="str">
        <f t="shared" si="55"/>
        <v>https://www.screener.in/company//consolidated/</v>
      </c>
      <c r="F2776" s="4">
        <v>443059</v>
      </c>
      <c r="G2776" s="4">
        <v>3832241897</v>
      </c>
      <c r="H2776" s="6" t="e">
        <f t="shared" ca="1" si="56"/>
        <v>#VALUE!</v>
      </c>
      <c r="I2776" s="7" t="str">
        <f ca="1">IFERROR(__xludf.DUMMYFUNCTION("IMPORTXML(E2776,""/html/body/main/div[3]/div[3]/div[2]/ul/li[5]/span[2]/span"")"),"Loading...")</f>
        <v>Loading...</v>
      </c>
      <c r="J2776" s="7" t="str">
        <f ca="1">IFERROR(__xludf.DUMMYFUNCTION("GOOGLEFINANCE(""NSE:""&amp;D2776,""marketcap"")"),"#N/A")</f>
        <v>#N/A</v>
      </c>
      <c r="K2776" s="7">
        <v>992.8</v>
      </c>
      <c r="L2776" s="8" t="str">
        <f ca="1">IFERROR(__xludf.DUMMYFUNCTION("GOOGLEFINANCE(""NSE:""&amp;D2776,""price"")"),"#N/A")</f>
        <v>#N/A</v>
      </c>
      <c r="M2776" s="9" t="e">
        <f t="shared" ca="1" si="57"/>
        <v>#VALUE!</v>
      </c>
      <c r="N2776" s="10" t="e">
        <f t="shared" ca="1" si="58"/>
        <v>#VALUE!</v>
      </c>
      <c r="O2776" s="7" t="str">
        <f ca="1">IFERROR(__xludf.DUMMYFUNCTION("GOOGLEFINANCE(""NSE:""&amp;D2776,""pe"")"),"#N/A")</f>
        <v>#N/A</v>
      </c>
      <c r="P2776" s="7" t="str">
        <f ca="1">IFERROR(__xludf.DUMMYFUNCTION("GOOGLEFINANCE(""NSE:""&amp;D2776,""EPS"")"),"#N/A")</f>
        <v>#N/A</v>
      </c>
      <c r="Q2776" s="7">
        <v>13.5</v>
      </c>
      <c r="R2776" s="7" t="str">
        <f ca="1">IFERROR(__xludf.DUMMYFUNCTION("IMPORTXML(E2776,""/html/body/main/div[3]/div[3]/div[2]/ul/li[7]/span[2]/span"")"),"Loading...")</f>
        <v>Loading...</v>
      </c>
      <c r="S2776" s="7" t="str">
        <f ca="1">IFERROR(__xludf.DUMMYFUNCTION("IMPORTXML(E2776,""/html/body/main/div[3]/div[3]/div[2]/ul/li[8]/span[2]/span"")"),"Loading...")</f>
        <v>Loading...</v>
      </c>
      <c r="T2776" s="4">
        <v>34.6</v>
      </c>
      <c r="U2776" s="4">
        <v>22.7</v>
      </c>
      <c r="V2776" s="4">
        <v>2.6</v>
      </c>
      <c r="W2776" s="4">
        <v>5.7</v>
      </c>
      <c r="X2776" s="4">
        <v>519.92999999999995</v>
      </c>
      <c r="Y2776" s="7" t="e">
        <f t="shared" ca="1" si="59"/>
        <v>#VALUE!</v>
      </c>
    </row>
    <row r="2777" spans="1:25" ht="15" x14ac:dyDescent="0.25">
      <c r="A2777" s="4">
        <v>2733</v>
      </c>
      <c r="C2777" s="41" t="s">
        <v>5070</v>
      </c>
      <c r="D2777" s="42"/>
      <c r="E2777" s="5" t="str">
        <f t="shared" si="55"/>
        <v>https://www.screener.in/company//consolidated/</v>
      </c>
      <c r="F2777" s="4">
        <v>443059</v>
      </c>
      <c r="G2777" s="4">
        <v>3832241897</v>
      </c>
      <c r="H2777" s="6" t="e">
        <f t="shared" ca="1" si="56"/>
        <v>#VALUE!</v>
      </c>
      <c r="I2777" s="7" t="str">
        <f ca="1">IFERROR(__xludf.DUMMYFUNCTION("IMPORTXML(E2777,""/html/body/main/div[3]/div[3]/div[2]/ul/li[5]/span[2]/span"")"),"Loading...")</f>
        <v>Loading...</v>
      </c>
      <c r="J2777" s="7" t="str">
        <f ca="1">IFERROR(__xludf.DUMMYFUNCTION("GOOGLEFINANCE(""NSE:""&amp;D2777,""marketcap"")"),"#N/A")</f>
        <v>#N/A</v>
      </c>
      <c r="K2777" s="7">
        <v>992.8</v>
      </c>
      <c r="L2777" s="8" t="str">
        <f ca="1">IFERROR(__xludf.DUMMYFUNCTION("GOOGLEFINANCE(""NSE:""&amp;D2777,""price"")"),"#N/A")</f>
        <v>#N/A</v>
      </c>
      <c r="M2777" s="9" t="e">
        <f t="shared" ca="1" si="57"/>
        <v>#VALUE!</v>
      </c>
      <c r="N2777" s="10" t="e">
        <f t="shared" ca="1" si="58"/>
        <v>#VALUE!</v>
      </c>
      <c r="O2777" s="7" t="str">
        <f ca="1">IFERROR(__xludf.DUMMYFUNCTION("GOOGLEFINANCE(""NSE:""&amp;D2777,""pe"")"),"#N/A")</f>
        <v>#N/A</v>
      </c>
      <c r="P2777" s="7" t="str">
        <f ca="1">IFERROR(__xludf.DUMMYFUNCTION("GOOGLEFINANCE(""NSE:""&amp;D2777,""EPS"")"),"#N/A")</f>
        <v>#N/A</v>
      </c>
      <c r="Q2777" s="7">
        <v>13.5</v>
      </c>
      <c r="R2777" s="7" t="str">
        <f ca="1">IFERROR(__xludf.DUMMYFUNCTION("IMPORTXML(E2777,""/html/body/main/div[3]/div[3]/div[2]/ul/li[7]/span[2]/span"")"),"Loading...")</f>
        <v>Loading...</v>
      </c>
      <c r="S2777" s="7" t="str">
        <f ca="1">IFERROR(__xludf.DUMMYFUNCTION("IMPORTXML(E2777,""/html/body/main/div[3]/div[3]/div[2]/ul/li[8]/span[2]/span"")"),"Loading...")</f>
        <v>Loading...</v>
      </c>
      <c r="T2777" s="4">
        <v>34.6</v>
      </c>
      <c r="U2777" s="4">
        <v>22.7</v>
      </c>
      <c r="V2777" s="4">
        <v>2.6</v>
      </c>
      <c r="W2777" s="4">
        <v>5.7</v>
      </c>
      <c r="X2777" s="4">
        <v>519.92999999999995</v>
      </c>
      <c r="Y2777" s="7" t="e">
        <f t="shared" ca="1" si="59"/>
        <v>#VALUE!</v>
      </c>
    </row>
    <row r="2778" spans="1:25" ht="15" x14ac:dyDescent="0.25">
      <c r="A2778" s="4">
        <v>2734</v>
      </c>
      <c r="C2778" s="41" t="s">
        <v>5071</v>
      </c>
      <c r="D2778" s="42"/>
      <c r="E2778" s="5" t="str">
        <f t="shared" si="55"/>
        <v>https://www.screener.in/company//consolidated/</v>
      </c>
      <c r="F2778" s="4">
        <v>443059</v>
      </c>
      <c r="G2778" s="4">
        <v>3832241897</v>
      </c>
      <c r="H2778" s="6" t="e">
        <f t="shared" ca="1" si="56"/>
        <v>#VALUE!</v>
      </c>
      <c r="I2778" s="7" t="str">
        <f ca="1">IFERROR(__xludf.DUMMYFUNCTION("IMPORTXML(E2778,""/html/body/main/div[3]/div[3]/div[2]/ul/li[5]/span[2]/span"")"),"Loading...")</f>
        <v>Loading...</v>
      </c>
      <c r="J2778" s="7" t="str">
        <f ca="1">IFERROR(__xludf.DUMMYFUNCTION("GOOGLEFINANCE(""NSE:""&amp;D2778,""marketcap"")"),"#N/A")</f>
        <v>#N/A</v>
      </c>
      <c r="K2778" s="7">
        <v>992.8</v>
      </c>
      <c r="L2778" s="8" t="str">
        <f ca="1">IFERROR(__xludf.DUMMYFUNCTION("GOOGLEFINANCE(""NSE:""&amp;D2778,""price"")"),"#N/A")</f>
        <v>#N/A</v>
      </c>
      <c r="M2778" s="9" t="e">
        <f t="shared" ca="1" si="57"/>
        <v>#VALUE!</v>
      </c>
      <c r="N2778" s="10" t="e">
        <f t="shared" ca="1" si="58"/>
        <v>#VALUE!</v>
      </c>
      <c r="O2778" s="7" t="str">
        <f ca="1">IFERROR(__xludf.DUMMYFUNCTION("GOOGLEFINANCE(""NSE:""&amp;D2778,""pe"")"),"#N/A")</f>
        <v>#N/A</v>
      </c>
      <c r="P2778" s="7" t="str">
        <f ca="1">IFERROR(__xludf.DUMMYFUNCTION("GOOGLEFINANCE(""NSE:""&amp;D2778,""EPS"")"),"#N/A")</f>
        <v>#N/A</v>
      </c>
      <c r="Q2778" s="7">
        <v>13.5</v>
      </c>
      <c r="R2778" s="7" t="str">
        <f ca="1">IFERROR(__xludf.DUMMYFUNCTION("IMPORTXML(E2778,""/html/body/main/div[3]/div[3]/div[2]/ul/li[7]/span[2]/span"")"),"Loading...")</f>
        <v>Loading...</v>
      </c>
      <c r="S2778" s="7" t="str">
        <f ca="1">IFERROR(__xludf.DUMMYFUNCTION("IMPORTXML(E2778,""/html/body/main/div[3]/div[3]/div[2]/ul/li[8]/span[2]/span"")"),"Loading...")</f>
        <v>Loading...</v>
      </c>
      <c r="T2778" s="4">
        <v>34.6</v>
      </c>
      <c r="U2778" s="4">
        <v>22.7</v>
      </c>
      <c r="V2778" s="4">
        <v>2.6</v>
      </c>
      <c r="W2778" s="4">
        <v>5.7</v>
      </c>
      <c r="X2778" s="4">
        <v>519.92999999999995</v>
      </c>
      <c r="Y2778" s="7" t="e">
        <f t="shared" ca="1" si="59"/>
        <v>#VALUE!</v>
      </c>
    </row>
    <row r="2779" spans="1:25" ht="15" x14ac:dyDescent="0.25">
      <c r="A2779" s="4">
        <v>2736</v>
      </c>
      <c r="C2779" s="41" t="s">
        <v>5072</v>
      </c>
      <c r="D2779" s="42"/>
      <c r="E2779" s="5" t="str">
        <f t="shared" si="55"/>
        <v>https://www.screener.in/company//consolidated/</v>
      </c>
      <c r="F2779" s="4">
        <v>443059</v>
      </c>
      <c r="G2779" s="4">
        <v>3832241897</v>
      </c>
      <c r="H2779" s="6" t="e">
        <f t="shared" ca="1" si="56"/>
        <v>#VALUE!</v>
      </c>
      <c r="I2779" s="7" t="str">
        <f ca="1">IFERROR(__xludf.DUMMYFUNCTION("IMPORTXML(E2779,""/html/body/main/div[3]/div[3]/div[2]/ul/li[5]/span[2]/span"")"),"Loading...")</f>
        <v>Loading...</v>
      </c>
      <c r="J2779" s="7" t="str">
        <f ca="1">IFERROR(__xludf.DUMMYFUNCTION("GOOGLEFINANCE(""NSE:""&amp;D2779,""marketcap"")"),"#N/A")</f>
        <v>#N/A</v>
      </c>
      <c r="K2779" s="7">
        <v>992.8</v>
      </c>
      <c r="L2779" s="8" t="str">
        <f ca="1">IFERROR(__xludf.DUMMYFUNCTION("GOOGLEFINANCE(""NSE:""&amp;D2779,""price"")"),"#N/A")</f>
        <v>#N/A</v>
      </c>
      <c r="M2779" s="9" t="e">
        <f t="shared" ca="1" si="57"/>
        <v>#VALUE!</v>
      </c>
      <c r="N2779" s="10" t="e">
        <f t="shared" ca="1" si="58"/>
        <v>#VALUE!</v>
      </c>
      <c r="O2779" s="7" t="str">
        <f ca="1">IFERROR(__xludf.DUMMYFUNCTION("GOOGLEFINANCE(""NSE:""&amp;D2779,""pe"")"),"#N/A")</f>
        <v>#N/A</v>
      </c>
      <c r="P2779" s="7" t="str">
        <f ca="1">IFERROR(__xludf.DUMMYFUNCTION("GOOGLEFINANCE(""NSE:""&amp;D2779,""EPS"")"),"#N/A")</f>
        <v>#N/A</v>
      </c>
      <c r="Q2779" s="7">
        <v>13.5</v>
      </c>
      <c r="R2779" s="7" t="str">
        <f ca="1">IFERROR(__xludf.DUMMYFUNCTION("IMPORTXML(E2779,""/html/body/main/div[3]/div[3]/div[2]/ul/li[7]/span[2]/span"")"),"Loading...")</f>
        <v>Loading...</v>
      </c>
      <c r="S2779" s="7" t="str">
        <f ca="1">IFERROR(__xludf.DUMMYFUNCTION("IMPORTXML(E2779,""/html/body/main/div[3]/div[3]/div[2]/ul/li[8]/span[2]/span"")"),"Loading...")</f>
        <v>Loading...</v>
      </c>
      <c r="T2779" s="4">
        <v>34.6</v>
      </c>
      <c r="U2779" s="4">
        <v>22.7</v>
      </c>
      <c r="V2779" s="4">
        <v>2.6</v>
      </c>
      <c r="W2779" s="4">
        <v>5.7</v>
      </c>
      <c r="X2779" s="4">
        <v>519.92999999999995</v>
      </c>
      <c r="Y2779" s="7" t="e">
        <f t="shared" ca="1" si="59"/>
        <v>#VALUE!</v>
      </c>
    </row>
    <row r="2780" spans="1:25" ht="15" x14ac:dyDescent="0.25">
      <c r="A2780" s="4">
        <v>2738</v>
      </c>
      <c r="C2780" s="41" t="s">
        <v>5073</v>
      </c>
      <c r="D2780" s="42"/>
      <c r="E2780" s="5" t="str">
        <f t="shared" si="55"/>
        <v>https://www.screener.in/company//consolidated/</v>
      </c>
      <c r="F2780" s="4">
        <v>443059</v>
      </c>
      <c r="G2780" s="4">
        <v>3832241897</v>
      </c>
      <c r="H2780" s="6" t="e">
        <f t="shared" ca="1" si="56"/>
        <v>#VALUE!</v>
      </c>
      <c r="I2780" s="7" t="str">
        <f ca="1">IFERROR(__xludf.DUMMYFUNCTION("IMPORTXML(E2780,""/html/body/main/div[3]/div[3]/div[2]/ul/li[5]/span[2]/span"")"),"Loading...")</f>
        <v>Loading...</v>
      </c>
      <c r="J2780" s="7" t="str">
        <f ca="1">IFERROR(__xludf.DUMMYFUNCTION("GOOGLEFINANCE(""NSE:""&amp;D2780,""marketcap"")"),"#N/A")</f>
        <v>#N/A</v>
      </c>
      <c r="K2780" s="7">
        <v>992.8</v>
      </c>
      <c r="L2780" s="8" t="str">
        <f ca="1">IFERROR(__xludf.DUMMYFUNCTION("GOOGLEFINANCE(""NSE:""&amp;D2780,""price"")"),"#N/A")</f>
        <v>#N/A</v>
      </c>
      <c r="M2780" s="9" t="e">
        <f t="shared" ca="1" si="57"/>
        <v>#VALUE!</v>
      </c>
      <c r="N2780" s="10" t="e">
        <f t="shared" ca="1" si="58"/>
        <v>#VALUE!</v>
      </c>
      <c r="O2780" s="7" t="str">
        <f ca="1">IFERROR(__xludf.DUMMYFUNCTION("GOOGLEFINANCE(""NSE:""&amp;D2780,""pe"")"),"#N/A")</f>
        <v>#N/A</v>
      </c>
      <c r="P2780" s="7" t="str">
        <f ca="1">IFERROR(__xludf.DUMMYFUNCTION("GOOGLEFINANCE(""NSE:""&amp;D2780,""EPS"")"),"#N/A")</f>
        <v>#N/A</v>
      </c>
      <c r="Q2780" s="7">
        <v>13.5</v>
      </c>
      <c r="R2780" s="7" t="str">
        <f ca="1">IFERROR(__xludf.DUMMYFUNCTION("IMPORTXML(E2780,""/html/body/main/div[3]/div[3]/div[2]/ul/li[7]/span[2]/span"")"),"Loading...")</f>
        <v>Loading...</v>
      </c>
      <c r="S2780" s="7" t="str">
        <f ca="1">IFERROR(__xludf.DUMMYFUNCTION("IMPORTXML(E2780,""/html/body/main/div[3]/div[3]/div[2]/ul/li[8]/span[2]/span"")"),"Loading...")</f>
        <v>Loading...</v>
      </c>
      <c r="T2780" s="4">
        <v>34.6</v>
      </c>
      <c r="U2780" s="4">
        <v>22.7</v>
      </c>
      <c r="V2780" s="4">
        <v>2.6</v>
      </c>
      <c r="W2780" s="4">
        <v>5.7</v>
      </c>
      <c r="X2780" s="4">
        <v>519.92999999999995</v>
      </c>
      <c r="Y2780" s="7" t="e">
        <f t="shared" ca="1" si="59"/>
        <v>#VALUE!</v>
      </c>
    </row>
    <row r="2781" spans="1:25" ht="15" x14ac:dyDescent="0.25">
      <c r="A2781" s="4">
        <v>2739</v>
      </c>
      <c r="C2781" s="41" t="s">
        <v>5074</v>
      </c>
      <c r="D2781" s="42"/>
      <c r="E2781" s="5" t="str">
        <f t="shared" si="55"/>
        <v>https://www.screener.in/company//consolidated/</v>
      </c>
      <c r="F2781" s="4">
        <v>443059</v>
      </c>
      <c r="G2781" s="4">
        <v>3832241897</v>
      </c>
      <c r="H2781" s="6" t="e">
        <f t="shared" ca="1" si="56"/>
        <v>#VALUE!</v>
      </c>
      <c r="I2781" s="7" t="str">
        <f ca="1">IFERROR(__xludf.DUMMYFUNCTION("IMPORTXML(E2781,""/html/body/main/div[3]/div[3]/div[2]/ul/li[5]/span[2]/span"")"),"Loading...")</f>
        <v>Loading...</v>
      </c>
      <c r="J2781" s="7" t="str">
        <f ca="1">IFERROR(__xludf.DUMMYFUNCTION("GOOGLEFINANCE(""NSE:""&amp;D2781,""marketcap"")"),"#N/A")</f>
        <v>#N/A</v>
      </c>
      <c r="K2781" s="7">
        <v>992.8</v>
      </c>
      <c r="L2781" s="8" t="str">
        <f ca="1">IFERROR(__xludf.DUMMYFUNCTION("GOOGLEFINANCE(""NSE:""&amp;D2781,""price"")"),"#N/A")</f>
        <v>#N/A</v>
      </c>
      <c r="M2781" s="9" t="e">
        <f t="shared" ca="1" si="57"/>
        <v>#VALUE!</v>
      </c>
      <c r="N2781" s="10" t="e">
        <f t="shared" ca="1" si="58"/>
        <v>#VALUE!</v>
      </c>
      <c r="O2781" s="7" t="str">
        <f ca="1">IFERROR(__xludf.DUMMYFUNCTION("GOOGLEFINANCE(""NSE:""&amp;D2781,""pe"")"),"#N/A")</f>
        <v>#N/A</v>
      </c>
      <c r="P2781" s="7" t="str">
        <f ca="1">IFERROR(__xludf.DUMMYFUNCTION("GOOGLEFINANCE(""NSE:""&amp;D2781,""EPS"")"),"#N/A")</f>
        <v>#N/A</v>
      </c>
      <c r="Q2781" s="7">
        <v>13.5</v>
      </c>
      <c r="R2781" s="7" t="str">
        <f ca="1">IFERROR(__xludf.DUMMYFUNCTION("IMPORTXML(E2781,""/html/body/main/div[3]/div[3]/div[2]/ul/li[7]/span[2]/span"")"),"Loading...")</f>
        <v>Loading...</v>
      </c>
      <c r="S2781" s="7" t="str">
        <f ca="1">IFERROR(__xludf.DUMMYFUNCTION("IMPORTXML(E2781,""/html/body/main/div[3]/div[3]/div[2]/ul/li[8]/span[2]/span"")"),"Loading...")</f>
        <v>Loading...</v>
      </c>
      <c r="T2781" s="4">
        <v>34.6</v>
      </c>
      <c r="U2781" s="4">
        <v>22.7</v>
      </c>
      <c r="V2781" s="4">
        <v>2.6</v>
      </c>
      <c r="W2781" s="4">
        <v>5.7</v>
      </c>
      <c r="X2781" s="4">
        <v>519.92999999999995</v>
      </c>
      <c r="Y2781" s="7" t="e">
        <f t="shared" ca="1" si="59"/>
        <v>#VALUE!</v>
      </c>
    </row>
    <row r="2782" spans="1:25" ht="15" x14ac:dyDescent="0.25">
      <c r="A2782" s="4">
        <v>2740</v>
      </c>
      <c r="C2782" s="12" t="s">
        <v>5075</v>
      </c>
      <c r="D2782" s="12" t="s">
        <v>5076</v>
      </c>
      <c r="E2782" s="5" t="str">
        <f t="shared" si="55"/>
        <v>https://www.screener.in/company/GOLDENTOBC/consolidated/</v>
      </c>
      <c r="F2782" s="4">
        <v>443059</v>
      </c>
      <c r="G2782" s="4">
        <v>3832241897</v>
      </c>
      <c r="H2782" s="6">
        <f t="shared" ca="1" si="56"/>
        <v>13796.0708292</v>
      </c>
      <c r="I2782" s="7" t="str">
        <f ca="1">IFERROR(__xludf.DUMMYFUNCTION("IMPORTXML(E2782,""/html/body/main/div[3]/div[3]/div[2]/ul/li[5]/span[2]/span"")"),"Loading...")</f>
        <v>Loading...</v>
      </c>
      <c r="J2782" s="7">
        <f ca="1">IFERROR(__xludf.DUMMYFUNCTION("GOOGLEFINANCE(""NSE:""&amp;D2782,""marketcap"")"),647556583)</f>
        <v>647556583</v>
      </c>
      <c r="K2782" s="7">
        <v>992.8</v>
      </c>
      <c r="L2782" s="8">
        <f ca="1">IFERROR(__xludf.DUMMYFUNCTION("GOOGLEFINANCE(""NSE:""&amp;D2782,""price"")"),36)</f>
        <v>36</v>
      </c>
      <c r="M2782" s="9">
        <f t="shared" ca="1" si="57"/>
        <v>-956.8</v>
      </c>
      <c r="N2782" s="10">
        <f t="shared" ca="1" si="58"/>
        <v>-96.373892022562444</v>
      </c>
      <c r="O2782" s="7" t="str">
        <f ca="1">IFERROR(__xludf.DUMMYFUNCTION("GOOGLEFINANCE(""NSE:""&amp;D2782,""pe"")"),"#N/A")</f>
        <v>#N/A</v>
      </c>
      <c r="P2782" s="7" t="str">
        <f ca="1">IFERROR(__xludf.DUMMYFUNCTION("GOOGLEFINANCE(""NSE:""&amp;D2782,""EPS"")"),"#N/A")</f>
        <v>#N/A</v>
      </c>
      <c r="Q2782" s="7">
        <v>13.5</v>
      </c>
      <c r="R2782" s="7" t="str">
        <f ca="1">IFERROR(__xludf.DUMMYFUNCTION("IMPORTXML(E2782,""/html/body/main/div[3]/div[3]/div[2]/ul/li[7]/span[2]/span"")"),"Loading...")</f>
        <v>Loading...</v>
      </c>
      <c r="S2782" s="7" t="str">
        <f ca="1">IFERROR(__xludf.DUMMYFUNCTION("IMPORTXML(E2782,""/html/body/main/div[3]/div[3]/div[2]/ul/li[8]/span[2]/span"")"),"Loading...")</f>
        <v>Loading...</v>
      </c>
      <c r="T2782" s="4">
        <v>34.6</v>
      </c>
      <c r="U2782" s="4">
        <v>22.7</v>
      </c>
      <c r="V2782" s="4">
        <v>2.6</v>
      </c>
      <c r="W2782" s="4">
        <v>5.7</v>
      </c>
      <c r="X2782" s="4">
        <v>519.92999999999995</v>
      </c>
      <c r="Y2782" s="7">
        <f t="shared" ca="1" si="59"/>
        <v>-483.92999999999995</v>
      </c>
    </row>
    <row r="2783" spans="1:25" ht="15" x14ac:dyDescent="0.25">
      <c r="A2783" s="4">
        <v>2742</v>
      </c>
      <c r="C2783" s="41" t="s">
        <v>5077</v>
      </c>
      <c r="D2783" s="42"/>
      <c r="E2783" s="5" t="str">
        <f t="shared" si="55"/>
        <v>https://www.screener.in/company//consolidated/</v>
      </c>
      <c r="F2783" s="4">
        <v>443059</v>
      </c>
      <c r="G2783" s="4">
        <v>3832241897</v>
      </c>
      <c r="H2783" s="6" t="e">
        <f t="shared" ca="1" si="56"/>
        <v>#VALUE!</v>
      </c>
      <c r="I2783" s="7" t="str">
        <f ca="1">IFERROR(__xludf.DUMMYFUNCTION("IMPORTXML(E2783,""/html/body/main/div[3]/div[3]/div[2]/ul/li[5]/span[2]/span"")"),"Loading...")</f>
        <v>Loading...</v>
      </c>
      <c r="J2783" s="7" t="str">
        <f ca="1">IFERROR(__xludf.DUMMYFUNCTION("GOOGLEFINANCE(""NSE:""&amp;D2783,""marketcap"")"),"#N/A")</f>
        <v>#N/A</v>
      </c>
      <c r="K2783" s="7">
        <v>992.8</v>
      </c>
      <c r="L2783" s="8" t="str">
        <f ca="1">IFERROR(__xludf.DUMMYFUNCTION("GOOGLEFINANCE(""NSE:""&amp;D2783,""price"")"),"#N/A")</f>
        <v>#N/A</v>
      </c>
      <c r="M2783" s="9" t="e">
        <f t="shared" ca="1" si="57"/>
        <v>#VALUE!</v>
      </c>
      <c r="N2783" s="10" t="e">
        <f t="shared" ca="1" si="58"/>
        <v>#VALUE!</v>
      </c>
      <c r="O2783" s="7" t="str">
        <f ca="1">IFERROR(__xludf.DUMMYFUNCTION("GOOGLEFINANCE(""NSE:""&amp;D2783,""pe"")"),"#N/A")</f>
        <v>#N/A</v>
      </c>
      <c r="P2783" s="7" t="str">
        <f ca="1">IFERROR(__xludf.DUMMYFUNCTION("GOOGLEFINANCE(""NSE:""&amp;D2783,""EPS"")"),"#N/A")</f>
        <v>#N/A</v>
      </c>
      <c r="Q2783" s="7">
        <v>13.5</v>
      </c>
      <c r="R2783" s="7" t="str">
        <f ca="1">IFERROR(__xludf.DUMMYFUNCTION("IMPORTXML(E2783,""/html/body/main/div[3]/div[3]/div[2]/ul/li[7]/span[2]/span"")"),"Loading...")</f>
        <v>Loading...</v>
      </c>
      <c r="S2783" s="7" t="str">
        <f ca="1">IFERROR(__xludf.DUMMYFUNCTION("IMPORTXML(E2783,""/html/body/main/div[3]/div[3]/div[2]/ul/li[8]/span[2]/span"")"),"Loading...")</f>
        <v>Loading...</v>
      </c>
      <c r="T2783" s="4">
        <v>34.6</v>
      </c>
      <c r="U2783" s="4">
        <v>22.7</v>
      </c>
      <c r="V2783" s="4">
        <v>2.6</v>
      </c>
      <c r="W2783" s="4">
        <v>5.7</v>
      </c>
      <c r="X2783" s="4">
        <v>519.92999999999995</v>
      </c>
      <c r="Y2783" s="7" t="e">
        <f t="shared" ca="1" si="59"/>
        <v>#VALUE!</v>
      </c>
    </row>
    <row r="2784" spans="1:25" ht="15" x14ac:dyDescent="0.25">
      <c r="A2784" s="4">
        <v>2743</v>
      </c>
      <c r="C2784" s="41" t="s">
        <v>5078</v>
      </c>
      <c r="D2784" s="42"/>
      <c r="E2784" s="5" t="str">
        <f t="shared" si="55"/>
        <v>https://www.screener.in/company//consolidated/</v>
      </c>
      <c r="F2784" s="4">
        <v>443059</v>
      </c>
      <c r="G2784" s="4">
        <v>3832241897</v>
      </c>
      <c r="H2784" s="6" t="e">
        <f t="shared" ca="1" si="56"/>
        <v>#VALUE!</v>
      </c>
      <c r="I2784" s="7" t="str">
        <f ca="1">IFERROR(__xludf.DUMMYFUNCTION("IMPORTXML(E2784,""/html/body/main/div[3]/div[3]/div[2]/ul/li[5]/span[2]/span"")"),"Loading...")</f>
        <v>Loading...</v>
      </c>
      <c r="J2784" s="7" t="str">
        <f ca="1">IFERROR(__xludf.DUMMYFUNCTION("GOOGLEFINANCE(""NSE:""&amp;D2784,""marketcap"")"),"#N/A")</f>
        <v>#N/A</v>
      </c>
      <c r="K2784" s="7">
        <v>992.8</v>
      </c>
      <c r="L2784" s="8" t="str">
        <f ca="1">IFERROR(__xludf.DUMMYFUNCTION("GOOGLEFINANCE(""NSE:""&amp;D2784,""price"")"),"#N/A")</f>
        <v>#N/A</v>
      </c>
      <c r="M2784" s="9" t="e">
        <f t="shared" ca="1" si="57"/>
        <v>#VALUE!</v>
      </c>
      <c r="N2784" s="10" t="e">
        <f t="shared" ca="1" si="58"/>
        <v>#VALUE!</v>
      </c>
      <c r="O2784" s="7" t="str">
        <f ca="1">IFERROR(__xludf.DUMMYFUNCTION("GOOGLEFINANCE(""NSE:""&amp;D2784,""pe"")"),"#N/A")</f>
        <v>#N/A</v>
      </c>
      <c r="P2784" s="7" t="str">
        <f ca="1">IFERROR(__xludf.DUMMYFUNCTION("GOOGLEFINANCE(""NSE:""&amp;D2784,""EPS"")"),"#N/A")</f>
        <v>#N/A</v>
      </c>
      <c r="Q2784" s="7">
        <v>13.5</v>
      </c>
      <c r="R2784" s="7" t="str">
        <f ca="1">IFERROR(__xludf.DUMMYFUNCTION("IMPORTXML(E2784,""/html/body/main/div[3]/div[3]/div[2]/ul/li[7]/span[2]/span"")"),"Loading...")</f>
        <v>Loading...</v>
      </c>
      <c r="S2784" s="7" t="str">
        <f ca="1">IFERROR(__xludf.DUMMYFUNCTION("IMPORTXML(E2784,""/html/body/main/div[3]/div[3]/div[2]/ul/li[8]/span[2]/span"")"),"Loading...")</f>
        <v>Loading...</v>
      </c>
      <c r="T2784" s="4">
        <v>34.6</v>
      </c>
      <c r="U2784" s="4">
        <v>22.7</v>
      </c>
      <c r="V2784" s="4">
        <v>2.6</v>
      </c>
      <c r="W2784" s="4">
        <v>5.7</v>
      </c>
      <c r="X2784" s="4">
        <v>519.92999999999995</v>
      </c>
      <c r="Y2784" s="7" t="e">
        <f t="shared" ca="1" si="59"/>
        <v>#VALUE!</v>
      </c>
    </row>
    <row r="2785" spans="1:25" ht="15" x14ac:dyDescent="0.25">
      <c r="A2785" s="4">
        <v>2744</v>
      </c>
      <c r="C2785" s="41" t="s">
        <v>5079</v>
      </c>
      <c r="D2785" s="42"/>
      <c r="E2785" s="5" t="str">
        <f t="shared" si="55"/>
        <v>https://www.screener.in/company//consolidated/</v>
      </c>
      <c r="F2785" s="4">
        <v>443059</v>
      </c>
      <c r="G2785" s="4">
        <v>3832241897</v>
      </c>
      <c r="H2785" s="6" t="e">
        <f t="shared" ca="1" si="56"/>
        <v>#VALUE!</v>
      </c>
      <c r="I2785" s="7" t="str">
        <f ca="1">IFERROR(__xludf.DUMMYFUNCTION("IMPORTXML(E2785,""/html/body/main/div[3]/div[3]/div[2]/ul/li[5]/span[2]/span"")"),"Loading...")</f>
        <v>Loading...</v>
      </c>
      <c r="J2785" s="7" t="str">
        <f ca="1">IFERROR(__xludf.DUMMYFUNCTION("GOOGLEFINANCE(""NSE:""&amp;D2785,""marketcap"")"),"#N/A")</f>
        <v>#N/A</v>
      </c>
      <c r="K2785" s="7">
        <v>992.8</v>
      </c>
      <c r="L2785" s="8" t="str">
        <f ca="1">IFERROR(__xludf.DUMMYFUNCTION("GOOGLEFINANCE(""NSE:""&amp;D2785,""price"")"),"#N/A")</f>
        <v>#N/A</v>
      </c>
      <c r="M2785" s="9" t="e">
        <f t="shared" ca="1" si="57"/>
        <v>#VALUE!</v>
      </c>
      <c r="N2785" s="10" t="e">
        <f t="shared" ca="1" si="58"/>
        <v>#VALUE!</v>
      </c>
      <c r="O2785" s="7" t="str">
        <f ca="1">IFERROR(__xludf.DUMMYFUNCTION("GOOGLEFINANCE(""NSE:""&amp;D2785,""pe"")"),"#N/A")</f>
        <v>#N/A</v>
      </c>
      <c r="P2785" s="7" t="str">
        <f ca="1">IFERROR(__xludf.DUMMYFUNCTION("GOOGLEFINANCE(""NSE:""&amp;D2785,""EPS"")"),"#N/A")</f>
        <v>#N/A</v>
      </c>
      <c r="Q2785" s="7">
        <v>13.5</v>
      </c>
      <c r="R2785" s="7" t="str">
        <f ca="1">IFERROR(__xludf.DUMMYFUNCTION("IMPORTXML(E2785,""/html/body/main/div[3]/div[3]/div[2]/ul/li[7]/span[2]/span"")"),"Loading...")</f>
        <v>Loading...</v>
      </c>
      <c r="S2785" s="7" t="str">
        <f ca="1">IFERROR(__xludf.DUMMYFUNCTION("IMPORTXML(E2785,""/html/body/main/div[3]/div[3]/div[2]/ul/li[8]/span[2]/span"")"),"Loading...")</f>
        <v>Loading...</v>
      </c>
      <c r="T2785" s="4">
        <v>34.6</v>
      </c>
      <c r="U2785" s="4">
        <v>22.7</v>
      </c>
      <c r="V2785" s="4">
        <v>2.6</v>
      </c>
      <c r="W2785" s="4">
        <v>5.7</v>
      </c>
      <c r="X2785" s="4">
        <v>519.92999999999995</v>
      </c>
      <c r="Y2785" s="7" t="e">
        <f t="shared" ca="1" si="59"/>
        <v>#VALUE!</v>
      </c>
    </row>
    <row r="2786" spans="1:25" ht="15" x14ac:dyDescent="0.25">
      <c r="A2786" s="4">
        <v>2745</v>
      </c>
      <c r="C2786" s="41" t="s">
        <v>5080</v>
      </c>
      <c r="D2786" s="42"/>
      <c r="E2786" s="5" t="str">
        <f t="shared" si="55"/>
        <v>https://www.screener.in/company//consolidated/</v>
      </c>
      <c r="F2786" s="4">
        <v>443059</v>
      </c>
      <c r="G2786" s="4">
        <v>3832241897</v>
      </c>
      <c r="H2786" s="6" t="e">
        <f t="shared" ca="1" si="56"/>
        <v>#VALUE!</v>
      </c>
      <c r="I2786" s="7" t="str">
        <f ca="1">IFERROR(__xludf.DUMMYFUNCTION("IMPORTXML(E2786,""/html/body/main/div[3]/div[3]/div[2]/ul/li[5]/span[2]/span"")"),"Loading...")</f>
        <v>Loading...</v>
      </c>
      <c r="J2786" s="7" t="str">
        <f ca="1">IFERROR(__xludf.DUMMYFUNCTION("GOOGLEFINANCE(""NSE:""&amp;D2786,""marketcap"")"),"#N/A")</f>
        <v>#N/A</v>
      </c>
      <c r="K2786" s="7">
        <v>992.8</v>
      </c>
      <c r="L2786" s="8" t="str">
        <f ca="1">IFERROR(__xludf.DUMMYFUNCTION("GOOGLEFINANCE(""NSE:""&amp;D2786,""price"")"),"#N/A")</f>
        <v>#N/A</v>
      </c>
      <c r="M2786" s="9" t="e">
        <f t="shared" ca="1" si="57"/>
        <v>#VALUE!</v>
      </c>
      <c r="N2786" s="10" t="e">
        <f t="shared" ca="1" si="58"/>
        <v>#VALUE!</v>
      </c>
      <c r="O2786" s="7" t="str">
        <f ca="1">IFERROR(__xludf.DUMMYFUNCTION("GOOGLEFINANCE(""NSE:""&amp;D2786,""pe"")"),"#N/A")</f>
        <v>#N/A</v>
      </c>
      <c r="P2786" s="7" t="str">
        <f ca="1">IFERROR(__xludf.DUMMYFUNCTION("GOOGLEFINANCE(""NSE:""&amp;D2786,""EPS"")"),"#N/A")</f>
        <v>#N/A</v>
      </c>
      <c r="Q2786" s="7">
        <v>13.5</v>
      </c>
      <c r="R2786" s="7" t="str">
        <f ca="1">IFERROR(__xludf.DUMMYFUNCTION("IMPORTXML(E2786,""/html/body/main/div[3]/div[3]/div[2]/ul/li[7]/span[2]/span"")"),"Loading...")</f>
        <v>Loading...</v>
      </c>
      <c r="S2786" s="7" t="str">
        <f ca="1">IFERROR(__xludf.DUMMYFUNCTION("IMPORTXML(E2786,""/html/body/main/div[3]/div[3]/div[2]/ul/li[8]/span[2]/span"")"),"Loading...")</f>
        <v>Loading...</v>
      </c>
      <c r="T2786" s="4">
        <v>34.6</v>
      </c>
      <c r="U2786" s="4">
        <v>22.7</v>
      </c>
      <c r="V2786" s="4">
        <v>2.6</v>
      </c>
      <c r="W2786" s="4">
        <v>5.7</v>
      </c>
      <c r="X2786" s="4">
        <v>519.92999999999995</v>
      </c>
      <c r="Y2786" s="7" t="e">
        <f t="shared" ca="1" si="59"/>
        <v>#VALUE!</v>
      </c>
    </row>
    <row r="2787" spans="1:25" ht="15" x14ac:dyDescent="0.25">
      <c r="A2787" s="4">
        <v>2746</v>
      </c>
      <c r="C2787" s="41" t="s">
        <v>5081</v>
      </c>
      <c r="D2787" s="42"/>
      <c r="E2787" s="5" t="str">
        <f t="shared" si="55"/>
        <v>https://www.screener.in/company//consolidated/</v>
      </c>
      <c r="F2787" s="4">
        <v>443059</v>
      </c>
      <c r="G2787" s="4">
        <v>3832241897</v>
      </c>
      <c r="H2787" s="6" t="e">
        <f t="shared" ca="1" si="56"/>
        <v>#VALUE!</v>
      </c>
      <c r="I2787" s="7" t="str">
        <f ca="1">IFERROR(__xludf.DUMMYFUNCTION("IMPORTXML(E2787,""/html/body/main/div[3]/div[3]/div[2]/ul/li[5]/span[2]/span"")"),"Loading...")</f>
        <v>Loading...</v>
      </c>
      <c r="J2787" s="7" t="str">
        <f ca="1">IFERROR(__xludf.DUMMYFUNCTION("GOOGLEFINANCE(""NSE:""&amp;D2787,""marketcap"")"),"#N/A")</f>
        <v>#N/A</v>
      </c>
      <c r="K2787" s="7">
        <v>992.8</v>
      </c>
      <c r="L2787" s="8" t="str">
        <f ca="1">IFERROR(__xludf.DUMMYFUNCTION("GOOGLEFINANCE(""NSE:""&amp;D2787,""price"")"),"#N/A")</f>
        <v>#N/A</v>
      </c>
      <c r="M2787" s="9" t="e">
        <f t="shared" ca="1" si="57"/>
        <v>#VALUE!</v>
      </c>
      <c r="N2787" s="10" t="e">
        <f t="shared" ca="1" si="58"/>
        <v>#VALUE!</v>
      </c>
      <c r="O2787" s="7" t="str">
        <f ca="1">IFERROR(__xludf.DUMMYFUNCTION("GOOGLEFINANCE(""NSE:""&amp;D2787,""pe"")"),"#N/A")</f>
        <v>#N/A</v>
      </c>
      <c r="P2787" s="7" t="str">
        <f ca="1">IFERROR(__xludf.DUMMYFUNCTION("GOOGLEFINANCE(""NSE:""&amp;D2787,""EPS"")"),"#N/A")</f>
        <v>#N/A</v>
      </c>
      <c r="Q2787" s="7">
        <v>13.5</v>
      </c>
      <c r="R2787" s="7" t="str">
        <f ca="1">IFERROR(__xludf.DUMMYFUNCTION("IMPORTXML(E2787,""/html/body/main/div[3]/div[3]/div[2]/ul/li[7]/span[2]/span"")"),"Loading...")</f>
        <v>Loading...</v>
      </c>
      <c r="S2787" s="7" t="str">
        <f ca="1">IFERROR(__xludf.DUMMYFUNCTION("IMPORTXML(E2787,""/html/body/main/div[3]/div[3]/div[2]/ul/li[8]/span[2]/span"")"),"Loading...")</f>
        <v>Loading...</v>
      </c>
      <c r="T2787" s="4">
        <v>34.6</v>
      </c>
      <c r="U2787" s="4">
        <v>22.7</v>
      </c>
      <c r="V2787" s="4">
        <v>2.6</v>
      </c>
      <c r="W2787" s="4">
        <v>5.7</v>
      </c>
      <c r="X2787" s="4">
        <v>519.92999999999995</v>
      </c>
      <c r="Y2787" s="7" t="e">
        <f t="shared" ca="1" si="59"/>
        <v>#VALUE!</v>
      </c>
    </row>
    <row r="2788" spans="1:25" ht="15" x14ac:dyDescent="0.25">
      <c r="A2788" s="4">
        <v>2747</v>
      </c>
      <c r="C2788" s="41" t="s">
        <v>5082</v>
      </c>
      <c r="D2788" s="42"/>
      <c r="E2788" s="5" t="str">
        <f t="shared" si="55"/>
        <v>https://www.screener.in/company//consolidated/</v>
      </c>
      <c r="F2788" s="4">
        <v>443059</v>
      </c>
      <c r="G2788" s="4">
        <v>3832241897</v>
      </c>
      <c r="H2788" s="6" t="e">
        <f t="shared" ca="1" si="56"/>
        <v>#VALUE!</v>
      </c>
      <c r="I2788" s="7" t="str">
        <f ca="1">IFERROR(__xludf.DUMMYFUNCTION("IMPORTXML(E2788,""/html/body/main/div[3]/div[3]/div[2]/ul/li[5]/span[2]/span"")"),"Loading...")</f>
        <v>Loading...</v>
      </c>
      <c r="J2788" s="7" t="str">
        <f ca="1">IFERROR(__xludf.DUMMYFUNCTION("GOOGLEFINANCE(""NSE:""&amp;D2788,""marketcap"")"),"#N/A")</f>
        <v>#N/A</v>
      </c>
      <c r="K2788" s="7">
        <v>992.8</v>
      </c>
      <c r="L2788" s="8" t="str">
        <f ca="1">IFERROR(__xludf.DUMMYFUNCTION("GOOGLEFINANCE(""NSE:""&amp;D2788,""price"")"),"#N/A")</f>
        <v>#N/A</v>
      </c>
      <c r="M2788" s="9" t="e">
        <f t="shared" ca="1" si="57"/>
        <v>#VALUE!</v>
      </c>
      <c r="N2788" s="10" t="e">
        <f t="shared" ca="1" si="58"/>
        <v>#VALUE!</v>
      </c>
      <c r="O2788" s="7" t="str">
        <f ca="1">IFERROR(__xludf.DUMMYFUNCTION("GOOGLEFINANCE(""NSE:""&amp;D2788,""pe"")"),"#N/A")</f>
        <v>#N/A</v>
      </c>
      <c r="P2788" s="7" t="str">
        <f ca="1">IFERROR(__xludf.DUMMYFUNCTION("GOOGLEFINANCE(""NSE:""&amp;D2788,""EPS"")"),"#N/A")</f>
        <v>#N/A</v>
      </c>
      <c r="Q2788" s="7">
        <v>13.5</v>
      </c>
      <c r="R2788" s="7" t="str">
        <f ca="1">IFERROR(__xludf.DUMMYFUNCTION("IMPORTXML(E2788,""/html/body/main/div[3]/div[3]/div[2]/ul/li[7]/span[2]/span"")"),"Loading...")</f>
        <v>Loading...</v>
      </c>
      <c r="S2788" s="7" t="str">
        <f ca="1">IFERROR(__xludf.DUMMYFUNCTION("IMPORTXML(E2788,""/html/body/main/div[3]/div[3]/div[2]/ul/li[8]/span[2]/span"")"),"Loading...")</f>
        <v>Loading...</v>
      </c>
      <c r="T2788" s="4">
        <v>34.6</v>
      </c>
      <c r="U2788" s="4">
        <v>22.7</v>
      </c>
      <c r="V2788" s="4">
        <v>2.6</v>
      </c>
      <c r="W2788" s="4">
        <v>5.7</v>
      </c>
      <c r="X2788" s="4">
        <v>519.92999999999995</v>
      </c>
      <c r="Y2788" s="7" t="e">
        <f t="shared" ca="1" si="59"/>
        <v>#VALUE!</v>
      </c>
    </row>
    <row r="2789" spans="1:25" ht="15" x14ac:dyDescent="0.25">
      <c r="A2789" s="4">
        <v>2748</v>
      </c>
      <c r="C2789" s="12" t="s">
        <v>5083</v>
      </c>
      <c r="D2789" s="37"/>
      <c r="E2789" s="5" t="str">
        <f t="shared" si="55"/>
        <v>https://www.screener.in/company//consolidated/</v>
      </c>
      <c r="F2789" s="4">
        <v>443059</v>
      </c>
      <c r="G2789" s="4">
        <v>3832241897</v>
      </c>
      <c r="H2789" s="6" t="e">
        <f t="shared" ca="1" si="56"/>
        <v>#VALUE!</v>
      </c>
      <c r="I2789" s="7" t="str">
        <f ca="1">IFERROR(__xludf.DUMMYFUNCTION("IMPORTXML(E2789,""/html/body/main/div[3]/div[3]/div[2]/ul/li[5]/span[2]/span"")"),"Loading...")</f>
        <v>Loading...</v>
      </c>
      <c r="J2789" s="7" t="str">
        <f ca="1">IFERROR(__xludf.DUMMYFUNCTION("GOOGLEFINANCE(""NSE:""&amp;D2789,""marketcap"")"),"#N/A")</f>
        <v>#N/A</v>
      </c>
      <c r="K2789" s="7">
        <v>992.8</v>
      </c>
      <c r="L2789" s="8" t="str">
        <f ca="1">IFERROR(__xludf.DUMMYFUNCTION("GOOGLEFINANCE(""NSE:""&amp;D2789,""price"")"),"#N/A")</f>
        <v>#N/A</v>
      </c>
      <c r="M2789" s="9" t="e">
        <f t="shared" ca="1" si="57"/>
        <v>#VALUE!</v>
      </c>
      <c r="N2789" s="10" t="e">
        <f t="shared" ca="1" si="58"/>
        <v>#VALUE!</v>
      </c>
      <c r="O2789" s="7" t="str">
        <f ca="1">IFERROR(__xludf.DUMMYFUNCTION("GOOGLEFINANCE(""NSE:""&amp;D2789,""pe"")"),"#N/A")</f>
        <v>#N/A</v>
      </c>
      <c r="P2789" s="7" t="str">
        <f ca="1">IFERROR(__xludf.DUMMYFUNCTION("GOOGLEFINANCE(""NSE:""&amp;D2789,""EPS"")"),"#N/A")</f>
        <v>#N/A</v>
      </c>
      <c r="Q2789" s="7">
        <v>13.5</v>
      </c>
      <c r="R2789" s="7" t="str">
        <f ca="1">IFERROR(__xludf.DUMMYFUNCTION("IMPORTXML(E2789,""/html/body/main/div[3]/div[3]/div[2]/ul/li[7]/span[2]/span"")"),"Loading...")</f>
        <v>Loading...</v>
      </c>
      <c r="S2789" s="7" t="str">
        <f ca="1">IFERROR(__xludf.DUMMYFUNCTION("IMPORTXML(E2789,""/html/body/main/div[3]/div[3]/div[2]/ul/li[8]/span[2]/span"")"),"Loading...")</f>
        <v>Loading...</v>
      </c>
      <c r="T2789" s="4">
        <v>34.6</v>
      </c>
      <c r="U2789" s="4">
        <v>22.7</v>
      </c>
      <c r="V2789" s="4">
        <v>2.6</v>
      </c>
      <c r="W2789" s="4">
        <v>5.7</v>
      </c>
      <c r="X2789" s="4">
        <v>519.92999999999995</v>
      </c>
      <c r="Y2789" s="7" t="e">
        <f t="shared" ca="1" si="59"/>
        <v>#VALUE!</v>
      </c>
    </row>
    <row r="2790" spans="1:25" ht="15" x14ac:dyDescent="0.25">
      <c r="A2790" s="4">
        <v>2749</v>
      </c>
      <c r="C2790" s="12" t="s">
        <v>5084</v>
      </c>
      <c r="D2790" s="37"/>
      <c r="E2790" s="5" t="str">
        <f t="shared" si="55"/>
        <v>https://www.screener.in/company//consolidated/</v>
      </c>
      <c r="F2790" s="4">
        <v>443059</v>
      </c>
      <c r="G2790" s="4">
        <v>3832241897</v>
      </c>
      <c r="H2790" s="6" t="e">
        <f t="shared" ca="1" si="56"/>
        <v>#VALUE!</v>
      </c>
      <c r="I2790" s="7" t="str">
        <f ca="1">IFERROR(__xludf.DUMMYFUNCTION("IMPORTXML(E2790,""/html/body/main/div[3]/div[3]/div[2]/ul/li[5]/span[2]/span"")"),"Loading...")</f>
        <v>Loading...</v>
      </c>
      <c r="J2790" s="7" t="str">
        <f ca="1">IFERROR(__xludf.DUMMYFUNCTION("GOOGLEFINANCE(""NSE:""&amp;D2790,""marketcap"")"),"#N/A")</f>
        <v>#N/A</v>
      </c>
      <c r="K2790" s="7">
        <v>992.8</v>
      </c>
      <c r="L2790" s="8" t="str">
        <f ca="1">IFERROR(__xludf.DUMMYFUNCTION("GOOGLEFINANCE(""NSE:""&amp;D2790,""price"")"),"#N/A")</f>
        <v>#N/A</v>
      </c>
      <c r="M2790" s="9" t="e">
        <f t="shared" ca="1" si="57"/>
        <v>#VALUE!</v>
      </c>
      <c r="N2790" s="10" t="e">
        <f t="shared" ca="1" si="58"/>
        <v>#VALUE!</v>
      </c>
      <c r="O2790" s="7" t="str">
        <f ca="1">IFERROR(__xludf.DUMMYFUNCTION("GOOGLEFINANCE(""NSE:""&amp;D2790,""pe"")"),"#N/A")</f>
        <v>#N/A</v>
      </c>
      <c r="P2790" s="7" t="str">
        <f ca="1">IFERROR(__xludf.DUMMYFUNCTION("GOOGLEFINANCE(""NSE:""&amp;D2790,""EPS"")"),"#N/A")</f>
        <v>#N/A</v>
      </c>
      <c r="Q2790" s="7">
        <v>13.5</v>
      </c>
      <c r="R2790" s="7" t="str">
        <f ca="1">IFERROR(__xludf.DUMMYFUNCTION("IMPORTXML(E2790,""/html/body/main/div[3]/div[3]/div[2]/ul/li[7]/span[2]/span"")"),"Loading...")</f>
        <v>Loading...</v>
      </c>
      <c r="S2790" s="7" t="str">
        <f ca="1">IFERROR(__xludf.DUMMYFUNCTION("IMPORTXML(E2790,""/html/body/main/div[3]/div[3]/div[2]/ul/li[8]/span[2]/span"")"),"Loading...")</f>
        <v>Loading...</v>
      </c>
      <c r="T2790" s="4">
        <v>34.6</v>
      </c>
      <c r="U2790" s="4">
        <v>22.7</v>
      </c>
      <c r="V2790" s="4">
        <v>2.6</v>
      </c>
      <c r="W2790" s="4">
        <v>5.7</v>
      </c>
      <c r="X2790" s="4">
        <v>519.92999999999995</v>
      </c>
      <c r="Y2790" s="7" t="e">
        <f t="shared" ca="1" si="59"/>
        <v>#VALUE!</v>
      </c>
    </row>
    <row r="2791" spans="1:25" ht="15" x14ac:dyDescent="0.25">
      <c r="A2791" s="4">
        <v>2750</v>
      </c>
      <c r="C2791" s="41" t="s">
        <v>5085</v>
      </c>
      <c r="D2791" s="42"/>
      <c r="E2791" s="5" t="str">
        <f t="shared" si="55"/>
        <v>https://www.screener.in/company//consolidated/</v>
      </c>
      <c r="F2791" s="4">
        <v>443059</v>
      </c>
      <c r="G2791" s="4">
        <v>3832241897</v>
      </c>
      <c r="H2791" s="6" t="e">
        <f t="shared" ca="1" si="56"/>
        <v>#VALUE!</v>
      </c>
      <c r="I2791" s="7" t="str">
        <f ca="1">IFERROR(__xludf.DUMMYFUNCTION("IMPORTXML(E2791,""/html/body/main/div[3]/div[3]/div[2]/ul/li[5]/span[2]/span"")"),"Loading...")</f>
        <v>Loading...</v>
      </c>
      <c r="J2791" s="7" t="str">
        <f ca="1">IFERROR(__xludf.DUMMYFUNCTION("GOOGLEFINANCE(""NSE:""&amp;D2791,""marketcap"")"),"#N/A")</f>
        <v>#N/A</v>
      </c>
      <c r="K2791" s="7">
        <v>992.8</v>
      </c>
      <c r="L2791" s="8" t="str">
        <f ca="1">IFERROR(__xludf.DUMMYFUNCTION("GOOGLEFINANCE(""NSE:""&amp;D2791,""price"")"),"#N/A")</f>
        <v>#N/A</v>
      </c>
      <c r="M2791" s="9" t="e">
        <f t="shared" ca="1" si="57"/>
        <v>#VALUE!</v>
      </c>
      <c r="N2791" s="10" t="e">
        <f t="shared" ca="1" si="58"/>
        <v>#VALUE!</v>
      </c>
      <c r="O2791" s="7" t="str">
        <f ca="1">IFERROR(__xludf.DUMMYFUNCTION("GOOGLEFINANCE(""NSE:""&amp;D2791,""pe"")"),"#N/A")</f>
        <v>#N/A</v>
      </c>
      <c r="P2791" s="7" t="str">
        <f ca="1">IFERROR(__xludf.DUMMYFUNCTION("GOOGLEFINANCE(""NSE:""&amp;D2791,""EPS"")"),"#N/A")</f>
        <v>#N/A</v>
      </c>
      <c r="Q2791" s="7">
        <v>13.5</v>
      </c>
      <c r="R2791" s="7" t="str">
        <f ca="1">IFERROR(__xludf.DUMMYFUNCTION("IMPORTXML(E2791,""/html/body/main/div[3]/div[3]/div[2]/ul/li[7]/span[2]/span"")"),"Loading...")</f>
        <v>Loading...</v>
      </c>
      <c r="S2791" s="7" t="str">
        <f ca="1">IFERROR(__xludf.DUMMYFUNCTION("IMPORTXML(E2791,""/html/body/main/div[3]/div[3]/div[2]/ul/li[8]/span[2]/span"")"),"Loading...")</f>
        <v>Loading...</v>
      </c>
      <c r="T2791" s="4">
        <v>34.6</v>
      </c>
      <c r="U2791" s="4">
        <v>22.7</v>
      </c>
      <c r="V2791" s="4">
        <v>2.6</v>
      </c>
      <c r="W2791" s="4">
        <v>5.7</v>
      </c>
      <c r="X2791" s="4">
        <v>519.92999999999995</v>
      </c>
      <c r="Y2791" s="7" t="e">
        <f t="shared" ca="1" si="59"/>
        <v>#VALUE!</v>
      </c>
    </row>
    <row r="2792" spans="1:25" ht="15" x14ac:dyDescent="0.25">
      <c r="A2792" s="4">
        <v>2751</v>
      </c>
      <c r="C2792" s="41" t="s">
        <v>5086</v>
      </c>
      <c r="D2792" s="42"/>
      <c r="E2792" s="5" t="str">
        <f t="shared" si="55"/>
        <v>https://www.screener.in/company//consolidated/</v>
      </c>
      <c r="F2792" s="4">
        <v>443059</v>
      </c>
      <c r="G2792" s="4">
        <v>3832241897</v>
      </c>
      <c r="H2792" s="6" t="e">
        <f t="shared" ca="1" si="56"/>
        <v>#VALUE!</v>
      </c>
      <c r="I2792" s="7" t="str">
        <f ca="1">IFERROR(__xludf.DUMMYFUNCTION("IMPORTXML(E2792,""/html/body/main/div[3]/div[3]/div[2]/ul/li[5]/span[2]/span"")"),"Loading...")</f>
        <v>Loading...</v>
      </c>
      <c r="J2792" s="7" t="str">
        <f ca="1">IFERROR(__xludf.DUMMYFUNCTION("GOOGLEFINANCE(""NSE:""&amp;D2792,""marketcap"")"),"#N/A")</f>
        <v>#N/A</v>
      </c>
      <c r="K2792" s="7">
        <v>992.8</v>
      </c>
      <c r="L2792" s="8" t="str">
        <f ca="1">IFERROR(__xludf.DUMMYFUNCTION("GOOGLEFINANCE(""NSE:""&amp;D2792,""price"")"),"#N/A")</f>
        <v>#N/A</v>
      </c>
      <c r="M2792" s="9" t="e">
        <f t="shared" ca="1" si="57"/>
        <v>#VALUE!</v>
      </c>
      <c r="N2792" s="10" t="e">
        <f t="shared" ca="1" si="58"/>
        <v>#VALUE!</v>
      </c>
      <c r="O2792" s="7" t="str">
        <f ca="1">IFERROR(__xludf.DUMMYFUNCTION("GOOGLEFINANCE(""NSE:""&amp;D2792,""pe"")"),"#N/A")</f>
        <v>#N/A</v>
      </c>
      <c r="P2792" s="7" t="str">
        <f ca="1">IFERROR(__xludf.DUMMYFUNCTION("GOOGLEFINANCE(""NSE:""&amp;D2792,""EPS"")"),"#N/A")</f>
        <v>#N/A</v>
      </c>
      <c r="Q2792" s="7">
        <v>13.5</v>
      </c>
      <c r="R2792" s="7" t="str">
        <f ca="1">IFERROR(__xludf.DUMMYFUNCTION("IMPORTXML(E2792,""/html/body/main/div[3]/div[3]/div[2]/ul/li[7]/span[2]/span"")"),"Loading...")</f>
        <v>Loading...</v>
      </c>
      <c r="S2792" s="7" t="str">
        <f ca="1">IFERROR(__xludf.DUMMYFUNCTION("IMPORTXML(E2792,""/html/body/main/div[3]/div[3]/div[2]/ul/li[8]/span[2]/span"")"),"Loading...")</f>
        <v>Loading...</v>
      </c>
      <c r="T2792" s="4">
        <v>34.6</v>
      </c>
      <c r="U2792" s="4">
        <v>22.7</v>
      </c>
      <c r="V2792" s="4">
        <v>2.6</v>
      </c>
      <c r="W2792" s="4">
        <v>5.7</v>
      </c>
      <c r="X2792" s="4">
        <v>519.92999999999995</v>
      </c>
      <c r="Y2792" s="7" t="e">
        <f t="shared" ca="1" si="59"/>
        <v>#VALUE!</v>
      </c>
    </row>
    <row r="2793" spans="1:25" ht="15" x14ac:dyDescent="0.25">
      <c r="A2793" s="4">
        <v>2752</v>
      </c>
      <c r="C2793" s="41" t="s">
        <v>5087</v>
      </c>
      <c r="D2793" s="42"/>
      <c r="E2793" s="5" t="str">
        <f t="shared" si="55"/>
        <v>https://www.screener.in/company//consolidated/</v>
      </c>
      <c r="F2793" s="4">
        <v>443059</v>
      </c>
      <c r="G2793" s="4">
        <v>3832241897</v>
      </c>
      <c r="H2793" s="6" t="e">
        <f t="shared" ca="1" si="56"/>
        <v>#VALUE!</v>
      </c>
      <c r="I2793" s="7" t="str">
        <f ca="1">IFERROR(__xludf.DUMMYFUNCTION("IMPORTXML(E2793,""/html/body/main/div[3]/div[3]/div[2]/ul/li[5]/span[2]/span"")"),"Loading...")</f>
        <v>Loading...</v>
      </c>
      <c r="J2793" s="7" t="str">
        <f ca="1">IFERROR(__xludf.DUMMYFUNCTION("GOOGLEFINANCE(""NSE:""&amp;D2793,""marketcap"")"),"#N/A")</f>
        <v>#N/A</v>
      </c>
      <c r="K2793" s="7">
        <v>992.8</v>
      </c>
      <c r="L2793" s="8" t="str">
        <f ca="1">IFERROR(__xludf.DUMMYFUNCTION("GOOGLEFINANCE(""NSE:""&amp;D2793,""price"")"),"#N/A")</f>
        <v>#N/A</v>
      </c>
      <c r="M2793" s="9" t="e">
        <f t="shared" ca="1" si="57"/>
        <v>#VALUE!</v>
      </c>
      <c r="N2793" s="10" t="e">
        <f t="shared" ca="1" si="58"/>
        <v>#VALUE!</v>
      </c>
      <c r="O2793" s="7" t="str">
        <f ca="1">IFERROR(__xludf.DUMMYFUNCTION("GOOGLEFINANCE(""NSE:""&amp;D2793,""pe"")"),"#N/A")</f>
        <v>#N/A</v>
      </c>
      <c r="P2793" s="7" t="str">
        <f ca="1">IFERROR(__xludf.DUMMYFUNCTION("GOOGLEFINANCE(""NSE:""&amp;D2793,""EPS"")"),"#N/A")</f>
        <v>#N/A</v>
      </c>
      <c r="Q2793" s="7">
        <v>13.5</v>
      </c>
      <c r="R2793" s="7" t="str">
        <f ca="1">IFERROR(__xludf.DUMMYFUNCTION("IMPORTXML(E2793,""/html/body/main/div[3]/div[3]/div[2]/ul/li[7]/span[2]/span"")"),"Loading...")</f>
        <v>Loading...</v>
      </c>
      <c r="S2793" s="7" t="str">
        <f ca="1">IFERROR(__xludf.DUMMYFUNCTION("IMPORTXML(E2793,""/html/body/main/div[3]/div[3]/div[2]/ul/li[8]/span[2]/span"")"),"Loading...")</f>
        <v>Loading...</v>
      </c>
      <c r="T2793" s="4">
        <v>34.6</v>
      </c>
      <c r="U2793" s="4">
        <v>22.7</v>
      </c>
      <c r="V2793" s="4">
        <v>2.6</v>
      </c>
      <c r="W2793" s="4">
        <v>5.7</v>
      </c>
      <c r="X2793" s="4">
        <v>519.92999999999995</v>
      </c>
      <c r="Y2793" s="7" t="e">
        <f t="shared" ca="1" si="59"/>
        <v>#VALUE!</v>
      </c>
    </row>
    <row r="2794" spans="1:25" ht="15" x14ac:dyDescent="0.25">
      <c r="A2794" s="4">
        <v>2753</v>
      </c>
      <c r="C2794" s="41" t="s">
        <v>5088</v>
      </c>
      <c r="D2794" s="42"/>
      <c r="E2794" s="5" t="str">
        <f t="shared" si="55"/>
        <v>https://www.screener.in/company//consolidated/</v>
      </c>
      <c r="F2794" s="4">
        <v>443059</v>
      </c>
      <c r="G2794" s="4">
        <v>3832241897</v>
      </c>
      <c r="H2794" s="6" t="e">
        <f t="shared" ca="1" si="56"/>
        <v>#VALUE!</v>
      </c>
      <c r="I2794" s="7" t="str">
        <f ca="1">IFERROR(__xludf.DUMMYFUNCTION("IMPORTXML(E2794,""/html/body/main/div[3]/div[3]/div[2]/ul/li[5]/span[2]/span"")"),"Loading...")</f>
        <v>Loading...</v>
      </c>
      <c r="J2794" s="7" t="str">
        <f ca="1">IFERROR(__xludf.DUMMYFUNCTION("GOOGLEFINANCE(""NSE:""&amp;D2794,""marketcap"")"),"#N/A")</f>
        <v>#N/A</v>
      </c>
      <c r="K2794" s="7">
        <v>992.8</v>
      </c>
      <c r="L2794" s="8" t="str">
        <f ca="1">IFERROR(__xludf.DUMMYFUNCTION("GOOGLEFINANCE(""NSE:""&amp;D2794,""price"")"),"#N/A")</f>
        <v>#N/A</v>
      </c>
      <c r="M2794" s="9" t="e">
        <f t="shared" ca="1" si="57"/>
        <v>#VALUE!</v>
      </c>
      <c r="N2794" s="10" t="e">
        <f t="shared" ca="1" si="58"/>
        <v>#VALUE!</v>
      </c>
      <c r="O2794" s="7" t="str">
        <f ca="1">IFERROR(__xludf.DUMMYFUNCTION("GOOGLEFINANCE(""NSE:""&amp;D2794,""pe"")"),"#N/A")</f>
        <v>#N/A</v>
      </c>
      <c r="P2794" s="7" t="str">
        <f ca="1">IFERROR(__xludf.DUMMYFUNCTION("GOOGLEFINANCE(""NSE:""&amp;D2794,""EPS"")"),"#N/A")</f>
        <v>#N/A</v>
      </c>
      <c r="Q2794" s="7">
        <v>13.5</v>
      </c>
      <c r="R2794" s="7" t="str">
        <f ca="1">IFERROR(__xludf.DUMMYFUNCTION("IMPORTXML(E2794,""/html/body/main/div[3]/div[3]/div[2]/ul/li[7]/span[2]/span"")"),"Loading...")</f>
        <v>Loading...</v>
      </c>
      <c r="S2794" s="7" t="str">
        <f ca="1">IFERROR(__xludf.DUMMYFUNCTION("IMPORTXML(E2794,""/html/body/main/div[3]/div[3]/div[2]/ul/li[8]/span[2]/span"")"),"Loading...")</f>
        <v>Loading...</v>
      </c>
      <c r="T2794" s="4">
        <v>34.6</v>
      </c>
      <c r="U2794" s="4">
        <v>22.7</v>
      </c>
      <c r="V2794" s="4">
        <v>2.6</v>
      </c>
      <c r="W2794" s="4">
        <v>5.7</v>
      </c>
      <c r="X2794" s="4">
        <v>519.92999999999995</v>
      </c>
      <c r="Y2794" s="7" t="e">
        <f t="shared" ca="1" si="59"/>
        <v>#VALUE!</v>
      </c>
    </row>
    <row r="2795" spans="1:25" ht="15" x14ac:dyDescent="0.25">
      <c r="A2795" s="4">
        <v>2754</v>
      </c>
      <c r="C2795" s="12" t="s">
        <v>5089</v>
      </c>
      <c r="D2795" s="12" t="s">
        <v>5090</v>
      </c>
      <c r="E2795" s="5" t="str">
        <f t="shared" si="55"/>
        <v>https://www.screener.in/company/MANUGRAPH/consolidated/</v>
      </c>
      <c r="F2795" s="4">
        <v>443059</v>
      </c>
      <c r="G2795" s="4">
        <v>3832241897</v>
      </c>
      <c r="H2795" s="6">
        <f t="shared" ca="1" si="56"/>
        <v>8810.3241212030007</v>
      </c>
      <c r="I2795" s="7" t="str">
        <f ca="1">IFERROR(__xludf.DUMMYFUNCTION("IMPORTXML(E2795,""/html/body/main/div[3]/div[3]/div[2]/ul/li[5]/span[2]/span"")"),"Loading...")</f>
        <v>Loading...</v>
      </c>
      <c r="J2795" s="7">
        <f ca="1">IFERROR(__xludf.DUMMYFUNCTION("GOOGLEFINANCE(""NSE:""&amp;D2795,""marketcap"")"),685555500)</f>
        <v>685555500</v>
      </c>
      <c r="K2795" s="7">
        <v>992.8</v>
      </c>
      <c r="L2795" s="8">
        <f ca="1">IFERROR(__xludf.DUMMYFUNCTION("GOOGLEFINANCE(""NSE:""&amp;D2795,""price"")"),22.99)</f>
        <v>22.99</v>
      </c>
      <c r="M2795" s="9">
        <f t="shared" ca="1" si="57"/>
        <v>-969.81</v>
      </c>
      <c r="N2795" s="10">
        <f t="shared" ca="1" si="58"/>
        <v>-97.684327155519739</v>
      </c>
      <c r="O2795" s="7" t="str">
        <f ca="1">IFERROR(__xludf.DUMMYFUNCTION("GOOGLEFINANCE(""NSE:""&amp;D2795,""pe"")"),"#N/A")</f>
        <v>#N/A</v>
      </c>
      <c r="P2795" s="7">
        <f ca="1">IFERROR(__xludf.DUMMYFUNCTION("GOOGLEFINANCE(""NSE:""&amp;D2795,""EPS"")"),-5.54)</f>
        <v>-5.54</v>
      </c>
      <c r="Q2795" s="7">
        <v>13.5</v>
      </c>
      <c r="R2795" s="7" t="str">
        <f ca="1">IFERROR(__xludf.DUMMYFUNCTION("IMPORTXML(E2795,""/html/body/main/div[3]/div[3]/div[2]/ul/li[7]/span[2]/span"")"),"Loading...")</f>
        <v>Loading...</v>
      </c>
      <c r="S2795" s="7" t="str">
        <f ca="1">IFERROR(__xludf.DUMMYFUNCTION("IMPORTXML(E2795,""/html/body/main/div[3]/div[3]/div[2]/ul/li[8]/span[2]/span"")"),"Loading...")</f>
        <v>Loading...</v>
      </c>
      <c r="T2795" s="4">
        <v>34.6</v>
      </c>
      <c r="U2795" s="4">
        <v>22.7</v>
      </c>
      <c r="V2795" s="4">
        <v>2.6</v>
      </c>
      <c r="W2795" s="4">
        <v>5.7</v>
      </c>
      <c r="X2795" s="4">
        <v>519.92999999999995</v>
      </c>
      <c r="Y2795" s="7">
        <f t="shared" ca="1" si="59"/>
        <v>-496.93999999999994</v>
      </c>
    </row>
    <row r="2796" spans="1:25" ht="15" x14ac:dyDescent="0.25">
      <c r="A2796" s="4">
        <v>2755</v>
      </c>
      <c r="C2796" s="41" t="s">
        <v>5091</v>
      </c>
      <c r="D2796" s="42"/>
      <c r="E2796" s="5" t="str">
        <f t="shared" si="55"/>
        <v>https://www.screener.in/company//consolidated/</v>
      </c>
      <c r="F2796" s="4">
        <v>443059</v>
      </c>
      <c r="G2796" s="4">
        <v>3832241897</v>
      </c>
      <c r="H2796" s="6" t="e">
        <f t="shared" ca="1" si="56"/>
        <v>#VALUE!</v>
      </c>
      <c r="I2796" s="7" t="str">
        <f ca="1">IFERROR(__xludf.DUMMYFUNCTION("IMPORTXML(E2796,""/html/body/main/div[3]/div[3]/div[2]/ul/li[5]/span[2]/span"")"),"Loading...")</f>
        <v>Loading...</v>
      </c>
      <c r="J2796" s="7" t="str">
        <f ca="1">IFERROR(__xludf.DUMMYFUNCTION("GOOGLEFINANCE(""NSE:""&amp;D2796,""marketcap"")"),"#N/A")</f>
        <v>#N/A</v>
      </c>
      <c r="K2796" s="7">
        <v>992.8</v>
      </c>
      <c r="L2796" s="8" t="str">
        <f ca="1">IFERROR(__xludf.DUMMYFUNCTION("GOOGLEFINANCE(""NSE:""&amp;D2796,""price"")"),"#N/A")</f>
        <v>#N/A</v>
      </c>
      <c r="M2796" s="9" t="e">
        <f t="shared" ca="1" si="57"/>
        <v>#VALUE!</v>
      </c>
      <c r="N2796" s="10" t="e">
        <f t="shared" ca="1" si="58"/>
        <v>#VALUE!</v>
      </c>
      <c r="O2796" s="7" t="str">
        <f ca="1">IFERROR(__xludf.DUMMYFUNCTION("GOOGLEFINANCE(""NSE:""&amp;D2796,""pe"")"),"#N/A")</f>
        <v>#N/A</v>
      </c>
      <c r="P2796" s="7" t="str">
        <f ca="1">IFERROR(__xludf.DUMMYFUNCTION("GOOGLEFINANCE(""NSE:""&amp;D2796,""EPS"")"),"#N/A")</f>
        <v>#N/A</v>
      </c>
      <c r="Q2796" s="7">
        <v>13.5</v>
      </c>
      <c r="R2796" s="7" t="str">
        <f ca="1">IFERROR(__xludf.DUMMYFUNCTION("IMPORTXML(E2796,""/html/body/main/div[3]/div[3]/div[2]/ul/li[7]/span[2]/span"")"),"Loading...")</f>
        <v>Loading...</v>
      </c>
      <c r="S2796" s="7" t="str">
        <f ca="1">IFERROR(__xludf.DUMMYFUNCTION("IMPORTXML(E2796,""/html/body/main/div[3]/div[3]/div[2]/ul/li[8]/span[2]/span"")"),"Loading...")</f>
        <v>Loading...</v>
      </c>
      <c r="T2796" s="4">
        <v>34.6</v>
      </c>
      <c r="U2796" s="4">
        <v>22.7</v>
      </c>
      <c r="V2796" s="4">
        <v>2.6</v>
      </c>
      <c r="W2796" s="4">
        <v>5.7</v>
      </c>
      <c r="X2796" s="4">
        <v>519.92999999999995</v>
      </c>
      <c r="Y2796" s="7" t="e">
        <f t="shared" ca="1" si="59"/>
        <v>#VALUE!</v>
      </c>
    </row>
    <row r="2797" spans="1:25" ht="15" x14ac:dyDescent="0.25">
      <c r="A2797" s="4">
        <v>2756</v>
      </c>
      <c r="C2797" s="41" t="s">
        <v>5092</v>
      </c>
      <c r="D2797" s="42"/>
      <c r="E2797" s="5" t="str">
        <f t="shared" si="55"/>
        <v>https://www.screener.in/company//consolidated/</v>
      </c>
      <c r="F2797" s="4">
        <v>443059</v>
      </c>
      <c r="G2797" s="4">
        <v>3832241897</v>
      </c>
      <c r="H2797" s="6" t="e">
        <f t="shared" ca="1" si="56"/>
        <v>#VALUE!</v>
      </c>
      <c r="I2797" s="7" t="str">
        <f ca="1">IFERROR(__xludf.DUMMYFUNCTION("IMPORTXML(E2797,""/html/body/main/div[3]/div[3]/div[2]/ul/li[5]/span[2]/span"")"),"Loading...")</f>
        <v>Loading...</v>
      </c>
      <c r="J2797" s="7" t="str">
        <f ca="1">IFERROR(__xludf.DUMMYFUNCTION("GOOGLEFINANCE(""NSE:""&amp;D2797,""marketcap"")"),"#N/A")</f>
        <v>#N/A</v>
      </c>
      <c r="K2797" s="7">
        <v>992.8</v>
      </c>
      <c r="L2797" s="8" t="str">
        <f ca="1">IFERROR(__xludf.DUMMYFUNCTION("GOOGLEFINANCE(""NSE:""&amp;D2797,""price"")"),"#N/A")</f>
        <v>#N/A</v>
      </c>
      <c r="M2797" s="9" t="e">
        <f t="shared" ca="1" si="57"/>
        <v>#VALUE!</v>
      </c>
      <c r="N2797" s="10" t="e">
        <f t="shared" ca="1" si="58"/>
        <v>#VALUE!</v>
      </c>
      <c r="O2797" s="7" t="str">
        <f ca="1">IFERROR(__xludf.DUMMYFUNCTION("GOOGLEFINANCE(""NSE:""&amp;D2797,""pe"")"),"#N/A")</f>
        <v>#N/A</v>
      </c>
      <c r="P2797" s="7" t="str">
        <f ca="1">IFERROR(__xludf.DUMMYFUNCTION("GOOGLEFINANCE(""NSE:""&amp;D2797,""EPS"")"),"#N/A")</f>
        <v>#N/A</v>
      </c>
      <c r="Q2797" s="7">
        <v>13.5</v>
      </c>
      <c r="R2797" s="7" t="str">
        <f ca="1">IFERROR(__xludf.DUMMYFUNCTION("IMPORTXML(E2797,""/html/body/main/div[3]/div[3]/div[2]/ul/li[7]/span[2]/span"")"),"Loading...")</f>
        <v>Loading...</v>
      </c>
      <c r="S2797" s="7" t="str">
        <f ca="1">IFERROR(__xludf.DUMMYFUNCTION("IMPORTXML(E2797,""/html/body/main/div[3]/div[3]/div[2]/ul/li[8]/span[2]/span"")"),"Loading...")</f>
        <v>Loading...</v>
      </c>
      <c r="T2797" s="4">
        <v>34.6</v>
      </c>
      <c r="U2797" s="4">
        <v>22.7</v>
      </c>
      <c r="V2797" s="4">
        <v>2.6</v>
      </c>
      <c r="W2797" s="4">
        <v>5.7</v>
      </c>
      <c r="X2797" s="4">
        <v>519.92999999999995</v>
      </c>
      <c r="Y2797" s="7" t="e">
        <f t="shared" ca="1" si="59"/>
        <v>#VALUE!</v>
      </c>
    </row>
    <row r="2798" spans="1:25" ht="15" x14ac:dyDescent="0.25">
      <c r="A2798" s="4">
        <v>2757</v>
      </c>
      <c r="C2798" s="41" t="s">
        <v>5093</v>
      </c>
      <c r="D2798" s="42"/>
      <c r="E2798" s="5" t="str">
        <f t="shared" si="55"/>
        <v>https://www.screener.in/company//consolidated/</v>
      </c>
      <c r="F2798" s="4">
        <v>443059</v>
      </c>
      <c r="G2798" s="4">
        <v>3832241897</v>
      </c>
      <c r="H2798" s="6" t="e">
        <f t="shared" ca="1" si="56"/>
        <v>#VALUE!</v>
      </c>
      <c r="I2798" s="7" t="str">
        <f ca="1">IFERROR(__xludf.DUMMYFUNCTION("IMPORTXML(E2798,""/html/body/main/div[3]/div[3]/div[2]/ul/li[5]/span[2]/span"")"),"Loading...")</f>
        <v>Loading...</v>
      </c>
      <c r="J2798" s="7" t="str">
        <f ca="1">IFERROR(__xludf.DUMMYFUNCTION("GOOGLEFINANCE(""NSE:""&amp;D2798,""marketcap"")"),"#N/A")</f>
        <v>#N/A</v>
      </c>
      <c r="K2798" s="7">
        <v>992.8</v>
      </c>
      <c r="L2798" s="8" t="str">
        <f ca="1">IFERROR(__xludf.DUMMYFUNCTION("GOOGLEFINANCE(""NSE:""&amp;D2798,""price"")"),"#N/A")</f>
        <v>#N/A</v>
      </c>
      <c r="M2798" s="9" t="e">
        <f t="shared" ca="1" si="57"/>
        <v>#VALUE!</v>
      </c>
      <c r="N2798" s="10" t="e">
        <f t="shared" ca="1" si="58"/>
        <v>#VALUE!</v>
      </c>
      <c r="O2798" s="7" t="str">
        <f ca="1">IFERROR(__xludf.DUMMYFUNCTION("GOOGLEFINANCE(""NSE:""&amp;D2798,""pe"")"),"#N/A")</f>
        <v>#N/A</v>
      </c>
      <c r="P2798" s="7" t="str">
        <f ca="1">IFERROR(__xludf.DUMMYFUNCTION("GOOGLEFINANCE(""NSE:""&amp;D2798,""EPS"")"),"#N/A")</f>
        <v>#N/A</v>
      </c>
      <c r="Q2798" s="7">
        <v>13.5</v>
      </c>
      <c r="R2798" s="7" t="str">
        <f ca="1">IFERROR(__xludf.DUMMYFUNCTION("IMPORTXML(E2798,""/html/body/main/div[3]/div[3]/div[2]/ul/li[7]/span[2]/span"")"),"Loading...")</f>
        <v>Loading...</v>
      </c>
      <c r="S2798" s="7" t="str">
        <f ca="1">IFERROR(__xludf.DUMMYFUNCTION("IMPORTXML(E2798,""/html/body/main/div[3]/div[3]/div[2]/ul/li[8]/span[2]/span"")"),"Loading...")</f>
        <v>Loading...</v>
      </c>
      <c r="T2798" s="4">
        <v>34.6</v>
      </c>
      <c r="U2798" s="4">
        <v>22.7</v>
      </c>
      <c r="V2798" s="4">
        <v>2.6</v>
      </c>
      <c r="W2798" s="4">
        <v>5.7</v>
      </c>
      <c r="X2798" s="4">
        <v>519.92999999999995</v>
      </c>
      <c r="Y2798" s="7" t="e">
        <f t="shared" ca="1" si="59"/>
        <v>#VALUE!</v>
      </c>
    </row>
    <row r="2799" spans="1:25" ht="15" x14ac:dyDescent="0.25">
      <c r="A2799" s="4">
        <v>2758</v>
      </c>
      <c r="C2799" s="41" t="s">
        <v>5094</v>
      </c>
      <c r="D2799" s="42"/>
      <c r="E2799" s="5" t="str">
        <f t="shared" si="55"/>
        <v>https://www.screener.in/company//consolidated/</v>
      </c>
      <c r="F2799" s="4">
        <v>443059</v>
      </c>
      <c r="G2799" s="4">
        <v>3832241897</v>
      </c>
      <c r="H2799" s="6" t="e">
        <f t="shared" ca="1" si="56"/>
        <v>#VALUE!</v>
      </c>
      <c r="I2799" s="7" t="str">
        <f ca="1">IFERROR(__xludf.DUMMYFUNCTION("IMPORTXML(E2799,""/html/body/main/div[3]/div[3]/div[2]/ul/li[5]/span[2]/span"")"),"Loading...")</f>
        <v>Loading...</v>
      </c>
      <c r="J2799" s="7" t="str">
        <f ca="1">IFERROR(__xludf.DUMMYFUNCTION("GOOGLEFINANCE(""NSE:""&amp;D2799,""marketcap"")"),"#N/A")</f>
        <v>#N/A</v>
      </c>
      <c r="K2799" s="7">
        <v>992.8</v>
      </c>
      <c r="L2799" s="8" t="str">
        <f ca="1">IFERROR(__xludf.DUMMYFUNCTION("GOOGLEFINANCE(""NSE:""&amp;D2799,""price"")"),"#N/A")</f>
        <v>#N/A</v>
      </c>
      <c r="M2799" s="9" t="e">
        <f t="shared" ca="1" si="57"/>
        <v>#VALUE!</v>
      </c>
      <c r="N2799" s="10" t="e">
        <f t="shared" ca="1" si="58"/>
        <v>#VALUE!</v>
      </c>
      <c r="O2799" s="7" t="str">
        <f ca="1">IFERROR(__xludf.DUMMYFUNCTION("GOOGLEFINANCE(""NSE:""&amp;D2799,""pe"")"),"#N/A")</f>
        <v>#N/A</v>
      </c>
      <c r="P2799" s="7" t="str">
        <f ca="1">IFERROR(__xludf.DUMMYFUNCTION("GOOGLEFINANCE(""NSE:""&amp;D2799,""EPS"")"),"#N/A")</f>
        <v>#N/A</v>
      </c>
      <c r="Q2799" s="7">
        <v>13.5</v>
      </c>
      <c r="R2799" s="7" t="str">
        <f ca="1">IFERROR(__xludf.DUMMYFUNCTION("IMPORTXML(E2799,""/html/body/main/div[3]/div[3]/div[2]/ul/li[7]/span[2]/span"")"),"Loading...")</f>
        <v>Loading...</v>
      </c>
      <c r="S2799" s="7" t="str">
        <f ca="1">IFERROR(__xludf.DUMMYFUNCTION("IMPORTXML(E2799,""/html/body/main/div[3]/div[3]/div[2]/ul/li[8]/span[2]/span"")"),"Loading...")</f>
        <v>Loading...</v>
      </c>
      <c r="T2799" s="4">
        <v>34.6</v>
      </c>
      <c r="U2799" s="4">
        <v>22.7</v>
      </c>
      <c r="V2799" s="4">
        <v>2.6</v>
      </c>
      <c r="W2799" s="4">
        <v>5.7</v>
      </c>
      <c r="X2799" s="4">
        <v>519.92999999999995</v>
      </c>
      <c r="Y2799" s="7" t="e">
        <f t="shared" ca="1" si="59"/>
        <v>#VALUE!</v>
      </c>
    </row>
    <row r="2800" spans="1:25" ht="15" x14ac:dyDescent="0.25">
      <c r="A2800" s="4">
        <v>2759</v>
      </c>
      <c r="C2800" s="41" t="s">
        <v>5095</v>
      </c>
      <c r="D2800" s="42"/>
      <c r="E2800" s="5" t="str">
        <f t="shared" si="55"/>
        <v>https://www.screener.in/company//consolidated/</v>
      </c>
      <c r="F2800" s="4">
        <v>443059</v>
      </c>
      <c r="G2800" s="4">
        <v>3832241897</v>
      </c>
      <c r="H2800" s="6" t="e">
        <f t="shared" ca="1" si="56"/>
        <v>#VALUE!</v>
      </c>
      <c r="I2800" s="7" t="str">
        <f ca="1">IFERROR(__xludf.DUMMYFUNCTION("IMPORTXML(E2800,""/html/body/main/div[3]/div[3]/div[2]/ul/li[5]/span[2]/span"")"),"Loading...")</f>
        <v>Loading...</v>
      </c>
      <c r="J2800" s="7" t="str">
        <f ca="1">IFERROR(__xludf.DUMMYFUNCTION("GOOGLEFINANCE(""NSE:""&amp;D2800,""marketcap"")"),"#N/A")</f>
        <v>#N/A</v>
      </c>
      <c r="K2800" s="7">
        <v>992.8</v>
      </c>
      <c r="L2800" s="8" t="str">
        <f ca="1">IFERROR(__xludf.DUMMYFUNCTION("GOOGLEFINANCE(""NSE:""&amp;D2800,""price"")"),"#N/A")</f>
        <v>#N/A</v>
      </c>
      <c r="M2800" s="9" t="e">
        <f t="shared" ca="1" si="57"/>
        <v>#VALUE!</v>
      </c>
      <c r="N2800" s="10" t="e">
        <f t="shared" ca="1" si="58"/>
        <v>#VALUE!</v>
      </c>
      <c r="O2800" s="7" t="str">
        <f ca="1">IFERROR(__xludf.DUMMYFUNCTION("GOOGLEFINANCE(""NSE:""&amp;D2800,""pe"")"),"#N/A")</f>
        <v>#N/A</v>
      </c>
      <c r="P2800" s="7" t="str">
        <f ca="1">IFERROR(__xludf.DUMMYFUNCTION("GOOGLEFINANCE(""NSE:""&amp;D2800,""EPS"")"),"#N/A")</f>
        <v>#N/A</v>
      </c>
      <c r="Q2800" s="7">
        <v>13.5</v>
      </c>
      <c r="R2800" s="7" t="str">
        <f ca="1">IFERROR(__xludf.DUMMYFUNCTION("IMPORTXML(E2800,""/html/body/main/div[3]/div[3]/div[2]/ul/li[7]/span[2]/span"")"),"Loading...")</f>
        <v>Loading...</v>
      </c>
      <c r="S2800" s="7" t="str">
        <f ca="1">IFERROR(__xludf.DUMMYFUNCTION("IMPORTXML(E2800,""/html/body/main/div[3]/div[3]/div[2]/ul/li[8]/span[2]/span"")"),"Loading...")</f>
        <v>Loading...</v>
      </c>
      <c r="T2800" s="4">
        <v>34.6</v>
      </c>
      <c r="U2800" s="4">
        <v>22.7</v>
      </c>
      <c r="V2800" s="4">
        <v>2.6</v>
      </c>
      <c r="W2800" s="4">
        <v>5.7</v>
      </c>
      <c r="X2800" s="4">
        <v>519.92999999999995</v>
      </c>
      <c r="Y2800" s="7" t="e">
        <f t="shared" ca="1" si="59"/>
        <v>#VALUE!</v>
      </c>
    </row>
    <row r="2801" spans="1:25" ht="15" x14ac:dyDescent="0.25">
      <c r="A2801" s="4">
        <v>2760</v>
      </c>
      <c r="C2801" s="12" t="s">
        <v>5096</v>
      </c>
      <c r="D2801" s="12" t="s">
        <v>5097</v>
      </c>
      <c r="E2801" s="5" t="str">
        <f t="shared" si="55"/>
        <v>https://www.screener.in/company/ORIENTALTL/consolidated/</v>
      </c>
      <c r="F2801" s="4">
        <v>443059</v>
      </c>
      <c r="G2801" s="4">
        <v>3832241897</v>
      </c>
      <c r="H2801" s="6">
        <f t="shared" ca="1" si="56"/>
        <v>3889.7255254550005</v>
      </c>
      <c r="I2801" s="7" t="str">
        <f ca="1">IFERROR(__xludf.DUMMYFUNCTION("IMPORTXML(E2801,""/html/body/main/div[3]/div[3]/div[2]/ul/li[5]/span[2]/span"")"),"Loading...")</f>
        <v>Loading...</v>
      </c>
      <c r="J2801" s="7">
        <f ca="1">IFERROR(__xludf.DUMMYFUNCTION("GOOGLEFINANCE(""NSE:""&amp;D2801,""marketcap"")"),743893500)</f>
        <v>743893500</v>
      </c>
      <c r="K2801" s="7">
        <v>992.8</v>
      </c>
      <c r="L2801" s="8">
        <f ca="1">IFERROR(__xludf.DUMMYFUNCTION("GOOGLEFINANCE(""NSE:""&amp;D2801,""price"")"),10.15)</f>
        <v>10.15</v>
      </c>
      <c r="M2801" s="9">
        <f t="shared" ca="1" si="57"/>
        <v>-982.65</v>
      </c>
      <c r="N2801" s="10">
        <f t="shared" ca="1" si="58"/>
        <v>-98.977639000805809</v>
      </c>
      <c r="O2801" s="7">
        <f ca="1">IFERROR(__xludf.DUMMYFUNCTION("GOOGLEFINANCE(""NSE:""&amp;D2801,""pe"")"),12.47)</f>
        <v>12.47</v>
      </c>
      <c r="P2801" s="7">
        <f ca="1">IFERROR(__xludf.DUMMYFUNCTION("GOOGLEFINANCE(""NSE:""&amp;D2801,""EPS"")"),0.81)</f>
        <v>0.81</v>
      </c>
      <c r="Q2801" s="7">
        <v>13.5</v>
      </c>
      <c r="R2801" s="7" t="str">
        <f ca="1">IFERROR(__xludf.DUMMYFUNCTION("IMPORTXML(E2801,""/html/body/main/div[3]/div[3]/div[2]/ul/li[7]/span[2]/span"")"),"Loading...")</f>
        <v>Loading...</v>
      </c>
      <c r="S2801" s="7" t="str">
        <f ca="1">IFERROR(__xludf.DUMMYFUNCTION("IMPORTXML(E2801,""/html/body/main/div[3]/div[3]/div[2]/ul/li[8]/span[2]/span"")"),"Loading...")</f>
        <v>Loading...</v>
      </c>
      <c r="T2801" s="4">
        <v>34.6</v>
      </c>
      <c r="U2801" s="4">
        <v>22.7</v>
      </c>
      <c r="V2801" s="4">
        <v>2.6</v>
      </c>
      <c r="W2801" s="4">
        <v>5.7</v>
      </c>
      <c r="X2801" s="4">
        <v>519.92999999999995</v>
      </c>
      <c r="Y2801" s="7">
        <f t="shared" ca="1" si="59"/>
        <v>-509.78</v>
      </c>
    </row>
    <row r="2802" spans="1:25" ht="15" x14ac:dyDescent="0.25">
      <c r="A2802" s="4">
        <v>2761</v>
      </c>
      <c r="C2802" s="41" t="s">
        <v>5098</v>
      </c>
      <c r="D2802" s="42"/>
      <c r="E2802" s="5" t="str">
        <f t="shared" si="55"/>
        <v>https://www.screener.in/company//consolidated/</v>
      </c>
      <c r="F2802" s="4">
        <v>443059</v>
      </c>
      <c r="G2802" s="4">
        <v>3832241897</v>
      </c>
      <c r="H2802" s="6" t="e">
        <f t="shared" ca="1" si="56"/>
        <v>#VALUE!</v>
      </c>
      <c r="I2802" s="7" t="str">
        <f ca="1">IFERROR(__xludf.DUMMYFUNCTION("IMPORTXML(E2802,""/html/body/main/div[3]/div[3]/div[2]/ul/li[5]/span[2]/span"")"),"Loading...")</f>
        <v>Loading...</v>
      </c>
      <c r="J2802" s="7" t="str">
        <f ca="1">IFERROR(__xludf.DUMMYFUNCTION("GOOGLEFINANCE(""NSE:""&amp;D2802,""marketcap"")"),"#N/A")</f>
        <v>#N/A</v>
      </c>
      <c r="K2802" s="7">
        <v>992.8</v>
      </c>
      <c r="L2802" s="8" t="str">
        <f ca="1">IFERROR(__xludf.DUMMYFUNCTION("GOOGLEFINANCE(""NSE:""&amp;D2802,""price"")"),"#N/A")</f>
        <v>#N/A</v>
      </c>
      <c r="M2802" s="9" t="e">
        <f t="shared" ca="1" si="57"/>
        <v>#VALUE!</v>
      </c>
      <c r="N2802" s="10" t="e">
        <f t="shared" ca="1" si="58"/>
        <v>#VALUE!</v>
      </c>
      <c r="O2802" s="7" t="str">
        <f ca="1">IFERROR(__xludf.DUMMYFUNCTION("GOOGLEFINANCE(""NSE:""&amp;D2802,""pe"")"),"#N/A")</f>
        <v>#N/A</v>
      </c>
      <c r="P2802" s="7" t="str">
        <f ca="1">IFERROR(__xludf.DUMMYFUNCTION("GOOGLEFINANCE(""NSE:""&amp;D2802,""EPS"")"),"#N/A")</f>
        <v>#N/A</v>
      </c>
      <c r="Q2802" s="7">
        <v>13.5</v>
      </c>
      <c r="R2802" s="7" t="str">
        <f ca="1">IFERROR(__xludf.DUMMYFUNCTION("IMPORTXML(E2802,""/html/body/main/div[3]/div[3]/div[2]/ul/li[7]/span[2]/span"")"),"Loading...")</f>
        <v>Loading...</v>
      </c>
      <c r="S2802" s="7" t="str">
        <f ca="1">IFERROR(__xludf.DUMMYFUNCTION("IMPORTXML(E2802,""/html/body/main/div[3]/div[3]/div[2]/ul/li[8]/span[2]/span"")"),"Loading...")</f>
        <v>Loading...</v>
      </c>
      <c r="T2802" s="4">
        <v>34.6</v>
      </c>
      <c r="U2802" s="4">
        <v>22.7</v>
      </c>
      <c r="V2802" s="4">
        <v>2.6</v>
      </c>
      <c r="W2802" s="4">
        <v>5.7</v>
      </c>
      <c r="X2802" s="4">
        <v>519.92999999999995</v>
      </c>
      <c r="Y2802" s="7" t="e">
        <f t="shared" ca="1" si="59"/>
        <v>#VALUE!</v>
      </c>
    </row>
    <row r="2803" spans="1:25" ht="15" x14ac:dyDescent="0.25">
      <c r="A2803" s="4">
        <v>2763</v>
      </c>
      <c r="C2803" s="41" t="s">
        <v>5099</v>
      </c>
      <c r="D2803" s="42"/>
      <c r="E2803" s="5" t="str">
        <f t="shared" si="55"/>
        <v>https://www.screener.in/company//consolidated/</v>
      </c>
      <c r="F2803" s="4">
        <v>443059</v>
      </c>
      <c r="G2803" s="4">
        <v>3832241897</v>
      </c>
      <c r="H2803" s="6" t="e">
        <f t="shared" ca="1" si="56"/>
        <v>#VALUE!</v>
      </c>
      <c r="I2803" s="7" t="str">
        <f ca="1">IFERROR(__xludf.DUMMYFUNCTION("IMPORTXML(E2803,""/html/body/main/div[3]/div[3]/div[2]/ul/li[5]/span[2]/span"")"),"Loading...")</f>
        <v>Loading...</v>
      </c>
      <c r="J2803" s="7" t="str">
        <f ca="1">IFERROR(__xludf.DUMMYFUNCTION("GOOGLEFINANCE(""NSE:""&amp;D2803,""marketcap"")"),"#N/A")</f>
        <v>#N/A</v>
      </c>
      <c r="K2803" s="7">
        <v>992.8</v>
      </c>
      <c r="L2803" s="8" t="str">
        <f ca="1">IFERROR(__xludf.DUMMYFUNCTION("GOOGLEFINANCE(""NSE:""&amp;D2803,""price"")"),"#N/A")</f>
        <v>#N/A</v>
      </c>
      <c r="M2803" s="9" t="e">
        <f t="shared" ca="1" si="57"/>
        <v>#VALUE!</v>
      </c>
      <c r="N2803" s="10" t="e">
        <f t="shared" ca="1" si="58"/>
        <v>#VALUE!</v>
      </c>
      <c r="O2803" s="7" t="str">
        <f ca="1">IFERROR(__xludf.DUMMYFUNCTION("GOOGLEFINANCE(""NSE:""&amp;D2803,""pe"")"),"#N/A")</f>
        <v>#N/A</v>
      </c>
      <c r="P2803" s="7" t="str">
        <f ca="1">IFERROR(__xludf.DUMMYFUNCTION("GOOGLEFINANCE(""NSE:""&amp;D2803,""EPS"")"),"#N/A")</f>
        <v>#N/A</v>
      </c>
      <c r="Q2803" s="7">
        <v>13.5</v>
      </c>
      <c r="R2803" s="7" t="str">
        <f ca="1">IFERROR(__xludf.DUMMYFUNCTION("IMPORTXML(E2803,""/html/body/main/div[3]/div[3]/div[2]/ul/li[7]/span[2]/span"")"),"Loading...")</f>
        <v>Loading...</v>
      </c>
      <c r="S2803" s="7" t="str">
        <f ca="1">IFERROR(__xludf.DUMMYFUNCTION("IMPORTXML(E2803,""/html/body/main/div[3]/div[3]/div[2]/ul/li[8]/span[2]/span"")"),"Loading...")</f>
        <v>Loading...</v>
      </c>
      <c r="T2803" s="4">
        <v>34.6</v>
      </c>
      <c r="U2803" s="4">
        <v>22.7</v>
      </c>
      <c r="V2803" s="4">
        <v>2.6</v>
      </c>
      <c r="W2803" s="4">
        <v>5.7</v>
      </c>
      <c r="X2803" s="4">
        <v>519.92999999999995</v>
      </c>
      <c r="Y2803" s="7" t="e">
        <f t="shared" ca="1" si="59"/>
        <v>#VALUE!</v>
      </c>
    </row>
    <row r="2804" spans="1:25" ht="15" x14ac:dyDescent="0.25">
      <c r="A2804" s="4">
        <v>2764</v>
      </c>
      <c r="C2804" s="41" t="s">
        <v>5100</v>
      </c>
      <c r="D2804" s="42"/>
      <c r="E2804" s="5" t="str">
        <f t="shared" si="55"/>
        <v>https://www.screener.in/company//consolidated/</v>
      </c>
      <c r="F2804" s="4">
        <v>443059</v>
      </c>
      <c r="G2804" s="4">
        <v>3832241897</v>
      </c>
      <c r="H2804" s="6" t="e">
        <f t="shared" ca="1" si="56"/>
        <v>#VALUE!</v>
      </c>
      <c r="I2804" s="7" t="str">
        <f ca="1">IFERROR(__xludf.DUMMYFUNCTION("IMPORTXML(E2804,""/html/body/main/div[3]/div[3]/div[2]/ul/li[5]/span[2]/span"")"),"Loading...")</f>
        <v>Loading...</v>
      </c>
      <c r="J2804" s="7" t="str">
        <f ca="1">IFERROR(__xludf.DUMMYFUNCTION("GOOGLEFINANCE(""NSE:""&amp;D2804,""marketcap"")"),"#N/A")</f>
        <v>#N/A</v>
      </c>
      <c r="K2804" s="7">
        <v>992.8</v>
      </c>
      <c r="L2804" s="8" t="str">
        <f ca="1">IFERROR(__xludf.DUMMYFUNCTION("GOOGLEFINANCE(""NSE:""&amp;D2804,""price"")"),"#N/A")</f>
        <v>#N/A</v>
      </c>
      <c r="M2804" s="9" t="e">
        <f t="shared" ca="1" si="57"/>
        <v>#VALUE!</v>
      </c>
      <c r="N2804" s="10" t="e">
        <f t="shared" ca="1" si="58"/>
        <v>#VALUE!</v>
      </c>
      <c r="O2804" s="7" t="str">
        <f ca="1">IFERROR(__xludf.DUMMYFUNCTION("GOOGLEFINANCE(""NSE:""&amp;D2804,""pe"")"),"#N/A")</f>
        <v>#N/A</v>
      </c>
      <c r="P2804" s="7" t="str">
        <f ca="1">IFERROR(__xludf.DUMMYFUNCTION("GOOGLEFINANCE(""NSE:""&amp;D2804,""EPS"")"),"#N/A")</f>
        <v>#N/A</v>
      </c>
      <c r="Q2804" s="7">
        <v>13.5</v>
      </c>
      <c r="R2804" s="7" t="str">
        <f ca="1">IFERROR(__xludf.DUMMYFUNCTION("IMPORTXML(E2804,""/html/body/main/div[3]/div[3]/div[2]/ul/li[7]/span[2]/span"")"),"Loading...")</f>
        <v>Loading...</v>
      </c>
      <c r="S2804" s="7" t="str">
        <f ca="1">IFERROR(__xludf.DUMMYFUNCTION("IMPORTXML(E2804,""/html/body/main/div[3]/div[3]/div[2]/ul/li[8]/span[2]/span"")"),"Loading...")</f>
        <v>Loading...</v>
      </c>
      <c r="T2804" s="4">
        <v>34.6</v>
      </c>
      <c r="U2804" s="4">
        <v>22.7</v>
      </c>
      <c r="V2804" s="4">
        <v>2.6</v>
      </c>
      <c r="W2804" s="4">
        <v>5.7</v>
      </c>
      <c r="X2804" s="4">
        <v>519.92999999999995</v>
      </c>
      <c r="Y2804" s="7" t="e">
        <f t="shared" ca="1" si="59"/>
        <v>#VALUE!</v>
      </c>
    </row>
    <row r="2805" spans="1:25" ht="15" x14ac:dyDescent="0.25">
      <c r="A2805" s="4">
        <v>2765</v>
      </c>
      <c r="C2805" s="41" t="s">
        <v>5101</v>
      </c>
      <c r="D2805" s="42"/>
      <c r="E2805" s="5" t="str">
        <f t="shared" si="55"/>
        <v>https://www.screener.in/company//consolidated/</v>
      </c>
      <c r="F2805" s="4">
        <v>443059</v>
      </c>
      <c r="G2805" s="4">
        <v>3832241897</v>
      </c>
      <c r="H2805" s="6" t="e">
        <f t="shared" ca="1" si="56"/>
        <v>#VALUE!</v>
      </c>
      <c r="I2805" s="7" t="str">
        <f ca="1">IFERROR(__xludf.DUMMYFUNCTION("IMPORTXML(E2805,""/html/body/main/div[3]/div[3]/div[2]/ul/li[5]/span[2]/span"")"),"Loading...")</f>
        <v>Loading...</v>
      </c>
      <c r="J2805" s="7" t="str">
        <f ca="1">IFERROR(__xludf.DUMMYFUNCTION("GOOGLEFINANCE(""NSE:""&amp;D2805,""marketcap"")"),"#N/A")</f>
        <v>#N/A</v>
      </c>
      <c r="K2805" s="7">
        <v>992.8</v>
      </c>
      <c r="L2805" s="8" t="str">
        <f ca="1">IFERROR(__xludf.DUMMYFUNCTION("GOOGLEFINANCE(""NSE:""&amp;D2805,""price"")"),"#N/A")</f>
        <v>#N/A</v>
      </c>
      <c r="M2805" s="9" t="e">
        <f t="shared" ca="1" si="57"/>
        <v>#VALUE!</v>
      </c>
      <c r="N2805" s="10" t="e">
        <f t="shared" ca="1" si="58"/>
        <v>#VALUE!</v>
      </c>
      <c r="O2805" s="7" t="str">
        <f ca="1">IFERROR(__xludf.DUMMYFUNCTION("GOOGLEFINANCE(""NSE:""&amp;D2805,""pe"")"),"#N/A")</f>
        <v>#N/A</v>
      </c>
      <c r="P2805" s="7" t="str">
        <f ca="1">IFERROR(__xludf.DUMMYFUNCTION("GOOGLEFINANCE(""NSE:""&amp;D2805,""EPS"")"),"#N/A")</f>
        <v>#N/A</v>
      </c>
      <c r="Q2805" s="7">
        <v>13.5</v>
      </c>
      <c r="R2805" s="7" t="str">
        <f ca="1">IFERROR(__xludf.DUMMYFUNCTION("IMPORTXML(E2805,""/html/body/main/div[3]/div[3]/div[2]/ul/li[7]/span[2]/span"")"),"Loading...")</f>
        <v>Loading...</v>
      </c>
      <c r="S2805" s="7" t="str">
        <f ca="1">IFERROR(__xludf.DUMMYFUNCTION("IMPORTXML(E2805,""/html/body/main/div[3]/div[3]/div[2]/ul/li[8]/span[2]/span"")"),"Loading...")</f>
        <v>Loading...</v>
      </c>
      <c r="T2805" s="4">
        <v>34.6</v>
      </c>
      <c r="U2805" s="4">
        <v>22.7</v>
      </c>
      <c r="V2805" s="4">
        <v>2.6</v>
      </c>
      <c r="W2805" s="4">
        <v>5.7</v>
      </c>
      <c r="X2805" s="4">
        <v>519.92999999999995</v>
      </c>
      <c r="Y2805" s="7" t="e">
        <f t="shared" ca="1" si="59"/>
        <v>#VALUE!</v>
      </c>
    </row>
    <row r="2806" spans="1:25" ht="15" x14ac:dyDescent="0.25">
      <c r="A2806" s="4">
        <v>2766</v>
      </c>
      <c r="C2806" s="41" t="s">
        <v>5102</v>
      </c>
      <c r="D2806" s="42"/>
      <c r="E2806" s="5" t="str">
        <f t="shared" si="55"/>
        <v>https://www.screener.in/company//consolidated/</v>
      </c>
      <c r="F2806" s="4">
        <v>443059</v>
      </c>
      <c r="G2806" s="4">
        <v>3832241897</v>
      </c>
      <c r="H2806" s="6" t="e">
        <f t="shared" ca="1" si="56"/>
        <v>#VALUE!</v>
      </c>
      <c r="I2806" s="7" t="str">
        <f ca="1">IFERROR(__xludf.DUMMYFUNCTION("IMPORTXML(E2806,""/html/body/main/div[3]/div[3]/div[2]/ul/li[5]/span[2]/span"")"),"Loading...")</f>
        <v>Loading...</v>
      </c>
      <c r="J2806" s="7" t="str">
        <f ca="1">IFERROR(__xludf.DUMMYFUNCTION("GOOGLEFINANCE(""NSE:""&amp;D2806,""marketcap"")"),"#N/A")</f>
        <v>#N/A</v>
      </c>
      <c r="K2806" s="7">
        <v>992.8</v>
      </c>
      <c r="L2806" s="8" t="str">
        <f ca="1">IFERROR(__xludf.DUMMYFUNCTION("GOOGLEFINANCE(""NSE:""&amp;D2806,""price"")"),"#N/A")</f>
        <v>#N/A</v>
      </c>
      <c r="M2806" s="9" t="e">
        <f t="shared" ca="1" si="57"/>
        <v>#VALUE!</v>
      </c>
      <c r="N2806" s="10" t="e">
        <f t="shared" ca="1" si="58"/>
        <v>#VALUE!</v>
      </c>
      <c r="O2806" s="7" t="str">
        <f ca="1">IFERROR(__xludf.DUMMYFUNCTION("GOOGLEFINANCE(""NSE:""&amp;D2806,""pe"")"),"#N/A")</f>
        <v>#N/A</v>
      </c>
      <c r="P2806" s="7" t="str">
        <f ca="1">IFERROR(__xludf.DUMMYFUNCTION("GOOGLEFINANCE(""NSE:""&amp;D2806,""EPS"")"),"#N/A")</f>
        <v>#N/A</v>
      </c>
      <c r="Q2806" s="7">
        <v>13.5</v>
      </c>
      <c r="R2806" s="7" t="str">
        <f ca="1">IFERROR(__xludf.DUMMYFUNCTION("IMPORTXML(E2806,""/html/body/main/div[3]/div[3]/div[2]/ul/li[7]/span[2]/span"")"),"Loading...")</f>
        <v>Loading...</v>
      </c>
      <c r="S2806" s="7" t="str">
        <f ca="1">IFERROR(__xludf.DUMMYFUNCTION("IMPORTXML(E2806,""/html/body/main/div[3]/div[3]/div[2]/ul/li[8]/span[2]/span"")"),"Loading...")</f>
        <v>Loading...</v>
      </c>
      <c r="T2806" s="4">
        <v>34.6</v>
      </c>
      <c r="U2806" s="4">
        <v>22.7</v>
      </c>
      <c r="V2806" s="4">
        <v>2.6</v>
      </c>
      <c r="W2806" s="4">
        <v>5.7</v>
      </c>
      <c r="X2806" s="4">
        <v>519.92999999999995</v>
      </c>
      <c r="Y2806" s="7" t="e">
        <f t="shared" ca="1" si="59"/>
        <v>#VALUE!</v>
      </c>
    </row>
    <row r="2807" spans="1:25" ht="15" x14ac:dyDescent="0.25">
      <c r="A2807" s="4">
        <v>2767</v>
      </c>
      <c r="C2807" s="41" t="s">
        <v>5103</v>
      </c>
      <c r="D2807" s="42"/>
      <c r="E2807" s="5" t="str">
        <f t="shared" si="55"/>
        <v>https://www.screener.in/company//consolidated/</v>
      </c>
      <c r="F2807" s="4">
        <v>443059</v>
      </c>
      <c r="G2807" s="4">
        <v>3832241897</v>
      </c>
      <c r="H2807" s="6" t="e">
        <f t="shared" ca="1" si="56"/>
        <v>#VALUE!</v>
      </c>
      <c r="I2807" s="7" t="str">
        <f ca="1">IFERROR(__xludf.DUMMYFUNCTION("IMPORTXML(E2807,""/html/body/main/div[3]/div[3]/div[2]/ul/li[5]/span[2]/span"")"),"Loading...")</f>
        <v>Loading...</v>
      </c>
      <c r="J2807" s="7" t="str">
        <f ca="1">IFERROR(__xludf.DUMMYFUNCTION("GOOGLEFINANCE(""NSE:""&amp;D2807,""marketcap"")"),"#N/A")</f>
        <v>#N/A</v>
      </c>
      <c r="K2807" s="7">
        <v>992.8</v>
      </c>
      <c r="L2807" s="8" t="str">
        <f ca="1">IFERROR(__xludf.DUMMYFUNCTION("GOOGLEFINANCE(""NSE:""&amp;D2807,""price"")"),"#N/A")</f>
        <v>#N/A</v>
      </c>
      <c r="M2807" s="9" t="e">
        <f t="shared" ca="1" si="57"/>
        <v>#VALUE!</v>
      </c>
      <c r="N2807" s="10" t="e">
        <f t="shared" ca="1" si="58"/>
        <v>#VALUE!</v>
      </c>
      <c r="O2807" s="7" t="str">
        <f ca="1">IFERROR(__xludf.DUMMYFUNCTION("GOOGLEFINANCE(""NSE:""&amp;D2807,""pe"")"),"#N/A")</f>
        <v>#N/A</v>
      </c>
      <c r="P2807" s="7" t="str">
        <f ca="1">IFERROR(__xludf.DUMMYFUNCTION("GOOGLEFINANCE(""NSE:""&amp;D2807,""EPS"")"),"#N/A")</f>
        <v>#N/A</v>
      </c>
      <c r="Q2807" s="7">
        <v>13.5</v>
      </c>
      <c r="R2807" s="7" t="str">
        <f ca="1">IFERROR(__xludf.DUMMYFUNCTION("IMPORTXML(E2807,""/html/body/main/div[3]/div[3]/div[2]/ul/li[7]/span[2]/span"")"),"Loading...")</f>
        <v>Loading...</v>
      </c>
      <c r="S2807" s="7" t="str">
        <f ca="1">IFERROR(__xludf.DUMMYFUNCTION("IMPORTXML(E2807,""/html/body/main/div[3]/div[3]/div[2]/ul/li[8]/span[2]/span"")"),"Loading...")</f>
        <v>Loading...</v>
      </c>
      <c r="T2807" s="4">
        <v>34.6</v>
      </c>
      <c r="U2807" s="4">
        <v>22.7</v>
      </c>
      <c r="V2807" s="4">
        <v>2.6</v>
      </c>
      <c r="W2807" s="4">
        <v>5.7</v>
      </c>
      <c r="X2807" s="4">
        <v>519.92999999999995</v>
      </c>
      <c r="Y2807" s="7" t="e">
        <f t="shared" ca="1" si="59"/>
        <v>#VALUE!</v>
      </c>
    </row>
    <row r="2808" spans="1:25" ht="15" x14ac:dyDescent="0.25">
      <c r="A2808" s="4">
        <v>2768</v>
      </c>
      <c r="C2808" s="41" t="s">
        <v>5104</v>
      </c>
      <c r="D2808" s="42"/>
      <c r="E2808" s="5" t="str">
        <f t="shared" si="55"/>
        <v>https://www.screener.in/company//consolidated/</v>
      </c>
      <c r="F2808" s="4">
        <v>443059</v>
      </c>
      <c r="G2808" s="4">
        <v>3832241897</v>
      </c>
      <c r="H2808" s="6" t="e">
        <f t="shared" ca="1" si="56"/>
        <v>#VALUE!</v>
      </c>
      <c r="I2808" s="7" t="str">
        <f ca="1">IFERROR(__xludf.DUMMYFUNCTION("IMPORTXML(E2808,""/html/body/main/div[3]/div[3]/div[2]/ul/li[5]/span[2]/span"")"),"Loading...")</f>
        <v>Loading...</v>
      </c>
      <c r="J2808" s="7" t="str">
        <f ca="1">IFERROR(__xludf.DUMMYFUNCTION("GOOGLEFINANCE(""NSE:""&amp;D2808,""marketcap"")"),"#N/A")</f>
        <v>#N/A</v>
      </c>
      <c r="K2808" s="7">
        <v>992.8</v>
      </c>
      <c r="L2808" s="8" t="str">
        <f ca="1">IFERROR(__xludf.DUMMYFUNCTION("GOOGLEFINANCE(""NSE:""&amp;D2808,""price"")"),"#N/A")</f>
        <v>#N/A</v>
      </c>
      <c r="M2808" s="9" t="e">
        <f t="shared" ca="1" si="57"/>
        <v>#VALUE!</v>
      </c>
      <c r="N2808" s="10" t="e">
        <f t="shared" ca="1" si="58"/>
        <v>#VALUE!</v>
      </c>
      <c r="O2808" s="7" t="str">
        <f ca="1">IFERROR(__xludf.DUMMYFUNCTION("GOOGLEFINANCE(""NSE:""&amp;D2808,""pe"")"),"#N/A")</f>
        <v>#N/A</v>
      </c>
      <c r="P2808" s="7" t="str">
        <f ca="1">IFERROR(__xludf.DUMMYFUNCTION("GOOGLEFINANCE(""NSE:""&amp;D2808,""EPS"")"),"#N/A")</f>
        <v>#N/A</v>
      </c>
      <c r="Q2808" s="7">
        <v>13.5</v>
      </c>
      <c r="R2808" s="7" t="str">
        <f ca="1">IFERROR(__xludf.DUMMYFUNCTION("IMPORTXML(E2808,""/html/body/main/div[3]/div[3]/div[2]/ul/li[7]/span[2]/span"")"),"Loading...")</f>
        <v>Loading...</v>
      </c>
      <c r="S2808" s="7" t="str">
        <f ca="1">IFERROR(__xludf.DUMMYFUNCTION("IMPORTXML(E2808,""/html/body/main/div[3]/div[3]/div[2]/ul/li[8]/span[2]/span"")"),"Loading...")</f>
        <v>Loading...</v>
      </c>
      <c r="T2808" s="4">
        <v>34.6</v>
      </c>
      <c r="U2808" s="4">
        <v>22.7</v>
      </c>
      <c r="V2808" s="4">
        <v>2.6</v>
      </c>
      <c r="W2808" s="4">
        <v>5.7</v>
      </c>
      <c r="X2808" s="4">
        <v>519.92999999999995</v>
      </c>
      <c r="Y2808" s="7" t="e">
        <f t="shared" ca="1" si="59"/>
        <v>#VALUE!</v>
      </c>
    </row>
    <row r="2809" spans="1:25" ht="15" x14ac:dyDescent="0.25">
      <c r="A2809" s="4">
        <v>2769</v>
      </c>
      <c r="C2809" s="41" t="s">
        <v>5105</v>
      </c>
      <c r="D2809" s="42"/>
      <c r="E2809" s="5" t="str">
        <f t="shared" si="55"/>
        <v>https://www.screener.in/company//consolidated/</v>
      </c>
      <c r="F2809" s="4">
        <v>443059</v>
      </c>
      <c r="G2809" s="4">
        <v>3832241897</v>
      </c>
      <c r="H2809" s="6" t="e">
        <f t="shared" ca="1" si="56"/>
        <v>#VALUE!</v>
      </c>
      <c r="I2809" s="7" t="str">
        <f ca="1">IFERROR(__xludf.DUMMYFUNCTION("IMPORTXML(E2809,""/html/body/main/div[3]/div[3]/div[2]/ul/li[5]/span[2]/span"")"),"Loading...")</f>
        <v>Loading...</v>
      </c>
      <c r="J2809" s="7" t="str">
        <f ca="1">IFERROR(__xludf.DUMMYFUNCTION("GOOGLEFINANCE(""NSE:""&amp;D2809,""marketcap"")"),"#N/A")</f>
        <v>#N/A</v>
      </c>
      <c r="K2809" s="7">
        <v>992.8</v>
      </c>
      <c r="L2809" s="8" t="str">
        <f ca="1">IFERROR(__xludf.DUMMYFUNCTION("GOOGLEFINANCE(""NSE:""&amp;D2809,""price"")"),"#N/A")</f>
        <v>#N/A</v>
      </c>
      <c r="M2809" s="9" t="e">
        <f t="shared" ca="1" si="57"/>
        <v>#VALUE!</v>
      </c>
      <c r="N2809" s="10" t="e">
        <f t="shared" ca="1" si="58"/>
        <v>#VALUE!</v>
      </c>
      <c r="O2809" s="7" t="str">
        <f ca="1">IFERROR(__xludf.DUMMYFUNCTION("GOOGLEFINANCE(""NSE:""&amp;D2809,""pe"")"),"#N/A")</f>
        <v>#N/A</v>
      </c>
      <c r="P2809" s="7" t="str">
        <f ca="1">IFERROR(__xludf.DUMMYFUNCTION("GOOGLEFINANCE(""NSE:""&amp;D2809,""EPS"")"),"#N/A")</f>
        <v>#N/A</v>
      </c>
      <c r="Q2809" s="7">
        <v>13.5</v>
      </c>
      <c r="R2809" s="7" t="str">
        <f ca="1">IFERROR(__xludf.DUMMYFUNCTION("IMPORTXML(E2809,""/html/body/main/div[3]/div[3]/div[2]/ul/li[7]/span[2]/span"")"),"Loading...")</f>
        <v>Loading...</v>
      </c>
      <c r="S2809" s="7" t="str">
        <f ca="1">IFERROR(__xludf.DUMMYFUNCTION("IMPORTXML(E2809,""/html/body/main/div[3]/div[3]/div[2]/ul/li[8]/span[2]/span"")"),"Loading...")</f>
        <v>Loading...</v>
      </c>
      <c r="T2809" s="4">
        <v>34.6</v>
      </c>
      <c r="U2809" s="4">
        <v>22.7</v>
      </c>
      <c r="V2809" s="4">
        <v>2.6</v>
      </c>
      <c r="W2809" s="4">
        <v>5.7</v>
      </c>
      <c r="X2809" s="4">
        <v>519.92999999999995</v>
      </c>
      <c r="Y2809" s="7" t="e">
        <f t="shared" ca="1" si="59"/>
        <v>#VALUE!</v>
      </c>
    </row>
    <row r="2810" spans="1:25" ht="15" x14ac:dyDescent="0.25">
      <c r="A2810" s="4">
        <v>2770</v>
      </c>
      <c r="C2810" s="12" t="s">
        <v>5106</v>
      </c>
      <c r="D2810" s="12" t="s">
        <v>5107</v>
      </c>
      <c r="E2810" s="5" t="str">
        <f t="shared" si="55"/>
        <v>https://www.screener.in/company/NGIL/consolidated/</v>
      </c>
      <c r="F2810" s="4">
        <v>443059</v>
      </c>
      <c r="G2810" s="4">
        <v>3832241897</v>
      </c>
      <c r="H2810" s="6">
        <f t="shared" ca="1" si="56"/>
        <v>12516.102035601998</v>
      </c>
      <c r="I2810" s="7" t="str">
        <f ca="1">IFERROR(__xludf.DUMMYFUNCTION("IMPORTXML(E2810,""/html/body/main/div[3]/div[3]/div[2]/ul/li[5]/span[2]/span"")"),"Loading...")</f>
        <v>Loading...</v>
      </c>
      <c r="J2810" s="7">
        <f ca="1">IFERROR(__xludf.DUMMYFUNCTION("GOOGLEFINANCE(""NSE:""&amp;D2810,""marketcap"")"),630279946)</f>
        <v>630279946</v>
      </c>
      <c r="K2810" s="7">
        <v>992.8</v>
      </c>
      <c r="L2810" s="8">
        <f ca="1">IFERROR(__xludf.DUMMYFUNCTION("GOOGLEFINANCE(""NSE:""&amp;D2810,""price"")"),32.66)</f>
        <v>32.659999999999997</v>
      </c>
      <c r="M2810" s="9">
        <f t="shared" ca="1" si="57"/>
        <v>-960.14</v>
      </c>
      <c r="N2810" s="10">
        <f t="shared" ca="1" si="58"/>
        <v>-96.710314262691384</v>
      </c>
      <c r="O2810" s="7" t="str">
        <f ca="1">IFERROR(__xludf.DUMMYFUNCTION("GOOGLEFINANCE(""NSE:""&amp;D2810,""pe"")"),"#N/A")</f>
        <v>#N/A</v>
      </c>
      <c r="P2810" s="7">
        <f ca="1">IFERROR(__xludf.DUMMYFUNCTION("GOOGLEFINANCE(""NSE:""&amp;D2810,""EPS"")"),-2.37)</f>
        <v>-2.37</v>
      </c>
      <c r="Q2810" s="7">
        <v>13.5</v>
      </c>
      <c r="R2810" s="7" t="str">
        <f ca="1">IFERROR(__xludf.DUMMYFUNCTION("IMPORTXML(E2810,""/html/body/main/div[3]/div[3]/div[2]/ul/li[7]/span[2]/span"")"),"Loading...")</f>
        <v>Loading...</v>
      </c>
      <c r="S2810" s="7" t="str">
        <f ca="1">IFERROR(__xludf.DUMMYFUNCTION("IMPORTXML(E2810,""/html/body/main/div[3]/div[3]/div[2]/ul/li[8]/span[2]/span"")"),"Loading...")</f>
        <v>Loading...</v>
      </c>
      <c r="T2810" s="4">
        <v>34.6</v>
      </c>
      <c r="U2810" s="4">
        <v>22.7</v>
      </c>
      <c r="V2810" s="4">
        <v>2.6</v>
      </c>
      <c r="W2810" s="4">
        <v>5.7</v>
      </c>
      <c r="X2810" s="4">
        <v>519.92999999999995</v>
      </c>
      <c r="Y2810" s="7">
        <f t="shared" ca="1" si="59"/>
        <v>-487.27</v>
      </c>
    </row>
    <row r="2811" spans="1:25" ht="15" x14ac:dyDescent="0.25">
      <c r="A2811" s="4">
        <v>2771</v>
      </c>
      <c r="C2811" s="41" t="s">
        <v>5108</v>
      </c>
      <c r="D2811" s="42"/>
      <c r="E2811" s="5" t="str">
        <f t="shared" si="55"/>
        <v>https://www.screener.in/company//consolidated/</v>
      </c>
      <c r="F2811" s="4">
        <v>443059</v>
      </c>
      <c r="G2811" s="4">
        <v>3832241897</v>
      </c>
      <c r="H2811" s="6" t="e">
        <f t="shared" ca="1" si="56"/>
        <v>#VALUE!</v>
      </c>
      <c r="I2811" s="7" t="str">
        <f ca="1">IFERROR(__xludf.DUMMYFUNCTION("IMPORTXML(E2811,""/html/body/main/div[3]/div[3]/div[2]/ul/li[5]/span[2]/span"")"),"Loading...")</f>
        <v>Loading...</v>
      </c>
      <c r="J2811" s="7" t="str">
        <f ca="1">IFERROR(__xludf.DUMMYFUNCTION("GOOGLEFINANCE(""NSE:""&amp;D2811,""marketcap"")"),"#N/A")</f>
        <v>#N/A</v>
      </c>
      <c r="K2811" s="7">
        <v>992.8</v>
      </c>
      <c r="L2811" s="8" t="str">
        <f ca="1">IFERROR(__xludf.DUMMYFUNCTION("GOOGLEFINANCE(""NSE:""&amp;D2811,""price"")"),"#N/A")</f>
        <v>#N/A</v>
      </c>
      <c r="M2811" s="9" t="e">
        <f t="shared" ca="1" si="57"/>
        <v>#VALUE!</v>
      </c>
      <c r="N2811" s="10" t="e">
        <f t="shared" ca="1" si="58"/>
        <v>#VALUE!</v>
      </c>
      <c r="O2811" s="7" t="str">
        <f ca="1">IFERROR(__xludf.DUMMYFUNCTION("GOOGLEFINANCE(""NSE:""&amp;D2811,""pe"")"),"#N/A")</f>
        <v>#N/A</v>
      </c>
      <c r="P2811" s="7" t="str">
        <f ca="1">IFERROR(__xludf.DUMMYFUNCTION("GOOGLEFINANCE(""NSE:""&amp;D2811,""EPS"")"),"#N/A")</f>
        <v>#N/A</v>
      </c>
      <c r="Q2811" s="7">
        <v>13.5</v>
      </c>
      <c r="R2811" s="7" t="str">
        <f ca="1">IFERROR(__xludf.DUMMYFUNCTION("IMPORTXML(E2811,""/html/body/main/div[3]/div[3]/div[2]/ul/li[7]/span[2]/span"")"),"Loading...")</f>
        <v>Loading...</v>
      </c>
      <c r="S2811" s="7" t="str">
        <f ca="1">IFERROR(__xludf.DUMMYFUNCTION("IMPORTXML(E2811,""/html/body/main/div[3]/div[3]/div[2]/ul/li[8]/span[2]/span"")"),"Loading...")</f>
        <v>Loading...</v>
      </c>
      <c r="T2811" s="4">
        <v>34.6</v>
      </c>
      <c r="U2811" s="4">
        <v>22.7</v>
      </c>
      <c r="V2811" s="4">
        <v>2.6</v>
      </c>
      <c r="W2811" s="4">
        <v>5.7</v>
      </c>
      <c r="X2811" s="4">
        <v>519.92999999999995</v>
      </c>
      <c r="Y2811" s="7" t="e">
        <f t="shared" ca="1" si="59"/>
        <v>#VALUE!</v>
      </c>
    </row>
    <row r="2812" spans="1:25" ht="15" x14ac:dyDescent="0.25">
      <c r="A2812" s="4">
        <v>2772</v>
      </c>
      <c r="C2812" s="41" t="s">
        <v>5109</v>
      </c>
      <c r="D2812" s="42"/>
      <c r="E2812" s="5" t="str">
        <f t="shared" si="55"/>
        <v>https://www.screener.in/company//consolidated/</v>
      </c>
      <c r="F2812" s="4">
        <v>443059</v>
      </c>
      <c r="G2812" s="4">
        <v>3832241897</v>
      </c>
      <c r="H2812" s="6" t="e">
        <f t="shared" ca="1" si="56"/>
        <v>#VALUE!</v>
      </c>
      <c r="I2812" s="7" t="str">
        <f ca="1">IFERROR(__xludf.DUMMYFUNCTION("IMPORTXML(E2812,""/html/body/main/div[3]/div[3]/div[2]/ul/li[5]/span[2]/span"")"),"Loading...")</f>
        <v>Loading...</v>
      </c>
      <c r="J2812" s="7" t="str">
        <f ca="1">IFERROR(__xludf.DUMMYFUNCTION("GOOGLEFINANCE(""NSE:""&amp;D2812,""marketcap"")"),"#N/A")</f>
        <v>#N/A</v>
      </c>
      <c r="K2812" s="7">
        <v>992.8</v>
      </c>
      <c r="L2812" s="8" t="str">
        <f ca="1">IFERROR(__xludf.DUMMYFUNCTION("GOOGLEFINANCE(""NSE:""&amp;D2812,""price"")"),"#N/A")</f>
        <v>#N/A</v>
      </c>
      <c r="M2812" s="9" t="e">
        <f t="shared" ca="1" si="57"/>
        <v>#VALUE!</v>
      </c>
      <c r="N2812" s="10" t="e">
        <f t="shared" ca="1" si="58"/>
        <v>#VALUE!</v>
      </c>
      <c r="O2812" s="7" t="str">
        <f ca="1">IFERROR(__xludf.DUMMYFUNCTION("GOOGLEFINANCE(""NSE:""&amp;D2812,""pe"")"),"#N/A")</f>
        <v>#N/A</v>
      </c>
      <c r="P2812" s="7" t="str">
        <f ca="1">IFERROR(__xludf.DUMMYFUNCTION("GOOGLEFINANCE(""NSE:""&amp;D2812,""EPS"")"),"#N/A")</f>
        <v>#N/A</v>
      </c>
      <c r="Q2812" s="7">
        <v>13.5</v>
      </c>
      <c r="R2812" s="7" t="str">
        <f ca="1">IFERROR(__xludf.DUMMYFUNCTION("IMPORTXML(E2812,""/html/body/main/div[3]/div[3]/div[2]/ul/li[7]/span[2]/span"")"),"Loading...")</f>
        <v>Loading...</v>
      </c>
      <c r="S2812" s="7" t="str">
        <f ca="1">IFERROR(__xludf.DUMMYFUNCTION("IMPORTXML(E2812,""/html/body/main/div[3]/div[3]/div[2]/ul/li[8]/span[2]/span"")"),"Loading...")</f>
        <v>Loading...</v>
      </c>
      <c r="T2812" s="4">
        <v>34.6</v>
      </c>
      <c r="U2812" s="4">
        <v>22.7</v>
      </c>
      <c r="V2812" s="4">
        <v>2.6</v>
      </c>
      <c r="W2812" s="4">
        <v>5.7</v>
      </c>
      <c r="X2812" s="4">
        <v>519.92999999999995</v>
      </c>
      <c r="Y2812" s="7" t="e">
        <f t="shared" ca="1" si="59"/>
        <v>#VALUE!</v>
      </c>
    </row>
    <row r="2813" spans="1:25" ht="15" x14ac:dyDescent="0.25">
      <c r="A2813" s="4">
        <v>2773</v>
      </c>
      <c r="C2813" s="41" t="s">
        <v>5110</v>
      </c>
      <c r="D2813" s="42"/>
      <c r="E2813" s="5" t="str">
        <f t="shared" si="55"/>
        <v>https://www.screener.in/company//consolidated/</v>
      </c>
      <c r="F2813" s="4">
        <v>443059</v>
      </c>
      <c r="G2813" s="4">
        <v>3832241897</v>
      </c>
      <c r="H2813" s="6" t="e">
        <f t="shared" ca="1" si="56"/>
        <v>#VALUE!</v>
      </c>
      <c r="I2813" s="7" t="str">
        <f ca="1">IFERROR(__xludf.DUMMYFUNCTION("IMPORTXML(E2813,""/html/body/main/div[3]/div[3]/div[2]/ul/li[5]/span[2]/span"")"),"Loading...")</f>
        <v>Loading...</v>
      </c>
      <c r="J2813" s="7" t="str">
        <f ca="1">IFERROR(__xludf.DUMMYFUNCTION("GOOGLEFINANCE(""NSE:""&amp;D2813,""marketcap"")"),"#N/A")</f>
        <v>#N/A</v>
      </c>
      <c r="K2813" s="7">
        <v>992.8</v>
      </c>
      <c r="L2813" s="8" t="str">
        <f ca="1">IFERROR(__xludf.DUMMYFUNCTION("GOOGLEFINANCE(""NSE:""&amp;D2813,""price"")"),"#N/A")</f>
        <v>#N/A</v>
      </c>
      <c r="M2813" s="9" t="e">
        <f t="shared" ca="1" si="57"/>
        <v>#VALUE!</v>
      </c>
      <c r="N2813" s="10" t="e">
        <f t="shared" ca="1" si="58"/>
        <v>#VALUE!</v>
      </c>
      <c r="O2813" s="7" t="str">
        <f ca="1">IFERROR(__xludf.DUMMYFUNCTION("GOOGLEFINANCE(""NSE:""&amp;D2813,""pe"")"),"#N/A")</f>
        <v>#N/A</v>
      </c>
      <c r="P2813" s="7" t="str">
        <f ca="1">IFERROR(__xludf.DUMMYFUNCTION("GOOGLEFINANCE(""NSE:""&amp;D2813,""EPS"")"),"#N/A")</f>
        <v>#N/A</v>
      </c>
      <c r="Q2813" s="7">
        <v>13.5</v>
      </c>
      <c r="R2813" s="7" t="str">
        <f ca="1">IFERROR(__xludf.DUMMYFUNCTION("IMPORTXML(E2813,""/html/body/main/div[3]/div[3]/div[2]/ul/li[7]/span[2]/span"")"),"Loading...")</f>
        <v>Loading...</v>
      </c>
      <c r="S2813" s="7" t="str">
        <f ca="1">IFERROR(__xludf.DUMMYFUNCTION("IMPORTXML(E2813,""/html/body/main/div[3]/div[3]/div[2]/ul/li[8]/span[2]/span"")"),"Loading...")</f>
        <v>Loading...</v>
      </c>
      <c r="T2813" s="4">
        <v>34.6</v>
      </c>
      <c r="U2813" s="4">
        <v>22.7</v>
      </c>
      <c r="V2813" s="4">
        <v>2.6</v>
      </c>
      <c r="W2813" s="4">
        <v>5.7</v>
      </c>
      <c r="X2813" s="4">
        <v>519.92999999999995</v>
      </c>
      <c r="Y2813" s="7" t="e">
        <f t="shared" ca="1" si="59"/>
        <v>#VALUE!</v>
      </c>
    </row>
    <row r="2814" spans="1:25" ht="15" x14ac:dyDescent="0.25">
      <c r="A2814" s="4">
        <v>2774</v>
      </c>
      <c r="C2814" s="12" t="s">
        <v>5111</v>
      </c>
      <c r="D2814" s="12" t="s">
        <v>5112</v>
      </c>
      <c r="E2814" s="5" t="str">
        <f t="shared" si="55"/>
        <v>https://www.screener.in/company/ROLLT/consolidated/</v>
      </c>
      <c r="F2814" s="4">
        <v>443059</v>
      </c>
      <c r="G2814" s="4">
        <v>3832241897</v>
      </c>
      <c r="H2814" s="6">
        <f t="shared" ca="1" si="56"/>
        <v>398.55315728800002</v>
      </c>
      <c r="I2814" s="7" t="str">
        <f ca="1">IFERROR(__xludf.DUMMYFUNCTION("IMPORTXML(E2814,""/html/body/main/div[3]/div[3]/div[2]/ul/li[5]/span[2]/span"")"),"Loading...")</f>
        <v>Loading...</v>
      </c>
      <c r="J2814" s="7">
        <f ca="1">IFERROR(__xludf.DUMMYFUNCTION("GOOGLEFINANCE(""NSE:""&amp;D2814,""marketcap"")"),260181903)</f>
        <v>260181903</v>
      </c>
      <c r="K2814" s="7">
        <v>992.8</v>
      </c>
      <c r="L2814" s="8">
        <f ca="1">IFERROR(__xludf.DUMMYFUNCTION("GOOGLEFINANCE(""NSE:""&amp;D2814,""price"")"),1.04)</f>
        <v>1.04</v>
      </c>
      <c r="M2814" s="9">
        <f t="shared" ca="1" si="57"/>
        <v>-991.76</v>
      </c>
      <c r="N2814" s="10">
        <f t="shared" ca="1" si="58"/>
        <v>-99.895245769540693</v>
      </c>
      <c r="O2814" s="7" t="str">
        <f ca="1">IFERROR(__xludf.DUMMYFUNCTION("GOOGLEFINANCE(""NSE:""&amp;D2814,""pe"")"),"#N/A")</f>
        <v>#N/A</v>
      </c>
      <c r="P2814" s="7">
        <f ca="1">IFERROR(__xludf.DUMMYFUNCTION("GOOGLEFINANCE(""NSE:""&amp;D2814,""EPS"")"),-0.05)</f>
        <v>-0.05</v>
      </c>
      <c r="Q2814" s="7">
        <v>13.5</v>
      </c>
      <c r="R2814" s="7" t="str">
        <f ca="1">IFERROR(__xludf.DUMMYFUNCTION("IMPORTXML(E2814,""/html/body/main/div[3]/div[3]/div[2]/ul/li[7]/span[2]/span"")"),"Loading...")</f>
        <v>Loading...</v>
      </c>
      <c r="S2814" s="7" t="str">
        <f ca="1">IFERROR(__xludf.DUMMYFUNCTION("IMPORTXML(E2814,""/html/body/main/div[3]/div[3]/div[2]/ul/li[8]/span[2]/span"")"),"Loading...")</f>
        <v>Loading...</v>
      </c>
      <c r="T2814" s="4">
        <v>34.6</v>
      </c>
      <c r="U2814" s="4">
        <v>22.7</v>
      </c>
      <c r="V2814" s="4">
        <v>2.6</v>
      </c>
      <c r="W2814" s="4">
        <v>5.7</v>
      </c>
      <c r="X2814" s="4">
        <v>519.92999999999995</v>
      </c>
      <c r="Y2814" s="7">
        <f t="shared" ca="1" si="59"/>
        <v>-518.89</v>
      </c>
    </row>
    <row r="2815" spans="1:25" ht="15" x14ac:dyDescent="0.25">
      <c r="A2815" s="4">
        <v>2775</v>
      </c>
      <c r="C2815" s="41" t="s">
        <v>5113</v>
      </c>
      <c r="D2815" s="42"/>
      <c r="E2815" s="5" t="str">
        <f t="shared" si="55"/>
        <v>https://www.screener.in/company//consolidated/</v>
      </c>
      <c r="F2815" s="4">
        <v>443059</v>
      </c>
      <c r="G2815" s="4">
        <v>3832241897</v>
      </c>
      <c r="H2815" s="6" t="e">
        <f t="shared" ca="1" si="56"/>
        <v>#VALUE!</v>
      </c>
      <c r="I2815" s="7" t="str">
        <f ca="1">IFERROR(__xludf.DUMMYFUNCTION("IMPORTXML(E2815,""/html/body/main/div[3]/div[3]/div[2]/ul/li[5]/span[2]/span"")"),"Loading...")</f>
        <v>Loading...</v>
      </c>
      <c r="J2815" s="7" t="str">
        <f ca="1">IFERROR(__xludf.DUMMYFUNCTION("GOOGLEFINANCE(""NSE:""&amp;D2815,""marketcap"")"),"#N/A")</f>
        <v>#N/A</v>
      </c>
      <c r="K2815" s="7">
        <v>992.8</v>
      </c>
      <c r="L2815" s="8" t="str">
        <f ca="1">IFERROR(__xludf.DUMMYFUNCTION("GOOGLEFINANCE(""NSE:""&amp;D2815,""price"")"),"#N/A")</f>
        <v>#N/A</v>
      </c>
      <c r="M2815" s="9" t="e">
        <f t="shared" ca="1" si="57"/>
        <v>#VALUE!</v>
      </c>
      <c r="N2815" s="10" t="e">
        <f t="shared" ca="1" si="58"/>
        <v>#VALUE!</v>
      </c>
      <c r="O2815" s="7" t="str">
        <f ca="1">IFERROR(__xludf.DUMMYFUNCTION("GOOGLEFINANCE(""NSE:""&amp;D2815,""pe"")"),"#N/A")</f>
        <v>#N/A</v>
      </c>
      <c r="P2815" s="7" t="str">
        <f ca="1">IFERROR(__xludf.DUMMYFUNCTION("GOOGLEFINANCE(""NSE:""&amp;D2815,""EPS"")"),"#N/A")</f>
        <v>#N/A</v>
      </c>
      <c r="Q2815" s="7">
        <v>13.5</v>
      </c>
      <c r="R2815" s="7" t="str">
        <f ca="1">IFERROR(__xludf.DUMMYFUNCTION("IMPORTXML(E2815,""/html/body/main/div[3]/div[3]/div[2]/ul/li[7]/span[2]/span"")"),"Loading...")</f>
        <v>Loading...</v>
      </c>
      <c r="S2815" s="7" t="str">
        <f ca="1">IFERROR(__xludf.DUMMYFUNCTION("IMPORTXML(E2815,""/html/body/main/div[3]/div[3]/div[2]/ul/li[8]/span[2]/span"")"),"Loading...")</f>
        <v>Loading...</v>
      </c>
      <c r="T2815" s="4">
        <v>34.6</v>
      </c>
      <c r="U2815" s="4">
        <v>22.7</v>
      </c>
      <c r="V2815" s="4">
        <v>2.6</v>
      </c>
      <c r="W2815" s="4">
        <v>5.7</v>
      </c>
      <c r="X2815" s="4">
        <v>519.92999999999995</v>
      </c>
      <c r="Y2815" s="7" t="e">
        <f t="shared" ca="1" si="59"/>
        <v>#VALUE!</v>
      </c>
    </row>
    <row r="2816" spans="1:25" ht="15" x14ac:dyDescent="0.25">
      <c r="A2816" s="4">
        <v>2776</v>
      </c>
      <c r="C2816" s="41" t="s">
        <v>5114</v>
      </c>
      <c r="D2816" s="42"/>
      <c r="E2816" s="5" t="str">
        <f t="shared" si="55"/>
        <v>https://www.screener.in/company//consolidated/</v>
      </c>
      <c r="F2816" s="4">
        <v>443059</v>
      </c>
      <c r="G2816" s="4">
        <v>3832241897</v>
      </c>
      <c r="H2816" s="6" t="e">
        <f t="shared" ca="1" si="56"/>
        <v>#VALUE!</v>
      </c>
      <c r="I2816" s="7" t="str">
        <f ca="1">IFERROR(__xludf.DUMMYFUNCTION("IMPORTXML(E2816,""/html/body/main/div[3]/div[3]/div[2]/ul/li[5]/span[2]/span"")"),"Loading...")</f>
        <v>Loading...</v>
      </c>
      <c r="J2816" s="7" t="str">
        <f ca="1">IFERROR(__xludf.DUMMYFUNCTION("GOOGLEFINANCE(""NSE:""&amp;D2816,""marketcap"")"),"#N/A")</f>
        <v>#N/A</v>
      </c>
      <c r="K2816" s="7">
        <v>992.8</v>
      </c>
      <c r="L2816" s="8" t="str">
        <f ca="1">IFERROR(__xludf.DUMMYFUNCTION("GOOGLEFINANCE(""NSE:""&amp;D2816,""price"")"),"#N/A")</f>
        <v>#N/A</v>
      </c>
      <c r="M2816" s="9" t="e">
        <f t="shared" ca="1" si="57"/>
        <v>#VALUE!</v>
      </c>
      <c r="N2816" s="10" t="e">
        <f t="shared" ca="1" si="58"/>
        <v>#VALUE!</v>
      </c>
      <c r="O2816" s="7" t="str">
        <f ca="1">IFERROR(__xludf.DUMMYFUNCTION("GOOGLEFINANCE(""NSE:""&amp;D2816,""pe"")"),"#N/A")</f>
        <v>#N/A</v>
      </c>
      <c r="P2816" s="7" t="str">
        <f ca="1">IFERROR(__xludf.DUMMYFUNCTION("GOOGLEFINANCE(""NSE:""&amp;D2816,""EPS"")"),"#N/A")</f>
        <v>#N/A</v>
      </c>
      <c r="Q2816" s="7">
        <v>13.5</v>
      </c>
      <c r="R2816" s="7" t="str">
        <f ca="1">IFERROR(__xludf.DUMMYFUNCTION("IMPORTXML(E2816,""/html/body/main/div[3]/div[3]/div[2]/ul/li[7]/span[2]/span"")"),"Loading...")</f>
        <v>Loading...</v>
      </c>
      <c r="S2816" s="7" t="str">
        <f ca="1">IFERROR(__xludf.DUMMYFUNCTION("IMPORTXML(E2816,""/html/body/main/div[3]/div[3]/div[2]/ul/li[8]/span[2]/span"")"),"Loading...")</f>
        <v>Loading...</v>
      </c>
      <c r="T2816" s="4">
        <v>34.6</v>
      </c>
      <c r="U2816" s="4">
        <v>22.7</v>
      </c>
      <c r="V2816" s="4">
        <v>2.6</v>
      </c>
      <c r="W2816" s="4">
        <v>5.7</v>
      </c>
      <c r="X2816" s="4">
        <v>519.92999999999995</v>
      </c>
      <c r="Y2816" s="7" t="e">
        <f t="shared" ca="1" si="59"/>
        <v>#VALUE!</v>
      </c>
    </row>
    <row r="2817" spans="1:25" ht="15" x14ac:dyDescent="0.25">
      <c r="A2817" s="4">
        <v>2777</v>
      </c>
      <c r="C2817" s="12" t="s">
        <v>5115</v>
      </c>
      <c r="D2817" s="12" t="s">
        <v>5116</v>
      </c>
      <c r="E2817" s="5" t="str">
        <f t="shared" si="55"/>
        <v>https://www.screener.in/company/SUPREMEENG/consolidated/</v>
      </c>
      <c r="F2817" s="4">
        <v>443059</v>
      </c>
      <c r="G2817" s="4">
        <v>3832241897</v>
      </c>
      <c r="H2817" s="6">
        <f t="shared" ca="1" si="56"/>
        <v>413.88212487600003</v>
      </c>
      <c r="I2817" s="7" t="str">
        <f ca="1">IFERROR(__xludf.DUMMYFUNCTION("IMPORTXML(E2817,""/html/body/main/div[3]/div[3]/div[2]/ul/li[5]/span[2]/span"")"),"Loading...")</f>
        <v>Loading...</v>
      </c>
      <c r="J2817" s="7">
        <f ca="1">IFERROR(__xludf.DUMMYFUNCTION("GOOGLEFINANCE(""NSE:""&amp;D2817,""marketcap"")"),269946000)</f>
        <v>269946000</v>
      </c>
      <c r="K2817" s="7">
        <v>992.8</v>
      </c>
      <c r="L2817" s="8">
        <f ca="1">IFERROR(__xludf.DUMMYFUNCTION("GOOGLEFINANCE(""NSE:""&amp;D2817,""price"")"),1.08)</f>
        <v>1.08</v>
      </c>
      <c r="M2817" s="9">
        <f t="shared" ca="1" si="57"/>
        <v>-991.71999999999991</v>
      </c>
      <c r="N2817" s="10">
        <f t="shared" ca="1" si="58"/>
        <v>-99.891216760676869</v>
      </c>
      <c r="O2817" s="7" t="str">
        <f ca="1">IFERROR(__xludf.DUMMYFUNCTION("GOOGLEFINANCE(""NSE:""&amp;D2817,""pe"")"),"#N/A")</f>
        <v>#N/A</v>
      </c>
      <c r="P2817" s="7">
        <f ca="1">IFERROR(__xludf.DUMMYFUNCTION("GOOGLEFINANCE(""NSE:""&amp;D2817,""EPS"")"),-0.48)</f>
        <v>-0.48</v>
      </c>
      <c r="Q2817" s="7">
        <v>13.5</v>
      </c>
      <c r="R2817" s="7" t="str">
        <f ca="1">IFERROR(__xludf.DUMMYFUNCTION("IMPORTXML(E2817,""/html/body/main/div[3]/div[3]/div[2]/ul/li[7]/span[2]/span"")"),"Loading...")</f>
        <v>Loading...</v>
      </c>
      <c r="S2817" s="7" t="str">
        <f ca="1">IFERROR(__xludf.DUMMYFUNCTION("IMPORTXML(E2817,""/html/body/main/div[3]/div[3]/div[2]/ul/li[8]/span[2]/span"")"),"Loading...")</f>
        <v>Loading...</v>
      </c>
      <c r="T2817" s="4">
        <v>34.6</v>
      </c>
      <c r="U2817" s="4">
        <v>22.7</v>
      </c>
      <c r="V2817" s="4">
        <v>2.6</v>
      </c>
      <c r="W2817" s="4">
        <v>5.7</v>
      </c>
      <c r="X2817" s="4">
        <v>519.92999999999995</v>
      </c>
      <c r="Y2817" s="7">
        <f t="shared" ca="1" si="59"/>
        <v>-518.84999999999991</v>
      </c>
    </row>
    <row r="2818" spans="1:25" ht="15" x14ac:dyDescent="0.25">
      <c r="A2818" s="4">
        <v>2778</v>
      </c>
      <c r="C2818" s="41" t="s">
        <v>5117</v>
      </c>
      <c r="D2818" s="42"/>
      <c r="E2818" s="5" t="str">
        <f t="shared" si="55"/>
        <v>https://www.screener.in/company//consolidated/</v>
      </c>
      <c r="F2818" s="4">
        <v>443059</v>
      </c>
      <c r="G2818" s="4">
        <v>3832241897</v>
      </c>
      <c r="H2818" s="6" t="e">
        <f t="shared" ca="1" si="56"/>
        <v>#VALUE!</v>
      </c>
      <c r="I2818" s="7" t="str">
        <f ca="1">IFERROR(__xludf.DUMMYFUNCTION("IMPORTXML(E2818,""/html/body/main/div[3]/div[3]/div[2]/ul/li[5]/span[2]/span"")"),"Loading...")</f>
        <v>Loading...</v>
      </c>
      <c r="J2818" s="7" t="str">
        <f ca="1">IFERROR(__xludf.DUMMYFUNCTION("GOOGLEFINANCE(""NSE:""&amp;D2818,""marketcap"")"),"#N/A")</f>
        <v>#N/A</v>
      </c>
      <c r="K2818" s="7">
        <v>992.8</v>
      </c>
      <c r="L2818" s="8" t="str">
        <f ca="1">IFERROR(__xludf.DUMMYFUNCTION("GOOGLEFINANCE(""NSE:""&amp;D2818,""price"")"),"#N/A")</f>
        <v>#N/A</v>
      </c>
      <c r="M2818" s="9" t="e">
        <f t="shared" ca="1" si="57"/>
        <v>#VALUE!</v>
      </c>
      <c r="N2818" s="10" t="e">
        <f t="shared" ca="1" si="58"/>
        <v>#VALUE!</v>
      </c>
      <c r="O2818" s="7" t="str">
        <f ca="1">IFERROR(__xludf.DUMMYFUNCTION("GOOGLEFINANCE(""NSE:""&amp;D2818,""pe"")"),"#N/A")</f>
        <v>#N/A</v>
      </c>
      <c r="P2818" s="7" t="str">
        <f ca="1">IFERROR(__xludf.DUMMYFUNCTION("GOOGLEFINANCE(""NSE:""&amp;D2818,""EPS"")"),"#N/A")</f>
        <v>#N/A</v>
      </c>
      <c r="Q2818" s="7">
        <v>13.5</v>
      </c>
      <c r="R2818" s="7" t="str">
        <f ca="1">IFERROR(__xludf.DUMMYFUNCTION("IMPORTXML(E2818,""/html/body/main/div[3]/div[3]/div[2]/ul/li[7]/span[2]/span"")"),"Loading...")</f>
        <v>Loading...</v>
      </c>
      <c r="S2818" s="7" t="str">
        <f ca="1">IFERROR(__xludf.DUMMYFUNCTION("IMPORTXML(E2818,""/html/body/main/div[3]/div[3]/div[2]/ul/li[8]/span[2]/span"")"),"Loading...")</f>
        <v>Loading...</v>
      </c>
      <c r="T2818" s="4">
        <v>34.6</v>
      </c>
      <c r="U2818" s="4">
        <v>22.7</v>
      </c>
      <c r="V2818" s="4">
        <v>2.6</v>
      </c>
      <c r="W2818" s="4">
        <v>5.7</v>
      </c>
      <c r="X2818" s="4">
        <v>519.92999999999995</v>
      </c>
      <c r="Y2818" s="7" t="e">
        <f t="shared" ca="1" si="59"/>
        <v>#VALUE!</v>
      </c>
    </row>
    <row r="2819" spans="1:25" ht="15" x14ac:dyDescent="0.25">
      <c r="A2819" s="4">
        <v>2779</v>
      </c>
      <c r="C2819" s="41" t="s">
        <v>5118</v>
      </c>
      <c r="D2819" s="42"/>
      <c r="E2819" s="5" t="str">
        <f t="shared" si="55"/>
        <v>https://www.screener.in/company//consolidated/</v>
      </c>
      <c r="F2819" s="4">
        <v>443059</v>
      </c>
      <c r="G2819" s="4">
        <v>3832241897</v>
      </c>
      <c r="H2819" s="6" t="e">
        <f t="shared" ca="1" si="56"/>
        <v>#VALUE!</v>
      </c>
      <c r="I2819" s="7" t="str">
        <f ca="1">IFERROR(__xludf.DUMMYFUNCTION("IMPORTXML(E2819,""/html/body/main/div[3]/div[3]/div[2]/ul/li[5]/span[2]/span"")"),"Loading...")</f>
        <v>Loading...</v>
      </c>
      <c r="J2819" s="7" t="str">
        <f ca="1">IFERROR(__xludf.DUMMYFUNCTION("GOOGLEFINANCE(""NSE:""&amp;D2819,""marketcap"")"),"#N/A")</f>
        <v>#N/A</v>
      </c>
      <c r="K2819" s="7">
        <v>992.8</v>
      </c>
      <c r="L2819" s="8" t="str">
        <f ca="1">IFERROR(__xludf.DUMMYFUNCTION("GOOGLEFINANCE(""NSE:""&amp;D2819,""price"")"),"#N/A")</f>
        <v>#N/A</v>
      </c>
      <c r="M2819" s="9" t="e">
        <f t="shared" ca="1" si="57"/>
        <v>#VALUE!</v>
      </c>
      <c r="N2819" s="10" t="e">
        <f t="shared" ca="1" si="58"/>
        <v>#VALUE!</v>
      </c>
      <c r="O2819" s="7" t="str">
        <f ca="1">IFERROR(__xludf.DUMMYFUNCTION("GOOGLEFINANCE(""NSE:""&amp;D2819,""pe"")"),"#N/A")</f>
        <v>#N/A</v>
      </c>
      <c r="P2819" s="7" t="str">
        <f ca="1">IFERROR(__xludf.DUMMYFUNCTION("GOOGLEFINANCE(""NSE:""&amp;D2819,""EPS"")"),"#N/A")</f>
        <v>#N/A</v>
      </c>
      <c r="Q2819" s="7">
        <v>13.5</v>
      </c>
      <c r="R2819" s="7" t="str">
        <f ca="1">IFERROR(__xludf.DUMMYFUNCTION("IMPORTXML(E2819,""/html/body/main/div[3]/div[3]/div[2]/ul/li[7]/span[2]/span"")"),"Loading...")</f>
        <v>Loading...</v>
      </c>
      <c r="S2819" s="7" t="str">
        <f ca="1">IFERROR(__xludf.DUMMYFUNCTION("IMPORTXML(E2819,""/html/body/main/div[3]/div[3]/div[2]/ul/li[8]/span[2]/span"")"),"Loading...")</f>
        <v>Loading...</v>
      </c>
      <c r="T2819" s="4">
        <v>34.6</v>
      </c>
      <c r="U2819" s="4">
        <v>22.7</v>
      </c>
      <c r="V2819" s="4">
        <v>2.6</v>
      </c>
      <c r="W2819" s="4">
        <v>5.7</v>
      </c>
      <c r="X2819" s="4">
        <v>519.92999999999995</v>
      </c>
      <c r="Y2819" s="7" t="e">
        <f t="shared" ca="1" si="59"/>
        <v>#VALUE!</v>
      </c>
    </row>
    <row r="2820" spans="1:25" ht="15" x14ac:dyDescent="0.25">
      <c r="A2820" s="4">
        <v>2781</v>
      </c>
      <c r="C2820" s="41" t="s">
        <v>5119</v>
      </c>
      <c r="D2820" s="42"/>
      <c r="E2820" s="5" t="str">
        <f t="shared" si="55"/>
        <v>https://www.screener.in/company//consolidated/</v>
      </c>
      <c r="F2820" s="4">
        <v>443059</v>
      </c>
      <c r="G2820" s="4">
        <v>3832241897</v>
      </c>
      <c r="H2820" s="6" t="e">
        <f t="shared" ca="1" si="56"/>
        <v>#VALUE!</v>
      </c>
      <c r="I2820" s="7" t="str">
        <f ca="1">IFERROR(__xludf.DUMMYFUNCTION("IMPORTXML(E2820,""/html/body/main/div[3]/div[3]/div[2]/ul/li[5]/span[2]/span"")"),"Loading...")</f>
        <v>Loading...</v>
      </c>
      <c r="J2820" s="7" t="str">
        <f ca="1">IFERROR(__xludf.DUMMYFUNCTION("GOOGLEFINANCE(""NSE:""&amp;D2820,""marketcap"")"),"#N/A")</f>
        <v>#N/A</v>
      </c>
      <c r="K2820" s="7">
        <v>992.8</v>
      </c>
      <c r="L2820" s="8" t="str">
        <f ca="1">IFERROR(__xludf.DUMMYFUNCTION("GOOGLEFINANCE(""NSE:""&amp;D2820,""price"")"),"#N/A")</f>
        <v>#N/A</v>
      </c>
      <c r="M2820" s="9" t="e">
        <f t="shared" ca="1" si="57"/>
        <v>#VALUE!</v>
      </c>
      <c r="N2820" s="10" t="e">
        <f t="shared" ca="1" si="58"/>
        <v>#VALUE!</v>
      </c>
      <c r="O2820" s="7" t="str">
        <f ca="1">IFERROR(__xludf.DUMMYFUNCTION("GOOGLEFINANCE(""NSE:""&amp;D2820,""pe"")"),"#N/A")</f>
        <v>#N/A</v>
      </c>
      <c r="P2820" s="7" t="str">
        <f ca="1">IFERROR(__xludf.DUMMYFUNCTION("GOOGLEFINANCE(""NSE:""&amp;D2820,""EPS"")"),"#N/A")</f>
        <v>#N/A</v>
      </c>
      <c r="Q2820" s="7">
        <v>13.5</v>
      </c>
      <c r="R2820" s="7" t="str">
        <f ca="1">IFERROR(__xludf.DUMMYFUNCTION("IMPORTXML(E2820,""/html/body/main/div[3]/div[3]/div[2]/ul/li[7]/span[2]/span"")"),"Loading...")</f>
        <v>Loading...</v>
      </c>
      <c r="S2820" s="7" t="str">
        <f ca="1">IFERROR(__xludf.DUMMYFUNCTION("IMPORTXML(E2820,""/html/body/main/div[3]/div[3]/div[2]/ul/li[8]/span[2]/span"")"),"Loading...")</f>
        <v>Loading...</v>
      </c>
      <c r="T2820" s="4">
        <v>34.6</v>
      </c>
      <c r="U2820" s="4">
        <v>22.7</v>
      </c>
      <c r="V2820" s="4">
        <v>2.6</v>
      </c>
      <c r="W2820" s="4">
        <v>5.7</v>
      </c>
      <c r="X2820" s="4">
        <v>519.92999999999995</v>
      </c>
      <c r="Y2820" s="7" t="e">
        <f t="shared" ca="1" si="59"/>
        <v>#VALUE!</v>
      </c>
    </row>
    <row r="2821" spans="1:25" ht="15" x14ac:dyDescent="0.25">
      <c r="A2821" s="4">
        <v>2782</v>
      </c>
      <c r="C2821" s="41" t="s">
        <v>5120</v>
      </c>
      <c r="D2821" s="42"/>
      <c r="E2821" s="5" t="str">
        <f t="shared" si="55"/>
        <v>https://www.screener.in/company//consolidated/</v>
      </c>
      <c r="F2821" s="4">
        <v>443059</v>
      </c>
      <c r="G2821" s="4">
        <v>3832241897</v>
      </c>
      <c r="H2821" s="6" t="e">
        <f t="shared" ca="1" si="56"/>
        <v>#VALUE!</v>
      </c>
      <c r="I2821" s="7" t="str">
        <f ca="1">IFERROR(__xludf.DUMMYFUNCTION("IMPORTXML(E2821,""/html/body/main/div[3]/div[3]/div[2]/ul/li[5]/span[2]/span"")"),"Loading...")</f>
        <v>Loading...</v>
      </c>
      <c r="J2821" s="7" t="str">
        <f ca="1">IFERROR(__xludf.DUMMYFUNCTION("GOOGLEFINANCE(""NSE:""&amp;D2821,""marketcap"")"),"#N/A")</f>
        <v>#N/A</v>
      </c>
      <c r="K2821" s="7">
        <v>992.8</v>
      </c>
      <c r="L2821" s="8" t="str">
        <f ca="1">IFERROR(__xludf.DUMMYFUNCTION("GOOGLEFINANCE(""NSE:""&amp;D2821,""price"")"),"#N/A")</f>
        <v>#N/A</v>
      </c>
      <c r="M2821" s="9" t="e">
        <f t="shared" ca="1" si="57"/>
        <v>#VALUE!</v>
      </c>
      <c r="N2821" s="10" t="e">
        <f t="shared" ca="1" si="58"/>
        <v>#VALUE!</v>
      </c>
      <c r="O2821" s="7" t="str">
        <f ca="1">IFERROR(__xludf.DUMMYFUNCTION("GOOGLEFINANCE(""NSE:""&amp;D2821,""pe"")"),"#N/A")</f>
        <v>#N/A</v>
      </c>
      <c r="P2821" s="7" t="str">
        <f ca="1">IFERROR(__xludf.DUMMYFUNCTION("GOOGLEFINANCE(""NSE:""&amp;D2821,""EPS"")"),"#N/A")</f>
        <v>#N/A</v>
      </c>
      <c r="Q2821" s="7">
        <v>13.5</v>
      </c>
      <c r="R2821" s="7" t="str">
        <f ca="1">IFERROR(__xludf.DUMMYFUNCTION("IMPORTXML(E2821,""/html/body/main/div[3]/div[3]/div[2]/ul/li[7]/span[2]/span"")"),"Loading...")</f>
        <v>Loading...</v>
      </c>
      <c r="S2821" s="7" t="str">
        <f ca="1">IFERROR(__xludf.DUMMYFUNCTION("IMPORTXML(E2821,""/html/body/main/div[3]/div[3]/div[2]/ul/li[8]/span[2]/span"")"),"Loading...")</f>
        <v>Loading...</v>
      </c>
      <c r="T2821" s="4">
        <v>34.6</v>
      </c>
      <c r="U2821" s="4">
        <v>22.7</v>
      </c>
      <c r="V2821" s="4">
        <v>2.6</v>
      </c>
      <c r="W2821" s="4">
        <v>5.7</v>
      </c>
      <c r="X2821" s="4">
        <v>519.92999999999995</v>
      </c>
      <c r="Y2821" s="7" t="e">
        <f t="shared" ca="1" si="59"/>
        <v>#VALUE!</v>
      </c>
    </row>
    <row r="2822" spans="1:25" ht="15" x14ac:dyDescent="0.25">
      <c r="A2822" s="4">
        <v>2783</v>
      </c>
      <c r="C2822" s="41" t="s">
        <v>5121</v>
      </c>
      <c r="D2822" s="42"/>
      <c r="E2822" s="5" t="str">
        <f t="shared" si="55"/>
        <v>https://www.screener.in/company//consolidated/</v>
      </c>
      <c r="F2822" s="4">
        <v>443059</v>
      </c>
      <c r="G2822" s="4">
        <v>3832241897</v>
      </c>
      <c r="H2822" s="6" t="e">
        <f t="shared" ca="1" si="56"/>
        <v>#VALUE!</v>
      </c>
      <c r="I2822" s="7" t="str">
        <f ca="1">IFERROR(__xludf.DUMMYFUNCTION("IMPORTXML(E2822,""/html/body/main/div[3]/div[3]/div[2]/ul/li[5]/span[2]/span"")"),"Loading...")</f>
        <v>Loading...</v>
      </c>
      <c r="J2822" s="7" t="str">
        <f ca="1">IFERROR(__xludf.DUMMYFUNCTION("GOOGLEFINANCE(""NSE:""&amp;D2822,""marketcap"")"),"#N/A")</f>
        <v>#N/A</v>
      </c>
      <c r="K2822" s="7">
        <v>992.8</v>
      </c>
      <c r="L2822" s="8" t="str">
        <f ca="1">IFERROR(__xludf.DUMMYFUNCTION("GOOGLEFINANCE(""NSE:""&amp;D2822,""price"")"),"#N/A")</f>
        <v>#N/A</v>
      </c>
      <c r="M2822" s="9" t="e">
        <f t="shared" ca="1" si="57"/>
        <v>#VALUE!</v>
      </c>
      <c r="N2822" s="10" t="e">
        <f t="shared" ca="1" si="58"/>
        <v>#VALUE!</v>
      </c>
      <c r="O2822" s="7" t="str">
        <f ca="1">IFERROR(__xludf.DUMMYFUNCTION("GOOGLEFINANCE(""NSE:""&amp;D2822,""pe"")"),"#N/A")</f>
        <v>#N/A</v>
      </c>
      <c r="P2822" s="7" t="str">
        <f ca="1">IFERROR(__xludf.DUMMYFUNCTION("GOOGLEFINANCE(""NSE:""&amp;D2822,""EPS"")"),"#N/A")</f>
        <v>#N/A</v>
      </c>
      <c r="Q2822" s="7">
        <v>13.5</v>
      </c>
      <c r="R2822" s="7" t="str">
        <f ca="1">IFERROR(__xludf.DUMMYFUNCTION("IMPORTXML(E2822,""/html/body/main/div[3]/div[3]/div[2]/ul/li[7]/span[2]/span"")"),"Loading...")</f>
        <v>Loading...</v>
      </c>
      <c r="S2822" s="7" t="str">
        <f ca="1">IFERROR(__xludf.DUMMYFUNCTION("IMPORTXML(E2822,""/html/body/main/div[3]/div[3]/div[2]/ul/li[8]/span[2]/span"")"),"Loading...")</f>
        <v>Loading...</v>
      </c>
      <c r="T2822" s="4">
        <v>34.6</v>
      </c>
      <c r="U2822" s="4">
        <v>22.7</v>
      </c>
      <c r="V2822" s="4">
        <v>2.6</v>
      </c>
      <c r="W2822" s="4">
        <v>5.7</v>
      </c>
      <c r="X2822" s="4">
        <v>519.92999999999995</v>
      </c>
      <c r="Y2822" s="7" t="e">
        <f t="shared" ca="1" si="59"/>
        <v>#VALUE!</v>
      </c>
    </row>
    <row r="2823" spans="1:25" ht="15" x14ac:dyDescent="0.25">
      <c r="A2823" s="4">
        <v>2784</v>
      </c>
      <c r="C2823" s="41" t="s">
        <v>5122</v>
      </c>
      <c r="D2823" s="42"/>
      <c r="E2823" s="5" t="str">
        <f t="shared" si="55"/>
        <v>https://www.screener.in/company//consolidated/</v>
      </c>
      <c r="F2823" s="4">
        <v>443059</v>
      </c>
      <c r="G2823" s="4">
        <v>3832241897</v>
      </c>
      <c r="H2823" s="6" t="e">
        <f t="shared" ca="1" si="56"/>
        <v>#VALUE!</v>
      </c>
      <c r="I2823" s="7" t="str">
        <f ca="1">IFERROR(__xludf.DUMMYFUNCTION("IMPORTXML(E2823,""/html/body/main/div[3]/div[3]/div[2]/ul/li[5]/span[2]/span"")"),"Loading...")</f>
        <v>Loading...</v>
      </c>
      <c r="J2823" s="7" t="str">
        <f ca="1">IFERROR(__xludf.DUMMYFUNCTION("GOOGLEFINANCE(""NSE:""&amp;D2823,""marketcap"")"),"#N/A")</f>
        <v>#N/A</v>
      </c>
      <c r="K2823" s="7">
        <v>992.8</v>
      </c>
      <c r="L2823" s="8" t="str">
        <f ca="1">IFERROR(__xludf.DUMMYFUNCTION("GOOGLEFINANCE(""NSE:""&amp;D2823,""price"")"),"#N/A")</f>
        <v>#N/A</v>
      </c>
      <c r="M2823" s="9" t="e">
        <f t="shared" ca="1" si="57"/>
        <v>#VALUE!</v>
      </c>
      <c r="N2823" s="10" t="e">
        <f t="shared" ca="1" si="58"/>
        <v>#VALUE!</v>
      </c>
      <c r="O2823" s="7" t="str">
        <f ca="1">IFERROR(__xludf.DUMMYFUNCTION("GOOGLEFINANCE(""NSE:""&amp;D2823,""pe"")"),"#N/A")</f>
        <v>#N/A</v>
      </c>
      <c r="P2823" s="7" t="str">
        <f ca="1">IFERROR(__xludf.DUMMYFUNCTION("GOOGLEFINANCE(""NSE:""&amp;D2823,""EPS"")"),"#N/A")</f>
        <v>#N/A</v>
      </c>
      <c r="Q2823" s="7">
        <v>13.5</v>
      </c>
      <c r="R2823" s="7" t="str">
        <f ca="1">IFERROR(__xludf.DUMMYFUNCTION("IMPORTXML(E2823,""/html/body/main/div[3]/div[3]/div[2]/ul/li[7]/span[2]/span"")"),"Loading...")</f>
        <v>Loading...</v>
      </c>
      <c r="S2823" s="7" t="str">
        <f ca="1">IFERROR(__xludf.DUMMYFUNCTION("IMPORTXML(E2823,""/html/body/main/div[3]/div[3]/div[2]/ul/li[8]/span[2]/span"")"),"Loading...")</f>
        <v>Loading...</v>
      </c>
      <c r="T2823" s="4">
        <v>34.6</v>
      </c>
      <c r="U2823" s="4">
        <v>22.7</v>
      </c>
      <c r="V2823" s="4">
        <v>2.6</v>
      </c>
      <c r="W2823" s="4">
        <v>5.7</v>
      </c>
      <c r="X2823" s="4">
        <v>519.92999999999995</v>
      </c>
      <c r="Y2823" s="7" t="e">
        <f t="shared" ca="1" si="59"/>
        <v>#VALUE!</v>
      </c>
    </row>
    <row r="2824" spans="1:25" ht="15" x14ac:dyDescent="0.25">
      <c r="A2824" s="4">
        <v>2785</v>
      </c>
      <c r="C2824" s="41" t="s">
        <v>5123</v>
      </c>
      <c r="D2824" s="42"/>
      <c r="E2824" s="5" t="str">
        <f t="shared" si="55"/>
        <v>https://www.screener.in/company//consolidated/</v>
      </c>
      <c r="F2824" s="4">
        <v>443059</v>
      </c>
      <c r="G2824" s="4">
        <v>3832241897</v>
      </c>
      <c r="H2824" s="6" t="e">
        <f t="shared" ca="1" si="56"/>
        <v>#VALUE!</v>
      </c>
      <c r="I2824" s="7" t="str">
        <f ca="1">IFERROR(__xludf.DUMMYFUNCTION("IMPORTXML(E2824,""/html/body/main/div[3]/div[3]/div[2]/ul/li[5]/span[2]/span"")"),"Loading...")</f>
        <v>Loading...</v>
      </c>
      <c r="J2824" s="7" t="str">
        <f ca="1">IFERROR(__xludf.DUMMYFUNCTION("GOOGLEFINANCE(""NSE:""&amp;D2824,""marketcap"")"),"#N/A")</f>
        <v>#N/A</v>
      </c>
      <c r="K2824" s="7">
        <v>992.8</v>
      </c>
      <c r="L2824" s="8" t="str">
        <f ca="1">IFERROR(__xludf.DUMMYFUNCTION("GOOGLEFINANCE(""NSE:""&amp;D2824,""price"")"),"#N/A")</f>
        <v>#N/A</v>
      </c>
      <c r="M2824" s="9" t="e">
        <f t="shared" ca="1" si="57"/>
        <v>#VALUE!</v>
      </c>
      <c r="N2824" s="10" t="e">
        <f t="shared" ca="1" si="58"/>
        <v>#VALUE!</v>
      </c>
      <c r="O2824" s="7" t="str">
        <f ca="1">IFERROR(__xludf.DUMMYFUNCTION("GOOGLEFINANCE(""NSE:""&amp;D2824,""pe"")"),"#N/A")</f>
        <v>#N/A</v>
      </c>
      <c r="P2824" s="7" t="str">
        <f ca="1">IFERROR(__xludf.DUMMYFUNCTION("GOOGLEFINANCE(""NSE:""&amp;D2824,""EPS"")"),"#N/A")</f>
        <v>#N/A</v>
      </c>
      <c r="Q2824" s="7">
        <v>13.5</v>
      </c>
      <c r="R2824" s="7" t="str">
        <f ca="1">IFERROR(__xludf.DUMMYFUNCTION("IMPORTXML(E2824,""/html/body/main/div[3]/div[3]/div[2]/ul/li[7]/span[2]/span"")"),"Loading...")</f>
        <v>Loading...</v>
      </c>
      <c r="S2824" s="7" t="str">
        <f ca="1">IFERROR(__xludf.DUMMYFUNCTION("IMPORTXML(E2824,""/html/body/main/div[3]/div[3]/div[2]/ul/li[8]/span[2]/span"")"),"Loading...")</f>
        <v>Loading...</v>
      </c>
      <c r="T2824" s="4">
        <v>34.6</v>
      </c>
      <c r="U2824" s="4">
        <v>22.7</v>
      </c>
      <c r="V2824" s="4">
        <v>2.6</v>
      </c>
      <c r="W2824" s="4">
        <v>5.7</v>
      </c>
      <c r="X2824" s="4">
        <v>519.92999999999995</v>
      </c>
      <c r="Y2824" s="7" t="e">
        <f t="shared" ca="1" si="59"/>
        <v>#VALUE!</v>
      </c>
    </row>
    <row r="2825" spans="1:25" ht="15" x14ac:dyDescent="0.25">
      <c r="A2825" s="4">
        <v>2786</v>
      </c>
      <c r="C2825" s="41" t="s">
        <v>5124</v>
      </c>
      <c r="D2825" s="42"/>
      <c r="E2825" s="5" t="str">
        <f t="shared" si="55"/>
        <v>https://www.screener.in/company//consolidated/</v>
      </c>
      <c r="F2825" s="4">
        <v>443059</v>
      </c>
      <c r="G2825" s="4">
        <v>3832241897</v>
      </c>
      <c r="H2825" s="6" t="e">
        <f t="shared" ca="1" si="56"/>
        <v>#VALUE!</v>
      </c>
      <c r="I2825" s="7" t="str">
        <f ca="1">IFERROR(__xludf.DUMMYFUNCTION("IMPORTXML(E2825,""/html/body/main/div[3]/div[3]/div[2]/ul/li[5]/span[2]/span"")"),"Loading...")</f>
        <v>Loading...</v>
      </c>
      <c r="J2825" s="7" t="str">
        <f ca="1">IFERROR(__xludf.DUMMYFUNCTION("GOOGLEFINANCE(""NSE:""&amp;D2825,""marketcap"")"),"#N/A")</f>
        <v>#N/A</v>
      </c>
      <c r="K2825" s="7">
        <v>992.8</v>
      </c>
      <c r="L2825" s="8" t="str">
        <f ca="1">IFERROR(__xludf.DUMMYFUNCTION("GOOGLEFINANCE(""NSE:""&amp;D2825,""price"")"),"#N/A")</f>
        <v>#N/A</v>
      </c>
      <c r="M2825" s="9" t="e">
        <f t="shared" ca="1" si="57"/>
        <v>#VALUE!</v>
      </c>
      <c r="N2825" s="10" t="e">
        <f t="shared" ca="1" si="58"/>
        <v>#VALUE!</v>
      </c>
      <c r="O2825" s="7" t="str">
        <f ca="1">IFERROR(__xludf.DUMMYFUNCTION("GOOGLEFINANCE(""NSE:""&amp;D2825,""pe"")"),"#N/A")</f>
        <v>#N/A</v>
      </c>
      <c r="P2825" s="7" t="str">
        <f ca="1">IFERROR(__xludf.DUMMYFUNCTION("GOOGLEFINANCE(""NSE:""&amp;D2825,""EPS"")"),"#N/A")</f>
        <v>#N/A</v>
      </c>
      <c r="Q2825" s="7">
        <v>13.5</v>
      </c>
      <c r="R2825" s="7" t="str">
        <f ca="1">IFERROR(__xludf.DUMMYFUNCTION("IMPORTXML(E2825,""/html/body/main/div[3]/div[3]/div[2]/ul/li[7]/span[2]/span"")"),"Loading...")</f>
        <v>Loading...</v>
      </c>
      <c r="S2825" s="7" t="str">
        <f ca="1">IFERROR(__xludf.DUMMYFUNCTION("IMPORTXML(E2825,""/html/body/main/div[3]/div[3]/div[2]/ul/li[8]/span[2]/span"")"),"Loading...")</f>
        <v>Loading...</v>
      </c>
      <c r="T2825" s="4">
        <v>34.6</v>
      </c>
      <c r="U2825" s="4">
        <v>22.7</v>
      </c>
      <c r="V2825" s="4">
        <v>2.6</v>
      </c>
      <c r="W2825" s="4">
        <v>5.7</v>
      </c>
      <c r="X2825" s="4">
        <v>519.92999999999995</v>
      </c>
      <c r="Y2825" s="7" t="e">
        <f t="shared" ca="1" si="59"/>
        <v>#VALUE!</v>
      </c>
    </row>
    <row r="2826" spans="1:25" ht="15" x14ac:dyDescent="0.25">
      <c r="A2826" s="4">
        <v>2787</v>
      </c>
      <c r="C2826" s="41" t="s">
        <v>5125</v>
      </c>
      <c r="D2826" s="42"/>
      <c r="E2826" s="5" t="str">
        <f t="shared" si="55"/>
        <v>https://www.screener.in/company//consolidated/</v>
      </c>
      <c r="F2826" s="4">
        <v>443059</v>
      </c>
      <c r="G2826" s="4">
        <v>3832241897</v>
      </c>
      <c r="H2826" s="6" t="e">
        <f t="shared" ca="1" si="56"/>
        <v>#VALUE!</v>
      </c>
      <c r="I2826" s="7" t="str">
        <f ca="1">IFERROR(__xludf.DUMMYFUNCTION("IMPORTXML(E2826,""/html/body/main/div[3]/div[3]/div[2]/ul/li[5]/span[2]/span"")"),"Loading...")</f>
        <v>Loading...</v>
      </c>
      <c r="J2826" s="7" t="str">
        <f ca="1">IFERROR(__xludf.DUMMYFUNCTION("GOOGLEFINANCE(""NSE:""&amp;D2826,""marketcap"")"),"#N/A")</f>
        <v>#N/A</v>
      </c>
      <c r="K2826" s="7">
        <v>992.8</v>
      </c>
      <c r="L2826" s="8" t="str">
        <f ca="1">IFERROR(__xludf.DUMMYFUNCTION("GOOGLEFINANCE(""NSE:""&amp;D2826,""price"")"),"#N/A")</f>
        <v>#N/A</v>
      </c>
      <c r="M2826" s="9" t="e">
        <f t="shared" ca="1" si="57"/>
        <v>#VALUE!</v>
      </c>
      <c r="N2826" s="10" t="e">
        <f t="shared" ca="1" si="58"/>
        <v>#VALUE!</v>
      </c>
      <c r="O2826" s="7" t="str">
        <f ca="1">IFERROR(__xludf.DUMMYFUNCTION("GOOGLEFINANCE(""NSE:""&amp;D2826,""pe"")"),"#N/A")</f>
        <v>#N/A</v>
      </c>
      <c r="P2826" s="7" t="str">
        <f ca="1">IFERROR(__xludf.DUMMYFUNCTION("GOOGLEFINANCE(""NSE:""&amp;D2826,""EPS"")"),"#N/A")</f>
        <v>#N/A</v>
      </c>
      <c r="Q2826" s="7">
        <v>13.5</v>
      </c>
      <c r="R2826" s="7" t="str">
        <f ca="1">IFERROR(__xludf.DUMMYFUNCTION("IMPORTXML(E2826,""/html/body/main/div[3]/div[3]/div[2]/ul/li[7]/span[2]/span"")"),"Loading...")</f>
        <v>Loading...</v>
      </c>
      <c r="S2826" s="7" t="str">
        <f ca="1">IFERROR(__xludf.DUMMYFUNCTION("IMPORTXML(E2826,""/html/body/main/div[3]/div[3]/div[2]/ul/li[8]/span[2]/span"")"),"Loading...")</f>
        <v>Loading...</v>
      </c>
      <c r="T2826" s="4">
        <v>34.6</v>
      </c>
      <c r="U2826" s="4">
        <v>22.7</v>
      </c>
      <c r="V2826" s="4">
        <v>2.6</v>
      </c>
      <c r="W2826" s="4">
        <v>5.7</v>
      </c>
      <c r="X2826" s="4">
        <v>519.92999999999995</v>
      </c>
      <c r="Y2826" s="7" t="e">
        <f t="shared" ca="1" si="59"/>
        <v>#VALUE!</v>
      </c>
    </row>
    <row r="2827" spans="1:25" ht="15" x14ac:dyDescent="0.25">
      <c r="A2827" s="4">
        <v>2788</v>
      </c>
      <c r="C2827" s="41" t="s">
        <v>5126</v>
      </c>
      <c r="D2827" s="42"/>
      <c r="E2827" s="5" t="str">
        <f t="shared" si="55"/>
        <v>https://www.screener.in/company//consolidated/</v>
      </c>
      <c r="F2827" s="4">
        <v>443059</v>
      </c>
      <c r="G2827" s="4">
        <v>3832241897</v>
      </c>
      <c r="H2827" s="6" t="e">
        <f t="shared" ca="1" si="56"/>
        <v>#VALUE!</v>
      </c>
      <c r="I2827" s="7" t="str">
        <f ca="1">IFERROR(__xludf.DUMMYFUNCTION("IMPORTXML(E2827,""/html/body/main/div[3]/div[3]/div[2]/ul/li[5]/span[2]/span"")"),"Loading...")</f>
        <v>Loading...</v>
      </c>
      <c r="J2827" s="7" t="str">
        <f ca="1">IFERROR(__xludf.DUMMYFUNCTION("GOOGLEFINANCE(""NSE:""&amp;D2827,""marketcap"")"),"#N/A")</f>
        <v>#N/A</v>
      </c>
      <c r="K2827" s="7">
        <v>992.8</v>
      </c>
      <c r="L2827" s="8" t="str">
        <f ca="1">IFERROR(__xludf.DUMMYFUNCTION("GOOGLEFINANCE(""NSE:""&amp;D2827,""price"")"),"#N/A")</f>
        <v>#N/A</v>
      </c>
      <c r="M2827" s="9" t="e">
        <f t="shared" ca="1" si="57"/>
        <v>#VALUE!</v>
      </c>
      <c r="N2827" s="10" t="e">
        <f t="shared" ca="1" si="58"/>
        <v>#VALUE!</v>
      </c>
      <c r="O2827" s="7" t="str">
        <f ca="1">IFERROR(__xludf.DUMMYFUNCTION("GOOGLEFINANCE(""NSE:""&amp;D2827,""pe"")"),"#N/A")</f>
        <v>#N/A</v>
      </c>
      <c r="P2827" s="7" t="str">
        <f ca="1">IFERROR(__xludf.DUMMYFUNCTION("GOOGLEFINANCE(""NSE:""&amp;D2827,""EPS"")"),"#N/A")</f>
        <v>#N/A</v>
      </c>
      <c r="Q2827" s="7">
        <v>13.5</v>
      </c>
      <c r="R2827" s="7" t="str">
        <f ca="1">IFERROR(__xludf.DUMMYFUNCTION("IMPORTXML(E2827,""/html/body/main/div[3]/div[3]/div[2]/ul/li[7]/span[2]/span"")"),"Loading...")</f>
        <v>Loading...</v>
      </c>
      <c r="S2827" s="7" t="str">
        <f ca="1">IFERROR(__xludf.DUMMYFUNCTION("IMPORTXML(E2827,""/html/body/main/div[3]/div[3]/div[2]/ul/li[8]/span[2]/span"")"),"Loading...")</f>
        <v>Loading...</v>
      </c>
      <c r="T2827" s="4">
        <v>34.6</v>
      </c>
      <c r="U2827" s="4">
        <v>22.7</v>
      </c>
      <c r="V2827" s="4">
        <v>2.6</v>
      </c>
      <c r="W2827" s="4">
        <v>5.7</v>
      </c>
      <c r="X2827" s="4">
        <v>519.92999999999995</v>
      </c>
      <c r="Y2827" s="7" t="e">
        <f t="shared" ca="1" si="59"/>
        <v>#VALUE!</v>
      </c>
    </row>
    <row r="2828" spans="1:25" ht="15" x14ac:dyDescent="0.25">
      <c r="A2828" s="4">
        <v>2789</v>
      </c>
      <c r="C2828" s="41" t="s">
        <v>5127</v>
      </c>
      <c r="D2828" s="42"/>
      <c r="E2828" s="5" t="str">
        <f t="shared" si="55"/>
        <v>https://www.screener.in/company//consolidated/</v>
      </c>
      <c r="F2828" s="4">
        <v>443059</v>
      </c>
      <c r="G2828" s="4">
        <v>3832241897</v>
      </c>
      <c r="H2828" s="6" t="e">
        <f t="shared" ca="1" si="56"/>
        <v>#VALUE!</v>
      </c>
      <c r="I2828" s="7" t="str">
        <f ca="1">IFERROR(__xludf.DUMMYFUNCTION("IMPORTXML(E2828,""/html/body/main/div[3]/div[3]/div[2]/ul/li[5]/span[2]/span"")"),"Loading...")</f>
        <v>Loading...</v>
      </c>
      <c r="J2828" s="7" t="str">
        <f ca="1">IFERROR(__xludf.DUMMYFUNCTION("GOOGLEFINANCE(""NSE:""&amp;D2828,""marketcap"")"),"#N/A")</f>
        <v>#N/A</v>
      </c>
      <c r="K2828" s="7">
        <v>992.8</v>
      </c>
      <c r="L2828" s="8" t="str">
        <f ca="1">IFERROR(__xludf.DUMMYFUNCTION("GOOGLEFINANCE(""NSE:""&amp;D2828,""price"")"),"#N/A")</f>
        <v>#N/A</v>
      </c>
      <c r="M2828" s="9" t="e">
        <f t="shared" ca="1" si="57"/>
        <v>#VALUE!</v>
      </c>
      <c r="N2828" s="10" t="e">
        <f t="shared" ca="1" si="58"/>
        <v>#VALUE!</v>
      </c>
      <c r="O2828" s="7" t="str">
        <f ca="1">IFERROR(__xludf.DUMMYFUNCTION("GOOGLEFINANCE(""NSE:""&amp;D2828,""pe"")"),"#N/A")</f>
        <v>#N/A</v>
      </c>
      <c r="P2828" s="7" t="str">
        <f ca="1">IFERROR(__xludf.DUMMYFUNCTION("GOOGLEFINANCE(""NSE:""&amp;D2828,""EPS"")"),"#N/A")</f>
        <v>#N/A</v>
      </c>
      <c r="Q2828" s="7">
        <v>13.5</v>
      </c>
      <c r="R2828" s="7" t="str">
        <f ca="1">IFERROR(__xludf.DUMMYFUNCTION("IMPORTXML(E2828,""/html/body/main/div[3]/div[3]/div[2]/ul/li[7]/span[2]/span"")"),"Loading...")</f>
        <v>Loading...</v>
      </c>
      <c r="S2828" s="7" t="str">
        <f ca="1">IFERROR(__xludf.DUMMYFUNCTION("IMPORTXML(E2828,""/html/body/main/div[3]/div[3]/div[2]/ul/li[8]/span[2]/span"")"),"Loading...")</f>
        <v>Loading...</v>
      </c>
      <c r="T2828" s="4">
        <v>34.6</v>
      </c>
      <c r="U2828" s="4">
        <v>22.7</v>
      </c>
      <c r="V2828" s="4">
        <v>2.6</v>
      </c>
      <c r="W2828" s="4">
        <v>5.7</v>
      </c>
      <c r="X2828" s="4">
        <v>519.92999999999995</v>
      </c>
      <c r="Y2828" s="7" t="e">
        <f t="shared" ca="1" si="59"/>
        <v>#VALUE!</v>
      </c>
    </row>
    <row r="2829" spans="1:25" ht="15" x14ac:dyDescent="0.25">
      <c r="A2829" s="4">
        <v>2790</v>
      </c>
      <c r="C2829" s="41" t="s">
        <v>5128</v>
      </c>
      <c r="D2829" s="42"/>
      <c r="E2829" s="5" t="str">
        <f t="shared" si="55"/>
        <v>https://www.screener.in/company//consolidated/</v>
      </c>
      <c r="F2829" s="4">
        <v>443059</v>
      </c>
      <c r="G2829" s="4">
        <v>3832241897</v>
      </c>
      <c r="H2829" s="6" t="e">
        <f t="shared" ca="1" si="56"/>
        <v>#VALUE!</v>
      </c>
      <c r="I2829" s="7" t="str">
        <f ca="1">IFERROR(__xludf.DUMMYFUNCTION("IMPORTXML(E2829,""/html/body/main/div[3]/div[3]/div[2]/ul/li[5]/span[2]/span"")"),"Loading...")</f>
        <v>Loading...</v>
      </c>
      <c r="J2829" s="7" t="str">
        <f ca="1">IFERROR(__xludf.DUMMYFUNCTION("GOOGLEFINANCE(""NSE:""&amp;D2829,""marketcap"")"),"#N/A")</f>
        <v>#N/A</v>
      </c>
      <c r="K2829" s="7">
        <v>992.8</v>
      </c>
      <c r="L2829" s="8" t="str">
        <f ca="1">IFERROR(__xludf.DUMMYFUNCTION("GOOGLEFINANCE(""NSE:""&amp;D2829,""price"")"),"#N/A")</f>
        <v>#N/A</v>
      </c>
      <c r="M2829" s="9" t="e">
        <f t="shared" ca="1" si="57"/>
        <v>#VALUE!</v>
      </c>
      <c r="N2829" s="10" t="e">
        <f t="shared" ca="1" si="58"/>
        <v>#VALUE!</v>
      </c>
      <c r="O2829" s="7" t="str">
        <f ca="1">IFERROR(__xludf.DUMMYFUNCTION("GOOGLEFINANCE(""NSE:""&amp;D2829,""pe"")"),"#N/A")</f>
        <v>#N/A</v>
      </c>
      <c r="P2829" s="7" t="str">
        <f ca="1">IFERROR(__xludf.DUMMYFUNCTION("GOOGLEFINANCE(""NSE:""&amp;D2829,""EPS"")"),"#N/A")</f>
        <v>#N/A</v>
      </c>
      <c r="Q2829" s="7">
        <v>13.5</v>
      </c>
      <c r="R2829" s="7" t="str">
        <f ca="1">IFERROR(__xludf.DUMMYFUNCTION("IMPORTXML(E2829,""/html/body/main/div[3]/div[3]/div[2]/ul/li[7]/span[2]/span"")"),"Loading...")</f>
        <v>Loading...</v>
      </c>
      <c r="S2829" s="7" t="str">
        <f ca="1">IFERROR(__xludf.DUMMYFUNCTION("IMPORTXML(E2829,""/html/body/main/div[3]/div[3]/div[2]/ul/li[8]/span[2]/span"")"),"Loading...")</f>
        <v>Loading...</v>
      </c>
      <c r="T2829" s="4">
        <v>34.6</v>
      </c>
      <c r="U2829" s="4">
        <v>22.7</v>
      </c>
      <c r="V2829" s="4">
        <v>2.6</v>
      </c>
      <c r="W2829" s="4">
        <v>5.7</v>
      </c>
      <c r="X2829" s="4">
        <v>519.92999999999995</v>
      </c>
      <c r="Y2829" s="7" t="e">
        <f t="shared" ca="1" si="59"/>
        <v>#VALUE!</v>
      </c>
    </row>
    <row r="2830" spans="1:25" ht="15" x14ac:dyDescent="0.25">
      <c r="A2830" s="4">
        <v>2791</v>
      </c>
      <c r="C2830" s="41" t="s">
        <v>5129</v>
      </c>
      <c r="D2830" s="42"/>
      <c r="E2830" s="5" t="str">
        <f t="shared" si="55"/>
        <v>https://www.screener.in/company//consolidated/</v>
      </c>
      <c r="F2830" s="4">
        <v>443059</v>
      </c>
      <c r="G2830" s="4">
        <v>3832241897</v>
      </c>
      <c r="H2830" s="6" t="e">
        <f t="shared" ca="1" si="56"/>
        <v>#VALUE!</v>
      </c>
      <c r="I2830" s="7" t="str">
        <f ca="1">IFERROR(__xludf.DUMMYFUNCTION("IMPORTXML(E2830,""/html/body/main/div[3]/div[3]/div[2]/ul/li[5]/span[2]/span"")"),"Loading...")</f>
        <v>Loading...</v>
      </c>
      <c r="J2830" s="7" t="str">
        <f ca="1">IFERROR(__xludf.DUMMYFUNCTION("GOOGLEFINANCE(""NSE:""&amp;D2830,""marketcap"")"),"#N/A")</f>
        <v>#N/A</v>
      </c>
      <c r="K2830" s="7">
        <v>992.8</v>
      </c>
      <c r="L2830" s="8" t="str">
        <f ca="1">IFERROR(__xludf.DUMMYFUNCTION("GOOGLEFINANCE(""NSE:""&amp;D2830,""price"")"),"#N/A")</f>
        <v>#N/A</v>
      </c>
      <c r="M2830" s="9" t="e">
        <f t="shared" ca="1" si="57"/>
        <v>#VALUE!</v>
      </c>
      <c r="N2830" s="10" t="e">
        <f t="shared" ca="1" si="58"/>
        <v>#VALUE!</v>
      </c>
      <c r="O2830" s="7" t="str">
        <f ca="1">IFERROR(__xludf.DUMMYFUNCTION("GOOGLEFINANCE(""NSE:""&amp;D2830,""pe"")"),"#N/A")</f>
        <v>#N/A</v>
      </c>
      <c r="P2830" s="7" t="str">
        <f ca="1">IFERROR(__xludf.DUMMYFUNCTION("GOOGLEFINANCE(""NSE:""&amp;D2830,""EPS"")"),"#N/A")</f>
        <v>#N/A</v>
      </c>
      <c r="Q2830" s="7">
        <v>13.5</v>
      </c>
      <c r="R2830" s="7" t="str">
        <f ca="1">IFERROR(__xludf.DUMMYFUNCTION("IMPORTXML(E2830,""/html/body/main/div[3]/div[3]/div[2]/ul/li[7]/span[2]/span"")"),"Loading...")</f>
        <v>Loading...</v>
      </c>
      <c r="S2830" s="7" t="str">
        <f ca="1">IFERROR(__xludf.DUMMYFUNCTION("IMPORTXML(E2830,""/html/body/main/div[3]/div[3]/div[2]/ul/li[8]/span[2]/span"")"),"Loading...")</f>
        <v>Loading...</v>
      </c>
      <c r="T2830" s="4">
        <v>34.6</v>
      </c>
      <c r="U2830" s="4">
        <v>22.7</v>
      </c>
      <c r="V2830" s="4">
        <v>2.6</v>
      </c>
      <c r="W2830" s="4">
        <v>5.7</v>
      </c>
      <c r="X2830" s="4">
        <v>519.92999999999995</v>
      </c>
      <c r="Y2830" s="7" t="e">
        <f t="shared" ca="1" si="59"/>
        <v>#VALUE!</v>
      </c>
    </row>
    <row r="2831" spans="1:25" ht="15" x14ac:dyDescent="0.25">
      <c r="A2831" s="4">
        <v>2792</v>
      </c>
      <c r="C2831" s="41" t="s">
        <v>5130</v>
      </c>
      <c r="D2831" s="42"/>
      <c r="E2831" s="5" t="str">
        <f t="shared" si="55"/>
        <v>https://www.screener.in/company//consolidated/</v>
      </c>
      <c r="F2831" s="4">
        <v>443059</v>
      </c>
      <c r="G2831" s="4">
        <v>3832241897</v>
      </c>
      <c r="H2831" s="6" t="e">
        <f t="shared" ca="1" si="56"/>
        <v>#VALUE!</v>
      </c>
      <c r="I2831" s="7" t="str">
        <f ca="1">IFERROR(__xludf.DUMMYFUNCTION("IMPORTXML(E2831,""/html/body/main/div[3]/div[3]/div[2]/ul/li[5]/span[2]/span"")"),"Loading...")</f>
        <v>Loading...</v>
      </c>
      <c r="J2831" s="7" t="str">
        <f ca="1">IFERROR(__xludf.DUMMYFUNCTION("GOOGLEFINANCE(""NSE:""&amp;D2831,""marketcap"")"),"#N/A")</f>
        <v>#N/A</v>
      </c>
      <c r="K2831" s="7">
        <v>992.8</v>
      </c>
      <c r="L2831" s="8" t="str">
        <f ca="1">IFERROR(__xludf.DUMMYFUNCTION("GOOGLEFINANCE(""NSE:""&amp;D2831,""price"")"),"#N/A")</f>
        <v>#N/A</v>
      </c>
      <c r="M2831" s="9" t="e">
        <f t="shared" ca="1" si="57"/>
        <v>#VALUE!</v>
      </c>
      <c r="N2831" s="10" t="e">
        <f t="shared" ca="1" si="58"/>
        <v>#VALUE!</v>
      </c>
      <c r="O2831" s="7" t="str">
        <f ca="1">IFERROR(__xludf.DUMMYFUNCTION("GOOGLEFINANCE(""NSE:""&amp;D2831,""pe"")"),"#N/A")</f>
        <v>#N/A</v>
      </c>
      <c r="P2831" s="7" t="str">
        <f ca="1">IFERROR(__xludf.DUMMYFUNCTION("GOOGLEFINANCE(""NSE:""&amp;D2831,""EPS"")"),"#N/A")</f>
        <v>#N/A</v>
      </c>
      <c r="Q2831" s="7">
        <v>13.5</v>
      </c>
      <c r="R2831" s="7" t="str">
        <f ca="1">IFERROR(__xludf.DUMMYFUNCTION("IMPORTXML(E2831,""/html/body/main/div[3]/div[3]/div[2]/ul/li[7]/span[2]/span"")"),"Loading...")</f>
        <v>Loading...</v>
      </c>
      <c r="S2831" s="7" t="str">
        <f ca="1">IFERROR(__xludf.DUMMYFUNCTION("IMPORTXML(E2831,""/html/body/main/div[3]/div[3]/div[2]/ul/li[8]/span[2]/span"")"),"Loading...")</f>
        <v>Loading...</v>
      </c>
      <c r="T2831" s="4">
        <v>34.6</v>
      </c>
      <c r="U2831" s="4">
        <v>22.7</v>
      </c>
      <c r="V2831" s="4">
        <v>2.6</v>
      </c>
      <c r="W2831" s="4">
        <v>5.7</v>
      </c>
      <c r="X2831" s="4">
        <v>519.92999999999995</v>
      </c>
      <c r="Y2831" s="7" t="e">
        <f t="shared" ca="1" si="59"/>
        <v>#VALUE!</v>
      </c>
    </row>
    <row r="2832" spans="1:25" ht="15" x14ac:dyDescent="0.25">
      <c r="A2832" s="4">
        <v>2793</v>
      </c>
      <c r="C2832" s="41" t="s">
        <v>5131</v>
      </c>
      <c r="D2832" s="42"/>
      <c r="E2832" s="5" t="str">
        <f t="shared" si="55"/>
        <v>https://www.screener.in/company//consolidated/</v>
      </c>
      <c r="F2832" s="4">
        <v>443059</v>
      </c>
      <c r="G2832" s="4">
        <v>3832241897</v>
      </c>
      <c r="H2832" s="6" t="e">
        <f t="shared" ca="1" si="56"/>
        <v>#VALUE!</v>
      </c>
      <c r="I2832" s="7" t="str">
        <f ca="1">IFERROR(__xludf.DUMMYFUNCTION("IMPORTXML(E2832,""/html/body/main/div[3]/div[3]/div[2]/ul/li[5]/span[2]/span"")"),"Loading...")</f>
        <v>Loading...</v>
      </c>
      <c r="J2832" s="7" t="str">
        <f ca="1">IFERROR(__xludf.DUMMYFUNCTION("GOOGLEFINANCE(""NSE:""&amp;D2832,""marketcap"")"),"#N/A")</f>
        <v>#N/A</v>
      </c>
      <c r="K2832" s="7">
        <v>992.8</v>
      </c>
      <c r="L2832" s="8" t="str">
        <f ca="1">IFERROR(__xludf.DUMMYFUNCTION("GOOGLEFINANCE(""NSE:""&amp;D2832,""price"")"),"#N/A")</f>
        <v>#N/A</v>
      </c>
      <c r="M2832" s="9" t="e">
        <f t="shared" ca="1" si="57"/>
        <v>#VALUE!</v>
      </c>
      <c r="N2832" s="10" t="e">
        <f t="shared" ca="1" si="58"/>
        <v>#VALUE!</v>
      </c>
      <c r="O2832" s="7" t="str">
        <f ca="1">IFERROR(__xludf.DUMMYFUNCTION("GOOGLEFINANCE(""NSE:""&amp;D2832,""pe"")"),"#N/A")</f>
        <v>#N/A</v>
      </c>
      <c r="P2832" s="7" t="str">
        <f ca="1">IFERROR(__xludf.DUMMYFUNCTION("GOOGLEFINANCE(""NSE:""&amp;D2832,""EPS"")"),"#N/A")</f>
        <v>#N/A</v>
      </c>
      <c r="Q2832" s="7">
        <v>13.5</v>
      </c>
      <c r="R2832" s="7" t="str">
        <f ca="1">IFERROR(__xludf.DUMMYFUNCTION("IMPORTXML(E2832,""/html/body/main/div[3]/div[3]/div[2]/ul/li[7]/span[2]/span"")"),"Loading...")</f>
        <v>Loading...</v>
      </c>
      <c r="S2832" s="7" t="str">
        <f ca="1">IFERROR(__xludf.DUMMYFUNCTION("IMPORTXML(E2832,""/html/body/main/div[3]/div[3]/div[2]/ul/li[8]/span[2]/span"")"),"Loading...")</f>
        <v>Loading...</v>
      </c>
      <c r="T2832" s="4">
        <v>34.6</v>
      </c>
      <c r="U2832" s="4">
        <v>22.7</v>
      </c>
      <c r="V2832" s="4">
        <v>2.6</v>
      </c>
      <c r="W2832" s="4">
        <v>5.7</v>
      </c>
      <c r="X2832" s="4">
        <v>519.92999999999995</v>
      </c>
      <c r="Y2832" s="7" t="e">
        <f t="shared" ca="1" si="59"/>
        <v>#VALUE!</v>
      </c>
    </row>
    <row r="2833" spans="1:25" ht="15" x14ac:dyDescent="0.25">
      <c r="A2833" s="4">
        <v>2794</v>
      </c>
      <c r="C2833" s="12" t="s">
        <v>5132</v>
      </c>
      <c r="D2833" s="12" t="s">
        <v>5133</v>
      </c>
      <c r="E2833" s="5" t="str">
        <f t="shared" si="55"/>
        <v>https://www.screener.in/company/ROLTA/consolidated/</v>
      </c>
      <c r="F2833" s="4">
        <v>443059</v>
      </c>
      <c r="G2833" s="4">
        <v>3832241897</v>
      </c>
      <c r="H2833" s="6">
        <f t="shared" ca="1" si="56"/>
        <v>774.11286319400006</v>
      </c>
      <c r="I2833" s="7" t="str">
        <f ca="1">IFERROR(__xludf.DUMMYFUNCTION("IMPORTXML(E2833,""/html/body/main/div[3]/div[3]/div[2]/ul/li[5]/span[2]/span"")"),"Loading...")</f>
        <v>Loading...</v>
      </c>
      <c r="J2833" s="7">
        <f ca="1">IFERROR(__xludf.DUMMYFUNCTION("GOOGLEFINANCE(""NSE:""&amp;D2833,""marketcap"")"),331782600)</f>
        <v>331782600</v>
      </c>
      <c r="K2833" s="7">
        <v>992.8</v>
      </c>
      <c r="L2833" s="8">
        <f ca="1">IFERROR(__xludf.DUMMYFUNCTION("GOOGLEFINANCE(""NSE:""&amp;D2833,""price"")"),2.02)</f>
        <v>2.02</v>
      </c>
      <c r="M2833" s="9">
        <f t="shared" ca="1" si="57"/>
        <v>-990.78</v>
      </c>
      <c r="N2833" s="10">
        <f t="shared" ca="1" si="58"/>
        <v>-99.796535052377124</v>
      </c>
      <c r="O2833" s="7" t="str">
        <f ca="1">IFERROR(__xludf.DUMMYFUNCTION("GOOGLEFINANCE(""NSE:""&amp;D2833,""pe"")"),"#N/A")</f>
        <v>#N/A</v>
      </c>
      <c r="P2833" s="7">
        <f ca="1">IFERROR(__xludf.DUMMYFUNCTION("GOOGLEFINANCE(""NSE:""&amp;D2833,""EPS"")"),-1.54)</f>
        <v>-1.54</v>
      </c>
      <c r="Q2833" s="7">
        <v>13.5</v>
      </c>
      <c r="R2833" s="7" t="str">
        <f ca="1">IFERROR(__xludf.DUMMYFUNCTION("IMPORTXML(E2833,""/html/body/main/div[3]/div[3]/div[2]/ul/li[7]/span[2]/span"")"),"Loading...")</f>
        <v>Loading...</v>
      </c>
      <c r="S2833" s="7" t="str">
        <f ca="1">IFERROR(__xludf.DUMMYFUNCTION("IMPORTXML(E2833,""/html/body/main/div[3]/div[3]/div[2]/ul/li[8]/span[2]/span"")"),"Loading...")</f>
        <v>Loading...</v>
      </c>
      <c r="T2833" s="4">
        <v>34.6</v>
      </c>
      <c r="U2833" s="4">
        <v>22.7</v>
      </c>
      <c r="V2833" s="4">
        <v>2.6</v>
      </c>
      <c r="W2833" s="4">
        <v>5.7</v>
      </c>
      <c r="X2833" s="4">
        <v>519.92999999999995</v>
      </c>
      <c r="Y2833" s="7">
        <f t="shared" ca="1" si="59"/>
        <v>-517.91</v>
      </c>
    </row>
    <row r="2834" spans="1:25" ht="15" x14ac:dyDescent="0.25">
      <c r="A2834" s="4">
        <v>2795</v>
      </c>
      <c r="C2834" s="41" t="s">
        <v>5134</v>
      </c>
      <c r="D2834" s="42"/>
      <c r="E2834" s="5" t="str">
        <f t="shared" si="55"/>
        <v>https://www.screener.in/company//consolidated/</v>
      </c>
      <c r="F2834" s="4">
        <v>443059</v>
      </c>
      <c r="G2834" s="4">
        <v>3832241897</v>
      </c>
      <c r="H2834" s="6" t="e">
        <f t="shared" ca="1" si="56"/>
        <v>#VALUE!</v>
      </c>
      <c r="I2834" s="7" t="str">
        <f ca="1">IFERROR(__xludf.DUMMYFUNCTION("IMPORTXML(E2834,""/html/body/main/div[3]/div[3]/div[2]/ul/li[5]/span[2]/span"")"),"Loading...")</f>
        <v>Loading...</v>
      </c>
      <c r="J2834" s="7" t="str">
        <f ca="1">IFERROR(__xludf.DUMMYFUNCTION("GOOGLEFINANCE(""NSE:""&amp;D2834,""marketcap"")"),"#N/A")</f>
        <v>#N/A</v>
      </c>
      <c r="K2834" s="7">
        <v>992.8</v>
      </c>
      <c r="L2834" s="8" t="str">
        <f ca="1">IFERROR(__xludf.DUMMYFUNCTION("GOOGLEFINANCE(""NSE:""&amp;D2834,""price"")"),"#N/A")</f>
        <v>#N/A</v>
      </c>
      <c r="M2834" s="9" t="e">
        <f t="shared" ca="1" si="57"/>
        <v>#VALUE!</v>
      </c>
      <c r="N2834" s="10" t="e">
        <f t="shared" ca="1" si="58"/>
        <v>#VALUE!</v>
      </c>
      <c r="O2834" s="7" t="str">
        <f ca="1">IFERROR(__xludf.DUMMYFUNCTION("GOOGLEFINANCE(""NSE:""&amp;D2834,""pe"")"),"#N/A")</f>
        <v>#N/A</v>
      </c>
      <c r="P2834" s="7" t="str">
        <f ca="1">IFERROR(__xludf.DUMMYFUNCTION("GOOGLEFINANCE(""NSE:""&amp;D2834,""EPS"")"),"#N/A")</f>
        <v>#N/A</v>
      </c>
      <c r="Q2834" s="7">
        <v>13.5</v>
      </c>
      <c r="R2834" s="7" t="str">
        <f ca="1">IFERROR(__xludf.DUMMYFUNCTION("IMPORTXML(E2834,""/html/body/main/div[3]/div[3]/div[2]/ul/li[7]/span[2]/span"")"),"Loading...")</f>
        <v>Loading...</v>
      </c>
      <c r="S2834" s="7" t="str">
        <f ca="1">IFERROR(__xludf.DUMMYFUNCTION("IMPORTXML(E2834,""/html/body/main/div[3]/div[3]/div[2]/ul/li[8]/span[2]/span"")"),"Loading...")</f>
        <v>Loading...</v>
      </c>
      <c r="T2834" s="4">
        <v>34.6</v>
      </c>
      <c r="U2834" s="4">
        <v>22.7</v>
      </c>
      <c r="V2834" s="4">
        <v>2.6</v>
      </c>
      <c r="W2834" s="4">
        <v>5.7</v>
      </c>
      <c r="X2834" s="4">
        <v>519.92999999999995</v>
      </c>
      <c r="Y2834" s="7" t="e">
        <f t="shared" ca="1" si="59"/>
        <v>#VALUE!</v>
      </c>
    </row>
    <row r="2835" spans="1:25" ht="15" x14ac:dyDescent="0.25">
      <c r="A2835" s="4">
        <v>2796</v>
      </c>
      <c r="C2835" s="41" t="s">
        <v>5135</v>
      </c>
      <c r="D2835" s="42"/>
      <c r="E2835" s="5" t="str">
        <f t="shared" si="55"/>
        <v>https://www.screener.in/company//consolidated/</v>
      </c>
      <c r="F2835" s="4">
        <v>443059</v>
      </c>
      <c r="G2835" s="4">
        <v>3832241897</v>
      </c>
      <c r="H2835" s="6" t="e">
        <f t="shared" ca="1" si="56"/>
        <v>#VALUE!</v>
      </c>
      <c r="I2835" s="7" t="str">
        <f ca="1">IFERROR(__xludf.DUMMYFUNCTION("IMPORTXML(E2835,""/html/body/main/div[3]/div[3]/div[2]/ul/li[5]/span[2]/span"")"),"Loading...")</f>
        <v>Loading...</v>
      </c>
      <c r="J2835" s="7" t="str">
        <f ca="1">IFERROR(__xludf.DUMMYFUNCTION("GOOGLEFINANCE(""NSE:""&amp;D2835,""marketcap"")"),"#N/A")</f>
        <v>#N/A</v>
      </c>
      <c r="K2835" s="7">
        <v>992.8</v>
      </c>
      <c r="L2835" s="8" t="str">
        <f ca="1">IFERROR(__xludf.DUMMYFUNCTION("GOOGLEFINANCE(""NSE:""&amp;D2835,""price"")"),"#N/A")</f>
        <v>#N/A</v>
      </c>
      <c r="M2835" s="9" t="e">
        <f t="shared" ca="1" si="57"/>
        <v>#VALUE!</v>
      </c>
      <c r="N2835" s="10" t="e">
        <f t="shared" ca="1" si="58"/>
        <v>#VALUE!</v>
      </c>
      <c r="O2835" s="7" t="str">
        <f ca="1">IFERROR(__xludf.DUMMYFUNCTION("GOOGLEFINANCE(""NSE:""&amp;D2835,""pe"")"),"#N/A")</f>
        <v>#N/A</v>
      </c>
      <c r="P2835" s="7" t="str">
        <f ca="1">IFERROR(__xludf.DUMMYFUNCTION("GOOGLEFINANCE(""NSE:""&amp;D2835,""EPS"")"),"#N/A")</f>
        <v>#N/A</v>
      </c>
      <c r="Q2835" s="7">
        <v>13.5</v>
      </c>
      <c r="R2835" s="7" t="str">
        <f ca="1">IFERROR(__xludf.DUMMYFUNCTION("IMPORTXML(E2835,""/html/body/main/div[3]/div[3]/div[2]/ul/li[7]/span[2]/span"")"),"Loading...")</f>
        <v>Loading...</v>
      </c>
      <c r="S2835" s="7" t="str">
        <f ca="1">IFERROR(__xludf.DUMMYFUNCTION("IMPORTXML(E2835,""/html/body/main/div[3]/div[3]/div[2]/ul/li[8]/span[2]/span"")"),"Loading...")</f>
        <v>Loading...</v>
      </c>
      <c r="T2835" s="4">
        <v>34.6</v>
      </c>
      <c r="U2835" s="4">
        <v>22.7</v>
      </c>
      <c r="V2835" s="4">
        <v>2.6</v>
      </c>
      <c r="W2835" s="4">
        <v>5.7</v>
      </c>
      <c r="X2835" s="4">
        <v>519.92999999999995</v>
      </c>
      <c r="Y2835" s="7" t="e">
        <f t="shared" ca="1" si="59"/>
        <v>#VALUE!</v>
      </c>
    </row>
    <row r="2836" spans="1:25" ht="15" x14ac:dyDescent="0.25">
      <c r="A2836" s="4">
        <v>2797</v>
      </c>
      <c r="C2836" s="41" t="s">
        <v>5136</v>
      </c>
      <c r="D2836" s="42"/>
      <c r="E2836" s="5" t="str">
        <f t="shared" si="55"/>
        <v>https://www.screener.in/company//consolidated/</v>
      </c>
      <c r="F2836" s="4">
        <v>443059</v>
      </c>
      <c r="G2836" s="4">
        <v>3832241897</v>
      </c>
      <c r="H2836" s="6" t="e">
        <f t="shared" ca="1" si="56"/>
        <v>#VALUE!</v>
      </c>
      <c r="I2836" s="7" t="str">
        <f ca="1">IFERROR(__xludf.DUMMYFUNCTION("IMPORTXML(E2836,""/html/body/main/div[3]/div[3]/div[2]/ul/li[5]/span[2]/span"")"),"Loading...")</f>
        <v>Loading...</v>
      </c>
      <c r="J2836" s="7" t="str">
        <f ca="1">IFERROR(__xludf.DUMMYFUNCTION("GOOGLEFINANCE(""NSE:""&amp;D2836,""marketcap"")"),"#N/A")</f>
        <v>#N/A</v>
      </c>
      <c r="K2836" s="7">
        <v>992.8</v>
      </c>
      <c r="L2836" s="8" t="str">
        <f ca="1">IFERROR(__xludf.DUMMYFUNCTION("GOOGLEFINANCE(""NSE:""&amp;D2836,""price"")"),"#N/A")</f>
        <v>#N/A</v>
      </c>
      <c r="M2836" s="9" t="e">
        <f t="shared" ca="1" si="57"/>
        <v>#VALUE!</v>
      </c>
      <c r="N2836" s="10" t="e">
        <f t="shared" ca="1" si="58"/>
        <v>#VALUE!</v>
      </c>
      <c r="O2836" s="7" t="str">
        <f ca="1">IFERROR(__xludf.DUMMYFUNCTION("GOOGLEFINANCE(""NSE:""&amp;D2836,""pe"")"),"#N/A")</f>
        <v>#N/A</v>
      </c>
      <c r="P2836" s="7" t="str">
        <f ca="1">IFERROR(__xludf.DUMMYFUNCTION("GOOGLEFINANCE(""NSE:""&amp;D2836,""EPS"")"),"#N/A")</f>
        <v>#N/A</v>
      </c>
      <c r="Q2836" s="7">
        <v>13.5</v>
      </c>
      <c r="R2836" s="7" t="str">
        <f ca="1">IFERROR(__xludf.DUMMYFUNCTION("IMPORTXML(E2836,""/html/body/main/div[3]/div[3]/div[2]/ul/li[7]/span[2]/span"")"),"Loading...")</f>
        <v>Loading...</v>
      </c>
      <c r="S2836" s="7" t="str">
        <f ca="1">IFERROR(__xludf.DUMMYFUNCTION("IMPORTXML(E2836,""/html/body/main/div[3]/div[3]/div[2]/ul/li[8]/span[2]/span"")"),"Loading...")</f>
        <v>Loading...</v>
      </c>
      <c r="T2836" s="4">
        <v>34.6</v>
      </c>
      <c r="U2836" s="4">
        <v>22.7</v>
      </c>
      <c r="V2836" s="4">
        <v>2.6</v>
      </c>
      <c r="W2836" s="4">
        <v>5.7</v>
      </c>
      <c r="X2836" s="4">
        <v>519.92999999999995</v>
      </c>
      <c r="Y2836" s="7" t="e">
        <f t="shared" ca="1" si="59"/>
        <v>#VALUE!</v>
      </c>
    </row>
    <row r="2837" spans="1:25" ht="15" x14ac:dyDescent="0.25">
      <c r="A2837" s="4">
        <v>2798</v>
      </c>
      <c r="C2837" s="41" t="s">
        <v>5137</v>
      </c>
      <c r="D2837" s="42"/>
      <c r="E2837" s="5" t="str">
        <f t="shared" si="55"/>
        <v>https://www.screener.in/company//consolidated/</v>
      </c>
      <c r="F2837" s="4">
        <v>443059</v>
      </c>
      <c r="G2837" s="4">
        <v>3832241897</v>
      </c>
      <c r="H2837" s="6" t="e">
        <f t="shared" ca="1" si="56"/>
        <v>#VALUE!</v>
      </c>
      <c r="I2837" s="7" t="str">
        <f ca="1">IFERROR(__xludf.DUMMYFUNCTION("IMPORTXML(E2837,""/html/body/main/div[3]/div[3]/div[2]/ul/li[5]/span[2]/span"")"),"Loading...")</f>
        <v>Loading...</v>
      </c>
      <c r="J2837" s="7" t="str">
        <f ca="1">IFERROR(__xludf.DUMMYFUNCTION("GOOGLEFINANCE(""NSE:""&amp;D2837,""marketcap"")"),"#N/A")</f>
        <v>#N/A</v>
      </c>
      <c r="K2837" s="7">
        <v>992.8</v>
      </c>
      <c r="L2837" s="8" t="str">
        <f ca="1">IFERROR(__xludf.DUMMYFUNCTION("GOOGLEFINANCE(""NSE:""&amp;D2837,""price"")"),"#N/A")</f>
        <v>#N/A</v>
      </c>
      <c r="M2837" s="9" t="e">
        <f t="shared" ca="1" si="57"/>
        <v>#VALUE!</v>
      </c>
      <c r="N2837" s="10" t="e">
        <f t="shared" ca="1" si="58"/>
        <v>#VALUE!</v>
      </c>
      <c r="O2837" s="7" t="str">
        <f ca="1">IFERROR(__xludf.DUMMYFUNCTION("GOOGLEFINANCE(""NSE:""&amp;D2837,""pe"")"),"#N/A")</f>
        <v>#N/A</v>
      </c>
      <c r="P2837" s="7" t="str">
        <f ca="1">IFERROR(__xludf.DUMMYFUNCTION("GOOGLEFINANCE(""NSE:""&amp;D2837,""EPS"")"),"#N/A")</f>
        <v>#N/A</v>
      </c>
      <c r="Q2837" s="7">
        <v>13.5</v>
      </c>
      <c r="R2837" s="7" t="str">
        <f ca="1">IFERROR(__xludf.DUMMYFUNCTION("IMPORTXML(E2837,""/html/body/main/div[3]/div[3]/div[2]/ul/li[7]/span[2]/span"")"),"Loading...")</f>
        <v>Loading...</v>
      </c>
      <c r="S2837" s="7" t="str">
        <f ca="1">IFERROR(__xludf.DUMMYFUNCTION("IMPORTXML(E2837,""/html/body/main/div[3]/div[3]/div[2]/ul/li[8]/span[2]/span"")"),"Loading...")</f>
        <v>Loading...</v>
      </c>
      <c r="T2837" s="4">
        <v>34.6</v>
      </c>
      <c r="U2837" s="4">
        <v>22.7</v>
      </c>
      <c r="V2837" s="4">
        <v>2.6</v>
      </c>
      <c r="W2837" s="4">
        <v>5.7</v>
      </c>
      <c r="X2837" s="4">
        <v>519.92999999999995</v>
      </c>
      <c r="Y2837" s="7" t="e">
        <f t="shared" ca="1" si="59"/>
        <v>#VALUE!</v>
      </c>
    </row>
    <row r="2838" spans="1:25" ht="15" x14ac:dyDescent="0.25">
      <c r="A2838" s="4">
        <v>2799</v>
      </c>
      <c r="C2838" s="41" t="s">
        <v>5138</v>
      </c>
      <c r="D2838" s="42"/>
      <c r="E2838" s="5" t="str">
        <f t="shared" si="55"/>
        <v>https://www.screener.in/company//consolidated/</v>
      </c>
      <c r="F2838" s="4">
        <v>443059</v>
      </c>
      <c r="G2838" s="4">
        <v>3832241897</v>
      </c>
      <c r="H2838" s="6" t="e">
        <f t="shared" ca="1" si="56"/>
        <v>#VALUE!</v>
      </c>
      <c r="I2838" s="7" t="str">
        <f ca="1">IFERROR(__xludf.DUMMYFUNCTION("IMPORTXML(E2838,""/html/body/main/div[3]/div[3]/div[2]/ul/li[5]/span[2]/span"")"),"Loading...")</f>
        <v>Loading...</v>
      </c>
      <c r="J2838" s="7" t="str">
        <f ca="1">IFERROR(__xludf.DUMMYFUNCTION("GOOGLEFINANCE(""NSE:""&amp;D2838,""marketcap"")"),"#N/A")</f>
        <v>#N/A</v>
      </c>
      <c r="K2838" s="7">
        <v>992.8</v>
      </c>
      <c r="L2838" s="8" t="str">
        <f ca="1">IFERROR(__xludf.DUMMYFUNCTION("GOOGLEFINANCE(""NSE:""&amp;D2838,""price"")"),"#N/A")</f>
        <v>#N/A</v>
      </c>
      <c r="M2838" s="9" t="e">
        <f t="shared" ca="1" si="57"/>
        <v>#VALUE!</v>
      </c>
      <c r="N2838" s="10" t="e">
        <f t="shared" ca="1" si="58"/>
        <v>#VALUE!</v>
      </c>
      <c r="O2838" s="7" t="str">
        <f ca="1">IFERROR(__xludf.DUMMYFUNCTION("GOOGLEFINANCE(""NSE:""&amp;D2838,""pe"")"),"#N/A")</f>
        <v>#N/A</v>
      </c>
      <c r="P2838" s="7" t="str">
        <f ca="1">IFERROR(__xludf.DUMMYFUNCTION("GOOGLEFINANCE(""NSE:""&amp;D2838,""EPS"")"),"#N/A")</f>
        <v>#N/A</v>
      </c>
      <c r="Q2838" s="7">
        <v>13.5</v>
      </c>
      <c r="R2838" s="7" t="str">
        <f ca="1">IFERROR(__xludf.DUMMYFUNCTION("IMPORTXML(E2838,""/html/body/main/div[3]/div[3]/div[2]/ul/li[7]/span[2]/span"")"),"Loading...")</f>
        <v>Loading...</v>
      </c>
      <c r="S2838" s="7" t="str">
        <f ca="1">IFERROR(__xludf.DUMMYFUNCTION("IMPORTXML(E2838,""/html/body/main/div[3]/div[3]/div[2]/ul/li[8]/span[2]/span"")"),"Loading...")</f>
        <v>Loading...</v>
      </c>
      <c r="T2838" s="4">
        <v>34.6</v>
      </c>
      <c r="U2838" s="4">
        <v>22.7</v>
      </c>
      <c r="V2838" s="4">
        <v>2.6</v>
      </c>
      <c r="W2838" s="4">
        <v>5.7</v>
      </c>
      <c r="X2838" s="4">
        <v>519.92999999999995</v>
      </c>
      <c r="Y2838" s="7" t="e">
        <f t="shared" ca="1" si="59"/>
        <v>#VALUE!</v>
      </c>
    </row>
    <row r="2839" spans="1:25" ht="15" x14ac:dyDescent="0.25">
      <c r="A2839" s="4">
        <v>2800</v>
      </c>
      <c r="C2839" s="41" t="s">
        <v>5139</v>
      </c>
      <c r="D2839" s="42"/>
      <c r="E2839" s="5" t="str">
        <f t="shared" si="55"/>
        <v>https://www.screener.in/company//consolidated/</v>
      </c>
      <c r="F2839" s="4">
        <v>443059</v>
      </c>
      <c r="G2839" s="4">
        <v>3832241897</v>
      </c>
      <c r="H2839" s="6" t="e">
        <f t="shared" ca="1" si="56"/>
        <v>#VALUE!</v>
      </c>
      <c r="I2839" s="7" t="str">
        <f ca="1">IFERROR(__xludf.DUMMYFUNCTION("IMPORTXML(E2839,""/html/body/main/div[3]/div[3]/div[2]/ul/li[5]/span[2]/span"")"),"Loading...")</f>
        <v>Loading...</v>
      </c>
      <c r="J2839" s="7" t="str">
        <f ca="1">IFERROR(__xludf.DUMMYFUNCTION("GOOGLEFINANCE(""NSE:""&amp;D2839,""marketcap"")"),"#N/A")</f>
        <v>#N/A</v>
      </c>
      <c r="K2839" s="7">
        <v>992.8</v>
      </c>
      <c r="L2839" s="8" t="str">
        <f ca="1">IFERROR(__xludf.DUMMYFUNCTION("GOOGLEFINANCE(""NSE:""&amp;D2839,""price"")"),"#N/A")</f>
        <v>#N/A</v>
      </c>
      <c r="M2839" s="9" t="e">
        <f t="shared" ca="1" si="57"/>
        <v>#VALUE!</v>
      </c>
      <c r="N2839" s="10" t="e">
        <f t="shared" ca="1" si="58"/>
        <v>#VALUE!</v>
      </c>
      <c r="O2839" s="7" t="str">
        <f ca="1">IFERROR(__xludf.DUMMYFUNCTION("GOOGLEFINANCE(""NSE:""&amp;D2839,""pe"")"),"#N/A")</f>
        <v>#N/A</v>
      </c>
      <c r="P2839" s="7" t="str">
        <f ca="1">IFERROR(__xludf.DUMMYFUNCTION("GOOGLEFINANCE(""NSE:""&amp;D2839,""EPS"")"),"#N/A")</f>
        <v>#N/A</v>
      </c>
      <c r="Q2839" s="7">
        <v>13.5</v>
      </c>
      <c r="R2839" s="7" t="str">
        <f ca="1">IFERROR(__xludf.DUMMYFUNCTION("IMPORTXML(E2839,""/html/body/main/div[3]/div[3]/div[2]/ul/li[7]/span[2]/span"")"),"Loading...")</f>
        <v>Loading...</v>
      </c>
      <c r="S2839" s="7" t="str">
        <f ca="1">IFERROR(__xludf.DUMMYFUNCTION("IMPORTXML(E2839,""/html/body/main/div[3]/div[3]/div[2]/ul/li[8]/span[2]/span"")"),"Loading...")</f>
        <v>Loading...</v>
      </c>
      <c r="T2839" s="4">
        <v>34.6</v>
      </c>
      <c r="U2839" s="4">
        <v>22.7</v>
      </c>
      <c r="V2839" s="4">
        <v>2.6</v>
      </c>
      <c r="W2839" s="4">
        <v>5.7</v>
      </c>
      <c r="X2839" s="4">
        <v>519.92999999999995</v>
      </c>
      <c r="Y2839" s="7" t="e">
        <f t="shared" ca="1" si="59"/>
        <v>#VALUE!</v>
      </c>
    </row>
    <row r="2840" spans="1:25" ht="15" x14ac:dyDescent="0.25">
      <c r="A2840" s="4">
        <v>2801</v>
      </c>
      <c r="C2840" s="41" t="s">
        <v>5140</v>
      </c>
      <c r="D2840" s="42"/>
      <c r="E2840" s="5" t="str">
        <f t="shared" si="55"/>
        <v>https://www.screener.in/company//consolidated/</v>
      </c>
      <c r="F2840" s="4">
        <v>443059</v>
      </c>
      <c r="G2840" s="4">
        <v>3832241897</v>
      </c>
      <c r="H2840" s="6" t="e">
        <f t="shared" ca="1" si="56"/>
        <v>#VALUE!</v>
      </c>
      <c r="I2840" s="7" t="str">
        <f ca="1">IFERROR(__xludf.DUMMYFUNCTION("IMPORTXML(E2840,""/html/body/main/div[3]/div[3]/div[2]/ul/li[5]/span[2]/span"")"),"Loading...")</f>
        <v>Loading...</v>
      </c>
      <c r="J2840" s="7" t="str">
        <f ca="1">IFERROR(__xludf.DUMMYFUNCTION("GOOGLEFINANCE(""NSE:""&amp;D2840,""marketcap"")"),"#N/A")</f>
        <v>#N/A</v>
      </c>
      <c r="K2840" s="7">
        <v>992.8</v>
      </c>
      <c r="L2840" s="8" t="str">
        <f ca="1">IFERROR(__xludf.DUMMYFUNCTION("GOOGLEFINANCE(""NSE:""&amp;D2840,""price"")"),"#N/A")</f>
        <v>#N/A</v>
      </c>
      <c r="M2840" s="9" t="e">
        <f t="shared" ca="1" si="57"/>
        <v>#VALUE!</v>
      </c>
      <c r="N2840" s="10" t="e">
        <f t="shared" ca="1" si="58"/>
        <v>#VALUE!</v>
      </c>
      <c r="O2840" s="7" t="str">
        <f ca="1">IFERROR(__xludf.DUMMYFUNCTION("GOOGLEFINANCE(""NSE:""&amp;D2840,""pe"")"),"#N/A")</f>
        <v>#N/A</v>
      </c>
      <c r="P2840" s="7" t="str">
        <f ca="1">IFERROR(__xludf.DUMMYFUNCTION("GOOGLEFINANCE(""NSE:""&amp;D2840,""EPS"")"),"#N/A")</f>
        <v>#N/A</v>
      </c>
      <c r="Q2840" s="7">
        <v>13.5</v>
      </c>
      <c r="R2840" s="7" t="str">
        <f ca="1">IFERROR(__xludf.DUMMYFUNCTION("IMPORTXML(E2840,""/html/body/main/div[3]/div[3]/div[2]/ul/li[7]/span[2]/span"")"),"Loading...")</f>
        <v>Loading...</v>
      </c>
      <c r="S2840" s="7" t="str">
        <f ca="1">IFERROR(__xludf.DUMMYFUNCTION("IMPORTXML(E2840,""/html/body/main/div[3]/div[3]/div[2]/ul/li[8]/span[2]/span"")"),"Loading...")</f>
        <v>Loading...</v>
      </c>
      <c r="T2840" s="4">
        <v>34.6</v>
      </c>
      <c r="U2840" s="4">
        <v>22.7</v>
      </c>
      <c r="V2840" s="4">
        <v>2.6</v>
      </c>
      <c r="W2840" s="4">
        <v>5.7</v>
      </c>
      <c r="X2840" s="4">
        <v>519.92999999999995</v>
      </c>
      <c r="Y2840" s="7" t="e">
        <f t="shared" ca="1" si="59"/>
        <v>#VALUE!</v>
      </c>
    </row>
    <row r="2841" spans="1:25" ht="15" x14ac:dyDescent="0.25">
      <c r="A2841" s="4">
        <v>2802</v>
      </c>
      <c r="C2841" s="41" t="s">
        <v>5141</v>
      </c>
      <c r="D2841" s="42"/>
      <c r="E2841" s="5" t="str">
        <f t="shared" si="55"/>
        <v>https://www.screener.in/company//consolidated/</v>
      </c>
      <c r="F2841" s="4">
        <v>443059</v>
      </c>
      <c r="G2841" s="4">
        <v>3832241897</v>
      </c>
      <c r="H2841" s="6" t="e">
        <f t="shared" ca="1" si="56"/>
        <v>#VALUE!</v>
      </c>
      <c r="I2841" s="7" t="str">
        <f ca="1">IFERROR(__xludf.DUMMYFUNCTION("IMPORTXML(E2841,""/html/body/main/div[3]/div[3]/div[2]/ul/li[5]/span[2]/span"")"),"Loading...")</f>
        <v>Loading...</v>
      </c>
      <c r="J2841" s="7" t="str">
        <f ca="1">IFERROR(__xludf.DUMMYFUNCTION("GOOGLEFINANCE(""NSE:""&amp;D2841,""marketcap"")"),"#N/A")</f>
        <v>#N/A</v>
      </c>
      <c r="K2841" s="7">
        <v>992.8</v>
      </c>
      <c r="L2841" s="8" t="str">
        <f ca="1">IFERROR(__xludf.DUMMYFUNCTION("GOOGLEFINANCE(""NSE:""&amp;D2841,""price"")"),"#N/A")</f>
        <v>#N/A</v>
      </c>
      <c r="M2841" s="9" t="e">
        <f t="shared" ca="1" si="57"/>
        <v>#VALUE!</v>
      </c>
      <c r="N2841" s="10" t="e">
        <f t="shared" ca="1" si="58"/>
        <v>#VALUE!</v>
      </c>
      <c r="O2841" s="7" t="str">
        <f ca="1">IFERROR(__xludf.DUMMYFUNCTION("GOOGLEFINANCE(""NSE:""&amp;D2841,""pe"")"),"#N/A")</f>
        <v>#N/A</v>
      </c>
      <c r="P2841" s="7" t="str">
        <f ca="1">IFERROR(__xludf.DUMMYFUNCTION("GOOGLEFINANCE(""NSE:""&amp;D2841,""EPS"")"),"#N/A")</f>
        <v>#N/A</v>
      </c>
      <c r="Q2841" s="7">
        <v>13.5</v>
      </c>
      <c r="R2841" s="7" t="str">
        <f ca="1">IFERROR(__xludf.DUMMYFUNCTION("IMPORTXML(E2841,""/html/body/main/div[3]/div[3]/div[2]/ul/li[7]/span[2]/span"")"),"Loading...")</f>
        <v>Loading...</v>
      </c>
      <c r="S2841" s="7" t="str">
        <f ca="1">IFERROR(__xludf.DUMMYFUNCTION("IMPORTXML(E2841,""/html/body/main/div[3]/div[3]/div[2]/ul/li[8]/span[2]/span"")"),"Loading...")</f>
        <v>Loading...</v>
      </c>
      <c r="T2841" s="4">
        <v>34.6</v>
      </c>
      <c r="U2841" s="4">
        <v>22.7</v>
      </c>
      <c r="V2841" s="4">
        <v>2.6</v>
      </c>
      <c r="W2841" s="4">
        <v>5.7</v>
      </c>
      <c r="X2841" s="4">
        <v>519.92999999999995</v>
      </c>
      <c r="Y2841" s="7" t="e">
        <f t="shared" ca="1" si="59"/>
        <v>#VALUE!</v>
      </c>
    </row>
    <row r="2842" spans="1:25" ht="15" x14ac:dyDescent="0.25">
      <c r="A2842" s="4">
        <v>2803</v>
      </c>
      <c r="C2842" s="41" t="s">
        <v>5142</v>
      </c>
      <c r="D2842" s="42"/>
      <c r="E2842" s="5" t="str">
        <f t="shared" si="55"/>
        <v>https://www.screener.in/company//consolidated/</v>
      </c>
      <c r="F2842" s="4">
        <v>443059</v>
      </c>
      <c r="G2842" s="4">
        <v>3832241897</v>
      </c>
      <c r="H2842" s="6" t="e">
        <f t="shared" ca="1" si="56"/>
        <v>#VALUE!</v>
      </c>
      <c r="I2842" s="7" t="str">
        <f ca="1">IFERROR(__xludf.DUMMYFUNCTION("IMPORTXML(E2842,""/html/body/main/div[3]/div[3]/div[2]/ul/li[5]/span[2]/span"")"),"Loading...")</f>
        <v>Loading...</v>
      </c>
      <c r="J2842" s="7" t="str">
        <f ca="1">IFERROR(__xludf.DUMMYFUNCTION("GOOGLEFINANCE(""NSE:""&amp;D2842,""marketcap"")"),"#N/A")</f>
        <v>#N/A</v>
      </c>
      <c r="K2842" s="7">
        <v>992.8</v>
      </c>
      <c r="L2842" s="8" t="str">
        <f ca="1">IFERROR(__xludf.DUMMYFUNCTION("GOOGLEFINANCE(""NSE:""&amp;D2842,""price"")"),"#N/A")</f>
        <v>#N/A</v>
      </c>
      <c r="M2842" s="9" t="e">
        <f t="shared" ca="1" si="57"/>
        <v>#VALUE!</v>
      </c>
      <c r="N2842" s="10" t="e">
        <f t="shared" ca="1" si="58"/>
        <v>#VALUE!</v>
      </c>
      <c r="O2842" s="7" t="str">
        <f ca="1">IFERROR(__xludf.DUMMYFUNCTION("GOOGLEFINANCE(""NSE:""&amp;D2842,""pe"")"),"#N/A")</f>
        <v>#N/A</v>
      </c>
      <c r="P2842" s="7" t="str">
        <f ca="1">IFERROR(__xludf.DUMMYFUNCTION("GOOGLEFINANCE(""NSE:""&amp;D2842,""EPS"")"),"#N/A")</f>
        <v>#N/A</v>
      </c>
      <c r="Q2842" s="7">
        <v>13.5</v>
      </c>
      <c r="R2842" s="7" t="str">
        <f ca="1">IFERROR(__xludf.DUMMYFUNCTION("IMPORTXML(E2842,""/html/body/main/div[3]/div[3]/div[2]/ul/li[7]/span[2]/span"")"),"Loading...")</f>
        <v>Loading...</v>
      </c>
      <c r="S2842" s="7" t="str">
        <f ca="1">IFERROR(__xludf.DUMMYFUNCTION("IMPORTXML(E2842,""/html/body/main/div[3]/div[3]/div[2]/ul/li[8]/span[2]/span"")"),"Loading...")</f>
        <v>Loading...</v>
      </c>
      <c r="T2842" s="4">
        <v>34.6</v>
      </c>
      <c r="U2842" s="4">
        <v>22.7</v>
      </c>
      <c r="V2842" s="4">
        <v>2.6</v>
      </c>
      <c r="W2842" s="4">
        <v>5.7</v>
      </c>
      <c r="X2842" s="4">
        <v>519.92999999999995</v>
      </c>
      <c r="Y2842" s="7" t="e">
        <f t="shared" ca="1" si="59"/>
        <v>#VALUE!</v>
      </c>
    </row>
    <row r="2843" spans="1:25" ht="15" x14ac:dyDescent="0.25">
      <c r="A2843" s="4">
        <v>2804</v>
      </c>
      <c r="C2843" s="41" t="s">
        <v>5143</v>
      </c>
      <c r="D2843" s="42"/>
      <c r="E2843" s="5" t="str">
        <f t="shared" si="55"/>
        <v>https://www.screener.in/company//consolidated/</v>
      </c>
      <c r="F2843" s="4">
        <v>443059</v>
      </c>
      <c r="G2843" s="4">
        <v>3832241897</v>
      </c>
      <c r="H2843" s="6" t="e">
        <f t="shared" ca="1" si="56"/>
        <v>#VALUE!</v>
      </c>
      <c r="I2843" s="7" t="str">
        <f ca="1">IFERROR(__xludf.DUMMYFUNCTION("IMPORTXML(E2843,""/html/body/main/div[3]/div[3]/div[2]/ul/li[5]/span[2]/span"")"),"Loading...")</f>
        <v>Loading...</v>
      </c>
      <c r="J2843" s="7" t="str">
        <f ca="1">IFERROR(__xludf.DUMMYFUNCTION("GOOGLEFINANCE(""NSE:""&amp;D2843,""marketcap"")"),"#N/A")</f>
        <v>#N/A</v>
      </c>
      <c r="K2843" s="7">
        <v>992.8</v>
      </c>
      <c r="L2843" s="8" t="str">
        <f ca="1">IFERROR(__xludf.DUMMYFUNCTION("GOOGLEFINANCE(""NSE:""&amp;D2843,""price"")"),"#N/A")</f>
        <v>#N/A</v>
      </c>
      <c r="M2843" s="9" t="e">
        <f t="shared" ca="1" si="57"/>
        <v>#VALUE!</v>
      </c>
      <c r="N2843" s="10" t="e">
        <f t="shared" ca="1" si="58"/>
        <v>#VALUE!</v>
      </c>
      <c r="O2843" s="7" t="str">
        <f ca="1">IFERROR(__xludf.DUMMYFUNCTION("GOOGLEFINANCE(""NSE:""&amp;D2843,""pe"")"),"#N/A")</f>
        <v>#N/A</v>
      </c>
      <c r="P2843" s="7" t="str">
        <f ca="1">IFERROR(__xludf.DUMMYFUNCTION("GOOGLEFINANCE(""NSE:""&amp;D2843,""EPS"")"),"#N/A")</f>
        <v>#N/A</v>
      </c>
      <c r="Q2843" s="7">
        <v>13.5</v>
      </c>
      <c r="R2843" s="7" t="str">
        <f ca="1">IFERROR(__xludf.DUMMYFUNCTION("IMPORTXML(E2843,""/html/body/main/div[3]/div[3]/div[2]/ul/li[7]/span[2]/span"")"),"Loading...")</f>
        <v>Loading...</v>
      </c>
      <c r="S2843" s="7" t="str">
        <f ca="1">IFERROR(__xludf.DUMMYFUNCTION("IMPORTXML(E2843,""/html/body/main/div[3]/div[3]/div[2]/ul/li[8]/span[2]/span"")"),"Loading...")</f>
        <v>Loading...</v>
      </c>
      <c r="T2843" s="4">
        <v>34.6</v>
      </c>
      <c r="U2843" s="4">
        <v>22.7</v>
      </c>
      <c r="V2843" s="4">
        <v>2.6</v>
      </c>
      <c r="W2843" s="4">
        <v>5.7</v>
      </c>
      <c r="X2843" s="4">
        <v>519.92999999999995</v>
      </c>
      <c r="Y2843" s="7" t="e">
        <f t="shared" ca="1" si="59"/>
        <v>#VALUE!</v>
      </c>
    </row>
    <row r="2844" spans="1:25" ht="15" x14ac:dyDescent="0.25">
      <c r="A2844" s="4">
        <v>2805</v>
      </c>
      <c r="C2844" s="41" t="s">
        <v>5144</v>
      </c>
      <c r="D2844" s="42"/>
      <c r="E2844" s="5" t="str">
        <f t="shared" si="55"/>
        <v>https://www.screener.in/company//consolidated/</v>
      </c>
      <c r="F2844" s="4">
        <v>443059</v>
      </c>
      <c r="G2844" s="4">
        <v>3832241897</v>
      </c>
      <c r="H2844" s="6" t="e">
        <f t="shared" ca="1" si="56"/>
        <v>#VALUE!</v>
      </c>
      <c r="I2844" s="7" t="str">
        <f ca="1">IFERROR(__xludf.DUMMYFUNCTION("IMPORTXML(E2844,""/html/body/main/div[3]/div[3]/div[2]/ul/li[5]/span[2]/span"")"),"Loading...")</f>
        <v>Loading...</v>
      </c>
      <c r="J2844" s="7" t="str">
        <f ca="1">IFERROR(__xludf.DUMMYFUNCTION("GOOGLEFINANCE(""NSE:""&amp;D2844,""marketcap"")"),"#N/A")</f>
        <v>#N/A</v>
      </c>
      <c r="K2844" s="7">
        <v>992.8</v>
      </c>
      <c r="L2844" s="8" t="str">
        <f ca="1">IFERROR(__xludf.DUMMYFUNCTION("GOOGLEFINANCE(""NSE:""&amp;D2844,""price"")"),"#N/A")</f>
        <v>#N/A</v>
      </c>
      <c r="M2844" s="9" t="e">
        <f t="shared" ca="1" si="57"/>
        <v>#VALUE!</v>
      </c>
      <c r="N2844" s="10" t="e">
        <f t="shared" ca="1" si="58"/>
        <v>#VALUE!</v>
      </c>
      <c r="O2844" s="7" t="str">
        <f ca="1">IFERROR(__xludf.DUMMYFUNCTION("GOOGLEFINANCE(""NSE:""&amp;D2844,""pe"")"),"#N/A")</f>
        <v>#N/A</v>
      </c>
      <c r="P2844" s="7" t="str">
        <f ca="1">IFERROR(__xludf.DUMMYFUNCTION("GOOGLEFINANCE(""NSE:""&amp;D2844,""EPS"")"),"#N/A")</f>
        <v>#N/A</v>
      </c>
      <c r="Q2844" s="7">
        <v>13.5</v>
      </c>
      <c r="R2844" s="7" t="str">
        <f ca="1">IFERROR(__xludf.DUMMYFUNCTION("IMPORTXML(E2844,""/html/body/main/div[3]/div[3]/div[2]/ul/li[7]/span[2]/span"")"),"Loading...")</f>
        <v>Loading...</v>
      </c>
      <c r="S2844" s="7" t="str">
        <f ca="1">IFERROR(__xludf.DUMMYFUNCTION("IMPORTXML(E2844,""/html/body/main/div[3]/div[3]/div[2]/ul/li[8]/span[2]/span"")"),"Loading...")</f>
        <v>Loading...</v>
      </c>
      <c r="T2844" s="4">
        <v>34.6</v>
      </c>
      <c r="U2844" s="4">
        <v>22.7</v>
      </c>
      <c r="V2844" s="4">
        <v>2.6</v>
      </c>
      <c r="W2844" s="4">
        <v>5.7</v>
      </c>
      <c r="X2844" s="4">
        <v>519.92999999999995</v>
      </c>
      <c r="Y2844" s="7" t="e">
        <f t="shared" ca="1" si="59"/>
        <v>#VALUE!</v>
      </c>
    </row>
    <row r="2845" spans="1:25" ht="15" x14ac:dyDescent="0.25">
      <c r="A2845" s="4">
        <v>2806</v>
      </c>
      <c r="C2845" s="41" t="s">
        <v>5145</v>
      </c>
      <c r="D2845" s="42"/>
      <c r="E2845" s="5" t="str">
        <f t="shared" si="55"/>
        <v>https://www.screener.in/company//consolidated/</v>
      </c>
      <c r="F2845" s="4">
        <v>443059</v>
      </c>
      <c r="G2845" s="4">
        <v>3832241897</v>
      </c>
      <c r="H2845" s="6" t="e">
        <f t="shared" ca="1" si="56"/>
        <v>#VALUE!</v>
      </c>
      <c r="I2845" s="7" t="str">
        <f ca="1">IFERROR(__xludf.DUMMYFUNCTION("IMPORTXML(E2845,""/html/body/main/div[3]/div[3]/div[2]/ul/li[5]/span[2]/span"")"),"Loading...")</f>
        <v>Loading...</v>
      </c>
      <c r="J2845" s="7" t="str">
        <f ca="1">IFERROR(__xludf.DUMMYFUNCTION("GOOGLEFINANCE(""NSE:""&amp;D2845,""marketcap"")"),"#N/A")</f>
        <v>#N/A</v>
      </c>
      <c r="K2845" s="7">
        <v>992.8</v>
      </c>
      <c r="L2845" s="8" t="str">
        <f ca="1">IFERROR(__xludf.DUMMYFUNCTION("GOOGLEFINANCE(""NSE:""&amp;D2845,""price"")"),"#N/A")</f>
        <v>#N/A</v>
      </c>
      <c r="M2845" s="9" t="e">
        <f t="shared" ca="1" si="57"/>
        <v>#VALUE!</v>
      </c>
      <c r="N2845" s="10" t="e">
        <f t="shared" ca="1" si="58"/>
        <v>#VALUE!</v>
      </c>
      <c r="O2845" s="7" t="str">
        <f ca="1">IFERROR(__xludf.DUMMYFUNCTION("GOOGLEFINANCE(""NSE:""&amp;D2845,""pe"")"),"#N/A")</f>
        <v>#N/A</v>
      </c>
      <c r="P2845" s="7" t="str">
        <f ca="1">IFERROR(__xludf.DUMMYFUNCTION("GOOGLEFINANCE(""NSE:""&amp;D2845,""EPS"")"),"#N/A")</f>
        <v>#N/A</v>
      </c>
      <c r="Q2845" s="7">
        <v>13.5</v>
      </c>
      <c r="R2845" s="7" t="str">
        <f ca="1">IFERROR(__xludf.DUMMYFUNCTION("IMPORTXML(E2845,""/html/body/main/div[3]/div[3]/div[2]/ul/li[7]/span[2]/span"")"),"Loading...")</f>
        <v>Loading...</v>
      </c>
      <c r="S2845" s="7" t="str">
        <f ca="1">IFERROR(__xludf.DUMMYFUNCTION("IMPORTXML(E2845,""/html/body/main/div[3]/div[3]/div[2]/ul/li[8]/span[2]/span"")"),"Loading...")</f>
        <v>Loading...</v>
      </c>
      <c r="T2845" s="4">
        <v>34.6</v>
      </c>
      <c r="U2845" s="4">
        <v>22.7</v>
      </c>
      <c r="V2845" s="4">
        <v>2.6</v>
      </c>
      <c r="W2845" s="4">
        <v>5.7</v>
      </c>
      <c r="X2845" s="4">
        <v>519.92999999999995</v>
      </c>
      <c r="Y2845" s="7" t="e">
        <f t="shared" ca="1" si="59"/>
        <v>#VALUE!</v>
      </c>
    </row>
    <row r="2846" spans="1:25" ht="15" x14ac:dyDescent="0.25">
      <c r="A2846" s="4">
        <v>2807</v>
      </c>
      <c r="C2846" s="41" t="s">
        <v>5146</v>
      </c>
      <c r="D2846" s="42"/>
      <c r="E2846" s="5" t="str">
        <f t="shared" si="55"/>
        <v>https://www.screener.in/company//consolidated/</v>
      </c>
      <c r="F2846" s="4">
        <v>443059</v>
      </c>
      <c r="G2846" s="4">
        <v>3832241897</v>
      </c>
      <c r="H2846" s="6" t="e">
        <f t="shared" ca="1" si="56"/>
        <v>#VALUE!</v>
      </c>
      <c r="I2846" s="7" t="str">
        <f ca="1">IFERROR(__xludf.DUMMYFUNCTION("IMPORTXML(E2846,""/html/body/main/div[3]/div[3]/div[2]/ul/li[5]/span[2]/span"")"),"Loading...")</f>
        <v>Loading...</v>
      </c>
      <c r="J2846" s="7" t="str">
        <f ca="1">IFERROR(__xludf.DUMMYFUNCTION("GOOGLEFINANCE(""NSE:""&amp;D2846,""marketcap"")"),"#N/A")</f>
        <v>#N/A</v>
      </c>
      <c r="K2846" s="7">
        <v>992.8</v>
      </c>
      <c r="L2846" s="8" t="str">
        <f ca="1">IFERROR(__xludf.DUMMYFUNCTION("GOOGLEFINANCE(""NSE:""&amp;D2846,""price"")"),"#N/A")</f>
        <v>#N/A</v>
      </c>
      <c r="M2846" s="9" t="e">
        <f t="shared" ca="1" si="57"/>
        <v>#VALUE!</v>
      </c>
      <c r="N2846" s="10" t="e">
        <f t="shared" ca="1" si="58"/>
        <v>#VALUE!</v>
      </c>
      <c r="O2846" s="7" t="str">
        <f ca="1">IFERROR(__xludf.DUMMYFUNCTION("GOOGLEFINANCE(""NSE:""&amp;D2846,""pe"")"),"#N/A")</f>
        <v>#N/A</v>
      </c>
      <c r="P2846" s="7" t="str">
        <f ca="1">IFERROR(__xludf.DUMMYFUNCTION("GOOGLEFINANCE(""NSE:""&amp;D2846,""EPS"")"),"#N/A")</f>
        <v>#N/A</v>
      </c>
      <c r="Q2846" s="7">
        <v>13.5</v>
      </c>
      <c r="R2846" s="7" t="str">
        <f ca="1">IFERROR(__xludf.DUMMYFUNCTION("IMPORTXML(E2846,""/html/body/main/div[3]/div[3]/div[2]/ul/li[7]/span[2]/span"")"),"Loading...")</f>
        <v>Loading...</v>
      </c>
      <c r="S2846" s="7" t="str">
        <f ca="1">IFERROR(__xludf.DUMMYFUNCTION("IMPORTXML(E2846,""/html/body/main/div[3]/div[3]/div[2]/ul/li[8]/span[2]/span"")"),"Loading...")</f>
        <v>Loading...</v>
      </c>
      <c r="T2846" s="4">
        <v>34.6</v>
      </c>
      <c r="U2846" s="4">
        <v>22.7</v>
      </c>
      <c r="V2846" s="4">
        <v>2.6</v>
      </c>
      <c r="W2846" s="4">
        <v>5.7</v>
      </c>
      <c r="X2846" s="4">
        <v>519.92999999999995</v>
      </c>
      <c r="Y2846" s="7" t="e">
        <f t="shared" ca="1" si="59"/>
        <v>#VALUE!</v>
      </c>
    </row>
    <row r="2847" spans="1:25" ht="15" x14ac:dyDescent="0.25">
      <c r="A2847" s="4">
        <v>2808</v>
      </c>
      <c r="C2847" s="41" t="s">
        <v>5147</v>
      </c>
      <c r="D2847" s="42"/>
      <c r="E2847" s="5" t="str">
        <f t="shared" si="55"/>
        <v>https://www.screener.in/company//consolidated/</v>
      </c>
      <c r="F2847" s="4">
        <v>443059</v>
      </c>
      <c r="G2847" s="4">
        <v>3832241897</v>
      </c>
      <c r="H2847" s="6" t="e">
        <f t="shared" ca="1" si="56"/>
        <v>#VALUE!</v>
      </c>
      <c r="I2847" s="7" t="str">
        <f ca="1">IFERROR(__xludf.DUMMYFUNCTION("IMPORTXML(E2847,""/html/body/main/div[3]/div[3]/div[2]/ul/li[5]/span[2]/span"")"),"Loading...")</f>
        <v>Loading...</v>
      </c>
      <c r="J2847" s="7" t="str">
        <f ca="1">IFERROR(__xludf.DUMMYFUNCTION("GOOGLEFINANCE(""NSE:""&amp;D2847,""marketcap"")"),"#N/A")</f>
        <v>#N/A</v>
      </c>
      <c r="K2847" s="7">
        <v>992.8</v>
      </c>
      <c r="L2847" s="8" t="str">
        <f ca="1">IFERROR(__xludf.DUMMYFUNCTION("GOOGLEFINANCE(""NSE:""&amp;D2847,""price"")"),"#N/A")</f>
        <v>#N/A</v>
      </c>
      <c r="M2847" s="9" t="e">
        <f t="shared" ca="1" si="57"/>
        <v>#VALUE!</v>
      </c>
      <c r="N2847" s="10" t="e">
        <f t="shared" ca="1" si="58"/>
        <v>#VALUE!</v>
      </c>
      <c r="O2847" s="7" t="str">
        <f ca="1">IFERROR(__xludf.DUMMYFUNCTION("GOOGLEFINANCE(""NSE:""&amp;D2847,""pe"")"),"#N/A")</f>
        <v>#N/A</v>
      </c>
      <c r="P2847" s="7" t="str">
        <f ca="1">IFERROR(__xludf.DUMMYFUNCTION("GOOGLEFINANCE(""NSE:""&amp;D2847,""EPS"")"),"#N/A")</f>
        <v>#N/A</v>
      </c>
      <c r="Q2847" s="7">
        <v>13.5</v>
      </c>
      <c r="R2847" s="7" t="str">
        <f ca="1">IFERROR(__xludf.DUMMYFUNCTION("IMPORTXML(E2847,""/html/body/main/div[3]/div[3]/div[2]/ul/li[7]/span[2]/span"")"),"Loading...")</f>
        <v>Loading...</v>
      </c>
      <c r="S2847" s="7" t="str">
        <f ca="1">IFERROR(__xludf.DUMMYFUNCTION("IMPORTXML(E2847,""/html/body/main/div[3]/div[3]/div[2]/ul/li[8]/span[2]/span"")"),"Loading...")</f>
        <v>Loading...</v>
      </c>
      <c r="T2847" s="4">
        <v>34.6</v>
      </c>
      <c r="U2847" s="4">
        <v>22.7</v>
      </c>
      <c r="V2847" s="4">
        <v>2.6</v>
      </c>
      <c r="W2847" s="4">
        <v>5.7</v>
      </c>
      <c r="X2847" s="4">
        <v>519.92999999999995</v>
      </c>
      <c r="Y2847" s="7" t="e">
        <f t="shared" ca="1" si="59"/>
        <v>#VALUE!</v>
      </c>
    </row>
    <row r="2848" spans="1:25" ht="15" x14ac:dyDescent="0.25">
      <c r="A2848" s="4">
        <v>2810</v>
      </c>
      <c r="C2848" s="41" t="s">
        <v>5148</v>
      </c>
      <c r="D2848" s="42"/>
      <c r="E2848" s="5" t="str">
        <f t="shared" si="55"/>
        <v>https://www.screener.in/company//consolidated/</v>
      </c>
      <c r="F2848" s="4">
        <v>443059</v>
      </c>
      <c r="G2848" s="4">
        <v>3832241897</v>
      </c>
      <c r="H2848" s="6" t="e">
        <f t="shared" ca="1" si="56"/>
        <v>#VALUE!</v>
      </c>
      <c r="I2848" s="7" t="str">
        <f ca="1">IFERROR(__xludf.DUMMYFUNCTION("IMPORTXML(E2848,""/html/body/main/div[3]/div[3]/div[2]/ul/li[5]/span[2]/span"")"),"Loading...")</f>
        <v>Loading...</v>
      </c>
      <c r="J2848" s="7" t="str">
        <f ca="1">IFERROR(__xludf.DUMMYFUNCTION("GOOGLEFINANCE(""NSE:""&amp;D2848,""marketcap"")"),"#N/A")</f>
        <v>#N/A</v>
      </c>
      <c r="K2848" s="7">
        <v>992.8</v>
      </c>
      <c r="L2848" s="8" t="str">
        <f ca="1">IFERROR(__xludf.DUMMYFUNCTION("GOOGLEFINANCE(""NSE:""&amp;D2848,""price"")"),"#N/A")</f>
        <v>#N/A</v>
      </c>
      <c r="M2848" s="9" t="e">
        <f t="shared" ca="1" si="57"/>
        <v>#VALUE!</v>
      </c>
      <c r="N2848" s="10" t="e">
        <f t="shared" ca="1" si="58"/>
        <v>#VALUE!</v>
      </c>
      <c r="O2848" s="7" t="str">
        <f ca="1">IFERROR(__xludf.DUMMYFUNCTION("GOOGLEFINANCE(""NSE:""&amp;D2848,""pe"")"),"#N/A")</f>
        <v>#N/A</v>
      </c>
      <c r="P2848" s="7" t="str">
        <f ca="1">IFERROR(__xludf.DUMMYFUNCTION("GOOGLEFINANCE(""NSE:""&amp;D2848,""EPS"")"),"#N/A")</f>
        <v>#N/A</v>
      </c>
      <c r="Q2848" s="7">
        <v>13.5</v>
      </c>
      <c r="R2848" s="7" t="str">
        <f ca="1">IFERROR(__xludf.DUMMYFUNCTION("IMPORTXML(E2848,""/html/body/main/div[3]/div[3]/div[2]/ul/li[7]/span[2]/span"")"),"Loading...")</f>
        <v>Loading...</v>
      </c>
      <c r="S2848" s="7" t="str">
        <f ca="1">IFERROR(__xludf.DUMMYFUNCTION("IMPORTXML(E2848,""/html/body/main/div[3]/div[3]/div[2]/ul/li[8]/span[2]/span"")"),"Loading...")</f>
        <v>Loading...</v>
      </c>
      <c r="T2848" s="4">
        <v>34.6</v>
      </c>
      <c r="U2848" s="4">
        <v>22.7</v>
      </c>
      <c r="V2848" s="4">
        <v>2.6</v>
      </c>
      <c r="W2848" s="4">
        <v>5.7</v>
      </c>
      <c r="X2848" s="4">
        <v>519.92999999999995</v>
      </c>
      <c r="Y2848" s="7" t="e">
        <f t="shared" ca="1" si="59"/>
        <v>#VALUE!</v>
      </c>
    </row>
    <row r="2849" spans="1:25" ht="15" x14ac:dyDescent="0.25">
      <c r="A2849" s="4">
        <v>2811</v>
      </c>
      <c r="C2849" s="41" t="s">
        <v>5149</v>
      </c>
      <c r="D2849" s="42"/>
      <c r="E2849" s="5" t="str">
        <f t="shared" si="55"/>
        <v>https://www.screener.in/company//consolidated/</v>
      </c>
      <c r="F2849" s="4">
        <v>443059</v>
      </c>
      <c r="G2849" s="4">
        <v>3832241897</v>
      </c>
      <c r="H2849" s="6" t="e">
        <f t="shared" ca="1" si="56"/>
        <v>#VALUE!</v>
      </c>
      <c r="I2849" s="7" t="str">
        <f ca="1">IFERROR(__xludf.DUMMYFUNCTION("IMPORTXML(E2849,""/html/body/main/div[3]/div[3]/div[2]/ul/li[5]/span[2]/span"")"),"Loading...")</f>
        <v>Loading...</v>
      </c>
      <c r="J2849" s="7" t="str">
        <f ca="1">IFERROR(__xludf.DUMMYFUNCTION("GOOGLEFINANCE(""NSE:""&amp;D2849,""marketcap"")"),"#N/A")</f>
        <v>#N/A</v>
      </c>
      <c r="K2849" s="7">
        <v>992.8</v>
      </c>
      <c r="L2849" s="8" t="str">
        <f ca="1">IFERROR(__xludf.DUMMYFUNCTION("GOOGLEFINANCE(""NSE:""&amp;D2849,""price"")"),"#N/A")</f>
        <v>#N/A</v>
      </c>
      <c r="M2849" s="9" t="e">
        <f t="shared" ca="1" si="57"/>
        <v>#VALUE!</v>
      </c>
      <c r="N2849" s="10" t="e">
        <f t="shared" ca="1" si="58"/>
        <v>#VALUE!</v>
      </c>
      <c r="O2849" s="7" t="str">
        <f ca="1">IFERROR(__xludf.DUMMYFUNCTION("GOOGLEFINANCE(""NSE:""&amp;D2849,""pe"")"),"#N/A")</f>
        <v>#N/A</v>
      </c>
      <c r="P2849" s="7" t="str">
        <f ca="1">IFERROR(__xludf.DUMMYFUNCTION("GOOGLEFINANCE(""NSE:""&amp;D2849,""EPS"")"),"#N/A")</f>
        <v>#N/A</v>
      </c>
      <c r="Q2849" s="7">
        <v>13.5</v>
      </c>
      <c r="R2849" s="7" t="str">
        <f ca="1">IFERROR(__xludf.DUMMYFUNCTION("IMPORTXML(E2849,""/html/body/main/div[3]/div[3]/div[2]/ul/li[7]/span[2]/span"")"),"Loading...")</f>
        <v>Loading...</v>
      </c>
      <c r="S2849" s="7" t="str">
        <f ca="1">IFERROR(__xludf.DUMMYFUNCTION("IMPORTXML(E2849,""/html/body/main/div[3]/div[3]/div[2]/ul/li[8]/span[2]/span"")"),"Loading...")</f>
        <v>Loading...</v>
      </c>
      <c r="T2849" s="4">
        <v>34.6</v>
      </c>
      <c r="U2849" s="4">
        <v>22.7</v>
      </c>
      <c r="V2849" s="4">
        <v>2.6</v>
      </c>
      <c r="W2849" s="4">
        <v>5.7</v>
      </c>
      <c r="X2849" s="4">
        <v>519.92999999999995</v>
      </c>
      <c r="Y2849" s="7" t="e">
        <f t="shared" ca="1" si="59"/>
        <v>#VALUE!</v>
      </c>
    </row>
    <row r="2850" spans="1:25" ht="15" x14ac:dyDescent="0.25">
      <c r="A2850" s="4">
        <v>2813</v>
      </c>
      <c r="C2850" s="12" t="s">
        <v>5150</v>
      </c>
      <c r="D2850" s="12" t="s">
        <v>5151</v>
      </c>
      <c r="E2850" s="5" t="str">
        <f t="shared" si="55"/>
        <v>https://www.screener.in/company/BURNPUR/consolidated/</v>
      </c>
      <c r="F2850" s="4">
        <v>443059</v>
      </c>
      <c r="G2850" s="4">
        <v>3832241897</v>
      </c>
      <c r="H2850" s="6" t="e">
        <f t="shared" ca="1" si="56"/>
        <v>#VALUE!</v>
      </c>
      <c r="I2850" s="7" t="str">
        <f ca="1">IFERROR(__xludf.DUMMYFUNCTION("IMPORTXML(E2850,""/html/body/main/div[3]/div[3]/div[2]/ul/li[5]/span[2]/span"")"),"Loading...")</f>
        <v>Loading...</v>
      </c>
      <c r="J2850" s="7" t="str">
        <f ca="1">IFERROR(__xludf.DUMMYFUNCTION("GOOGLEFINANCE(""NSE:""&amp;D2850,""marketcap"")"),"#N/A")</f>
        <v>#N/A</v>
      </c>
      <c r="K2850" s="7">
        <v>992.8</v>
      </c>
      <c r="L2850" s="8" t="str">
        <f ca="1">IFERROR(__xludf.DUMMYFUNCTION("GOOGLEFINANCE(""NSE:""&amp;D2850,""price"")"),"#N/A")</f>
        <v>#N/A</v>
      </c>
      <c r="M2850" s="9" t="e">
        <f t="shared" ca="1" si="57"/>
        <v>#VALUE!</v>
      </c>
      <c r="N2850" s="10" t="e">
        <f t="shared" ca="1" si="58"/>
        <v>#VALUE!</v>
      </c>
      <c r="O2850" s="7" t="str">
        <f ca="1">IFERROR(__xludf.DUMMYFUNCTION("GOOGLEFINANCE(""NSE:""&amp;D2850,""pe"")"),"#N/A")</f>
        <v>#N/A</v>
      </c>
      <c r="P2850" s="7" t="str">
        <f ca="1">IFERROR(__xludf.DUMMYFUNCTION("GOOGLEFINANCE(""NSE:""&amp;D2850,""EPS"")"),"#N/A")</f>
        <v>#N/A</v>
      </c>
      <c r="Q2850" s="7">
        <v>13.5</v>
      </c>
      <c r="R2850" s="7" t="str">
        <f ca="1">IFERROR(__xludf.DUMMYFUNCTION("IMPORTXML(E2850,""/html/body/main/div[3]/div[3]/div[2]/ul/li[7]/span[2]/span"")"),"Loading...")</f>
        <v>Loading...</v>
      </c>
      <c r="S2850" s="7" t="str">
        <f ca="1">IFERROR(__xludf.DUMMYFUNCTION("IMPORTXML(E2850,""/html/body/main/div[3]/div[3]/div[2]/ul/li[8]/span[2]/span"")"),"Loading...")</f>
        <v>Loading...</v>
      </c>
      <c r="T2850" s="4">
        <v>34.6</v>
      </c>
      <c r="U2850" s="4">
        <v>22.7</v>
      </c>
      <c r="V2850" s="4">
        <v>2.6</v>
      </c>
      <c r="W2850" s="4">
        <v>5.7</v>
      </c>
      <c r="X2850" s="4">
        <v>519.92999999999995</v>
      </c>
      <c r="Y2850" s="7" t="e">
        <f t="shared" ca="1" si="59"/>
        <v>#VALUE!</v>
      </c>
    </row>
    <row r="2851" spans="1:25" ht="15" x14ac:dyDescent="0.25">
      <c r="A2851" s="4">
        <v>2814</v>
      </c>
      <c r="C2851" s="41" t="s">
        <v>5152</v>
      </c>
      <c r="D2851" s="42"/>
      <c r="E2851" s="5" t="str">
        <f t="shared" si="55"/>
        <v>https://www.screener.in/company//consolidated/</v>
      </c>
      <c r="F2851" s="4">
        <v>443059</v>
      </c>
      <c r="G2851" s="4">
        <v>3832241897</v>
      </c>
      <c r="H2851" s="6" t="e">
        <f t="shared" ca="1" si="56"/>
        <v>#VALUE!</v>
      </c>
      <c r="I2851" s="7" t="str">
        <f ca="1">IFERROR(__xludf.DUMMYFUNCTION("IMPORTXML(E2851,""/html/body/main/div[3]/div[3]/div[2]/ul/li[5]/span[2]/span"")"),"Loading...")</f>
        <v>Loading...</v>
      </c>
      <c r="J2851" s="7" t="str">
        <f ca="1">IFERROR(__xludf.DUMMYFUNCTION("GOOGLEFINANCE(""NSE:""&amp;D2851,""marketcap"")"),"#N/A")</f>
        <v>#N/A</v>
      </c>
      <c r="K2851" s="7">
        <v>992.8</v>
      </c>
      <c r="L2851" s="8" t="str">
        <f ca="1">IFERROR(__xludf.DUMMYFUNCTION("GOOGLEFINANCE(""NSE:""&amp;D2851,""price"")"),"#N/A")</f>
        <v>#N/A</v>
      </c>
      <c r="M2851" s="9" t="e">
        <f t="shared" ca="1" si="57"/>
        <v>#VALUE!</v>
      </c>
      <c r="N2851" s="10" t="e">
        <f t="shared" ca="1" si="58"/>
        <v>#VALUE!</v>
      </c>
      <c r="O2851" s="7" t="str">
        <f ca="1">IFERROR(__xludf.DUMMYFUNCTION("GOOGLEFINANCE(""NSE:""&amp;D2851,""pe"")"),"#N/A")</f>
        <v>#N/A</v>
      </c>
      <c r="P2851" s="7" t="str">
        <f ca="1">IFERROR(__xludf.DUMMYFUNCTION("GOOGLEFINANCE(""NSE:""&amp;D2851,""EPS"")"),"#N/A")</f>
        <v>#N/A</v>
      </c>
      <c r="Q2851" s="7">
        <v>13.5</v>
      </c>
      <c r="R2851" s="7" t="str">
        <f ca="1">IFERROR(__xludf.DUMMYFUNCTION("IMPORTXML(E2851,""/html/body/main/div[3]/div[3]/div[2]/ul/li[7]/span[2]/span"")"),"Loading...")</f>
        <v>Loading...</v>
      </c>
      <c r="S2851" s="7" t="str">
        <f ca="1">IFERROR(__xludf.DUMMYFUNCTION("IMPORTXML(E2851,""/html/body/main/div[3]/div[3]/div[2]/ul/li[8]/span[2]/span"")"),"Loading...")</f>
        <v>Loading...</v>
      </c>
      <c r="T2851" s="4">
        <v>34.6</v>
      </c>
      <c r="U2851" s="4">
        <v>22.7</v>
      </c>
      <c r="V2851" s="4">
        <v>2.6</v>
      </c>
      <c r="W2851" s="4">
        <v>5.7</v>
      </c>
      <c r="X2851" s="4">
        <v>519.92999999999995</v>
      </c>
      <c r="Y2851" s="7" t="e">
        <f t="shared" ca="1" si="59"/>
        <v>#VALUE!</v>
      </c>
    </row>
    <row r="2852" spans="1:25" ht="15" x14ac:dyDescent="0.25">
      <c r="A2852" s="4">
        <v>2815</v>
      </c>
      <c r="C2852" s="41" t="s">
        <v>5153</v>
      </c>
      <c r="D2852" s="42"/>
      <c r="E2852" s="5" t="str">
        <f t="shared" si="55"/>
        <v>https://www.screener.in/company//consolidated/</v>
      </c>
      <c r="F2852" s="4">
        <v>443059</v>
      </c>
      <c r="G2852" s="4">
        <v>3832241897</v>
      </c>
      <c r="H2852" s="6" t="e">
        <f t="shared" ca="1" si="56"/>
        <v>#VALUE!</v>
      </c>
      <c r="I2852" s="7" t="str">
        <f ca="1">IFERROR(__xludf.DUMMYFUNCTION("IMPORTXML(E2852,""/html/body/main/div[3]/div[3]/div[2]/ul/li[5]/span[2]/span"")"),"Loading...")</f>
        <v>Loading...</v>
      </c>
      <c r="J2852" s="7" t="str">
        <f ca="1">IFERROR(__xludf.DUMMYFUNCTION("GOOGLEFINANCE(""NSE:""&amp;D2852,""marketcap"")"),"#N/A")</f>
        <v>#N/A</v>
      </c>
      <c r="K2852" s="7">
        <v>992.8</v>
      </c>
      <c r="L2852" s="8" t="str">
        <f ca="1">IFERROR(__xludf.DUMMYFUNCTION("GOOGLEFINANCE(""NSE:""&amp;D2852,""price"")"),"#N/A")</f>
        <v>#N/A</v>
      </c>
      <c r="M2852" s="9" t="e">
        <f t="shared" ca="1" si="57"/>
        <v>#VALUE!</v>
      </c>
      <c r="N2852" s="10" t="e">
        <f t="shared" ca="1" si="58"/>
        <v>#VALUE!</v>
      </c>
      <c r="O2852" s="7" t="str">
        <f ca="1">IFERROR(__xludf.DUMMYFUNCTION("GOOGLEFINANCE(""NSE:""&amp;D2852,""pe"")"),"#N/A")</f>
        <v>#N/A</v>
      </c>
      <c r="P2852" s="7" t="str">
        <f ca="1">IFERROR(__xludf.DUMMYFUNCTION("GOOGLEFINANCE(""NSE:""&amp;D2852,""EPS"")"),"#N/A")</f>
        <v>#N/A</v>
      </c>
      <c r="Q2852" s="7">
        <v>13.5</v>
      </c>
      <c r="R2852" s="7" t="str">
        <f ca="1">IFERROR(__xludf.DUMMYFUNCTION("IMPORTXML(E2852,""/html/body/main/div[3]/div[3]/div[2]/ul/li[7]/span[2]/span"")"),"Loading...")</f>
        <v>Loading...</v>
      </c>
      <c r="S2852" s="7" t="str">
        <f ca="1">IFERROR(__xludf.DUMMYFUNCTION("IMPORTXML(E2852,""/html/body/main/div[3]/div[3]/div[2]/ul/li[8]/span[2]/span"")"),"Loading...")</f>
        <v>Loading...</v>
      </c>
      <c r="T2852" s="4">
        <v>34.6</v>
      </c>
      <c r="U2852" s="4">
        <v>22.7</v>
      </c>
      <c r="V2852" s="4">
        <v>2.6</v>
      </c>
      <c r="W2852" s="4">
        <v>5.7</v>
      </c>
      <c r="X2852" s="4">
        <v>519.92999999999995</v>
      </c>
      <c r="Y2852" s="7" t="e">
        <f t="shared" ca="1" si="59"/>
        <v>#VALUE!</v>
      </c>
    </row>
    <row r="2853" spans="1:25" ht="15" x14ac:dyDescent="0.25">
      <c r="A2853" s="4">
        <v>2816</v>
      </c>
      <c r="C2853" s="41" t="s">
        <v>5154</v>
      </c>
      <c r="D2853" s="42"/>
      <c r="E2853" s="5" t="str">
        <f t="shared" si="55"/>
        <v>https://www.screener.in/company//consolidated/</v>
      </c>
      <c r="F2853" s="4">
        <v>443059</v>
      </c>
      <c r="G2853" s="4">
        <v>3832241897</v>
      </c>
      <c r="H2853" s="6" t="e">
        <f t="shared" ca="1" si="56"/>
        <v>#VALUE!</v>
      </c>
      <c r="I2853" s="7" t="str">
        <f ca="1">IFERROR(__xludf.DUMMYFUNCTION("IMPORTXML(E2853,""/html/body/main/div[3]/div[3]/div[2]/ul/li[5]/span[2]/span"")"),"Loading...")</f>
        <v>Loading...</v>
      </c>
      <c r="J2853" s="7" t="str">
        <f ca="1">IFERROR(__xludf.DUMMYFUNCTION("GOOGLEFINANCE(""NSE:""&amp;D2853,""marketcap"")"),"#N/A")</f>
        <v>#N/A</v>
      </c>
      <c r="K2853" s="7">
        <v>992.8</v>
      </c>
      <c r="L2853" s="8" t="str">
        <f ca="1">IFERROR(__xludf.DUMMYFUNCTION("GOOGLEFINANCE(""NSE:""&amp;D2853,""price"")"),"#N/A")</f>
        <v>#N/A</v>
      </c>
      <c r="M2853" s="9" t="e">
        <f t="shared" ca="1" si="57"/>
        <v>#VALUE!</v>
      </c>
      <c r="N2853" s="10" t="e">
        <f t="shared" ca="1" si="58"/>
        <v>#VALUE!</v>
      </c>
      <c r="O2853" s="7" t="str">
        <f ca="1">IFERROR(__xludf.DUMMYFUNCTION("GOOGLEFINANCE(""NSE:""&amp;D2853,""pe"")"),"#N/A")</f>
        <v>#N/A</v>
      </c>
      <c r="P2853" s="7" t="str">
        <f ca="1">IFERROR(__xludf.DUMMYFUNCTION("GOOGLEFINANCE(""NSE:""&amp;D2853,""EPS"")"),"#N/A")</f>
        <v>#N/A</v>
      </c>
      <c r="Q2853" s="7">
        <v>13.5</v>
      </c>
      <c r="R2853" s="7" t="str">
        <f ca="1">IFERROR(__xludf.DUMMYFUNCTION("IMPORTXML(E2853,""/html/body/main/div[3]/div[3]/div[2]/ul/li[7]/span[2]/span"")"),"Loading...")</f>
        <v>Loading...</v>
      </c>
      <c r="S2853" s="7" t="str">
        <f ca="1">IFERROR(__xludf.DUMMYFUNCTION("IMPORTXML(E2853,""/html/body/main/div[3]/div[3]/div[2]/ul/li[8]/span[2]/span"")"),"Loading...")</f>
        <v>Loading...</v>
      </c>
      <c r="T2853" s="4">
        <v>34.6</v>
      </c>
      <c r="U2853" s="4">
        <v>22.7</v>
      </c>
      <c r="V2853" s="4">
        <v>2.6</v>
      </c>
      <c r="W2853" s="4">
        <v>5.7</v>
      </c>
      <c r="X2853" s="4">
        <v>519.92999999999995</v>
      </c>
      <c r="Y2853" s="7" t="e">
        <f t="shared" ca="1" si="59"/>
        <v>#VALUE!</v>
      </c>
    </row>
    <row r="2854" spans="1:25" ht="15" x14ac:dyDescent="0.25">
      <c r="A2854" s="4">
        <v>2817</v>
      </c>
      <c r="C2854" s="41" t="s">
        <v>5155</v>
      </c>
      <c r="D2854" s="42"/>
      <c r="E2854" s="5" t="str">
        <f t="shared" si="55"/>
        <v>https://www.screener.in/company//consolidated/</v>
      </c>
      <c r="F2854" s="4">
        <v>443059</v>
      </c>
      <c r="G2854" s="4">
        <v>3832241897</v>
      </c>
      <c r="H2854" s="6" t="e">
        <f t="shared" ca="1" si="56"/>
        <v>#VALUE!</v>
      </c>
      <c r="I2854" s="7" t="str">
        <f ca="1">IFERROR(__xludf.DUMMYFUNCTION("IMPORTXML(E2854,""/html/body/main/div[3]/div[3]/div[2]/ul/li[5]/span[2]/span"")"),"Loading...")</f>
        <v>Loading...</v>
      </c>
      <c r="J2854" s="7" t="str">
        <f ca="1">IFERROR(__xludf.DUMMYFUNCTION("GOOGLEFINANCE(""NSE:""&amp;D2854,""marketcap"")"),"#N/A")</f>
        <v>#N/A</v>
      </c>
      <c r="K2854" s="7">
        <v>992.8</v>
      </c>
      <c r="L2854" s="8" t="str">
        <f ca="1">IFERROR(__xludf.DUMMYFUNCTION("GOOGLEFINANCE(""NSE:""&amp;D2854,""price"")"),"#N/A")</f>
        <v>#N/A</v>
      </c>
      <c r="M2854" s="9" t="e">
        <f t="shared" ca="1" si="57"/>
        <v>#VALUE!</v>
      </c>
      <c r="N2854" s="10" t="e">
        <f t="shared" ca="1" si="58"/>
        <v>#VALUE!</v>
      </c>
      <c r="O2854" s="7" t="str">
        <f ca="1">IFERROR(__xludf.DUMMYFUNCTION("GOOGLEFINANCE(""NSE:""&amp;D2854,""pe"")"),"#N/A")</f>
        <v>#N/A</v>
      </c>
      <c r="P2854" s="7" t="str">
        <f ca="1">IFERROR(__xludf.DUMMYFUNCTION("GOOGLEFINANCE(""NSE:""&amp;D2854,""EPS"")"),"#N/A")</f>
        <v>#N/A</v>
      </c>
      <c r="Q2854" s="7">
        <v>13.5</v>
      </c>
      <c r="R2854" s="7" t="str">
        <f ca="1">IFERROR(__xludf.DUMMYFUNCTION("IMPORTXML(E2854,""/html/body/main/div[3]/div[3]/div[2]/ul/li[7]/span[2]/span"")"),"Loading...")</f>
        <v>Loading...</v>
      </c>
      <c r="S2854" s="7" t="str">
        <f ca="1">IFERROR(__xludf.DUMMYFUNCTION("IMPORTXML(E2854,""/html/body/main/div[3]/div[3]/div[2]/ul/li[8]/span[2]/span"")"),"Loading...")</f>
        <v>Loading...</v>
      </c>
      <c r="T2854" s="4">
        <v>34.6</v>
      </c>
      <c r="U2854" s="4">
        <v>22.7</v>
      </c>
      <c r="V2854" s="4">
        <v>2.6</v>
      </c>
      <c r="W2854" s="4">
        <v>5.7</v>
      </c>
      <c r="X2854" s="4">
        <v>519.92999999999995</v>
      </c>
      <c r="Y2854" s="7" t="e">
        <f t="shared" ca="1" si="59"/>
        <v>#VALUE!</v>
      </c>
    </row>
    <row r="2855" spans="1:25" ht="15" x14ac:dyDescent="0.25">
      <c r="A2855" s="4">
        <v>2818</v>
      </c>
      <c r="C2855" s="41" t="s">
        <v>5156</v>
      </c>
      <c r="D2855" s="42"/>
      <c r="E2855" s="5" t="str">
        <f t="shared" si="55"/>
        <v>https://www.screener.in/company//consolidated/</v>
      </c>
      <c r="F2855" s="4">
        <v>443059</v>
      </c>
      <c r="G2855" s="4">
        <v>3832241897</v>
      </c>
      <c r="H2855" s="6" t="e">
        <f t="shared" ca="1" si="56"/>
        <v>#VALUE!</v>
      </c>
      <c r="I2855" s="7" t="str">
        <f ca="1">IFERROR(__xludf.DUMMYFUNCTION("IMPORTXML(E2855,""/html/body/main/div[3]/div[3]/div[2]/ul/li[5]/span[2]/span"")"),"Loading...")</f>
        <v>Loading...</v>
      </c>
      <c r="J2855" s="7" t="str">
        <f ca="1">IFERROR(__xludf.DUMMYFUNCTION("GOOGLEFINANCE(""NSE:""&amp;D2855,""marketcap"")"),"#N/A")</f>
        <v>#N/A</v>
      </c>
      <c r="K2855" s="7">
        <v>992.8</v>
      </c>
      <c r="L2855" s="8" t="str">
        <f ca="1">IFERROR(__xludf.DUMMYFUNCTION("GOOGLEFINANCE(""NSE:""&amp;D2855,""price"")"),"#N/A")</f>
        <v>#N/A</v>
      </c>
      <c r="M2855" s="9" t="e">
        <f t="shared" ca="1" si="57"/>
        <v>#VALUE!</v>
      </c>
      <c r="N2855" s="10" t="e">
        <f t="shared" ca="1" si="58"/>
        <v>#VALUE!</v>
      </c>
      <c r="O2855" s="7" t="str">
        <f ca="1">IFERROR(__xludf.DUMMYFUNCTION("GOOGLEFINANCE(""NSE:""&amp;D2855,""pe"")"),"#N/A")</f>
        <v>#N/A</v>
      </c>
      <c r="P2855" s="7" t="str">
        <f ca="1">IFERROR(__xludf.DUMMYFUNCTION("GOOGLEFINANCE(""NSE:""&amp;D2855,""EPS"")"),"#N/A")</f>
        <v>#N/A</v>
      </c>
      <c r="Q2855" s="7">
        <v>13.5</v>
      </c>
      <c r="R2855" s="7" t="str">
        <f ca="1">IFERROR(__xludf.DUMMYFUNCTION("IMPORTXML(E2855,""/html/body/main/div[3]/div[3]/div[2]/ul/li[7]/span[2]/span"")"),"Loading...")</f>
        <v>Loading...</v>
      </c>
      <c r="S2855" s="7" t="str">
        <f ca="1">IFERROR(__xludf.DUMMYFUNCTION("IMPORTXML(E2855,""/html/body/main/div[3]/div[3]/div[2]/ul/li[8]/span[2]/span"")"),"Loading...")</f>
        <v>Loading...</v>
      </c>
      <c r="T2855" s="4">
        <v>34.6</v>
      </c>
      <c r="U2855" s="4">
        <v>22.7</v>
      </c>
      <c r="V2855" s="4">
        <v>2.6</v>
      </c>
      <c r="W2855" s="4">
        <v>5.7</v>
      </c>
      <c r="X2855" s="4">
        <v>519.92999999999995</v>
      </c>
      <c r="Y2855" s="7" t="e">
        <f t="shared" ca="1" si="59"/>
        <v>#VALUE!</v>
      </c>
    </row>
    <row r="2856" spans="1:25" ht="15" x14ac:dyDescent="0.25">
      <c r="A2856" s="4">
        <v>2819</v>
      </c>
      <c r="C2856" s="41" t="s">
        <v>5157</v>
      </c>
      <c r="D2856" s="42"/>
      <c r="E2856" s="5" t="str">
        <f t="shared" si="55"/>
        <v>https://www.screener.in/company//consolidated/</v>
      </c>
      <c r="F2856" s="4">
        <v>443059</v>
      </c>
      <c r="G2856" s="4">
        <v>3832241897</v>
      </c>
      <c r="H2856" s="6" t="e">
        <f t="shared" ca="1" si="56"/>
        <v>#VALUE!</v>
      </c>
      <c r="I2856" s="7" t="str">
        <f ca="1">IFERROR(__xludf.DUMMYFUNCTION("IMPORTXML(E2856,""/html/body/main/div[3]/div[3]/div[2]/ul/li[5]/span[2]/span"")"),"Loading...")</f>
        <v>Loading...</v>
      </c>
      <c r="J2856" s="7" t="str">
        <f ca="1">IFERROR(__xludf.DUMMYFUNCTION("GOOGLEFINANCE(""NSE:""&amp;D2856,""marketcap"")"),"#N/A")</f>
        <v>#N/A</v>
      </c>
      <c r="K2856" s="7">
        <v>992.8</v>
      </c>
      <c r="L2856" s="8" t="str">
        <f ca="1">IFERROR(__xludf.DUMMYFUNCTION("GOOGLEFINANCE(""NSE:""&amp;D2856,""price"")"),"#N/A")</f>
        <v>#N/A</v>
      </c>
      <c r="M2856" s="9" t="e">
        <f t="shared" ca="1" si="57"/>
        <v>#VALUE!</v>
      </c>
      <c r="N2856" s="10" t="e">
        <f t="shared" ca="1" si="58"/>
        <v>#VALUE!</v>
      </c>
      <c r="O2856" s="7" t="str">
        <f ca="1">IFERROR(__xludf.DUMMYFUNCTION("GOOGLEFINANCE(""NSE:""&amp;D2856,""pe"")"),"#N/A")</f>
        <v>#N/A</v>
      </c>
      <c r="P2856" s="7" t="str">
        <f ca="1">IFERROR(__xludf.DUMMYFUNCTION("GOOGLEFINANCE(""NSE:""&amp;D2856,""EPS"")"),"#N/A")</f>
        <v>#N/A</v>
      </c>
      <c r="Q2856" s="7">
        <v>13.5</v>
      </c>
      <c r="R2856" s="7" t="str">
        <f ca="1">IFERROR(__xludf.DUMMYFUNCTION("IMPORTXML(E2856,""/html/body/main/div[3]/div[3]/div[2]/ul/li[7]/span[2]/span"")"),"Loading...")</f>
        <v>Loading...</v>
      </c>
      <c r="S2856" s="7" t="str">
        <f ca="1">IFERROR(__xludf.DUMMYFUNCTION("IMPORTXML(E2856,""/html/body/main/div[3]/div[3]/div[2]/ul/li[8]/span[2]/span"")"),"Loading...")</f>
        <v>Loading...</v>
      </c>
      <c r="T2856" s="4">
        <v>34.6</v>
      </c>
      <c r="U2856" s="4">
        <v>22.7</v>
      </c>
      <c r="V2856" s="4">
        <v>2.6</v>
      </c>
      <c r="W2856" s="4">
        <v>5.7</v>
      </c>
      <c r="X2856" s="4">
        <v>519.92999999999995</v>
      </c>
      <c r="Y2856" s="7" t="e">
        <f t="shared" ca="1" si="59"/>
        <v>#VALUE!</v>
      </c>
    </row>
    <row r="2857" spans="1:25" ht="15" x14ac:dyDescent="0.25">
      <c r="A2857" s="4">
        <v>2820</v>
      </c>
      <c r="C2857" s="41" t="s">
        <v>5158</v>
      </c>
      <c r="D2857" s="42"/>
      <c r="E2857" s="5" t="str">
        <f t="shared" si="55"/>
        <v>https://www.screener.in/company//consolidated/</v>
      </c>
      <c r="F2857" s="4">
        <v>443059</v>
      </c>
      <c r="G2857" s="4">
        <v>3832241897</v>
      </c>
      <c r="H2857" s="6" t="e">
        <f t="shared" ca="1" si="56"/>
        <v>#VALUE!</v>
      </c>
      <c r="I2857" s="7" t="str">
        <f ca="1">IFERROR(__xludf.DUMMYFUNCTION("IMPORTXML(E2857,""/html/body/main/div[3]/div[3]/div[2]/ul/li[5]/span[2]/span"")"),"Loading...")</f>
        <v>Loading...</v>
      </c>
      <c r="J2857" s="7" t="str">
        <f ca="1">IFERROR(__xludf.DUMMYFUNCTION("GOOGLEFINANCE(""NSE:""&amp;D2857,""marketcap"")"),"#N/A")</f>
        <v>#N/A</v>
      </c>
      <c r="K2857" s="7">
        <v>992.8</v>
      </c>
      <c r="L2857" s="8" t="str">
        <f ca="1">IFERROR(__xludf.DUMMYFUNCTION("GOOGLEFINANCE(""NSE:""&amp;D2857,""price"")"),"#N/A")</f>
        <v>#N/A</v>
      </c>
      <c r="M2857" s="9" t="e">
        <f t="shared" ca="1" si="57"/>
        <v>#VALUE!</v>
      </c>
      <c r="N2857" s="10" t="e">
        <f t="shared" ca="1" si="58"/>
        <v>#VALUE!</v>
      </c>
      <c r="O2857" s="7" t="str">
        <f ca="1">IFERROR(__xludf.DUMMYFUNCTION("GOOGLEFINANCE(""NSE:""&amp;D2857,""pe"")"),"#N/A")</f>
        <v>#N/A</v>
      </c>
      <c r="P2857" s="7" t="str">
        <f ca="1">IFERROR(__xludf.DUMMYFUNCTION("GOOGLEFINANCE(""NSE:""&amp;D2857,""EPS"")"),"#N/A")</f>
        <v>#N/A</v>
      </c>
      <c r="Q2857" s="7">
        <v>13.5</v>
      </c>
      <c r="R2857" s="7" t="str">
        <f ca="1">IFERROR(__xludf.DUMMYFUNCTION("IMPORTXML(E2857,""/html/body/main/div[3]/div[3]/div[2]/ul/li[7]/span[2]/span"")"),"Loading...")</f>
        <v>Loading...</v>
      </c>
      <c r="S2857" s="7" t="str">
        <f ca="1">IFERROR(__xludf.DUMMYFUNCTION("IMPORTXML(E2857,""/html/body/main/div[3]/div[3]/div[2]/ul/li[8]/span[2]/span"")"),"Loading...")</f>
        <v>Loading...</v>
      </c>
      <c r="T2857" s="4">
        <v>34.6</v>
      </c>
      <c r="U2857" s="4">
        <v>22.7</v>
      </c>
      <c r="V2857" s="4">
        <v>2.6</v>
      </c>
      <c r="W2857" s="4">
        <v>5.7</v>
      </c>
      <c r="X2857" s="4">
        <v>519.92999999999995</v>
      </c>
      <c r="Y2857" s="7" t="e">
        <f t="shared" ca="1" si="59"/>
        <v>#VALUE!</v>
      </c>
    </row>
    <row r="2858" spans="1:25" ht="15" x14ac:dyDescent="0.25">
      <c r="A2858" s="4">
        <v>2822</v>
      </c>
      <c r="C2858" s="41" t="s">
        <v>5159</v>
      </c>
      <c r="D2858" s="42"/>
      <c r="E2858" s="5" t="str">
        <f t="shared" si="55"/>
        <v>https://www.screener.in/company//consolidated/</v>
      </c>
      <c r="F2858" s="4">
        <v>443059</v>
      </c>
      <c r="G2858" s="4">
        <v>3832241897</v>
      </c>
      <c r="H2858" s="6" t="e">
        <f t="shared" ca="1" si="56"/>
        <v>#VALUE!</v>
      </c>
      <c r="I2858" s="7" t="str">
        <f ca="1">IFERROR(__xludf.DUMMYFUNCTION("IMPORTXML(E2858,""/html/body/main/div[3]/div[3]/div[2]/ul/li[5]/span[2]/span"")"),"Loading...")</f>
        <v>Loading...</v>
      </c>
      <c r="J2858" s="7" t="str">
        <f ca="1">IFERROR(__xludf.DUMMYFUNCTION("GOOGLEFINANCE(""NSE:""&amp;D2858,""marketcap"")"),"#N/A")</f>
        <v>#N/A</v>
      </c>
      <c r="K2858" s="7">
        <v>992.8</v>
      </c>
      <c r="L2858" s="8" t="str">
        <f ca="1">IFERROR(__xludf.DUMMYFUNCTION("GOOGLEFINANCE(""NSE:""&amp;D2858,""price"")"),"#N/A")</f>
        <v>#N/A</v>
      </c>
      <c r="M2858" s="9" t="e">
        <f t="shared" ca="1" si="57"/>
        <v>#VALUE!</v>
      </c>
      <c r="N2858" s="10" t="e">
        <f t="shared" ca="1" si="58"/>
        <v>#VALUE!</v>
      </c>
      <c r="O2858" s="7" t="str">
        <f ca="1">IFERROR(__xludf.DUMMYFUNCTION("GOOGLEFINANCE(""NSE:""&amp;D2858,""pe"")"),"#N/A")</f>
        <v>#N/A</v>
      </c>
      <c r="P2858" s="7" t="str">
        <f ca="1">IFERROR(__xludf.DUMMYFUNCTION("GOOGLEFINANCE(""NSE:""&amp;D2858,""EPS"")"),"#N/A")</f>
        <v>#N/A</v>
      </c>
      <c r="Q2858" s="7">
        <v>13.5</v>
      </c>
      <c r="R2858" s="7" t="str">
        <f ca="1">IFERROR(__xludf.DUMMYFUNCTION("IMPORTXML(E2858,""/html/body/main/div[3]/div[3]/div[2]/ul/li[7]/span[2]/span"")"),"Loading...")</f>
        <v>Loading...</v>
      </c>
      <c r="S2858" s="7" t="str">
        <f ca="1">IFERROR(__xludf.DUMMYFUNCTION("IMPORTXML(E2858,""/html/body/main/div[3]/div[3]/div[2]/ul/li[8]/span[2]/span"")"),"Loading...")</f>
        <v>Loading...</v>
      </c>
      <c r="T2858" s="4">
        <v>34.6</v>
      </c>
      <c r="U2858" s="4">
        <v>22.7</v>
      </c>
      <c r="V2858" s="4">
        <v>2.6</v>
      </c>
      <c r="W2858" s="4">
        <v>5.7</v>
      </c>
      <c r="X2858" s="4">
        <v>519.92999999999995</v>
      </c>
      <c r="Y2858" s="7" t="e">
        <f t="shared" ca="1" si="59"/>
        <v>#VALUE!</v>
      </c>
    </row>
    <row r="2859" spans="1:25" ht="15" x14ac:dyDescent="0.25">
      <c r="A2859" s="4">
        <v>2823</v>
      </c>
      <c r="C2859" s="41" t="s">
        <v>5160</v>
      </c>
      <c r="D2859" s="42"/>
      <c r="E2859" s="5" t="str">
        <f t="shared" si="55"/>
        <v>https://www.screener.in/company//consolidated/</v>
      </c>
      <c r="F2859" s="4">
        <v>443059</v>
      </c>
      <c r="G2859" s="4">
        <v>3832241897</v>
      </c>
      <c r="H2859" s="6" t="e">
        <f t="shared" ca="1" si="56"/>
        <v>#VALUE!</v>
      </c>
      <c r="I2859" s="7" t="str">
        <f ca="1">IFERROR(__xludf.DUMMYFUNCTION("IMPORTXML(E2859,""/html/body/main/div[3]/div[3]/div[2]/ul/li[5]/span[2]/span"")"),"Loading...")</f>
        <v>Loading...</v>
      </c>
      <c r="J2859" s="7" t="str">
        <f ca="1">IFERROR(__xludf.DUMMYFUNCTION("GOOGLEFINANCE(""NSE:""&amp;D2859,""marketcap"")"),"#N/A")</f>
        <v>#N/A</v>
      </c>
      <c r="K2859" s="7">
        <v>992.8</v>
      </c>
      <c r="L2859" s="8" t="str">
        <f ca="1">IFERROR(__xludf.DUMMYFUNCTION("GOOGLEFINANCE(""NSE:""&amp;D2859,""price"")"),"#N/A")</f>
        <v>#N/A</v>
      </c>
      <c r="M2859" s="9" t="e">
        <f t="shared" ca="1" si="57"/>
        <v>#VALUE!</v>
      </c>
      <c r="N2859" s="10" t="e">
        <f t="shared" ca="1" si="58"/>
        <v>#VALUE!</v>
      </c>
      <c r="O2859" s="7" t="str">
        <f ca="1">IFERROR(__xludf.DUMMYFUNCTION("GOOGLEFINANCE(""NSE:""&amp;D2859,""pe"")"),"#N/A")</f>
        <v>#N/A</v>
      </c>
      <c r="P2859" s="7" t="str">
        <f ca="1">IFERROR(__xludf.DUMMYFUNCTION("GOOGLEFINANCE(""NSE:""&amp;D2859,""EPS"")"),"#N/A")</f>
        <v>#N/A</v>
      </c>
      <c r="Q2859" s="7">
        <v>13.5</v>
      </c>
      <c r="R2859" s="7" t="str">
        <f ca="1">IFERROR(__xludf.DUMMYFUNCTION("IMPORTXML(E2859,""/html/body/main/div[3]/div[3]/div[2]/ul/li[7]/span[2]/span"")"),"Loading...")</f>
        <v>Loading...</v>
      </c>
      <c r="S2859" s="7" t="str">
        <f ca="1">IFERROR(__xludf.DUMMYFUNCTION("IMPORTXML(E2859,""/html/body/main/div[3]/div[3]/div[2]/ul/li[8]/span[2]/span"")"),"Loading...")</f>
        <v>Loading...</v>
      </c>
      <c r="T2859" s="4">
        <v>34.6</v>
      </c>
      <c r="U2859" s="4">
        <v>22.7</v>
      </c>
      <c r="V2859" s="4">
        <v>2.6</v>
      </c>
      <c r="W2859" s="4">
        <v>5.7</v>
      </c>
      <c r="X2859" s="4">
        <v>519.92999999999995</v>
      </c>
      <c r="Y2859" s="7" t="e">
        <f t="shared" ca="1" si="59"/>
        <v>#VALUE!</v>
      </c>
    </row>
    <row r="2860" spans="1:25" ht="15" x14ac:dyDescent="0.25">
      <c r="A2860" s="4">
        <v>2824</v>
      </c>
      <c r="C2860" s="41" t="s">
        <v>5161</v>
      </c>
      <c r="D2860" s="42"/>
      <c r="E2860" s="5" t="str">
        <f t="shared" si="55"/>
        <v>https://www.screener.in/company//consolidated/</v>
      </c>
      <c r="F2860" s="4">
        <v>443059</v>
      </c>
      <c r="G2860" s="4">
        <v>3832241897</v>
      </c>
      <c r="H2860" s="6" t="e">
        <f t="shared" ca="1" si="56"/>
        <v>#VALUE!</v>
      </c>
      <c r="I2860" s="7" t="str">
        <f ca="1">IFERROR(__xludf.DUMMYFUNCTION("IMPORTXML(E2860,""/html/body/main/div[3]/div[3]/div[2]/ul/li[5]/span[2]/span"")"),"Loading...")</f>
        <v>Loading...</v>
      </c>
      <c r="J2860" s="7" t="str">
        <f ca="1">IFERROR(__xludf.DUMMYFUNCTION("GOOGLEFINANCE(""NSE:""&amp;D2860,""marketcap"")"),"#N/A")</f>
        <v>#N/A</v>
      </c>
      <c r="K2860" s="7">
        <v>992.8</v>
      </c>
      <c r="L2860" s="8" t="str">
        <f ca="1">IFERROR(__xludf.DUMMYFUNCTION("GOOGLEFINANCE(""NSE:""&amp;D2860,""price"")"),"#N/A")</f>
        <v>#N/A</v>
      </c>
      <c r="M2860" s="9" t="e">
        <f t="shared" ca="1" si="57"/>
        <v>#VALUE!</v>
      </c>
      <c r="N2860" s="10" t="e">
        <f t="shared" ca="1" si="58"/>
        <v>#VALUE!</v>
      </c>
      <c r="O2860" s="7" t="str">
        <f ca="1">IFERROR(__xludf.DUMMYFUNCTION("GOOGLEFINANCE(""NSE:""&amp;D2860,""pe"")"),"#N/A")</f>
        <v>#N/A</v>
      </c>
      <c r="P2860" s="7" t="str">
        <f ca="1">IFERROR(__xludf.DUMMYFUNCTION("GOOGLEFINANCE(""NSE:""&amp;D2860,""EPS"")"),"#N/A")</f>
        <v>#N/A</v>
      </c>
      <c r="Q2860" s="7">
        <v>13.5</v>
      </c>
      <c r="R2860" s="7" t="str">
        <f ca="1">IFERROR(__xludf.DUMMYFUNCTION("IMPORTXML(E2860,""/html/body/main/div[3]/div[3]/div[2]/ul/li[7]/span[2]/span"")"),"Loading...")</f>
        <v>Loading...</v>
      </c>
      <c r="S2860" s="7" t="str">
        <f ca="1">IFERROR(__xludf.DUMMYFUNCTION("IMPORTXML(E2860,""/html/body/main/div[3]/div[3]/div[2]/ul/li[8]/span[2]/span"")"),"Loading...")</f>
        <v>Loading...</v>
      </c>
      <c r="T2860" s="4">
        <v>34.6</v>
      </c>
      <c r="U2860" s="4">
        <v>22.7</v>
      </c>
      <c r="V2860" s="4">
        <v>2.6</v>
      </c>
      <c r="W2860" s="4">
        <v>5.7</v>
      </c>
      <c r="X2860" s="4">
        <v>519.92999999999995</v>
      </c>
      <c r="Y2860" s="7" t="e">
        <f t="shared" ca="1" si="59"/>
        <v>#VALUE!</v>
      </c>
    </row>
    <row r="2861" spans="1:25" ht="15" x14ac:dyDescent="0.25">
      <c r="A2861" s="4">
        <v>2825</v>
      </c>
      <c r="C2861" s="41" t="s">
        <v>5162</v>
      </c>
      <c r="D2861" s="42"/>
      <c r="E2861" s="5" t="str">
        <f t="shared" si="55"/>
        <v>https://www.screener.in/company//consolidated/</v>
      </c>
      <c r="F2861" s="4">
        <v>443059</v>
      </c>
      <c r="G2861" s="4">
        <v>3832241897</v>
      </c>
      <c r="H2861" s="6" t="e">
        <f t="shared" ca="1" si="56"/>
        <v>#VALUE!</v>
      </c>
      <c r="I2861" s="7" t="str">
        <f ca="1">IFERROR(__xludf.DUMMYFUNCTION("IMPORTXML(E2861,""/html/body/main/div[3]/div[3]/div[2]/ul/li[5]/span[2]/span"")"),"Loading...")</f>
        <v>Loading...</v>
      </c>
      <c r="J2861" s="7" t="str">
        <f ca="1">IFERROR(__xludf.DUMMYFUNCTION("GOOGLEFINANCE(""NSE:""&amp;D2861,""marketcap"")"),"#N/A")</f>
        <v>#N/A</v>
      </c>
      <c r="K2861" s="7">
        <v>992.8</v>
      </c>
      <c r="L2861" s="8" t="str">
        <f ca="1">IFERROR(__xludf.DUMMYFUNCTION("GOOGLEFINANCE(""NSE:""&amp;D2861,""price"")"),"#N/A")</f>
        <v>#N/A</v>
      </c>
      <c r="M2861" s="9" t="e">
        <f t="shared" ca="1" si="57"/>
        <v>#VALUE!</v>
      </c>
      <c r="N2861" s="10" t="e">
        <f t="shared" ca="1" si="58"/>
        <v>#VALUE!</v>
      </c>
      <c r="O2861" s="7" t="str">
        <f ca="1">IFERROR(__xludf.DUMMYFUNCTION("GOOGLEFINANCE(""NSE:""&amp;D2861,""pe"")"),"#N/A")</f>
        <v>#N/A</v>
      </c>
      <c r="P2861" s="7" t="str">
        <f ca="1">IFERROR(__xludf.DUMMYFUNCTION("GOOGLEFINANCE(""NSE:""&amp;D2861,""EPS"")"),"#N/A")</f>
        <v>#N/A</v>
      </c>
      <c r="Q2861" s="7">
        <v>13.5</v>
      </c>
      <c r="R2861" s="7" t="str">
        <f ca="1">IFERROR(__xludf.DUMMYFUNCTION("IMPORTXML(E2861,""/html/body/main/div[3]/div[3]/div[2]/ul/li[7]/span[2]/span"")"),"Loading...")</f>
        <v>Loading...</v>
      </c>
      <c r="S2861" s="7" t="str">
        <f ca="1">IFERROR(__xludf.DUMMYFUNCTION("IMPORTXML(E2861,""/html/body/main/div[3]/div[3]/div[2]/ul/li[8]/span[2]/span"")"),"Loading...")</f>
        <v>Loading...</v>
      </c>
      <c r="T2861" s="4">
        <v>34.6</v>
      </c>
      <c r="U2861" s="4">
        <v>22.7</v>
      </c>
      <c r="V2861" s="4">
        <v>2.6</v>
      </c>
      <c r="W2861" s="4">
        <v>5.7</v>
      </c>
      <c r="X2861" s="4">
        <v>519.92999999999995</v>
      </c>
      <c r="Y2861" s="7" t="e">
        <f t="shared" ca="1" si="59"/>
        <v>#VALUE!</v>
      </c>
    </row>
    <row r="2862" spans="1:25" ht="15" x14ac:dyDescent="0.25">
      <c r="A2862" s="4">
        <v>2826</v>
      </c>
      <c r="C2862" s="41" t="s">
        <v>5163</v>
      </c>
      <c r="D2862" s="42"/>
      <c r="E2862" s="5" t="str">
        <f t="shared" si="55"/>
        <v>https://www.screener.in/company//consolidated/</v>
      </c>
      <c r="F2862" s="4">
        <v>443059</v>
      </c>
      <c r="G2862" s="4">
        <v>3832241897</v>
      </c>
      <c r="H2862" s="6" t="e">
        <f t="shared" ca="1" si="56"/>
        <v>#VALUE!</v>
      </c>
      <c r="I2862" s="7" t="str">
        <f ca="1">IFERROR(__xludf.DUMMYFUNCTION("IMPORTXML(E2862,""/html/body/main/div[3]/div[3]/div[2]/ul/li[5]/span[2]/span"")"),"Loading...")</f>
        <v>Loading...</v>
      </c>
      <c r="J2862" s="7" t="str">
        <f ca="1">IFERROR(__xludf.DUMMYFUNCTION("GOOGLEFINANCE(""NSE:""&amp;D2862,""marketcap"")"),"#N/A")</f>
        <v>#N/A</v>
      </c>
      <c r="K2862" s="7">
        <v>992.8</v>
      </c>
      <c r="L2862" s="8" t="str">
        <f ca="1">IFERROR(__xludf.DUMMYFUNCTION("GOOGLEFINANCE(""NSE:""&amp;D2862,""price"")"),"#N/A")</f>
        <v>#N/A</v>
      </c>
      <c r="M2862" s="9" t="e">
        <f t="shared" ca="1" si="57"/>
        <v>#VALUE!</v>
      </c>
      <c r="N2862" s="10" t="e">
        <f t="shared" ca="1" si="58"/>
        <v>#VALUE!</v>
      </c>
      <c r="O2862" s="7" t="str">
        <f ca="1">IFERROR(__xludf.DUMMYFUNCTION("GOOGLEFINANCE(""NSE:""&amp;D2862,""pe"")"),"#N/A")</f>
        <v>#N/A</v>
      </c>
      <c r="P2862" s="7" t="str">
        <f ca="1">IFERROR(__xludf.DUMMYFUNCTION("GOOGLEFINANCE(""NSE:""&amp;D2862,""EPS"")"),"#N/A")</f>
        <v>#N/A</v>
      </c>
      <c r="Q2862" s="7">
        <v>13.5</v>
      </c>
      <c r="R2862" s="7" t="str">
        <f ca="1">IFERROR(__xludf.DUMMYFUNCTION("IMPORTXML(E2862,""/html/body/main/div[3]/div[3]/div[2]/ul/li[7]/span[2]/span"")"),"Loading...")</f>
        <v>Loading...</v>
      </c>
      <c r="S2862" s="7" t="str">
        <f ca="1">IFERROR(__xludf.DUMMYFUNCTION("IMPORTXML(E2862,""/html/body/main/div[3]/div[3]/div[2]/ul/li[8]/span[2]/span"")"),"Loading...")</f>
        <v>Loading...</v>
      </c>
      <c r="T2862" s="4">
        <v>34.6</v>
      </c>
      <c r="U2862" s="4">
        <v>22.7</v>
      </c>
      <c r="V2862" s="4">
        <v>2.6</v>
      </c>
      <c r="W2862" s="4">
        <v>5.7</v>
      </c>
      <c r="X2862" s="4">
        <v>519.92999999999995</v>
      </c>
      <c r="Y2862" s="7" t="e">
        <f t="shared" ca="1" si="59"/>
        <v>#VALUE!</v>
      </c>
    </row>
    <row r="2863" spans="1:25" ht="15" x14ac:dyDescent="0.25">
      <c r="A2863" s="4">
        <v>2827</v>
      </c>
      <c r="C2863" s="41" t="s">
        <v>5164</v>
      </c>
      <c r="D2863" s="42"/>
      <c r="E2863" s="5" t="str">
        <f t="shared" si="55"/>
        <v>https://www.screener.in/company//consolidated/</v>
      </c>
      <c r="F2863" s="4">
        <v>443059</v>
      </c>
      <c r="G2863" s="4">
        <v>3832241897</v>
      </c>
      <c r="H2863" s="6" t="e">
        <f t="shared" ca="1" si="56"/>
        <v>#VALUE!</v>
      </c>
      <c r="I2863" s="7" t="str">
        <f ca="1">IFERROR(__xludf.DUMMYFUNCTION("IMPORTXML(E2863,""/html/body/main/div[3]/div[3]/div[2]/ul/li[5]/span[2]/span"")"),"Loading...")</f>
        <v>Loading...</v>
      </c>
      <c r="J2863" s="7" t="str">
        <f ca="1">IFERROR(__xludf.DUMMYFUNCTION("GOOGLEFINANCE(""NSE:""&amp;D2863,""marketcap"")"),"#N/A")</f>
        <v>#N/A</v>
      </c>
      <c r="K2863" s="7">
        <v>992.8</v>
      </c>
      <c r="L2863" s="8" t="str">
        <f ca="1">IFERROR(__xludf.DUMMYFUNCTION("GOOGLEFINANCE(""NSE:""&amp;D2863,""price"")"),"#N/A")</f>
        <v>#N/A</v>
      </c>
      <c r="M2863" s="9" t="e">
        <f t="shared" ca="1" si="57"/>
        <v>#VALUE!</v>
      </c>
      <c r="N2863" s="10" t="e">
        <f t="shared" ca="1" si="58"/>
        <v>#VALUE!</v>
      </c>
      <c r="O2863" s="7" t="str">
        <f ca="1">IFERROR(__xludf.DUMMYFUNCTION("GOOGLEFINANCE(""NSE:""&amp;D2863,""pe"")"),"#N/A")</f>
        <v>#N/A</v>
      </c>
      <c r="P2863" s="7" t="str">
        <f ca="1">IFERROR(__xludf.DUMMYFUNCTION("GOOGLEFINANCE(""NSE:""&amp;D2863,""EPS"")"),"#N/A")</f>
        <v>#N/A</v>
      </c>
      <c r="Q2863" s="7">
        <v>13.5</v>
      </c>
      <c r="R2863" s="7" t="str">
        <f ca="1">IFERROR(__xludf.DUMMYFUNCTION("IMPORTXML(E2863,""/html/body/main/div[3]/div[3]/div[2]/ul/li[7]/span[2]/span"")"),"Loading...")</f>
        <v>Loading...</v>
      </c>
      <c r="S2863" s="7" t="str">
        <f ca="1">IFERROR(__xludf.DUMMYFUNCTION("IMPORTXML(E2863,""/html/body/main/div[3]/div[3]/div[2]/ul/li[8]/span[2]/span"")"),"Loading...")</f>
        <v>Loading...</v>
      </c>
      <c r="T2863" s="4">
        <v>34.6</v>
      </c>
      <c r="U2863" s="4">
        <v>22.7</v>
      </c>
      <c r="V2863" s="4">
        <v>2.6</v>
      </c>
      <c r="W2863" s="4">
        <v>5.7</v>
      </c>
      <c r="X2863" s="4">
        <v>519.92999999999995</v>
      </c>
      <c r="Y2863" s="7" t="e">
        <f t="shared" ca="1" si="59"/>
        <v>#VALUE!</v>
      </c>
    </row>
    <row r="2864" spans="1:25" ht="15" x14ac:dyDescent="0.25">
      <c r="A2864" s="4">
        <v>2828</v>
      </c>
      <c r="C2864" s="41" t="s">
        <v>5165</v>
      </c>
      <c r="D2864" s="42"/>
      <c r="E2864" s="5" t="str">
        <f t="shared" si="55"/>
        <v>https://www.screener.in/company//consolidated/</v>
      </c>
      <c r="F2864" s="4">
        <v>443059</v>
      </c>
      <c r="G2864" s="4">
        <v>3832241897</v>
      </c>
      <c r="H2864" s="6" t="e">
        <f t="shared" ca="1" si="56"/>
        <v>#VALUE!</v>
      </c>
      <c r="I2864" s="7" t="str">
        <f ca="1">IFERROR(__xludf.DUMMYFUNCTION("IMPORTXML(E2864,""/html/body/main/div[3]/div[3]/div[2]/ul/li[5]/span[2]/span"")"),"Loading...")</f>
        <v>Loading...</v>
      </c>
      <c r="J2864" s="7" t="str">
        <f ca="1">IFERROR(__xludf.DUMMYFUNCTION("GOOGLEFINANCE(""NSE:""&amp;D2864,""marketcap"")"),"#N/A")</f>
        <v>#N/A</v>
      </c>
      <c r="K2864" s="7">
        <v>992.8</v>
      </c>
      <c r="L2864" s="8" t="str">
        <f ca="1">IFERROR(__xludf.DUMMYFUNCTION("GOOGLEFINANCE(""NSE:""&amp;D2864,""price"")"),"#N/A")</f>
        <v>#N/A</v>
      </c>
      <c r="M2864" s="9" t="e">
        <f t="shared" ca="1" si="57"/>
        <v>#VALUE!</v>
      </c>
      <c r="N2864" s="10" t="e">
        <f t="shared" ca="1" si="58"/>
        <v>#VALUE!</v>
      </c>
      <c r="O2864" s="7" t="str">
        <f ca="1">IFERROR(__xludf.DUMMYFUNCTION("GOOGLEFINANCE(""NSE:""&amp;D2864,""pe"")"),"#N/A")</f>
        <v>#N/A</v>
      </c>
      <c r="P2864" s="7" t="str">
        <f ca="1">IFERROR(__xludf.DUMMYFUNCTION("GOOGLEFINANCE(""NSE:""&amp;D2864,""EPS"")"),"#N/A")</f>
        <v>#N/A</v>
      </c>
      <c r="Q2864" s="7">
        <v>13.5</v>
      </c>
      <c r="R2864" s="7" t="str">
        <f ca="1">IFERROR(__xludf.DUMMYFUNCTION("IMPORTXML(E2864,""/html/body/main/div[3]/div[3]/div[2]/ul/li[7]/span[2]/span"")"),"Loading...")</f>
        <v>Loading...</v>
      </c>
      <c r="S2864" s="7" t="str">
        <f ca="1">IFERROR(__xludf.DUMMYFUNCTION("IMPORTXML(E2864,""/html/body/main/div[3]/div[3]/div[2]/ul/li[8]/span[2]/span"")"),"Loading...")</f>
        <v>Loading...</v>
      </c>
      <c r="T2864" s="4">
        <v>34.6</v>
      </c>
      <c r="U2864" s="4">
        <v>22.7</v>
      </c>
      <c r="V2864" s="4">
        <v>2.6</v>
      </c>
      <c r="W2864" s="4">
        <v>5.7</v>
      </c>
      <c r="X2864" s="4">
        <v>519.92999999999995</v>
      </c>
      <c r="Y2864" s="7" t="e">
        <f t="shared" ca="1" si="59"/>
        <v>#VALUE!</v>
      </c>
    </row>
    <row r="2865" spans="1:25" ht="15" x14ac:dyDescent="0.25">
      <c r="A2865" s="4">
        <v>2829</v>
      </c>
      <c r="C2865" s="41" t="s">
        <v>5166</v>
      </c>
      <c r="D2865" s="42"/>
      <c r="E2865" s="5" t="str">
        <f t="shared" si="55"/>
        <v>https://www.screener.in/company//consolidated/</v>
      </c>
      <c r="F2865" s="4">
        <v>443059</v>
      </c>
      <c r="G2865" s="4">
        <v>3832241897</v>
      </c>
      <c r="H2865" s="6" t="e">
        <f t="shared" ca="1" si="56"/>
        <v>#VALUE!</v>
      </c>
      <c r="I2865" s="7" t="str">
        <f ca="1">IFERROR(__xludf.DUMMYFUNCTION("IMPORTXML(E2865,""/html/body/main/div[3]/div[3]/div[2]/ul/li[5]/span[2]/span"")"),"Loading...")</f>
        <v>Loading...</v>
      </c>
      <c r="J2865" s="7" t="str">
        <f ca="1">IFERROR(__xludf.DUMMYFUNCTION("GOOGLEFINANCE(""NSE:""&amp;D2865,""marketcap"")"),"#N/A")</f>
        <v>#N/A</v>
      </c>
      <c r="K2865" s="7">
        <v>992.8</v>
      </c>
      <c r="L2865" s="8" t="str">
        <f ca="1">IFERROR(__xludf.DUMMYFUNCTION("GOOGLEFINANCE(""NSE:""&amp;D2865,""price"")"),"#N/A")</f>
        <v>#N/A</v>
      </c>
      <c r="M2865" s="9" t="e">
        <f t="shared" ca="1" si="57"/>
        <v>#VALUE!</v>
      </c>
      <c r="N2865" s="10" t="e">
        <f t="shared" ca="1" si="58"/>
        <v>#VALUE!</v>
      </c>
      <c r="O2865" s="7" t="str">
        <f ca="1">IFERROR(__xludf.DUMMYFUNCTION("GOOGLEFINANCE(""NSE:""&amp;D2865,""pe"")"),"#N/A")</f>
        <v>#N/A</v>
      </c>
      <c r="P2865" s="7" t="str">
        <f ca="1">IFERROR(__xludf.DUMMYFUNCTION("GOOGLEFINANCE(""NSE:""&amp;D2865,""EPS"")"),"#N/A")</f>
        <v>#N/A</v>
      </c>
      <c r="Q2865" s="7">
        <v>13.5</v>
      </c>
      <c r="R2865" s="7" t="str">
        <f ca="1">IFERROR(__xludf.DUMMYFUNCTION("IMPORTXML(E2865,""/html/body/main/div[3]/div[3]/div[2]/ul/li[7]/span[2]/span"")"),"Loading...")</f>
        <v>Loading...</v>
      </c>
      <c r="S2865" s="7" t="str">
        <f ca="1">IFERROR(__xludf.DUMMYFUNCTION("IMPORTXML(E2865,""/html/body/main/div[3]/div[3]/div[2]/ul/li[8]/span[2]/span"")"),"Loading...")</f>
        <v>Loading...</v>
      </c>
      <c r="T2865" s="4">
        <v>34.6</v>
      </c>
      <c r="U2865" s="4">
        <v>22.7</v>
      </c>
      <c r="V2865" s="4">
        <v>2.6</v>
      </c>
      <c r="W2865" s="4">
        <v>5.7</v>
      </c>
      <c r="X2865" s="4">
        <v>519.92999999999995</v>
      </c>
      <c r="Y2865" s="7" t="e">
        <f t="shared" ca="1" si="59"/>
        <v>#VALUE!</v>
      </c>
    </row>
    <row r="2866" spans="1:25" ht="15" x14ac:dyDescent="0.25">
      <c r="A2866" s="4">
        <v>2830</v>
      </c>
      <c r="C2866" s="41" t="s">
        <v>5167</v>
      </c>
      <c r="D2866" s="42"/>
      <c r="E2866" s="5" t="str">
        <f t="shared" si="55"/>
        <v>https://www.screener.in/company//consolidated/</v>
      </c>
      <c r="F2866" s="4">
        <v>443059</v>
      </c>
      <c r="G2866" s="4">
        <v>3832241897</v>
      </c>
      <c r="H2866" s="6" t="e">
        <f t="shared" ca="1" si="56"/>
        <v>#VALUE!</v>
      </c>
      <c r="I2866" s="7" t="str">
        <f ca="1">IFERROR(__xludf.DUMMYFUNCTION("IMPORTXML(E2866,""/html/body/main/div[3]/div[3]/div[2]/ul/li[5]/span[2]/span"")"),"Loading...")</f>
        <v>Loading...</v>
      </c>
      <c r="J2866" s="7" t="str">
        <f ca="1">IFERROR(__xludf.DUMMYFUNCTION("GOOGLEFINANCE(""NSE:""&amp;D2866,""marketcap"")"),"#N/A")</f>
        <v>#N/A</v>
      </c>
      <c r="K2866" s="7">
        <v>992.8</v>
      </c>
      <c r="L2866" s="8" t="str">
        <f ca="1">IFERROR(__xludf.DUMMYFUNCTION("GOOGLEFINANCE(""NSE:""&amp;D2866,""price"")"),"#N/A")</f>
        <v>#N/A</v>
      </c>
      <c r="M2866" s="9" t="e">
        <f t="shared" ca="1" si="57"/>
        <v>#VALUE!</v>
      </c>
      <c r="N2866" s="10" t="e">
        <f t="shared" ca="1" si="58"/>
        <v>#VALUE!</v>
      </c>
      <c r="O2866" s="7" t="str">
        <f ca="1">IFERROR(__xludf.DUMMYFUNCTION("GOOGLEFINANCE(""NSE:""&amp;D2866,""pe"")"),"#N/A")</f>
        <v>#N/A</v>
      </c>
      <c r="P2866" s="7" t="str">
        <f ca="1">IFERROR(__xludf.DUMMYFUNCTION("GOOGLEFINANCE(""NSE:""&amp;D2866,""EPS"")"),"#N/A")</f>
        <v>#N/A</v>
      </c>
      <c r="Q2866" s="7">
        <v>13.5</v>
      </c>
      <c r="R2866" s="7" t="str">
        <f ca="1">IFERROR(__xludf.DUMMYFUNCTION("IMPORTXML(E2866,""/html/body/main/div[3]/div[3]/div[2]/ul/li[7]/span[2]/span"")"),"Loading...")</f>
        <v>Loading...</v>
      </c>
      <c r="S2866" s="7" t="str">
        <f ca="1">IFERROR(__xludf.DUMMYFUNCTION("IMPORTXML(E2866,""/html/body/main/div[3]/div[3]/div[2]/ul/li[8]/span[2]/span"")"),"Loading...")</f>
        <v>Loading...</v>
      </c>
      <c r="T2866" s="4">
        <v>34.6</v>
      </c>
      <c r="U2866" s="4">
        <v>22.7</v>
      </c>
      <c r="V2866" s="4">
        <v>2.6</v>
      </c>
      <c r="W2866" s="4">
        <v>5.7</v>
      </c>
      <c r="X2866" s="4">
        <v>519.92999999999995</v>
      </c>
      <c r="Y2866" s="7" t="e">
        <f t="shared" ca="1" si="59"/>
        <v>#VALUE!</v>
      </c>
    </row>
    <row r="2867" spans="1:25" ht="15" x14ac:dyDescent="0.25">
      <c r="A2867" s="4">
        <v>2831</v>
      </c>
      <c r="C2867" s="41" t="s">
        <v>5168</v>
      </c>
      <c r="D2867" s="42"/>
      <c r="E2867" s="5" t="str">
        <f t="shared" si="55"/>
        <v>https://www.screener.in/company//consolidated/</v>
      </c>
      <c r="F2867" s="4">
        <v>443059</v>
      </c>
      <c r="G2867" s="4">
        <v>3832241897</v>
      </c>
      <c r="H2867" s="6" t="e">
        <f t="shared" ca="1" si="56"/>
        <v>#VALUE!</v>
      </c>
      <c r="I2867" s="7" t="str">
        <f ca="1">IFERROR(__xludf.DUMMYFUNCTION("IMPORTXML(E2867,""/html/body/main/div[3]/div[3]/div[2]/ul/li[5]/span[2]/span"")"),"Loading...")</f>
        <v>Loading...</v>
      </c>
      <c r="J2867" s="7" t="str">
        <f ca="1">IFERROR(__xludf.DUMMYFUNCTION("GOOGLEFINANCE(""NSE:""&amp;D2867,""marketcap"")"),"#N/A")</f>
        <v>#N/A</v>
      </c>
      <c r="K2867" s="7">
        <v>992.8</v>
      </c>
      <c r="L2867" s="8" t="str">
        <f ca="1">IFERROR(__xludf.DUMMYFUNCTION("GOOGLEFINANCE(""NSE:""&amp;D2867,""price"")"),"#N/A")</f>
        <v>#N/A</v>
      </c>
      <c r="M2867" s="9" t="e">
        <f t="shared" ca="1" si="57"/>
        <v>#VALUE!</v>
      </c>
      <c r="N2867" s="10" t="e">
        <f t="shared" ca="1" si="58"/>
        <v>#VALUE!</v>
      </c>
      <c r="O2867" s="7" t="str">
        <f ca="1">IFERROR(__xludf.DUMMYFUNCTION("GOOGLEFINANCE(""NSE:""&amp;D2867,""pe"")"),"#N/A")</f>
        <v>#N/A</v>
      </c>
      <c r="P2867" s="7" t="str">
        <f ca="1">IFERROR(__xludf.DUMMYFUNCTION("GOOGLEFINANCE(""NSE:""&amp;D2867,""EPS"")"),"#N/A")</f>
        <v>#N/A</v>
      </c>
      <c r="Q2867" s="7">
        <v>13.5</v>
      </c>
      <c r="R2867" s="7" t="str">
        <f ca="1">IFERROR(__xludf.DUMMYFUNCTION("IMPORTXML(E2867,""/html/body/main/div[3]/div[3]/div[2]/ul/li[7]/span[2]/span"")"),"Loading...")</f>
        <v>Loading...</v>
      </c>
      <c r="S2867" s="7" t="str">
        <f ca="1">IFERROR(__xludf.DUMMYFUNCTION("IMPORTXML(E2867,""/html/body/main/div[3]/div[3]/div[2]/ul/li[8]/span[2]/span"")"),"Loading...")</f>
        <v>Loading...</v>
      </c>
      <c r="T2867" s="4">
        <v>34.6</v>
      </c>
      <c r="U2867" s="4">
        <v>22.7</v>
      </c>
      <c r="V2867" s="4">
        <v>2.6</v>
      </c>
      <c r="W2867" s="4">
        <v>5.7</v>
      </c>
      <c r="X2867" s="4">
        <v>519.92999999999995</v>
      </c>
      <c r="Y2867" s="7" t="e">
        <f t="shared" ca="1" si="59"/>
        <v>#VALUE!</v>
      </c>
    </row>
    <row r="2868" spans="1:25" ht="15" x14ac:dyDescent="0.25">
      <c r="A2868" s="4">
        <v>2832</v>
      </c>
      <c r="C2868" s="41" t="s">
        <v>5169</v>
      </c>
      <c r="D2868" s="42"/>
      <c r="E2868" s="5" t="str">
        <f t="shared" si="55"/>
        <v>https://www.screener.in/company//consolidated/</v>
      </c>
      <c r="F2868" s="4">
        <v>443059</v>
      </c>
      <c r="G2868" s="4">
        <v>3832241897</v>
      </c>
      <c r="H2868" s="6" t="e">
        <f t="shared" ca="1" si="56"/>
        <v>#VALUE!</v>
      </c>
      <c r="I2868" s="7" t="str">
        <f ca="1">IFERROR(__xludf.DUMMYFUNCTION("IMPORTXML(E2868,""/html/body/main/div[3]/div[3]/div[2]/ul/li[5]/span[2]/span"")"),"Loading...")</f>
        <v>Loading...</v>
      </c>
      <c r="J2868" s="7" t="str">
        <f ca="1">IFERROR(__xludf.DUMMYFUNCTION("GOOGLEFINANCE(""NSE:""&amp;D2868,""marketcap"")"),"#N/A")</f>
        <v>#N/A</v>
      </c>
      <c r="K2868" s="7">
        <v>992.8</v>
      </c>
      <c r="L2868" s="8" t="str">
        <f ca="1">IFERROR(__xludf.DUMMYFUNCTION("GOOGLEFINANCE(""NSE:""&amp;D2868,""price"")"),"#N/A")</f>
        <v>#N/A</v>
      </c>
      <c r="M2868" s="9" t="e">
        <f t="shared" ca="1" si="57"/>
        <v>#VALUE!</v>
      </c>
      <c r="N2868" s="10" t="e">
        <f t="shared" ca="1" si="58"/>
        <v>#VALUE!</v>
      </c>
      <c r="O2868" s="7" t="str">
        <f ca="1">IFERROR(__xludf.DUMMYFUNCTION("GOOGLEFINANCE(""NSE:""&amp;D2868,""pe"")"),"#N/A")</f>
        <v>#N/A</v>
      </c>
      <c r="P2868" s="7" t="str">
        <f ca="1">IFERROR(__xludf.DUMMYFUNCTION("GOOGLEFINANCE(""NSE:""&amp;D2868,""EPS"")"),"#N/A")</f>
        <v>#N/A</v>
      </c>
      <c r="Q2868" s="7">
        <v>13.5</v>
      </c>
      <c r="R2868" s="7" t="str">
        <f ca="1">IFERROR(__xludf.DUMMYFUNCTION("IMPORTXML(E2868,""/html/body/main/div[3]/div[3]/div[2]/ul/li[7]/span[2]/span"")"),"Loading...")</f>
        <v>Loading...</v>
      </c>
      <c r="S2868" s="7" t="str">
        <f ca="1">IFERROR(__xludf.DUMMYFUNCTION("IMPORTXML(E2868,""/html/body/main/div[3]/div[3]/div[2]/ul/li[8]/span[2]/span"")"),"Loading...")</f>
        <v>Loading...</v>
      </c>
      <c r="T2868" s="4">
        <v>34.6</v>
      </c>
      <c r="U2868" s="4">
        <v>22.7</v>
      </c>
      <c r="V2868" s="4">
        <v>2.6</v>
      </c>
      <c r="W2868" s="4">
        <v>5.7</v>
      </c>
      <c r="X2868" s="4">
        <v>519.92999999999995</v>
      </c>
      <c r="Y2868" s="7" t="e">
        <f t="shared" ca="1" si="59"/>
        <v>#VALUE!</v>
      </c>
    </row>
    <row r="2869" spans="1:25" ht="15" x14ac:dyDescent="0.25">
      <c r="A2869" s="4">
        <v>2833</v>
      </c>
      <c r="C2869" s="41" t="s">
        <v>5170</v>
      </c>
      <c r="D2869" s="42"/>
      <c r="E2869" s="5" t="str">
        <f t="shared" si="55"/>
        <v>https://www.screener.in/company//consolidated/</v>
      </c>
      <c r="F2869" s="4">
        <v>443059</v>
      </c>
      <c r="G2869" s="4">
        <v>3832241897</v>
      </c>
      <c r="H2869" s="6" t="e">
        <f t="shared" ca="1" si="56"/>
        <v>#VALUE!</v>
      </c>
      <c r="I2869" s="7" t="str">
        <f ca="1">IFERROR(__xludf.DUMMYFUNCTION("IMPORTXML(E2869,""/html/body/main/div[3]/div[3]/div[2]/ul/li[5]/span[2]/span"")"),"Loading...")</f>
        <v>Loading...</v>
      </c>
      <c r="J2869" s="7" t="str">
        <f ca="1">IFERROR(__xludf.DUMMYFUNCTION("GOOGLEFINANCE(""NSE:""&amp;D2869,""marketcap"")"),"#N/A")</f>
        <v>#N/A</v>
      </c>
      <c r="K2869" s="7">
        <v>992.8</v>
      </c>
      <c r="L2869" s="8" t="str">
        <f ca="1">IFERROR(__xludf.DUMMYFUNCTION("GOOGLEFINANCE(""NSE:""&amp;D2869,""price"")"),"#N/A")</f>
        <v>#N/A</v>
      </c>
      <c r="M2869" s="9" t="e">
        <f t="shared" ca="1" si="57"/>
        <v>#VALUE!</v>
      </c>
      <c r="N2869" s="10" t="e">
        <f t="shared" ca="1" si="58"/>
        <v>#VALUE!</v>
      </c>
      <c r="O2869" s="7" t="str">
        <f ca="1">IFERROR(__xludf.DUMMYFUNCTION("GOOGLEFINANCE(""NSE:""&amp;D2869,""pe"")"),"#N/A")</f>
        <v>#N/A</v>
      </c>
      <c r="P2869" s="7" t="str">
        <f ca="1">IFERROR(__xludf.DUMMYFUNCTION("GOOGLEFINANCE(""NSE:""&amp;D2869,""EPS"")"),"#N/A")</f>
        <v>#N/A</v>
      </c>
      <c r="Q2869" s="7">
        <v>13.5</v>
      </c>
      <c r="R2869" s="7" t="str">
        <f ca="1">IFERROR(__xludf.DUMMYFUNCTION("IMPORTXML(E2869,""/html/body/main/div[3]/div[3]/div[2]/ul/li[7]/span[2]/span"")"),"Loading...")</f>
        <v>Loading...</v>
      </c>
      <c r="S2869" s="7" t="str">
        <f ca="1">IFERROR(__xludf.DUMMYFUNCTION("IMPORTXML(E2869,""/html/body/main/div[3]/div[3]/div[2]/ul/li[8]/span[2]/span"")"),"Loading...")</f>
        <v>Loading...</v>
      </c>
      <c r="T2869" s="4">
        <v>34.6</v>
      </c>
      <c r="U2869" s="4">
        <v>22.7</v>
      </c>
      <c r="V2869" s="4">
        <v>2.6</v>
      </c>
      <c r="W2869" s="4">
        <v>5.7</v>
      </c>
      <c r="X2869" s="4">
        <v>519.92999999999995</v>
      </c>
      <c r="Y2869" s="7" t="e">
        <f t="shared" ca="1" si="59"/>
        <v>#VALUE!</v>
      </c>
    </row>
    <row r="2870" spans="1:25" ht="15" x14ac:dyDescent="0.25">
      <c r="A2870" s="4">
        <v>2834</v>
      </c>
      <c r="C2870" s="41" t="s">
        <v>5171</v>
      </c>
      <c r="D2870" s="42"/>
      <c r="E2870" s="5" t="str">
        <f t="shared" si="55"/>
        <v>https://www.screener.in/company//consolidated/</v>
      </c>
      <c r="F2870" s="4">
        <v>443059</v>
      </c>
      <c r="G2870" s="4">
        <v>3832241897</v>
      </c>
      <c r="H2870" s="6" t="e">
        <f t="shared" ca="1" si="56"/>
        <v>#VALUE!</v>
      </c>
      <c r="I2870" s="7" t="str">
        <f ca="1">IFERROR(__xludf.DUMMYFUNCTION("IMPORTXML(E2870,""/html/body/main/div[3]/div[3]/div[2]/ul/li[5]/span[2]/span"")"),"Loading...")</f>
        <v>Loading...</v>
      </c>
      <c r="J2870" s="7" t="str">
        <f ca="1">IFERROR(__xludf.DUMMYFUNCTION("GOOGLEFINANCE(""NSE:""&amp;D2870,""marketcap"")"),"#N/A")</f>
        <v>#N/A</v>
      </c>
      <c r="K2870" s="7">
        <v>992.8</v>
      </c>
      <c r="L2870" s="8" t="str">
        <f ca="1">IFERROR(__xludf.DUMMYFUNCTION("GOOGLEFINANCE(""NSE:""&amp;D2870,""price"")"),"#N/A")</f>
        <v>#N/A</v>
      </c>
      <c r="M2870" s="9" t="e">
        <f t="shared" ca="1" si="57"/>
        <v>#VALUE!</v>
      </c>
      <c r="N2870" s="10" t="e">
        <f t="shared" ca="1" si="58"/>
        <v>#VALUE!</v>
      </c>
      <c r="O2870" s="7" t="str">
        <f ca="1">IFERROR(__xludf.DUMMYFUNCTION("GOOGLEFINANCE(""NSE:""&amp;D2870,""pe"")"),"#N/A")</f>
        <v>#N/A</v>
      </c>
      <c r="P2870" s="7" t="str">
        <f ca="1">IFERROR(__xludf.DUMMYFUNCTION("GOOGLEFINANCE(""NSE:""&amp;D2870,""EPS"")"),"#N/A")</f>
        <v>#N/A</v>
      </c>
      <c r="Q2870" s="7">
        <v>13.5</v>
      </c>
      <c r="R2870" s="7" t="str">
        <f ca="1">IFERROR(__xludf.DUMMYFUNCTION("IMPORTXML(E2870,""/html/body/main/div[3]/div[3]/div[2]/ul/li[7]/span[2]/span"")"),"Loading...")</f>
        <v>Loading...</v>
      </c>
      <c r="S2870" s="7" t="str">
        <f ca="1">IFERROR(__xludf.DUMMYFUNCTION("IMPORTXML(E2870,""/html/body/main/div[3]/div[3]/div[2]/ul/li[8]/span[2]/span"")"),"Loading...")</f>
        <v>Loading...</v>
      </c>
      <c r="T2870" s="4">
        <v>34.6</v>
      </c>
      <c r="U2870" s="4">
        <v>22.7</v>
      </c>
      <c r="V2870" s="4">
        <v>2.6</v>
      </c>
      <c r="W2870" s="4">
        <v>5.7</v>
      </c>
      <c r="X2870" s="4">
        <v>519.92999999999995</v>
      </c>
      <c r="Y2870" s="7" t="e">
        <f t="shared" ca="1" si="59"/>
        <v>#VALUE!</v>
      </c>
    </row>
    <row r="2871" spans="1:25" ht="15" x14ac:dyDescent="0.25">
      <c r="A2871" s="4">
        <v>2835</v>
      </c>
      <c r="C2871" s="41" t="s">
        <v>5172</v>
      </c>
      <c r="D2871" s="42"/>
      <c r="E2871" s="5" t="str">
        <f t="shared" si="55"/>
        <v>https://www.screener.in/company//consolidated/</v>
      </c>
      <c r="F2871" s="4">
        <v>443059</v>
      </c>
      <c r="G2871" s="4">
        <v>3832241897</v>
      </c>
      <c r="H2871" s="6" t="e">
        <f t="shared" ca="1" si="56"/>
        <v>#VALUE!</v>
      </c>
      <c r="I2871" s="7" t="str">
        <f ca="1">IFERROR(__xludf.DUMMYFUNCTION("IMPORTXML(E2871,""/html/body/main/div[3]/div[3]/div[2]/ul/li[5]/span[2]/span"")"),"Loading...")</f>
        <v>Loading...</v>
      </c>
      <c r="J2871" s="7" t="str">
        <f ca="1">IFERROR(__xludf.DUMMYFUNCTION("GOOGLEFINANCE(""NSE:""&amp;D2871,""marketcap"")"),"#N/A")</f>
        <v>#N/A</v>
      </c>
      <c r="K2871" s="7">
        <v>992.8</v>
      </c>
      <c r="L2871" s="8" t="str">
        <f ca="1">IFERROR(__xludf.DUMMYFUNCTION("GOOGLEFINANCE(""NSE:""&amp;D2871,""price"")"),"#N/A")</f>
        <v>#N/A</v>
      </c>
      <c r="M2871" s="9" t="e">
        <f t="shared" ca="1" si="57"/>
        <v>#VALUE!</v>
      </c>
      <c r="N2871" s="10" t="e">
        <f t="shared" ca="1" si="58"/>
        <v>#VALUE!</v>
      </c>
      <c r="O2871" s="7" t="str">
        <f ca="1">IFERROR(__xludf.DUMMYFUNCTION("GOOGLEFINANCE(""NSE:""&amp;D2871,""pe"")"),"#N/A")</f>
        <v>#N/A</v>
      </c>
      <c r="P2871" s="7" t="str">
        <f ca="1">IFERROR(__xludf.DUMMYFUNCTION("GOOGLEFINANCE(""NSE:""&amp;D2871,""EPS"")"),"#N/A")</f>
        <v>#N/A</v>
      </c>
      <c r="Q2871" s="7">
        <v>13.5</v>
      </c>
      <c r="R2871" s="7" t="str">
        <f ca="1">IFERROR(__xludf.DUMMYFUNCTION("IMPORTXML(E2871,""/html/body/main/div[3]/div[3]/div[2]/ul/li[7]/span[2]/span"")"),"Loading...")</f>
        <v>Loading...</v>
      </c>
      <c r="S2871" s="7" t="str">
        <f ca="1">IFERROR(__xludf.DUMMYFUNCTION("IMPORTXML(E2871,""/html/body/main/div[3]/div[3]/div[2]/ul/li[8]/span[2]/span"")"),"Loading...")</f>
        <v>Loading...</v>
      </c>
      <c r="T2871" s="4">
        <v>34.6</v>
      </c>
      <c r="U2871" s="4">
        <v>22.7</v>
      </c>
      <c r="V2871" s="4">
        <v>2.6</v>
      </c>
      <c r="W2871" s="4">
        <v>5.7</v>
      </c>
      <c r="X2871" s="4">
        <v>519.92999999999995</v>
      </c>
      <c r="Y2871" s="7" t="e">
        <f t="shared" ca="1" si="59"/>
        <v>#VALUE!</v>
      </c>
    </row>
    <row r="2872" spans="1:25" ht="15" x14ac:dyDescent="0.25">
      <c r="A2872" s="4">
        <v>2836</v>
      </c>
      <c r="C2872" s="41" t="s">
        <v>5173</v>
      </c>
      <c r="D2872" s="42"/>
      <c r="E2872" s="5" t="str">
        <f t="shared" si="55"/>
        <v>https://www.screener.in/company//consolidated/</v>
      </c>
      <c r="F2872" s="4">
        <v>443059</v>
      </c>
      <c r="G2872" s="4">
        <v>3832241897</v>
      </c>
      <c r="H2872" s="6" t="e">
        <f t="shared" ca="1" si="56"/>
        <v>#VALUE!</v>
      </c>
      <c r="I2872" s="7" t="str">
        <f ca="1">IFERROR(__xludf.DUMMYFUNCTION("IMPORTXML(E2872,""/html/body/main/div[3]/div[3]/div[2]/ul/li[5]/span[2]/span"")"),"Loading...")</f>
        <v>Loading...</v>
      </c>
      <c r="J2872" s="7" t="str">
        <f ca="1">IFERROR(__xludf.DUMMYFUNCTION("GOOGLEFINANCE(""NSE:""&amp;D2872,""marketcap"")"),"#N/A")</f>
        <v>#N/A</v>
      </c>
      <c r="K2872" s="7">
        <v>992.8</v>
      </c>
      <c r="L2872" s="8" t="str">
        <f ca="1">IFERROR(__xludf.DUMMYFUNCTION("GOOGLEFINANCE(""NSE:""&amp;D2872,""price"")"),"#N/A")</f>
        <v>#N/A</v>
      </c>
      <c r="M2872" s="9" t="e">
        <f t="shared" ca="1" si="57"/>
        <v>#VALUE!</v>
      </c>
      <c r="N2872" s="10" t="e">
        <f t="shared" ca="1" si="58"/>
        <v>#VALUE!</v>
      </c>
      <c r="O2872" s="7" t="str">
        <f ca="1">IFERROR(__xludf.DUMMYFUNCTION("GOOGLEFINANCE(""NSE:""&amp;D2872,""pe"")"),"#N/A")</f>
        <v>#N/A</v>
      </c>
      <c r="P2872" s="7" t="str">
        <f ca="1">IFERROR(__xludf.DUMMYFUNCTION("GOOGLEFINANCE(""NSE:""&amp;D2872,""EPS"")"),"#N/A")</f>
        <v>#N/A</v>
      </c>
      <c r="Q2872" s="7">
        <v>13.5</v>
      </c>
      <c r="R2872" s="7" t="str">
        <f ca="1">IFERROR(__xludf.DUMMYFUNCTION("IMPORTXML(E2872,""/html/body/main/div[3]/div[3]/div[2]/ul/li[7]/span[2]/span"")"),"Loading...")</f>
        <v>Loading...</v>
      </c>
      <c r="S2872" s="7" t="str">
        <f ca="1">IFERROR(__xludf.DUMMYFUNCTION("IMPORTXML(E2872,""/html/body/main/div[3]/div[3]/div[2]/ul/li[8]/span[2]/span"")"),"Loading...")</f>
        <v>Loading...</v>
      </c>
      <c r="T2872" s="4">
        <v>34.6</v>
      </c>
      <c r="U2872" s="4">
        <v>22.7</v>
      </c>
      <c r="V2872" s="4">
        <v>2.6</v>
      </c>
      <c r="W2872" s="4">
        <v>5.7</v>
      </c>
      <c r="X2872" s="4">
        <v>519.92999999999995</v>
      </c>
      <c r="Y2872" s="7" t="e">
        <f t="shared" ca="1" si="59"/>
        <v>#VALUE!</v>
      </c>
    </row>
    <row r="2873" spans="1:25" ht="15" x14ac:dyDescent="0.25">
      <c r="A2873" s="4">
        <v>2837</v>
      </c>
      <c r="C2873" s="12" t="s">
        <v>5174</v>
      </c>
      <c r="D2873" s="12" t="s">
        <v>5175</v>
      </c>
      <c r="E2873" s="5" t="str">
        <f t="shared" si="55"/>
        <v>https://www.screener.in/company/MFML/consolidated/</v>
      </c>
      <c r="F2873" s="4">
        <v>443059</v>
      </c>
      <c r="G2873" s="4">
        <v>3832241897</v>
      </c>
      <c r="H2873" s="6">
        <f t="shared" ca="1" si="56"/>
        <v>10649.800231763</v>
      </c>
      <c r="I2873" s="7" t="str">
        <f ca="1">IFERROR(__xludf.DUMMYFUNCTION("IMPORTXML(E2873,""/html/body/main/div[3]/div[3]/div[2]/ul/li[5]/span[2]/span"")"),"Loading...")</f>
        <v>Loading...</v>
      </c>
      <c r="J2873" s="7">
        <f ca="1">IFERROR(__xludf.DUMMYFUNCTION("GOOGLEFINANCE(""NSE:""&amp;D2873,""marketcap"")"),282851479)</f>
        <v>282851479</v>
      </c>
      <c r="K2873" s="7">
        <v>992.8</v>
      </c>
      <c r="L2873" s="8">
        <f ca="1">IFERROR(__xludf.DUMMYFUNCTION("GOOGLEFINANCE(""NSE:""&amp;D2873,""price"")"),27.79)</f>
        <v>27.79</v>
      </c>
      <c r="M2873" s="9">
        <f t="shared" ca="1" si="57"/>
        <v>-965.01</v>
      </c>
      <c r="N2873" s="10">
        <f t="shared" ca="1" si="58"/>
        <v>-97.200846091861408</v>
      </c>
      <c r="O2873" s="7">
        <f ca="1">IFERROR(__xludf.DUMMYFUNCTION("GOOGLEFINANCE(""NSE:""&amp;D2873,""pe"")"),2.86)</f>
        <v>2.86</v>
      </c>
      <c r="P2873" s="7">
        <f ca="1">IFERROR(__xludf.DUMMYFUNCTION("GOOGLEFINANCE(""NSE:""&amp;D2873,""EPS"")"),9.72)</f>
        <v>9.7200000000000006</v>
      </c>
      <c r="Q2873" s="7">
        <v>13.5</v>
      </c>
      <c r="R2873" s="7" t="str">
        <f ca="1">IFERROR(__xludf.DUMMYFUNCTION("IMPORTXML(E2873,""/html/body/main/div[3]/div[3]/div[2]/ul/li[7]/span[2]/span"")"),"Loading...")</f>
        <v>Loading...</v>
      </c>
      <c r="S2873" s="7" t="str">
        <f ca="1">IFERROR(__xludf.DUMMYFUNCTION("IMPORTXML(E2873,""/html/body/main/div[3]/div[3]/div[2]/ul/li[8]/span[2]/span"")"),"Loading...")</f>
        <v>Loading...</v>
      </c>
      <c r="T2873" s="4">
        <v>34.6</v>
      </c>
      <c r="U2873" s="4">
        <v>22.7</v>
      </c>
      <c r="V2873" s="4">
        <v>2.6</v>
      </c>
      <c r="W2873" s="4">
        <v>5.7</v>
      </c>
      <c r="X2873" s="4">
        <v>519.92999999999995</v>
      </c>
      <c r="Y2873" s="7">
        <f t="shared" ca="1" si="59"/>
        <v>-492.13999999999993</v>
      </c>
    </row>
    <row r="2874" spans="1:25" ht="15" x14ac:dyDescent="0.25">
      <c r="A2874" s="4">
        <v>2838</v>
      </c>
      <c r="C2874" s="41" t="s">
        <v>5176</v>
      </c>
      <c r="D2874" s="42"/>
      <c r="E2874" s="5" t="str">
        <f t="shared" si="55"/>
        <v>https://www.screener.in/company//consolidated/</v>
      </c>
      <c r="F2874" s="4">
        <v>443059</v>
      </c>
      <c r="G2874" s="4">
        <v>3832241897</v>
      </c>
      <c r="H2874" s="6" t="e">
        <f t="shared" ca="1" si="56"/>
        <v>#VALUE!</v>
      </c>
      <c r="I2874" s="7" t="str">
        <f ca="1">IFERROR(__xludf.DUMMYFUNCTION("IMPORTXML(E2874,""/html/body/main/div[3]/div[3]/div[2]/ul/li[5]/span[2]/span"")"),"Loading...")</f>
        <v>Loading...</v>
      </c>
      <c r="J2874" s="7" t="str">
        <f ca="1">IFERROR(__xludf.DUMMYFUNCTION("GOOGLEFINANCE(""NSE:""&amp;D2874,""marketcap"")"),"#N/A")</f>
        <v>#N/A</v>
      </c>
      <c r="K2874" s="7">
        <v>992.8</v>
      </c>
      <c r="L2874" s="8" t="str">
        <f ca="1">IFERROR(__xludf.DUMMYFUNCTION("GOOGLEFINANCE(""NSE:""&amp;D2874,""price"")"),"#N/A")</f>
        <v>#N/A</v>
      </c>
      <c r="M2874" s="9" t="e">
        <f t="shared" ca="1" si="57"/>
        <v>#VALUE!</v>
      </c>
      <c r="N2874" s="10" t="e">
        <f t="shared" ca="1" si="58"/>
        <v>#VALUE!</v>
      </c>
      <c r="O2874" s="7" t="str">
        <f ca="1">IFERROR(__xludf.DUMMYFUNCTION("GOOGLEFINANCE(""NSE:""&amp;D2874,""pe"")"),"#N/A")</f>
        <v>#N/A</v>
      </c>
      <c r="P2874" s="7" t="str">
        <f ca="1">IFERROR(__xludf.DUMMYFUNCTION("GOOGLEFINANCE(""NSE:""&amp;D2874,""EPS"")"),"#N/A")</f>
        <v>#N/A</v>
      </c>
      <c r="Q2874" s="7">
        <v>13.5</v>
      </c>
      <c r="R2874" s="7" t="str">
        <f ca="1">IFERROR(__xludf.DUMMYFUNCTION("IMPORTXML(E2874,""/html/body/main/div[3]/div[3]/div[2]/ul/li[7]/span[2]/span"")"),"Loading...")</f>
        <v>Loading...</v>
      </c>
      <c r="S2874" s="7" t="str">
        <f ca="1">IFERROR(__xludf.DUMMYFUNCTION("IMPORTXML(E2874,""/html/body/main/div[3]/div[3]/div[2]/ul/li[8]/span[2]/span"")"),"Loading...")</f>
        <v>Loading...</v>
      </c>
      <c r="T2874" s="4">
        <v>34.6</v>
      </c>
      <c r="U2874" s="4">
        <v>22.7</v>
      </c>
      <c r="V2874" s="4">
        <v>2.6</v>
      </c>
      <c r="W2874" s="4">
        <v>5.7</v>
      </c>
      <c r="X2874" s="4">
        <v>519.92999999999995</v>
      </c>
      <c r="Y2874" s="7" t="e">
        <f t="shared" ca="1" si="59"/>
        <v>#VALUE!</v>
      </c>
    </row>
    <row r="2875" spans="1:25" ht="15" x14ac:dyDescent="0.25">
      <c r="A2875" s="4">
        <v>2839</v>
      </c>
      <c r="C2875" s="41" t="s">
        <v>5177</v>
      </c>
      <c r="D2875" s="42"/>
      <c r="E2875" s="5" t="str">
        <f t="shared" si="55"/>
        <v>https://www.screener.in/company//consolidated/</v>
      </c>
      <c r="F2875" s="4">
        <v>443059</v>
      </c>
      <c r="G2875" s="4">
        <v>3832241897</v>
      </c>
      <c r="H2875" s="6" t="e">
        <f t="shared" ca="1" si="56"/>
        <v>#VALUE!</v>
      </c>
      <c r="I2875" s="7" t="str">
        <f ca="1">IFERROR(__xludf.DUMMYFUNCTION("IMPORTXML(E2875,""/html/body/main/div[3]/div[3]/div[2]/ul/li[5]/span[2]/span"")"),"Loading...")</f>
        <v>Loading...</v>
      </c>
      <c r="J2875" s="7" t="str">
        <f ca="1">IFERROR(__xludf.DUMMYFUNCTION("GOOGLEFINANCE(""NSE:""&amp;D2875,""marketcap"")"),"#N/A")</f>
        <v>#N/A</v>
      </c>
      <c r="K2875" s="7">
        <v>992.8</v>
      </c>
      <c r="L2875" s="8" t="str">
        <f ca="1">IFERROR(__xludf.DUMMYFUNCTION("GOOGLEFINANCE(""NSE:""&amp;D2875,""price"")"),"#N/A")</f>
        <v>#N/A</v>
      </c>
      <c r="M2875" s="9" t="e">
        <f t="shared" ca="1" si="57"/>
        <v>#VALUE!</v>
      </c>
      <c r="N2875" s="10" t="e">
        <f t="shared" ca="1" si="58"/>
        <v>#VALUE!</v>
      </c>
      <c r="O2875" s="7" t="str">
        <f ca="1">IFERROR(__xludf.DUMMYFUNCTION("GOOGLEFINANCE(""NSE:""&amp;D2875,""pe"")"),"#N/A")</f>
        <v>#N/A</v>
      </c>
      <c r="P2875" s="7" t="str">
        <f ca="1">IFERROR(__xludf.DUMMYFUNCTION("GOOGLEFINANCE(""NSE:""&amp;D2875,""EPS"")"),"#N/A")</f>
        <v>#N/A</v>
      </c>
      <c r="Q2875" s="7">
        <v>13.5</v>
      </c>
      <c r="R2875" s="7" t="str">
        <f ca="1">IFERROR(__xludf.DUMMYFUNCTION("IMPORTXML(E2875,""/html/body/main/div[3]/div[3]/div[2]/ul/li[7]/span[2]/span"")"),"Loading...")</f>
        <v>Loading...</v>
      </c>
      <c r="S2875" s="7" t="str">
        <f ca="1">IFERROR(__xludf.DUMMYFUNCTION("IMPORTXML(E2875,""/html/body/main/div[3]/div[3]/div[2]/ul/li[8]/span[2]/span"")"),"Loading...")</f>
        <v>Loading...</v>
      </c>
      <c r="T2875" s="4">
        <v>34.6</v>
      </c>
      <c r="U2875" s="4">
        <v>22.7</v>
      </c>
      <c r="V2875" s="4">
        <v>2.6</v>
      </c>
      <c r="W2875" s="4">
        <v>5.7</v>
      </c>
      <c r="X2875" s="4">
        <v>519.92999999999995</v>
      </c>
      <c r="Y2875" s="7" t="e">
        <f t="shared" ca="1" si="59"/>
        <v>#VALUE!</v>
      </c>
    </row>
    <row r="2876" spans="1:25" ht="15" x14ac:dyDescent="0.25">
      <c r="A2876" s="4">
        <v>2840</v>
      </c>
      <c r="C2876" s="41" t="s">
        <v>5178</v>
      </c>
      <c r="D2876" s="42"/>
      <c r="E2876" s="5" t="str">
        <f t="shared" si="55"/>
        <v>https://www.screener.in/company//consolidated/</v>
      </c>
      <c r="F2876" s="4">
        <v>443059</v>
      </c>
      <c r="G2876" s="4">
        <v>3832241897</v>
      </c>
      <c r="H2876" s="6" t="e">
        <f t="shared" ca="1" si="56"/>
        <v>#VALUE!</v>
      </c>
      <c r="I2876" s="7" t="str">
        <f ca="1">IFERROR(__xludf.DUMMYFUNCTION("IMPORTXML(E2876,""/html/body/main/div[3]/div[3]/div[2]/ul/li[5]/span[2]/span"")"),"Loading...")</f>
        <v>Loading...</v>
      </c>
      <c r="J2876" s="7" t="str">
        <f ca="1">IFERROR(__xludf.DUMMYFUNCTION("GOOGLEFINANCE(""NSE:""&amp;D2876,""marketcap"")"),"#N/A")</f>
        <v>#N/A</v>
      </c>
      <c r="K2876" s="7">
        <v>992.8</v>
      </c>
      <c r="L2876" s="8" t="str">
        <f ca="1">IFERROR(__xludf.DUMMYFUNCTION("GOOGLEFINANCE(""NSE:""&amp;D2876,""price"")"),"#N/A")</f>
        <v>#N/A</v>
      </c>
      <c r="M2876" s="9" t="e">
        <f t="shared" ca="1" si="57"/>
        <v>#VALUE!</v>
      </c>
      <c r="N2876" s="10" t="e">
        <f t="shared" ca="1" si="58"/>
        <v>#VALUE!</v>
      </c>
      <c r="O2876" s="7" t="str">
        <f ca="1">IFERROR(__xludf.DUMMYFUNCTION("GOOGLEFINANCE(""NSE:""&amp;D2876,""pe"")"),"#N/A")</f>
        <v>#N/A</v>
      </c>
      <c r="P2876" s="7" t="str">
        <f ca="1">IFERROR(__xludf.DUMMYFUNCTION("GOOGLEFINANCE(""NSE:""&amp;D2876,""EPS"")"),"#N/A")</f>
        <v>#N/A</v>
      </c>
      <c r="Q2876" s="7">
        <v>13.5</v>
      </c>
      <c r="R2876" s="7" t="str">
        <f ca="1">IFERROR(__xludf.DUMMYFUNCTION("IMPORTXML(E2876,""/html/body/main/div[3]/div[3]/div[2]/ul/li[7]/span[2]/span"")"),"Loading...")</f>
        <v>Loading...</v>
      </c>
      <c r="S2876" s="7" t="str">
        <f ca="1">IFERROR(__xludf.DUMMYFUNCTION("IMPORTXML(E2876,""/html/body/main/div[3]/div[3]/div[2]/ul/li[8]/span[2]/span"")"),"Loading...")</f>
        <v>Loading...</v>
      </c>
      <c r="T2876" s="4">
        <v>34.6</v>
      </c>
      <c r="U2876" s="4">
        <v>22.7</v>
      </c>
      <c r="V2876" s="4">
        <v>2.6</v>
      </c>
      <c r="W2876" s="4">
        <v>5.7</v>
      </c>
      <c r="X2876" s="4">
        <v>519.92999999999995</v>
      </c>
      <c r="Y2876" s="7" t="e">
        <f t="shared" ca="1" si="59"/>
        <v>#VALUE!</v>
      </c>
    </row>
    <row r="2877" spans="1:25" ht="15" x14ac:dyDescent="0.25">
      <c r="A2877" s="4">
        <v>2841</v>
      </c>
      <c r="C2877" s="41" t="s">
        <v>5179</v>
      </c>
      <c r="D2877" s="42"/>
      <c r="E2877" s="5" t="str">
        <f t="shared" si="55"/>
        <v>https://www.screener.in/company//consolidated/</v>
      </c>
      <c r="F2877" s="4">
        <v>443059</v>
      </c>
      <c r="G2877" s="4">
        <v>3832241897</v>
      </c>
      <c r="H2877" s="6" t="e">
        <f t="shared" ca="1" si="56"/>
        <v>#VALUE!</v>
      </c>
      <c r="I2877" s="7" t="str">
        <f ca="1">IFERROR(__xludf.DUMMYFUNCTION("IMPORTXML(E2877,""/html/body/main/div[3]/div[3]/div[2]/ul/li[5]/span[2]/span"")"),"Loading...")</f>
        <v>Loading...</v>
      </c>
      <c r="J2877" s="7" t="str">
        <f ca="1">IFERROR(__xludf.DUMMYFUNCTION("GOOGLEFINANCE(""NSE:""&amp;D2877,""marketcap"")"),"#N/A")</f>
        <v>#N/A</v>
      </c>
      <c r="K2877" s="7">
        <v>992.8</v>
      </c>
      <c r="L2877" s="8" t="str">
        <f ca="1">IFERROR(__xludf.DUMMYFUNCTION("GOOGLEFINANCE(""NSE:""&amp;D2877,""price"")"),"#N/A")</f>
        <v>#N/A</v>
      </c>
      <c r="M2877" s="9" t="e">
        <f t="shared" ca="1" si="57"/>
        <v>#VALUE!</v>
      </c>
      <c r="N2877" s="10" t="e">
        <f t="shared" ca="1" si="58"/>
        <v>#VALUE!</v>
      </c>
      <c r="O2877" s="7" t="str">
        <f ca="1">IFERROR(__xludf.DUMMYFUNCTION("GOOGLEFINANCE(""NSE:""&amp;D2877,""pe"")"),"#N/A")</f>
        <v>#N/A</v>
      </c>
      <c r="P2877" s="7" t="str">
        <f ca="1">IFERROR(__xludf.DUMMYFUNCTION("GOOGLEFINANCE(""NSE:""&amp;D2877,""EPS"")"),"#N/A")</f>
        <v>#N/A</v>
      </c>
      <c r="Q2877" s="7">
        <v>13.5</v>
      </c>
      <c r="R2877" s="7" t="str">
        <f ca="1">IFERROR(__xludf.DUMMYFUNCTION("IMPORTXML(E2877,""/html/body/main/div[3]/div[3]/div[2]/ul/li[7]/span[2]/span"")"),"Loading...")</f>
        <v>Loading...</v>
      </c>
      <c r="S2877" s="7" t="str">
        <f ca="1">IFERROR(__xludf.DUMMYFUNCTION("IMPORTXML(E2877,""/html/body/main/div[3]/div[3]/div[2]/ul/li[8]/span[2]/span"")"),"Loading...")</f>
        <v>Loading...</v>
      </c>
      <c r="T2877" s="4">
        <v>34.6</v>
      </c>
      <c r="U2877" s="4">
        <v>22.7</v>
      </c>
      <c r="V2877" s="4">
        <v>2.6</v>
      </c>
      <c r="W2877" s="4">
        <v>5.7</v>
      </c>
      <c r="X2877" s="4">
        <v>519.92999999999995</v>
      </c>
      <c r="Y2877" s="7" t="e">
        <f t="shared" ca="1" si="59"/>
        <v>#VALUE!</v>
      </c>
    </row>
    <row r="2878" spans="1:25" ht="15" x14ac:dyDescent="0.25">
      <c r="A2878" s="4">
        <v>2842</v>
      </c>
      <c r="C2878" s="41" t="s">
        <v>5180</v>
      </c>
      <c r="D2878" s="42"/>
      <c r="E2878" s="5" t="str">
        <f t="shared" si="55"/>
        <v>https://www.screener.in/company//consolidated/</v>
      </c>
      <c r="F2878" s="4">
        <v>443059</v>
      </c>
      <c r="G2878" s="4">
        <v>3832241897</v>
      </c>
      <c r="H2878" s="6" t="e">
        <f t="shared" ca="1" si="56"/>
        <v>#VALUE!</v>
      </c>
      <c r="I2878" s="7" t="str">
        <f ca="1">IFERROR(__xludf.DUMMYFUNCTION("IMPORTXML(E2878,""/html/body/main/div[3]/div[3]/div[2]/ul/li[5]/span[2]/span"")"),"Loading...")</f>
        <v>Loading...</v>
      </c>
      <c r="J2878" s="7" t="str">
        <f ca="1">IFERROR(__xludf.DUMMYFUNCTION("GOOGLEFINANCE(""NSE:""&amp;D2878,""marketcap"")"),"#N/A")</f>
        <v>#N/A</v>
      </c>
      <c r="K2878" s="7">
        <v>992.8</v>
      </c>
      <c r="L2878" s="8" t="str">
        <f ca="1">IFERROR(__xludf.DUMMYFUNCTION("GOOGLEFINANCE(""NSE:""&amp;D2878,""price"")"),"#N/A")</f>
        <v>#N/A</v>
      </c>
      <c r="M2878" s="9" t="e">
        <f t="shared" ca="1" si="57"/>
        <v>#VALUE!</v>
      </c>
      <c r="N2878" s="10" t="e">
        <f t="shared" ca="1" si="58"/>
        <v>#VALUE!</v>
      </c>
      <c r="O2878" s="7" t="str">
        <f ca="1">IFERROR(__xludf.DUMMYFUNCTION("GOOGLEFINANCE(""NSE:""&amp;D2878,""pe"")"),"#N/A")</f>
        <v>#N/A</v>
      </c>
      <c r="P2878" s="7" t="str">
        <f ca="1">IFERROR(__xludf.DUMMYFUNCTION("GOOGLEFINANCE(""NSE:""&amp;D2878,""EPS"")"),"#N/A")</f>
        <v>#N/A</v>
      </c>
      <c r="Q2878" s="7">
        <v>13.5</v>
      </c>
      <c r="R2878" s="7" t="str">
        <f ca="1">IFERROR(__xludf.DUMMYFUNCTION("IMPORTXML(E2878,""/html/body/main/div[3]/div[3]/div[2]/ul/li[7]/span[2]/span"")"),"Loading...")</f>
        <v>Loading...</v>
      </c>
      <c r="S2878" s="7" t="str">
        <f ca="1">IFERROR(__xludf.DUMMYFUNCTION("IMPORTXML(E2878,""/html/body/main/div[3]/div[3]/div[2]/ul/li[8]/span[2]/span"")"),"Loading...")</f>
        <v>Loading...</v>
      </c>
      <c r="T2878" s="4">
        <v>34.6</v>
      </c>
      <c r="U2878" s="4">
        <v>22.7</v>
      </c>
      <c r="V2878" s="4">
        <v>2.6</v>
      </c>
      <c r="W2878" s="4">
        <v>5.7</v>
      </c>
      <c r="X2878" s="4">
        <v>519.92999999999995</v>
      </c>
      <c r="Y2878" s="7" t="e">
        <f t="shared" ca="1" si="59"/>
        <v>#VALUE!</v>
      </c>
    </row>
    <row r="2879" spans="1:25" ht="15" x14ac:dyDescent="0.25">
      <c r="A2879" s="4">
        <v>2843</v>
      </c>
      <c r="C2879" s="41" t="s">
        <v>5181</v>
      </c>
      <c r="D2879" s="42"/>
      <c r="E2879" s="5" t="str">
        <f t="shared" si="55"/>
        <v>https://www.screener.in/company//consolidated/</v>
      </c>
      <c r="F2879" s="4">
        <v>443059</v>
      </c>
      <c r="G2879" s="4">
        <v>3832241897</v>
      </c>
      <c r="H2879" s="6" t="e">
        <f t="shared" ca="1" si="56"/>
        <v>#VALUE!</v>
      </c>
      <c r="I2879" s="7" t="str">
        <f ca="1">IFERROR(__xludf.DUMMYFUNCTION("IMPORTXML(E2879,""/html/body/main/div[3]/div[3]/div[2]/ul/li[5]/span[2]/span"")"),"Loading...")</f>
        <v>Loading...</v>
      </c>
      <c r="J2879" s="7" t="str">
        <f ca="1">IFERROR(__xludf.DUMMYFUNCTION("GOOGLEFINANCE(""NSE:""&amp;D2879,""marketcap"")"),"#N/A")</f>
        <v>#N/A</v>
      </c>
      <c r="K2879" s="7">
        <v>992.8</v>
      </c>
      <c r="L2879" s="8" t="str">
        <f ca="1">IFERROR(__xludf.DUMMYFUNCTION("GOOGLEFINANCE(""NSE:""&amp;D2879,""price"")"),"#N/A")</f>
        <v>#N/A</v>
      </c>
      <c r="M2879" s="9" t="e">
        <f t="shared" ca="1" si="57"/>
        <v>#VALUE!</v>
      </c>
      <c r="N2879" s="10" t="e">
        <f t="shared" ca="1" si="58"/>
        <v>#VALUE!</v>
      </c>
      <c r="O2879" s="7" t="str">
        <f ca="1">IFERROR(__xludf.DUMMYFUNCTION("GOOGLEFINANCE(""NSE:""&amp;D2879,""pe"")"),"#N/A")</f>
        <v>#N/A</v>
      </c>
      <c r="P2879" s="7" t="str">
        <f ca="1">IFERROR(__xludf.DUMMYFUNCTION("GOOGLEFINANCE(""NSE:""&amp;D2879,""EPS"")"),"#N/A")</f>
        <v>#N/A</v>
      </c>
      <c r="Q2879" s="7">
        <v>13.5</v>
      </c>
      <c r="R2879" s="7" t="str">
        <f ca="1">IFERROR(__xludf.DUMMYFUNCTION("IMPORTXML(E2879,""/html/body/main/div[3]/div[3]/div[2]/ul/li[7]/span[2]/span"")"),"Loading...")</f>
        <v>Loading...</v>
      </c>
      <c r="S2879" s="7" t="str">
        <f ca="1">IFERROR(__xludf.DUMMYFUNCTION("IMPORTXML(E2879,""/html/body/main/div[3]/div[3]/div[2]/ul/li[8]/span[2]/span"")"),"Loading...")</f>
        <v>Loading...</v>
      </c>
      <c r="T2879" s="4">
        <v>34.6</v>
      </c>
      <c r="U2879" s="4">
        <v>22.7</v>
      </c>
      <c r="V2879" s="4">
        <v>2.6</v>
      </c>
      <c r="W2879" s="4">
        <v>5.7</v>
      </c>
      <c r="X2879" s="4">
        <v>519.92999999999995</v>
      </c>
      <c r="Y2879" s="7" t="e">
        <f t="shared" ca="1" si="59"/>
        <v>#VALUE!</v>
      </c>
    </row>
    <row r="2880" spans="1:25" ht="15" x14ac:dyDescent="0.25">
      <c r="A2880" s="4">
        <v>2844</v>
      </c>
      <c r="C2880" s="41" t="s">
        <v>5182</v>
      </c>
      <c r="D2880" s="42"/>
      <c r="E2880" s="5" t="str">
        <f t="shared" si="55"/>
        <v>https://www.screener.in/company//consolidated/</v>
      </c>
      <c r="F2880" s="4">
        <v>443059</v>
      </c>
      <c r="G2880" s="4">
        <v>3832241897</v>
      </c>
      <c r="H2880" s="6" t="e">
        <f t="shared" ca="1" si="56"/>
        <v>#VALUE!</v>
      </c>
      <c r="I2880" s="7" t="str">
        <f ca="1">IFERROR(__xludf.DUMMYFUNCTION("IMPORTXML(E2880,""/html/body/main/div[3]/div[3]/div[2]/ul/li[5]/span[2]/span"")"),"Loading...")</f>
        <v>Loading...</v>
      </c>
      <c r="J2880" s="7" t="str">
        <f ca="1">IFERROR(__xludf.DUMMYFUNCTION("GOOGLEFINANCE(""NSE:""&amp;D2880,""marketcap"")"),"#N/A")</f>
        <v>#N/A</v>
      </c>
      <c r="K2880" s="7">
        <v>992.8</v>
      </c>
      <c r="L2880" s="8" t="str">
        <f ca="1">IFERROR(__xludf.DUMMYFUNCTION("GOOGLEFINANCE(""NSE:""&amp;D2880,""price"")"),"#N/A")</f>
        <v>#N/A</v>
      </c>
      <c r="M2880" s="9" t="e">
        <f t="shared" ca="1" si="57"/>
        <v>#VALUE!</v>
      </c>
      <c r="N2880" s="10" t="e">
        <f t="shared" ca="1" si="58"/>
        <v>#VALUE!</v>
      </c>
      <c r="O2880" s="7" t="str">
        <f ca="1">IFERROR(__xludf.DUMMYFUNCTION("GOOGLEFINANCE(""NSE:""&amp;D2880,""pe"")"),"#N/A")</f>
        <v>#N/A</v>
      </c>
      <c r="P2880" s="7" t="str">
        <f ca="1">IFERROR(__xludf.DUMMYFUNCTION("GOOGLEFINANCE(""NSE:""&amp;D2880,""EPS"")"),"#N/A")</f>
        <v>#N/A</v>
      </c>
      <c r="Q2880" s="7">
        <v>13.5</v>
      </c>
      <c r="R2880" s="7" t="str">
        <f ca="1">IFERROR(__xludf.DUMMYFUNCTION("IMPORTXML(E2880,""/html/body/main/div[3]/div[3]/div[2]/ul/li[7]/span[2]/span"")"),"Loading...")</f>
        <v>Loading...</v>
      </c>
      <c r="S2880" s="7" t="str">
        <f ca="1">IFERROR(__xludf.DUMMYFUNCTION("IMPORTXML(E2880,""/html/body/main/div[3]/div[3]/div[2]/ul/li[8]/span[2]/span"")"),"Loading...")</f>
        <v>Loading...</v>
      </c>
      <c r="T2880" s="4">
        <v>34.6</v>
      </c>
      <c r="U2880" s="4">
        <v>22.7</v>
      </c>
      <c r="V2880" s="4">
        <v>2.6</v>
      </c>
      <c r="W2880" s="4">
        <v>5.7</v>
      </c>
      <c r="X2880" s="4">
        <v>519.92999999999995</v>
      </c>
      <c r="Y2880" s="7" t="e">
        <f t="shared" ca="1" si="59"/>
        <v>#VALUE!</v>
      </c>
    </row>
    <row r="2881" spans="1:25" ht="15" x14ac:dyDescent="0.25">
      <c r="A2881" s="4">
        <v>2845</v>
      </c>
      <c r="C2881" s="41" t="s">
        <v>5183</v>
      </c>
      <c r="D2881" s="42"/>
      <c r="E2881" s="5" t="str">
        <f t="shared" si="55"/>
        <v>https://www.screener.in/company//consolidated/</v>
      </c>
      <c r="F2881" s="4">
        <v>443059</v>
      </c>
      <c r="G2881" s="4">
        <v>3832241897</v>
      </c>
      <c r="H2881" s="6" t="e">
        <f t="shared" ca="1" si="56"/>
        <v>#VALUE!</v>
      </c>
      <c r="I2881" s="7" t="str">
        <f ca="1">IFERROR(__xludf.DUMMYFUNCTION("IMPORTXML(E2881,""/html/body/main/div[3]/div[3]/div[2]/ul/li[5]/span[2]/span"")"),"Loading...")</f>
        <v>Loading...</v>
      </c>
      <c r="J2881" s="7" t="str">
        <f ca="1">IFERROR(__xludf.DUMMYFUNCTION("GOOGLEFINANCE(""NSE:""&amp;D2881,""marketcap"")"),"#N/A")</f>
        <v>#N/A</v>
      </c>
      <c r="K2881" s="7">
        <v>992.8</v>
      </c>
      <c r="L2881" s="8" t="str">
        <f ca="1">IFERROR(__xludf.DUMMYFUNCTION("GOOGLEFINANCE(""NSE:""&amp;D2881,""price"")"),"#N/A")</f>
        <v>#N/A</v>
      </c>
      <c r="M2881" s="9" t="e">
        <f t="shared" ca="1" si="57"/>
        <v>#VALUE!</v>
      </c>
      <c r="N2881" s="10" t="e">
        <f t="shared" ca="1" si="58"/>
        <v>#VALUE!</v>
      </c>
      <c r="O2881" s="7" t="str">
        <f ca="1">IFERROR(__xludf.DUMMYFUNCTION("GOOGLEFINANCE(""NSE:""&amp;D2881,""pe"")"),"#N/A")</f>
        <v>#N/A</v>
      </c>
      <c r="P2881" s="7" t="str">
        <f ca="1">IFERROR(__xludf.DUMMYFUNCTION("GOOGLEFINANCE(""NSE:""&amp;D2881,""EPS"")"),"#N/A")</f>
        <v>#N/A</v>
      </c>
      <c r="Q2881" s="7">
        <v>13.5</v>
      </c>
      <c r="R2881" s="7" t="str">
        <f ca="1">IFERROR(__xludf.DUMMYFUNCTION("IMPORTXML(E2881,""/html/body/main/div[3]/div[3]/div[2]/ul/li[7]/span[2]/span"")"),"Loading...")</f>
        <v>Loading...</v>
      </c>
      <c r="S2881" s="7" t="str">
        <f ca="1">IFERROR(__xludf.DUMMYFUNCTION("IMPORTXML(E2881,""/html/body/main/div[3]/div[3]/div[2]/ul/li[8]/span[2]/span"")"),"Loading...")</f>
        <v>Loading...</v>
      </c>
      <c r="T2881" s="4">
        <v>34.6</v>
      </c>
      <c r="U2881" s="4">
        <v>22.7</v>
      </c>
      <c r="V2881" s="4">
        <v>2.6</v>
      </c>
      <c r="W2881" s="4">
        <v>5.7</v>
      </c>
      <c r="X2881" s="4">
        <v>519.92999999999995</v>
      </c>
      <c r="Y2881" s="7" t="e">
        <f t="shared" ca="1" si="59"/>
        <v>#VALUE!</v>
      </c>
    </row>
    <row r="2882" spans="1:25" ht="15" x14ac:dyDescent="0.25">
      <c r="A2882" s="4">
        <v>2847</v>
      </c>
      <c r="C2882" s="41" t="s">
        <v>5184</v>
      </c>
      <c r="D2882" s="42"/>
      <c r="E2882" s="5" t="str">
        <f t="shared" si="55"/>
        <v>https://www.screener.in/company//consolidated/</v>
      </c>
      <c r="F2882" s="4">
        <v>443059</v>
      </c>
      <c r="G2882" s="4">
        <v>3832241897</v>
      </c>
      <c r="H2882" s="6" t="e">
        <f t="shared" ca="1" si="56"/>
        <v>#VALUE!</v>
      </c>
      <c r="I2882" s="7" t="str">
        <f ca="1">IFERROR(__xludf.DUMMYFUNCTION("IMPORTXML(E2882,""/html/body/main/div[3]/div[3]/div[2]/ul/li[5]/span[2]/span"")"),"Loading...")</f>
        <v>Loading...</v>
      </c>
      <c r="J2882" s="7" t="str">
        <f ca="1">IFERROR(__xludf.DUMMYFUNCTION("GOOGLEFINANCE(""NSE:""&amp;D2882,""marketcap"")"),"#N/A")</f>
        <v>#N/A</v>
      </c>
      <c r="K2882" s="7">
        <v>992.8</v>
      </c>
      <c r="L2882" s="8" t="str">
        <f ca="1">IFERROR(__xludf.DUMMYFUNCTION("GOOGLEFINANCE(""NSE:""&amp;D2882,""price"")"),"#N/A")</f>
        <v>#N/A</v>
      </c>
      <c r="M2882" s="9" t="e">
        <f t="shared" ca="1" si="57"/>
        <v>#VALUE!</v>
      </c>
      <c r="N2882" s="10" t="e">
        <f t="shared" ca="1" si="58"/>
        <v>#VALUE!</v>
      </c>
      <c r="O2882" s="7" t="str">
        <f ca="1">IFERROR(__xludf.DUMMYFUNCTION("GOOGLEFINANCE(""NSE:""&amp;D2882,""pe"")"),"#N/A")</f>
        <v>#N/A</v>
      </c>
      <c r="P2882" s="7" t="str">
        <f ca="1">IFERROR(__xludf.DUMMYFUNCTION("GOOGLEFINANCE(""NSE:""&amp;D2882,""EPS"")"),"#N/A")</f>
        <v>#N/A</v>
      </c>
      <c r="Q2882" s="7">
        <v>13.5</v>
      </c>
      <c r="R2882" s="7" t="str">
        <f ca="1">IFERROR(__xludf.DUMMYFUNCTION("IMPORTXML(E2882,""/html/body/main/div[3]/div[3]/div[2]/ul/li[7]/span[2]/span"")"),"Loading...")</f>
        <v>Loading...</v>
      </c>
      <c r="S2882" s="7" t="str">
        <f ca="1">IFERROR(__xludf.DUMMYFUNCTION("IMPORTXML(E2882,""/html/body/main/div[3]/div[3]/div[2]/ul/li[8]/span[2]/span"")"),"Loading...")</f>
        <v>Loading...</v>
      </c>
      <c r="T2882" s="4">
        <v>34.6</v>
      </c>
      <c r="U2882" s="4">
        <v>22.7</v>
      </c>
      <c r="V2882" s="4">
        <v>2.6</v>
      </c>
      <c r="W2882" s="4">
        <v>5.7</v>
      </c>
      <c r="X2882" s="4">
        <v>519.92999999999995</v>
      </c>
      <c r="Y2882" s="7" t="e">
        <f t="shared" ca="1" si="59"/>
        <v>#VALUE!</v>
      </c>
    </row>
    <row r="2883" spans="1:25" ht="15" x14ac:dyDescent="0.25">
      <c r="A2883" s="4">
        <v>2848</v>
      </c>
      <c r="C2883" s="41" t="s">
        <v>5185</v>
      </c>
      <c r="D2883" s="42"/>
      <c r="E2883" s="5" t="str">
        <f t="shared" si="55"/>
        <v>https://www.screener.in/company//consolidated/</v>
      </c>
      <c r="F2883" s="4">
        <v>443059</v>
      </c>
      <c r="G2883" s="4">
        <v>3832241897</v>
      </c>
      <c r="H2883" s="6" t="e">
        <f t="shared" ca="1" si="56"/>
        <v>#VALUE!</v>
      </c>
      <c r="I2883" s="7" t="str">
        <f ca="1">IFERROR(__xludf.DUMMYFUNCTION("IMPORTXML(E2883,""/html/body/main/div[3]/div[3]/div[2]/ul/li[5]/span[2]/span"")"),"Loading...")</f>
        <v>Loading...</v>
      </c>
      <c r="J2883" s="7" t="str">
        <f ca="1">IFERROR(__xludf.DUMMYFUNCTION("GOOGLEFINANCE(""NSE:""&amp;D2883,""marketcap"")"),"#N/A")</f>
        <v>#N/A</v>
      </c>
      <c r="K2883" s="7">
        <v>992.8</v>
      </c>
      <c r="L2883" s="8" t="str">
        <f ca="1">IFERROR(__xludf.DUMMYFUNCTION("GOOGLEFINANCE(""NSE:""&amp;D2883,""price"")"),"#N/A")</f>
        <v>#N/A</v>
      </c>
      <c r="M2883" s="9" t="e">
        <f t="shared" ca="1" si="57"/>
        <v>#VALUE!</v>
      </c>
      <c r="N2883" s="10" t="e">
        <f t="shared" ca="1" si="58"/>
        <v>#VALUE!</v>
      </c>
      <c r="O2883" s="7" t="str">
        <f ca="1">IFERROR(__xludf.DUMMYFUNCTION("GOOGLEFINANCE(""NSE:""&amp;D2883,""pe"")"),"#N/A")</f>
        <v>#N/A</v>
      </c>
      <c r="P2883" s="7" t="str">
        <f ca="1">IFERROR(__xludf.DUMMYFUNCTION("GOOGLEFINANCE(""NSE:""&amp;D2883,""EPS"")"),"#N/A")</f>
        <v>#N/A</v>
      </c>
      <c r="Q2883" s="7">
        <v>13.5</v>
      </c>
      <c r="R2883" s="7" t="str">
        <f ca="1">IFERROR(__xludf.DUMMYFUNCTION("IMPORTXML(E2883,""/html/body/main/div[3]/div[3]/div[2]/ul/li[7]/span[2]/span"")"),"Loading...")</f>
        <v>Loading...</v>
      </c>
      <c r="S2883" s="7" t="str">
        <f ca="1">IFERROR(__xludf.DUMMYFUNCTION("IMPORTXML(E2883,""/html/body/main/div[3]/div[3]/div[2]/ul/li[8]/span[2]/span"")"),"Loading...")</f>
        <v>Loading...</v>
      </c>
      <c r="T2883" s="4">
        <v>34.6</v>
      </c>
      <c r="U2883" s="4">
        <v>22.7</v>
      </c>
      <c r="V2883" s="4">
        <v>2.6</v>
      </c>
      <c r="W2883" s="4">
        <v>5.7</v>
      </c>
      <c r="X2883" s="4">
        <v>519.92999999999995</v>
      </c>
      <c r="Y2883" s="7" t="e">
        <f t="shared" ca="1" si="59"/>
        <v>#VALUE!</v>
      </c>
    </row>
    <row r="2884" spans="1:25" ht="15" x14ac:dyDescent="0.25">
      <c r="A2884" s="4">
        <v>2849</v>
      </c>
      <c r="C2884" s="12" t="s">
        <v>5186</v>
      </c>
      <c r="D2884" s="12" t="s">
        <v>5187</v>
      </c>
      <c r="E2884" s="5" t="str">
        <f t="shared" si="55"/>
        <v>https://www.screener.in/company/TVVISION/consolidated/</v>
      </c>
      <c r="F2884" s="4">
        <v>443059</v>
      </c>
      <c r="G2884" s="4">
        <v>3832241897</v>
      </c>
      <c r="H2884" s="6">
        <f t="shared" ca="1" si="56"/>
        <v>2337.6675571699998</v>
      </c>
      <c r="I2884" s="7" t="str">
        <f ca="1">IFERROR(__xludf.DUMMYFUNCTION("IMPORTXML(E2884,""/html/body/main/div[3]/div[3]/div[2]/ul/li[5]/span[2]/span"")"),"Loading...")</f>
        <v>Loading...</v>
      </c>
      <c r="J2884" s="7">
        <f ca="1">IFERROR(__xludf.DUMMYFUNCTION("GOOGLEFINANCE(""NSE:""&amp;D2884,""marketcap"")"),239441000)</f>
        <v>239441000</v>
      </c>
      <c r="K2884" s="7">
        <v>992.8</v>
      </c>
      <c r="L2884" s="8">
        <f ca="1">IFERROR(__xludf.DUMMYFUNCTION("GOOGLEFINANCE(""NSE:""&amp;D2884,""price"")"),6.1)</f>
        <v>6.1</v>
      </c>
      <c r="M2884" s="9">
        <f t="shared" ca="1" si="57"/>
        <v>-986.69999999999993</v>
      </c>
      <c r="N2884" s="10">
        <f t="shared" ca="1" si="58"/>
        <v>-99.385576148267532</v>
      </c>
      <c r="O2884" s="7" t="str">
        <f ca="1">IFERROR(__xludf.DUMMYFUNCTION("GOOGLEFINANCE(""NSE:""&amp;D2884,""pe"")"),"#N/A")</f>
        <v>#N/A</v>
      </c>
      <c r="P2884" s="7">
        <f ca="1">IFERROR(__xludf.DUMMYFUNCTION("GOOGLEFINANCE(""NSE:""&amp;D2884,""EPS"")"),-6.43)</f>
        <v>-6.43</v>
      </c>
      <c r="Q2884" s="7">
        <v>13.5</v>
      </c>
      <c r="R2884" s="7" t="str">
        <f ca="1">IFERROR(__xludf.DUMMYFUNCTION("IMPORTXML(E2884,""/html/body/main/div[3]/div[3]/div[2]/ul/li[7]/span[2]/span"")"),"Loading...")</f>
        <v>Loading...</v>
      </c>
      <c r="S2884" s="7" t="str">
        <f ca="1">IFERROR(__xludf.DUMMYFUNCTION("IMPORTXML(E2884,""/html/body/main/div[3]/div[3]/div[2]/ul/li[8]/span[2]/span"")"),"Loading...")</f>
        <v>Loading...</v>
      </c>
      <c r="T2884" s="4">
        <v>34.6</v>
      </c>
      <c r="U2884" s="4">
        <v>22.7</v>
      </c>
      <c r="V2884" s="4">
        <v>2.6</v>
      </c>
      <c r="W2884" s="4">
        <v>5.7</v>
      </c>
      <c r="X2884" s="4">
        <v>519.92999999999995</v>
      </c>
      <c r="Y2884" s="7">
        <f t="shared" ca="1" si="59"/>
        <v>-513.82999999999993</v>
      </c>
    </row>
    <row r="2885" spans="1:25" ht="15" x14ac:dyDescent="0.25">
      <c r="A2885" s="4">
        <v>2851</v>
      </c>
      <c r="C2885" s="41" t="s">
        <v>5188</v>
      </c>
      <c r="D2885" s="42"/>
      <c r="E2885" s="5" t="str">
        <f t="shared" si="55"/>
        <v>https://www.screener.in/company//consolidated/</v>
      </c>
      <c r="F2885" s="4">
        <v>443059</v>
      </c>
      <c r="G2885" s="4">
        <v>3832241897</v>
      </c>
      <c r="H2885" s="6" t="e">
        <f t="shared" ca="1" si="56"/>
        <v>#VALUE!</v>
      </c>
      <c r="I2885" s="7" t="str">
        <f ca="1">IFERROR(__xludf.DUMMYFUNCTION("IMPORTXML(E2885,""/html/body/main/div[3]/div[3]/div[2]/ul/li[5]/span[2]/span"")"),"Loading...")</f>
        <v>Loading...</v>
      </c>
      <c r="J2885" s="7" t="str">
        <f ca="1">IFERROR(__xludf.DUMMYFUNCTION("GOOGLEFINANCE(""NSE:""&amp;D2885,""marketcap"")"),"#N/A")</f>
        <v>#N/A</v>
      </c>
      <c r="K2885" s="7">
        <v>992.8</v>
      </c>
      <c r="L2885" s="8" t="str">
        <f ca="1">IFERROR(__xludf.DUMMYFUNCTION("GOOGLEFINANCE(""NSE:""&amp;D2885,""price"")"),"#N/A")</f>
        <v>#N/A</v>
      </c>
      <c r="M2885" s="9" t="e">
        <f t="shared" ca="1" si="57"/>
        <v>#VALUE!</v>
      </c>
      <c r="N2885" s="10" t="e">
        <f t="shared" ca="1" si="58"/>
        <v>#VALUE!</v>
      </c>
      <c r="O2885" s="7" t="str">
        <f ca="1">IFERROR(__xludf.DUMMYFUNCTION("GOOGLEFINANCE(""NSE:""&amp;D2885,""pe"")"),"#N/A")</f>
        <v>#N/A</v>
      </c>
      <c r="P2885" s="7" t="str">
        <f ca="1">IFERROR(__xludf.DUMMYFUNCTION("GOOGLEFINANCE(""NSE:""&amp;D2885,""EPS"")"),"#N/A")</f>
        <v>#N/A</v>
      </c>
      <c r="Q2885" s="7">
        <v>13.5</v>
      </c>
      <c r="R2885" s="7" t="str">
        <f ca="1">IFERROR(__xludf.DUMMYFUNCTION("IMPORTXML(E2885,""/html/body/main/div[3]/div[3]/div[2]/ul/li[7]/span[2]/span"")"),"Loading...")</f>
        <v>Loading...</v>
      </c>
      <c r="S2885" s="7" t="str">
        <f ca="1">IFERROR(__xludf.DUMMYFUNCTION("IMPORTXML(E2885,""/html/body/main/div[3]/div[3]/div[2]/ul/li[8]/span[2]/span"")"),"Loading...")</f>
        <v>Loading...</v>
      </c>
      <c r="T2885" s="4">
        <v>34.6</v>
      </c>
      <c r="U2885" s="4">
        <v>22.7</v>
      </c>
      <c r="V2885" s="4">
        <v>2.6</v>
      </c>
      <c r="W2885" s="4">
        <v>5.7</v>
      </c>
      <c r="X2885" s="4">
        <v>519.92999999999995</v>
      </c>
      <c r="Y2885" s="7" t="e">
        <f t="shared" ca="1" si="59"/>
        <v>#VALUE!</v>
      </c>
    </row>
    <row r="2886" spans="1:25" ht="15" x14ac:dyDescent="0.25">
      <c r="A2886" s="4">
        <v>2852</v>
      </c>
      <c r="C2886" s="41" t="s">
        <v>5189</v>
      </c>
      <c r="D2886" s="42"/>
      <c r="E2886" s="5" t="str">
        <f t="shared" si="55"/>
        <v>https://www.screener.in/company//consolidated/</v>
      </c>
      <c r="F2886" s="4">
        <v>443059</v>
      </c>
      <c r="G2886" s="4">
        <v>3832241897</v>
      </c>
      <c r="H2886" s="6" t="e">
        <f t="shared" ca="1" si="56"/>
        <v>#VALUE!</v>
      </c>
      <c r="I2886" s="7" t="str">
        <f ca="1">IFERROR(__xludf.DUMMYFUNCTION("IMPORTXML(E2886,""/html/body/main/div[3]/div[3]/div[2]/ul/li[5]/span[2]/span"")"),"Loading...")</f>
        <v>Loading...</v>
      </c>
      <c r="J2886" s="7" t="str">
        <f ca="1">IFERROR(__xludf.DUMMYFUNCTION("GOOGLEFINANCE(""NSE:""&amp;D2886,""marketcap"")"),"#N/A")</f>
        <v>#N/A</v>
      </c>
      <c r="K2886" s="7">
        <v>992.8</v>
      </c>
      <c r="L2886" s="8" t="str">
        <f ca="1">IFERROR(__xludf.DUMMYFUNCTION("GOOGLEFINANCE(""NSE:""&amp;D2886,""price"")"),"#N/A")</f>
        <v>#N/A</v>
      </c>
      <c r="M2886" s="9" t="e">
        <f t="shared" ca="1" si="57"/>
        <v>#VALUE!</v>
      </c>
      <c r="N2886" s="10" t="e">
        <f t="shared" ca="1" si="58"/>
        <v>#VALUE!</v>
      </c>
      <c r="O2886" s="7" t="str">
        <f ca="1">IFERROR(__xludf.DUMMYFUNCTION("GOOGLEFINANCE(""NSE:""&amp;D2886,""pe"")"),"#N/A")</f>
        <v>#N/A</v>
      </c>
      <c r="P2886" s="7" t="str">
        <f ca="1">IFERROR(__xludf.DUMMYFUNCTION("GOOGLEFINANCE(""NSE:""&amp;D2886,""EPS"")"),"#N/A")</f>
        <v>#N/A</v>
      </c>
      <c r="Q2886" s="7">
        <v>13.5</v>
      </c>
      <c r="R2886" s="7" t="str">
        <f ca="1">IFERROR(__xludf.DUMMYFUNCTION("IMPORTXML(E2886,""/html/body/main/div[3]/div[3]/div[2]/ul/li[7]/span[2]/span"")"),"Loading...")</f>
        <v>Loading...</v>
      </c>
      <c r="S2886" s="7" t="str">
        <f ca="1">IFERROR(__xludf.DUMMYFUNCTION("IMPORTXML(E2886,""/html/body/main/div[3]/div[3]/div[2]/ul/li[8]/span[2]/span"")"),"Loading...")</f>
        <v>Loading...</v>
      </c>
      <c r="T2886" s="4">
        <v>34.6</v>
      </c>
      <c r="U2886" s="4">
        <v>22.7</v>
      </c>
      <c r="V2886" s="4">
        <v>2.6</v>
      </c>
      <c r="W2886" s="4">
        <v>5.7</v>
      </c>
      <c r="X2886" s="4">
        <v>519.92999999999995</v>
      </c>
      <c r="Y2886" s="7" t="e">
        <f t="shared" ca="1" si="59"/>
        <v>#VALUE!</v>
      </c>
    </row>
    <row r="2887" spans="1:25" ht="15" x14ac:dyDescent="0.25">
      <c r="A2887" s="4">
        <v>2853</v>
      </c>
      <c r="C2887" s="41" t="s">
        <v>5190</v>
      </c>
      <c r="D2887" s="42"/>
      <c r="E2887" s="5" t="str">
        <f t="shared" si="55"/>
        <v>https://www.screener.in/company//consolidated/</v>
      </c>
      <c r="F2887" s="4">
        <v>443059</v>
      </c>
      <c r="G2887" s="4">
        <v>3832241897</v>
      </c>
      <c r="H2887" s="6" t="e">
        <f t="shared" ca="1" si="56"/>
        <v>#VALUE!</v>
      </c>
      <c r="I2887" s="7" t="str">
        <f ca="1">IFERROR(__xludf.DUMMYFUNCTION("IMPORTXML(E2887,""/html/body/main/div[3]/div[3]/div[2]/ul/li[5]/span[2]/span"")"),"Loading...")</f>
        <v>Loading...</v>
      </c>
      <c r="J2887" s="7" t="str">
        <f ca="1">IFERROR(__xludf.DUMMYFUNCTION("GOOGLEFINANCE(""NSE:""&amp;D2887,""marketcap"")"),"#N/A")</f>
        <v>#N/A</v>
      </c>
      <c r="K2887" s="7">
        <v>992.8</v>
      </c>
      <c r="L2887" s="8" t="str">
        <f ca="1">IFERROR(__xludf.DUMMYFUNCTION("GOOGLEFINANCE(""NSE:""&amp;D2887,""price"")"),"#N/A")</f>
        <v>#N/A</v>
      </c>
      <c r="M2887" s="9" t="e">
        <f t="shared" ca="1" si="57"/>
        <v>#VALUE!</v>
      </c>
      <c r="N2887" s="10" t="e">
        <f t="shared" ca="1" si="58"/>
        <v>#VALUE!</v>
      </c>
      <c r="O2887" s="7" t="str">
        <f ca="1">IFERROR(__xludf.DUMMYFUNCTION("GOOGLEFINANCE(""NSE:""&amp;D2887,""pe"")"),"#N/A")</f>
        <v>#N/A</v>
      </c>
      <c r="P2887" s="7" t="str">
        <f ca="1">IFERROR(__xludf.DUMMYFUNCTION("GOOGLEFINANCE(""NSE:""&amp;D2887,""EPS"")"),"#N/A")</f>
        <v>#N/A</v>
      </c>
      <c r="Q2887" s="7">
        <v>13.5</v>
      </c>
      <c r="R2887" s="7" t="str">
        <f ca="1">IFERROR(__xludf.DUMMYFUNCTION("IMPORTXML(E2887,""/html/body/main/div[3]/div[3]/div[2]/ul/li[7]/span[2]/span"")"),"Loading...")</f>
        <v>Loading...</v>
      </c>
      <c r="S2887" s="7" t="str">
        <f ca="1">IFERROR(__xludf.DUMMYFUNCTION("IMPORTXML(E2887,""/html/body/main/div[3]/div[3]/div[2]/ul/li[8]/span[2]/span"")"),"Loading...")</f>
        <v>Loading...</v>
      </c>
      <c r="T2887" s="4">
        <v>34.6</v>
      </c>
      <c r="U2887" s="4">
        <v>22.7</v>
      </c>
      <c r="V2887" s="4">
        <v>2.6</v>
      </c>
      <c r="W2887" s="4">
        <v>5.7</v>
      </c>
      <c r="X2887" s="4">
        <v>519.92999999999995</v>
      </c>
      <c r="Y2887" s="7" t="e">
        <f t="shared" ca="1" si="59"/>
        <v>#VALUE!</v>
      </c>
    </row>
    <row r="2888" spans="1:25" ht="15" x14ac:dyDescent="0.25">
      <c r="A2888" s="4">
        <v>2854</v>
      </c>
      <c r="C2888" s="41" t="s">
        <v>5191</v>
      </c>
      <c r="D2888" s="42"/>
      <c r="E2888" s="5" t="str">
        <f t="shared" si="55"/>
        <v>https://www.screener.in/company//consolidated/</v>
      </c>
      <c r="F2888" s="4">
        <v>443059</v>
      </c>
      <c r="G2888" s="4">
        <v>3832241897</v>
      </c>
      <c r="H2888" s="6" t="e">
        <f t="shared" ca="1" si="56"/>
        <v>#VALUE!</v>
      </c>
      <c r="I2888" s="7" t="str">
        <f ca="1">IFERROR(__xludf.DUMMYFUNCTION("IMPORTXML(E2888,""/html/body/main/div[3]/div[3]/div[2]/ul/li[5]/span[2]/span"")"),"Loading...")</f>
        <v>Loading...</v>
      </c>
      <c r="J2888" s="7" t="str">
        <f ca="1">IFERROR(__xludf.DUMMYFUNCTION("GOOGLEFINANCE(""NSE:""&amp;D2888,""marketcap"")"),"#N/A")</f>
        <v>#N/A</v>
      </c>
      <c r="K2888" s="7">
        <v>992.8</v>
      </c>
      <c r="L2888" s="8" t="str">
        <f ca="1">IFERROR(__xludf.DUMMYFUNCTION("GOOGLEFINANCE(""NSE:""&amp;D2888,""price"")"),"#N/A")</f>
        <v>#N/A</v>
      </c>
      <c r="M2888" s="9" t="e">
        <f t="shared" ca="1" si="57"/>
        <v>#VALUE!</v>
      </c>
      <c r="N2888" s="10" t="e">
        <f t="shared" ca="1" si="58"/>
        <v>#VALUE!</v>
      </c>
      <c r="O2888" s="7" t="str">
        <f ca="1">IFERROR(__xludf.DUMMYFUNCTION("GOOGLEFINANCE(""NSE:""&amp;D2888,""pe"")"),"#N/A")</f>
        <v>#N/A</v>
      </c>
      <c r="P2888" s="7" t="str">
        <f ca="1">IFERROR(__xludf.DUMMYFUNCTION("GOOGLEFINANCE(""NSE:""&amp;D2888,""EPS"")"),"#N/A")</f>
        <v>#N/A</v>
      </c>
      <c r="Q2888" s="7">
        <v>13.5</v>
      </c>
      <c r="R2888" s="7" t="str">
        <f ca="1">IFERROR(__xludf.DUMMYFUNCTION("IMPORTXML(E2888,""/html/body/main/div[3]/div[3]/div[2]/ul/li[7]/span[2]/span"")"),"Loading...")</f>
        <v>Loading...</v>
      </c>
      <c r="S2888" s="7" t="str">
        <f ca="1">IFERROR(__xludf.DUMMYFUNCTION("IMPORTXML(E2888,""/html/body/main/div[3]/div[3]/div[2]/ul/li[8]/span[2]/span"")"),"Loading...")</f>
        <v>Loading...</v>
      </c>
      <c r="T2888" s="4">
        <v>34.6</v>
      </c>
      <c r="U2888" s="4">
        <v>22.7</v>
      </c>
      <c r="V2888" s="4">
        <v>2.6</v>
      </c>
      <c r="W2888" s="4">
        <v>5.7</v>
      </c>
      <c r="X2888" s="4">
        <v>519.92999999999995</v>
      </c>
      <c r="Y2888" s="7" t="e">
        <f t="shared" ca="1" si="59"/>
        <v>#VALUE!</v>
      </c>
    </row>
    <row r="2889" spans="1:25" ht="15" x14ac:dyDescent="0.25">
      <c r="A2889" s="4">
        <v>2855</v>
      </c>
      <c r="C2889" s="12" t="s">
        <v>5192</v>
      </c>
      <c r="D2889" s="12" t="s">
        <v>5193</v>
      </c>
      <c r="E2889" s="5" t="str">
        <f t="shared" si="55"/>
        <v>https://www.screener.in/company/PEARLPOLY/consolidated/</v>
      </c>
      <c r="F2889" s="4">
        <v>443059</v>
      </c>
      <c r="G2889" s="4">
        <v>3832241897</v>
      </c>
      <c r="H2889" s="6">
        <f t="shared" ca="1" si="56"/>
        <v>11929.769025361</v>
      </c>
      <c r="I2889" s="7" t="str">
        <f ca="1">IFERROR(__xludf.DUMMYFUNCTION("IMPORTXML(E2889,""/html/body/main/div[3]/div[3]/div[2]/ul/li[5]/span[2]/span"")"),"Loading...")</f>
        <v>Loading...</v>
      </c>
      <c r="J2889" s="7">
        <f ca="1">IFERROR(__xludf.DUMMYFUNCTION("GOOGLEFINANCE(""NSE:""&amp;D2889,""marketcap"")"),524408100)</f>
        <v>524408100</v>
      </c>
      <c r="K2889" s="7">
        <v>992.8</v>
      </c>
      <c r="L2889" s="8">
        <f ca="1">IFERROR(__xludf.DUMMYFUNCTION("GOOGLEFINANCE(""NSE:""&amp;D2889,""price"")"),31.13)</f>
        <v>31.13</v>
      </c>
      <c r="M2889" s="9">
        <f t="shared" ca="1" si="57"/>
        <v>-961.67</v>
      </c>
      <c r="N2889" s="10">
        <f t="shared" ca="1" si="58"/>
        <v>-96.864423851732468</v>
      </c>
      <c r="O2889" s="7" t="str">
        <f ca="1">IFERROR(__xludf.DUMMYFUNCTION("GOOGLEFINANCE(""NSE:""&amp;D2889,""pe"")"),"#N/A")</f>
        <v>#N/A</v>
      </c>
      <c r="P2889" s="7">
        <f ca="1">IFERROR(__xludf.DUMMYFUNCTION("GOOGLEFINANCE(""NSE:""&amp;D2889,""EPS"")"),-2.09)</f>
        <v>-2.09</v>
      </c>
      <c r="Q2889" s="7">
        <v>13.5</v>
      </c>
      <c r="R2889" s="7" t="str">
        <f ca="1">IFERROR(__xludf.DUMMYFUNCTION("IMPORTXML(E2889,""/html/body/main/div[3]/div[3]/div[2]/ul/li[7]/span[2]/span"")"),"Loading...")</f>
        <v>Loading...</v>
      </c>
      <c r="S2889" s="7" t="str">
        <f ca="1">IFERROR(__xludf.DUMMYFUNCTION("IMPORTXML(E2889,""/html/body/main/div[3]/div[3]/div[2]/ul/li[8]/span[2]/span"")"),"Loading...")</f>
        <v>Loading...</v>
      </c>
      <c r="T2889" s="4">
        <v>34.6</v>
      </c>
      <c r="U2889" s="4">
        <v>22.7</v>
      </c>
      <c r="V2889" s="4">
        <v>2.6</v>
      </c>
      <c r="W2889" s="4">
        <v>5.7</v>
      </c>
      <c r="X2889" s="4">
        <v>519.92999999999995</v>
      </c>
      <c r="Y2889" s="7">
        <f t="shared" ca="1" si="59"/>
        <v>-488.79999999999995</v>
      </c>
    </row>
    <row r="2890" spans="1:25" ht="15" x14ac:dyDescent="0.25">
      <c r="A2890" s="4">
        <v>2856</v>
      </c>
      <c r="C2890" s="41" t="s">
        <v>5194</v>
      </c>
      <c r="D2890" s="42"/>
      <c r="E2890" s="5" t="str">
        <f t="shared" si="55"/>
        <v>https://www.screener.in/company//consolidated/</v>
      </c>
      <c r="F2890" s="4">
        <v>443059</v>
      </c>
      <c r="G2890" s="4">
        <v>3832241897</v>
      </c>
      <c r="H2890" s="6" t="e">
        <f t="shared" ca="1" si="56"/>
        <v>#VALUE!</v>
      </c>
      <c r="I2890" s="7" t="str">
        <f ca="1">IFERROR(__xludf.DUMMYFUNCTION("IMPORTXML(E2890,""/html/body/main/div[3]/div[3]/div[2]/ul/li[5]/span[2]/span"")"),"Loading...")</f>
        <v>Loading...</v>
      </c>
      <c r="J2890" s="7" t="str">
        <f ca="1">IFERROR(__xludf.DUMMYFUNCTION("GOOGLEFINANCE(""NSE:""&amp;D2890,""marketcap"")"),"#N/A")</f>
        <v>#N/A</v>
      </c>
      <c r="K2890" s="7">
        <v>992.8</v>
      </c>
      <c r="L2890" s="8" t="str">
        <f ca="1">IFERROR(__xludf.DUMMYFUNCTION("GOOGLEFINANCE(""NSE:""&amp;D2890,""price"")"),"#N/A")</f>
        <v>#N/A</v>
      </c>
      <c r="M2890" s="9" t="e">
        <f t="shared" ca="1" si="57"/>
        <v>#VALUE!</v>
      </c>
      <c r="N2890" s="10" t="e">
        <f t="shared" ca="1" si="58"/>
        <v>#VALUE!</v>
      </c>
      <c r="O2890" s="7" t="str">
        <f ca="1">IFERROR(__xludf.DUMMYFUNCTION("GOOGLEFINANCE(""NSE:""&amp;D2890,""pe"")"),"#N/A")</f>
        <v>#N/A</v>
      </c>
      <c r="P2890" s="7" t="str">
        <f ca="1">IFERROR(__xludf.DUMMYFUNCTION("GOOGLEFINANCE(""NSE:""&amp;D2890,""EPS"")"),"#N/A")</f>
        <v>#N/A</v>
      </c>
      <c r="Q2890" s="7">
        <v>13.5</v>
      </c>
      <c r="R2890" s="7" t="str">
        <f ca="1">IFERROR(__xludf.DUMMYFUNCTION("IMPORTXML(E2890,""/html/body/main/div[3]/div[3]/div[2]/ul/li[7]/span[2]/span"")"),"Loading...")</f>
        <v>Loading...</v>
      </c>
      <c r="S2890" s="7" t="str">
        <f ca="1">IFERROR(__xludf.DUMMYFUNCTION("IMPORTXML(E2890,""/html/body/main/div[3]/div[3]/div[2]/ul/li[8]/span[2]/span"")"),"Loading...")</f>
        <v>Loading...</v>
      </c>
      <c r="T2890" s="4">
        <v>34.6</v>
      </c>
      <c r="U2890" s="4">
        <v>22.7</v>
      </c>
      <c r="V2890" s="4">
        <v>2.6</v>
      </c>
      <c r="W2890" s="4">
        <v>5.7</v>
      </c>
      <c r="X2890" s="4">
        <v>519.92999999999995</v>
      </c>
      <c r="Y2890" s="7" t="e">
        <f t="shared" ca="1" si="59"/>
        <v>#VALUE!</v>
      </c>
    </row>
    <row r="2891" spans="1:25" ht="15" x14ac:dyDescent="0.25">
      <c r="A2891" s="4">
        <v>2857</v>
      </c>
      <c r="C2891" s="41" t="s">
        <v>5195</v>
      </c>
      <c r="D2891" s="42"/>
      <c r="E2891" s="5" t="str">
        <f t="shared" si="55"/>
        <v>https://www.screener.in/company//consolidated/</v>
      </c>
      <c r="F2891" s="4">
        <v>443059</v>
      </c>
      <c r="G2891" s="4">
        <v>3832241897</v>
      </c>
      <c r="H2891" s="6" t="e">
        <f t="shared" ca="1" si="56"/>
        <v>#VALUE!</v>
      </c>
      <c r="I2891" s="7" t="str">
        <f ca="1">IFERROR(__xludf.DUMMYFUNCTION("IMPORTXML(E2891,""/html/body/main/div[3]/div[3]/div[2]/ul/li[5]/span[2]/span"")"),"Loading...")</f>
        <v>Loading...</v>
      </c>
      <c r="J2891" s="7" t="str">
        <f ca="1">IFERROR(__xludf.DUMMYFUNCTION("GOOGLEFINANCE(""NSE:""&amp;D2891,""marketcap"")"),"#N/A")</f>
        <v>#N/A</v>
      </c>
      <c r="K2891" s="7">
        <v>992.8</v>
      </c>
      <c r="L2891" s="8" t="str">
        <f ca="1">IFERROR(__xludf.DUMMYFUNCTION("GOOGLEFINANCE(""NSE:""&amp;D2891,""price"")"),"#N/A")</f>
        <v>#N/A</v>
      </c>
      <c r="M2891" s="9" t="e">
        <f t="shared" ca="1" si="57"/>
        <v>#VALUE!</v>
      </c>
      <c r="N2891" s="10" t="e">
        <f t="shared" ca="1" si="58"/>
        <v>#VALUE!</v>
      </c>
      <c r="O2891" s="7" t="str">
        <f ca="1">IFERROR(__xludf.DUMMYFUNCTION("GOOGLEFINANCE(""NSE:""&amp;D2891,""pe"")"),"#N/A")</f>
        <v>#N/A</v>
      </c>
      <c r="P2891" s="7" t="str">
        <f ca="1">IFERROR(__xludf.DUMMYFUNCTION("GOOGLEFINANCE(""NSE:""&amp;D2891,""EPS"")"),"#N/A")</f>
        <v>#N/A</v>
      </c>
      <c r="Q2891" s="7">
        <v>13.5</v>
      </c>
      <c r="R2891" s="7" t="str">
        <f ca="1">IFERROR(__xludf.DUMMYFUNCTION("IMPORTXML(E2891,""/html/body/main/div[3]/div[3]/div[2]/ul/li[7]/span[2]/span"")"),"Loading...")</f>
        <v>Loading...</v>
      </c>
      <c r="S2891" s="7" t="str">
        <f ca="1">IFERROR(__xludf.DUMMYFUNCTION("IMPORTXML(E2891,""/html/body/main/div[3]/div[3]/div[2]/ul/li[8]/span[2]/span"")"),"Loading...")</f>
        <v>Loading...</v>
      </c>
      <c r="T2891" s="4">
        <v>34.6</v>
      </c>
      <c r="U2891" s="4">
        <v>22.7</v>
      </c>
      <c r="V2891" s="4">
        <v>2.6</v>
      </c>
      <c r="W2891" s="4">
        <v>5.7</v>
      </c>
      <c r="X2891" s="4">
        <v>519.92999999999995</v>
      </c>
      <c r="Y2891" s="7" t="e">
        <f t="shared" ca="1" si="59"/>
        <v>#VALUE!</v>
      </c>
    </row>
    <row r="2892" spans="1:25" ht="15" x14ac:dyDescent="0.25">
      <c r="A2892" s="4">
        <v>2858</v>
      </c>
      <c r="C2892" s="41" t="s">
        <v>5196</v>
      </c>
      <c r="D2892" s="42"/>
      <c r="E2892" s="5" t="str">
        <f t="shared" si="55"/>
        <v>https://www.screener.in/company//consolidated/</v>
      </c>
      <c r="F2892" s="4">
        <v>443059</v>
      </c>
      <c r="G2892" s="4">
        <v>3832241897</v>
      </c>
      <c r="H2892" s="6" t="e">
        <f t="shared" ca="1" si="56"/>
        <v>#VALUE!</v>
      </c>
      <c r="I2892" s="7" t="str">
        <f ca="1">IFERROR(__xludf.DUMMYFUNCTION("IMPORTXML(E2892,""/html/body/main/div[3]/div[3]/div[2]/ul/li[5]/span[2]/span"")"),"Loading...")</f>
        <v>Loading...</v>
      </c>
      <c r="J2892" s="7" t="str">
        <f ca="1">IFERROR(__xludf.DUMMYFUNCTION("GOOGLEFINANCE(""NSE:""&amp;D2892,""marketcap"")"),"#N/A")</f>
        <v>#N/A</v>
      </c>
      <c r="K2892" s="7">
        <v>992.8</v>
      </c>
      <c r="L2892" s="8" t="str">
        <f ca="1">IFERROR(__xludf.DUMMYFUNCTION("GOOGLEFINANCE(""NSE:""&amp;D2892,""price"")"),"#N/A")</f>
        <v>#N/A</v>
      </c>
      <c r="M2892" s="9" t="e">
        <f t="shared" ca="1" si="57"/>
        <v>#VALUE!</v>
      </c>
      <c r="N2892" s="10" t="e">
        <f t="shared" ca="1" si="58"/>
        <v>#VALUE!</v>
      </c>
      <c r="O2892" s="7" t="str">
        <f ca="1">IFERROR(__xludf.DUMMYFUNCTION("GOOGLEFINANCE(""NSE:""&amp;D2892,""pe"")"),"#N/A")</f>
        <v>#N/A</v>
      </c>
      <c r="P2892" s="7" t="str">
        <f ca="1">IFERROR(__xludf.DUMMYFUNCTION("GOOGLEFINANCE(""NSE:""&amp;D2892,""EPS"")"),"#N/A")</f>
        <v>#N/A</v>
      </c>
      <c r="Q2892" s="7">
        <v>13.5</v>
      </c>
      <c r="R2892" s="7" t="str">
        <f ca="1">IFERROR(__xludf.DUMMYFUNCTION("IMPORTXML(E2892,""/html/body/main/div[3]/div[3]/div[2]/ul/li[7]/span[2]/span"")"),"Loading...")</f>
        <v>Loading...</v>
      </c>
      <c r="S2892" s="7" t="str">
        <f ca="1">IFERROR(__xludf.DUMMYFUNCTION("IMPORTXML(E2892,""/html/body/main/div[3]/div[3]/div[2]/ul/li[8]/span[2]/span"")"),"Loading...")</f>
        <v>Loading...</v>
      </c>
      <c r="T2892" s="4">
        <v>34.6</v>
      </c>
      <c r="U2892" s="4">
        <v>22.7</v>
      </c>
      <c r="V2892" s="4">
        <v>2.6</v>
      </c>
      <c r="W2892" s="4">
        <v>5.7</v>
      </c>
      <c r="X2892" s="4">
        <v>519.92999999999995</v>
      </c>
      <c r="Y2892" s="7" t="e">
        <f t="shared" ca="1" si="59"/>
        <v>#VALUE!</v>
      </c>
    </row>
    <row r="2893" spans="1:25" ht="15" x14ac:dyDescent="0.25">
      <c r="A2893" s="4">
        <v>2859</v>
      </c>
      <c r="C2893" s="41" t="s">
        <v>5197</v>
      </c>
      <c r="D2893" s="42"/>
      <c r="E2893" s="5" t="str">
        <f t="shared" si="55"/>
        <v>https://www.screener.in/company//consolidated/</v>
      </c>
      <c r="F2893" s="4">
        <v>443059</v>
      </c>
      <c r="G2893" s="4">
        <v>3832241897</v>
      </c>
      <c r="H2893" s="6" t="e">
        <f t="shared" ca="1" si="56"/>
        <v>#VALUE!</v>
      </c>
      <c r="I2893" s="7" t="str">
        <f ca="1">IFERROR(__xludf.DUMMYFUNCTION("IMPORTXML(E2893,""/html/body/main/div[3]/div[3]/div[2]/ul/li[5]/span[2]/span"")"),"Loading...")</f>
        <v>Loading...</v>
      </c>
      <c r="J2893" s="7" t="str">
        <f ca="1">IFERROR(__xludf.DUMMYFUNCTION("GOOGLEFINANCE(""NSE:""&amp;D2893,""marketcap"")"),"#N/A")</f>
        <v>#N/A</v>
      </c>
      <c r="K2893" s="7">
        <v>992.8</v>
      </c>
      <c r="L2893" s="8" t="str">
        <f ca="1">IFERROR(__xludf.DUMMYFUNCTION("GOOGLEFINANCE(""NSE:""&amp;D2893,""price"")"),"#N/A")</f>
        <v>#N/A</v>
      </c>
      <c r="M2893" s="9" t="e">
        <f t="shared" ca="1" si="57"/>
        <v>#VALUE!</v>
      </c>
      <c r="N2893" s="10" t="e">
        <f t="shared" ca="1" si="58"/>
        <v>#VALUE!</v>
      </c>
      <c r="O2893" s="7" t="str">
        <f ca="1">IFERROR(__xludf.DUMMYFUNCTION("GOOGLEFINANCE(""NSE:""&amp;D2893,""pe"")"),"#N/A")</f>
        <v>#N/A</v>
      </c>
      <c r="P2893" s="7" t="str">
        <f ca="1">IFERROR(__xludf.DUMMYFUNCTION("GOOGLEFINANCE(""NSE:""&amp;D2893,""EPS"")"),"#N/A")</f>
        <v>#N/A</v>
      </c>
      <c r="Q2893" s="7">
        <v>13.5</v>
      </c>
      <c r="R2893" s="7" t="str">
        <f ca="1">IFERROR(__xludf.DUMMYFUNCTION("IMPORTXML(E2893,""/html/body/main/div[3]/div[3]/div[2]/ul/li[7]/span[2]/span"")"),"Loading...")</f>
        <v>Loading...</v>
      </c>
      <c r="S2893" s="7" t="str">
        <f ca="1">IFERROR(__xludf.DUMMYFUNCTION("IMPORTXML(E2893,""/html/body/main/div[3]/div[3]/div[2]/ul/li[8]/span[2]/span"")"),"Loading...")</f>
        <v>Loading...</v>
      </c>
      <c r="T2893" s="4">
        <v>34.6</v>
      </c>
      <c r="U2893" s="4">
        <v>22.7</v>
      </c>
      <c r="V2893" s="4">
        <v>2.6</v>
      </c>
      <c r="W2893" s="4">
        <v>5.7</v>
      </c>
      <c r="X2893" s="4">
        <v>519.92999999999995</v>
      </c>
      <c r="Y2893" s="7" t="e">
        <f t="shared" ca="1" si="59"/>
        <v>#VALUE!</v>
      </c>
    </row>
    <row r="2894" spans="1:25" ht="15" x14ac:dyDescent="0.25">
      <c r="A2894" s="4">
        <v>2860</v>
      </c>
      <c r="C2894" s="12" t="s">
        <v>5198</v>
      </c>
      <c r="D2894" s="37"/>
      <c r="E2894" s="5" t="str">
        <f t="shared" si="55"/>
        <v>https://www.screener.in/company//consolidated/</v>
      </c>
      <c r="F2894" s="4">
        <v>443059</v>
      </c>
      <c r="G2894" s="4">
        <v>3832241897</v>
      </c>
      <c r="H2894" s="6" t="e">
        <f t="shared" ca="1" si="56"/>
        <v>#VALUE!</v>
      </c>
      <c r="I2894" s="7" t="str">
        <f ca="1">IFERROR(__xludf.DUMMYFUNCTION("IMPORTXML(E2894,""/html/body/main/div[3]/div[3]/div[2]/ul/li[5]/span[2]/span"")"),"Loading...")</f>
        <v>Loading...</v>
      </c>
      <c r="J2894" s="7" t="str">
        <f ca="1">IFERROR(__xludf.DUMMYFUNCTION("GOOGLEFINANCE(""NSE:""&amp;D2894,""marketcap"")"),"#N/A")</f>
        <v>#N/A</v>
      </c>
      <c r="K2894" s="7">
        <v>992.8</v>
      </c>
      <c r="L2894" s="8" t="str">
        <f ca="1">IFERROR(__xludf.DUMMYFUNCTION("GOOGLEFINANCE(""NSE:""&amp;D2894,""price"")"),"#N/A")</f>
        <v>#N/A</v>
      </c>
      <c r="M2894" s="9" t="e">
        <f t="shared" ca="1" si="57"/>
        <v>#VALUE!</v>
      </c>
      <c r="N2894" s="10" t="e">
        <f t="shared" ca="1" si="58"/>
        <v>#VALUE!</v>
      </c>
      <c r="O2894" s="7" t="str">
        <f ca="1">IFERROR(__xludf.DUMMYFUNCTION("GOOGLEFINANCE(""NSE:""&amp;D2894,""pe"")"),"#N/A")</f>
        <v>#N/A</v>
      </c>
      <c r="P2894" s="7" t="str">
        <f ca="1">IFERROR(__xludf.DUMMYFUNCTION("GOOGLEFINANCE(""NSE:""&amp;D2894,""EPS"")"),"#N/A")</f>
        <v>#N/A</v>
      </c>
      <c r="Q2894" s="7">
        <v>13.5</v>
      </c>
      <c r="R2894" s="7" t="str">
        <f ca="1">IFERROR(__xludf.DUMMYFUNCTION("IMPORTXML(E2894,""/html/body/main/div[3]/div[3]/div[2]/ul/li[7]/span[2]/span"")"),"Loading...")</f>
        <v>Loading...</v>
      </c>
      <c r="S2894" s="7" t="str">
        <f ca="1">IFERROR(__xludf.DUMMYFUNCTION("IMPORTXML(E2894,""/html/body/main/div[3]/div[3]/div[2]/ul/li[8]/span[2]/span"")"),"Loading...")</f>
        <v>Loading...</v>
      </c>
      <c r="T2894" s="4">
        <v>34.6</v>
      </c>
      <c r="U2894" s="4">
        <v>22.7</v>
      </c>
      <c r="V2894" s="4">
        <v>2.6</v>
      </c>
      <c r="W2894" s="4">
        <v>5.7</v>
      </c>
      <c r="X2894" s="4">
        <v>519.92999999999995</v>
      </c>
      <c r="Y2894" s="7" t="e">
        <f t="shared" ca="1" si="59"/>
        <v>#VALUE!</v>
      </c>
    </row>
    <row r="2895" spans="1:25" ht="15" x14ac:dyDescent="0.25">
      <c r="A2895" s="4">
        <v>2861</v>
      </c>
      <c r="C2895" s="41" t="s">
        <v>5199</v>
      </c>
      <c r="D2895" s="42"/>
      <c r="E2895" s="5" t="str">
        <f t="shared" si="55"/>
        <v>https://www.screener.in/company//consolidated/</v>
      </c>
      <c r="F2895" s="4">
        <v>443059</v>
      </c>
      <c r="G2895" s="4">
        <v>3832241897</v>
      </c>
      <c r="H2895" s="6" t="e">
        <f t="shared" ca="1" si="56"/>
        <v>#VALUE!</v>
      </c>
      <c r="I2895" s="7" t="str">
        <f ca="1">IFERROR(__xludf.DUMMYFUNCTION("IMPORTXML(E2895,""/html/body/main/div[3]/div[3]/div[2]/ul/li[5]/span[2]/span"")"),"Loading...")</f>
        <v>Loading...</v>
      </c>
      <c r="J2895" s="7" t="str">
        <f ca="1">IFERROR(__xludf.DUMMYFUNCTION("GOOGLEFINANCE(""NSE:""&amp;D2895,""marketcap"")"),"#N/A")</f>
        <v>#N/A</v>
      </c>
      <c r="K2895" s="7">
        <v>992.8</v>
      </c>
      <c r="L2895" s="8" t="str">
        <f ca="1">IFERROR(__xludf.DUMMYFUNCTION("GOOGLEFINANCE(""NSE:""&amp;D2895,""price"")"),"#N/A")</f>
        <v>#N/A</v>
      </c>
      <c r="M2895" s="9" t="e">
        <f t="shared" ca="1" si="57"/>
        <v>#VALUE!</v>
      </c>
      <c r="N2895" s="10" t="e">
        <f t="shared" ca="1" si="58"/>
        <v>#VALUE!</v>
      </c>
      <c r="O2895" s="7" t="str">
        <f ca="1">IFERROR(__xludf.DUMMYFUNCTION("GOOGLEFINANCE(""NSE:""&amp;D2895,""pe"")"),"#N/A")</f>
        <v>#N/A</v>
      </c>
      <c r="P2895" s="7" t="str">
        <f ca="1">IFERROR(__xludf.DUMMYFUNCTION("GOOGLEFINANCE(""NSE:""&amp;D2895,""EPS"")"),"#N/A")</f>
        <v>#N/A</v>
      </c>
      <c r="Q2895" s="7">
        <v>13.5</v>
      </c>
      <c r="R2895" s="7" t="str">
        <f ca="1">IFERROR(__xludf.DUMMYFUNCTION("IMPORTXML(E2895,""/html/body/main/div[3]/div[3]/div[2]/ul/li[7]/span[2]/span"")"),"Loading...")</f>
        <v>Loading...</v>
      </c>
      <c r="S2895" s="7" t="str">
        <f ca="1">IFERROR(__xludf.DUMMYFUNCTION("IMPORTXML(E2895,""/html/body/main/div[3]/div[3]/div[2]/ul/li[8]/span[2]/span"")"),"Loading...")</f>
        <v>Loading...</v>
      </c>
      <c r="T2895" s="4">
        <v>34.6</v>
      </c>
      <c r="U2895" s="4">
        <v>22.7</v>
      </c>
      <c r="V2895" s="4">
        <v>2.6</v>
      </c>
      <c r="W2895" s="4">
        <v>5.7</v>
      </c>
      <c r="X2895" s="4">
        <v>519.92999999999995</v>
      </c>
      <c r="Y2895" s="7" t="e">
        <f t="shared" ca="1" si="59"/>
        <v>#VALUE!</v>
      </c>
    </row>
    <row r="2896" spans="1:25" ht="15" x14ac:dyDescent="0.25">
      <c r="A2896" s="4">
        <v>2862</v>
      </c>
      <c r="C2896" s="41" t="s">
        <v>5200</v>
      </c>
      <c r="D2896" s="42"/>
      <c r="E2896" s="5" t="str">
        <f t="shared" si="55"/>
        <v>https://www.screener.in/company//consolidated/</v>
      </c>
      <c r="F2896" s="4">
        <v>443059</v>
      </c>
      <c r="G2896" s="4">
        <v>3832241897</v>
      </c>
      <c r="H2896" s="6" t="e">
        <f t="shared" ca="1" si="56"/>
        <v>#VALUE!</v>
      </c>
      <c r="I2896" s="7" t="str">
        <f ca="1">IFERROR(__xludf.DUMMYFUNCTION("IMPORTXML(E2896,""/html/body/main/div[3]/div[3]/div[2]/ul/li[5]/span[2]/span"")"),"Loading...")</f>
        <v>Loading...</v>
      </c>
      <c r="J2896" s="7" t="str">
        <f ca="1">IFERROR(__xludf.DUMMYFUNCTION("GOOGLEFINANCE(""NSE:""&amp;D2896,""marketcap"")"),"#N/A")</f>
        <v>#N/A</v>
      </c>
      <c r="K2896" s="7">
        <v>992.8</v>
      </c>
      <c r="L2896" s="8" t="str">
        <f ca="1">IFERROR(__xludf.DUMMYFUNCTION("GOOGLEFINANCE(""NSE:""&amp;D2896,""price"")"),"#N/A")</f>
        <v>#N/A</v>
      </c>
      <c r="M2896" s="9" t="e">
        <f t="shared" ca="1" si="57"/>
        <v>#VALUE!</v>
      </c>
      <c r="N2896" s="10" t="e">
        <f t="shared" ca="1" si="58"/>
        <v>#VALUE!</v>
      </c>
      <c r="O2896" s="7" t="str">
        <f ca="1">IFERROR(__xludf.DUMMYFUNCTION("GOOGLEFINANCE(""NSE:""&amp;D2896,""pe"")"),"#N/A")</f>
        <v>#N/A</v>
      </c>
      <c r="P2896" s="7" t="str">
        <f ca="1">IFERROR(__xludf.DUMMYFUNCTION("GOOGLEFINANCE(""NSE:""&amp;D2896,""EPS"")"),"#N/A")</f>
        <v>#N/A</v>
      </c>
      <c r="Q2896" s="7">
        <v>13.5</v>
      </c>
      <c r="R2896" s="7" t="str">
        <f ca="1">IFERROR(__xludf.DUMMYFUNCTION("IMPORTXML(E2896,""/html/body/main/div[3]/div[3]/div[2]/ul/li[7]/span[2]/span"")"),"Loading...")</f>
        <v>Loading...</v>
      </c>
      <c r="S2896" s="7" t="str">
        <f ca="1">IFERROR(__xludf.DUMMYFUNCTION("IMPORTXML(E2896,""/html/body/main/div[3]/div[3]/div[2]/ul/li[8]/span[2]/span"")"),"Loading...")</f>
        <v>Loading...</v>
      </c>
      <c r="T2896" s="4">
        <v>34.6</v>
      </c>
      <c r="U2896" s="4">
        <v>22.7</v>
      </c>
      <c r="V2896" s="4">
        <v>2.6</v>
      </c>
      <c r="W2896" s="4">
        <v>5.7</v>
      </c>
      <c r="X2896" s="4">
        <v>519.92999999999995</v>
      </c>
      <c r="Y2896" s="7" t="e">
        <f t="shared" ca="1" si="59"/>
        <v>#VALUE!</v>
      </c>
    </row>
    <row r="2897" spans="1:25" ht="15" x14ac:dyDescent="0.25">
      <c r="A2897" s="4">
        <v>2863</v>
      </c>
      <c r="C2897" s="41" t="s">
        <v>5201</v>
      </c>
      <c r="D2897" s="42"/>
      <c r="E2897" s="5" t="str">
        <f t="shared" si="55"/>
        <v>https://www.screener.in/company//consolidated/</v>
      </c>
      <c r="F2897" s="4">
        <v>443059</v>
      </c>
      <c r="G2897" s="4">
        <v>3832241897</v>
      </c>
      <c r="H2897" s="6" t="e">
        <f t="shared" ca="1" si="56"/>
        <v>#VALUE!</v>
      </c>
      <c r="I2897" s="7" t="str">
        <f ca="1">IFERROR(__xludf.DUMMYFUNCTION("IMPORTXML(E2897,""/html/body/main/div[3]/div[3]/div[2]/ul/li[5]/span[2]/span"")"),"Loading...")</f>
        <v>Loading...</v>
      </c>
      <c r="J2897" s="7" t="str">
        <f ca="1">IFERROR(__xludf.DUMMYFUNCTION("GOOGLEFINANCE(""NSE:""&amp;D2897,""marketcap"")"),"#N/A")</f>
        <v>#N/A</v>
      </c>
      <c r="K2897" s="7">
        <v>992.8</v>
      </c>
      <c r="L2897" s="8" t="str">
        <f ca="1">IFERROR(__xludf.DUMMYFUNCTION("GOOGLEFINANCE(""NSE:""&amp;D2897,""price"")"),"#N/A")</f>
        <v>#N/A</v>
      </c>
      <c r="M2897" s="9" t="e">
        <f t="shared" ca="1" si="57"/>
        <v>#VALUE!</v>
      </c>
      <c r="N2897" s="10" t="e">
        <f t="shared" ca="1" si="58"/>
        <v>#VALUE!</v>
      </c>
      <c r="O2897" s="7" t="str">
        <f ca="1">IFERROR(__xludf.DUMMYFUNCTION("GOOGLEFINANCE(""NSE:""&amp;D2897,""pe"")"),"#N/A")</f>
        <v>#N/A</v>
      </c>
      <c r="P2897" s="7" t="str">
        <f ca="1">IFERROR(__xludf.DUMMYFUNCTION("GOOGLEFINANCE(""NSE:""&amp;D2897,""EPS"")"),"#N/A")</f>
        <v>#N/A</v>
      </c>
      <c r="Q2897" s="7">
        <v>13.5</v>
      </c>
      <c r="R2897" s="7" t="str">
        <f ca="1">IFERROR(__xludf.DUMMYFUNCTION("IMPORTXML(E2897,""/html/body/main/div[3]/div[3]/div[2]/ul/li[7]/span[2]/span"")"),"Loading...")</f>
        <v>Loading...</v>
      </c>
      <c r="S2897" s="7" t="str">
        <f ca="1">IFERROR(__xludf.DUMMYFUNCTION("IMPORTXML(E2897,""/html/body/main/div[3]/div[3]/div[2]/ul/li[8]/span[2]/span"")"),"Loading...")</f>
        <v>Loading...</v>
      </c>
      <c r="T2897" s="4">
        <v>34.6</v>
      </c>
      <c r="U2897" s="4">
        <v>22.7</v>
      </c>
      <c r="V2897" s="4">
        <v>2.6</v>
      </c>
      <c r="W2897" s="4">
        <v>5.7</v>
      </c>
      <c r="X2897" s="4">
        <v>519.92999999999995</v>
      </c>
      <c r="Y2897" s="7" t="e">
        <f t="shared" ca="1" si="59"/>
        <v>#VALUE!</v>
      </c>
    </row>
    <row r="2898" spans="1:25" ht="15" x14ac:dyDescent="0.25">
      <c r="A2898" s="4">
        <v>2864</v>
      </c>
      <c r="C2898" s="41" t="s">
        <v>5202</v>
      </c>
      <c r="D2898" s="42"/>
      <c r="E2898" s="5" t="str">
        <f t="shared" si="55"/>
        <v>https://www.screener.in/company//consolidated/</v>
      </c>
      <c r="F2898" s="4">
        <v>443059</v>
      </c>
      <c r="G2898" s="4">
        <v>3832241897</v>
      </c>
      <c r="H2898" s="6" t="e">
        <f t="shared" ca="1" si="56"/>
        <v>#VALUE!</v>
      </c>
      <c r="I2898" s="7" t="str">
        <f ca="1">IFERROR(__xludf.DUMMYFUNCTION("IMPORTXML(E2898,""/html/body/main/div[3]/div[3]/div[2]/ul/li[5]/span[2]/span"")"),"Loading...")</f>
        <v>Loading...</v>
      </c>
      <c r="J2898" s="7" t="str">
        <f ca="1">IFERROR(__xludf.DUMMYFUNCTION("GOOGLEFINANCE(""NSE:""&amp;D2898,""marketcap"")"),"#N/A")</f>
        <v>#N/A</v>
      </c>
      <c r="K2898" s="7">
        <v>992.8</v>
      </c>
      <c r="L2898" s="8" t="str">
        <f ca="1">IFERROR(__xludf.DUMMYFUNCTION("GOOGLEFINANCE(""NSE:""&amp;D2898,""price"")"),"#N/A")</f>
        <v>#N/A</v>
      </c>
      <c r="M2898" s="9" t="e">
        <f t="shared" ca="1" si="57"/>
        <v>#VALUE!</v>
      </c>
      <c r="N2898" s="10" t="e">
        <f t="shared" ca="1" si="58"/>
        <v>#VALUE!</v>
      </c>
      <c r="O2898" s="7" t="str">
        <f ca="1">IFERROR(__xludf.DUMMYFUNCTION("GOOGLEFINANCE(""NSE:""&amp;D2898,""pe"")"),"#N/A")</f>
        <v>#N/A</v>
      </c>
      <c r="P2898" s="7" t="str">
        <f ca="1">IFERROR(__xludf.DUMMYFUNCTION("GOOGLEFINANCE(""NSE:""&amp;D2898,""EPS"")"),"#N/A")</f>
        <v>#N/A</v>
      </c>
      <c r="Q2898" s="7">
        <v>13.5</v>
      </c>
      <c r="R2898" s="7" t="str">
        <f ca="1">IFERROR(__xludf.DUMMYFUNCTION("IMPORTXML(E2898,""/html/body/main/div[3]/div[3]/div[2]/ul/li[7]/span[2]/span"")"),"Loading...")</f>
        <v>Loading...</v>
      </c>
      <c r="S2898" s="7" t="str">
        <f ca="1">IFERROR(__xludf.DUMMYFUNCTION("IMPORTXML(E2898,""/html/body/main/div[3]/div[3]/div[2]/ul/li[8]/span[2]/span"")"),"Loading...")</f>
        <v>Loading...</v>
      </c>
      <c r="T2898" s="4">
        <v>34.6</v>
      </c>
      <c r="U2898" s="4">
        <v>22.7</v>
      </c>
      <c r="V2898" s="4">
        <v>2.6</v>
      </c>
      <c r="W2898" s="4">
        <v>5.7</v>
      </c>
      <c r="X2898" s="4">
        <v>519.92999999999995</v>
      </c>
      <c r="Y2898" s="7" t="e">
        <f t="shared" ca="1" si="59"/>
        <v>#VALUE!</v>
      </c>
    </row>
    <row r="2899" spans="1:25" ht="15" x14ac:dyDescent="0.25">
      <c r="A2899" s="4">
        <v>2865</v>
      </c>
      <c r="C2899" s="41" t="s">
        <v>5203</v>
      </c>
      <c r="D2899" s="42"/>
      <c r="E2899" s="5" t="str">
        <f t="shared" si="55"/>
        <v>https://www.screener.in/company//consolidated/</v>
      </c>
      <c r="F2899" s="4">
        <v>443059</v>
      </c>
      <c r="G2899" s="4">
        <v>3832241897</v>
      </c>
      <c r="H2899" s="6" t="e">
        <f t="shared" ca="1" si="56"/>
        <v>#VALUE!</v>
      </c>
      <c r="I2899" s="7" t="str">
        <f ca="1">IFERROR(__xludf.DUMMYFUNCTION("IMPORTXML(E2899,""/html/body/main/div[3]/div[3]/div[2]/ul/li[5]/span[2]/span"")"),"Loading...")</f>
        <v>Loading...</v>
      </c>
      <c r="J2899" s="7" t="str">
        <f ca="1">IFERROR(__xludf.DUMMYFUNCTION("GOOGLEFINANCE(""NSE:""&amp;D2899,""marketcap"")"),"#N/A")</f>
        <v>#N/A</v>
      </c>
      <c r="K2899" s="7">
        <v>992.8</v>
      </c>
      <c r="L2899" s="8" t="str">
        <f ca="1">IFERROR(__xludf.DUMMYFUNCTION("GOOGLEFINANCE(""NSE:""&amp;D2899,""price"")"),"#N/A")</f>
        <v>#N/A</v>
      </c>
      <c r="M2899" s="9" t="e">
        <f t="shared" ca="1" si="57"/>
        <v>#VALUE!</v>
      </c>
      <c r="N2899" s="10" t="e">
        <f t="shared" ca="1" si="58"/>
        <v>#VALUE!</v>
      </c>
      <c r="O2899" s="7" t="str">
        <f ca="1">IFERROR(__xludf.DUMMYFUNCTION("GOOGLEFINANCE(""NSE:""&amp;D2899,""pe"")"),"#N/A")</f>
        <v>#N/A</v>
      </c>
      <c r="P2899" s="7" t="str">
        <f ca="1">IFERROR(__xludf.DUMMYFUNCTION("GOOGLEFINANCE(""NSE:""&amp;D2899,""EPS"")"),"#N/A")</f>
        <v>#N/A</v>
      </c>
      <c r="Q2899" s="7">
        <v>13.5</v>
      </c>
      <c r="R2899" s="7" t="str">
        <f ca="1">IFERROR(__xludf.DUMMYFUNCTION("IMPORTXML(E2899,""/html/body/main/div[3]/div[3]/div[2]/ul/li[7]/span[2]/span"")"),"Loading...")</f>
        <v>Loading...</v>
      </c>
      <c r="S2899" s="7" t="str">
        <f ca="1">IFERROR(__xludf.DUMMYFUNCTION("IMPORTXML(E2899,""/html/body/main/div[3]/div[3]/div[2]/ul/li[8]/span[2]/span"")"),"Loading...")</f>
        <v>Loading...</v>
      </c>
      <c r="T2899" s="4">
        <v>34.6</v>
      </c>
      <c r="U2899" s="4">
        <v>22.7</v>
      </c>
      <c r="V2899" s="4">
        <v>2.6</v>
      </c>
      <c r="W2899" s="4">
        <v>5.7</v>
      </c>
      <c r="X2899" s="4">
        <v>519.92999999999995</v>
      </c>
      <c r="Y2899" s="7" t="e">
        <f t="shared" ca="1" si="59"/>
        <v>#VALUE!</v>
      </c>
    </row>
    <row r="2900" spans="1:25" ht="15" x14ac:dyDescent="0.25">
      <c r="A2900" s="4">
        <v>2866</v>
      </c>
      <c r="C2900" s="41" t="s">
        <v>5204</v>
      </c>
      <c r="D2900" s="42"/>
      <c r="E2900" s="5" t="str">
        <f t="shared" si="55"/>
        <v>https://www.screener.in/company//consolidated/</v>
      </c>
      <c r="F2900" s="4">
        <v>443059</v>
      </c>
      <c r="G2900" s="4">
        <v>3832241897</v>
      </c>
      <c r="H2900" s="6" t="e">
        <f t="shared" ca="1" si="56"/>
        <v>#VALUE!</v>
      </c>
      <c r="I2900" s="7" t="str">
        <f ca="1">IFERROR(__xludf.DUMMYFUNCTION("IMPORTXML(E2900,""/html/body/main/div[3]/div[3]/div[2]/ul/li[5]/span[2]/span"")"),"Loading...")</f>
        <v>Loading...</v>
      </c>
      <c r="J2900" s="7" t="str">
        <f ca="1">IFERROR(__xludf.DUMMYFUNCTION("GOOGLEFINANCE(""NSE:""&amp;D2900,""marketcap"")"),"#N/A")</f>
        <v>#N/A</v>
      </c>
      <c r="K2900" s="7">
        <v>992.8</v>
      </c>
      <c r="L2900" s="8" t="str">
        <f ca="1">IFERROR(__xludf.DUMMYFUNCTION("GOOGLEFINANCE(""NSE:""&amp;D2900,""price"")"),"#N/A")</f>
        <v>#N/A</v>
      </c>
      <c r="M2900" s="9" t="e">
        <f t="shared" ca="1" si="57"/>
        <v>#VALUE!</v>
      </c>
      <c r="N2900" s="10" t="e">
        <f t="shared" ca="1" si="58"/>
        <v>#VALUE!</v>
      </c>
      <c r="O2900" s="7" t="str">
        <f ca="1">IFERROR(__xludf.DUMMYFUNCTION("GOOGLEFINANCE(""NSE:""&amp;D2900,""pe"")"),"#N/A")</f>
        <v>#N/A</v>
      </c>
      <c r="P2900" s="7" t="str">
        <f ca="1">IFERROR(__xludf.DUMMYFUNCTION("GOOGLEFINANCE(""NSE:""&amp;D2900,""EPS"")"),"#N/A")</f>
        <v>#N/A</v>
      </c>
      <c r="Q2900" s="7">
        <v>13.5</v>
      </c>
      <c r="R2900" s="7" t="str">
        <f ca="1">IFERROR(__xludf.DUMMYFUNCTION("IMPORTXML(E2900,""/html/body/main/div[3]/div[3]/div[2]/ul/li[7]/span[2]/span"")"),"Loading...")</f>
        <v>Loading...</v>
      </c>
      <c r="S2900" s="7" t="str">
        <f ca="1">IFERROR(__xludf.DUMMYFUNCTION("IMPORTXML(E2900,""/html/body/main/div[3]/div[3]/div[2]/ul/li[8]/span[2]/span"")"),"Loading...")</f>
        <v>Loading...</v>
      </c>
      <c r="T2900" s="4">
        <v>34.6</v>
      </c>
      <c r="U2900" s="4">
        <v>22.7</v>
      </c>
      <c r="V2900" s="4">
        <v>2.6</v>
      </c>
      <c r="W2900" s="4">
        <v>5.7</v>
      </c>
      <c r="X2900" s="4">
        <v>519.92999999999995</v>
      </c>
      <c r="Y2900" s="7" t="e">
        <f t="shared" ca="1" si="59"/>
        <v>#VALUE!</v>
      </c>
    </row>
    <row r="2901" spans="1:25" ht="15" x14ac:dyDescent="0.25">
      <c r="A2901" s="4">
        <v>2867</v>
      </c>
      <c r="C2901" s="41" t="s">
        <v>5205</v>
      </c>
      <c r="D2901" s="42"/>
      <c r="E2901" s="5" t="str">
        <f t="shared" si="55"/>
        <v>https://www.screener.in/company//consolidated/</v>
      </c>
      <c r="F2901" s="4">
        <v>443059</v>
      </c>
      <c r="G2901" s="4">
        <v>3832241897</v>
      </c>
      <c r="H2901" s="6" t="e">
        <f t="shared" ca="1" si="56"/>
        <v>#VALUE!</v>
      </c>
      <c r="I2901" s="7" t="str">
        <f ca="1">IFERROR(__xludf.DUMMYFUNCTION("IMPORTXML(E2901,""/html/body/main/div[3]/div[3]/div[2]/ul/li[5]/span[2]/span"")"),"Loading...")</f>
        <v>Loading...</v>
      </c>
      <c r="J2901" s="7" t="str">
        <f ca="1">IFERROR(__xludf.DUMMYFUNCTION("GOOGLEFINANCE(""NSE:""&amp;D2901,""marketcap"")"),"#N/A")</f>
        <v>#N/A</v>
      </c>
      <c r="K2901" s="7">
        <v>992.8</v>
      </c>
      <c r="L2901" s="8" t="str">
        <f ca="1">IFERROR(__xludf.DUMMYFUNCTION("GOOGLEFINANCE(""NSE:""&amp;D2901,""price"")"),"#N/A")</f>
        <v>#N/A</v>
      </c>
      <c r="M2901" s="9" t="e">
        <f t="shared" ca="1" si="57"/>
        <v>#VALUE!</v>
      </c>
      <c r="N2901" s="10" t="e">
        <f t="shared" ca="1" si="58"/>
        <v>#VALUE!</v>
      </c>
      <c r="O2901" s="7" t="str">
        <f ca="1">IFERROR(__xludf.DUMMYFUNCTION("GOOGLEFINANCE(""NSE:""&amp;D2901,""pe"")"),"#N/A")</f>
        <v>#N/A</v>
      </c>
      <c r="P2901" s="7" t="str">
        <f ca="1">IFERROR(__xludf.DUMMYFUNCTION("GOOGLEFINANCE(""NSE:""&amp;D2901,""EPS"")"),"#N/A")</f>
        <v>#N/A</v>
      </c>
      <c r="Q2901" s="7">
        <v>13.5</v>
      </c>
      <c r="R2901" s="7" t="str">
        <f ca="1">IFERROR(__xludf.DUMMYFUNCTION("IMPORTXML(E2901,""/html/body/main/div[3]/div[3]/div[2]/ul/li[7]/span[2]/span"")"),"Loading...")</f>
        <v>Loading...</v>
      </c>
      <c r="S2901" s="7" t="str">
        <f ca="1">IFERROR(__xludf.DUMMYFUNCTION("IMPORTXML(E2901,""/html/body/main/div[3]/div[3]/div[2]/ul/li[8]/span[2]/span"")"),"Loading...")</f>
        <v>Loading...</v>
      </c>
      <c r="T2901" s="4">
        <v>34.6</v>
      </c>
      <c r="U2901" s="4">
        <v>22.7</v>
      </c>
      <c r="V2901" s="4">
        <v>2.6</v>
      </c>
      <c r="W2901" s="4">
        <v>5.7</v>
      </c>
      <c r="X2901" s="4">
        <v>519.92999999999995</v>
      </c>
      <c r="Y2901" s="7" t="e">
        <f t="shared" ca="1" si="59"/>
        <v>#VALUE!</v>
      </c>
    </row>
    <row r="2902" spans="1:25" ht="15" x14ac:dyDescent="0.25">
      <c r="A2902" s="4">
        <v>2868</v>
      </c>
      <c r="C2902" s="41" t="s">
        <v>5206</v>
      </c>
      <c r="D2902" s="42"/>
      <c r="E2902" s="5" t="str">
        <f t="shared" si="55"/>
        <v>https://www.screener.in/company//consolidated/</v>
      </c>
      <c r="F2902" s="4">
        <v>443059</v>
      </c>
      <c r="G2902" s="4">
        <v>3832241897</v>
      </c>
      <c r="H2902" s="6" t="e">
        <f t="shared" ca="1" si="56"/>
        <v>#VALUE!</v>
      </c>
      <c r="I2902" s="7" t="str">
        <f ca="1">IFERROR(__xludf.DUMMYFUNCTION("IMPORTXML(E2902,""/html/body/main/div[3]/div[3]/div[2]/ul/li[5]/span[2]/span"")"),"Loading...")</f>
        <v>Loading...</v>
      </c>
      <c r="J2902" s="7" t="str">
        <f ca="1">IFERROR(__xludf.DUMMYFUNCTION("GOOGLEFINANCE(""NSE:""&amp;D2902,""marketcap"")"),"#N/A")</f>
        <v>#N/A</v>
      </c>
      <c r="K2902" s="7">
        <v>992.8</v>
      </c>
      <c r="L2902" s="8" t="str">
        <f ca="1">IFERROR(__xludf.DUMMYFUNCTION("GOOGLEFINANCE(""NSE:""&amp;D2902,""price"")"),"#N/A")</f>
        <v>#N/A</v>
      </c>
      <c r="M2902" s="9" t="e">
        <f t="shared" ca="1" si="57"/>
        <v>#VALUE!</v>
      </c>
      <c r="N2902" s="10" t="e">
        <f t="shared" ca="1" si="58"/>
        <v>#VALUE!</v>
      </c>
      <c r="O2902" s="7" t="str">
        <f ca="1">IFERROR(__xludf.DUMMYFUNCTION("GOOGLEFINANCE(""NSE:""&amp;D2902,""pe"")"),"#N/A")</f>
        <v>#N/A</v>
      </c>
      <c r="P2902" s="7" t="str">
        <f ca="1">IFERROR(__xludf.DUMMYFUNCTION("GOOGLEFINANCE(""NSE:""&amp;D2902,""EPS"")"),"#N/A")</f>
        <v>#N/A</v>
      </c>
      <c r="Q2902" s="7">
        <v>13.5</v>
      </c>
      <c r="R2902" s="7" t="str">
        <f ca="1">IFERROR(__xludf.DUMMYFUNCTION("IMPORTXML(E2902,""/html/body/main/div[3]/div[3]/div[2]/ul/li[7]/span[2]/span"")"),"Loading...")</f>
        <v>Loading...</v>
      </c>
      <c r="S2902" s="7" t="str">
        <f ca="1">IFERROR(__xludf.DUMMYFUNCTION("IMPORTXML(E2902,""/html/body/main/div[3]/div[3]/div[2]/ul/li[8]/span[2]/span"")"),"Loading...")</f>
        <v>Loading...</v>
      </c>
      <c r="T2902" s="4">
        <v>34.6</v>
      </c>
      <c r="U2902" s="4">
        <v>22.7</v>
      </c>
      <c r="V2902" s="4">
        <v>2.6</v>
      </c>
      <c r="W2902" s="4">
        <v>5.7</v>
      </c>
      <c r="X2902" s="4">
        <v>519.92999999999995</v>
      </c>
      <c r="Y2902" s="7" t="e">
        <f t="shared" ca="1" si="59"/>
        <v>#VALUE!</v>
      </c>
    </row>
    <row r="2903" spans="1:25" ht="15" x14ac:dyDescent="0.25">
      <c r="A2903" s="4">
        <v>2869</v>
      </c>
      <c r="C2903" s="41" t="s">
        <v>5207</v>
      </c>
      <c r="D2903" s="42"/>
      <c r="E2903" s="5" t="str">
        <f t="shared" si="55"/>
        <v>https://www.screener.in/company//consolidated/</v>
      </c>
      <c r="F2903" s="4">
        <v>443059</v>
      </c>
      <c r="G2903" s="4">
        <v>3832241897</v>
      </c>
      <c r="H2903" s="6" t="e">
        <f t="shared" ca="1" si="56"/>
        <v>#VALUE!</v>
      </c>
      <c r="I2903" s="7" t="str">
        <f ca="1">IFERROR(__xludf.DUMMYFUNCTION("IMPORTXML(E2903,""/html/body/main/div[3]/div[3]/div[2]/ul/li[5]/span[2]/span"")"),"Loading...")</f>
        <v>Loading...</v>
      </c>
      <c r="J2903" s="7" t="str">
        <f ca="1">IFERROR(__xludf.DUMMYFUNCTION("GOOGLEFINANCE(""NSE:""&amp;D2903,""marketcap"")"),"#N/A")</f>
        <v>#N/A</v>
      </c>
      <c r="K2903" s="7">
        <v>992.8</v>
      </c>
      <c r="L2903" s="8" t="str">
        <f ca="1">IFERROR(__xludf.DUMMYFUNCTION("GOOGLEFINANCE(""NSE:""&amp;D2903,""price"")"),"#N/A")</f>
        <v>#N/A</v>
      </c>
      <c r="M2903" s="9" t="e">
        <f t="shared" ca="1" si="57"/>
        <v>#VALUE!</v>
      </c>
      <c r="N2903" s="10" t="e">
        <f t="shared" ca="1" si="58"/>
        <v>#VALUE!</v>
      </c>
      <c r="O2903" s="7" t="str">
        <f ca="1">IFERROR(__xludf.DUMMYFUNCTION("GOOGLEFINANCE(""NSE:""&amp;D2903,""pe"")"),"#N/A")</f>
        <v>#N/A</v>
      </c>
      <c r="P2903" s="7" t="str">
        <f ca="1">IFERROR(__xludf.DUMMYFUNCTION("GOOGLEFINANCE(""NSE:""&amp;D2903,""EPS"")"),"#N/A")</f>
        <v>#N/A</v>
      </c>
      <c r="Q2903" s="7">
        <v>13.5</v>
      </c>
      <c r="R2903" s="7" t="str">
        <f ca="1">IFERROR(__xludf.DUMMYFUNCTION("IMPORTXML(E2903,""/html/body/main/div[3]/div[3]/div[2]/ul/li[7]/span[2]/span"")"),"Loading...")</f>
        <v>Loading...</v>
      </c>
      <c r="S2903" s="7" t="str">
        <f ca="1">IFERROR(__xludf.DUMMYFUNCTION("IMPORTXML(E2903,""/html/body/main/div[3]/div[3]/div[2]/ul/li[8]/span[2]/span"")"),"Loading...")</f>
        <v>Loading...</v>
      </c>
      <c r="T2903" s="4">
        <v>34.6</v>
      </c>
      <c r="U2903" s="4">
        <v>22.7</v>
      </c>
      <c r="V2903" s="4">
        <v>2.6</v>
      </c>
      <c r="W2903" s="4">
        <v>5.7</v>
      </c>
      <c r="X2903" s="4">
        <v>519.92999999999995</v>
      </c>
      <c r="Y2903" s="7" t="e">
        <f t="shared" ca="1" si="59"/>
        <v>#VALUE!</v>
      </c>
    </row>
    <row r="2904" spans="1:25" ht="15" x14ac:dyDescent="0.25">
      <c r="A2904" s="4">
        <v>2870</v>
      </c>
      <c r="C2904" s="12" t="s">
        <v>5208</v>
      </c>
      <c r="D2904" s="37"/>
      <c r="E2904" s="5" t="str">
        <f t="shared" si="55"/>
        <v>https://www.screener.in/company//consolidated/</v>
      </c>
      <c r="F2904" s="4">
        <v>443059</v>
      </c>
      <c r="G2904" s="4">
        <v>3832241897</v>
      </c>
      <c r="H2904" s="6" t="e">
        <f t="shared" ca="1" si="56"/>
        <v>#VALUE!</v>
      </c>
      <c r="I2904" s="7" t="str">
        <f ca="1">IFERROR(__xludf.DUMMYFUNCTION("IMPORTXML(E2904,""/html/body/main/div[3]/div[3]/div[2]/ul/li[5]/span[2]/span"")"),"Loading...")</f>
        <v>Loading...</v>
      </c>
      <c r="J2904" s="7" t="str">
        <f ca="1">IFERROR(__xludf.DUMMYFUNCTION("GOOGLEFINANCE(""NSE:""&amp;D2904,""marketcap"")"),"#N/A")</f>
        <v>#N/A</v>
      </c>
      <c r="K2904" s="7">
        <v>992.8</v>
      </c>
      <c r="L2904" s="8" t="str">
        <f ca="1">IFERROR(__xludf.DUMMYFUNCTION("GOOGLEFINANCE(""NSE:""&amp;D2904,""price"")"),"#N/A")</f>
        <v>#N/A</v>
      </c>
      <c r="M2904" s="9" t="e">
        <f t="shared" ca="1" si="57"/>
        <v>#VALUE!</v>
      </c>
      <c r="N2904" s="10" t="e">
        <f t="shared" ca="1" si="58"/>
        <v>#VALUE!</v>
      </c>
      <c r="O2904" s="7" t="str">
        <f ca="1">IFERROR(__xludf.DUMMYFUNCTION("GOOGLEFINANCE(""NSE:""&amp;D2904,""pe"")"),"#N/A")</f>
        <v>#N/A</v>
      </c>
      <c r="P2904" s="7" t="str">
        <f ca="1">IFERROR(__xludf.DUMMYFUNCTION("GOOGLEFINANCE(""NSE:""&amp;D2904,""EPS"")"),"#N/A")</f>
        <v>#N/A</v>
      </c>
      <c r="Q2904" s="7">
        <v>13.5</v>
      </c>
      <c r="R2904" s="7" t="str">
        <f ca="1">IFERROR(__xludf.DUMMYFUNCTION("IMPORTXML(E2904,""/html/body/main/div[3]/div[3]/div[2]/ul/li[7]/span[2]/span"")"),"Loading...")</f>
        <v>Loading...</v>
      </c>
      <c r="S2904" s="7" t="str">
        <f ca="1">IFERROR(__xludf.DUMMYFUNCTION("IMPORTXML(E2904,""/html/body/main/div[3]/div[3]/div[2]/ul/li[8]/span[2]/span"")"),"Loading...")</f>
        <v>Loading...</v>
      </c>
      <c r="T2904" s="4">
        <v>34.6</v>
      </c>
      <c r="U2904" s="4">
        <v>22.7</v>
      </c>
      <c r="V2904" s="4">
        <v>2.6</v>
      </c>
      <c r="W2904" s="4">
        <v>5.7</v>
      </c>
      <c r="X2904" s="4">
        <v>519.92999999999995</v>
      </c>
      <c r="Y2904" s="7" t="e">
        <f t="shared" ca="1" si="59"/>
        <v>#VALUE!</v>
      </c>
    </row>
    <row r="2905" spans="1:25" ht="15" x14ac:dyDescent="0.25">
      <c r="A2905" s="4">
        <v>2871</v>
      </c>
      <c r="C2905" s="41" t="s">
        <v>5209</v>
      </c>
      <c r="D2905" s="42"/>
      <c r="E2905" s="5" t="str">
        <f t="shared" si="55"/>
        <v>https://www.screener.in/company//consolidated/</v>
      </c>
      <c r="F2905" s="4">
        <v>443059</v>
      </c>
      <c r="G2905" s="4">
        <v>3832241897</v>
      </c>
      <c r="H2905" s="6" t="e">
        <f t="shared" ca="1" si="56"/>
        <v>#VALUE!</v>
      </c>
      <c r="I2905" s="7" t="str">
        <f ca="1">IFERROR(__xludf.DUMMYFUNCTION("IMPORTXML(E2905,""/html/body/main/div[3]/div[3]/div[2]/ul/li[5]/span[2]/span"")"),"Loading...")</f>
        <v>Loading...</v>
      </c>
      <c r="J2905" s="7" t="str">
        <f ca="1">IFERROR(__xludf.DUMMYFUNCTION("GOOGLEFINANCE(""NSE:""&amp;D2905,""marketcap"")"),"#N/A")</f>
        <v>#N/A</v>
      </c>
      <c r="K2905" s="7">
        <v>992.8</v>
      </c>
      <c r="L2905" s="8" t="str">
        <f ca="1">IFERROR(__xludf.DUMMYFUNCTION("GOOGLEFINANCE(""NSE:""&amp;D2905,""price"")"),"#N/A")</f>
        <v>#N/A</v>
      </c>
      <c r="M2905" s="9" t="e">
        <f t="shared" ca="1" si="57"/>
        <v>#VALUE!</v>
      </c>
      <c r="N2905" s="10" t="e">
        <f t="shared" ca="1" si="58"/>
        <v>#VALUE!</v>
      </c>
      <c r="O2905" s="7" t="str">
        <f ca="1">IFERROR(__xludf.DUMMYFUNCTION("GOOGLEFINANCE(""NSE:""&amp;D2905,""pe"")"),"#N/A")</f>
        <v>#N/A</v>
      </c>
      <c r="P2905" s="7" t="str">
        <f ca="1">IFERROR(__xludf.DUMMYFUNCTION("GOOGLEFINANCE(""NSE:""&amp;D2905,""EPS"")"),"#N/A")</f>
        <v>#N/A</v>
      </c>
      <c r="Q2905" s="7">
        <v>13.5</v>
      </c>
      <c r="R2905" s="7" t="str">
        <f ca="1">IFERROR(__xludf.DUMMYFUNCTION("IMPORTXML(E2905,""/html/body/main/div[3]/div[3]/div[2]/ul/li[7]/span[2]/span"")"),"Loading...")</f>
        <v>Loading...</v>
      </c>
      <c r="S2905" s="7" t="str">
        <f ca="1">IFERROR(__xludf.DUMMYFUNCTION("IMPORTXML(E2905,""/html/body/main/div[3]/div[3]/div[2]/ul/li[8]/span[2]/span"")"),"Loading...")</f>
        <v>Loading...</v>
      </c>
      <c r="T2905" s="4">
        <v>34.6</v>
      </c>
      <c r="U2905" s="4">
        <v>22.7</v>
      </c>
      <c r="V2905" s="4">
        <v>2.6</v>
      </c>
      <c r="W2905" s="4">
        <v>5.7</v>
      </c>
      <c r="X2905" s="4">
        <v>519.92999999999995</v>
      </c>
      <c r="Y2905" s="7" t="e">
        <f t="shared" ca="1" si="59"/>
        <v>#VALUE!</v>
      </c>
    </row>
    <row r="2906" spans="1:25" ht="15" x14ac:dyDescent="0.25">
      <c r="A2906" s="4">
        <v>2872</v>
      </c>
      <c r="C2906" s="41" t="s">
        <v>5210</v>
      </c>
      <c r="D2906" s="42"/>
      <c r="E2906" s="5" t="str">
        <f t="shared" si="55"/>
        <v>https://www.screener.in/company//consolidated/</v>
      </c>
      <c r="F2906" s="4">
        <v>443059</v>
      </c>
      <c r="G2906" s="4">
        <v>3832241897</v>
      </c>
      <c r="H2906" s="6" t="e">
        <f t="shared" ca="1" si="56"/>
        <v>#VALUE!</v>
      </c>
      <c r="I2906" s="7" t="str">
        <f ca="1">IFERROR(__xludf.DUMMYFUNCTION("IMPORTXML(E2906,""/html/body/main/div[3]/div[3]/div[2]/ul/li[5]/span[2]/span"")"),"Loading...")</f>
        <v>Loading...</v>
      </c>
      <c r="J2906" s="7" t="str">
        <f ca="1">IFERROR(__xludf.DUMMYFUNCTION("GOOGLEFINANCE(""NSE:""&amp;D2906,""marketcap"")"),"#N/A")</f>
        <v>#N/A</v>
      </c>
      <c r="K2906" s="7">
        <v>992.8</v>
      </c>
      <c r="L2906" s="8" t="str">
        <f ca="1">IFERROR(__xludf.DUMMYFUNCTION("GOOGLEFINANCE(""NSE:""&amp;D2906,""price"")"),"#N/A")</f>
        <v>#N/A</v>
      </c>
      <c r="M2906" s="9" t="e">
        <f t="shared" ca="1" si="57"/>
        <v>#VALUE!</v>
      </c>
      <c r="N2906" s="10" t="e">
        <f t="shared" ca="1" si="58"/>
        <v>#VALUE!</v>
      </c>
      <c r="O2906" s="7" t="str">
        <f ca="1">IFERROR(__xludf.DUMMYFUNCTION("GOOGLEFINANCE(""NSE:""&amp;D2906,""pe"")"),"#N/A")</f>
        <v>#N/A</v>
      </c>
      <c r="P2906" s="7" t="str">
        <f ca="1">IFERROR(__xludf.DUMMYFUNCTION("GOOGLEFINANCE(""NSE:""&amp;D2906,""EPS"")"),"#N/A")</f>
        <v>#N/A</v>
      </c>
      <c r="Q2906" s="7">
        <v>13.5</v>
      </c>
      <c r="R2906" s="7" t="str">
        <f ca="1">IFERROR(__xludf.DUMMYFUNCTION("IMPORTXML(E2906,""/html/body/main/div[3]/div[3]/div[2]/ul/li[7]/span[2]/span"")"),"Loading...")</f>
        <v>Loading...</v>
      </c>
      <c r="S2906" s="7" t="str">
        <f ca="1">IFERROR(__xludf.DUMMYFUNCTION("IMPORTXML(E2906,""/html/body/main/div[3]/div[3]/div[2]/ul/li[8]/span[2]/span"")"),"Loading...")</f>
        <v>Loading...</v>
      </c>
      <c r="T2906" s="4">
        <v>34.6</v>
      </c>
      <c r="U2906" s="4">
        <v>22.7</v>
      </c>
      <c r="V2906" s="4">
        <v>2.6</v>
      </c>
      <c r="W2906" s="4">
        <v>5.7</v>
      </c>
      <c r="X2906" s="4">
        <v>519.92999999999995</v>
      </c>
      <c r="Y2906" s="7" t="e">
        <f t="shared" ca="1" si="59"/>
        <v>#VALUE!</v>
      </c>
    </row>
    <row r="2907" spans="1:25" ht="15" x14ac:dyDescent="0.25">
      <c r="A2907" s="4">
        <v>2873</v>
      </c>
      <c r="C2907" s="41" t="s">
        <v>5211</v>
      </c>
      <c r="D2907" s="42"/>
      <c r="E2907" s="5" t="str">
        <f t="shared" si="55"/>
        <v>https://www.screener.in/company//consolidated/</v>
      </c>
      <c r="F2907" s="4">
        <v>443059</v>
      </c>
      <c r="G2907" s="4">
        <v>3832241897</v>
      </c>
      <c r="H2907" s="6" t="e">
        <f t="shared" ca="1" si="56"/>
        <v>#VALUE!</v>
      </c>
      <c r="I2907" s="7" t="str">
        <f ca="1">IFERROR(__xludf.DUMMYFUNCTION("IMPORTXML(E2907,""/html/body/main/div[3]/div[3]/div[2]/ul/li[5]/span[2]/span"")"),"Loading...")</f>
        <v>Loading...</v>
      </c>
      <c r="J2907" s="7" t="str">
        <f ca="1">IFERROR(__xludf.DUMMYFUNCTION("GOOGLEFINANCE(""NSE:""&amp;D2907,""marketcap"")"),"#N/A")</f>
        <v>#N/A</v>
      </c>
      <c r="K2907" s="7">
        <v>992.8</v>
      </c>
      <c r="L2907" s="8" t="str">
        <f ca="1">IFERROR(__xludf.DUMMYFUNCTION("GOOGLEFINANCE(""NSE:""&amp;D2907,""price"")"),"#N/A")</f>
        <v>#N/A</v>
      </c>
      <c r="M2907" s="9" t="e">
        <f t="shared" ca="1" si="57"/>
        <v>#VALUE!</v>
      </c>
      <c r="N2907" s="10" t="e">
        <f t="shared" ca="1" si="58"/>
        <v>#VALUE!</v>
      </c>
      <c r="O2907" s="7" t="str">
        <f ca="1">IFERROR(__xludf.DUMMYFUNCTION("GOOGLEFINANCE(""NSE:""&amp;D2907,""pe"")"),"#N/A")</f>
        <v>#N/A</v>
      </c>
      <c r="P2907" s="7" t="str">
        <f ca="1">IFERROR(__xludf.DUMMYFUNCTION("GOOGLEFINANCE(""NSE:""&amp;D2907,""EPS"")"),"#N/A")</f>
        <v>#N/A</v>
      </c>
      <c r="Q2907" s="7">
        <v>13.5</v>
      </c>
      <c r="R2907" s="7" t="str">
        <f ca="1">IFERROR(__xludf.DUMMYFUNCTION("IMPORTXML(E2907,""/html/body/main/div[3]/div[3]/div[2]/ul/li[7]/span[2]/span"")"),"Loading...")</f>
        <v>Loading...</v>
      </c>
      <c r="S2907" s="7" t="str">
        <f ca="1">IFERROR(__xludf.DUMMYFUNCTION("IMPORTXML(E2907,""/html/body/main/div[3]/div[3]/div[2]/ul/li[8]/span[2]/span"")"),"Loading...")</f>
        <v>Loading...</v>
      </c>
      <c r="T2907" s="4">
        <v>34.6</v>
      </c>
      <c r="U2907" s="4">
        <v>22.7</v>
      </c>
      <c r="V2907" s="4">
        <v>2.6</v>
      </c>
      <c r="W2907" s="4">
        <v>5.7</v>
      </c>
      <c r="X2907" s="4">
        <v>519.92999999999995</v>
      </c>
      <c r="Y2907" s="7" t="e">
        <f t="shared" ca="1" si="59"/>
        <v>#VALUE!</v>
      </c>
    </row>
    <row r="2908" spans="1:25" ht="15" x14ac:dyDescent="0.25">
      <c r="A2908" s="4">
        <v>2874</v>
      </c>
      <c r="C2908" s="41" t="s">
        <v>5212</v>
      </c>
      <c r="D2908" s="42"/>
      <c r="E2908" s="5" t="str">
        <f t="shared" si="55"/>
        <v>https://www.screener.in/company//consolidated/</v>
      </c>
      <c r="F2908" s="4">
        <v>443059</v>
      </c>
      <c r="G2908" s="4">
        <v>3832241897</v>
      </c>
      <c r="H2908" s="6" t="e">
        <f t="shared" ca="1" si="56"/>
        <v>#VALUE!</v>
      </c>
      <c r="I2908" s="7" t="str">
        <f ca="1">IFERROR(__xludf.DUMMYFUNCTION("IMPORTXML(E2908,""/html/body/main/div[3]/div[3]/div[2]/ul/li[5]/span[2]/span"")"),"Loading...")</f>
        <v>Loading...</v>
      </c>
      <c r="J2908" s="7" t="str">
        <f ca="1">IFERROR(__xludf.DUMMYFUNCTION("GOOGLEFINANCE(""NSE:""&amp;D2908,""marketcap"")"),"#N/A")</f>
        <v>#N/A</v>
      </c>
      <c r="K2908" s="7">
        <v>992.8</v>
      </c>
      <c r="L2908" s="8" t="str">
        <f ca="1">IFERROR(__xludf.DUMMYFUNCTION("GOOGLEFINANCE(""NSE:""&amp;D2908,""price"")"),"#N/A")</f>
        <v>#N/A</v>
      </c>
      <c r="M2908" s="9" t="e">
        <f t="shared" ca="1" si="57"/>
        <v>#VALUE!</v>
      </c>
      <c r="N2908" s="10" t="e">
        <f t="shared" ca="1" si="58"/>
        <v>#VALUE!</v>
      </c>
      <c r="O2908" s="7" t="str">
        <f ca="1">IFERROR(__xludf.DUMMYFUNCTION("GOOGLEFINANCE(""NSE:""&amp;D2908,""pe"")"),"#N/A")</f>
        <v>#N/A</v>
      </c>
      <c r="P2908" s="7" t="str">
        <f ca="1">IFERROR(__xludf.DUMMYFUNCTION("GOOGLEFINANCE(""NSE:""&amp;D2908,""EPS"")"),"#N/A")</f>
        <v>#N/A</v>
      </c>
      <c r="Q2908" s="7">
        <v>13.5</v>
      </c>
      <c r="R2908" s="7" t="str">
        <f ca="1">IFERROR(__xludf.DUMMYFUNCTION("IMPORTXML(E2908,""/html/body/main/div[3]/div[3]/div[2]/ul/li[7]/span[2]/span"")"),"Loading...")</f>
        <v>Loading...</v>
      </c>
      <c r="S2908" s="7" t="str">
        <f ca="1">IFERROR(__xludf.DUMMYFUNCTION("IMPORTXML(E2908,""/html/body/main/div[3]/div[3]/div[2]/ul/li[8]/span[2]/span"")"),"Loading...")</f>
        <v>Loading...</v>
      </c>
      <c r="T2908" s="4">
        <v>34.6</v>
      </c>
      <c r="U2908" s="4">
        <v>22.7</v>
      </c>
      <c r="V2908" s="4">
        <v>2.6</v>
      </c>
      <c r="W2908" s="4">
        <v>5.7</v>
      </c>
      <c r="X2908" s="4">
        <v>519.92999999999995</v>
      </c>
      <c r="Y2908" s="7" t="e">
        <f t="shared" ca="1" si="59"/>
        <v>#VALUE!</v>
      </c>
    </row>
    <row r="2909" spans="1:25" ht="15" x14ac:dyDescent="0.25">
      <c r="A2909" s="4">
        <v>2875</v>
      </c>
      <c r="C2909" s="41" t="s">
        <v>5213</v>
      </c>
      <c r="D2909" s="42"/>
      <c r="E2909" s="5" t="str">
        <f t="shared" si="55"/>
        <v>https://www.screener.in/company//consolidated/</v>
      </c>
      <c r="F2909" s="4">
        <v>443059</v>
      </c>
      <c r="G2909" s="4">
        <v>3832241897</v>
      </c>
      <c r="H2909" s="6" t="e">
        <f t="shared" ca="1" si="56"/>
        <v>#VALUE!</v>
      </c>
      <c r="I2909" s="7" t="str">
        <f ca="1">IFERROR(__xludf.DUMMYFUNCTION("IMPORTXML(E2909,""/html/body/main/div[3]/div[3]/div[2]/ul/li[5]/span[2]/span"")"),"Loading...")</f>
        <v>Loading...</v>
      </c>
      <c r="J2909" s="7" t="str">
        <f ca="1">IFERROR(__xludf.DUMMYFUNCTION("GOOGLEFINANCE(""NSE:""&amp;D2909,""marketcap"")"),"#N/A")</f>
        <v>#N/A</v>
      </c>
      <c r="K2909" s="7">
        <v>992.8</v>
      </c>
      <c r="L2909" s="8" t="str">
        <f ca="1">IFERROR(__xludf.DUMMYFUNCTION("GOOGLEFINANCE(""NSE:""&amp;D2909,""price"")"),"#N/A")</f>
        <v>#N/A</v>
      </c>
      <c r="M2909" s="9" t="e">
        <f t="shared" ca="1" si="57"/>
        <v>#VALUE!</v>
      </c>
      <c r="N2909" s="10" t="e">
        <f t="shared" ca="1" si="58"/>
        <v>#VALUE!</v>
      </c>
      <c r="O2909" s="7" t="str">
        <f ca="1">IFERROR(__xludf.DUMMYFUNCTION("GOOGLEFINANCE(""NSE:""&amp;D2909,""pe"")"),"#N/A")</f>
        <v>#N/A</v>
      </c>
      <c r="P2909" s="7" t="str">
        <f ca="1">IFERROR(__xludf.DUMMYFUNCTION("GOOGLEFINANCE(""NSE:""&amp;D2909,""EPS"")"),"#N/A")</f>
        <v>#N/A</v>
      </c>
      <c r="Q2909" s="7">
        <v>13.5</v>
      </c>
      <c r="R2909" s="7" t="str">
        <f ca="1">IFERROR(__xludf.DUMMYFUNCTION("IMPORTXML(E2909,""/html/body/main/div[3]/div[3]/div[2]/ul/li[7]/span[2]/span"")"),"Loading...")</f>
        <v>Loading...</v>
      </c>
      <c r="S2909" s="7" t="str">
        <f ca="1">IFERROR(__xludf.DUMMYFUNCTION("IMPORTXML(E2909,""/html/body/main/div[3]/div[3]/div[2]/ul/li[8]/span[2]/span"")"),"Loading...")</f>
        <v>Loading...</v>
      </c>
      <c r="T2909" s="4">
        <v>34.6</v>
      </c>
      <c r="U2909" s="4">
        <v>22.7</v>
      </c>
      <c r="V2909" s="4">
        <v>2.6</v>
      </c>
      <c r="W2909" s="4">
        <v>5.7</v>
      </c>
      <c r="X2909" s="4">
        <v>519.92999999999995</v>
      </c>
      <c r="Y2909" s="7" t="e">
        <f t="shared" ca="1" si="59"/>
        <v>#VALUE!</v>
      </c>
    </row>
    <row r="2910" spans="1:25" ht="15" x14ac:dyDescent="0.25">
      <c r="A2910" s="4">
        <v>2876</v>
      </c>
      <c r="C2910" s="12" t="s">
        <v>5214</v>
      </c>
      <c r="D2910" s="12" t="s">
        <v>5215</v>
      </c>
      <c r="E2910" s="5" t="str">
        <f t="shared" si="55"/>
        <v>https://www.screener.in/company/SUPERSPIN/consolidated/</v>
      </c>
      <c r="F2910" s="4">
        <v>443059</v>
      </c>
      <c r="G2910" s="4">
        <v>3832241897</v>
      </c>
      <c r="H2910" s="6">
        <f t="shared" ca="1" si="56"/>
        <v>3602.3073831800002</v>
      </c>
      <c r="I2910" s="7" t="str">
        <f ca="1">IFERROR(__xludf.DUMMYFUNCTION("IMPORTXML(E2910,""/html/body/main/div[3]/div[3]/div[2]/ul/li[5]/span[2]/span"")"),"Loading...")</f>
        <v>Loading...</v>
      </c>
      <c r="J2910" s="7">
        <f ca="1">IFERROR(__xludf.DUMMYFUNCTION("GOOGLEFINANCE(""NSE:""&amp;D2910,""marketcap"")"),513881410)</f>
        <v>513881410</v>
      </c>
      <c r="K2910" s="7">
        <v>992.8</v>
      </c>
      <c r="L2910" s="8">
        <f ca="1">IFERROR(__xludf.DUMMYFUNCTION("GOOGLEFINANCE(""NSE:""&amp;D2910,""price"")"),9.4)</f>
        <v>9.4</v>
      </c>
      <c r="M2910" s="9">
        <f t="shared" ca="1" si="57"/>
        <v>-983.4</v>
      </c>
      <c r="N2910" s="10">
        <f t="shared" ca="1" si="58"/>
        <v>-99.053182917002431</v>
      </c>
      <c r="O2910" s="7" t="str">
        <f ca="1">IFERROR(__xludf.DUMMYFUNCTION("GOOGLEFINANCE(""NSE:""&amp;D2910,""pe"")"),"#N/A")</f>
        <v>#N/A</v>
      </c>
      <c r="P2910" s="7">
        <f ca="1">IFERROR(__xludf.DUMMYFUNCTION("GOOGLEFINANCE(""NSE:""&amp;D2910,""EPS"")"),-3.79)</f>
        <v>-3.79</v>
      </c>
      <c r="Q2910" s="7">
        <v>13.5</v>
      </c>
      <c r="R2910" s="7" t="str">
        <f ca="1">IFERROR(__xludf.DUMMYFUNCTION("IMPORTXML(E2910,""/html/body/main/div[3]/div[3]/div[2]/ul/li[7]/span[2]/span"")"),"Loading...")</f>
        <v>Loading...</v>
      </c>
      <c r="S2910" s="7" t="str">
        <f ca="1">IFERROR(__xludf.DUMMYFUNCTION("IMPORTXML(E2910,""/html/body/main/div[3]/div[3]/div[2]/ul/li[8]/span[2]/span"")"),"Loading...")</f>
        <v>Loading...</v>
      </c>
      <c r="T2910" s="4">
        <v>34.6</v>
      </c>
      <c r="U2910" s="4">
        <v>22.7</v>
      </c>
      <c r="V2910" s="4">
        <v>2.6</v>
      </c>
      <c r="W2910" s="4">
        <v>5.7</v>
      </c>
      <c r="X2910" s="4">
        <v>519.92999999999995</v>
      </c>
      <c r="Y2910" s="7">
        <f t="shared" ca="1" si="59"/>
        <v>-510.53</v>
      </c>
    </row>
    <row r="2911" spans="1:25" ht="15" x14ac:dyDescent="0.25">
      <c r="A2911" s="4">
        <v>2878</v>
      </c>
      <c r="C2911" s="41" t="s">
        <v>5216</v>
      </c>
      <c r="D2911" s="42"/>
      <c r="E2911" s="5" t="str">
        <f t="shared" si="55"/>
        <v>https://www.screener.in/company//consolidated/</v>
      </c>
      <c r="F2911" s="4">
        <v>443059</v>
      </c>
      <c r="G2911" s="4">
        <v>3832241897</v>
      </c>
      <c r="H2911" s="6" t="e">
        <f t="shared" ca="1" si="56"/>
        <v>#VALUE!</v>
      </c>
      <c r="I2911" s="7" t="str">
        <f ca="1">IFERROR(__xludf.DUMMYFUNCTION("IMPORTXML(E2911,""/html/body/main/div[3]/div[3]/div[2]/ul/li[5]/span[2]/span"")"),"Loading...")</f>
        <v>Loading...</v>
      </c>
      <c r="J2911" s="7" t="str">
        <f ca="1">IFERROR(__xludf.DUMMYFUNCTION("GOOGLEFINANCE(""NSE:""&amp;D2911,""marketcap"")"),"#N/A")</f>
        <v>#N/A</v>
      </c>
      <c r="K2911" s="7">
        <v>992.8</v>
      </c>
      <c r="L2911" s="8" t="str">
        <f ca="1">IFERROR(__xludf.DUMMYFUNCTION("GOOGLEFINANCE(""NSE:""&amp;D2911,""price"")"),"#N/A")</f>
        <v>#N/A</v>
      </c>
      <c r="M2911" s="9" t="e">
        <f t="shared" ca="1" si="57"/>
        <v>#VALUE!</v>
      </c>
      <c r="N2911" s="10" t="e">
        <f t="shared" ca="1" si="58"/>
        <v>#VALUE!</v>
      </c>
      <c r="O2911" s="7" t="str">
        <f ca="1">IFERROR(__xludf.DUMMYFUNCTION("GOOGLEFINANCE(""NSE:""&amp;D2911,""pe"")"),"#N/A")</f>
        <v>#N/A</v>
      </c>
      <c r="P2911" s="7" t="str">
        <f ca="1">IFERROR(__xludf.DUMMYFUNCTION("GOOGLEFINANCE(""NSE:""&amp;D2911,""EPS"")"),"#N/A")</f>
        <v>#N/A</v>
      </c>
      <c r="Q2911" s="7">
        <v>13.5</v>
      </c>
      <c r="R2911" s="7" t="str">
        <f ca="1">IFERROR(__xludf.DUMMYFUNCTION("IMPORTXML(E2911,""/html/body/main/div[3]/div[3]/div[2]/ul/li[7]/span[2]/span"")"),"Loading...")</f>
        <v>Loading...</v>
      </c>
      <c r="S2911" s="7" t="str">
        <f ca="1">IFERROR(__xludf.DUMMYFUNCTION("IMPORTXML(E2911,""/html/body/main/div[3]/div[3]/div[2]/ul/li[8]/span[2]/span"")"),"Loading...")</f>
        <v>Loading...</v>
      </c>
      <c r="T2911" s="4">
        <v>34.6</v>
      </c>
      <c r="U2911" s="4">
        <v>22.7</v>
      </c>
      <c r="V2911" s="4">
        <v>2.6</v>
      </c>
      <c r="W2911" s="4">
        <v>5.7</v>
      </c>
      <c r="X2911" s="4">
        <v>519.92999999999995</v>
      </c>
      <c r="Y2911" s="7" t="e">
        <f t="shared" ca="1" si="59"/>
        <v>#VALUE!</v>
      </c>
    </row>
    <row r="2912" spans="1:25" ht="15" x14ac:dyDescent="0.25">
      <c r="A2912" s="4">
        <v>2879</v>
      </c>
      <c r="C2912" s="41" t="s">
        <v>5217</v>
      </c>
      <c r="D2912" s="42"/>
      <c r="E2912" s="5" t="str">
        <f t="shared" si="55"/>
        <v>https://www.screener.in/company//consolidated/</v>
      </c>
      <c r="F2912" s="4">
        <v>443059</v>
      </c>
      <c r="G2912" s="4">
        <v>3832241897</v>
      </c>
      <c r="H2912" s="6" t="e">
        <f t="shared" ca="1" si="56"/>
        <v>#VALUE!</v>
      </c>
      <c r="I2912" s="7" t="str">
        <f ca="1">IFERROR(__xludf.DUMMYFUNCTION("IMPORTXML(E2912,""/html/body/main/div[3]/div[3]/div[2]/ul/li[5]/span[2]/span"")"),"Loading...")</f>
        <v>Loading...</v>
      </c>
      <c r="J2912" s="7" t="str">
        <f ca="1">IFERROR(__xludf.DUMMYFUNCTION("GOOGLEFINANCE(""NSE:""&amp;D2912,""marketcap"")"),"#N/A")</f>
        <v>#N/A</v>
      </c>
      <c r="K2912" s="7">
        <v>992.8</v>
      </c>
      <c r="L2912" s="8" t="str">
        <f ca="1">IFERROR(__xludf.DUMMYFUNCTION("GOOGLEFINANCE(""NSE:""&amp;D2912,""price"")"),"#N/A")</f>
        <v>#N/A</v>
      </c>
      <c r="M2912" s="9" t="e">
        <f t="shared" ca="1" si="57"/>
        <v>#VALUE!</v>
      </c>
      <c r="N2912" s="10" t="e">
        <f t="shared" ca="1" si="58"/>
        <v>#VALUE!</v>
      </c>
      <c r="O2912" s="7" t="str">
        <f ca="1">IFERROR(__xludf.DUMMYFUNCTION("GOOGLEFINANCE(""NSE:""&amp;D2912,""pe"")"),"#N/A")</f>
        <v>#N/A</v>
      </c>
      <c r="P2912" s="7" t="str">
        <f ca="1">IFERROR(__xludf.DUMMYFUNCTION("GOOGLEFINANCE(""NSE:""&amp;D2912,""EPS"")"),"#N/A")</f>
        <v>#N/A</v>
      </c>
      <c r="Q2912" s="7">
        <v>13.5</v>
      </c>
      <c r="R2912" s="7" t="str">
        <f ca="1">IFERROR(__xludf.DUMMYFUNCTION("IMPORTXML(E2912,""/html/body/main/div[3]/div[3]/div[2]/ul/li[7]/span[2]/span"")"),"Loading...")</f>
        <v>Loading...</v>
      </c>
      <c r="S2912" s="7" t="str">
        <f ca="1">IFERROR(__xludf.DUMMYFUNCTION("IMPORTXML(E2912,""/html/body/main/div[3]/div[3]/div[2]/ul/li[8]/span[2]/span"")"),"Loading...")</f>
        <v>Loading...</v>
      </c>
      <c r="T2912" s="4">
        <v>34.6</v>
      </c>
      <c r="U2912" s="4">
        <v>22.7</v>
      </c>
      <c r="V2912" s="4">
        <v>2.6</v>
      </c>
      <c r="W2912" s="4">
        <v>5.7</v>
      </c>
      <c r="X2912" s="4">
        <v>519.92999999999995</v>
      </c>
      <c r="Y2912" s="7" t="e">
        <f t="shared" ca="1" si="59"/>
        <v>#VALUE!</v>
      </c>
    </row>
    <row r="2913" spans="1:25" ht="15" x14ac:dyDescent="0.25">
      <c r="A2913" s="4">
        <v>2880</v>
      </c>
      <c r="C2913" s="41" t="s">
        <v>5218</v>
      </c>
      <c r="D2913" s="42"/>
      <c r="E2913" s="5" t="str">
        <f t="shared" si="55"/>
        <v>https://www.screener.in/company//consolidated/</v>
      </c>
      <c r="F2913" s="4">
        <v>443059</v>
      </c>
      <c r="G2913" s="4">
        <v>3832241897</v>
      </c>
      <c r="H2913" s="6" t="e">
        <f t="shared" ca="1" si="56"/>
        <v>#VALUE!</v>
      </c>
      <c r="I2913" s="7" t="str">
        <f ca="1">IFERROR(__xludf.DUMMYFUNCTION("IMPORTXML(E2913,""/html/body/main/div[3]/div[3]/div[2]/ul/li[5]/span[2]/span"")"),"Loading...")</f>
        <v>Loading...</v>
      </c>
      <c r="J2913" s="7" t="str">
        <f ca="1">IFERROR(__xludf.DUMMYFUNCTION("GOOGLEFINANCE(""NSE:""&amp;D2913,""marketcap"")"),"#N/A")</f>
        <v>#N/A</v>
      </c>
      <c r="K2913" s="7">
        <v>992.8</v>
      </c>
      <c r="L2913" s="8" t="str">
        <f ca="1">IFERROR(__xludf.DUMMYFUNCTION("GOOGLEFINANCE(""NSE:""&amp;D2913,""price"")"),"#N/A")</f>
        <v>#N/A</v>
      </c>
      <c r="M2913" s="9" t="e">
        <f t="shared" ca="1" si="57"/>
        <v>#VALUE!</v>
      </c>
      <c r="N2913" s="10" t="e">
        <f t="shared" ca="1" si="58"/>
        <v>#VALUE!</v>
      </c>
      <c r="O2913" s="7" t="str">
        <f ca="1">IFERROR(__xludf.DUMMYFUNCTION("GOOGLEFINANCE(""NSE:""&amp;D2913,""pe"")"),"#N/A")</f>
        <v>#N/A</v>
      </c>
      <c r="P2913" s="7" t="str">
        <f ca="1">IFERROR(__xludf.DUMMYFUNCTION("GOOGLEFINANCE(""NSE:""&amp;D2913,""EPS"")"),"#N/A")</f>
        <v>#N/A</v>
      </c>
      <c r="Q2913" s="7">
        <v>13.5</v>
      </c>
      <c r="R2913" s="7" t="str">
        <f ca="1">IFERROR(__xludf.DUMMYFUNCTION("IMPORTXML(E2913,""/html/body/main/div[3]/div[3]/div[2]/ul/li[7]/span[2]/span"")"),"Loading...")</f>
        <v>Loading...</v>
      </c>
      <c r="S2913" s="7" t="str">
        <f ca="1">IFERROR(__xludf.DUMMYFUNCTION("IMPORTXML(E2913,""/html/body/main/div[3]/div[3]/div[2]/ul/li[8]/span[2]/span"")"),"Loading...")</f>
        <v>Loading...</v>
      </c>
      <c r="T2913" s="4">
        <v>34.6</v>
      </c>
      <c r="U2913" s="4">
        <v>22.7</v>
      </c>
      <c r="V2913" s="4">
        <v>2.6</v>
      </c>
      <c r="W2913" s="4">
        <v>5.7</v>
      </c>
      <c r="X2913" s="4">
        <v>519.92999999999995</v>
      </c>
      <c r="Y2913" s="7" t="e">
        <f t="shared" ca="1" si="59"/>
        <v>#VALUE!</v>
      </c>
    </row>
    <row r="2914" spans="1:25" ht="15" x14ac:dyDescent="0.25">
      <c r="A2914" s="4">
        <v>2882</v>
      </c>
      <c r="C2914" s="41" t="s">
        <v>5219</v>
      </c>
      <c r="D2914" s="42"/>
      <c r="E2914" s="5" t="str">
        <f t="shared" si="55"/>
        <v>https://www.screener.in/company//consolidated/</v>
      </c>
      <c r="F2914" s="4">
        <v>443059</v>
      </c>
      <c r="G2914" s="4">
        <v>3832241897</v>
      </c>
      <c r="H2914" s="6" t="e">
        <f t="shared" ca="1" si="56"/>
        <v>#VALUE!</v>
      </c>
      <c r="I2914" s="7" t="str">
        <f ca="1">IFERROR(__xludf.DUMMYFUNCTION("IMPORTXML(E2914,""/html/body/main/div[3]/div[3]/div[2]/ul/li[5]/span[2]/span"")"),"Loading...")</f>
        <v>Loading...</v>
      </c>
      <c r="J2914" s="7" t="str">
        <f ca="1">IFERROR(__xludf.DUMMYFUNCTION("GOOGLEFINANCE(""NSE:""&amp;D2914,""marketcap"")"),"#N/A")</f>
        <v>#N/A</v>
      </c>
      <c r="K2914" s="7">
        <v>992.8</v>
      </c>
      <c r="L2914" s="8" t="str">
        <f ca="1">IFERROR(__xludf.DUMMYFUNCTION("GOOGLEFINANCE(""NSE:""&amp;D2914,""price"")"),"#N/A")</f>
        <v>#N/A</v>
      </c>
      <c r="M2914" s="9" t="e">
        <f t="shared" ca="1" si="57"/>
        <v>#VALUE!</v>
      </c>
      <c r="N2914" s="10" t="e">
        <f t="shared" ca="1" si="58"/>
        <v>#VALUE!</v>
      </c>
      <c r="O2914" s="7" t="str">
        <f ca="1">IFERROR(__xludf.DUMMYFUNCTION("GOOGLEFINANCE(""NSE:""&amp;D2914,""pe"")"),"#N/A")</f>
        <v>#N/A</v>
      </c>
      <c r="P2914" s="7" t="str">
        <f ca="1">IFERROR(__xludf.DUMMYFUNCTION("GOOGLEFINANCE(""NSE:""&amp;D2914,""EPS"")"),"#N/A")</f>
        <v>#N/A</v>
      </c>
      <c r="Q2914" s="7">
        <v>13.5</v>
      </c>
      <c r="R2914" s="7" t="str">
        <f ca="1">IFERROR(__xludf.DUMMYFUNCTION("IMPORTXML(E2914,""/html/body/main/div[3]/div[3]/div[2]/ul/li[7]/span[2]/span"")"),"Loading...")</f>
        <v>Loading...</v>
      </c>
      <c r="S2914" s="7" t="str">
        <f ca="1">IFERROR(__xludf.DUMMYFUNCTION("IMPORTXML(E2914,""/html/body/main/div[3]/div[3]/div[2]/ul/li[8]/span[2]/span"")"),"Loading...")</f>
        <v>Loading...</v>
      </c>
      <c r="T2914" s="4">
        <v>34.6</v>
      </c>
      <c r="U2914" s="4">
        <v>22.7</v>
      </c>
      <c r="V2914" s="4">
        <v>2.6</v>
      </c>
      <c r="W2914" s="4">
        <v>5.7</v>
      </c>
      <c r="X2914" s="4">
        <v>519.92999999999995</v>
      </c>
      <c r="Y2914" s="7" t="e">
        <f t="shared" ca="1" si="59"/>
        <v>#VALUE!</v>
      </c>
    </row>
    <row r="2915" spans="1:25" ht="15" x14ac:dyDescent="0.25">
      <c r="A2915" s="4">
        <v>2883</v>
      </c>
      <c r="C2915" s="41" t="s">
        <v>5220</v>
      </c>
      <c r="D2915" s="42"/>
      <c r="E2915" s="5" t="str">
        <f t="shared" si="55"/>
        <v>https://www.screener.in/company//consolidated/</v>
      </c>
      <c r="F2915" s="4">
        <v>443059</v>
      </c>
      <c r="G2915" s="4">
        <v>3832241897</v>
      </c>
      <c r="H2915" s="6" t="e">
        <f t="shared" ca="1" si="56"/>
        <v>#VALUE!</v>
      </c>
      <c r="I2915" s="7" t="str">
        <f ca="1">IFERROR(__xludf.DUMMYFUNCTION("IMPORTXML(E2915,""/html/body/main/div[3]/div[3]/div[2]/ul/li[5]/span[2]/span"")"),"Loading...")</f>
        <v>Loading...</v>
      </c>
      <c r="J2915" s="7" t="str">
        <f ca="1">IFERROR(__xludf.DUMMYFUNCTION("GOOGLEFINANCE(""NSE:""&amp;D2915,""marketcap"")"),"#N/A")</f>
        <v>#N/A</v>
      </c>
      <c r="K2915" s="7">
        <v>992.8</v>
      </c>
      <c r="L2915" s="8" t="str">
        <f ca="1">IFERROR(__xludf.DUMMYFUNCTION("GOOGLEFINANCE(""NSE:""&amp;D2915,""price"")"),"#N/A")</f>
        <v>#N/A</v>
      </c>
      <c r="M2915" s="9" t="e">
        <f t="shared" ca="1" si="57"/>
        <v>#VALUE!</v>
      </c>
      <c r="N2915" s="10" t="e">
        <f t="shared" ca="1" si="58"/>
        <v>#VALUE!</v>
      </c>
      <c r="O2915" s="7" t="str">
        <f ca="1">IFERROR(__xludf.DUMMYFUNCTION("GOOGLEFINANCE(""NSE:""&amp;D2915,""pe"")"),"#N/A")</f>
        <v>#N/A</v>
      </c>
      <c r="P2915" s="7" t="str">
        <f ca="1">IFERROR(__xludf.DUMMYFUNCTION("GOOGLEFINANCE(""NSE:""&amp;D2915,""EPS"")"),"#N/A")</f>
        <v>#N/A</v>
      </c>
      <c r="Q2915" s="7">
        <v>13.5</v>
      </c>
      <c r="R2915" s="7" t="str">
        <f ca="1">IFERROR(__xludf.DUMMYFUNCTION("IMPORTXML(E2915,""/html/body/main/div[3]/div[3]/div[2]/ul/li[7]/span[2]/span"")"),"Loading...")</f>
        <v>Loading...</v>
      </c>
      <c r="S2915" s="7" t="str">
        <f ca="1">IFERROR(__xludf.DUMMYFUNCTION("IMPORTXML(E2915,""/html/body/main/div[3]/div[3]/div[2]/ul/li[8]/span[2]/span"")"),"Loading...")</f>
        <v>Loading...</v>
      </c>
      <c r="T2915" s="4">
        <v>34.6</v>
      </c>
      <c r="U2915" s="4">
        <v>22.7</v>
      </c>
      <c r="V2915" s="4">
        <v>2.6</v>
      </c>
      <c r="W2915" s="4">
        <v>5.7</v>
      </c>
      <c r="X2915" s="4">
        <v>519.92999999999995</v>
      </c>
      <c r="Y2915" s="7" t="e">
        <f t="shared" ca="1" si="59"/>
        <v>#VALUE!</v>
      </c>
    </row>
    <row r="2916" spans="1:25" ht="15" x14ac:dyDescent="0.25">
      <c r="A2916" s="4">
        <v>2884</v>
      </c>
      <c r="C2916" s="41" t="s">
        <v>5221</v>
      </c>
      <c r="D2916" s="42"/>
      <c r="E2916" s="5" t="str">
        <f t="shared" si="55"/>
        <v>https://www.screener.in/company//consolidated/</v>
      </c>
      <c r="F2916" s="4">
        <v>443059</v>
      </c>
      <c r="G2916" s="4">
        <v>3832241897</v>
      </c>
      <c r="H2916" s="6" t="e">
        <f t="shared" ca="1" si="56"/>
        <v>#VALUE!</v>
      </c>
      <c r="I2916" s="7" t="str">
        <f ca="1">IFERROR(__xludf.DUMMYFUNCTION("IMPORTXML(E2916,""/html/body/main/div[3]/div[3]/div[2]/ul/li[5]/span[2]/span"")"),"Loading...")</f>
        <v>Loading...</v>
      </c>
      <c r="J2916" s="7" t="str">
        <f ca="1">IFERROR(__xludf.DUMMYFUNCTION("GOOGLEFINANCE(""NSE:""&amp;D2916,""marketcap"")"),"#N/A")</f>
        <v>#N/A</v>
      </c>
      <c r="K2916" s="7">
        <v>992.8</v>
      </c>
      <c r="L2916" s="8" t="str">
        <f ca="1">IFERROR(__xludf.DUMMYFUNCTION("GOOGLEFINANCE(""NSE:""&amp;D2916,""price"")"),"#N/A")</f>
        <v>#N/A</v>
      </c>
      <c r="M2916" s="9" t="e">
        <f t="shared" ca="1" si="57"/>
        <v>#VALUE!</v>
      </c>
      <c r="N2916" s="10" t="e">
        <f t="shared" ca="1" si="58"/>
        <v>#VALUE!</v>
      </c>
      <c r="O2916" s="7" t="str">
        <f ca="1">IFERROR(__xludf.DUMMYFUNCTION("GOOGLEFINANCE(""NSE:""&amp;D2916,""pe"")"),"#N/A")</f>
        <v>#N/A</v>
      </c>
      <c r="P2916" s="7" t="str">
        <f ca="1">IFERROR(__xludf.DUMMYFUNCTION("GOOGLEFINANCE(""NSE:""&amp;D2916,""EPS"")"),"#N/A")</f>
        <v>#N/A</v>
      </c>
      <c r="Q2916" s="7">
        <v>13.5</v>
      </c>
      <c r="R2916" s="7" t="str">
        <f ca="1">IFERROR(__xludf.DUMMYFUNCTION("IMPORTXML(E2916,""/html/body/main/div[3]/div[3]/div[2]/ul/li[7]/span[2]/span"")"),"Loading...")</f>
        <v>Loading...</v>
      </c>
      <c r="S2916" s="7" t="str">
        <f ca="1">IFERROR(__xludf.DUMMYFUNCTION("IMPORTXML(E2916,""/html/body/main/div[3]/div[3]/div[2]/ul/li[8]/span[2]/span"")"),"Loading...")</f>
        <v>Loading...</v>
      </c>
      <c r="T2916" s="4">
        <v>34.6</v>
      </c>
      <c r="U2916" s="4">
        <v>22.7</v>
      </c>
      <c r="V2916" s="4">
        <v>2.6</v>
      </c>
      <c r="W2916" s="4">
        <v>5.7</v>
      </c>
      <c r="X2916" s="4">
        <v>519.92999999999995</v>
      </c>
      <c r="Y2916" s="7" t="e">
        <f t="shared" ca="1" si="59"/>
        <v>#VALUE!</v>
      </c>
    </row>
    <row r="2917" spans="1:25" ht="15" x14ac:dyDescent="0.25">
      <c r="A2917" s="4">
        <v>2885</v>
      </c>
      <c r="C2917" s="41" t="s">
        <v>5222</v>
      </c>
      <c r="D2917" s="42"/>
      <c r="E2917" s="5" t="str">
        <f t="shared" si="55"/>
        <v>https://www.screener.in/company//consolidated/</v>
      </c>
      <c r="F2917" s="4">
        <v>443059</v>
      </c>
      <c r="G2917" s="4">
        <v>3832241897</v>
      </c>
      <c r="H2917" s="6" t="e">
        <f t="shared" ca="1" si="56"/>
        <v>#VALUE!</v>
      </c>
      <c r="I2917" s="7" t="str">
        <f ca="1">IFERROR(__xludf.DUMMYFUNCTION("IMPORTXML(E2917,""/html/body/main/div[3]/div[3]/div[2]/ul/li[5]/span[2]/span"")"),"Loading...")</f>
        <v>Loading...</v>
      </c>
      <c r="J2917" s="7" t="str">
        <f ca="1">IFERROR(__xludf.DUMMYFUNCTION("GOOGLEFINANCE(""NSE:""&amp;D2917,""marketcap"")"),"#N/A")</f>
        <v>#N/A</v>
      </c>
      <c r="K2917" s="7">
        <v>992.8</v>
      </c>
      <c r="L2917" s="8" t="str">
        <f ca="1">IFERROR(__xludf.DUMMYFUNCTION("GOOGLEFINANCE(""NSE:""&amp;D2917,""price"")"),"#N/A")</f>
        <v>#N/A</v>
      </c>
      <c r="M2917" s="9" t="e">
        <f t="shared" ca="1" si="57"/>
        <v>#VALUE!</v>
      </c>
      <c r="N2917" s="10" t="e">
        <f t="shared" ca="1" si="58"/>
        <v>#VALUE!</v>
      </c>
      <c r="O2917" s="7" t="str">
        <f ca="1">IFERROR(__xludf.DUMMYFUNCTION("GOOGLEFINANCE(""NSE:""&amp;D2917,""pe"")"),"#N/A")</f>
        <v>#N/A</v>
      </c>
      <c r="P2917" s="7" t="str">
        <f ca="1">IFERROR(__xludf.DUMMYFUNCTION("GOOGLEFINANCE(""NSE:""&amp;D2917,""EPS"")"),"#N/A")</f>
        <v>#N/A</v>
      </c>
      <c r="Q2917" s="7">
        <v>13.5</v>
      </c>
      <c r="R2917" s="7" t="str">
        <f ca="1">IFERROR(__xludf.DUMMYFUNCTION("IMPORTXML(E2917,""/html/body/main/div[3]/div[3]/div[2]/ul/li[7]/span[2]/span"")"),"Loading...")</f>
        <v>Loading...</v>
      </c>
      <c r="S2917" s="7" t="str">
        <f ca="1">IFERROR(__xludf.DUMMYFUNCTION("IMPORTXML(E2917,""/html/body/main/div[3]/div[3]/div[2]/ul/li[8]/span[2]/span"")"),"Loading...")</f>
        <v>Loading...</v>
      </c>
      <c r="T2917" s="4">
        <v>34.6</v>
      </c>
      <c r="U2917" s="4">
        <v>22.7</v>
      </c>
      <c r="V2917" s="4">
        <v>2.6</v>
      </c>
      <c r="W2917" s="4">
        <v>5.7</v>
      </c>
      <c r="X2917" s="4">
        <v>519.92999999999995</v>
      </c>
      <c r="Y2917" s="7" t="e">
        <f t="shared" ca="1" si="59"/>
        <v>#VALUE!</v>
      </c>
    </row>
    <row r="2918" spans="1:25" ht="15" x14ac:dyDescent="0.25">
      <c r="A2918" s="4">
        <v>2886</v>
      </c>
      <c r="C2918" s="41" t="s">
        <v>5223</v>
      </c>
      <c r="D2918" s="42"/>
      <c r="E2918" s="5" t="str">
        <f t="shared" si="55"/>
        <v>https://www.screener.in/company//consolidated/</v>
      </c>
      <c r="F2918" s="4">
        <v>443059</v>
      </c>
      <c r="G2918" s="4">
        <v>3832241897</v>
      </c>
      <c r="H2918" s="6" t="e">
        <f t="shared" ca="1" si="56"/>
        <v>#VALUE!</v>
      </c>
      <c r="I2918" s="7" t="str">
        <f ca="1">IFERROR(__xludf.DUMMYFUNCTION("IMPORTXML(E2918,""/html/body/main/div[3]/div[3]/div[2]/ul/li[5]/span[2]/span"")"),"Loading...")</f>
        <v>Loading...</v>
      </c>
      <c r="J2918" s="7" t="str">
        <f ca="1">IFERROR(__xludf.DUMMYFUNCTION("GOOGLEFINANCE(""NSE:""&amp;D2918,""marketcap"")"),"#N/A")</f>
        <v>#N/A</v>
      </c>
      <c r="K2918" s="7">
        <v>992.8</v>
      </c>
      <c r="L2918" s="8" t="str">
        <f ca="1">IFERROR(__xludf.DUMMYFUNCTION("GOOGLEFINANCE(""NSE:""&amp;D2918,""price"")"),"#N/A")</f>
        <v>#N/A</v>
      </c>
      <c r="M2918" s="9" t="e">
        <f t="shared" ca="1" si="57"/>
        <v>#VALUE!</v>
      </c>
      <c r="N2918" s="10" t="e">
        <f t="shared" ca="1" si="58"/>
        <v>#VALUE!</v>
      </c>
      <c r="O2918" s="7" t="str">
        <f ca="1">IFERROR(__xludf.DUMMYFUNCTION("GOOGLEFINANCE(""NSE:""&amp;D2918,""pe"")"),"#N/A")</f>
        <v>#N/A</v>
      </c>
      <c r="P2918" s="7" t="str">
        <f ca="1">IFERROR(__xludf.DUMMYFUNCTION("GOOGLEFINANCE(""NSE:""&amp;D2918,""EPS"")"),"#N/A")</f>
        <v>#N/A</v>
      </c>
      <c r="Q2918" s="7">
        <v>13.5</v>
      </c>
      <c r="R2918" s="7" t="str">
        <f ca="1">IFERROR(__xludf.DUMMYFUNCTION("IMPORTXML(E2918,""/html/body/main/div[3]/div[3]/div[2]/ul/li[7]/span[2]/span"")"),"Loading...")</f>
        <v>Loading...</v>
      </c>
      <c r="S2918" s="7" t="str">
        <f ca="1">IFERROR(__xludf.DUMMYFUNCTION("IMPORTXML(E2918,""/html/body/main/div[3]/div[3]/div[2]/ul/li[8]/span[2]/span"")"),"Loading...")</f>
        <v>Loading...</v>
      </c>
      <c r="T2918" s="4">
        <v>34.6</v>
      </c>
      <c r="U2918" s="4">
        <v>22.7</v>
      </c>
      <c r="V2918" s="4">
        <v>2.6</v>
      </c>
      <c r="W2918" s="4">
        <v>5.7</v>
      </c>
      <c r="X2918" s="4">
        <v>519.92999999999995</v>
      </c>
      <c r="Y2918" s="7" t="e">
        <f t="shared" ca="1" si="59"/>
        <v>#VALUE!</v>
      </c>
    </row>
    <row r="2919" spans="1:25" ht="15" x14ac:dyDescent="0.25">
      <c r="A2919" s="4">
        <v>2887</v>
      </c>
      <c r="C2919" s="41" t="s">
        <v>5224</v>
      </c>
      <c r="D2919" s="42"/>
      <c r="E2919" s="5" t="str">
        <f t="shared" si="55"/>
        <v>https://www.screener.in/company//consolidated/</v>
      </c>
      <c r="F2919" s="4">
        <v>443059</v>
      </c>
      <c r="G2919" s="4">
        <v>3832241897</v>
      </c>
      <c r="H2919" s="6" t="e">
        <f t="shared" ca="1" si="56"/>
        <v>#VALUE!</v>
      </c>
      <c r="I2919" s="7" t="str">
        <f ca="1">IFERROR(__xludf.DUMMYFUNCTION("IMPORTXML(E2919,""/html/body/main/div[3]/div[3]/div[2]/ul/li[5]/span[2]/span"")"),"Loading...")</f>
        <v>Loading...</v>
      </c>
      <c r="J2919" s="7" t="str">
        <f ca="1">IFERROR(__xludf.DUMMYFUNCTION("GOOGLEFINANCE(""NSE:""&amp;D2919,""marketcap"")"),"#N/A")</f>
        <v>#N/A</v>
      </c>
      <c r="K2919" s="7">
        <v>992.8</v>
      </c>
      <c r="L2919" s="8" t="str">
        <f ca="1">IFERROR(__xludf.DUMMYFUNCTION("GOOGLEFINANCE(""NSE:""&amp;D2919,""price"")"),"#N/A")</f>
        <v>#N/A</v>
      </c>
      <c r="M2919" s="9" t="e">
        <f t="shared" ca="1" si="57"/>
        <v>#VALUE!</v>
      </c>
      <c r="N2919" s="10" t="e">
        <f t="shared" ca="1" si="58"/>
        <v>#VALUE!</v>
      </c>
      <c r="O2919" s="7" t="str">
        <f ca="1">IFERROR(__xludf.DUMMYFUNCTION("GOOGLEFINANCE(""NSE:""&amp;D2919,""pe"")"),"#N/A")</f>
        <v>#N/A</v>
      </c>
      <c r="P2919" s="7" t="str">
        <f ca="1">IFERROR(__xludf.DUMMYFUNCTION("GOOGLEFINANCE(""NSE:""&amp;D2919,""EPS"")"),"#N/A")</f>
        <v>#N/A</v>
      </c>
      <c r="Q2919" s="7">
        <v>13.5</v>
      </c>
      <c r="R2919" s="7" t="str">
        <f ca="1">IFERROR(__xludf.DUMMYFUNCTION("IMPORTXML(E2919,""/html/body/main/div[3]/div[3]/div[2]/ul/li[7]/span[2]/span"")"),"Loading...")</f>
        <v>Loading...</v>
      </c>
      <c r="S2919" s="7" t="str">
        <f ca="1">IFERROR(__xludf.DUMMYFUNCTION("IMPORTXML(E2919,""/html/body/main/div[3]/div[3]/div[2]/ul/li[8]/span[2]/span"")"),"Loading...")</f>
        <v>Loading...</v>
      </c>
      <c r="T2919" s="4">
        <v>34.6</v>
      </c>
      <c r="U2919" s="4">
        <v>22.7</v>
      </c>
      <c r="V2919" s="4">
        <v>2.6</v>
      </c>
      <c r="W2919" s="4">
        <v>5.7</v>
      </c>
      <c r="X2919" s="4">
        <v>519.92999999999995</v>
      </c>
      <c r="Y2919" s="7" t="e">
        <f t="shared" ca="1" si="59"/>
        <v>#VALUE!</v>
      </c>
    </row>
    <row r="2920" spans="1:25" ht="15" x14ac:dyDescent="0.25">
      <c r="A2920" s="4">
        <v>2888</v>
      </c>
      <c r="C2920" s="41" t="s">
        <v>5225</v>
      </c>
      <c r="D2920" s="42"/>
      <c r="E2920" s="5" t="str">
        <f t="shared" si="55"/>
        <v>https://www.screener.in/company//consolidated/</v>
      </c>
      <c r="F2920" s="4">
        <v>443059</v>
      </c>
      <c r="G2920" s="4">
        <v>3832241897</v>
      </c>
      <c r="H2920" s="6" t="e">
        <f t="shared" ca="1" si="56"/>
        <v>#VALUE!</v>
      </c>
      <c r="I2920" s="7" t="str">
        <f ca="1">IFERROR(__xludf.DUMMYFUNCTION("IMPORTXML(E2920,""/html/body/main/div[3]/div[3]/div[2]/ul/li[5]/span[2]/span"")"),"Loading...")</f>
        <v>Loading...</v>
      </c>
      <c r="J2920" s="7" t="str">
        <f ca="1">IFERROR(__xludf.DUMMYFUNCTION("GOOGLEFINANCE(""NSE:""&amp;D2920,""marketcap"")"),"#N/A")</f>
        <v>#N/A</v>
      </c>
      <c r="K2920" s="7">
        <v>992.8</v>
      </c>
      <c r="L2920" s="8" t="str">
        <f ca="1">IFERROR(__xludf.DUMMYFUNCTION("GOOGLEFINANCE(""NSE:""&amp;D2920,""price"")"),"#N/A")</f>
        <v>#N/A</v>
      </c>
      <c r="M2920" s="9" t="e">
        <f t="shared" ca="1" si="57"/>
        <v>#VALUE!</v>
      </c>
      <c r="N2920" s="10" t="e">
        <f t="shared" ca="1" si="58"/>
        <v>#VALUE!</v>
      </c>
      <c r="O2920" s="7" t="str">
        <f ca="1">IFERROR(__xludf.DUMMYFUNCTION("GOOGLEFINANCE(""NSE:""&amp;D2920,""pe"")"),"#N/A")</f>
        <v>#N/A</v>
      </c>
      <c r="P2920" s="7" t="str">
        <f ca="1">IFERROR(__xludf.DUMMYFUNCTION("GOOGLEFINANCE(""NSE:""&amp;D2920,""EPS"")"),"#N/A")</f>
        <v>#N/A</v>
      </c>
      <c r="Q2920" s="7">
        <v>13.5</v>
      </c>
      <c r="R2920" s="7" t="str">
        <f ca="1">IFERROR(__xludf.DUMMYFUNCTION("IMPORTXML(E2920,""/html/body/main/div[3]/div[3]/div[2]/ul/li[7]/span[2]/span"")"),"Loading...")</f>
        <v>Loading...</v>
      </c>
      <c r="S2920" s="7" t="str">
        <f ca="1">IFERROR(__xludf.DUMMYFUNCTION("IMPORTXML(E2920,""/html/body/main/div[3]/div[3]/div[2]/ul/li[8]/span[2]/span"")"),"Loading...")</f>
        <v>Loading...</v>
      </c>
      <c r="T2920" s="4">
        <v>34.6</v>
      </c>
      <c r="U2920" s="4">
        <v>22.7</v>
      </c>
      <c r="V2920" s="4">
        <v>2.6</v>
      </c>
      <c r="W2920" s="4">
        <v>5.7</v>
      </c>
      <c r="X2920" s="4">
        <v>519.92999999999995</v>
      </c>
      <c r="Y2920" s="7" t="e">
        <f t="shared" ca="1" si="59"/>
        <v>#VALUE!</v>
      </c>
    </row>
    <row r="2921" spans="1:25" ht="15" x14ac:dyDescent="0.25">
      <c r="A2921" s="4">
        <v>2889</v>
      </c>
      <c r="C2921" s="41" t="s">
        <v>5226</v>
      </c>
      <c r="D2921" s="42"/>
      <c r="E2921" s="5" t="str">
        <f t="shared" si="55"/>
        <v>https://www.screener.in/company//consolidated/</v>
      </c>
      <c r="F2921" s="4">
        <v>443059</v>
      </c>
      <c r="G2921" s="4">
        <v>3832241897</v>
      </c>
      <c r="H2921" s="6" t="e">
        <f t="shared" ca="1" si="56"/>
        <v>#VALUE!</v>
      </c>
      <c r="I2921" s="7" t="str">
        <f ca="1">IFERROR(__xludf.DUMMYFUNCTION("IMPORTXML(E2921,""/html/body/main/div[3]/div[3]/div[2]/ul/li[5]/span[2]/span"")"),"Loading...")</f>
        <v>Loading...</v>
      </c>
      <c r="J2921" s="7" t="str">
        <f ca="1">IFERROR(__xludf.DUMMYFUNCTION("GOOGLEFINANCE(""NSE:""&amp;D2921,""marketcap"")"),"#N/A")</f>
        <v>#N/A</v>
      </c>
      <c r="K2921" s="7">
        <v>992.8</v>
      </c>
      <c r="L2921" s="8" t="str">
        <f ca="1">IFERROR(__xludf.DUMMYFUNCTION("GOOGLEFINANCE(""NSE:""&amp;D2921,""price"")"),"#N/A")</f>
        <v>#N/A</v>
      </c>
      <c r="M2921" s="9" t="e">
        <f t="shared" ca="1" si="57"/>
        <v>#VALUE!</v>
      </c>
      <c r="N2921" s="10" t="e">
        <f t="shared" ca="1" si="58"/>
        <v>#VALUE!</v>
      </c>
      <c r="O2921" s="7" t="str">
        <f ca="1">IFERROR(__xludf.DUMMYFUNCTION("GOOGLEFINANCE(""NSE:""&amp;D2921,""pe"")"),"#N/A")</f>
        <v>#N/A</v>
      </c>
      <c r="P2921" s="7" t="str">
        <f ca="1">IFERROR(__xludf.DUMMYFUNCTION("GOOGLEFINANCE(""NSE:""&amp;D2921,""EPS"")"),"#N/A")</f>
        <v>#N/A</v>
      </c>
      <c r="Q2921" s="7">
        <v>13.5</v>
      </c>
      <c r="R2921" s="7" t="str">
        <f ca="1">IFERROR(__xludf.DUMMYFUNCTION("IMPORTXML(E2921,""/html/body/main/div[3]/div[3]/div[2]/ul/li[7]/span[2]/span"")"),"Loading...")</f>
        <v>Loading...</v>
      </c>
      <c r="S2921" s="7" t="str">
        <f ca="1">IFERROR(__xludf.DUMMYFUNCTION("IMPORTXML(E2921,""/html/body/main/div[3]/div[3]/div[2]/ul/li[8]/span[2]/span"")"),"Loading...")</f>
        <v>Loading...</v>
      </c>
      <c r="T2921" s="4">
        <v>34.6</v>
      </c>
      <c r="U2921" s="4">
        <v>22.7</v>
      </c>
      <c r="V2921" s="4">
        <v>2.6</v>
      </c>
      <c r="W2921" s="4">
        <v>5.7</v>
      </c>
      <c r="X2921" s="4">
        <v>519.92999999999995</v>
      </c>
      <c r="Y2921" s="7" t="e">
        <f t="shared" ca="1" si="59"/>
        <v>#VALUE!</v>
      </c>
    </row>
    <row r="2922" spans="1:25" ht="15" x14ac:dyDescent="0.25">
      <c r="A2922" s="4">
        <v>2890</v>
      </c>
      <c r="C2922" s="12" t="s">
        <v>5227</v>
      </c>
      <c r="D2922" s="12" t="s">
        <v>5228</v>
      </c>
      <c r="E2922" s="5" t="str">
        <f t="shared" si="55"/>
        <v>https://www.screener.in/company/FEL/consolidated/</v>
      </c>
      <c r="F2922" s="4">
        <v>443059</v>
      </c>
      <c r="G2922" s="4">
        <v>3832241897</v>
      </c>
      <c r="H2922" s="6">
        <f t="shared" ca="1" si="56"/>
        <v>233.766755717</v>
      </c>
      <c r="I2922" s="7" t="str">
        <f ca="1">IFERROR(__xludf.DUMMYFUNCTION("IMPORTXML(E2922,""/html/body/main/div[3]/div[3]/div[2]/ul/li[5]/span[2]/span"")"),"Loading...")</f>
        <v>Loading...</v>
      </c>
      <c r="J2922" s="7">
        <f ca="1">IFERROR(__xludf.DUMMYFUNCTION("GOOGLEFINANCE(""NSE:""&amp;D2922,""marketcap"")"),417785945)</f>
        <v>417785945</v>
      </c>
      <c r="K2922" s="7">
        <v>992.8</v>
      </c>
      <c r="L2922" s="8">
        <f ca="1">IFERROR(__xludf.DUMMYFUNCTION("GOOGLEFINANCE(""NSE:""&amp;D2922,""price"")"),0.61)</f>
        <v>0.61</v>
      </c>
      <c r="M2922" s="9">
        <f t="shared" ca="1" si="57"/>
        <v>-992.18999999999994</v>
      </c>
      <c r="N2922" s="10">
        <f t="shared" ca="1" si="58"/>
        <v>-99.938557614826749</v>
      </c>
      <c r="O2922" s="7" t="str">
        <f ca="1">IFERROR(__xludf.DUMMYFUNCTION("GOOGLEFINANCE(""NSE:""&amp;D2922,""pe"")"),"#N/A")</f>
        <v>#N/A</v>
      </c>
      <c r="P2922" s="7" t="str">
        <f ca="1">IFERROR(__xludf.DUMMYFUNCTION("GOOGLEFINANCE(""NSE:""&amp;D2922,""EPS"")"),"#N/A")</f>
        <v>#N/A</v>
      </c>
      <c r="Q2922" s="7">
        <v>13.5</v>
      </c>
      <c r="R2922" s="7" t="str">
        <f ca="1">IFERROR(__xludf.DUMMYFUNCTION("IMPORTXML(E2922,""/html/body/main/div[3]/div[3]/div[2]/ul/li[7]/span[2]/span"")"),"Loading...")</f>
        <v>Loading...</v>
      </c>
      <c r="S2922" s="7" t="str">
        <f ca="1">IFERROR(__xludf.DUMMYFUNCTION("IMPORTXML(E2922,""/html/body/main/div[3]/div[3]/div[2]/ul/li[8]/span[2]/span"")"),"Loading...")</f>
        <v>Loading...</v>
      </c>
      <c r="T2922" s="4">
        <v>34.6</v>
      </c>
      <c r="U2922" s="4">
        <v>22.7</v>
      </c>
      <c r="V2922" s="4">
        <v>2.6</v>
      </c>
      <c r="W2922" s="4">
        <v>5.7</v>
      </c>
      <c r="X2922" s="4">
        <v>519.92999999999995</v>
      </c>
      <c r="Y2922" s="7">
        <f t="shared" ca="1" si="59"/>
        <v>-519.31999999999994</v>
      </c>
    </row>
    <row r="2923" spans="1:25" ht="15" x14ac:dyDescent="0.25">
      <c r="A2923" s="4">
        <v>2891</v>
      </c>
      <c r="C2923" s="41" t="s">
        <v>5229</v>
      </c>
      <c r="D2923" s="42"/>
      <c r="E2923" s="5" t="str">
        <f t="shared" si="55"/>
        <v>https://www.screener.in/company//consolidated/</v>
      </c>
      <c r="F2923" s="4">
        <v>443059</v>
      </c>
      <c r="G2923" s="4">
        <v>3832241897</v>
      </c>
      <c r="H2923" s="6" t="e">
        <f t="shared" ca="1" si="56"/>
        <v>#VALUE!</v>
      </c>
      <c r="I2923" s="7" t="str">
        <f ca="1">IFERROR(__xludf.DUMMYFUNCTION("IMPORTXML(E2923,""/html/body/main/div[3]/div[3]/div[2]/ul/li[5]/span[2]/span"")"),"Loading...")</f>
        <v>Loading...</v>
      </c>
      <c r="J2923" s="7" t="str">
        <f ca="1">IFERROR(__xludf.DUMMYFUNCTION("GOOGLEFINANCE(""NSE:""&amp;D2923,""marketcap"")"),"#N/A")</f>
        <v>#N/A</v>
      </c>
      <c r="K2923" s="7">
        <v>992.8</v>
      </c>
      <c r="L2923" s="8" t="str">
        <f ca="1">IFERROR(__xludf.DUMMYFUNCTION("GOOGLEFINANCE(""NSE:""&amp;D2923,""price"")"),"#N/A")</f>
        <v>#N/A</v>
      </c>
      <c r="M2923" s="9" t="e">
        <f t="shared" ca="1" si="57"/>
        <v>#VALUE!</v>
      </c>
      <c r="N2923" s="10" t="e">
        <f t="shared" ca="1" si="58"/>
        <v>#VALUE!</v>
      </c>
      <c r="O2923" s="7" t="str">
        <f ca="1">IFERROR(__xludf.DUMMYFUNCTION("GOOGLEFINANCE(""NSE:""&amp;D2923,""pe"")"),"#N/A")</f>
        <v>#N/A</v>
      </c>
      <c r="P2923" s="7" t="str">
        <f ca="1">IFERROR(__xludf.DUMMYFUNCTION("GOOGLEFINANCE(""NSE:""&amp;D2923,""EPS"")"),"#N/A")</f>
        <v>#N/A</v>
      </c>
      <c r="Q2923" s="7">
        <v>13.5</v>
      </c>
      <c r="R2923" s="7" t="str">
        <f ca="1">IFERROR(__xludf.DUMMYFUNCTION("IMPORTXML(E2923,""/html/body/main/div[3]/div[3]/div[2]/ul/li[7]/span[2]/span"")"),"Loading...")</f>
        <v>Loading...</v>
      </c>
      <c r="S2923" s="7" t="str">
        <f ca="1">IFERROR(__xludf.DUMMYFUNCTION("IMPORTXML(E2923,""/html/body/main/div[3]/div[3]/div[2]/ul/li[8]/span[2]/span"")"),"Loading...")</f>
        <v>Loading...</v>
      </c>
      <c r="T2923" s="4">
        <v>34.6</v>
      </c>
      <c r="U2923" s="4">
        <v>22.7</v>
      </c>
      <c r="V2923" s="4">
        <v>2.6</v>
      </c>
      <c r="W2923" s="4">
        <v>5.7</v>
      </c>
      <c r="X2923" s="4">
        <v>519.92999999999995</v>
      </c>
      <c r="Y2923" s="7" t="e">
        <f t="shared" ca="1" si="59"/>
        <v>#VALUE!</v>
      </c>
    </row>
    <row r="2924" spans="1:25" ht="15" x14ac:dyDescent="0.25">
      <c r="A2924" s="4">
        <v>2892</v>
      </c>
      <c r="C2924" s="41" t="s">
        <v>5230</v>
      </c>
      <c r="D2924" s="42"/>
      <c r="E2924" s="5" t="str">
        <f t="shared" si="55"/>
        <v>https://www.screener.in/company//consolidated/</v>
      </c>
      <c r="F2924" s="4">
        <v>443059</v>
      </c>
      <c r="G2924" s="4">
        <v>3832241897</v>
      </c>
      <c r="H2924" s="6" t="e">
        <f t="shared" ca="1" si="56"/>
        <v>#VALUE!</v>
      </c>
      <c r="I2924" s="7" t="str">
        <f ca="1">IFERROR(__xludf.DUMMYFUNCTION("IMPORTXML(E2924,""/html/body/main/div[3]/div[3]/div[2]/ul/li[5]/span[2]/span"")"),"Loading...")</f>
        <v>Loading...</v>
      </c>
      <c r="J2924" s="7" t="str">
        <f ca="1">IFERROR(__xludf.DUMMYFUNCTION("GOOGLEFINANCE(""NSE:""&amp;D2924,""marketcap"")"),"#N/A")</f>
        <v>#N/A</v>
      </c>
      <c r="K2924" s="7">
        <v>992.8</v>
      </c>
      <c r="L2924" s="8" t="str">
        <f ca="1">IFERROR(__xludf.DUMMYFUNCTION("GOOGLEFINANCE(""NSE:""&amp;D2924,""price"")"),"#N/A")</f>
        <v>#N/A</v>
      </c>
      <c r="M2924" s="9" t="e">
        <f t="shared" ca="1" si="57"/>
        <v>#VALUE!</v>
      </c>
      <c r="N2924" s="10" t="e">
        <f t="shared" ca="1" si="58"/>
        <v>#VALUE!</v>
      </c>
      <c r="O2924" s="7" t="str">
        <f ca="1">IFERROR(__xludf.DUMMYFUNCTION("GOOGLEFINANCE(""NSE:""&amp;D2924,""pe"")"),"#N/A")</f>
        <v>#N/A</v>
      </c>
      <c r="P2924" s="7" t="str">
        <f ca="1">IFERROR(__xludf.DUMMYFUNCTION("GOOGLEFINANCE(""NSE:""&amp;D2924,""EPS"")"),"#N/A")</f>
        <v>#N/A</v>
      </c>
      <c r="Q2924" s="7">
        <v>13.5</v>
      </c>
      <c r="R2924" s="7" t="str">
        <f ca="1">IFERROR(__xludf.DUMMYFUNCTION("IMPORTXML(E2924,""/html/body/main/div[3]/div[3]/div[2]/ul/li[7]/span[2]/span"")"),"Loading...")</f>
        <v>Loading...</v>
      </c>
      <c r="S2924" s="7" t="str">
        <f ca="1">IFERROR(__xludf.DUMMYFUNCTION("IMPORTXML(E2924,""/html/body/main/div[3]/div[3]/div[2]/ul/li[8]/span[2]/span"")"),"Loading...")</f>
        <v>Loading...</v>
      </c>
      <c r="T2924" s="4">
        <v>34.6</v>
      </c>
      <c r="U2924" s="4">
        <v>22.7</v>
      </c>
      <c r="V2924" s="4">
        <v>2.6</v>
      </c>
      <c r="W2924" s="4">
        <v>5.7</v>
      </c>
      <c r="X2924" s="4">
        <v>519.92999999999995</v>
      </c>
      <c r="Y2924" s="7" t="e">
        <f t="shared" ca="1" si="59"/>
        <v>#VALUE!</v>
      </c>
    </row>
    <row r="2925" spans="1:25" ht="15" x14ac:dyDescent="0.25">
      <c r="A2925" s="4">
        <v>2893</v>
      </c>
      <c r="C2925" s="41" t="s">
        <v>5231</v>
      </c>
      <c r="D2925" s="42"/>
      <c r="E2925" s="5" t="str">
        <f t="shared" si="55"/>
        <v>https://www.screener.in/company//consolidated/</v>
      </c>
      <c r="F2925" s="4">
        <v>443059</v>
      </c>
      <c r="G2925" s="4">
        <v>3832241897</v>
      </c>
      <c r="H2925" s="6" t="e">
        <f t="shared" ca="1" si="56"/>
        <v>#VALUE!</v>
      </c>
      <c r="I2925" s="7" t="str">
        <f ca="1">IFERROR(__xludf.DUMMYFUNCTION("IMPORTXML(E2925,""/html/body/main/div[3]/div[3]/div[2]/ul/li[5]/span[2]/span"")"),"Loading...")</f>
        <v>Loading...</v>
      </c>
      <c r="J2925" s="7" t="str">
        <f ca="1">IFERROR(__xludf.DUMMYFUNCTION("GOOGLEFINANCE(""NSE:""&amp;D2925,""marketcap"")"),"#N/A")</f>
        <v>#N/A</v>
      </c>
      <c r="K2925" s="7">
        <v>992.8</v>
      </c>
      <c r="L2925" s="8" t="str">
        <f ca="1">IFERROR(__xludf.DUMMYFUNCTION("GOOGLEFINANCE(""NSE:""&amp;D2925,""price"")"),"#N/A")</f>
        <v>#N/A</v>
      </c>
      <c r="M2925" s="9" t="e">
        <f t="shared" ca="1" si="57"/>
        <v>#VALUE!</v>
      </c>
      <c r="N2925" s="10" t="e">
        <f t="shared" ca="1" si="58"/>
        <v>#VALUE!</v>
      </c>
      <c r="O2925" s="7" t="str">
        <f ca="1">IFERROR(__xludf.DUMMYFUNCTION("GOOGLEFINANCE(""NSE:""&amp;D2925,""pe"")"),"#N/A")</f>
        <v>#N/A</v>
      </c>
      <c r="P2925" s="7" t="str">
        <f ca="1">IFERROR(__xludf.DUMMYFUNCTION("GOOGLEFINANCE(""NSE:""&amp;D2925,""EPS"")"),"#N/A")</f>
        <v>#N/A</v>
      </c>
      <c r="Q2925" s="7">
        <v>13.5</v>
      </c>
      <c r="R2925" s="7" t="str">
        <f ca="1">IFERROR(__xludf.DUMMYFUNCTION("IMPORTXML(E2925,""/html/body/main/div[3]/div[3]/div[2]/ul/li[7]/span[2]/span"")"),"Loading...")</f>
        <v>Loading...</v>
      </c>
      <c r="S2925" s="7" t="str">
        <f ca="1">IFERROR(__xludf.DUMMYFUNCTION("IMPORTXML(E2925,""/html/body/main/div[3]/div[3]/div[2]/ul/li[8]/span[2]/span"")"),"Loading...")</f>
        <v>Loading...</v>
      </c>
      <c r="T2925" s="4">
        <v>34.6</v>
      </c>
      <c r="U2925" s="4">
        <v>22.7</v>
      </c>
      <c r="V2925" s="4">
        <v>2.6</v>
      </c>
      <c r="W2925" s="4">
        <v>5.7</v>
      </c>
      <c r="X2925" s="4">
        <v>519.92999999999995</v>
      </c>
      <c r="Y2925" s="7" t="e">
        <f t="shared" ca="1" si="59"/>
        <v>#VALUE!</v>
      </c>
    </row>
    <row r="2926" spans="1:25" ht="15" x14ac:dyDescent="0.25">
      <c r="A2926" s="4">
        <v>2894</v>
      </c>
      <c r="C2926" s="41" t="s">
        <v>5232</v>
      </c>
      <c r="D2926" s="42"/>
      <c r="E2926" s="5" t="str">
        <f t="shared" si="55"/>
        <v>https://www.screener.in/company//consolidated/</v>
      </c>
      <c r="F2926" s="4">
        <v>443059</v>
      </c>
      <c r="G2926" s="4">
        <v>3832241897</v>
      </c>
      <c r="H2926" s="6" t="e">
        <f t="shared" ca="1" si="56"/>
        <v>#VALUE!</v>
      </c>
      <c r="I2926" s="7" t="str">
        <f ca="1">IFERROR(__xludf.DUMMYFUNCTION("IMPORTXML(E2926,""/html/body/main/div[3]/div[3]/div[2]/ul/li[5]/span[2]/span"")"),"Loading...")</f>
        <v>Loading...</v>
      </c>
      <c r="J2926" s="7" t="str">
        <f ca="1">IFERROR(__xludf.DUMMYFUNCTION("GOOGLEFINANCE(""NSE:""&amp;D2926,""marketcap"")"),"#N/A")</f>
        <v>#N/A</v>
      </c>
      <c r="K2926" s="7">
        <v>992.8</v>
      </c>
      <c r="L2926" s="8" t="str">
        <f ca="1">IFERROR(__xludf.DUMMYFUNCTION("GOOGLEFINANCE(""NSE:""&amp;D2926,""price"")"),"#N/A")</f>
        <v>#N/A</v>
      </c>
      <c r="M2926" s="9" t="e">
        <f t="shared" ca="1" si="57"/>
        <v>#VALUE!</v>
      </c>
      <c r="N2926" s="10" t="e">
        <f t="shared" ca="1" si="58"/>
        <v>#VALUE!</v>
      </c>
      <c r="O2926" s="7" t="str">
        <f ca="1">IFERROR(__xludf.DUMMYFUNCTION("GOOGLEFINANCE(""NSE:""&amp;D2926,""pe"")"),"#N/A")</f>
        <v>#N/A</v>
      </c>
      <c r="P2926" s="7" t="str">
        <f ca="1">IFERROR(__xludf.DUMMYFUNCTION("GOOGLEFINANCE(""NSE:""&amp;D2926,""EPS"")"),"#N/A")</f>
        <v>#N/A</v>
      </c>
      <c r="Q2926" s="7">
        <v>13.5</v>
      </c>
      <c r="R2926" s="7" t="str">
        <f ca="1">IFERROR(__xludf.DUMMYFUNCTION("IMPORTXML(E2926,""/html/body/main/div[3]/div[3]/div[2]/ul/li[7]/span[2]/span"")"),"Loading...")</f>
        <v>Loading...</v>
      </c>
      <c r="S2926" s="7" t="str">
        <f ca="1">IFERROR(__xludf.DUMMYFUNCTION("IMPORTXML(E2926,""/html/body/main/div[3]/div[3]/div[2]/ul/li[8]/span[2]/span"")"),"Loading...")</f>
        <v>Loading...</v>
      </c>
      <c r="T2926" s="4">
        <v>34.6</v>
      </c>
      <c r="U2926" s="4">
        <v>22.7</v>
      </c>
      <c r="V2926" s="4">
        <v>2.6</v>
      </c>
      <c r="W2926" s="4">
        <v>5.7</v>
      </c>
      <c r="X2926" s="4">
        <v>519.92999999999995</v>
      </c>
      <c r="Y2926" s="7" t="e">
        <f t="shared" ca="1" si="59"/>
        <v>#VALUE!</v>
      </c>
    </row>
    <row r="2927" spans="1:25" ht="15" x14ac:dyDescent="0.25">
      <c r="A2927" s="4">
        <v>2896</v>
      </c>
      <c r="C2927" s="41" t="s">
        <v>5233</v>
      </c>
      <c r="D2927" s="42"/>
      <c r="E2927" s="5" t="str">
        <f t="shared" si="55"/>
        <v>https://www.screener.in/company//consolidated/</v>
      </c>
      <c r="F2927" s="4">
        <v>443059</v>
      </c>
      <c r="G2927" s="4">
        <v>3832241897</v>
      </c>
      <c r="H2927" s="6" t="e">
        <f t="shared" ca="1" si="56"/>
        <v>#VALUE!</v>
      </c>
      <c r="I2927" s="7" t="str">
        <f ca="1">IFERROR(__xludf.DUMMYFUNCTION("IMPORTXML(E2927,""/html/body/main/div[3]/div[3]/div[2]/ul/li[5]/span[2]/span"")"),"Loading...")</f>
        <v>Loading...</v>
      </c>
      <c r="J2927" s="7" t="str">
        <f ca="1">IFERROR(__xludf.DUMMYFUNCTION("GOOGLEFINANCE(""NSE:""&amp;D2927,""marketcap"")"),"#N/A")</f>
        <v>#N/A</v>
      </c>
      <c r="K2927" s="7">
        <v>992.8</v>
      </c>
      <c r="L2927" s="8" t="str">
        <f ca="1">IFERROR(__xludf.DUMMYFUNCTION("GOOGLEFINANCE(""NSE:""&amp;D2927,""price"")"),"#N/A")</f>
        <v>#N/A</v>
      </c>
      <c r="M2927" s="9" t="e">
        <f t="shared" ca="1" si="57"/>
        <v>#VALUE!</v>
      </c>
      <c r="N2927" s="10" t="e">
        <f t="shared" ca="1" si="58"/>
        <v>#VALUE!</v>
      </c>
      <c r="O2927" s="7" t="str">
        <f ca="1">IFERROR(__xludf.DUMMYFUNCTION("GOOGLEFINANCE(""NSE:""&amp;D2927,""pe"")"),"#N/A")</f>
        <v>#N/A</v>
      </c>
      <c r="P2927" s="7" t="str">
        <f ca="1">IFERROR(__xludf.DUMMYFUNCTION("GOOGLEFINANCE(""NSE:""&amp;D2927,""EPS"")"),"#N/A")</f>
        <v>#N/A</v>
      </c>
      <c r="Q2927" s="7">
        <v>13.5</v>
      </c>
      <c r="R2927" s="7" t="str">
        <f ca="1">IFERROR(__xludf.DUMMYFUNCTION("IMPORTXML(E2927,""/html/body/main/div[3]/div[3]/div[2]/ul/li[7]/span[2]/span"")"),"Loading...")</f>
        <v>Loading...</v>
      </c>
      <c r="S2927" s="7" t="str">
        <f ca="1">IFERROR(__xludf.DUMMYFUNCTION("IMPORTXML(E2927,""/html/body/main/div[3]/div[3]/div[2]/ul/li[8]/span[2]/span"")"),"Loading...")</f>
        <v>Loading...</v>
      </c>
      <c r="T2927" s="4">
        <v>34.6</v>
      </c>
      <c r="U2927" s="4">
        <v>22.7</v>
      </c>
      <c r="V2927" s="4">
        <v>2.6</v>
      </c>
      <c r="W2927" s="4">
        <v>5.7</v>
      </c>
      <c r="X2927" s="4">
        <v>519.92999999999995</v>
      </c>
      <c r="Y2927" s="7" t="e">
        <f t="shared" ca="1" si="59"/>
        <v>#VALUE!</v>
      </c>
    </row>
    <row r="2928" spans="1:25" ht="15" x14ac:dyDescent="0.25">
      <c r="A2928" s="4">
        <v>2897</v>
      </c>
      <c r="C2928" s="41" t="s">
        <v>5234</v>
      </c>
      <c r="D2928" s="42"/>
      <c r="E2928" s="5" t="str">
        <f t="shared" si="55"/>
        <v>https://www.screener.in/company//consolidated/</v>
      </c>
      <c r="F2928" s="4">
        <v>443059</v>
      </c>
      <c r="G2928" s="4">
        <v>3832241897</v>
      </c>
      <c r="H2928" s="6" t="e">
        <f t="shared" ca="1" si="56"/>
        <v>#VALUE!</v>
      </c>
      <c r="I2928" s="7" t="str">
        <f ca="1">IFERROR(__xludf.DUMMYFUNCTION("IMPORTXML(E2928,""/html/body/main/div[3]/div[3]/div[2]/ul/li[5]/span[2]/span"")"),"Loading...")</f>
        <v>Loading...</v>
      </c>
      <c r="J2928" s="7" t="str">
        <f ca="1">IFERROR(__xludf.DUMMYFUNCTION("GOOGLEFINANCE(""NSE:""&amp;D2928,""marketcap"")"),"#N/A")</f>
        <v>#N/A</v>
      </c>
      <c r="K2928" s="7">
        <v>992.8</v>
      </c>
      <c r="L2928" s="8" t="str">
        <f ca="1">IFERROR(__xludf.DUMMYFUNCTION("GOOGLEFINANCE(""NSE:""&amp;D2928,""price"")"),"#N/A")</f>
        <v>#N/A</v>
      </c>
      <c r="M2928" s="9" t="e">
        <f t="shared" ca="1" si="57"/>
        <v>#VALUE!</v>
      </c>
      <c r="N2928" s="10" t="e">
        <f t="shared" ca="1" si="58"/>
        <v>#VALUE!</v>
      </c>
      <c r="O2928" s="7" t="str">
        <f ca="1">IFERROR(__xludf.DUMMYFUNCTION("GOOGLEFINANCE(""NSE:""&amp;D2928,""pe"")"),"#N/A")</f>
        <v>#N/A</v>
      </c>
      <c r="P2928" s="7" t="str">
        <f ca="1">IFERROR(__xludf.DUMMYFUNCTION("GOOGLEFINANCE(""NSE:""&amp;D2928,""EPS"")"),"#N/A")</f>
        <v>#N/A</v>
      </c>
      <c r="Q2928" s="7">
        <v>13.5</v>
      </c>
      <c r="R2928" s="7" t="str">
        <f ca="1">IFERROR(__xludf.DUMMYFUNCTION("IMPORTXML(E2928,""/html/body/main/div[3]/div[3]/div[2]/ul/li[7]/span[2]/span"")"),"Loading...")</f>
        <v>Loading...</v>
      </c>
      <c r="S2928" s="7" t="str">
        <f ca="1">IFERROR(__xludf.DUMMYFUNCTION("IMPORTXML(E2928,""/html/body/main/div[3]/div[3]/div[2]/ul/li[8]/span[2]/span"")"),"Loading...")</f>
        <v>Loading...</v>
      </c>
      <c r="T2928" s="4">
        <v>34.6</v>
      </c>
      <c r="U2928" s="4">
        <v>22.7</v>
      </c>
      <c r="V2928" s="4">
        <v>2.6</v>
      </c>
      <c r="W2928" s="4">
        <v>5.7</v>
      </c>
      <c r="X2928" s="4">
        <v>519.92999999999995</v>
      </c>
      <c r="Y2928" s="7" t="e">
        <f t="shared" ca="1" si="59"/>
        <v>#VALUE!</v>
      </c>
    </row>
    <row r="2929" spans="1:25" ht="15" x14ac:dyDescent="0.25">
      <c r="A2929" s="4">
        <v>2898</v>
      </c>
      <c r="C2929" s="12" t="s">
        <v>5235</v>
      </c>
      <c r="D2929" s="12" t="s">
        <v>5236</v>
      </c>
      <c r="E2929" s="5" t="str">
        <f t="shared" si="55"/>
        <v>https://www.screener.in/company/GTECJAINX/consolidated/</v>
      </c>
      <c r="F2929" s="4">
        <v>443059</v>
      </c>
      <c r="G2929" s="4">
        <v>3832241897</v>
      </c>
      <c r="H2929" s="6">
        <f t="shared" ca="1" si="56"/>
        <v>9994.4868673759993</v>
      </c>
      <c r="I2929" s="7" t="str">
        <f ca="1">IFERROR(__xludf.DUMMYFUNCTION("IMPORTXML(E2929,""/html/body/main/div[3]/div[3]/div[2]/ul/li[5]/span[2]/span"")"),"Loading...")</f>
        <v>Loading...</v>
      </c>
      <c r="J2929" s="7">
        <f ca="1">IFERROR(__xludf.DUMMYFUNCTION("GOOGLEFINANCE(""NSE:""&amp;D2929,""marketcap"")"),265731466)</f>
        <v>265731466</v>
      </c>
      <c r="K2929" s="7">
        <v>992.8</v>
      </c>
      <c r="L2929" s="8">
        <f ca="1">IFERROR(__xludf.DUMMYFUNCTION("GOOGLEFINANCE(""NSE:""&amp;D2929,""price"")"),26.08)</f>
        <v>26.08</v>
      </c>
      <c r="M2929" s="9">
        <f t="shared" ca="1" si="57"/>
        <v>-966.71999999999991</v>
      </c>
      <c r="N2929" s="10">
        <f t="shared" ca="1" si="58"/>
        <v>-97.373086220789688</v>
      </c>
      <c r="O2929" s="7" t="str">
        <f ca="1">IFERROR(__xludf.DUMMYFUNCTION("GOOGLEFINANCE(""NSE:""&amp;D2929,""pe"")"),"#N/A")</f>
        <v>#N/A</v>
      </c>
      <c r="P2929" s="7">
        <f ca="1">IFERROR(__xludf.DUMMYFUNCTION("GOOGLEFINANCE(""NSE:""&amp;D2929,""EPS"")"),-3.35)</f>
        <v>-3.35</v>
      </c>
      <c r="Q2929" s="7">
        <v>13.5</v>
      </c>
      <c r="R2929" s="7" t="str">
        <f ca="1">IFERROR(__xludf.DUMMYFUNCTION("IMPORTXML(E2929,""/html/body/main/div[3]/div[3]/div[2]/ul/li[7]/span[2]/span"")"),"Loading...")</f>
        <v>Loading...</v>
      </c>
      <c r="S2929" s="7" t="str">
        <f ca="1">IFERROR(__xludf.DUMMYFUNCTION("IMPORTXML(E2929,""/html/body/main/div[3]/div[3]/div[2]/ul/li[8]/span[2]/span"")"),"Loading...")</f>
        <v>Loading...</v>
      </c>
      <c r="T2929" s="4">
        <v>34.6</v>
      </c>
      <c r="U2929" s="4">
        <v>22.7</v>
      </c>
      <c r="V2929" s="4">
        <v>2.6</v>
      </c>
      <c r="W2929" s="4">
        <v>5.7</v>
      </c>
      <c r="X2929" s="4">
        <v>519.92999999999995</v>
      </c>
      <c r="Y2929" s="7">
        <f t="shared" ca="1" si="59"/>
        <v>-493.84999999999997</v>
      </c>
    </row>
    <row r="2930" spans="1:25" ht="15" x14ac:dyDescent="0.25">
      <c r="A2930" s="4">
        <v>2899</v>
      </c>
      <c r="C2930" s="41" t="s">
        <v>5237</v>
      </c>
      <c r="D2930" s="42"/>
      <c r="E2930" s="5" t="str">
        <f t="shared" si="55"/>
        <v>https://www.screener.in/company//consolidated/</v>
      </c>
      <c r="F2930" s="4">
        <v>443059</v>
      </c>
      <c r="G2930" s="4">
        <v>3832241897</v>
      </c>
      <c r="H2930" s="6" t="e">
        <f t="shared" ca="1" si="56"/>
        <v>#VALUE!</v>
      </c>
      <c r="I2930" s="7" t="str">
        <f ca="1">IFERROR(__xludf.DUMMYFUNCTION("IMPORTXML(E2930,""/html/body/main/div[3]/div[3]/div[2]/ul/li[5]/span[2]/span"")"),"Loading...")</f>
        <v>Loading...</v>
      </c>
      <c r="J2930" s="7" t="str">
        <f ca="1">IFERROR(__xludf.DUMMYFUNCTION("GOOGLEFINANCE(""NSE:""&amp;D2930,""marketcap"")"),"#N/A")</f>
        <v>#N/A</v>
      </c>
      <c r="K2930" s="7">
        <v>992.8</v>
      </c>
      <c r="L2930" s="8" t="str">
        <f ca="1">IFERROR(__xludf.DUMMYFUNCTION("GOOGLEFINANCE(""NSE:""&amp;D2930,""price"")"),"#N/A")</f>
        <v>#N/A</v>
      </c>
      <c r="M2930" s="9" t="e">
        <f t="shared" ca="1" si="57"/>
        <v>#VALUE!</v>
      </c>
      <c r="N2930" s="10" t="e">
        <f t="shared" ca="1" si="58"/>
        <v>#VALUE!</v>
      </c>
      <c r="O2930" s="7" t="str">
        <f ca="1">IFERROR(__xludf.DUMMYFUNCTION("GOOGLEFINANCE(""NSE:""&amp;D2930,""pe"")"),"#N/A")</f>
        <v>#N/A</v>
      </c>
      <c r="P2930" s="7" t="str">
        <f ca="1">IFERROR(__xludf.DUMMYFUNCTION("GOOGLEFINANCE(""NSE:""&amp;D2930,""EPS"")"),"#N/A")</f>
        <v>#N/A</v>
      </c>
      <c r="Q2930" s="7">
        <v>13.5</v>
      </c>
      <c r="R2930" s="7" t="str">
        <f ca="1">IFERROR(__xludf.DUMMYFUNCTION("IMPORTXML(E2930,""/html/body/main/div[3]/div[3]/div[2]/ul/li[7]/span[2]/span"")"),"Loading...")</f>
        <v>Loading...</v>
      </c>
      <c r="S2930" s="7" t="str">
        <f ca="1">IFERROR(__xludf.DUMMYFUNCTION("IMPORTXML(E2930,""/html/body/main/div[3]/div[3]/div[2]/ul/li[8]/span[2]/span"")"),"Loading...")</f>
        <v>Loading...</v>
      </c>
      <c r="T2930" s="4">
        <v>34.6</v>
      </c>
      <c r="U2930" s="4">
        <v>22.7</v>
      </c>
      <c r="V2930" s="4">
        <v>2.6</v>
      </c>
      <c r="W2930" s="4">
        <v>5.7</v>
      </c>
      <c r="X2930" s="4">
        <v>519.92999999999995</v>
      </c>
      <c r="Y2930" s="7" t="e">
        <f t="shared" ca="1" si="59"/>
        <v>#VALUE!</v>
      </c>
    </row>
    <row r="2931" spans="1:25" ht="15" x14ac:dyDescent="0.25">
      <c r="A2931" s="4">
        <v>2900</v>
      </c>
      <c r="C2931" s="41" t="s">
        <v>5238</v>
      </c>
      <c r="D2931" s="42"/>
      <c r="E2931" s="5" t="str">
        <f t="shared" si="55"/>
        <v>https://www.screener.in/company//consolidated/</v>
      </c>
      <c r="F2931" s="4">
        <v>443059</v>
      </c>
      <c r="G2931" s="4">
        <v>3832241897</v>
      </c>
      <c r="H2931" s="6" t="e">
        <f t="shared" ca="1" si="56"/>
        <v>#VALUE!</v>
      </c>
      <c r="I2931" s="7" t="str">
        <f ca="1">IFERROR(__xludf.DUMMYFUNCTION("IMPORTXML(E2931,""/html/body/main/div[3]/div[3]/div[2]/ul/li[5]/span[2]/span"")"),"Loading...")</f>
        <v>Loading...</v>
      </c>
      <c r="J2931" s="7" t="str">
        <f ca="1">IFERROR(__xludf.DUMMYFUNCTION("GOOGLEFINANCE(""NSE:""&amp;D2931,""marketcap"")"),"#N/A")</f>
        <v>#N/A</v>
      </c>
      <c r="K2931" s="7">
        <v>992.8</v>
      </c>
      <c r="L2931" s="8" t="str">
        <f ca="1">IFERROR(__xludf.DUMMYFUNCTION("GOOGLEFINANCE(""NSE:""&amp;D2931,""price"")"),"#N/A")</f>
        <v>#N/A</v>
      </c>
      <c r="M2931" s="9" t="e">
        <f t="shared" ca="1" si="57"/>
        <v>#VALUE!</v>
      </c>
      <c r="N2931" s="10" t="e">
        <f t="shared" ca="1" si="58"/>
        <v>#VALUE!</v>
      </c>
      <c r="O2931" s="7" t="str">
        <f ca="1">IFERROR(__xludf.DUMMYFUNCTION("GOOGLEFINANCE(""NSE:""&amp;D2931,""pe"")"),"#N/A")</f>
        <v>#N/A</v>
      </c>
      <c r="P2931" s="7" t="str">
        <f ca="1">IFERROR(__xludf.DUMMYFUNCTION("GOOGLEFINANCE(""NSE:""&amp;D2931,""EPS"")"),"#N/A")</f>
        <v>#N/A</v>
      </c>
      <c r="Q2931" s="7">
        <v>13.5</v>
      </c>
      <c r="R2931" s="7" t="str">
        <f ca="1">IFERROR(__xludf.DUMMYFUNCTION("IMPORTXML(E2931,""/html/body/main/div[3]/div[3]/div[2]/ul/li[7]/span[2]/span"")"),"Loading...")</f>
        <v>Loading...</v>
      </c>
      <c r="S2931" s="7" t="str">
        <f ca="1">IFERROR(__xludf.DUMMYFUNCTION("IMPORTXML(E2931,""/html/body/main/div[3]/div[3]/div[2]/ul/li[8]/span[2]/span"")"),"Loading...")</f>
        <v>Loading...</v>
      </c>
      <c r="T2931" s="4">
        <v>34.6</v>
      </c>
      <c r="U2931" s="4">
        <v>22.7</v>
      </c>
      <c r="V2931" s="4">
        <v>2.6</v>
      </c>
      <c r="W2931" s="4">
        <v>5.7</v>
      </c>
      <c r="X2931" s="4">
        <v>519.92999999999995</v>
      </c>
      <c r="Y2931" s="7" t="e">
        <f t="shared" ca="1" si="59"/>
        <v>#VALUE!</v>
      </c>
    </row>
    <row r="2932" spans="1:25" ht="15" x14ac:dyDescent="0.25">
      <c r="A2932" s="4">
        <v>2901</v>
      </c>
      <c r="C2932" s="41" t="s">
        <v>5239</v>
      </c>
      <c r="D2932" s="42"/>
      <c r="E2932" s="5" t="str">
        <f t="shared" si="55"/>
        <v>https://www.screener.in/company//consolidated/</v>
      </c>
      <c r="F2932" s="4">
        <v>443059</v>
      </c>
      <c r="G2932" s="4">
        <v>3832241897</v>
      </c>
      <c r="H2932" s="6" t="e">
        <f t="shared" ca="1" si="56"/>
        <v>#VALUE!</v>
      </c>
      <c r="I2932" s="7" t="str">
        <f ca="1">IFERROR(__xludf.DUMMYFUNCTION("IMPORTXML(E2932,""/html/body/main/div[3]/div[3]/div[2]/ul/li[5]/span[2]/span"")"),"Loading...")</f>
        <v>Loading...</v>
      </c>
      <c r="J2932" s="7" t="str">
        <f ca="1">IFERROR(__xludf.DUMMYFUNCTION("GOOGLEFINANCE(""NSE:""&amp;D2932,""marketcap"")"),"#N/A")</f>
        <v>#N/A</v>
      </c>
      <c r="K2932" s="7">
        <v>992.8</v>
      </c>
      <c r="L2932" s="8" t="str">
        <f ca="1">IFERROR(__xludf.DUMMYFUNCTION("GOOGLEFINANCE(""NSE:""&amp;D2932,""price"")"),"#N/A")</f>
        <v>#N/A</v>
      </c>
      <c r="M2932" s="9" t="e">
        <f t="shared" ca="1" si="57"/>
        <v>#VALUE!</v>
      </c>
      <c r="N2932" s="10" t="e">
        <f t="shared" ca="1" si="58"/>
        <v>#VALUE!</v>
      </c>
      <c r="O2932" s="7" t="str">
        <f ca="1">IFERROR(__xludf.DUMMYFUNCTION("GOOGLEFINANCE(""NSE:""&amp;D2932,""pe"")"),"#N/A")</f>
        <v>#N/A</v>
      </c>
      <c r="P2932" s="7" t="str">
        <f ca="1">IFERROR(__xludf.DUMMYFUNCTION("GOOGLEFINANCE(""NSE:""&amp;D2932,""EPS"")"),"#N/A")</f>
        <v>#N/A</v>
      </c>
      <c r="Q2932" s="7">
        <v>13.5</v>
      </c>
      <c r="R2932" s="7" t="str">
        <f ca="1">IFERROR(__xludf.DUMMYFUNCTION("IMPORTXML(E2932,""/html/body/main/div[3]/div[3]/div[2]/ul/li[7]/span[2]/span"")"),"Loading...")</f>
        <v>Loading...</v>
      </c>
      <c r="S2932" s="7" t="str">
        <f ca="1">IFERROR(__xludf.DUMMYFUNCTION("IMPORTXML(E2932,""/html/body/main/div[3]/div[3]/div[2]/ul/li[8]/span[2]/span"")"),"Loading...")</f>
        <v>Loading...</v>
      </c>
      <c r="T2932" s="4">
        <v>34.6</v>
      </c>
      <c r="U2932" s="4">
        <v>22.7</v>
      </c>
      <c r="V2932" s="4">
        <v>2.6</v>
      </c>
      <c r="W2932" s="4">
        <v>5.7</v>
      </c>
      <c r="X2932" s="4">
        <v>519.92999999999995</v>
      </c>
      <c r="Y2932" s="7" t="e">
        <f t="shared" ca="1" si="59"/>
        <v>#VALUE!</v>
      </c>
    </row>
    <row r="2933" spans="1:25" ht="15" x14ac:dyDescent="0.25">
      <c r="A2933" s="4">
        <v>2902</v>
      </c>
      <c r="C2933" s="41" t="s">
        <v>5240</v>
      </c>
      <c r="D2933" s="42"/>
      <c r="E2933" s="5" t="str">
        <f t="shared" si="55"/>
        <v>https://www.screener.in/company//consolidated/</v>
      </c>
      <c r="F2933" s="4">
        <v>443059</v>
      </c>
      <c r="G2933" s="4">
        <v>3832241897</v>
      </c>
      <c r="H2933" s="6" t="e">
        <f t="shared" ca="1" si="56"/>
        <v>#VALUE!</v>
      </c>
      <c r="I2933" s="7" t="str">
        <f ca="1">IFERROR(__xludf.DUMMYFUNCTION("IMPORTXML(E2933,""/html/body/main/div[3]/div[3]/div[2]/ul/li[5]/span[2]/span"")"),"Loading...")</f>
        <v>Loading...</v>
      </c>
      <c r="J2933" s="7" t="str">
        <f ca="1">IFERROR(__xludf.DUMMYFUNCTION("GOOGLEFINANCE(""NSE:""&amp;D2933,""marketcap"")"),"#N/A")</f>
        <v>#N/A</v>
      </c>
      <c r="K2933" s="7">
        <v>992.8</v>
      </c>
      <c r="L2933" s="8" t="str">
        <f ca="1">IFERROR(__xludf.DUMMYFUNCTION("GOOGLEFINANCE(""NSE:""&amp;D2933,""price"")"),"#N/A")</f>
        <v>#N/A</v>
      </c>
      <c r="M2933" s="9" t="e">
        <f t="shared" ca="1" si="57"/>
        <v>#VALUE!</v>
      </c>
      <c r="N2933" s="10" t="e">
        <f t="shared" ca="1" si="58"/>
        <v>#VALUE!</v>
      </c>
      <c r="O2933" s="7" t="str">
        <f ca="1">IFERROR(__xludf.DUMMYFUNCTION("GOOGLEFINANCE(""NSE:""&amp;D2933,""pe"")"),"#N/A")</f>
        <v>#N/A</v>
      </c>
      <c r="P2933" s="7" t="str">
        <f ca="1">IFERROR(__xludf.DUMMYFUNCTION("GOOGLEFINANCE(""NSE:""&amp;D2933,""EPS"")"),"#N/A")</f>
        <v>#N/A</v>
      </c>
      <c r="Q2933" s="7">
        <v>13.5</v>
      </c>
      <c r="R2933" s="7" t="str">
        <f ca="1">IFERROR(__xludf.DUMMYFUNCTION("IMPORTXML(E2933,""/html/body/main/div[3]/div[3]/div[2]/ul/li[7]/span[2]/span"")"),"Loading...")</f>
        <v>Loading...</v>
      </c>
      <c r="S2933" s="7" t="str">
        <f ca="1">IFERROR(__xludf.DUMMYFUNCTION("IMPORTXML(E2933,""/html/body/main/div[3]/div[3]/div[2]/ul/li[8]/span[2]/span"")"),"Loading...")</f>
        <v>Loading...</v>
      </c>
      <c r="T2933" s="4">
        <v>34.6</v>
      </c>
      <c r="U2933" s="4">
        <v>22.7</v>
      </c>
      <c r="V2933" s="4">
        <v>2.6</v>
      </c>
      <c r="W2933" s="4">
        <v>5.7</v>
      </c>
      <c r="X2933" s="4">
        <v>519.92999999999995</v>
      </c>
      <c r="Y2933" s="7" t="e">
        <f t="shared" ca="1" si="59"/>
        <v>#VALUE!</v>
      </c>
    </row>
    <row r="2934" spans="1:25" ht="15" x14ac:dyDescent="0.25">
      <c r="A2934" s="4">
        <v>2903</v>
      </c>
      <c r="C2934" s="41" t="s">
        <v>5241</v>
      </c>
      <c r="D2934" s="42"/>
      <c r="E2934" s="5" t="str">
        <f t="shared" si="55"/>
        <v>https://www.screener.in/company//consolidated/</v>
      </c>
      <c r="F2934" s="4">
        <v>443059</v>
      </c>
      <c r="G2934" s="4">
        <v>3832241897</v>
      </c>
      <c r="H2934" s="6" t="e">
        <f t="shared" ca="1" si="56"/>
        <v>#VALUE!</v>
      </c>
      <c r="I2934" s="7" t="str">
        <f ca="1">IFERROR(__xludf.DUMMYFUNCTION("IMPORTXML(E2934,""/html/body/main/div[3]/div[3]/div[2]/ul/li[5]/span[2]/span"")"),"Loading...")</f>
        <v>Loading...</v>
      </c>
      <c r="J2934" s="7" t="str">
        <f ca="1">IFERROR(__xludf.DUMMYFUNCTION("GOOGLEFINANCE(""NSE:""&amp;D2934,""marketcap"")"),"#N/A")</f>
        <v>#N/A</v>
      </c>
      <c r="K2934" s="7">
        <v>992.8</v>
      </c>
      <c r="L2934" s="8" t="str">
        <f ca="1">IFERROR(__xludf.DUMMYFUNCTION("GOOGLEFINANCE(""NSE:""&amp;D2934,""price"")"),"#N/A")</f>
        <v>#N/A</v>
      </c>
      <c r="M2934" s="9" t="e">
        <f t="shared" ca="1" si="57"/>
        <v>#VALUE!</v>
      </c>
      <c r="N2934" s="10" t="e">
        <f t="shared" ca="1" si="58"/>
        <v>#VALUE!</v>
      </c>
      <c r="O2934" s="7" t="str">
        <f ca="1">IFERROR(__xludf.DUMMYFUNCTION("GOOGLEFINANCE(""NSE:""&amp;D2934,""pe"")"),"#N/A")</f>
        <v>#N/A</v>
      </c>
      <c r="P2934" s="7" t="str">
        <f ca="1">IFERROR(__xludf.DUMMYFUNCTION("GOOGLEFINANCE(""NSE:""&amp;D2934,""EPS"")"),"#N/A")</f>
        <v>#N/A</v>
      </c>
      <c r="Q2934" s="7">
        <v>13.5</v>
      </c>
      <c r="R2934" s="7" t="str">
        <f ca="1">IFERROR(__xludf.DUMMYFUNCTION("IMPORTXML(E2934,""/html/body/main/div[3]/div[3]/div[2]/ul/li[7]/span[2]/span"")"),"Loading...")</f>
        <v>Loading...</v>
      </c>
      <c r="S2934" s="7" t="str">
        <f ca="1">IFERROR(__xludf.DUMMYFUNCTION("IMPORTXML(E2934,""/html/body/main/div[3]/div[3]/div[2]/ul/li[8]/span[2]/span"")"),"Loading...")</f>
        <v>Loading...</v>
      </c>
      <c r="T2934" s="4">
        <v>34.6</v>
      </c>
      <c r="U2934" s="4">
        <v>22.7</v>
      </c>
      <c r="V2934" s="4">
        <v>2.6</v>
      </c>
      <c r="W2934" s="4">
        <v>5.7</v>
      </c>
      <c r="X2934" s="4">
        <v>519.92999999999995</v>
      </c>
      <c r="Y2934" s="7" t="e">
        <f t="shared" ca="1" si="59"/>
        <v>#VALUE!</v>
      </c>
    </row>
    <row r="2935" spans="1:25" ht="15" x14ac:dyDescent="0.25">
      <c r="A2935" s="4">
        <v>2904</v>
      </c>
      <c r="C2935" s="41" t="s">
        <v>5242</v>
      </c>
      <c r="D2935" s="42"/>
      <c r="E2935" s="5" t="str">
        <f t="shared" si="55"/>
        <v>https://www.screener.in/company//consolidated/</v>
      </c>
      <c r="F2935" s="4">
        <v>443059</v>
      </c>
      <c r="G2935" s="4">
        <v>3832241897</v>
      </c>
      <c r="H2935" s="6" t="e">
        <f t="shared" ca="1" si="56"/>
        <v>#VALUE!</v>
      </c>
      <c r="I2935" s="7" t="str">
        <f ca="1">IFERROR(__xludf.DUMMYFUNCTION("IMPORTXML(E2935,""/html/body/main/div[3]/div[3]/div[2]/ul/li[5]/span[2]/span"")"),"Loading...")</f>
        <v>Loading...</v>
      </c>
      <c r="J2935" s="7" t="str">
        <f ca="1">IFERROR(__xludf.DUMMYFUNCTION("GOOGLEFINANCE(""NSE:""&amp;D2935,""marketcap"")"),"#N/A")</f>
        <v>#N/A</v>
      </c>
      <c r="K2935" s="7">
        <v>992.8</v>
      </c>
      <c r="L2935" s="8" t="str">
        <f ca="1">IFERROR(__xludf.DUMMYFUNCTION("GOOGLEFINANCE(""NSE:""&amp;D2935,""price"")"),"#N/A")</f>
        <v>#N/A</v>
      </c>
      <c r="M2935" s="9" t="e">
        <f t="shared" ca="1" si="57"/>
        <v>#VALUE!</v>
      </c>
      <c r="N2935" s="10" t="e">
        <f t="shared" ca="1" si="58"/>
        <v>#VALUE!</v>
      </c>
      <c r="O2935" s="7" t="str">
        <f ca="1">IFERROR(__xludf.DUMMYFUNCTION("GOOGLEFINANCE(""NSE:""&amp;D2935,""pe"")"),"#N/A")</f>
        <v>#N/A</v>
      </c>
      <c r="P2935" s="7" t="str">
        <f ca="1">IFERROR(__xludf.DUMMYFUNCTION("GOOGLEFINANCE(""NSE:""&amp;D2935,""EPS"")"),"#N/A")</f>
        <v>#N/A</v>
      </c>
      <c r="Q2935" s="7">
        <v>13.5</v>
      </c>
      <c r="R2935" s="7" t="str">
        <f ca="1">IFERROR(__xludf.DUMMYFUNCTION("IMPORTXML(E2935,""/html/body/main/div[3]/div[3]/div[2]/ul/li[7]/span[2]/span"")"),"Loading...")</f>
        <v>Loading...</v>
      </c>
      <c r="S2935" s="7" t="str">
        <f ca="1">IFERROR(__xludf.DUMMYFUNCTION("IMPORTXML(E2935,""/html/body/main/div[3]/div[3]/div[2]/ul/li[8]/span[2]/span"")"),"Loading...")</f>
        <v>Loading...</v>
      </c>
      <c r="T2935" s="4">
        <v>34.6</v>
      </c>
      <c r="U2935" s="4">
        <v>22.7</v>
      </c>
      <c r="V2935" s="4">
        <v>2.6</v>
      </c>
      <c r="W2935" s="4">
        <v>5.7</v>
      </c>
      <c r="X2935" s="4">
        <v>519.92999999999995</v>
      </c>
      <c r="Y2935" s="7" t="e">
        <f t="shared" ca="1" si="59"/>
        <v>#VALUE!</v>
      </c>
    </row>
    <row r="2936" spans="1:25" ht="15" x14ac:dyDescent="0.25">
      <c r="A2936" s="4">
        <v>2905</v>
      </c>
      <c r="C2936" s="41" t="s">
        <v>5243</v>
      </c>
      <c r="D2936" s="42"/>
      <c r="E2936" s="5" t="str">
        <f t="shared" si="55"/>
        <v>https://www.screener.in/company//consolidated/</v>
      </c>
      <c r="F2936" s="4">
        <v>443059</v>
      </c>
      <c r="G2936" s="4">
        <v>3832241897</v>
      </c>
      <c r="H2936" s="6" t="e">
        <f t="shared" ca="1" si="56"/>
        <v>#VALUE!</v>
      </c>
      <c r="I2936" s="7" t="str">
        <f ca="1">IFERROR(__xludf.DUMMYFUNCTION("IMPORTXML(E2936,""/html/body/main/div[3]/div[3]/div[2]/ul/li[5]/span[2]/span"")"),"Loading...")</f>
        <v>Loading...</v>
      </c>
      <c r="J2936" s="7" t="str">
        <f ca="1">IFERROR(__xludf.DUMMYFUNCTION("GOOGLEFINANCE(""NSE:""&amp;D2936,""marketcap"")"),"#N/A")</f>
        <v>#N/A</v>
      </c>
      <c r="K2936" s="7">
        <v>992.8</v>
      </c>
      <c r="L2936" s="8" t="str">
        <f ca="1">IFERROR(__xludf.DUMMYFUNCTION("GOOGLEFINANCE(""NSE:""&amp;D2936,""price"")"),"#N/A")</f>
        <v>#N/A</v>
      </c>
      <c r="M2936" s="9" t="e">
        <f t="shared" ca="1" si="57"/>
        <v>#VALUE!</v>
      </c>
      <c r="N2936" s="10" t="e">
        <f t="shared" ca="1" si="58"/>
        <v>#VALUE!</v>
      </c>
      <c r="O2936" s="7" t="str">
        <f ca="1">IFERROR(__xludf.DUMMYFUNCTION("GOOGLEFINANCE(""NSE:""&amp;D2936,""pe"")"),"#N/A")</f>
        <v>#N/A</v>
      </c>
      <c r="P2936" s="7" t="str">
        <f ca="1">IFERROR(__xludf.DUMMYFUNCTION("GOOGLEFINANCE(""NSE:""&amp;D2936,""EPS"")"),"#N/A")</f>
        <v>#N/A</v>
      </c>
      <c r="Q2936" s="7">
        <v>13.5</v>
      </c>
      <c r="R2936" s="7" t="str">
        <f ca="1">IFERROR(__xludf.DUMMYFUNCTION("IMPORTXML(E2936,""/html/body/main/div[3]/div[3]/div[2]/ul/li[7]/span[2]/span"")"),"Loading...")</f>
        <v>Loading...</v>
      </c>
      <c r="S2936" s="7" t="str">
        <f ca="1">IFERROR(__xludf.DUMMYFUNCTION("IMPORTXML(E2936,""/html/body/main/div[3]/div[3]/div[2]/ul/li[8]/span[2]/span"")"),"Loading...")</f>
        <v>Loading...</v>
      </c>
      <c r="T2936" s="4">
        <v>34.6</v>
      </c>
      <c r="U2936" s="4">
        <v>22.7</v>
      </c>
      <c r="V2936" s="4">
        <v>2.6</v>
      </c>
      <c r="W2936" s="4">
        <v>5.7</v>
      </c>
      <c r="X2936" s="4">
        <v>519.92999999999995</v>
      </c>
      <c r="Y2936" s="7" t="e">
        <f t="shared" ca="1" si="59"/>
        <v>#VALUE!</v>
      </c>
    </row>
    <row r="2937" spans="1:25" ht="15" x14ac:dyDescent="0.25">
      <c r="A2937" s="4">
        <v>2906</v>
      </c>
      <c r="C2937" s="41" t="s">
        <v>5244</v>
      </c>
      <c r="D2937" s="42"/>
      <c r="E2937" s="5" t="str">
        <f t="shared" si="55"/>
        <v>https://www.screener.in/company//consolidated/</v>
      </c>
      <c r="F2937" s="4">
        <v>443059</v>
      </c>
      <c r="G2937" s="4">
        <v>3832241897</v>
      </c>
      <c r="H2937" s="6" t="e">
        <f t="shared" ca="1" si="56"/>
        <v>#VALUE!</v>
      </c>
      <c r="I2937" s="7" t="str">
        <f ca="1">IFERROR(__xludf.DUMMYFUNCTION("IMPORTXML(E2937,""/html/body/main/div[3]/div[3]/div[2]/ul/li[5]/span[2]/span"")"),"Loading...")</f>
        <v>Loading...</v>
      </c>
      <c r="J2937" s="7" t="str">
        <f ca="1">IFERROR(__xludf.DUMMYFUNCTION("GOOGLEFINANCE(""NSE:""&amp;D2937,""marketcap"")"),"#N/A")</f>
        <v>#N/A</v>
      </c>
      <c r="K2937" s="7">
        <v>992.8</v>
      </c>
      <c r="L2937" s="8" t="str">
        <f ca="1">IFERROR(__xludf.DUMMYFUNCTION("GOOGLEFINANCE(""NSE:""&amp;D2937,""price"")"),"#N/A")</f>
        <v>#N/A</v>
      </c>
      <c r="M2937" s="9" t="e">
        <f t="shared" ca="1" si="57"/>
        <v>#VALUE!</v>
      </c>
      <c r="N2937" s="10" t="e">
        <f t="shared" ca="1" si="58"/>
        <v>#VALUE!</v>
      </c>
      <c r="O2937" s="7" t="str">
        <f ca="1">IFERROR(__xludf.DUMMYFUNCTION("GOOGLEFINANCE(""NSE:""&amp;D2937,""pe"")"),"#N/A")</f>
        <v>#N/A</v>
      </c>
      <c r="P2937" s="7" t="str">
        <f ca="1">IFERROR(__xludf.DUMMYFUNCTION("GOOGLEFINANCE(""NSE:""&amp;D2937,""EPS"")"),"#N/A")</f>
        <v>#N/A</v>
      </c>
      <c r="Q2937" s="7">
        <v>13.5</v>
      </c>
      <c r="R2937" s="7" t="str">
        <f ca="1">IFERROR(__xludf.DUMMYFUNCTION("IMPORTXML(E2937,""/html/body/main/div[3]/div[3]/div[2]/ul/li[7]/span[2]/span"")"),"Loading...")</f>
        <v>Loading...</v>
      </c>
      <c r="S2937" s="7" t="str">
        <f ca="1">IFERROR(__xludf.DUMMYFUNCTION("IMPORTXML(E2937,""/html/body/main/div[3]/div[3]/div[2]/ul/li[8]/span[2]/span"")"),"Loading...")</f>
        <v>Loading...</v>
      </c>
      <c r="T2937" s="4">
        <v>34.6</v>
      </c>
      <c r="U2937" s="4">
        <v>22.7</v>
      </c>
      <c r="V2937" s="4">
        <v>2.6</v>
      </c>
      <c r="W2937" s="4">
        <v>5.7</v>
      </c>
      <c r="X2937" s="4">
        <v>519.92999999999995</v>
      </c>
      <c r="Y2937" s="7" t="e">
        <f t="shared" ca="1" si="59"/>
        <v>#VALUE!</v>
      </c>
    </row>
    <row r="2938" spans="1:25" ht="15" x14ac:dyDescent="0.25">
      <c r="A2938" s="4">
        <v>2907</v>
      </c>
      <c r="C2938" s="41" t="s">
        <v>5245</v>
      </c>
      <c r="D2938" s="42"/>
      <c r="E2938" s="5" t="str">
        <f t="shared" si="55"/>
        <v>https://www.screener.in/company//consolidated/</v>
      </c>
      <c r="F2938" s="4">
        <v>443059</v>
      </c>
      <c r="G2938" s="4">
        <v>3832241897</v>
      </c>
      <c r="H2938" s="6" t="e">
        <f t="shared" ca="1" si="56"/>
        <v>#VALUE!</v>
      </c>
      <c r="I2938" s="7" t="str">
        <f ca="1">IFERROR(__xludf.DUMMYFUNCTION("IMPORTXML(E2938,""/html/body/main/div[3]/div[3]/div[2]/ul/li[5]/span[2]/span"")"),"Loading...")</f>
        <v>Loading...</v>
      </c>
      <c r="J2938" s="7" t="str">
        <f ca="1">IFERROR(__xludf.DUMMYFUNCTION("GOOGLEFINANCE(""NSE:""&amp;D2938,""marketcap"")"),"#N/A")</f>
        <v>#N/A</v>
      </c>
      <c r="K2938" s="7">
        <v>992.8</v>
      </c>
      <c r="L2938" s="8" t="str">
        <f ca="1">IFERROR(__xludf.DUMMYFUNCTION("GOOGLEFINANCE(""NSE:""&amp;D2938,""price"")"),"#N/A")</f>
        <v>#N/A</v>
      </c>
      <c r="M2938" s="9" t="e">
        <f t="shared" ca="1" si="57"/>
        <v>#VALUE!</v>
      </c>
      <c r="N2938" s="10" t="e">
        <f t="shared" ca="1" si="58"/>
        <v>#VALUE!</v>
      </c>
      <c r="O2938" s="7" t="str">
        <f ca="1">IFERROR(__xludf.DUMMYFUNCTION("GOOGLEFINANCE(""NSE:""&amp;D2938,""pe"")"),"#N/A")</f>
        <v>#N/A</v>
      </c>
      <c r="P2938" s="7" t="str">
        <f ca="1">IFERROR(__xludf.DUMMYFUNCTION("GOOGLEFINANCE(""NSE:""&amp;D2938,""EPS"")"),"#N/A")</f>
        <v>#N/A</v>
      </c>
      <c r="Q2938" s="7">
        <v>13.5</v>
      </c>
      <c r="R2938" s="7" t="str">
        <f ca="1">IFERROR(__xludf.DUMMYFUNCTION("IMPORTXML(E2938,""/html/body/main/div[3]/div[3]/div[2]/ul/li[7]/span[2]/span"")"),"Loading...")</f>
        <v>Loading...</v>
      </c>
      <c r="S2938" s="7" t="str">
        <f ca="1">IFERROR(__xludf.DUMMYFUNCTION("IMPORTXML(E2938,""/html/body/main/div[3]/div[3]/div[2]/ul/li[8]/span[2]/span"")"),"Loading...")</f>
        <v>Loading...</v>
      </c>
      <c r="T2938" s="4">
        <v>34.6</v>
      </c>
      <c r="U2938" s="4">
        <v>22.7</v>
      </c>
      <c r="V2938" s="4">
        <v>2.6</v>
      </c>
      <c r="W2938" s="4">
        <v>5.7</v>
      </c>
      <c r="X2938" s="4">
        <v>519.92999999999995</v>
      </c>
      <c r="Y2938" s="7" t="e">
        <f t="shared" ca="1" si="59"/>
        <v>#VALUE!</v>
      </c>
    </row>
    <row r="2939" spans="1:25" ht="15" x14ac:dyDescent="0.25">
      <c r="A2939" s="4">
        <v>2908</v>
      </c>
      <c r="C2939" s="41" t="s">
        <v>5246</v>
      </c>
      <c r="D2939" s="42"/>
      <c r="E2939" s="5" t="str">
        <f t="shared" si="55"/>
        <v>https://www.screener.in/company//consolidated/</v>
      </c>
      <c r="F2939" s="4">
        <v>443059</v>
      </c>
      <c r="G2939" s="4">
        <v>3832241897</v>
      </c>
      <c r="H2939" s="6" t="e">
        <f t="shared" ca="1" si="56"/>
        <v>#VALUE!</v>
      </c>
      <c r="I2939" s="7" t="str">
        <f ca="1">IFERROR(__xludf.DUMMYFUNCTION("IMPORTXML(E2939,""/html/body/main/div[3]/div[3]/div[2]/ul/li[5]/span[2]/span"")"),"Loading...")</f>
        <v>Loading...</v>
      </c>
      <c r="J2939" s="7" t="str">
        <f ca="1">IFERROR(__xludf.DUMMYFUNCTION("GOOGLEFINANCE(""NSE:""&amp;D2939,""marketcap"")"),"#N/A")</f>
        <v>#N/A</v>
      </c>
      <c r="K2939" s="7">
        <v>992.8</v>
      </c>
      <c r="L2939" s="8" t="str">
        <f ca="1">IFERROR(__xludf.DUMMYFUNCTION("GOOGLEFINANCE(""NSE:""&amp;D2939,""price"")"),"#N/A")</f>
        <v>#N/A</v>
      </c>
      <c r="M2939" s="9" t="e">
        <f t="shared" ca="1" si="57"/>
        <v>#VALUE!</v>
      </c>
      <c r="N2939" s="10" t="e">
        <f t="shared" ca="1" si="58"/>
        <v>#VALUE!</v>
      </c>
      <c r="O2939" s="7" t="str">
        <f ca="1">IFERROR(__xludf.DUMMYFUNCTION("GOOGLEFINANCE(""NSE:""&amp;D2939,""pe"")"),"#N/A")</f>
        <v>#N/A</v>
      </c>
      <c r="P2939" s="7" t="str">
        <f ca="1">IFERROR(__xludf.DUMMYFUNCTION("GOOGLEFINANCE(""NSE:""&amp;D2939,""EPS"")"),"#N/A")</f>
        <v>#N/A</v>
      </c>
      <c r="Q2939" s="7">
        <v>13.5</v>
      </c>
      <c r="R2939" s="7" t="str">
        <f ca="1">IFERROR(__xludf.DUMMYFUNCTION("IMPORTXML(E2939,""/html/body/main/div[3]/div[3]/div[2]/ul/li[7]/span[2]/span"")"),"Loading...")</f>
        <v>Loading...</v>
      </c>
      <c r="S2939" s="7" t="str">
        <f ca="1">IFERROR(__xludf.DUMMYFUNCTION("IMPORTXML(E2939,""/html/body/main/div[3]/div[3]/div[2]/ul/li[8]/span[2]/span"")"),"Loading...")</f>
        <v>Loading...</v>
      </c>
      <c r="T2939" s="4">
        <v>34.6</v>
      </c>
      <c r="U2939" s="4">
        <v>22.7</v>
      </c>
      <c r="V2939" s="4">
        <v>2.6</v>
      </c>
      <c r="W2939" s="4">
        <v>5.7</v>
      </c>
      <c r="X2939" s="4">
        <v>519.92999999999995</v>
      </c>
      <c r="Y2939" s="7" t="e">
        <f t="shared" ca="1" si="59"/>
        <v>#VALUE!</v>
      </c>
    </row>
    <row r="2940" spans="1:25" ht="15" x14ac:dyDescent="0.25">
      <c r="A2940" s="4">
        <v>2909</v>
      </c>
      <c r="C2940" s="41" t="s">
        <v>5247</v>
      </c>
      <c r="D2940" s="42"/>
      <c r="E2940" s="5" t="str">
        <f t="shared" si="55"/>
        <v>https://www.screener.in/company//consolidated/</v>
      </c>
      <c r="F2940" s="4">
        <v>443059</v>
      </c>
      <c r="G2940" s="4">
        <v>3832241897</v>
      </c>
      <c r="H2940" s="6" t="e">
        <f t="shared" ca="1" si="56"/>
        <v>#VALUE!</v>
      </c>
      <c r="I2940" s="7" t="str">
        <f ca="1">IFERROR(__xludf.DUMMYFUNCTION("IMPORTXML(E2940,""/html/body/main/div[3]/div[3]/div[2]/ul/li[5]/span[2]/span"")"),"Loading...")</f>
        <v>Loading...</v>
      </c>
      <c r="J2940" s="7" t="str">
        <f ca="1">IFERROR(__xludf.DUMMYFUNCTION("GOOGLEFINANCE(""NSE:""&amp;D2940,""marketcap"")"),"#N/A")</f>
        <v>#N/A</v>
      </c>
      <c r="K2940" s="7">
        <v>992.8</v>
      </c>
      <c r="L2940" s="8" t="str">
        <f ca="1">IFERROR(__xludf.DUMMYFUNCTION("GOOGLEFINANCE(""NSE:""&amp;D2940,""price"")"),"#N/A")</f>
        <v>#N/A</v>
      </c>
      <c r="M2940" s="9" t="e">
        <f t="shared" ca="1" si="57"/>
        <v>#VALUE!</v>
      </c>
      <c r="N2940" s="10" t="e">
        <f t="shared" ca="1" si="58"/>
        <v>#VALUE!</v>
      </c>
      <c r="O2940" s="7" t="str">
        <f ca="1">IFERROR(__xludf.DUMMYFUNCTION("GOOGLEFINANCE(""NSE:""&amp;D2940,""pe"")"),"#N/A")</f>
        <v>#N/A</v>
      </c>
      <c r="P2940" s="7" t="str">
        <f ca="1">IFERROR(__xludf.DUMMYFUNCTION("GOOGLEFINANCE(""NSE:""&amp;D2940,""EPS"")"),"#N/A")</f>
        <v>#N/A</v>
      </c>
      <c r="Q2940" s="7">
        <v>13.5</v>
      </c>
      <c r="R2940" s="7" t="str">
        <f ca="1">IFERROR(__xludf.DUMMYFUNCTION("IMPORTXML(E2940,""/html/body/main/div[3]/div[3]/div[2]/ul/li[7]/span[2]/span"")"),"Loading...")</f>
        <v>Loading...</v>
      </c>
      <c r="S2940" s="7" t="str">
        <f ca="1">IFERROR(__xludf.DUMMYFUNCTION("IMPORTXML(E2940,""/html/body/main/div[3]/div[3]/div[2]/ul/li[8]/span[2]/span"")"),"Loading...")</f>
        <v>Loading...</v>
      </c>
      <c r="T2940" s="4">
        <v>34.6</v>
      </c>
      <c r="U2940" s="4">
        <v>22.7</v>
      </c>
      <c r="V2940" s="4">
        <v>2.6</v>
      </c>
      <c r="W2940" s="4">
        <v>5.7</v>
      </c>
      <c r="X2940" s="4">
        <v>519.92999999999995</v>
      </c>
      <c r="Y2940" s="7" t="e">
        <f t="shared" ca="1" si="59"/>
        <v>#VALUE!</v>
      </c>
    </row>
    <row r="2941" spans="1:25" ht="15" x14ac:dyDescent="0.25">
      <c r="A2941" s="4">
        <v>2910</v>
      </c>
      <c r="C2941" s="41" t="s">
        <v>5248</v>
      </c>
      <c r="D2941" s="42"/>
      <c r="E2941" s="5" t="str">
        <f t="shared" si="55"/>
        <v>https://www.screener.in/company//consolidated/</v>
      </c>
      <c r="F2941" s="4">
        <v>443059</v>
      </c>
      <c r="G2941" s="4">
        <v>3832241897</v>
      </c>
      <c r="H2941" s="6" t="e">
        <f t="shared" ca="1" si="56"/>
        <v>#VALUE!</v>
      </c>
      <c r="I2941" s="7" t="str">
        <f ca="1">IFERROR(__xludf.DUMMYFUNCTION("IMPORTXML(E2941,""/html/body/main/div[3]/div[3]/div[2]/ul/li[5]/span[2]/span"")"),"Loading...")</f>
        <v>Loading...</v>
      </c>
      <c r="J2941" s="7" t="str">
        <f ca="1">IFERROR(__xludf.DUMMYFUNCTION("GOOGLEFINANCE(""NSE:""&amp;D2941,""marketcap"")"),"#N/A")</f>
        <v>#N/A</v>
      </c>
      <c r="K2941" s="7">
        <v>992.8</v>
      </c>
      <c r="L2941" s="8" t="str">
        <f ca="1">IFERROR(__xludf.DUMMYFUNCTION("GOOGLEFINANCE(""NSE:""&amp;D2941,""price"")"),"#N/A")</f>
        <v>#N/A</v>
      </c>
      <c r="M2941" s="9" t="e">
        <f t="shared" ca="1" si="57"/>
        <v>#VALUE!</v>
      </c>
      <c r="N2941" s="10" t="e">
        <f t="shared" ca="1" si="58"/>
        <v>#VALUE!</v>
      </c>
      <c r="O2941" s="7" t="str">
        <f ca="1">IFERROR(__xludf.DUMMYFUNCTION("GOOGLEFINANCE(""NSE:""&amp;D2941,""pe"")"),"#N/A")</f>
        <v>#N/A</v>
      </c>
      <c r="P2941" s="7" t="str">
        <f ca="1">IFERROR(__xludf.DUMMYFUNCTION("GOOGLEFINANCE(""NSE:""&amp;D2941,""EPS"")"),"#N/A")</f>
        <v>#N/A</v>
      </c>
      <c r="Q2941" s="7">
        <v>13.5</v>
      </c>
      <c r="R2941" s="7" t="str">
        <f ca="1">IFERROR(__xludf.DUMMYFUNCTION("IMPORTXML(E2941,""/html/body/main/div[3]/div[3]/div[2]/ul/li[7]/span[2]/span"")"),"Loading...")</f>
        <v>Loading...</v>
      </c>
      <c r="S2941" s="7" t="str">
        <f ca="1">IFERROR(__xludf.DUMMYFUNCTION("IMPORTXML(E2941,""/html/body/main/div[3]/div[3]/div[2]/ul/li[8]/span[2]/span"")"),"Loading...")</f>
        <v>Loading...</v>
      </c>
      <c r="T2941" s="4">
        <v>34.6</v>
      </c>
      <c r="U2941" s="4">
        <v>22.7</v>
      </c>
      <c r="V2941" s="4">
        <v>2.6</v>
      </c>
      <c r="W2941" s="4">
        <v>5.7</v>
      </c>
      <c r="X2941" s="4">
        <v>519.92999999999995</v>
      </c>
      <c r="Y2941" s="7" t="e">
        <f t="shared" ca="1" si="59"/>
        <v>#VALUE!</v>
      </c>
    </row>
    <row r="2942" spans="1:25" ht="15" x14ac:dyDescent="0.25">
      <c r="A2942" s="4">
        <v>2911</v>
      </c>
      <c r="C2942" s="12" t="s">
        <v>5249</v>
      </c>
      <c r="D2942" s="12" t="s">
        <v>5250</v>
      </c>
      <c r="E2942" s="5" t="str">
        <f t="shared" si="55"/>
        <v>https://www.screener.in/company/ANKITMETAL/consolidated/</v>
      </c>
      <c r="F2942" s="4">
        <v>443059</v>
      </c>
      <c r="G2942" s="4">
        <v>3832241897</v>
      </c>
      <c r="H2942" s="6">
        <f t="shared" ca="1" si="56"/>
        <v>739.62268612100002</v>
      </c>
      <c r="I2942" s="7" t="str">
        <f ca="1">IFERROR(__xludf.DUMMYFUNCTION("IMPORTXML(E2942,""/html/body/main/div[3]/div[3]/div[2]/ul/li[5]/span[2]/span"")"),"Loading...")</f>
        <v>Loading...</v>
      </c>
      <c r="J2942" s="7">
        <f ca="1">IFERROR(__xludf.DUMMYFUNCTION("GOOGLEFINANCE(""NSE:""&amp;D2942,""marketcap"")"),267632302)</f>
        <v>267632302</v>
      </c>
      <c r="K2942" s="7">
        <v>992.8</v>
      </c>
      <c r="L2942" s="8">
        <f ca="1">IFERROR(__xludf.DUMMYFUNCTION("GOOGLEFINANCE(""NSE:""&amp;D2942,""price"")"),1.93)</f>
        <v>1.93</v>
      </c>
      <c r="M2942" s="9">
        <f t="shared" ca="1" si="57"/>
        <v>-990.87</v>
      </c>
      <c r="N2942" s="10">
        <f t="shared" ca="1" si="58"/>
        <v>-99.805600322320714</v>
      </c>
      <c r="O2942" s="7" t="str">
        <f ca="1">IFERROR(__xludf.DUMMYFUNCTION("GOOGLEFINANCE(""NSE:""&amp;D2942,""pe"")"),"#N/A")</f>
        <v>#N/A</v>
      </c>
      <c r="P2942" s="7" t="str">
        <f ca="1">IFERROR(__xludf.DUMMYFUNCTION("GOOGLEFINANCE(""NSE:""&amp;D2942,""EPS"")"),"#N/A")</f>
        <v>#N/A</v>
      </c>
      <c r="Q2942" s="7">
        <v>13.5</v>
      </c>
      <c r="R2942" s="7" t="str">
        <f ca="1">IFERROR(__xludf.DUMMYFUNCTION("IMPORTXML(E2942,""/html/body/main/div[3]/div[3]/div[2]/ul/li[7]/span[2]/span"")"),"Loading...")</f>
        <v>Loading...</v>
      </c>
      <c r="S2942" s="7" t="str">
        <f ca="1">IFERROR(__xludf.DUMMYFUNCTION("IMPORTXML(E2942,""/html/body/main/div[3]/div[3]/div[2]/ul/li[8]/span[2]/span"")"),"Loading...")</f>
        <v>Loading...</v>
      </c>
      <c r="T2942" s="4">
        <v>34.6</v>
      </c>
      <c r="U2942" s="4">
        <v>22.7</v>
      </c>
      <c r="V2942" s="4">
        <v>2.6</v>
      </c>
      <c r="W2942" s="4">
        <v>5.7</v>
      </c>
      <c r="X2942" s="4">
        <v>519.92999999999995</v>
      </c>
      <c r="Y2942" s="7">
        <f t="shared" ca="1" si="59"/>
        <v>-518</v>
      </c>
    </row>
    <row r="2943" spans="1:25" ht="15" x14ac:dyDescent="0.25">
      <c r="A2943" s="4">
        <v>2912</v>
      </c>
      <c r="C2943" s="41" t="s">
        <v>5251</v>
      </c>
      <c r="D2943" s="42"/>
      <c r="E2943" s="5" t="str">
        <f t="shared" si="55"/>
        <v>https://www.screener.in/company//consolidated/</v>
      </c>
      <c r="F2943" s="4">
        <v>443059</v>
      </c>
      <c r="G2943" s="4">
        <v>3832241897</v>
      </c>
      <c r="H2943" s="6" t="e">
        <f t="shared" ca="1" si="56"/>
        <v>#VALUE!</v>
      </c>
      <c r="I2943" s="7" t="str">
        <f ca="1">IFERROR(__xludf.DUMMYFUNCTION("IMPORTXML(E2943,""/html/body/main/div[3]/div[3]/div[2]/ul/li[5]/span[2]/span"")"),"Loading...")</f>
        <v>Loading...</v>
      </c>
      <c r="J2943" s="7" t="str">
        <f ca="1">IFERROR(__xludf.DUMMYFUNCTION("GOOGLEFINANCE(""NSE:""&amp;D2943,""marketcap"")"),"#N/A")</f>
        <v>#N/A</v>
      </c>
      <c r="K2943" s="7">
        <v>992.8</v>
      </c>
      <c r="L2943" s="8" t="str">
        <f ca="1">IFERROR(__xludf.DUMMYFUNCTION("GOOGLEFINANCE(""NSE:""&amp;D2943,""price"")"),"#N/A")</f>
        <v>#N/A</v>
      </c>
      <c r="M2943" s="9" t="e">
        <f t="shared" ca="1" si="57"/>
        <v>#VALUE!</v>
      </c>
      <c r="N2943" s="10" t="e">
        <f t="shared" ca="1" si="58"/>
        <v>#VALUE!</v>
      </c>
      <c r="O2943" s="7" t="str">
        <f ca="1">IFERROR(__xludf.DUMMYFUNCTION("GOOGLEFINANCE(""NSE:""&amp;D2943,""pe"")"),"#N/A")</f>
        <v>#N/A</v>
      </c>
      <c r="P2943" s="7" t="str">
        <f ca="1">IFERROR(__xludf.DUMMYFUNCTION("GOOGLEFINANCE(""NSE:""&amp;D2943,""EPS"")"),"#N/A")</f>
        <v>#N/A</v>
      </c>
      <c r="Q2943" s="7">
        <v>13.5</v>
      </c>
      <c r="R2943" s="7" t="str">
        <f ca="1">IFERROR(__xludf.DUMMYFUNCTION("IMPORTXML(E2943,""/html/body/main/div[3]/div[3]/div[2]/ul/li[7]/span[2]/span"")"),"Loading...")</f>
        <v>Loading...</v>
      </c>
      <c r="S2943" s="7" t="str">
        <f ca="1">IFERROR(__xludf.DUMMYFUNCTION("IMPORTXML(E2943,""/html/body/main/div[3]/div[3]/div[2]/ul/li[8]/span[2]/span"")"),"Loading...")</f>
        <v>Loading...</v>
      </c>
      <c r="T2943" s="4">
        <v>34.6</v>
      </c>
      <c r="U2943" s="4">
        <v>22.7</v>
      </c>
      <c r="V2943" s="4">
        <v>2.6</v>
      </c>
      <c r="W2943" s="4">
        <v>5.7</v>
      </c>
      <c r="X2943" s="4">
        <v>519.92999999999995</v>
      </c>
      <c r="Y2943" s="7" t="e">
        <f t="shared" ca="1" si="59"/>
        <v>#VALUE!</v>
      </c>
    </row>
    <row r="2944" spans="1:25" ht="15" x14ac:dyDescent="0.25">
      <c r="A2944" s="4">
        <v>2913</v>
      </c>
      <c r="C2944" s="41" t="s">
        <v>5252</v>
      </c>
      <c r="D2944" s="42"/>
      <c r="E2944" s="5" t="str">
        <f t="shared" si="55"/>
        <v>https://www.screener.in/company//consolidated/</v>
      </c>
      <c r="F2944" s="4">
        <v>443059</v>
      </c>
      <c r="G2944" s="4">
        <v>3832241897</v>
      </c>
      <c r="H2944" s="6" t="e">
        <f t="shared" ca="1" si="56"/>
        <v>#VALUE!</v>
      </c>
      <c r="I2944" s="7" t="str">
        <f ca="1">IFERROR(__xludf.DUMMYFUNCTION("IMPORTXML(E2944,""/html/body/main/div[3]/div[3]/div[2]/ul/li[5]/span[2]/span"")"),"Loading...")</f>
        <v>Loading...</v>
      </c>
      <c r="J2944" s="7" t="str">
        <f ca="1">IFERROR(__xludf.DUMMYFUNCTION("GOOGLEFINANCE(""NSE:""&amp;D2944,""marketcap"")"),"#N/A")</f>
        <v>#N/A</v>
      </c>
      <c r="K2944" s="7">
        <v>992.8</v>
      </c>
      <c r="L2944" s="8" t="str">
        <f ca="1">IFERROR(__xludf.DUMMYFUNCTION("GOOGLEFINANCE(""NSE:""&amp;D2944,""price"")"),"#N/A")</f>
        <v>#N/A</v>
      </c>
      <c r="M2944" s="9" t="e">
        <f t="shared" ca="1" si="57"/>
        <v>#VALUE!</v>
      </c>
      <c r="N2944" s="10" t="e">
        <f t="shared" ca="1" si="58"/>
        <v>#VALUE!</v>
      </c>
      <c r="O2944" s="7" t="str">
        <f ca="1">IFERROR(__xludf.DUMMYFUNCTION("GOOGLEFINANCE(""NSE:""&amp;D2944,""pe"")"),"#N/A")</f>
        <v>#N/A</v>
      </c>
      <c r="P2944" s="7" t="str">
        <f ca="1">IFERROR(__xludf.DUMMYFUNCTION("GOOGLEFINANCE(""NSE:""&amp;D2944,""EPS"")"),"#N/A")</f>
        <v>#N/A</v>
      </c>
      <c r="Q2944" s="7">
        <v>13.5</v>
      </c>
      <c r="R2944" s="7" t="str">
        <f ca="1">IFERROR(__xludf.DUMMYFUNCTION("IMPORTXML(E2944,""/html/body/main/div[3]/div[3]/div[2]/ul/li[7]/span[2]/span"")"),"Loading...")</f>
        <v>Loading...</v>
      </c>
      <c r="S2944" s="7" t="str">
        <f ca="1">IFERROR(__xludf.DUMMYFUNCTION("IMPORTXML(E2944,""/html/body/main/div[3]/div[3]/div[2]/ul/li[8]/span[2]/span"")"),"Loading...")</f>
        <v>Loading...</v>
      </c>
      <c r="T2944" s="4">
        <v>34.6</v>
      </c>
      <c r="U2944" s="4">
        <v>22.7</v>
      </c>
      <c r="V2944" s="4">
        <v>2.6</v>
      </c>
      <c r="W2944" s="4">
        <v>5.7</v>
      </c>
      <c r="X2944" s="4">
        <v>519.92999999999995</v>
      </c>
      <c r="Y2944" s="7" t="e">
        <f t="shared" ca="1" si="59"/>
        <v>#VALUE!</v>
      </c>
    </row>
    <row r="2945" spans="1:25" ht="15" x14ac:dyDescent="0.25">
      <c r="A2945" s="4">
        <v>2914</v>
      </c>
      <c r="C2945" s="41" t="s">
        <v>5253</v>
      </c>
      <c r="D2945" s="42"/>
      <c r="E2945" s="5" t="str">
        <f t="shared" si="55"/>
        <v>https://www.screener.in/company//consolidated/</v>
      </c>
      <c r="F2945" s="4">
        <v>443059</v>
      </c>
      <c r="G2945" s="4">
        <v>3832241897</v>
      </c>
      <c r="H2945" s="6" t="e">
        <f t="shared" ca="1" si="56"/>
        <v>#VALUE!</v>
      </c>
      <c r="I2945" s="7" t="str">
        <f ca="1">IFERROR(__xludf.DUMMYFUNCTION("IMPORTXML(E2945,""/html/body/main/div[3]/div[3]/div[2]/ul/li[5]/span[2]/span"")"),"Loading...")</f>
        <v>Loading...</v>
      </c>
      <c r="J2945" s="7" t="str">
        <f ca="1">IFERROR(__xludf.DUMMYFUNCTION("GOOGLEFINANCE(""NSE:""&amp;D2945,""marketcap"")"),"#N/A")</f>
        <v>#N/A</v>
      </c>
      <c r="K2945" s="7">
        <v>992.8</v>
      </c>
      <c r="L2945" s="8" t="str">
        <f ca="1">IFERROR(__xludf.DUMMYFUNCTION("GOOGLEFINANCE(""NSE:""&amp;D2945,""price"")"),"#N/A")</f>
        <v>#N/A</v>
      </c>
      <c r="M2945" s="9" t="e">
        <f t="shared" ca="1" si="57"/>
        <v>#VALUE!</v>
      </c>
      <c r="N2945" s="10" t="e">
        <f t="shared" ca="1" si="58"/>
        <v>#VALUE!</v>
      </c>
      <c r="O2945" s="7" t="str">
        <f ca="1">IFERROR(__xludf.DUMMYFUNCTION("GOOGLEFINANCE(""NSE:""&amp;D2945,""pe"")"),"#N/A")</f>
        <v>#N/A</v>
      </c>
      <c r="P2945" s="7" t="str">
        <f ca="1">IFERROR(__xludf.DUMMYFUNCTION("GOOGLEFINANCE(""NSE:""&amp;D2945,""EPS"")"),"#N/A")</f>
        <v>#N/A</v>
      </c>
      <c r="Q2945" s="7">
        <v>13.5</v>
      </c>
      <c r="R2945" s="7" t="str">
        <f ca="1">IFERROR(__xludf.DUMMYFUNCTION("IMPORTXML(E2945,""/html/body/main/div[3]/div[3]/div[2]/ul/li[7]/span[2]/span"")"),"Loading...")</f>
        <v>Loading...</v>
      </c>
      <c r="S2945" s="7" t="str">
        <f ca="1">IFERROR(__xludf.DUMMYFUNCTION("IMPORTXML(E2945,""/html/body/main/div[3]/div[3]/div[2]/ul/li[8]/span[2]/span"")"),"Loading...")</f>
        <v>Loading...</v>
      </c>
      <c r="T2945" s="4">
        <v>34.6</v>
      </c>
      <c r="U2945" s="4">
        <v>22.7</v>
      </c>
      <c r="V2945" s="4">
        <v>2.6</v>
      </c>
      <c r="W2945" s="4">
        <v>5.7</v>
      </c>
      <c r="X2945" s="4">
        <v>519.92999999999995</v>
      </c>
      <c r="Y2945" s="7" t="e">
        <f t="shared" ca="1" si="59"/>
        <v>#VALUE!</v>
      </c>
    </row>
    <row r="2946" spans="1:25" ht="15" x14ac:dyDescent="0.25">
      <c r="A2946" s="4">
        <v>2916</v>
      </c>
      <c r="C2946" s="41" t="s">
        <v>5254</v>
      </c>
      <c r="D2946" s="42"/>
      <c r="E2946" s="5" t="str">
        <f t="shared" si="55"/>
        <v>https://www.screener.in/company//consolidated/</v>
      </c>
      <c r="F2946" s="4">
        <v>443059</v>
      </c>
      <c r="G2946" s="4">
        <v>3832241897</v>
      </c>
      <c r="H2946" s="6" t="e">
        <f t="shared" ca="1" si="56"/>
        <v>#VALUE!</v>
      </c>
      <c r="I2946" s="7" t="str">
        <f ca="1">IFERROR(__xludf.DUMMYFUNCTION("IMPORTXML(E2946,""/html/body/main/div[3]/div[3]/div[2]/ul/li[5]/span[2]/span"")"),"Loading...")</f>
        <v>Loading...</v>
      </c>
      <c r="J2946" s="7" t="str">
        <f ca="1">IFERROR(__xludf.DUMMYFUNCTION("GOOGLEFINANCE(""NSE:""&amp;D2946,""marketcap"")"),"#N/A")</f>
        <v>#N/A</v>
      </c>
      <c r="K2946" s="7">
        <v>992.8</v>
      </c>
      <c r="L2946" s="8" t="str">
        <f ca="1">IFERROR(__xludf.DUMMYFUNCTION("GOOGLEFINANCE(""NSE:""&amp;D2946,""price"")"),"#N/A")</f>
        <v>#N/A</v>
      </c>
      <c r="M2946" s="9" t="e">
        <f t="shared" ca="1" si="57"/>
        <v>#VALUE!</v>
      </c>
      <c r="N2946" s="10" t="e">
        <f t="shared" ca="1" si="58"/>
        <v>#VALUE!</v>
      </c>
      <c r="O2946" s="7" t="str">
        <f ca="1">IFERROR(__xludf.DUMMYFUNCTION("GOOGLEFINANCE(""NSE:""&amp;D2946,""pe"")"),"#N/A")</f>
        <v>#N/A</v>
      </c>
      <c r="P2946" s="7" t="str">
        <f ca="1">IFERROR(__xludf.DUMMYFUNCTION("GOOGLEFINANCE(""NSE:""&amp;D2946,""EPS"")"),"#N/A")</f>
        <v>#N/A</v>
      </c>
      <c r="Q2946" s="7">
        <v>13.5</v>
      </c>
      <c r="R2946" s="7" t="str">
        <f ca="1">IFERROR(__xludf.DUMMYFUNCTION("IMPORTXML(E2946,""/html/body/main/div[3]/div[3]/div[2]/ul/li[7]/span[2]/span"")"),"Loading...")</f>
        <v>Loading...</v>
      </c>
      <c r="S2946" s="7" t="str">
        <f ca="1">IFERROR(__xludf.DUMMYFUNCTION("IMPORTXML(E2946,""/html/body/main/div[3]/div[3]/div[2]/ul/li[8]/span[2]/span"")"),"Loading...")</f>
        <v>Loading...</v>
      </c>
      <c r="T2946" s="4">
        <v>34.6</v>
      </c>
      <c r="U2946" s="4">
        <v>22.7</v>
      </c>
      <c r="V2946" s="4">
        <v>2.6</v>
      </c>
      <c r="W2946" s="4">
        <v>5.7</v>
      </c>
      <c r="X2946" s="4">
        <v>519.92999999999995</v>
      </c>
      <c r="Y2946" s="7" t="e">
        <f t="shared" ca="1" si="59"/>
        <v>#VALUE!</v>
      </c>
    </row>
    <row r="2947" spans="1:25" ht="15" x14ac:dyDescent="0.25">
      <c r="A2947" s="4">
        <v>2917</v>
      </c>
      <c r="C2947" s="41" t="s">
        <v>5255</v>
      </c>
      <c r="D2947" s="42"/>
      <c r="E2947" s="5" t="str">
        <f t="shared" si="55"/>
        <v>https://www.screener.in/company//consolidated/</v>
      </c>
      <c r="F2947" s="4">
        <v>443059</v>
      </c>
      <c r="G2947" s="4">
        <v>3832241897</v>
      </c>
      <c r="H2947" s="6" t="e">
        <f t="shared" ca="1" si="56"/>
        <v>#VALUE!</v>
      </c>
      <c r="I2947" s="7" t="str">
        <f ca="1">IFERROR(__xludf.DUMMYFUNCTION("IMPORTXML(E2947,""/html/body/main/div[3]/div[3]/div[2]/ul/li[5]/span[2]/span"")"),"Loading...")</f>
        <v>Loading...</v>
      </c>
      <c r="J2947" s="7" t="str">
        <f ca="1">IFERROR(__xludf.DUMMYFUNCTION("GOOGLEFINANCE(""NSE:""&amp;D2947,""marketcap"")"),"#N/A")</f>
        <v>#N/A</v>
      </c>
      <c r="K2947" s="7">
        <v>992.8</v>
      </c>
      <c r="L2947" s="8" t="str">
        <f ca="1">IFERROR(__xludf.DUMMYFUNCTION("GOOGLEFINANCE(""NSE:""&amp;D2947,""price"")"),"#N/A")</f>
        <v>#N/A</v>
      </c>
      <c r="M2947" s="9" t="e">
        <f t="shared" ca="1" si="57"/>
        <v>#VALUE!</v>
      </c>
      <c r="N2947" s="10" t="e">
        <f t="shared" ca="1" si="58"/>
        <v>#VALUE!</v>
      </c>
      <c r="O2947" s="7" t="str">
        <f ca="1">IFERROR(__xludf.DUMMYFUNCTION("GOOGLEFINANCE(""NSE:""&amp;D2947,""pe"")"),"#N/A")</f>
        <v>#N/A</v>
      </c>
      <c r="P2947" s="7" t="str">
        <f ca="1">IFERROR(__xludf.DUMMYFUNCTION("GOOGLEFINANCE(""NSE:""&amp;D2947,""EPS"")"),"#N/A")</f>
        <v>#N/A</v>
      </c>
      <c r="Q2947" s="7">
        <v>13.5</v>
      </c>
      <c r="R2947" s="7" t="str">
        <f ca="1">IFERROR(__xludf.DUMMYFUNCTION("IMPORTXML(E2947,""/html/body/main/div[3]/div[3]/div[2]/ul/li[7]/span[2]/span"")"),"Loading...")</f>
        <v>Loading...</v>
      </c>
      <c r="S2947" s="7" t="str">
        <f ca="1">IFERROR(__xludf.DUMMYFUNCTION("IMPORTXML(E2947,""/html/body/main/div[3]/div[3]/div[2]/ul/li[8]/span[2]/span"")"),"Loading...")</f>
        <v>Loading...</v>
      </c>
      <c r="T2947" s="4">
        <v>34.6</v>
      </c>
      <c r="U2947" s="4">
        <v>22.7</v>
      </c>
      <c r="V2947" s="4">
        <v>2.6</v>
      </c>
      <c r="W2947" s="4">
        <v>5.7</v>
      </c>
      <c r="X2947" s="4">
        <v>519.92999999999995</v>
      </c>
      <c r="Y2947" s="7" t="e">
        <f t="shared" ca="1" si="59"/>
        <v>#VALUE!</v>
      </c>
    </row>
    <row r="2948" spans="1:25" ht="15" x14ac:dyDescent="0.25">
      <c r="A2948" s="4">
        <v>2918</v>
      </c>
      <c r="C2948" s="41" t="s">
        <v>5256</v>
      </c>
      <c r="D2948" s="42"/>
      <c r="E2948" s="5" t="str">
        <f t="shared" si="55"/>
        <v>https://www.screener.in/company//consolidated/</v>
      </c>
      <c r="F2948" s="4">
        <v>443059</v>
      </c>
      <c r="G2948" s="4">
        <v>3832241897</v>
      </c>
      <c r="H2948" s="6" t="e">
        <f t="shared" ca="1" si="56"/>
        <v>#VALUE!</v>
      </c>
      <c r="I2948" s="7" t="str">
        <f ca="1">IFERROR(__xludf.DUMMYFUNCTION("IMPORTXML(E2948,""/html/body/main/div[3]/div[3]/div[2]/ul/li[5]/span[2]/span"")"),"Loading...")</f>
        <v>Loading...</v>
      </c>
      <c r="J2948" s="7" t="str">
        <f ca="1">IFERROR(__xludf.DUMMYFUNCTION("GOOGLEFINANCE(""NSE:""&amp;D2948,""marketcap"")"),"#N/A")</f>
        <v>#N/A</v>
      </c>
      <c r="K2948" s="7">
        <v>992.8</v>
      </c>
      <c r="L2948" s="8" t="str">
        <f ca="1">IFERROR(__xludf.DUMMYFUNCTION("GOOGLEFINANCE(""NSE:""&amp;D2948,""price"")"),"#N/A")</f>
        <v>#N/A</v>
      </c>
      <c r="M2948" s="9" t="e">
        <f t="shared" ca="1" si="57"/>
        <v>#VALUE!</v>
      </c>
      <c r="N2948" s="10" t="e">
        <f t="shared" ca="1" si="58"/>
        <v>#VALUE!</v>
      </c>
      <c r="O2948" s="7" t="str">
        <f ca="1">IFERROR(__xludf.DUMMYFUNCTION("GOOGLEFINANCE(""NSE:""&amp;D2948,""pe"")"),"#N/A")</f>
        <v>#N/A</v>
      </c>
      <c r="P2948" s="7" t="str">
        <f ca="1">IFERROR(__xludf.DUMMYFUNCTION("GOOGLEFINANCE(""NSE:""&amp;D2948,""EPS"")"),"#N/A")</f>
        <v>#N/A</v>
      </c>
      <c r="Q2948" s="7">
        <v>13.5</v>
      </c>
      <c r="R2948" s="7" t="str">
        <f ca="1">IFERROR(__xludf.DUMMYFUNCTION("IMPORTXML(E2948,""/html/body/main/div[3]/div[3]/div[2]/ul/li[7]/span[2]/span"")"),"Loading...")</f>
        <v>Loading...</v>
      </c>
      <c r="S2948" s="7" t="str">
        <f ca="1">IFERROR(__xludf.DUMMYFUNCTION("IMPORTXML(E2948,""/html/body/main/div[3]/div[3]/div[2]/ul/li[8]/span[2]/span"")"),"Loading...")</f>
        <v>Loading...</v>
      </c>
      <c r="T2948" s="4">
        <v>34.6</v>
      </c>
      <c r="U2948" s="4">
        <v>22.7</v>
      </c>
      <c r="V2948" s="4">
        <v>2.6</v>
      </c>
      <c r="W2948" s="4">
        <v>5.7</v>
      </c>
      <c r="X2948" s="4">
        <v>519.92999999999995</v>
      </c>
      <c r="Y2948" s="7" t="e">
        <f t="shared" ca="1" si="59"/>
        <v>#VALUE!</v>
      </c>
    </row>
    <row r="2949" spans="1:25" ht="15" x14ac:dyDescent="0.25">
      <c r="A2949" s="4">
        <v>2919</v>
      </c>
      <c r="C2949" s="12" t="s">
        <v>5257</v>
      </c>
      <c r="D2949" s="12" t="s">
        <v>5258</v>
      </c>
      <c r="E2949" s="5" t="str">
        <f t="shared" si="55"/>
        <v>https://www.screener.in/company/KSHITIJPOL/consolidated/</v>
      </c>
      <c r="F2949" s="4">
        <v>443059</v>
      </c>
      <c r="G2949" s="4">
        <v>3832241897</v>
      </c>
      <c r="H2949" s="6">
        <f t="shared" ca="1" si="56"/>
        <v>1180.3305042760001</v>
      </c>
      <c r="I2949" s="7" t="str">
        <f ca="1">IFERROR(__xludf.DUMMYFUNCTION("IMPORTXML(E2949,""/html/body/main/div[3]/div[3]/div[2]/ul/li[5]/span[2]/span"")"),"Loading...")</f>
        <v>Loading...</v>
      </c>
      <c r="J2949" s="7">
        <f ca="1">IFERROR(__xludf.DUMMYFUNCTION("GOOGLEFINANCE(""NSE:""&amp;D2949,""marketcap"")"),274121471)</f>
        <v>274121471</v>
      </c>
      <c r="K2949" s="7">
        <v>992.8</v>
      </c>
      <c r="L2949" s="8">
        <f ca="1">IFERROR(__xludf.DUMMYFUNCTION("GOOGLEFINANCE(""NSE:""&amp;D2949,""price"")"),3.08)</f>
        <v>3.08</v>
      </c>
      <c r="M2949" s="9">
        <f t="shared" ca="1" si="57"/>
        <v>-989.71999999999991</v>
      </c>
      <c r="N2949" s="10">
        <f t="shared" ca="1" si="58"/>
        <v>-99.689766317485891</v>
      </c>
      <c r="O2949" s="7" t="str">
        <f ca="1">IFERROR(__xludf.DUMMYFUNCTION("GOOGLEFINANCE(""NSE:""&amp;D2949,""pe"")"),"#N/A")</f>
        <v>#N/A</v>
      </c>
      <c r="P2949" s="7">
        <f ca="1">IFERROR(__xludf.DUMMYFUNCTION("GOOGLEFINANCE(""NSE:""&amp;D2949,""EPS"")"),-0.78)</f>
        <v>-0.78</v>
      </c>
      <c r="Q2949" s="7">
        <v>13.5</v>
      </c>
      <c r="R2949" s="7">
        <f ca="1">IFERROR(__xludf.DUMMYFUNCTION("IMPORTXML(E2949,""/html/body/main/div[3]/div[3]/div[2]/ul/li[7]/span[2]/span"")"),-10.8)</f>
        <v>-10.8</v>
      </c>
      <c r="S2949" s="7" t="str">
        <f ca="1">IFERROR(__xludf.DUMMYFUNCTION("IMPORTXML(E2949,""/html/body/main/div[3]/div[3]/div[2]/ul/li[8]/span[2]/span"")"),"Loading...")</f>
        <v>Loading...</v>
      </c>
      <c r="T2949" s="4">
        <v>34.6</v>
      </c>
      <c r="U2949" s="4">
        <v>22.7</v>
      </c>
      <c r="V2949" s="4">
        <v>2.6</v>
      </c>
      <c r="W2949" s="4">
        <v>5.7</v>
      </c>
      <c r="X2949" s="4">
        <v>519.92999999999995</v>
      </c>
      <c r="Y2949" s="7">
        <f t="shared" ca="1" si="59"/>
        <v>-516.84999999999991</v>
      </c>
    </row>
    <row r="2950" spans="1:25" ht="15" x14ac:dyDescent="0.25">
      <c r="A2950" s="4">
        <v>2921</v>
      </c>
      <c r="C2950" s="41" t="s">
        <v>5259</v>
      </c>
      <c r="D2950" s="42"/>
      <c r="E2950" s="5" t="str">
        <f t="shared" si="55"/>
        <v>https://www.screener.in/company//consolidated/</v>
      </c>
      <c r="F2950" s="4">
        <v>443059</v>
      </c>
      <c r="G2950" s="4">
        <v>3832241897</v>
      </c>
      <c r="H2950" s="6" t="e">
        <f t="shared" ca="1" si="56"/>
        <v>#VALUE!</v>
      </c>
      <c r="I2950" s="7" t="str">
        <f ca="1">IFERROR(__xludf.DUMMYFUNCTION("IMPORTXML(E2950,""/html/body/main/div[3]/div[3]/div[2]/ul/li[5]/span[2]/span"")"),"Loading...")</f>
        <v>Loading...</v>
      </c>
      <c r="J2950" s="7" t="str">
        <f ca="1">IFERROR(__xludf.DUMMYFUNCTION("GOOGLEFINANCE(""NSE:""&amp;D2950,""marketcap"")"),"#N/A")</f>
        <v>#N/A</v>
      </c>
      <c r="K2950" s="7">
        <v>992.8</v>
      </c>
      <c r="L2950" s="8" t="str">
        <f ca="1">IFERROR(__xludf.DUMMYFUNCTION("GOOGLEFINANCE(""NSE:""&amp;D2950,""price"")"),"#N/A")</f>
        <v>#N/A</v>
      </c>
      <c r="M2950" s="9" t="e">
        <f t="shared" ca="1" si="57"/>
        <v>#VALUE!</v>
      </c>
      <c r="N2950" s="10" t="e">
        <f t="shared" ca="1" si="58"/>
        <v>#VALUE!</v>
      </c>
      <c r="O2950" s="7" t="str">
        <f ca="1">IFERROR(__xludf.DUMMYFUNCTION("GOOGLEFINANCE(""NSE:""&amp;D2950,""pe"")"),"#N/A")</f>
        <v>#N/A</v>
      </c>
      <c r="P2950" s="7" t="str">
        <f ca="1">IFERROR(__xludf.DUMMYFUNCTION("GOOGLEFINANCE(""NSE:""&amp;D2950,""EPS"")"),"#N/A")</f>
        <v>#N/A</v>
      </c>
      <c r="Q2950" s="7">
        <v>13.5</v>
      </c>
      <c r="R2950" s="7" t="str">
        <f ca="1">IFERROR(__xludf.DUMMYFUNCTION("IMPORTXML(E2950,""/html/body/main/div[3]/div[3]/div[2]/ul/li[7]/span[2]/span"")"),"Loading...")</f>
        <v>Loading...</v>
      </c>
      <c r="S2950" s="7" t="str">
        <f ca="1">IFERROR(__xludf.DUMMYFUNCTION("IMPORTXML(E2950,""/html/body/main/div[3]/div[3]/div[2]/ul/li[8]/span[2]/span"")"),"Loading...")</f>
        <v>Loading...</v>
      </c>
      <c r="T2950" s="4">
        <v>34.6</v>
      </c>
      <c r="U2950" s="4">
        <v>22.7</v>
      </c>
      <c r="V2950" s="4">
        <v>2.6</v>
      </c>
      <c r="W2950" s="4">
        <v>5.7</v>
      </c>
      <c r="X2950" s="4">
        <v>519.92999999999995</v>
      </c>
      <c r="Y2950" s="7" t="e">
        <f t="shared" ca="1" si="59"/>
        <v>#VALUE!</v>
      </c>
    </row>
    <row r="2951" spans="1:25" ht="15" x14ac:dyDescent="0.25">
      <c r="A2951" s="4">
        <v>2922</v>
      </c>
      <c r="C2951" s="41" t="s">
        <v>5260</v>
      </c>
      <c r="D2951" s="42"/>
      <c r="E2951" s="5" t="str">
        <f t="shared" si="55"/>
        <v>https://www.screener.in/company//consolidated/</v>
      </c>
      <c r="F2951" s="4">
        <v>443059</v>
      </c>
      <c r="G2951" s="4">
        <v>3832241897</v>
      </c>
      <c r="H2951" s="6" t="e">
        <f t="shared" ca="1" si="56"/>
        <v>#VALUE!</v>
      </c>
      <c r="I2951" s="7" t="str">
        <f ca="1">IFERROR(__xludf.DUMMYFUNCTION("IMPORTXML(E2951,""/html/body/main/div[3]/div[3]/div[2]/ul/li[5]/span[2]/span"")"),"Loading...")</f>
        <v>Loading...</v>
      </c>
      <c r="J2951" s="7" t="str">
        <f ca="1">IFERROR(__xludf.DUMMYFUNCTION("GOOGLEFINANCE(""NSE:""&amp;D2951,""marketcap"")"),"#N/A")</f>
        <v>#N/A</v>
      </c>
      <c r="K2951" s="7">
        <v>992.8</v>
      </c>
      <c r="L2951" s="8" t="str">
        <f ca="1">IFERROR(__xludf.DUMMYFUNCTION("GOOGLEFINANCE(""NSE:""&amp;D2951,""price"")"),"#N/A")</f>
        <v>#N/A</v>
      </c>
      <c r="M2951" s="9" t="e">
        <f t="shared" ca="1" si="57"/>
        <v>#VALUE!</v>
      </c>
      <c r="N2951" s="10" t="e">
        <f t="shared" ca="1" si="58"/>
        <v>#VALUE!</v>
      </c>
      <c r="O2951" s="7" t="str">
        <f ca="1">IFERROR(__xludf.DUMMYFUNCTION("GOOGLEFINANCE(""NSE:""&amp;D2951,""pe"")"),"#N/A")</f>
        <v>#N/A</v>
      </c>
      <c r="P2951" s="7" t="str">
        <f ca="1">IFERROR(__xludf.DUMMYFUNCTION("GOOGLEFINANCE(""NSE:""&amp;D2951,""EPS"")"),"#N/A")</f>
        <v>#N/A</v>
      </c>
      <c r="Q2951" s="7">
        <v>13.5</v>
      </c>
      <c r="R2951" s="7" t="str">
        <f ca="1">IFERROR(__xludf.DUMMYFUNCTION("IMPORTXML(E2951,""/html/body/main/div[3]/div[3]/div[2]/ul/li[7]/span[2]/span"")"),"Loading...")</f>
        <v>Loading...</v>
      </c>
      <c r="S2951" s="7" t="str">
        <f ca="1">IFERROR(__xludf.DUMMYFUNCTION("IMPORTXML(E2951,""/html/body/main/div[3]/div[3]/div[2]/ul/li[8]/span[2]/span"")"),"Loading...")</f>
        <v>Loading...</v>
      </c>
      <c r="T2951" s="4">
        <v>34.6</v>
      </c>
      <c r="U2951" s="4">
        <v>22.7</v>
      </c>
      <c r="V2951" s="4">
        <v>2.6</v>
      </c>
      <c r="W2951" s="4">
        <v>5.7</v>
      </c>
      <c r="X2951" s="4">
        <v>519.92999999999995</v>
      </c>
      <c r="Y2951" s="7" t="e">
        <f t="shared" ca="1" si="59"/>
        <v>#VALUE!</v>
      </c>
    </row>
    <row r="2952" spans="1:25" ht="15" x14ac:dyDescent="0.25">
      <c r="A2952" s="4">
        <v>2923</v>
      </c>
      <c r="C2952" s="41" t="s">
        <v>5261</v>
      </c>
      <c r="D2952" s="42"/>
      <c r="E2952" s="5" t="str">
        <f t="shared" si="55"/>
        <v>https://www.screener.in/company//consolidated/</v>
      </c>
      <c r="F2952" s="4">
        <v>443059</v>
      </c>
      <c r="G2952" s="4">
        <v>3832241897</v>
      </c>
      <c r="H2952" s="6" t="e">
        <f t="shared" ca="1" si="56"/>
        <v>#VALUE!</v>
      </c>
      <c r="I2952" s="7" t="str">
        <f ca="1">IFERROR(__xludf.DUMMYFUNCTION("IMPORTXML(E2952,""/html/body/main/div[3]/div[3]/div[2]/ul/li[5]/span[2]/span"")"),"Loading...")</f>
        <v>Loading...</v>
      </c>
      <c r="J2952" s="7" t="str">
        <f ca="1">IFERROR(__xludf.DUMMYFUNCTION("GOOGLEFINANCE(""NSE:""&amp;D2952,""marketcap"")"),"#N/A")</f>
        <v>#N/A</v>
      </c>
      <c r="K2952" s="7">
        <v>992.8</v>
      </c>
      <c r="L2952" s="8" t="str">
        <f ca="1">IFERROR(__xludf.DUMMYFUNCTION("GOOGLEFINANCE(""NSE:""&amp;D2952,""price"")"),"#N/A")</f>
        <v>#N/A</v>
      </c>
      <c r="M2952" s="9" t="e">
        <f t="shared" ca="1" si="57"/>
        <v>#VALUE!</v>
      </c>
      <c r="N2952" s="10" t="e">
        <f t="shared" ca="1" si="58"/>
        <v>#VALUE!</v>
      </c>
      <c r="O2952" s="7" t="str">
        <f ca="1">IFERROR(__xludf.DUMMYFUNCTION("GOOGLEFINANCE(""NSE:""&amp;D2952,""pe"")"),"#N/A")</f>
        <v>#N/A</v>
      </c>
      <c r="P2952" s="7" t="str">
        <f ca="1">IFERROR(__xludf.DUMMYFUNCTION("GOOGLEFINANCE(""NSE:""&amp;D2952,""EPS"")"),"#N/A")</f>
        <v>#N/A</v>
      </c>
      <c r="Q2952" s="7">
        <v>13.5</v>
      </c>
      <c r="R2952" s="7" t="str">
        <f ca="1">IFERROR(__xludf.DUMMYFUNCTION("IMPORTXML(E2952,""/html/body/main/div[3]/div[3]/div[2]/ul/li[7]/span[2]/span"")"),"Loading...")</f>
        <v>Loading...</v>
      </c>
      <c r="S2952" s="7" t="str">
        <f ca="1">IFERROR(__xludf.DUMMYFUNCTION("IMPORTXML(E2952,""/html/body/main/div[3]/div[3]/div[2]/ul/li[8]/span[2]/span"")"),"Loading...")</f>
        <v>Loading...</v>
      </c>
      <c r="T2952" s="4">
        <v>34.6</v>
      </c>
      <c r="U2952" s="4">
        <v>22.7</v>
      </c>
      <c r="V2952" s="4">
        <v>2.6</v>
      </c>
      <c r="W2952" s="4">
        <v>5.7</v>
      </c>
      <c r="X2952" s="4">
        <v>519.92999999999995</v>
      </c>
      <c r="Y2952" s="7" t="e">
        <f t="shared" ca="1" si="59"/>
        <v>#VALUE!</v>
      </c>
    </row>
    <row r="2953" spans="1:25" ht="15" x14ac:dyDescent="0.25">
      <c r="A2953" s="4">
        <v>2924</v>
      </c>
      <c r="C2953" s="41" t="s">
        <v>5262</v>
      </c>
      <c r="D2953" s="42"/>
      <c r="E2953" s="5" t="str">
        <f t="shared" si="55"/>
        <v>https://www.screener.in/company//consolidated/</v>
      </c>
      <c r="F2953" s="4">
        <v>443059</v>
      </c>
      <c r="G2953" s="4">
        <v>3832241897</v>
      </c>
      <c r="H2953" s="6" t="e">
        <f t="shared" ca="1" si="56"/>
        <v>#VALUE!</v>
      </c>
      <c r="I2953" s="7" t="str">
        <f ca="1">IFERROR(__xludf.DUMMYFUNCTION("IMPORTXML(E2953,""/html/body/main/div[3]/div[3]/div[2]/ul/li[5]/span[2]/span"")"),"Loading...")</f>
        <v>Loading...</v>
      </c>
      <c r="J2953" s="7" t="str">
        <f ca="1">IFERROR(__xludf.DUMMYFUNCTION("GOOGLEFINANCE(""NSE:""&amp;D2953,""marketcap"")"),"#N/A")</f>
        <v>#N/A</v>
      </c>
      <c r="K2953" s="7">
        <v>992.8</v>
      </c>
      <c r="L2953" s="8" t="str">
        <f ca="1">IFERROR(__xludf.DUMMYFUNCTION("GOOGLEFINANCE(""NSE:""&amp;D2953,""price"")"),"#N/A")</f>
        <v>#N/A</v>
      </c>
      <c r="M2953" s="9" t="e">
        <f t="shared" ca="1" si="57"/>
        <v>#VALUE!</v>
      </c>
      <c r="N2953" s="10" t="e">
        <f t="shared" ca="1" si="58"/>
        <v>#VALUE!</v>
      </c>
      <c r="O2953" s="7" t="str">
        <f ca="1">IFERROR(__xludf.DUMMYFUNCTION("GOOGLEFINANCE(""NSE:""&amp;D2953,""pe"")"),"#N/A")</f>
        <v>#N/A</v>
      </c>
      <c r="P2953" s="7" t="str">
        <f ca="1">IFERROR(__xludf.DUMMYFUNCTION("GOOGLEFINANCE(""NSE:""&amp;D2953,""EPS"")"),"#N/A")</f>
        <v>#N/A</v>
      </c>
      <c r="Q2953" s="7">
        <v>13.5</v>
      </c>
      <c r="R2953" s="7" t="str">
        <f ca="1">IFERROR(__xludf.DUMMYFUNCTION("IMPORTXML(E2953,""/html/body/main/div[3]/div[3]/div[2]/ul/li[7]/span[2]/span"")"),"Loading...")</f>
        <v>Loading...</v>
      </c>
      <c r="S2953" s="7" t="str">
        <f ca="1">IFERROR(__xludf.DUMMYFUNCTION("IMPORTXML(E2953,""/html/body/main/div[3]/div[3]/div[2]/ul/li[8]/span[2]/span"")"),"Loading...")</f>
        <v>Loading...</v>
      </c>
      <c r="T2953" s="4">
        <v>34.6</v>
      </c>
      <c r="U2953" s="4">
        <v>22.7</v>
      </c>
      <c r="V2953" s="4">
        <v>2.6</v>
      </c>
      <c r="W2953" s="4">
        <v>5.7</v>
      </c>
      <c r="X2953" s="4">
        <v>519.92999999999995</v>
      </c>
      <c r="Y2953" s="7" t="e">
        <f t="shared" ca="1" si="59"/>
        <v>#VALUE!</v>
      </c>
    </row>
    <row r="2954" spans="1:25" ht="15" x14ac:dyDescent="0.25">
      <c r="A2954" s="4">
        <v>2925</v>
      </c>
      <c r="C2954" s="41" t="s">
        <v>5263</v>
      </c>
      <c r="D2954" s="42"/>
      <c r="E2954" s="5" t="str">
        <f t="shared" si="55"/>
        <v>https://www.screener.in/company//consolidated/</v>
      </c>
      <c r="F2954" s="4">
        <v>443059</v>
      </c>
      <c r="G2954" s="4">
        <v>3832241897</v>
      </c>
      <c r="H2954" s="6" t="e">
        <f t="shared" ca="1" si="56"/>
        <v>#VALUE!</v>
      </c>
      <c r="I2954" s="7" t="str">
        <f ca="1">IFERROR(__xludf.DUMMYFUNCTION("IMPORTXML(E2954,""/html/body/main/div[3]/div[3]/div[2]/ul/li[5]/span[2]/span"")"),"Loading...")</f>
        <v>Loading...</v>
      </c>
      <c r="J2954" s="7" t="str">
        <f ca="1">IFERROR(__xludf.DUMMYFUNCTION("GOOGLEFINANCE(""NSE:""&amp;D2954,""marketcap"")"),"#N/A")</f>
        <v>#N/A</v>
      </c>
      <c r="K2954" s="7">
        <v>992.8</v>
      </c>
      <c r="L2954" s="8" t="str">
        <f ca="1">IFERROR(__xludf.DUMMYFUNCTION("GOOGLEFINANCE(""NSE:""&amp;D2954,""price"")"),"#N/A")</f>
        <v>#N/A</v>
      </c>
      <c r="M2954" s="9" t="e">
        <f t="shared" ca="1" si="57"/>
        <v>#VALUE!</v>
      </c>
      <c r="N2954" s="10" t="e">
        <f t="shared" ca="1" si="58"/>
        <v>#VALUE!</v>
      </c>
      <c r="O2954" s="7" t="str">
        <f ca="1">IFERROR(__xludf.DUMMYFUNCTION("GOOGLEFINANCE(""NSE:""&amp;D2954,""pe"")"),"#N/A")</f>
        <v>#N/A</v>
      </c>
      <c r="P2954" s="7" t="str">
        <f ca="1">IFERROR(__xludf.DUMMYFUNCTION("GOOGLEFINANCE(""NSE:""&amp;D2954,""EPS"")"),"#N/A")</f>
        <v>#N/A</v>
      </c>
      <c r="Q2954" s="7">
        <v>13.5</v>
      </c>
      <c r="R2954" s="7" t="str">
        <f ca="1">IFERROR(__xludf.DUMMYFUNCTION("IMPORTXML(E2954,""/html/body/main/div[3]/div[3]/div[2]/ul/li[7]/span[2]/span"")"),"Loading...")</f>
        <v>Loading...</v>
      </c>
      <c r="S2954" s="7" t="str">
        <f ca="1">IFERROR(__xludf.DUMMYFUNCTION("IMPORTXML(E2954,""/html/body/main/div[3]/div[3]/div[2]/ul/li[8]/span[2]/span"")"),"Loading...")</f>
        <v>Loading...</v>
      </c>
      <c r="T2954" s="4">
        <v>34.6</v>
      </c>
      <c r="U2954" s="4">
        <v>22.7</v>
      </c>
      <c r="V2954" s="4">
        <v>2.6</v>
      </c>
      <c r="W2954" s="4">
        <v>5.7</v>
      </c>
      <c r="X2954" s="4">
        <v>519.92999999999995</v>
      </c>
      <c r="Y2954" s="7" t="e">
        <f t="shared" ca="1" si="59"/>
        <v>#VALUE!</v>
      </c>
    </row>
    <row r="2955" spans="1:25" ht="15" x14ac:dyDescent="0.25">
      <c r="A2955" s="4">
        <v>2926</v>
      </c>
      <c r="C2955" s="41" t="s">
        <v>5264</v>
      </c>
      <c r="D2955" s="42"/>
      <c r="E2955" s="5" t="str">
        <f t="shared" si="55"/>
        <v>https://www.screener.in/company//consolidated/</v>
      </c>
      <c r="F2955" s="4">
        <v>443059</v>
      </c>
      <c r="G2955" s="4">
        <v>3832241897</v>
      </c>
      <c r="H2955" s="6" t="e">
        <f t="shared" ca="1" si="56"/>
        <v>#VALUE!</v>
      </c>
      <c r="I2955" s="7" t="str">
        <f ca="1">IFERROR(__xludf.DUMMYFUNCTION("IMPORTXML(E2955,""/html/body/main/div[3]/div[3]/div[2]/ul/li[5]/span[2]/span"")"),"Loading...")</f>
        <v>Loading...</v>
      </c>
      <c r="J2955" s="7" t="str">
        <f ca="1">IFERROR(__xludf.DUMMYFUNCTION("GOOGLEFINANCE(""NSE:""&amp;D2955,""marketcap"")"),"#N/A")</f>
        <v>#N/A</v>
      </c>
      <c r="K2955" s="7">
        <v>992.8</v>
      </c>
      <c r="L2955" s="8" t="str">
        <f ca="1">IFERROR(__xludf.DUMMYFUNCTION("GOOGLEFINANCE(""NSE:""&amp;D2955,""price"")"),"#N/A")</f>
        <v>#N/A</v>
      </c>
      <c r="M2955" s="9" t="e">
        <f t="shared" ca="1" si="57"/>
        <v>#VALUE!</v>
      </c>
      <c r="N2955" s="10" t="e">
        <f t="shared" ca="1" si="58"/>
        <v>#VALUE!</v>
      </c>
      <c r="O2955" s="7" t="str">
        <f ca="1">IFERROR(__xludf.DUMMYFUNCTION("GOOGLEFINANCE(""NSE:""&amp;D2955,""pe"")"),"#N/A")</f>
        <v>#N/A</v>
      </c>
      <c r="P2955" s="7" t="str">
        <f ca="1">IFERROR(__xludf.DUMMYFUNCTION("GOOGLEFINANCE(""NSE:""&amp;D2955,""EPS"")"),"#N/A")</f>
        <v>#N/A</v>
      </c>
      <c r="Q2955" s="7">
        <v>13.5</v>
      </c>
      <c r="R2955" s="7" t="str">
        <f ca="1">IFERROR(__xludf.DUMMYFUNCTION("IMPORTXML(E2955,""/html/body/main/div[3]/div[3]/div[2]/ul/li[7]/span[2]/span"")"),"Loading...")</f>
        <v>Loading...</v>
      </c>
      <c r="S2955" s="7" t="str">
        <f ca="1">IFERROR(__xludf.DUMMYFUNCTION("IMPORTXML(E2955,""/html/body/main/div[3]/div[3]/div[2]/ul/li[8]/span[2]/span"")"),"Loading...")</f>
        <v>Loading...</v>
      </c>
      <c r="T2955" s="4">
        <v>34.6</v>
      </c>
      <c r="U2955" s="4">
        <v>22.7</v>
      </c>
      <c r="V2955" s="4">
        <v>2.6</v>
      </c>
      <c r="W2955" s="4">
        <v>5.7</v>
      </c>
      <c r="X2955" s="4">
        <v>519.92999999999995</v>
      </c>
      <c r="Y2955" s="7" t="e">
        <f t="shared" ca="1" si="59"/>
        <v>#VALUE!</v>
      </c>
    </row>
    <row r="2956" spans="1:25" ht="15" x14ac:dyDescent="0.25">
      <c r="A2956" s="4">
        <v>2927</v>
      </c>
      <c r="C2956" s="41" t="s">
        <v>5265</v>
      </c>
      <c r="D2956" s="42"/>
      <c r="E2956" s="5" t="str">
        <f t="shared" si="55"/>
        <v>https://www.screener.in/company//consolidated/</v>
      </c>
      <c r="F2956" s="4">
        <v>443059</v>
      </c>
      <c r="G2956" s="4">
        <v>3832241897</v>
      </c>
      <c r="H2956" s="6" t="e">
        <f t="shared" ca="1" si="56"/>
        <v>#VALUE!</v>
      </c>
      <c r="I2956" s="7" t="str">
        <f ca="1">IFERROR(__xludf.DUMMYFUNCTION("IMPORTXML(E2956,""/html/body/main/div[3]/div[3]/div[2]/ul/li[5]/span[2]/span"")"),"Loading...")</f>
        <v>Loading...</v>
      </c>
      <c r="J2956" s="7" t="str">
        <f ca="1">IFERROR(__xludf.DUMMYFUNCTION("GOOGLEFINANCE(""NSE:""&amp;D2956,""marketcap"")"),"#N/A")</f>
        <v>#N/A</v>
      </c>
      <c r="K2956" s="7">
        <v>992.8</v>
      </c>
      <c r="L2956" s="8" t="str">
        <f ca="1">IFERROR(__xludf.DUMMYFUNCTION("GOOGLEFINANCE(""NSE:""&amp;D2956,""price"")"),"#N/A")</f>
        <v>#N/A</v>
      </c>
      <c r="M2956" s="9" t="e">
        <f t="shared" ca="1" si="57"/>
        <v>#VALUE!</v>
      </c>
      <c r="N2956" s="10" t="e">
        <f t="shared" ca="1" si="58"/>
        <v>#VALUE!</v>
      </c>
      <c r="O2956" s="7" t="str">
        <f ca="1">IFERROR(__xludf.DUMMYFUNCTION("GOOGLEFINANCE(""NSE:""&amp;D2956,""pe"")"),"#N/A")</f>
        <v>#N/A</v>
      </c>
      <c r="P2956" s="7" t="str">
        <f ca="1">IFERROR(__xludf.DUMMYFUNCTION("GOOGLEFINANCE(""NSE:""&amp;D2956,""EPS"")"),"#N/A")</f>
        <v>#N/A</v>
      </c>
      <c r="Q2956" s="7">
        <v>13.5</v>
      </c>
      <c r="R2956" s="7" t="str">
        <f ca="1">IFERROR(__xludf.DUMMYFUNCTION("IMPORTXML(E2956,""/html/body/main/div[3]/div[3]/div[2]/ul/li[7]/span[2]/span"")"),"Loading...")</f>
        <v>Loading...</v>
      </c>
      <c r="S2956" s="7" t="str">
        <f ca="1">IFERROR(__xludf.DUMMYFUNCTION("IMPORTXML(E2956,""/html/body/main/div[3]/div[3]/div[2]/ul/li[8]/span[2]/span"")"),"Loading...")</f>
        <v>Loading...</v>
      </c>
      <c r="T2956" s="4">
        <v>34.6</v>
      </c>
      <c r="U2956" s="4">
        <v>22.7</v>
      </c>
      <c r="V2956" s="4">
        <v>2.6</v>
      </c>
      <c r="W2956" s="4">
        <v>5.7</v>
      </c>
      <c r="X2956" s="4">
        <v>519.92999999999995</v>
      </c>
      <c r="Y2956" s="7" t="e">
        <f t="shared" ca="1" si="59"/>
        <v>#VALUE!</v>
      </c>
    </row>
    <row r="2957" spans="1:25" ht="15" x14ac:dyDescent="0.25">
      <c r="A2957" s="4">
        <v>2928</v>
      </c>
      <c r="C2957" s="41" t="s">
        <v>5266</v>
      </c>
      <c r="D2957" s="42"/>
      <c r="E2957" s="5" t="str">
        <f t="shared" si="55"/>
        <v>https://www.screener.in/company//consolidated/</v>
      </c>
      <c r="F2957" s="4">
        <v>443059</v>
      </c>
      <c r="G2957" s="4">
        <v>3832241897</v>
      </c>
      <c r="H2957" s="6" t="e">
        <f t="shared" ca="1" si="56"/>
        <v>#VALUE!</v>
      </c>
      <c r="I2957" s="7" t="str">
        <f ca="1">IFERROR(__xludf.DUMMYFUNCTION("IMPORTXML(E2957,""/html/body/main/div[3]/div[3]/div[2]/ul/li[5]/span[2]/span"")"),"Loading...")</f>
        <v>Loading...</v>
      </c>
      <c r="J2957" s="7" t="str">
        <f ca="1">IFERROR(__xludf.DUMMYFUNCTION("GOOGLEFINANCE(""NSE:""&amp;D2957,""marketcap"")"),"#N/A")</f>
        <v>#N/A</v>
      </c>
      <c r="K2957" s="7">
        <v>992.8</v>
      </c>
      <c r="L2957" s="8" t="str">
        <f ca="1">IFERROR(__xludf.DUMMYFUNCTION("GOOGLEFINANCE(""NSE:""&amp;D2957,""price"")"),"#N/A")</f>
        <v>#N/A</v>
      </c>
      <c r="M2957" s="9" t="e">
        <f t="shared" ca="1" si="57"/>
        <v>#VALUE!</v>
      </c>
      <c r="N2957" s="10" t="e">
        <f t="shared" ca="1" si="58"/>
        <v>#VALUE!</v>
      </c>
      <c r="O2957" s="7" t="str">
        <f ca="1">IFERROR(__xludf.DUMMYFUNCTION("GOOGLEFINANCE(""NSE:""&amp;D2957,""pe"")"),"#N/A")</f>
        <v>#N/A</v>
      </c>
      <c r="P2957" s="7" t="str">
        <f ca="1">IFERROR(__xludf.DUMMYFUNCTION("GOOGLEFINANCE(""NSE:""&amp;D2957,""EPS"")"),"#N/A")</f>
        <v>#N/A</v>
      </c>
      <c r="Q2957" s="7">
        <v>13.5</v>
      </c>
      <c r="R2957" s="7" t="str">
        <f ca="1">IFERROR(__xludf.DUMMYFUNCTION("IMPORTXML(E2957,""/html/body/main/div[3]/div[3]/div[2]/ul/li[7]/span[2]/span"")"),"Loading...")</f>
        <v>Loading...</v>
      </c>
      <c r="S2957" s="7" t="str">
        <f ca="1">IFERROR(__xludf.DUMMYFUNCTION("IMPORTXML(E2957,""/html/body/main/div[3]/div[3]/div[2]/ul/li[8]/span[2]/span"")"),"Loading...")</f>
        <v>Loading...</v>
      </c>
      <c r="T2957" s="4">
        <v>34.6</v>
      </c>
      <c r="U2957" s="4">
        <v>22.7</v>
      </c>
      <c r="V2957" s="4">
        <v>2.6</v>
      </c>
      <c r="W2957" s="4">
        <v>5.7</v>
      </c>
      <c r="X2957" s="4">
        <v>519.92999999999995</v>
      </c>
      <c r="Y2957" s="7" t="e">
        <f t="shared" ca="1" si="59"/>
        <v>#VALUE!</v>
      </c>
    </row>
    <row r="2958" spans="1:25" ht="15" x14ac:dyDescent="0.25">
      <c r="A2958" s="4">
        <v>2929</v>
      </c>
      <c r="C2958" s="41" t="s">
        <v>5267</v>
      </c>
      <c r="D2958" s="42"/>
      <c r="E2958" s="5" t="str">
        <f t="shared" si="55"/>
        <v>https://www.screener.in/company//consolidated/</v>
      </c>
      <c r="F2958" s="4">
        <v>443059</v>
      </c>
      <c r="G2958" s="4">
        <v>3832241897</v>
      </c>
      <c r="H2958" s="6" t="e">
        <f t="shared" ca="1" si="56"/>
        <v>#VALUE!</v>
      </c>
      <c r="I2958" s="7" t="str">
        <f ca="1">IFERROR(__xludf.DUMMYFUNCTION("IMPORTXML(E2958,""/html/body/main/div[3]/div[3]/div[2]/ul/li[5]/span[2]/span"")"),"Loading...")</f>
        <v>Loading...</v>
      </c>
      <c r="J2958" s="7" t="str">
        <f ca="1">IFERROR(__xludf.DUMMYFUNCTION("GOOGLEFINANCE(""NSE:""&amp;D2958,""marketcap"")"),"#N/A")</f>
        <v>#N/A</v>
      </c>
      <c r="K2958" s="7">
        <v>992.8</v>
      </c>
      <c r="L2958" s="8" t="str">
        <f ca="1">IFERROR(__xludf.DUMMYFUNCTION("GOOGLEFINANCE(""NSE:""&amp;D2958,""price"")"),"#N/A")</f>
        <v>#N/A</v>
      </c>
      <c r="M2958" s="9" t="e">
        <f t="shared" ca="1" si="57"/>
        <v>#VALUE!</v>
      </c>
      <c r="N2958" s="10" t="e">
        <f t="shared" ca="1" si="58"/>
        <v>#VALUE!</v>
      </c>
      <c r="O2958" s="7" t="str">
        <f ca="1">IFERROR(__xludf.DUMMYFUNCTION("GOOGLEFINANCE(""NSE:""&amp;D2958,""pe"")"),"#N/A")</f>
        <v>#N/A</v>
      </c>
      <c r="P2958" s="7" t="str">
        <f ca="1">IFERROR(__xludf.DUMMYFUNCTION("GOOGLEFINANCE(""NSE:""&amp;D2958,""EPS"")"),"#N/A")</f>
        <v>#N/A</v>
      </c>
      <c r="Q2958" s="7">
        <v>13.5</v>
      </c>
      <c r="R2958" s="7" t="str">
        <f ca="1">IFERROR(__xludf.DUMMYFUNCTION("IMPORTXML(E2958,""/html/body/main/div[3]/div[3]/div[2]/ul/li[7]/span[2]/span"")"),"Loading...")</f>
        <v>Loading...</v>
      </c>
      <c r="S2958" s="7" t="str">
        <f ca="1">IFERROR(__xludf.DUMMYFUNCTION("IMPORTXML(E2958,""/html/body/main/div[3]/div[3]/div[2]/ul/li[8]/span[2]/span"")"),"Loading...")</f>
        <v>Loading...</v>
      </c>
      <c r="T2958" s="4">
        <v>34.6</v>
      </c>
      <c r="U2958" s="4">
        <v>22.7</v>
      </c>
      <c r="V2958" s="4">
        <v>2.6</v>
      </c>
      <c r="W2958" s="4">
        <v>5.7</v>
      </c>
      <c r="X2958" s="4">
        <v>519.92999999999995</v>
      </c>
      <c r="Y2958" s="7" t="e">
        <f t="shared" ca="1" si="59"/>
        <v>#VALUE!</v>
      </c>
    </row>
    <row r="2959" spans="1:25" ht="15" x14ac:dyDescent="0.25">
      <c r="A2959" s="4">
        <v>2930</v>
      </c>
      <c r="C2959" s="41" t="s">
        <v>5268</v>
      </c>
      <c r="D2959" s="42"/>
      <c r="E2959" s="5" t="str">
        <f t="shared" si="55"/>
        <v>https://www.screener.in/company//consolidated/</v>
      </c>
      <c r="F2959" s="4">
        <v>443059</v>
      </c>
      <c r="G2959" s="4">
        <v>3832241897</v>
      </c>
      <c r="H2959" s="6" t="e">
        <f t="shared" ca="1" si="56"/>
        <v>#VALUE!</v>
      </c>
      <c r="I2959" s="7" t="str">
        <f ca="1">IFERROR(__xludf.DUMMYFUNCTION("IMPORTXML(E2959,""/html/body/main/div[3]/div[3]/div[2]/ul/li[5]/span[2]/span"")"),"Loading...")</f>
        <v>Loading...</v>
      </c>
      <c r="J2959" s="7" t="str">
        <f ca="1">IFERROR(__xludf.DUMMYFUNCTION("GOOGLEFINANCE(""NSE:""&amp;D2959,""marketcap"")"),"#N/A")</f>
        <v>#N/A</v>
      </c>
      <c r="K2959" s="7">
        <v>992.8</v>
      </c>
      <c r="L2959" s="8" t="str">
        <f ca="1">IFERROR(__xludf.DUMMYFUNCTION("GOOGLEFINANCE(""NSE:""&amp;D2959,""price"")"),"#N/A")</f>
        <v>#N/A</v>
      </c>
      <c r="M2959" s="9" t="e">
        <f t="shared" ca="1" si="57"/>
        <v>#VALUE!</v>
      </c>
      <c r="N2959" s="10" t="e">
        <f t="shared" ca="1" si="58"/>
        <v>#VALUE!</v>
      </c>
      <c r="O2959" s="7" t="str">
        <f ca="1">IFERROR(__xludf.DUMMYFUNCTION("GOOGLEFINANCE(""NSE:""&amp;D2959,""pe"")"),"#N/A")</f>
        <v>#N/A</v>
      </c>
      <c r="P2959" s="7" t="str">
        <f ca="1">IFERROR(__xludf.DUMMYFUNCTION("GOOGLEFINANCE(""NSE:""&amp;D2959,""EPS"")"),"#N/A")</f>
        <v>#N/A</v>
      </c>
      <c r="Q2959" s="7">
        <v>13.5</v>
      </c>
      <c r="R2959" s="7" t="str">
        <f ca="1">IFERROR(__xludf.DUMMYFUNCTION("IMPORTXML(E2959,""/html/body/main/div[3]/div[3]/div[2]/ul/li[7]/span[2]/span"")"),"Loading...")</f>
        <v>Loading...</v>
      </c>
      <c r="S2959" s="7" t="str">
        <f ca="1">IFERROR(__xludf.DUMMYFUNCTION("IMPORTXML(E2959,""/html/body/main/div[3]/div[3]/div[2]/ul/li[8]/span[2]/span"")"),"Loading...")</f>
        <v>Loading...</v>
      </c>
      <c r="T2959" s="4">
        <v>34.6</v>
      </c>
      <c r="U2959" s="4">
        <v>22.7</v>
      </c>
      <c r="V2959" s="4">
        <v>2.6</v>
      </c>
      <c r="W2959" s="4">
        <v>5.7</v>
      </c>
      <c r="X2959" s="4">
        <v>519.92999999999995</v>
      </c>
      <c r="Y2959" s="7" t="e">
        <f t="shared" ca="1" si="59"/>
        <v>#VALUE!</v>
      </c>
    </row>
    <row r="2960" spans="1:25" ht="15" x14ac:dyDescent="0.25">
      <c r="A2960" s="4">
        <v>2931</v>
      </c>
      <c r="C2960" s="41" t="s">
        <v>5269</v>
      </c>
      <c r="D2960" s="42"/>
      <c r="E2960" s="5" t="str">
        <f t="shared" si="55"/>
        <v>https://www.screener.in/company//consolidated/</v>
      </c>
      <c r="F2960" s="4">
        <v>443059</v>
      </c>
      <c r="G2960" s="4">
        <v>3832241897</v>
      </c>
      <c r="H2960" s="6" t="e">
        <f t="shared" ca="1" si="56"/>
        <v>#VALUE!</v>
      </c>
      <c r="I2960" s="7" t="str">
        <f ca="1">IFERROR(__xludf.DUMMYFUNCTION("IMPORTXML(E2960,""/html/body/main/div[3]/div[3]/div[2]/ul/li[5]/span[2]/span"")"),"Loading...")</f>
        <v>Loading...</v>
      </c>
      <c r="J2960" s="7" t="str">
        <f ca="1">IFERROR(__xludf.DUMMYFUNCTION("GOOGLEFINANCE(""NSE:""&amp;D2960,""marketcap"")"),"#N/A")</f>
        <v>#N/A</v>
      </c>
      <c r="K2960" s="7">
        <v>992.8</v>
      </c>
      <c r="L2960" s="8" t="str">
        <f ca="1">IFERROR(__xludf.DUMMYFUNCTION("GOOGLEFINANCE(""NSE:""&amp;D2960,""price"")"),"#N/A")</f>
        <v>#N/A</v>
      </c>
      <c r="M2960" s="9" t="e">
        <f t="shared" ca="1" si="57"/>
        <v>#VALUE!</v>
      </c>
      <c r="N2960" s="10" t="e">
        <f t="shared" ca="1" si="58"/>
        <v>#VALUE!</v>
      </c>
      <c r="O2960" s="7" t="str">
        <f ca="1">IFERROR(__xludf.DUMMYFUNCTION("GOOGLEFINANCE(""NSE:""&amp;D2960,""pe"")"),"#N/A")</f>
        <v>#N/A</v>
      </c>
      <c r="P2960" s="7" t="str">
        <f ca="1">IFERROR(__xludf.DUMMYFUNCTION("GOOGLEFINANCE(""NSE:""&amp;D2960,""EPS"")"),"#N/A")</f>
        <v>#N/A</v>
      </c>
      <c r="Q2960" s="7">
        <v>13.5</v>
      </c>
      <c r="R2960" s="7" t="str">
        <f ca="1">IFERROR(__xludf.DUMMYFUNCTION("IMPORTXML(E2960,""/html/body/main/div[3]/div[3]/div[2]/ul/li[7]/span[2]/span"")"),"Loading...")</f>
        <v>Loading...</v>
      </c>
      <c r="S2960" s="7" t="str">
        <f ca="1">IFERROR(__xludf.DUMMYFUNCTION("IMPORTXML(E2960,""/html/body/main/div[3]/div[3]/div[2]/ul/li[8]/span[2]/span"")"),"Loading...")</f>
        <v>Loading...</v>
      </c>
      <c r="T2960" s="4">
        <v>34.6</v>
      </c>
      <c r="U2960" s="4">
        <v>22.7</v>
      </c>
      <c r="V2960" s="4">
        <v>2.6</v>
      </c>
      <c r="W2960" s="4">
        <v>5.7</v>
      </c>
      <c r="X2960" s="4">
        <v>519.92999999999995</v>
      </c>
      <c r="Y2960" s="7" t="e">
        <f t="shared" ca="1" si="59"/>
        <v>#VALUE!</v>
      </c>
    </row>
    <row r="2961" spans="1:25" ht="15" x14ac:dyDescent="0.25">
      <c r="A2961" s="4">
        <v>2932</v>
      </c>
      <c r="C2961" s="41" t="s">
        <v>5270</v>
      </c>
      <c r="D2961" s="42"/>
      <c r="E2961" s="5" t="str">
        <f t="shared" si="55"/>
        <v>https://www.screener.in/company//consolidated/</v>
      </c>
      <c r="F2961" s="4">
        <v>443059</v>
      </c>
      <c r="G2961" s="4">
        <v>3832241897</v>
      </c>
      <c r="H2961" s="6" t="e">
        <f t="shared" ca="1" si="56"/>
        <v>#VALUE!</v>
      </c>
      <c r="I2961" s="7" t="str">
        <f ca="1">IFERROR(__xludf.DUMMYFUNCTION("IMPORTXML(E2961,""/html/body/main/div[3]/div[3]/div[2]/ul/li[5]/span[2]/span"")"),"Loading...")</f>
        <v>Loading...</v>
      </c>
      <c r="J2961" s="7" t="str">
        <f ca="1">IFERROR(__xludf.DUMMYFUNCTION("GOOGLEFINANCE(""NSE:""&amp;D2961,""marketcap"")"),"#N/A")</f>
        <v>#N/A</v>
      </c>
      <c r="K2961" s="7">
        <v>992.8</v>
      </c>
      <c r="L2961" s="8" t="str">
        <f ca="1">IFERROR(__xludf.DUMMYFUNCTION("GOOGLEFINANCE(""NSE:""&amp;D2961,""price"")"),"#N/A")</f>
        <v>#N/A</v>
      </c>
      <c r="M2961" s="9" t="e">
        <f t="shared" ca="1" si="57"/>
        <v>#VALUE!</v>
      </c>
      <c r="N2961" s="10" t="e">
        <f t="shared" ca="1" si="58"/>
        <v>#VALUE!</v>
      </c>
      <c r="O2961" s="7" t="str">
        <f ca="1">IFERROR(__xludf.DUMMYFUNCTION("GOOGLEFINANCE(""NSE:""&amp;D2961,""pe"")"),"#N/A")</f>
        <v>#N/A</v>
      </c>
      <c r="P2961" s="7" t="str">
        <f ca="1">IFERROR(__xludf.DUMMYFUNCTION("GOOGLEFINANCE(""NSE:""&amp;D2961,""EPS"")"),"#N/A")</f>
        <v>#N/A</v>
      </c>
      <c r="Q2961" s="7">
        <v>13.5</v>
      </c>
      <c r="R2961" s="7" t="str">
        <f ca="1">IFERROR(__xludf.DUMMYFUNCTION("IMPORTXML(E2961,""/html/body/main/div[3]/div[3]/div[2]/ul/li[7]/span[2]/span"")"),"Loading...")</f>
        <v>Loading...</v>
      </c>
      <c r="S2961" s="7" t="str">
        <f ca="1">IFERROR(__xludf.DUMMYFUNCTION("IMPORTXML(E2961,""/html/body/main/div[3]/div[3]/div[2]/ul/li[8]/span[2]/span"")"),"Loading...")</f>
        <v>Loading...</v>
      </c>
      <c r="T2961" s="4">
        <v>34.6</v>
      </c>
      <c r="U2961" s="4">
        <v>22.7</v>
      </c>
      <c r="V2961" s="4">
        <v>2.6</v>
      </c>
      <c r="W2961" s="4">
        <v>5.7</v>
      </c>
      <c r="X2961" s="4">
        <v>519.92999999999995</v>
      </c>
      <c r="Y2961" s="7" t="e">
        <f t="shared" ca="1" si="59"/>
        <v>#VALUE!</v>
      </c>
    </row>
    <row r="2962" spans="1:25" ht="15" x14ac:dyDescent="0.25">
      <c r="A2962" s="4">
        <v>2933</v>
      </c>
      <c r="C2962" s="41" t="s">
        <v>5271</v>
      </c>
      <c r="D2962" s="42"/>
      <c r="E2962" s="5" t="str">
        <f t="shared" si="55"/>
        <v>https://www.screener.in/company//consolidated/</v>
      </c>
      <c r="F2962" s="4">
        <v>443059</v>
      </c>
      <c r="G2962" s="4">
        <v>3832241897</v>
      </c>
      <c r="H2962" s="6" t="e">
        <f t="shared" ca="1" si="56"/>
        <v>#VALUE!</v>
      </c>
      <c r="I2962" s="7" t="str">
        <f ca="1">IFERROR(__xludf.DUMMYFUNCTION("IMPORTXML(E2962,""/html/body/main/div[3]/div[3]/div[2]/ul/li[5]/span[2]/span"")"),"Loading...")</f>
        <v>Loading...</v>
      </c>
      <c r="J2962" s="7" t="str">
        <f ca="1">IFERROR(__xludf.DUMMYFUNCTION("GOOGLEFINANCE(""NSE:""&amp;D2962,""marketcap"")"),"#N/A")</f>
        <v>#N/A</v>
      </c>
      <c r="K2962" s="7">
        <v>992.8</v>
      </c>
      <c r="L2962" s="8" t="str">
        <f ca="1">IFERROR(__xludf.DUMMYFUNCTION("GOOGLEFINANCE(""NSE:""&amp;D2962,""price"")"),"#N/A")</f>
        <v>#N/A</v>
      </c>
      <c r="M2962" s="9" t="e">
        <f t="shared" ca="1" si="57"/>
        <v>#VALUE!</v>
      </c>
      <c r="N2962" s="10" t="e">
        <f t="shared" ca="1" si="58"/>
        <v>#VALUE!</v>
      </c>
      <c r="O2962" s="7" t="str">
        <f ca="1">IFERROR(__xludf.DUMMYFUNCTION("GOOGLEFINANCE(""NSE:""&amp;D2962,""pe"")"),"#N/A")</f>
        <v>#N/A</v>
      </c>
      <c r="P2962" s="7" t="str">
        <f ca="1">IFERROR(__xludf.DUMMYFUNCTION("GOOGLEFINANCE(""NSE:""&amp;D2962,""EPS"")"),"#N/A")</f>
        <v>#N/A</v>
      </c>
      <c r="Q2962" s="7">
        <v>13.5</v>
      </c>
      <c r="R2962" s="7" t="str">
        <f ca="1">IFERROR(__xludf.DUMMYFUNCTION("IMPORTXML(E2962,""/html/body/main/div[3]/div[3]/div[2]/ul/li[7]/span[2]/span"")"),"Loading...")</f>
        <v>Loading...</v>
      </c>
      <c r="S2962" s="7" t="str">
        <f ca="1">IFERROR(__xludf.DUMMYFUNCTION("IMPORTXML(E2962,""/html/body/main/div[3]/div[3]/div[2]/ul/li[8]/span[2]/span"")"),"Loading...")</f>
        <v>Loading...</v>
      </c>
      <c r="T2962" s="4">
        <v>34.6</v>
      </c>
      <c r="U2962" s="4">
        <v>22.7</v>
      </c>
      <c r="V2962" s="4">
        <v>2.6</v>
      </c>
      <c r="W2962" s="4">
        <v>5.7</v>
      </c>
      <c r="X2962" s="4">
        <v>519.92999999999995</v>
      </c>
      <c r="Y2962" s="7" t="e">
        <f t="shared" ca="1" si="59"/>
        <v>#VALUE!</v>
      </c>
    </row>
    <row r="2963" spans="1:25" ht="15" x14ac:dyDescent="0.25">
      <c r="A2963" s="4">
        <v>2934</v>
      </c>
      <c r="C2963" s="12" t="s">
        <v>5272</v>
      </c>
      <c r="D2963" s="12" t="s">
        <v>5273</v>
      </c>
      <c r="E2963" s="5" t="str">
        <f t="shared" si="55"/>
        <v>https://www.screener.in/company/VINEETLAB/consolidated/</v>
      </c>
      <c r="F2963" s="4">
        <v>443059</v>
      </c>
      <c r="G2963" s="4">
        <v>3832241897</v>
      </c>
      <c r="H2963" s="6">
        <f t="shared" ca="1" si="56"/>
        <v>12516.102035601998</v>
      </c>
      <c r="I2963" s="7" t="str">
        <f ca="1">IFERROR(__xludf.DUMMYFUNCTION("IMPORTXML(E2963,""/html/body/main/div[3]/div[3]/div[2]/ul/li[5]/span[2]/span"")"),"Loading...")</f>
        <v>Loading...</v>
      </c>
      <c r="J2963" s="7">
        <f ca="1">IFERROR(__xludf.DUMMYFUNCTION("GOOGLEFINANCE(""NSE:""&amp;D2963,""marketcap"")"),301092734)</f>
        <v>301092734</v>
      </c>
      <c r="K2963" s="7">
        <v>992.8</v>
      </c>
      <c r="L2963" s="8">
        <f ca="1">IFERROR(__xludf.DUMMYFUNCTION("GOOGLEFINANCE(""NSE:""&amp;D2963,""price"")"),32.66)</f>
        <v>32.659999999999997</v>
      </c>
      <c r="M2963" s="9">
        <f t="shared" ca="1" si="57"/>
        <v>-960.14</v>
      </c>
      <c r="N2963" s="10">
        <f t="shared" ca="1" si="58"/>
        <v>-96.710314262691384</v>
      </c>
      <c r="O2963" s="7" t="str">
        <f ca="1">IFERROR(__xludf.DUMMYFUNCTION("GOOGLEFINANCE(""NSE:""&amp;D2963,""pe"")"),"#N/A")</f>
        <v>#N/A</v>
      </c>
      <c r="P2963" s="7">
        <f ca="1">IFERROR(__xludf.DUMMYFUNCTION("GOOGLEFINANCE(""NSE:""&amp;D2963,""EPS"")"),-20.51)</f>
        <v>-20.51</v>
      </c>
      <c r="Q2963" s="7">
        <v>13.5</v>
      </c>
      <c r="R2963" s="7" t="str">
        <f ca="1">IFERROR(__xludf.DUMMYFUNCTION("IMPORTXML(E2963,""/html/body/main/div[3]/div[3]/div[2]/ul/li[7]/span[2]/span"")"),"Loading...")</f>
        <v>Loading...</v>
      </c>
      <c r="S2963" s="7" t="str">
        <f ca="1">IFERROR(__xludf.DUMMYFUNCTION("IMPORTXML(E2963,""/html/body/main/div[3]/div[3]/div[2]/ul/li[8]/span[2]/span"")"),"Loading...")</f>
        <v>Loading...</v>
      </c>
      <c r="T2963" s="4">
        <v>34.6</v>
      </c>
      <c r="U2963" s="4">
        <v>22.7</v>
      </c>
      <c r="V2963" s="4">
        <v>2.6</v>
      </c>
      <c r="W2963" s="4">
        <v>5.7</v>
      </c>
      <c r="X2963" s="4">
        <v>519.92999999999995</v>
      </c>
      <c r="Y2963" s="7">
        <f t="shared" ca="1" si="59"/>
        <v>-487.27</v>
      </c>
    </row>
    <row r="2964" spans="1:25" ht="15" x14ac:dyDescent="0.25">
      <c r="A2964" s="4">
        <v>2935</v>
      </c>
      <c r="C2964" s="41" t="s">
        <v>5274</v>
      </c>
      <c r="D2964" s="42"/>
      <c r="E2964" s="5" t="str">
        <f t="shared" si="55"/>
        <v>https://www.screener.in/company//consolidated/</v>
      </c>
      <c r="F2964" s="4">
        <v>443059</v>
      </c>
      <c r="G2964" s="4">
        <v>3832241897</v>
      </c>
      <c r="H2964" s="6" t="e">
        <f t="shared" ca="1" si="56"/>
        <v>#VALUE!</v>
      </c>
      <c r="I2964" s="7" t="str">
        <f ca="1">IFERROR(__xludf.DUMMYFUNCTION("IMPORTXML(E2964,""/html/body/main/div[3]/div[3]/div[2]/ul/li[5]/span[2]/span"")"),"Loading...")</f>
        <v>Loading...</v>
      </c>
      <c r="J2964" s="7" t="str">
        <f ca="1">IFERROR(__xludf.DUMMYFUNCTION("GOOGLEFINANCE(""NSE:""&amp;D2964,""marketcap"")"),"#N/A")</f>
        <v>#N/A</v>
      </c>
      <c r="K2964" s="7">
        <v>992.8</v>
      </c>
      <c r="L2964" s="8" t="str">
        <f ca="1">IFERROR(__xludf.DUMMYFUNCTION("GOOGLEFINANCE(""NSE:""&amp;D2964,""price"")"),"#N/A")</f>
        <v>#N/A</v>
      </c>
      <c r="M2964" s="9" t="e">
        <f t="shared" ca="1" si="57"/>
        <v>#VALUE!</v>
      </c>
      <c r="N2964" s="10" t="e">
        <f t="shared" ca="1" si="58"/>
        <v>#VALUE!</v>
      </c>
      <c r="O2964" s="7" t="str">
        <f ca="1">IFERROR(__xludf.DUMMYFUNCTION("GOOGLEFINANCE(""NSE:""&amp;D2964,""pe"")"),"#N/A")</f>
        <v>#N/A</v>
      </c>
      <c r="P2964" s="7" t="str">
        <f ca="1">IFERROR(__xludf.DUMMYFUNCTION("GOOGLEFINANCE(""NSE:""&amp;D2964,""EPS"")"),"#N/A")</f>
        <v>#N/A</v>
      </c>
      <c r="Q2964" s="7">
        <v>13.5</v>
      </c>
      <c r="R2964" s="7" t="str">
        <f ca="1">IFERROR(__xludf.DUMMYFUNCTION("IMPORTXML(E2964,""/html/body/main/div[3]/div[3]/div[2]/ul/li[7]/span[2]/span"")"),"Loading...")</f>
        <v>Loading...</v>
      </c>
      <c r="S2964" s="7" t="str">
        <f ca="1">IFERROR(__xludf.DUMMYFUNCTION("IMPORTXML(E2964,""/html/body/main/div[3]/div[3]/div[2]/ul/li[8]/span[2]/span"")"),"Loading...")</f>
        <v>Loading...</v>
      </c>
      <c r="T2964" s="4">
        <v>34.6</v>
      </c>
      <c r="U2964" s="4">
        <v>22.7</v>
      </c>
      <c r="V2964" s="4">
        <v>2.6</v>
      </c>
      <c r="W2964" s="4">
        <v>5.7</v>
      </c>
      <c r="X2964" s="4">
        <v>519.92999999999995</v>
      </c>
      <c r="Y2964" s="7" t="e">
        <f t="shared" ca="1" si="59"/>
        <v>#VALUE!</v>
      </c>
    </row>
    <row r="2965" spans="1:25" ht="15" x14ac:dyDescent="0.25">
      <c r="A2965" s="4">
        <v>2936</v>
      </c>
      <c r="C2965" s="41" t="s">
        <v>5275</v>
      </c>
      <c r="D2965" s="42"/>
      <c r="E2965" s="5" t="str">
        <f t="shared" si="55"/>
        <v>https://www.screener.in/company//consolidated/</v>
      </c>
      <c r="F2965" s="4">
        <v>443059</v>
      </c>
      <c r="G2965" s="4">
        <v>3832241897</v>
      </c>
      <c r="H2965" s="6" t="e">
        <f t="shared" ca="1" si="56"/>
        <v>#VALUE!</v>
      </c>
      <c r="I2965" s="7" t="str">
        <f ca="1">IFERROR(__xludf.DUMMYFUNCTION("IMPORTXML(E2965,""/html/body/main/div[3]/div[3]/div[2]/ul/li[5]/span[2]/span"")"),"Loading...")</f>
        <v>Loading...</v>
      </c>
      <c r="J2965" s="7" t="str">
        <f ca="1">IFERROR(__xludf.DUMMYFUNCTION("GOOGLEFINANCE(""NSE:""&amp;D2965,""marketcap"")"),"#N/A")</f>
        <v>#N/A</v>
      </c>
      <c r="K2965" s="7">
        <v>992.8</v>
      </c>
      <c r="L2965" s="8" t="str">
        <f ca="1">IFERROR(__xludf.DUMMYFUNCTION("GOOGLEFINANCE(""NSE:""&amp;D2965,""price"")"),"#N/A")</f>
        <v>#N/A</v>
      </c>
      <c r="M2965" s="9" t="e">
        <f t="shared" ca="1" si="57"/>
        <v>#VALUE!</v>
      </c>
      <c r="N2965" s="10" t="e">
        <f t="shared" ca="1" si="58"/>
        <v>#VALUE!</v>
      </c>
      <c r="O2965" s="7" t="str">
        <f ca="1">IFERROR(__xludf.DUMMYFUNCTION("GOOGLEFINANCE(""NSE:""&amp;D2965,""pe"")"),"#N/A")</f>
        <v>#N/A</v>
      </c>
      <c r="P2965" s="7" t="str">
        <f ca="1">IFERROR(__xludf.DUMMYFUNCTION("GOOGLEFINANCE(""NSE:""&amp;D2965,""EPS"")"),"#N/A")</f>
        <v>#N/A</v>
      </c>
      <c r="Q2965" s="7">
        <v>13.5</v>
      </c>
      <c r="R2965" s="7" t="str">
        <f ca="1">IFERROR(__xludf.DUMMYFUNCTION("IMPORTXML(E2965,""/html/body/main/div[3]/div[3]/div[2]/ul/li[7]/span[2]/span"")"),"Loading...")</f>
        <v>Loading...</v>
      </c>
      <c r="S2965" s="7" t="str">
        <f ca="1">IFERROR(__xludf.DUMMYFUNCTION("IMPORTXML(E2965,""/html/body/main/div[3]/div[3]/div[2]/ul/li[8]/span[2]/span"")"),"Loading...")</f>
        <v>Loading...</v>
      </c>
      <c r="T2965" s="4">
        <v>34.6</v>
      </c>
      <c r="U2965" s="4">
        <v>22.7</v>
      </c>
      <c r="V2965" s="4">
        <v>2.6</v>
      </c>
      <c r="W2965" s="4">
        <v>5.7</v>
      </c>
      <c r="X2965" s="4">
        <v>519.92999999999995</v>
      </c>
      <c r="Y2965" s="7" t="e">
        <f t="shared" ca="1" si="59"/>
        <v>#VALUE!</v>
      </c>
    </row>
    <row r="2966" spans="1:25" ht="15" x14ac:dyDescent="0.25">
      <c r="A2966" s="4">
        <v>2937</v>
      </c>
      <c r="C2966" s="41" t="s">
        <v>5276</v>
      </c>
      <c r="D2966" s="42"/>
      <c r="E2966" s="5" t="str">
        <f t="shared" si="55"/>
        <v>https://www.screener.in/company//consolidated/</v>
      </c>
      <c r="F2966" s="4">
        <v>443059</v>
      </c>
      <c r="G2966" s="4">
        <v>3832241897</v>
      </c>
      <c r="H2966" s="6" t="e">
        <f t="shared" ca="1" si="56"/>
        <v>#VALUE!</v>
      </c>
      <c r="I2966" s="7" t="str">
        <f ca="1">IFERROR(__xludf.DUMMYFUNCTION("IMPORTXML(E2966,""/html/body/main/div[3]/div[3]/div[2]/ul/li[5]/span[2]/span"")"),"Loading...")</f>
        <v>Loading...</v>
      </c>
      <c r="J2966" s="7" t="str">
        <f ca="1">IFERROR(__xludf.DUMMYFUNCTION("GOOGLEFINANCE(""NSE:""&amp;D2966,""marketcap"")"),"#N/A")</f>
        <v>#N/A</v>
      </c>
      <c r="K2966" s="7">
        <v>992.8</v>
      </c>
      <c r="L2966" s="8" t="str">
        <f ca="1">IFERROR(__xludf.DUMMYFUNCTION("GOOGLEFINANCE(""NSE:""&amp;D2966,""price"")"),"#N/A")</f>
        <v>#N/A</v>
      </c>
      <c r="M2966" s="9" t="e">
        <f t="shared" ca="1" si="57"/>
        <v>#VALUE!</v>
      </c>
      <c r="N2966" s="10" t="e">
        <f t="shared" ca="1" si="58"/>
        <v>#VALUE!</v>
      </c>
      <c r="O2966" s="7" t="str">
        <f ca="1">IFERROR(__xludf.DUMMYFUNCTION("GOOGLEFINANCE(""NSE:""&amp;D2966,""pe"")"),"#N/A")</f>
        <v>#N/A</v>
      </c>
      <c r="P2966" s="7" t="str">
        <f ca="1">IFERROR(__xludf.DUMMYFUNCTION("GOOGLEFINANCE(""NSE:""&amp;D2966,""EPS"")"),"#N/A")</f>
        <v>#N/A</v>
      </c>
      <c r="Q2966" s="7">
        <v>13.5</v>
      </c>
      <c r="R2966" s="7" t="str">
        <f ca="1">IFERROR(__xludf.DUMMYFUNCTION("IMPORTXML(E2966,""/html/body/main/div[3]/div[3]/div[2]/ul/li[7]/span[2]/span"")"),"Loading...")</f>
        <v>Loading...</v>
      </c>
      <c r="S2966" s="7" t="str">
        <f ca="1">IFERROR(__xludf.DUMMYFUNCTION("IMPORTXML(E2966,""/html/body/main/div[3]/div[3]/div[2]/ul/li[8]/span[2]/span"")"),"Loading...")</f>
        <v>Loading...</v>
      </c>
      <c r="T2966" s="4">
        <v>34.6</v>
      </c>
      <c r="U2966" s="4">
        <v>22.7</v>
      </c>
      <c r="V2966" s="4">
        <v>2.6</v>
      </c>
      <c r="W2966" s="4">
        <v>5.7</v>
      </c>
      <c r="X2966" s="4">
        <v>519.92999999999995</v>
      </c>
      <c r="Y2966" s="7" t="e">
        <f t="shared" ca="1" si="59"/>
        <v>#VALUE!</v>
      </c>
    </row>
    <row r="2967" spans="1:25" ht="15" x14ac:dyDescent="0.25">
      <c r="A2967" s="4">
        <v>2938</v>
      </c>
      <c r="C2967" s="41" t="s">
        <v>5277</v>
      </c>
      <c r="D2967" s="42"/>
      <c r="E2967" s="5" t="str">
        <f t="shared" si="55"/>
        <v>https://www.screener.in/company//consolidated/</v>
      </c>
      <c r="F2967" s="4">
        <v>443059</v>
      </c>
      <c r="G2967" s="4">
        <v>3832241897</v>
      </c>
      <c r="H2967" s="6" t="e">
        <f t="shared" ca="1" si="56"/>
        <v>#VALUE!</v>
      </c>
      <c r="I2967" s="7" t="str">
        <f ca="1">IFERROR(__xludf.DUMMYFUNCTION("IMPORTXML(E2967,""/html/body/main/div[3]/div[3]/div[2]/ul/li[5]/span[2]/span"")"),"Loading...")</f>
        <v>Loading...</v>
      </c>
      <c r="J2967" s="7" t="str">
        <f ca="1">IFERROR(__xludf.DUMMYFUNCTION("GOOGLEFINANCE(""NSE:""&amp;D2967,""marketcap"")"),"#N/A")</f>
        <v>#N/A</v>
      </c>
      <c r="K2967" s="7">
        <v>992.8</v>
      </c>
      <c r="L2967" s="8" t="str">
        <f ca="1">IFERROR(__xludf.DUMMYFUNCTION("GOOGLEFINANCE(""NSE:""&amp;D2967,""price"")"),"#N/A")</f>
        <v>#N/A</v>
      </c>
      <c r="M2967" s="9" t="e">
        <f t="shared" ca="1" si="57"/>
        <v>#VALUE!</v>
      </c>
      <c r="N2967" s="10" t="e">
        <f t="shared" ca="1" si="58"/>
        <v>#VALUE!</v>
      </c>
      <c r="O2967" s="7" t="str">
        <f ca="1">IFERROR(__xludf.DUMMYFUNCTION("GOOGLEFINANCE(""NSE:""&amp;D2967,""pe"")"),"#N/A")</f>
        <v>#N/A</v>
      </c>
      <c r="P2967" s="7" t="str">
        <f ca="1">IFERROR(__xludf.DUMMYFUNCTION("GOOGLEFINANCE(""NSE:""&amp;D2967,""EPS"")"),"#N/A")</f>
        <v>#N/A</v>
      </c>
      <c r="Q2967" s="7">
        <v>13.5</v>
      </c>
      <c r="R2967" s="7" t="str">
        <f ca="1">IFERROR(__xludf.DUMMYFUNCTION("IMPORTXML(E2967,""/html/body/main/div[3]/div[3]/div[2]/ul/li[7]/span[2]/span"")"),"Loading...")</f>
        <v>Loading...</v>
      </c>
      <c r="S2967" s="7" t="str">
        <f ca="1">IFERROR(__xludf.DUMMYFUNCTION("IMPORTXML(E2967,""/html/body/main/div[3]/div[3]/div[2]/ul/li[8]/span[2]/span"")"),"Loading...")</f>
        <v>Loading...</v>
      </c>
      <c r="T2967" s="4">
        <v>34.6</v>
      </c>
      <c r="U2967" s="4">
        <v>22.7</v>
      </c>
      <c r="V2967" s="4">
        <v>2.6</v>
      </c>
      <c r="W2967" s="4">
        <v>5.7</v>
      </c>
      <c r="X2967" s="4">
        <v>519.92999999999995</v>
      </c>
      <c r="Y2967" s="7" t="e">
        <f t="shared" ca="1" si="59"/>
        <v>#VALUE!</v>
      </c>
    </row>
    <row r="2968" spans="1:25" ht="15" x14ac:dyDescent="0.25">
      <c r="A2968" s="4">
        <v>2940</v>
      </c>
      <c r="C2968" s="41" t="s">
        <v>5278</v>
      </c>
      <c r="D2968" s="42"/>
      <c r="E2968" s="5" t="str">
        <f t="shared" ref="E2968:E3222" si="60">"https://www.screener.in/company/"&amp; D2968&amp;"/consolidated/"</f>
        <v>https://www.screener.in/company//consolidated/</v>
      </c>
      <c r="F2968" s="4">
        <v>443059</v>
      </c>
      <c r="G2968" s="4">
        <v>3832241897</v>
      </c>
      <c r="H2968" s="6" t="e">
        <f t="shared" ref="H2968:H3222" ca="1" si="61">(G2968*L2968)/10^7</f>
        <v>#VALUE!</v>
      </c>
      <c r="I2968" s="7" t="str">
        <f ca="1">IFERROR(__xludf.DUMMYFUNCTION("IMPORTXML(E2968,""/html/body/main/div[3]/div[3]/div[2]/ul/li[5]/span[2]/span"")"),"Loading...")</f>
        <v>Loading...</v>
      </c>
      <c r="J2968" s="7" t="str">
        <f ca="1">IFERROR(__xludf.DUMMYFUNCTION("GOOGLEFINANCE(""NSE:""&amp;D2968,""marketcap"")"),"#N/A")</f>
        <v>#N/A</v>
      </c>
      <c r="K2968" s="7">
        <v>992.8</v>
      </c>
      <c r="L2968" s="8" t="str">
        <f ca="1">IFERROR(__xludf.DUMMYFUNCTION("GOOGLEFINANCE(""NSE:""&amp;D2968,""price"")"),"#N/A")</f>
        <v>#N/A</v>
      </c>
      <c r="M2968" s="9" t="e">
        <f t="shared" ref="M2968:M3222" ca="1" si="62">L2968-K2968</f>
        <v>#VALUE!</v>
      </c>
      <c r="N2968" s="10" t="e">
        <f t="shared" ref="N2968:N3222" ca="1" si="63">(M2968/K2968)*100</f>
        <v>#VALUE!</v>
      </c>
      <c r="O2968" s="7" t="str">
        <f ca="1">IFERROR(__xludf.DUMMYFUNCTION("GOOGLEFINANCE(""NSE:""&amp;D2968,""pe"")"),"#N/A")</f>
        <v>#N/A</v>
      </c>
      <c r="P2968" s="7" t="str">
        <f ca="1">IFERROR(__xludf.DUMMYFUNCTION("GOOGLEFINANCE(""NSE:""&amp;D2968,""EPS"")"),"#N/A")</f>
        <v>#N/A</v>
      </c>
      <c r="Q2968" s="7">
        <v>13.5</v>
      </c>
      <c r="R2968" s="7" t="str">
        <f ca="1">IFERROR(__xludf.DUMMYFUNCTION("IMPORTXML(E2968,""/html/body/main/div[3]/div[3]/div[2]/ul/li[7]/span[2]/span"")"),"Loading...")</f>
        <v>Loading...</v>
      </c>
      <c r="S2968" s="7" t="str">
        <f ca="1">IFERROR(__xludf.DUMMYFUNCTION("IMPORTXML(E2968,""/html/body/main/div[3]/div[3]/div[2]/ul/li[8]/span[2]/span"")"),"Loading...")</f>
        <v>Loading...</v>
      </c>
      <c r="T2968" s="4">
        <v>34.6</v>
      </c>
      <c r="U2968" s="4">
        <v>22.7</v>
      </c>
      <c r="V2968" s="4">
        <v>2.6</v>
      </c>
      <c r="W2968" s="4">
        <v>5.7</v>
      </c>
      <c r="X2968" s="4">
        <v>519.92999999999995</v>
      </c>
      <c r="Y2968" s="7" t="e">
        <f t="shared" ref="Y2968:Y3222" ca="1" si="64">L2968-X2968</f>
        <v>#VALUE!</v>
      </c>
    </row>
    <row r="2969" spans="1:25" ht="15" x14ac:dyDescent="0.25">
      <c r="A2969" s="4">
        <v>2941</v>
      </c>
      <c r="C2969" s="41" t="s">
        <v>5279</v>
      </c>
      <c r="D2969" s="42"/>
      <c r="E2969" s="5" t="str">
        <f t="shared" si="60"/>
        <v>https://www.screener.in/company//consolidated/</v>
      </c>
      <c r="F2969" s="4">
        <v>443059</v>
      </c>
      <c r="G2969" s="4">
        <v>3832241897</v>
      </c>
      <c r="H2969" s="6" t="e">
        <f t="shared" ca="1" si="61"/>
        <v>#VALUE!</v>
      </c>
      <c r="I2969" s="7" t="str">
        <f ca="1">IFERROR(__xludf.DUMMYFUNCTION("IMPORTXML(E2969,""/html/body/main/div[3]/div[3]/div[2]/ul/li[5]/span[2]/span"")"),"Loading...")</f>
        <v>Loading...</v>
      </c>
      <c r="J2969" s="7" t="str">
        <f ca="1">IFERROR(__xludf.DUMMYFUNCTION("GOOGLEFINANCE(""NSE:""&amp;D2969,""marketcap"")"),"#N/A")</f>
        <v>#N/A</v>
      </c>
      <c r="K2969" s="7">
        <v>992.8</v>
      </c>
      <c r="L2969" s="8" t="str">
        <f ca="1">IFERROR(__xludf.DUMMYFUNCTION("GOOGLEFINANCE(""NSE:""&amp;D2969,""price"")"),"#N/A")</f>
        <v>#N/A</v>
      </c>
      <c r="M2969" s="9" t="e">
        <f t="shared" ca="1" si="62"/>
        <v>#VALUE!</v>
      </c>
      <c r="N2969" s="10" t="e">
        <f t="shared" ca="1" si="63"/>
        <v>#VALUE!</v>
      </c>
      <c r="O2969" s="7" t="str">
        <f ca="1">IFERROR(__xludf.DUMMYFUNCTION("GOOGLEFINANCE(""NSE:""&amp;D2969,""pe"")"),"#N/A")</f>
        <v>#N/A</v>
      </c>
      <c r="P2969" s="7" t="str">
        <f ca="1">IFERROR(__xludf.DUMMYFUNCTION("GOOGLEFINANCE(""NSE:""&amp;D2969,""EPS"")"),"#N/A")</f>
        <v>#N/A</v>
      </c>
      <c r="Q2969" s="7">
        <v>13.5</v>
      </c>
      <c r="R2969" s="7" t="str">
        <f ca="1">IFERROR(__xludf.DUMMYFUNCTION("IMPORTXML(E2969,""/html/body/main/div[3]/div[3]/div[2]/ul/li[7]/span[2]/span"")"),"Loading...")</f>
        <v>Loading...</v>
      </c>
      <c r="S2969" s="7" t="str">
        <f ca="1">IFERROR(__xludf.DUMMYFUNCTION("IMPORTXML(E2969,""/html/body/main/div[3]/div[3]/div[2]/ul/li[8]/span[2]/span"")"),"Loading...")</f>
        <v>Loading...</v>
      </c>
      <c r="T2969" s="4">
        <v>34.6</v>
      </c>
      <c r="U2969" s="4">
        <v>22.7</v>
      </c>
      <c r="V2969" s="4">
        <v>2.6</v>
      </c>
      <c r="W2969" s="4">
        <v>5.7</v>
      </c>
      <c r="X2969" s="4">
        <v>519.92999999999995</v>
      </c>
      <c r="Y2969" s="7" t="e">
        <f t="shared" ca="1" si="64"/>
        <v>#VALUE!</v>
      </c>
    </row>
    <row r="2970" spans="1:25" ht="15" x14ac:dyDescent="0.25">
      <c r="A2970" s="4">
        <v>2942</v>
      </c>
      <c r="C2970" s="41" t="s">
        <v>5280</v>
      </c>
      <c r="D2970" s="42"/>
      <c r="E2970" s="5" t="str">
        <f t="shared" si="60"/>
        <v>https://www.screener.in/company//consolidated/</v>
      </c>
      <c r="F2970" s="4">
        <v>443059</v>
      </c>
      <c r="G2970" s="4">
        <v>3832241897</v>
      </c>
      <c r="H2970" s="6" t="e">
        <f t="shared" ca="1" si="61"/>
        <v>#VALUE!</v>
      </c>
      <c r="I2970" s="7" t="str">
        <f ca="1">IFERROR(__xludf.DUMMYFUNCTION("IMPORTXML(E2970,""/html/body/main/div[3]/div[3]/div[2]/ul/li[5]/span[2]/span"")"),"Loading...")</f>
        <v>Loading...</v>
      </c>
      <c r="J2970" s="7" t="str">
        <f ca="1">IFERROR(__xludf.DUMMYFUNCTION("GOOGLEFINANCE(""NSE:""&amp;D2970,""marketcap"")"),"#N/A")</f>
        <v>#N/A</v>
      </c>
      <c r="K2970" s="7">
        <v>992.8</v>
      </c>
      <c r="L2970" s="8" t="str">
        <f ca="1">IFERROR(__xludf.DUMMYFUNCTION("GOOGLEFINANCE(""NSE:""&amp;D2970,""price"")"),"#N/A")</f>
        <v>#N/A</v>
      </c>
      <c r="M2970" s="9" t="e">
        <f t="shared" ca="1" si="62"/>
        <v>#VALUE!</v>
      </c>
      <c r="N2970" s="10" t="e">
        <f t="shared" ca="1" si="63"/>
        <v>#VALUE!</v>
      </c>
      <c r="O2970" s="7" t="str">
        <f ca="1">IFERROR(__xludf.DUMMYFUNCTION("GOOGLEFINANCE(""NSE:""&amp;D2970,""pe"")"),"#N/A")</f>
        <v>#N/A</v>
      </c>
      <c r="P2970" s="7" t="str">
        <f ca="1">IFERROR(__xludf.DUMMYFUNCTION("GOOGLEFINANCE(""NSE:""&amp;D2970,""EPS"")"),"#N/A")</f>
        <v>#N/A</v>
      </c>
      <c r="Q2970" s="7">
        <v>13.5</v>
      </c>
      <c r="R2970" s="7" t="str">
        <f ca="1">IFERROR(__xludf.DUMMYFUNCTION("IMPORTXML(E2970,""/html/body/main/div[3]/div[3]/div[2]/ul/li[7]/span[2]/span"")"),"Loading...")</f>
        <v>Loading...</v>
      </c>
      <c r="S2970" s="7" t="str">
        <f ca="1">IFERROR(__xludf.DUMMYFUNCTION("IMPORTXML(E2970,""/html/body/main/div[3]/div[3]/div[2]/ul/li[8]/span[2]/span"")"),"Loading...")</f>
        <v>Loading...</v>
      </c>
      <c r="T2970" s="4">
        <v>34.6</v>
      </c>
      <c r="U2970" s="4">
        <v>22.7</v>
      </c>
      <c r="V2970" s="4">
        <v>2.6</v>
      </c>
      <c r="W2970" s="4">
        <v>5.7</v>
      </c>
      <c r="X2970" s="4">
        <v>519.92999999999995</v>
      </c>
      <c r="Y2970" s="7" t="e">
        <f t="shared" ca="1" si="64"/>
        <v>#VALUE!</v>
      </c>
    </row>
    <row r="2971" spans="1:25" ht="15" x14ac:dyDescent="0.25">
      <c r="A2971" s="4">
        <v>2943</v>
      </c>
      <c r="C2971" s="12" t="s">
        <v>5281</v>
      </c>
      <c r="D2971" s="12" t="s">
        <v>5282</v>
      </c>
      <c r="E2971" s="5" t="str">
        <f t="shared" si="60"/>
        <v>https://www.screener.in/company/SRPL/consolidated/</v>
      </c>
      <c r="F2971" s="4">
        <v>443059</v>
      </c>
      <c r="G2971" s="4">
        <v>3832241897</v>
      </c>
      <c r="H2971" s="6">
        <f t="shared" ca="1" si="61"/>
        <v>264.42469089299999</v>
      </c>
      <c r="I2971" s="7" t="str">
        <f ca="1">IFERROR(__xludf.DUMMYFUNCTION("IMPORTXML(E2971,""/html/body/main/div[3]/div[3]/div[2]/ul/li[5]/span[2]/span"")"),"Loading...")</f>
        <v>Loading...</v>
      </c>
      <c r="J2971" s="7">
        <f ca="1">IFERROR(__xludf.DUMMYFUNCTION("GOOGLEFINANCE(""NSE:""&amp;D2971,""marketcap"")"),295595998)</f>
        <v>295595998</v>
      </c>
      <c r="K2971" s="7">
        <v>992.8</v>
      </c>
      <c r="L2971" s="8">
        <f ca="1">IFERROR(__xludf.DUMMYFUNCTION("GOOGLEFINANCE(""NSE:""&amp;D2971,""price"")"),0.69)</f>
        <v>0.69</v>
      </c>
      <c r="M2971" s="9">
        <f t="shared" ca="1" si="62"/>
        <v>-992.1099999999999</v>
      </c>
      <c r="N2971" s="10">
        <f t="shared" ca="1" si="63"/>
        <v>-99.930499597099114</v>
      </c>
      <c r="O2971" s="7" t="str">
        <f ca="1">IFERROR(__xludf.DUMMYFUNCTION("GOOGLEFINANCE(""NSE:""&amp;D2971,""pe"")"),"#N/A")</f>
        <v>#N/A</v>
      </c>
      <c r="P2971" s="7">
        <f ca="1">IFERROR(__xludf.DUMMYFUNCTION("GOOGLEFINANCE(""NSE:""&amp;D2971,""EPS"")"),-1.04)</f>
        <v>-1.04</v>
      </c>
      <c r="Q2971" s="7">
        <v>13.5</v>
      </c>
      <c r="R2971" s="7" t="str">
        <f ca="1">IFERROR(__xludf.DUMMYFUNCTION("IMPORTXML(E2971,""/html/body/main/div[3]/div[3]/div[2]/ul/li[7]/span[2]/span"")"),"Loading...")</f>
        <v>Loading...</v>
      </c>
      <c r="S2971" s="7" t="str">
        <f ca="1">IFERROR(__xludf.DUMMYFUNCTION("IMPORTXML(E2971,""/html/body/main/div[3]/div[3]/div[2]/ul/li[8]/span[2]/span"")"),"Loading...")</f>
        <v>Loading...</v>
      </c>
      <c r="T2971" s="4">
        <v>34.6</v>
      </c>
      <c r="U2971" s="4">
        <v>22.7</v>
      </c>
      <c r="V2971" s="4">
        <v>2.6</v>
      </c>
      <c r="W2971" s="4">
        <v>5.7</v>
      </c>
      <c r="X2971" s="4">
        <v>519.92999999999995</v>
      </c>
      <c r="Y2971" s="7">
        <f t="shared" ca="1" si="64"/>
        <v>-519.2399999999999</v>
      </c>
    </row>
    <row r="2972" spans="1:25" ht="15" x14ac:dyDescent="0.25">
      <c r="A2972" s="4">
        <v>2944</v>
      </c>
      <c r="C2972" s="41" t="s">
        <v>5283</v>
      </c>
      <c r="D2972" s="42"/>
      <c r="E2972" s="5" t="str">
        <f t="shared" si="60"/>
        <v>https://www.screener.in/company//consolidated/</v>
      </c>
      <c r="F2972" s="4">
        <v>443059</v>
      </c>
      <c r="G2972" s="4">
        <v>3832241897</v>
      </c>
      <c r="H2972" s="6" t="e">
        <f t="shared" ca="1" si="61"/>
        <v>#VALUE!</v>
      </c>
      <c r="I2972" s="7" t="str">
        <f ca="1">IFERROR(__xludf.DUMMYFUNCTION("IMPORTXML(E2972,""/html/body/main/div[3]/div[3]/div[2]/ul/li[5]/span[2]/span"")"),"Loading...")</f>
        <v>Loading...</v>
      </c>
      <c r="J2972" s="7" t="str">
        <f ca="1">IFERROR(__xludf.DUMMYFUNCTION("GOOGLEFINANCE(""NSE:""&amp;D2972,""marketcap"")"),"#N/A")</f>
        <v>#N/A</v>
      </c>
      <c r="K2972" s="7">
        <v>992.8</v>
      </c>
      <c r="L2972" s="8" t="str">
        <f ca="1">IFERROR(__xludf.DUMMYFUNCTION("GOOGLEFINANCE(""NSE:""&amp;D2972,""price"")"),"#N/A")</f>
        <v>#N/A</v>
      </c>
      <c r="M2972" s="9" t="e">
        <f t="shared" ca="1" si="62"/>
        <v>#VALUE!</v>
      </c>
      <c r="N2972" s="10" t="e">
        <f t="shared" ca="1" si="63"/>
        <v>#VALUE!</v>
      </c>
      <c r="O2972" s="7" t="str">
        <f ca="1">IFERROR(__xludf.DUMMYFUNCTION("GOOGLEFINANCE(""NSE:""&amp;D2972,""pe"")"),"#N/A")</f>
        <v>#N/A</v>
      </c>
      <c r="P2972" s="7" t="str">
        <f ca="1">IFERROR(__xludf.DUMMYFUNCTION("GOOGLEFINANCE(""NSE:""&amp;D2972,""EPS"")"),"#N/A")</f>
        <v>#N/A</v>
      </c>
      <c r="Q2972" s="7">
        <v>13.5</v>
      </c>
      <c r="R2972" s="7" t="str">
        <f ca="1">IFERROR(__xludf.DUMMYFUNCTION("IMPORTXML(E2972,""/html/body/main/div[3]/div[3]/div[2]/ul/li[7]/span[2]/span"")"),"Loading...")</f>
        <v>Loading...</v>
      </c>
      <c r="S2972" s="7" t="str">
        <f ca="1">IFERROR(__xludf.DUMMYFUNCTION("IMPORTXML(E2972,""/html/body/main/div[3]/div[3]/div[2]/ul/li[8]/span[2]/span"")"),"Loading...")</f>
        <v>Loading...</v>
      </c>
      <c r="T2972" s="4">
        <v>34.6</v>
      </c>
      <c r="U2972" s="4">
        <v>22.7</v>
      </c>
      <c r="V2972" s="4">
        <v>2.6</v>
      </c>
      <c r="W2972" s="4">
        <v>5.7</v>
      </c>
      <c r="X2972" s="4">
        <v>519.92999999999995</v>
      </c>
      <c r="Y2972" s="7" t="e">
        <f t="shared" ca="1" si="64"/>
        <v>#VALUE!</v>
      </c>
    </row>
    <row r="2973" spans="1:25" ht="15" x14ac:dyDescent="0.25">
      <c r="A2973" s="4">
        <v>2945</v>
      </c>
      <c r="C2973" s="41" t="s">
        <v>5284</v>
      </c>
      <c r="D2973" s="42"/>
      <c r="E2973" s="5" t="str">
        <f t="shared" si="60"/>
        <v>https://www.screener.in/company//consolidated/</v>
      </c>
      <c r="F2973" s="4">
        <v>443059</v>
      </c>
      <c r="G2973" s="4">
        <v>3832241897</v>
      </c>
      <c r="H2973" s="6" t="e">
        <f t="shared" ca="1" si="61"/>
        <v>#VALUE!</v>
      </c>
      <c r="I2973" s="7" t="str">
        <f ca="1">IFERROR(__xludf.DUMMYFUNCTION("IMPORTXML(E2973,""/html/body/main/div[3]/div[3]/div[2]/ul/li[5]/span[2]/span"")"),"Loading...")</f>
        <v>Loading...</v>
      </c>
      <c r="J2973" s="7" t="str">
        <f ca="1">IFERROR(__xludf.DUMMYFUNCTION("GOOGLEFINANCE(""NSE:""&amp;D2973,""marketcap"")"),"#N/A")</f>
        <v>#N/A</v>
      </c>
      <c r="K2973" s="7">
        <v>992.8</v>
      </c>
      <c r="L2973" s="8" t="str">
        <f ca="1">IFERROR(__xludf.DUMMYFUNCTION("GOOGLEFINANCE(""NSE:""&amp;D2973,""price"")"),"#N/A")</f>
        <v>#N/A</v>
      </c>
      <c r="M2973" s="9" t="e">
        <f t="shared" ca="1" si="62"/>
        <v>#VALUE!</v>
      </c>
      <c r="N2973" s="10" t="e">
        <f t="shared" ca="1" si="63"/>
        <v>#VALUE!</v>
      </c>
      <c r="O2973" s="7" t="str">
        <f ca="1">IFERROR(__xludf.DUMMYFUNCTION("GOOGLEFINANCE(""NSE:""&amp;D2973,""pe"")"),"#N/A")</f>
        <v>#N/A</v>
      </c>
      <c r="P2973" s="7" t="str">
        <f ca="1">IFERROR(__xludf.DUMMYFUNCTION("GOOGLEFINANCE(""NSE:""&amp;D2973,""EPS"")"),"#N/A")</f>
        <v>#N/A</v>
      </c>
      <c r="Q2973" s="7">
        <v>13.5</v>
      </c>
      <c r="R2973" s="7" t="str">
        <f ca="1">IFERROR(__xludf.DUMMYFUNCTION("IMPORTXML(E2973,""/html/body/main/div[3]/div[3]/div[2]/ul/li[7]/span[2]/span"")"),"Loading...")</f>
        <v>Loading...</v>
      </c>
      <c r="S2973" s="7" t="str">
        <f ca="1">IFERROR(__xludf.DUMMYFUNCTION("IMPORTXML(E2973,""/html/body/main/div[3]/div[3]/div[2]/ul/li[8]/span[2]/span"")"),"Loading...")</f>
        <v>Loading...</v>
      </c>
      <c r="T2973" s="4">
        <v>34.6</v>
      </c>
      <c r="U2973" s="4">
        <v>22.7</v>
      </c>
      <c r="V2973" s="4">
        <v>2.6</v>
      </c>
      <c r="W2973" s="4">
        <v>5.7</v>
      </c>
      <c r="X2973" s="4">
        <v>519.92999999999995</v>
      </c>
      <c r="Y2973" s="7" t="e">
        <f t="shared" ca="1" si="64"/>
        <v>#VALUE!</v>
      </c>
    </row>
    <row r="2974" spans="1:25" ht="15" x14ac:dyDescent="0.25">
      <c r="A2974" s="4">
        <v>2946</v>
      </c>
      <c r="C2974" s="41" t="s">
        <v>5285</v>
      </c>
      <c r="D2974" s="42"/>
      <c r="E2974" s="5" t="str">
        <f t="shared" si="60"/>
        <v>https://www.screener.in/company//consolidated/</v>
      </c>
      <c r="F2974" s="4">
        <v>443059</v>
      </c>
      <c r="G2974" s="4">
        <v>3832241897</v>
      </c>
      <c r="H2974" s="6" t="e">
        <f t="shared" ca="1" si="61"/>
        <v>#VALUE!</v>
      </c>
      <c r="I2974" s="7" t="str">
        <f ca="1">IFERROR(__xludf.DUMMYFUNCTION("IMPORTXML(E2974,""/html/body/main/div[3]/div[3]/div[2]/ul/li[5]/span[2]/span"")"),"Loading...")</f>
        <v>Loading...</v>
      </c>
      <c r="J2974" s="7" t="str">
        <f ca="1">IFERROR(__xludf.DUMMYFUNCTION("GOOGLEFINANCE(""NSE:""&amp;D2974,""marketcap"")"),"#N/A")</f>
        <v>#N/A</v>
      </c>
      <c r="K2974" s="7">
        <v>992.8</v>
      </c>
      <c r="L2974" s="8" t="str">
        <f ca="1">IFERROR(__xludf.DUMMYFUNCTION("GOOGLEFINANCE(""NSE:""&amp;D2974,""price"")"),"#N/A")</f>
        <v>#N/A</v>
      </c>
      <c r="M2974" s="9" t="e">
        <f t="shared" ca="1" si="62"/>
        <v>#VALUE!</v>
      </c>
      <c r="N2974" s="10" t="e">
        <f t="shared" ca="1" si="63"/>
        <v>#VALUE!</v>
      </c>
      <c r="O2974" s="7" t="str">
        <f ca="1">IFERROR(__xludf.DUMMYFUNCTION("GOOGLEFINANCE(""NSE:""&amp;D2974,""pe"")"),"#N/A")</f>
        <v>#N/A</v>
      </c>
      <c r="P2974" s="7" t="str">
        <f ca="1">IFERROR(__xludf.DUMMYFUNCTION("GOOGLEFINANCE(""NSE:""&amp;D2974,""EPS"")"),"#N/A")</f>
        <v>#N/A</v>
      </c>
      <c r="Q2974" s="7">
        <v>13.5</v>
      </c>
      <c r="R2974" s="7" t="str">
        <f ca="1">IFERROR(__xludf.DUMMYFUNCTION("IMPORTXML(E2974,""/html/body/main/div[3]/div[3]/div[2]/ul/li[7]/span[2]/span"")"),"Loading...")</f>
        <v>Loading...</v>
      </c>
      <c r="S2974" s="7" t="str">
        <f ca="1">IFERROR(__xludf.DUMMYFUNCTION("IMPORTXML(E2974,""/html/body/main/div[3]/div[3]/div[2]/ul/li[8]/span[2]/span"")"),"Loading...")</f>
        <v>Loading...</v>
      </c>
      <c r="T2974" s="4">
        <v>34.6</v>
      </c>
      <c r="U2974" s="4">
        <v>22.7</v>
      </c>
      <c r="V2974" s="4">
        <v>2.6</v>
      </c>
      <c r="W2974" s="4">
        <v>5.7</v>
      </c>
      <c r="X2974" s="4">
        <v>519.92999999999995</v>
      </c>
      <c r="Y2974" s="7" t="e">
        <f t="shared" ca="1" si="64"/>
        <v>#VALUE!</v>
      </c>
    </row>
    <row r="2975" spans="1:25" ht="15" x14ac:dyDescent="0.25">
      <c r="A2975" s="4">
        <v>2947</v>
      </c>
      <c r="C2975" s="41" t="s">
        <v>5286</v>
      </c>
      <c r="D2975" s="42"/>
      <c r="E2975" s="5" t="str">
        <f t="shared" si="60"/>
        <v>https://www.screener.in/company//consolidated/</v>
      </c>
      <c r="F2975" s="4">
        <v>443059</v>
      </c>
      <c r="G2975" s="4">
        <v>3832241897</v>
      </c>
      <c r="H2975" s="6" t="e">
        <f t="shared" ca="1" si="61"/>
        <v>#VALUE!</v>
      </c>
      <c r="I2975" s="7" t="str">
        <f ca="1">IFERROR(__xludf.DUMMYFUNCTION("IMPORTXML(E2975,""/html/body/main/div[3]/div[3]/div[2]/ul/li[5]/span[2]/span"")"),"Loading...")</f>
        <v>Loading...</v>
      </c>
      <c r="J2975" s="7" t="str">
        <f ca="1">IFERROR(__xludf.DUMMYFUNCTION("GOOGLEFINANCE(""NSE:""&amp;D2975,""marketcap"")"),"#N/A")</f>
        <v>#N/A</v>
      </c>
      <c r="K2975" s="7">
        <v>992.8</v>
      </c>
      <c r="L2975" s="8" t="str">
        <f ca="1">IFERROR(__xludf.DUMMYFUNCTION("GOOGLEFINANCE(""NSE:""&amp;D2975,""price"")"),"#N/A")</f>
        <v>#N/A</v>
      </c>
      <c r="M2975" s="9" t="e">
        <f t="shared" ca="1" si="62"/>
        <v>#VALUE!</v>
      </c>
      <c r="N2975" s="10" t="e">
        <f t="shared" ca="1" si="63"/>
        <v>#VALUE!</v>
      </c>
      <c r="O2975" s="7" t="str">
        <f ca="1">IFERROR(__xludf.DUMMYFUNCTION("GOOGLEFINANCE(""NSE:""&amp;D2975,""pe"")"),"#N/A")</f>
        <v>#N/A</v>
      </c>
      <c r="P2975" s="7" t="str">
        <f ca="1">IFERROR(__xludf.DUMMYFUNCTION("GOOGLEFINANCE(""NSE:""&amp;D2975,""EPS"")"),"#N/A")</f>
        <v>#N/A</v>
      </c>
      <c r="Q2975" s="7">
        <v>13.5</v>
      </c>
      <c r="R2975" s="7" t="str">
        <f ca="1">IFERROR(__xludf.DUMMYFUNCTION("IMPORTXML(E2975,""/html/body/main/div[3]/div[3]/div[2]/ul/li[7]/span[2]/span"")"),"Loading...")</f>
        <v>Loading...</v>
      </c>
      <c r="S2975" s="7" t="str">
        <f ca="1">IFERROR(__xludf.DUMMYFUNCTION("IMPORTXML(E2975,""/html/body/main/div[3]/div[3]/div[2]/ul/li[8]/span[2]/span"")"),"Loading...")</f>
        <v>Loading...</v>
      </c>
      <c r="T2975" s="4">
        <v>34.6</v>
      </c>
      <c r="U2975" s="4">
        <v>22.7</v>
      </c>
      <c r="V2975" s="4">
        <v>2.6</v>
      </c>
      <c r="W2975" s="4">
        <v>5.7</v>
      </c>
      <c r="X2975" s="4">
        <v>519.92999999999995</v>
      </c>
      <c r="Y2975" s="7" t="e">
        <f t="shared" ca="1" si="64"/>
        <v>#VALUE!</v>
      </c>
    </row>
    <row r="2976" spans="1:25" ht="15" x14ac:dyDescent="0.25">
      <c r="A2976" s="4">
        <v>2948</v>
      </c>
      <c r="C2976" s="41" t="s">
        <v>5287</v>
      </c>
      <c r="D2976" s="42"/>
      <c r="E2976" s="5" t="str">
        <f t="shared" si="60"/>
        <v>https://www.screener.in/company//consolidated/</v>
      </c>
      <c r="F2976" s="4">
        <v>443059</v>
      </c>
      <c r="G2976" s="4">
        <v>3832241897</v>
      </c>
      <c r="H2976" s="6" t="e">
        <f t="shared" ca="1" si="61"/>
        <v>#VALUE!</v>
      </c>
      <c r="I2976" s="7" t="str">
        <f ca="1">IFERROR(__xludf.DUMMYFUNCTION("IMPORTXML(E2976,""/html/body/main/div[3]/div[3]/div[2]/ul/li[5]/span[2]/span"")"),"Loading...")</f>
        <v>Loading...</v>
      </c>
      <c r="J2976" s="7" t="str">
        <f ca="1">IFERROR(__xludf.DUMMYFUNCTION("GOOGLEFINANCE(""NSE:""&amp;D2976,""marketcap"")"),"#N/A")</f>
        <v>#N/A</v>
      </c>
      <c r="K2976" s="7">
        <v>992.8</v>
      </c>
      <c r="L2976" s="8" t="str">
        <f ca="1">IFERROR(__xludf.DUMMYFUNCTION("GOOGLEFINANCE(""NSE:""&amp;D2976,""price"")"),"#N/A")</f>
        <v>#N/A</v>
      </c>
      <c r="M2976" s="9" t="e">
        <f t="shared" ca="1" si="62"/>
        <v>#VALUE!</v>
      </c>
      <c r="N2976" s="10" t="e">
        <f t="shared" ca="1" si="63"/>
        <v>#VALUE!</v>
      </c>
      <c r="O2976" s="7" t="str">
        <f ca="1">IFERROR(__xludf.DUMMYFUNCTION("GOOGLEFINANCE(""NSE:""&amp;D2976,""pe"")"),"#N/A")</f>
        <v>#N/A</v>
      </c>
      <c r="P2976" s="7" t="str">
        <f ca="1">IFERROR(__xludf.DUMMYFUNCTION("GOOGLEFINANCE(""NSE:""&amp;D2976,""EPS"")"),"#N/A")</f>
        <v>#N/A</v>
      </c>
      <c r="Q2976" s="7">
        <v>13.5</v>
      </c>
      <c r="R2976" s="7" t="str">
        <f ca="1">IFERROR(__xludf.DUMMYFUNCTION("IMPORTXML(E2976,""/html/body/main/div[3]/div[3]/div[2]/ul/li[7]/span[2]/span"")"),"Loading...")</f>
        <v>Loading...</v>
      </c>
      <c r="S2976" s="7" t="str">
        <f ca="1">IFERROR(__xludf.DUMMYFUNCTION("IMPORTXML(E2976,""/html/body/main/div[3]/div[3]/div[2]/ul/li[8]/span[2]/span"")"),"Loading...")</f>
        <v>Loading...</v>
      </c>
      <c r="T2976" s="4">
        <v>34.6</v>
      </c>
      <c r="U2976" s="4">
        <v>22.7</v>
      </c>
      <c r="V2976" s="4">
        <v>2.6</v>
      </c>
      <c r="W2976" s="4">
        <v>5.7</v>
      </c>
      <c r="X2976" s="4">
        <v>519.92999999999995</v>
      </c>
      <c r="Y2976" s="7" t="e">
        <f t="shared" ca="1" si="64"/>
        <v>#VALUE!</v>
      </c>
    </row>
    <row r="2977" spans="1:25" ht="15" x14ac:dyDescent="0.25">
      <c r="A2977" s="4">
        <v>2949</v>
      </c>
      <c r="C2977" s="41" t="s">
        <v>5288</v>
      </c>
      <c r="D2977" s="42"/>
      <c r="E2977" s="5" t="str">
        <f t="shared" si="60"/>
        <v>https://www.screener.in/company//consolidated/</v>
      </c>
      <c r="F2977" s="4">
        <v>443059</v>
      </c>
      <c r="G2977" s="4">
        <v>3832241897</v>
      </c>
      <c r="H2977" s="6" t="e">
        <f t="shared" ca="1" si="61"/>
        <v>#VALUE!</v>
      </c>
      <c r="I2977" s="7" t="str">
        <f ca="1">IFERROR(__xludf.DUMMYFUNCTION("IMPORTXML(E2977,""/html/body/main/div[3]/div[3]/div[2]/ul/li[5]/span[2]/span"")"),"Loading...")</f>
        <v>Loading...</v>
      </c>
      <c r="J2977" s="7" t="str">
        <f ca="1">IFERROR(__xludf.DUMMYFUNCTION("GOOGLEFINANCE(""NSE:""&amp;D2977,""marketcap"")"),"#N/A")</f>
        <v>#N/A</v>
      </c>
      <c r="K2977" s="7">
        <v>992.8</v>
      </c>
      <c r="L2977" s="8" t="str">
        <f ca="1">IFERROR(__xludf.DUMMYFUNCTION("GOOGLEFINANCE(""NSE:""&amp;D2977,""price"")"),"#N/A")</f>
        <v>#N/A</v>
      </c>
      <c r="M2977" s="9" t="e">
        <f t="shared" ca="1" si="62"/>
        <v>#VALUE!</v>
      </c>
      <c r="N2977" s="10" t="e">
        <f t="shared" ca="1" si="63"/>
        <v>#VALUE!</v>
      </c>
      <c r="O2977" s="7" t="str">
        <f ca="1">IFERROR(__xludf.DUMMYFUNCTION("GOOGLEFINANCE(""NSE:""&amp;D2977,""pe"")"),"#N/A")</f>
        <v>#N/A</v>
      </c>
      <c r="P2977" s="7" t="str">
        <f ca="1">IFERROR(__xludf.DUMMYFUNCTION("GOOGLEFINANCE(""NSE:""&amp;D2977,""EPS"")"),"#N/A")</f>
        <v>#N/A</v>
      </c>
      <c r="Q2977" s="7">
        <v>13.5</v>
      </c>
      <c r="R2977" s="7" t="str">
        <f ca="1">IFERROR(__xludf.DUMMYFUNCTION("IMPORTXML(E2977,""/html/body/main/div[3]/div[3]/div[2]/ul/li[7]/span[2]/span"")"),"Loading...")</f>
        <v>Loading...</v>
      </c>
      <c r="S2977" s="7" t="str">
        <f ca="1">IFERROR(__xludf.DUMMYFUNCTION("IMPORTXML(E2977,""/html/body/main/div[3]/div[3]/div[2]/ul/li[8]/span[2]/span"")"),"Loading...")</f>
        <v>Loading...</v>
      </c>
      <c r="T2977" s="4">
        <v>34.6</v>
      </c>
      <c r="U2977" s="4">
        <v>22.7</v>
      </c>
      <c r="V2977" s="4">
        <v>2.6</v>
      </c>
      <c r="W2977" s="4">
        <v>5.7</v>
      </c>
      <c r="X2977" s="4">
        <v>519.92999999999995</v>
      </c>
      <c r="Y2977" s="7" t="e">
        <f t="shared" ca="1" si="64"/>
        <v>#VALUE!</v>
      </c>
    </row>
    <row r="2978" spans="1:25" ht="15" x14ac:dyDescent="0.25">
      <c r="A2978" s="4">
        <v>2950</v>
      </c>
      <c r="C2978" s="41" t="s">
        <v>5289</v>
      </c>
      <c r="D2978" s="42"/>
      <c r="E2978" s="5" t="str">
        <f t="shared" si="60"/>
        <v>https://www.screener.in/company//consolidated/</v>
      </c>
      <c r="F2978" s="4">
        <v>443059</v>
      </c>
      <c r="G2978" s="4">
        <v>3832241897</v>
      </c>
      <c r="H2978" s="6" t="e">
        <f t="shared" ca="1" si="61"/>
        <v>#VALUE!</v>
      </c>
      <c r="I2978" s="7" t="str">
        <f ca="1">IFERROR(__xludf.DUMMYFUNCTION("IMPORTXML(E2978,""/html/body/main/div[3]/div[3]/div[2]/ul/li[5]/span[2]/span"")"),"Loading...")</f>
        <v>Loading...</v>
      </c>
      <c r="J2978" s="7" t="str">
        <f ca="1">IFERROR(__xludf.DUMMYFUNCTION("GOOGLEFINANCE(""NSE:""&amp;D2978,""marketcap"")"),"#N/A")</f>
        <v>#N/A</v>
      </c>
      <c r="K2978" s="7">
        <v>992.8</v>
      </c>
      <c r="L2978" s="8" t="str">
        <f ca="1">IFERROR(__xludf.DUMMYFUNCTION("GOOGLEFINANCE(""NSE:""&amp;D2978,""price"")"),"#N/A")</f>
        <v>#N/A</v>
      </c>
      <c r="M2978" s="9" t="e">
        <f t="shared" ca="1" si="62"/>
        <v>#VALUE!</v>
      </c>
      <c r="N2978" s="10" t="e">
        <f t="shared" ca="1" si="63"/>
        <v>#VALUE!</v>
      </c>
      <c r="O2978" s="7" t="str">
        <f ca="1">IFERROR(__xludf.DUMMYFUNCTION("GOOGLEFINANCE(""NSE:""&amp;D2978,""pe"")"),"#N/A")</f>
        <v>#N/A</v>
      </c>
      <c r="P2978" s="7" t="str">
        <f ca="1">IFERROR(__xludf.DUMMYFUNCTION("GOOGLEFINANCE(""NSE:""&amp;D2978,""EPS"")"),"#N/A")</f>
        <v>#N/A</v>
      </c>
      <c r="Q2978" s="7">
        <v>13.5</v>
      </c>
      <c r="R2978" s="7" t="str">
        <f ca="1">IFERROR(__xludf.DUMMYFUNCTION("IMPORTXML(E2978,""/html/body/main/div[3]/div[3]/div[2]/ul/li[7]/span[2]/span"")"),"Loading...")</f>
        <v>Loading...</v>
      </c>
      <c r="S2978" s="7" t="str">
        <f ca="1">IFERROR(__xludf.DUMMYFUNCTION("IMPORTXML(E2978,""/html/body/main/div[3]/div[3]/div[2]/ul/li[8]/span[2]/span"")"),"Loading...")</f>
        <v>Loading...</v>
      </c>
      <c r="T2978" s="4">
        <v>34.6</v>
      </c>
      <c r="U2978" s="4">
        <v>22.7</v>
      </c>
      <c r="V2978" s="4">
        <v>2.6</v>
      </c>
      <c r="W2978" s="4">
        <v>5.7</v>
      </c>
      <c r="X2978" s="4">
        <v>519.92999999999995</v>
      </c>
      <c r="Y2978" s="7" t="e">
        <f t="shared" ca="1" si="64"/>
        <v>#VALUE!</v>
      </c>
    </row>
    <row r="2979" spans="1:25" ht="15" x14ac:dyDescent="0.25">
      <c r="A2979" s="4">
        <v>2951</v>
      </c>
      <c r="C2979" s="41" t="s">
        <v>5290</v>
      </c>
      <c r="D2979" s="42"/>
      <c r="E2979" s="5" t="str">
        <f t="shared" si="60"/>
        <v>https://www.screener.in/company//consolidated/</v>
      </c>
      <c r="F2979" s="4">
        <v>443059</v>
      </c>
      <c r="G2979" s="4">
        <v>3832241897</v>
      </c>
      <c r="H2979" s="6" t="e">
        <f t="shared" ca="1" si="61"/>
        <v>#VALUE!</v>
      </c>
      <c r="I2979" s="7" t="str">
        <f ca="1">IFERROR(__xludf.DUMMYFUNCTION("IMPORTXML(E2979,""/html/body/main/div[3]/div[3]/div[2]/ul/li[5]/span[2]/span"")"),"Loading...")</f>
        <v>Loading...</v>
      </c>
      <c r="J2979" s="7" t="str">
        <f ca="1">IFERROR(__xludf.DUMMYFUNCTION("GOOGLEFINANCE(""NSE:""&amp;D2979,""marketcap"")"),"#N/A")</f>
        <v>#N/A</v>
      </c>
      <c r="K2979" s="7">
        <v>992.8</v>
      </c>
      <c r="L2979" s="8" t="str">
        <f ca="1">IFERROR(__xludf.DUMMYFUNCTION("GOOGLEFINANCE(""NSE:""&amp;D2979,""price"")"),"#N/A")</f>
        <v>#N/A</v>
      </c>
      <c r="M2979" s="9" t="e">
        <f t="shared" ca="1" si="62"/>
        <v>#VALUE!</v>
      </c>
      <c r="N2979" s="10" t="e">
        <f t="shared" ca="1" si="63"/>
        <v>#VALUE!</v>
      </c>
      <c r="O2979" s="7" t="str">
        <f ca="1">IFERROR(__xludf.DUMMYFUNCTION("GOOGLEFINANCE(""NSE:""&amp;D2979,""pe"")"),"#N/A")</f>
        <v>#N/A</v>
      </c>
      <c r="P2979" s="7" t="str">
        <f ca="1">IFERROR(__xludf.DUMMYFUNCTION("GOOGLEFINANCE(""NSE:""&amp;D2979,""EPS"")"),"#N/A")</f>
        <v>#N/A</v>
      </c>
      <c r="Q2979" s="7">
        <v>13.5</v>
      </c>
      <c r="R2979" s="7" t="str">
        <f ca="1">IFERROR(__xludf.DUMMYFUNCTION("IMPORTXML(E2979,""/html/body/main/div[3]/div[3]/div[2]/ul/li[7]/span[2]/span"")"),"Loading...")</f>
        <v>Loading...</v>
      </c>
      <c r="S2979" s="7" t="str">
        <f ca="1">IFERROR(__xludf.DUMMYFUNCTION("IMPORTXML(E2979,""/html/body/main/div[3]/div[3]/div[2]/ul/li[8]/span[2]/span"")"),"Loading...")</f>
        <v>Loading...</v>
      </c>
      <c r="T2979" s="4">
        <v>34.6</v>
      </c>
      <c r="U2979" s="4">
        <v>22.7</v>
      </c>
      <c r="V2979" s="4">
        <v>2.6</v>
      </c>
      <c r="W2979" s="4">
        <v>5.7</v>
      </c>
      <c r="X2979" s="4">
        <v>519.92999999999995</v>
      </c>
      <c r="Y2979" s="7" t="e">
        <f t="shared" ca="1" si="64"/>
        <v>#VALUE!</v>
      </c>
    </row>
    <row r="2980" spans="1:25" ht="15" x14ac:dyDescent="0.25">
      <c r="A2980" s="4">
        <v>2952</v>
      </c>
      <c r="C2980" s="41" t="s">
        <v>5291</v>
      </c>
      <c r="D2980" s="42"/>
      <c r="E2980" s="5" t="str">
        <f t="shared" si="60"/>
        <v>https://www.screener.in/company//consolidated/</v>
      </c>
      <c r="F2980" s="4">
        <v>443059</v>
      </c>
      <c r="G2980" s="4">
        <v>3832241897</v>
      </c>
      <c r="H2980" s="6" t="e">
        <f t="shared" ca="1" si="61"/>
        <v>#VALUE!</v>
      </c>
      <c r="I2980" s="7" t="str">
        <f ca="1">IFERROR(__xludf.DUMMYFUNCTION("IMPORTXML(E2980,""/html/body/main/div[3]/div[3]/div[2]/ul/li[5]/span[2]/span"")"),"Loading...")</f>
        <v>Loading...</v>
      </c>
      <c r="J2980" s="7" t="str">
        <f ca="1">IFERROR(__xludf.DUMMYFUNCTION("GOOGLEFINANCE(""NSE:""&amp;D2980,""marketcap"")"),"#N/A")</f>
        <v>#N/A</v>
      </c>
      <c r="K2980" s="7">
        <v>992.8</v>
      </c>
      <c r="L2980" s="8" t="str">
        <f ca="1">IFERROR(__xludf.DUMMYFUNCTION("GOOGLEFINANCE(""NSE:""&amp;D2980,""price"")"),"#N/A")</f>
        <v>#N/A</v>
      </c>
      <c r="M2980" s="9" t="e">
        <f t="shared" ca="1" si="62"/>
        <v>#VALUE!</v>
      </c>
      <c r="N2980" s="10" t="e">
        <f t="shared" ca="1" si="63"/>
        <v>#VALUE!</v>
      </c>
      <c r="O2980" s="7" t="str">
        <f ca="1">IFERROR(__xludf.DUMMYFUNCTION("GOOGLEFINANCE(""NSE:""&amp;D2980,""pe"")"),"#N/A")</f>
        <v>#N/A</v>
      </c>
      <c r="P2980" s="7" t="str">
        <f ca="1">IFERROR(__xludf.DUMMYFUNCTION("GOOGLEFINANCE(""NSE:""&amp;D2980,""EPS"")"),"#N/A")</f>
        <v>#N/A</v>
      </c>
      <c r="Q2980" s="7">
        <v>13.5</v>
      </c>
      <c r="R2980" s="7" t="str">
        <f ca="1">IFERROR(__xludf.DUMMYFUNCTION("IMPORTXML(E2980,""/html/body/main/div[3]/div[3]/div[2]/ul/li[7]/span[2]/span"")"),"Loading...")</f>
        <v>Loading...</v>
      </c>
      <c r="S2980" s="7" t="str">
        <f ca="1">IFERROR(__xludf.DUMMYFUNCTION("IMPORTXML(E2980,""/html/body/main/div[3]/div[3]/div[2]/ul/li[8]/span[2]/span"")"),"Loading...")</f>
        <v>Loading...</v>
      </c>
      <c r="T2980" s="4">
        <v>34.6</v>
      </c>
      <c r="U2980" s="4">
        <v>22.7</v>
      </c>
      <c r="V2980" s="4">
        <v>2.6</v>
      </c>
      <c r="W2980" s="4">
        <v>5.7</v>
      </c>
      <c r="X2980" s="4">
        <v>519.92999999999995</v>
      </c>
      <c r="Y2980" s="7" t="e">
        <f t="shared" ca="1" si="64"/>
        <v>#VALUE!</v>
      </c>
    </row>
    <row r="2981" spans="1:25" ht="15" x14ac:dyDescent="0.25">
      <c r="A2981" s="4">
        <v>2953</v>
      </c>
      <c r="C2981" s="12" t="s">
        <v>5292</v>
      </c>
      <c r="D2981" s="37"/>
      <c r="E2981" s="5" t="str">
        <f t="shared" si="60"/>
        <v>https://www.screener.in/company//consolidated/</v>
      </c>
      <c r="F2981" s="4">
        <v>443059</v>
      </c>
      <c r="G2981" s="4">
        <v>3832241897</v>
      </c>
      <c r="H2981" s="6" t="e">
        <f t="shared" ca="1" si="61"/>
        <v>#VALUE!</v>
      </c>
      <c r="I2981" s="7" t="str">
        <f ca="1">IFERROR(__xludf.DUMMYFUNCTION("IMPORTXML(E2981,""/html/body/main/div[3]/div[3]/div[2]/ul/li[5]/span[2]/span"")"),"Loading...")</f>
        <v>Loading...</v>
      </c>
      <c r="J2981" s="7" t="str">
        <f ca="1">IFERROR(__xludf.DUMMYFUNCTION("GOOGLEFINANCE(""NSE:""&amp;D2981,""marketcap"")"),"#N/A")</f>
        <v>#N/A</v>
      </c>
      <c r="K2981" s="7">
        <v>992.8</v>
      </c>
      <c r="L2981" s="8" t="str">
        <f ca="1">IFERROR(__xludf.DUMMYFUNCTION("GOOGLEFINANCE(""NSE:""&amp;D2981,""price"")"),"#N/A")</f>
        <v>#N/A</v>
      </c>
      <c r="M2981" s="9" t="e">
        <f t="shared" ca="1" si="62"/>
        <v>#VALUE!</v>
      </c>
      <c r="N2981" s="10" t="e">
        <f t="shared" ca="1" si="63"/>
        <v>#VALUE!</v>
      </c>
      <c r="O2981" s="7" t="str">
        <f ca="1">IFERROR(__xludf.DUMMYFUNCTION("GOOGLEFINANCE(""NSE:""&amp;D2981,""pe"")"),"#N/A")</f>
        <v>#N/A</v>
      </c>
      <c r="P2981" s="7" t="str">
        <f ca="1">IFERROR(__xludf.DUMMYFUNCTION("GOOGLEFINANCE(""NSE:""&amp;D2981,""EPS"")"),"#N/A")</f>
        <v>#N/A</v>
      </c>
      <c r="Q2981" s="7">
        <v>13.5</v>
      </c>
      <c r="R2981" s="7" t="str">
        <f ca="1">IFERROR(__xludf.DUMMYFUNCTION("IMPORTXML(E2981,""/html/body/main/div[3]/div[3]/div[2]/ul/li[7]/span[2]/span"")"),"Loading...")</f>
        <v>Loading...</v>
      </c>
      <c r="S2981" s="7" t="str">
        <f ca="1">IFERROR(__xludf.DUMMYFUNCTION("IMPORTXML(E2981,""/html/body/main/div[3]/div[3]/div[2]/ul/li[8]/span[2]/span"")"),"Loading...")</f>
        <v>Loading...</v>
      </c>
      <c r="T2981" s="4">
        <v>34.6</v>
      </c>
      <c r="U2981" s="4">
        <v>22.7</v>
      </c>
      <c r="V2981" s="4">
        <v>2.6</v>
      </c>
      <c r="W2981" s="4">
        <v>5.7</v>
      </c>
      <c r="X2981" s="4">
        <v>519.92999999999995</v>
      </c>
      <c r="Y2981" s="7" t="e">
        <f t="shared" ca="1" si="64"/>
        <v>#VALUE!</v>
      </c>
    </row>
    <row r="2982" spans="1:25" ht="15" x14ac:dyDescent="0.25">
      <c r="A2982" s="4">
        <v>2954</v>
      </c>
      <c r="C2982" s="41" t="s">
        <v>5293</v>
      </c>
      <c r="D2982" s="42"/>
      <c r="E2982" s="5" t="str">
        <f t="shared" si="60"/>
        <v>https://www.screener.in/company//consolidated/</v>
      </c>
      <c r="F2982" s="4">
        <v>443059</v>
      </c>
      <c r="G2982" s="4">
        <v>3832241897</v>
      </c>
      <c r="H2982" s="6" t="e">
        <f t="shared" ca="1" si="61"/>
        <v>#VALUE!</v>
      </c>
      <c r="I2982" s="7" t="str">
        <f ca="1">IFERROR(__xludf.DUMMYFUNCTION("IMPORTXML(E2982,""/html/body/main/div[3]/div[3]/div[2]/ul/li[5]/span[2]/span"")"),"Loading...")</f>
        <v>Loading...</v>
      </c>
      <c r="J2982" s="7" t="str">
        <f ca="1">IFERROR(__xludf.DUMMYFUNCTION("GOOGLEFINANCE(""NSE:""&amp;D2982,""marketcap"")"),"#N/A")</f>
        <v>#N/A</v>
      </c>
      <c r="K2982" s="7">
        <v>992.8</v>
      </c>
      <c r="L2982" s="8" t="str">
        <f ca="1">IFERROR(__xludf.DUMMYFUNCTION("GOOGLEFINANCE(""NSE:""&amp;D2982,""price"")"),"#N/A")</f>
        <v>#N/A</v>
      </c>
      <c r="M2982" s="9" t="e">
        <f t="shared" ca="1" si="62"/>
        <v>#VALUE!</v>
      </c>
      <c r="N2982" s="10" t="e">
        <f t="shared" ca="1" si="63"/>
        <v>#VALUE!</v>
      </c>
      <c r="O2982" s="7" t="str">
        <f ca="1">IFERROR(__xludf.DUMMYFUNCTION("GOOGLEFINANCE(""NSE:""&amp;D2982,""pe"")"),"#N/A")</f>
        <v>#N/A</v>
      </c>
      <c r="P2982" s="7" t="str">
        <f ca="1">IFERROR(__xludf.DUMMYFUNCTION("GOOGLEFINANCE(""NSE:""&amp;D2982,""EPS"")"),"#N/A")</f>
        <v>#N/A</v>
      </c>
      <c r="Q2982" s="7">
        <v>13.5</v>
      </c>
      <c r="R2982" s="7" t="str">
        <f ca="1">IFERROR(__xludf.DUMMYFUNCTION("IMPORTXML(E2982,""/html/body/main/div[3]/div[3]/div[2]/ul/li[7]/span[2]/span"")"),"Loading...")</f>
        <v>Loading...</v>
      </c>
      <c r="S2982" s="7" t="str">
        <f ca="1">IFERROR(__xludf.DUMMYFUNCTION("IMPORTXML(E2982,""/html/body/main/div[3]/div[3]/div[2]/ul/li[8]/span[2]/span"")"),"Loading...")</f>
        <v>Loading...</v>
      </c>
      <c r="T2982" s="4">
        <v>34.6</v>
      </c>
      <c r="U2982" s="4">
        <v>22.7</v>
      </c>
      <c r="V2982" s="4">
        <v>2.6</v>
      </c>
      <c r="W2982" s="4">
        <v>5.7</v>
      </c>
      <c r="X2982" s="4">
        <v>519.92999999999995</v>
      </c>
      <c r="Y2982" s="7" t="e">
        <f t="shared" ca="1" si="64"/>
        <v>#VALUE!</v>
      </c>
    </row>
    <row r="2983" spans="1:25" ht="15" x14ac:dyDescent="0.25">
      <c r="A2983" s="4">
        <v>2955</v>
      </c>
      <c r="C2983" s="41" t="s">
        <v>5294</v>
      </c>
      <c r="D2983" s="42"/>
      <c r="E2983" s="5" t="str">
        <f t="shared" si="60"/>
        <v>https://www.screener.in/company//consolidated/</v>
      </c>
      <c r="F2983" s="4">
        <v>443059</v>
      </c>
      <c r="G2983" s="4">
        <v>3832241897</v>
      </c>
      <c r="H2983" s="6" t="e">
        <f t="shared" ca="1" si="61"/>
        <v>#VALUE!</v>
      </c>
      <c r="I2983" s="7" t="str">
        <f ca="1">IFERROR(__xludf.DUMMYFUNCTION("IMPORTXML(E2983,""/html/body/main/div[3]/div[3]/div[2]/ul/li[5]/span[2]/span"")"),"Loading...")</f>
        <v>Loading...</v>
      </c>
      <c r="J2983" s="7" t="str">
        <f ca="1">IFERROR(__xludf.DUMMYFUNCTION("GOOGLEFINANCE(""NSE:""&amp;D2983,""marketcap"")"),"#N/A")</f>
        <v>#N/A</v>
      </c>
      <c r="K2983" s="7">
        <v>992.8</v>
      </c>
      <c r="L2983" s="8" t="str">
        <f ca="1">IFERROR(__xludf.DUMMYFUNCTION("GOOGLEFINANCE(""NSE:""&amp;D2983,""price"")"),"#N/A")</f>
        <v>#N/A</v>
      </c>
      <c r="M2983" s="9" t="e">
        <f t="shared" ca="1" si="62"/>
        <v>#VALUE!</v>
      </c>
      <c r="N2983" s="10" t="e">
        <f t="shared" ca="1" si="63"/>
        <v>#VALUE!</v>
      </c>
      <c r="O2983" s="7" t="str">
        <f ca="1">IFERROR(__xludf.DUMMYFUNCTION("GOOGLEFINANCE(""NSE:""&amp;D2983,""pe"")"),"#N/A")</f>
        <v>#N/A</v>
      </c>
      <c r="P2983" s="7" t="str">
        <f ca="1">IFERROR(__xludf.DUMMYFUNCTION("GOOGLEFINANCE(""NSE:""&amp;D2983,""EPS"")"),"#N/A")</f>
        <v>#N/A</v>
      </c>
      <c r="Q2983" s="7">
        <v>13.5</v>
      </c>
      <c r="R2983" s="7" t="str">
        <f ca="1">IFERROR(__xludf.DUMMYFUNCTION("IMPORTXML(E2983,""/html/body/main/div[3]/div[3]/div[2]/ul/li[7]/span[2]/span"")"),"Loading...")</f>
        <v>Loading...</v>
      </c>
      <c r="S2983" s="7" t="str">
        <f ca="1">IFERROR(__xludf.DUMMYFUNCTION("IMPORTXML(E2983,""/html/body/main/div[3]/div[3]/div[2]/ul/li[8]/span[2]/span"")"),"Loading...")</f>
        <v>Loading...</v>
      </c>
      <c r="T2983" s="4">
        <v>34.6</v>
      </c>
      <c r="U2983" s="4">
        <v>22.7</v>
      </c>
      <c r="V2983" s="4">
        <v>2.6</v>
      </c>
      <c r="W2983" s="4">
        <v>5.7</v>
      </c>
      <c r="X2983" s="4">
        <v>519.92999999999995</v>
      </c>
      <c r="Y2983" s="7" t="e">
        <f t="shared" ca="1" si="64"/>
        <v>#VALUE!</v>
      </c>
    </row>
    <row r="2984" spans="1:25" ht="15" x14ac:dyDescent="0.25">
      <c r="A2984" s="4">
        <v>2956</v>
      </c>
      <c r="C2984" s="41" t="s">
        <v>5295</v>
      </c>
      <c r="D2984" s="42"/>
      <c r="E2984" s="5" t="str">
        <f t="shared" si="60"/>
        <v>https://www.screener.in/company//consolidated/</v>
      </c>
      <c r="F2984" s="4">
        <v>443059</v>
      </c>
      <c r="G2984" s="4">
        <v>3832241897</v>
      </c>
      <c r="H2984" s="6" t="e">
        <f t="shared" ca="1" si="61"/>
        <v>#VALUE!</v>
      </c>
      <c r="I2984" s="7" t="str">
        <f ca="1">IFERROR(__xludf.DUMMYFUNCTION("IMPORTXML(E2984,""/html/body/main/div[3]/div[3]/div[2]/ul/li[5]/span[2]/span"")"),"Loading...")</f>
        <v>Loading...</v>
      </c>
      <c r="J2984" s="7" t="str">
        <f ca="1">IFERROR(__xludf.DUMMYFUNCTION("GOOGLEFINANCE(""NSE:""&amp;D2984,""marketcap"")"),"#N/A")</f>
        <v>#N/A</v>
      </c>
      <c r="K2984" s="7">
        <v>992.8</v>
      </c>
      <c r="L2984" s="8" t="str">
        <f ca="1">IFERROR(__xludf.DUMMYFUNCTION("GOOGLEFINANCE(""NSE:""&amp;D2984,""price"")"),"#N/A")</f>
        <v>#N/A</v>
      </c>
      <c r="M2984" s="9" t="e">
        <f t="shared" ca="1" si="62"/>
        <v>#VALUE!</v>
      </c>
      <c r="N2984" s="10" t="e">
        <f t="shared" ca="1" si="63"/>
        <v>#VALUE!</v>
      </c>
      <c r="O2984" s="7" t="str">
        <f ca="1">IFERROR(__xludf.DUMMYFUNCTION("GOOGLEFINANCE(""NSE:""&amp;D2984,""pe"")"),"#N/A")</f>
        <v>#N/A</v>
      </c>
      <c r="P2984" s="7" t="str">
        <f ca="1">IFERROR(__xludf.DUMMYFUNCTION("GOOGLEFINANCE(""NSE:""&amp;D2984,""EPS"")"),"#N/A")</f>
        <v>#N/A</v>
      </c>
      <c r="Q2984" s="7">
        <v>13.5</v>
      </c>
      <c r="R2984" s="7" t="str">
        <f ca="1">IFERROR(__xludf.DUMMYFUNCTION("IMPORTXML(E2984,""/html/body/main/div[3]/div[3]/div[2]/ul/li[7]/span[2]/span"")"),"Loading...")</f>
        <v>Loading...</v>
      </c>
      <c r="S2984" s="7" t="str">
        <f ca="1">IFERROR(__xludf.DUMMYFUNCTION("IMPORTXML(E2984,""/html/body/main/div[3]/div[3]/div[2]/ul/li[8]/span[2]/span"")"),"Loading...")</f>
        <v>Loading...</v>
      </c>
      <c r="T2984" s="4">
        <v>34.6</v>
      </c>
      <c r="U2984" s="4">
        <v>22.7</v>
      </c>
      <c r="V2984" s="4">
        <v>2.6</v>
      </c>
      <c r="W2984" s="4">
        <v>5.7</v>
      </c>
      <c r="X2984" s="4">
        <v>519.92999999999995</v>
      </c>
      <c r="Y2984" s="7" t="e">
        <f t="shared" ca="1" si="64"/>
        <v>#VALUE!</v>
      </c>
    </row>
    <row r="2985" spans="1:25" ht="15" x14ac:dyDescent="0.25">
      <c r="A2985" s="4">
        <v>2957</v>
      </c>
      <c r="C2985" s="12" t="s">
        <v>5296</v>
      </c>
      <c r="D2985" s="12" t="s">
        <v>5297</v>
      </c>
      <c r="E2985" s="5" t="str">
        <f t="shared" si="60"/>
        <v>https://www.screener.in/company/NEXTMEDIA/consolidated/</v>
      </c>
      <c r="F2985" s="4">
        <v>443059</v>
      </c>
      <c r="G2985" s="4">
        <v>3832241897</v>
      </c>
      <c r="H2985" s="6">
        <f t="shared" ca="1" si="61"/>
        <v>2421.9768789039999</v>
      </c>
      <c r="I2985" s="7" t="str">
        <f ca="1">IFERROR(__xludf.DUMMYFUNCTION("IMPORTXML(E2985,""/html/body/main/div[3]/div[3]/div[2]/ul/li[5]/span[2]/span"")"),"Loading...")</f>
        <v>Loading...</v>
      </c>
      <c r="J2985" s="7">
        <f ca="1">IFERROR(__xludf.DUMMYFUNCTION("GOOGLEFINANCE(""NSE:""&amp;D2985,""marketcap"")"),430790300)</f>
        <v>430790300</v>
      </c>
      <c r="K2985" s="7">
        <v>992.8</v>
      </c>
      <c r="L2985" s="8">
        <f ca="1">IFERROR(__xludf.DUMMYFUNCTION("GOOGLEFINANCE(""NSE:""&amp;D2985,""price"")"),6.32)</f>
        <v>6.32</v>
      </c>
      <c r="M2985" s="9">
        <f t="shared" ca="1" si="62"/>
        <v>-986.4799999999999</v>
      </c>
      <c r="N2985" s="10">
        <f t="shared" ca="1" si="63"/>
        <v>-99.363416599516512</v>
      </c>
      <c r="O2985" s="7">
        <f ca="1">IFERROR(__xludf.DUMMYFUNCTION("GOOGLEFINANCE(""NSE:""&amp;D2985,""pe"")"),0.63)</f>
        <v>0.63</v>
      </c>
      <c r="P2985" s="7">
        <f ca="1">IFERROR(__xludf.DUMMYFUNCTION("GOOGLEFINANCE(""NSE:""&amp;D2985,""EPS"")"),10.01)</f>
        <v>10.01</v>
      </c>
      <c r="Q2985" s="7">
        <v>13.5</v>
      </c>
      <c r="R2985" s="7" t="str">
        <f ca="1">IFERROR(__xludf.DUMMYFUNCTION("IMPORTXML(E2985,""/html/body/main/div[3]/div[3]/div[2]/ul/li[7]/span[2]/span"")"),"Loading...")</f>
        <v>Loading...</v>
      </c>
      <c r="S2985" s="7" t="str">
        <f ca="1">IFERROR(__xludf.DUMMYFUNCTION("IMPORTXML(E2985,""/html/body/main/div[3]/div[3]/div[2]/ul/li[8]/span[2]/span"")"),"Loading...")</f>
        <v>Loading...</v>
      </c>
      <c r="T2985" s="4">
        <v>34.6</v>
      </c>
      <c r="U2985" s="4">
        <v>22.7</v>
      </c>
      <c r="V2985" s="4">
        <v>2.6</v>
      </c>
      <c r="W2985" s="4">
        <v>5.7</v>
      </c>
      <c r="X2985" s="4">
        <v>519.92999999999995</v>
      </c>
      <c r="Y2985" s="7">
        <f t="shared" ca="1" si="64"/>
        <v>-513.6099999999999</v>
      </c>
    </row>
    <row r="2986" spans="1:25" ht="15" x14ac:dyDescent="0.25">
      <c r="A2986" s="4">
        <v>2958</v>
      </c>
      <c r="C2986" s="41" t="s">
        <v>5298</v>
      </c>
      <c r="D2986" s="42"/>
      <c r="E2986" s="5" t="str">
        <f t="shared" si="60"/>
        <v>https://www.screener.in/company//consolidated/</v>
      </c>
      <c r="F2986" s="4">
        <v>443059</v>
      </c>
      <c r="G2986" s="4">
        <v>3832241897</v>
      </c>
      <c r="H2986" s="6" t="e">
        <f t="shared" ca="1" si="61"/>
        <v>#VALUE!</v>
      </c>
      <c r="I2986" s="7" t="str">
        <f ca="1">IFERROR(__xludf.DUMMYFUNCTION("IMPORTXML(E2986,""/html/body/main/div[3]/div[3]/div[2]/ul/li[5]/span[2]/span"")"),"Loading...")</f>
        <v>Loading...</v>
      </c>
      <c r="J2986" s="7" t="str">
        <f ca="1">IFERROR(__xludf.DUMMYFUNCTION("GOOGLEFINANCE(""NSE:""&amp;D2986,""marketcap"")"),"#N/A")</f>
        <v>#N/A</v>
      </c>
      <c r="K2986" s="7">
        <v>992.8</v>
      </c>
      <c r="L2986" s="8" t="str">
        <f ca="1">IFERROR(__xludf.DUMMYFUNCTION("GOOGLEFINANCE(""NSE:""&amp;D2986,""price"")"),"#N/A")</f>
        <v>#N/A</v>
      </c>
      <c r="M2986" s="9" t="e">
        <f t="shared" ca="1" si="62"/>
        <v>#VALUE!</v>
      </c>
      <c r="N2986" s="10" t="e">
        <f t="shared" ca="1" si="63"/>
        <v>#VALUE!</v>
      </c>
      <c r="O2986" s="7" t="str">
        <f ca="1">IFERROR(__xludf.DUMMYFUNCTION("GOOGLEFINANCE(""NSE:""&amp;D2986,""pe"")"),"#N/A")</f>
        <v>#N/A</v>
      </c>
      <c r="P2986" s="7" t="str">
        <f ca="1">IFERROR(__xludf.DUMMYFUNCTION("GOOGLEFINANCE(""NSE:""&amp;D2986,""EPS"")"),"#N/A")</f>
        <v>#N/A</v>
      </c>
      <c r="Q2986" s="7">
        <v>13.5</v>
      </c>
      <c r="R2986" s="7" t="str">
        <f ca="1">IFERROR(__xludf.DUMMYFUNCTION("IMPORTXML(E2986,""/html/body/main/div[3]/div[3]/div[2]/ul/li[7]/span[2]/span"")"),"Loading...")</f>
        <v>Loading...</v>
      </c>
      <c r="S2986" s="7" t="str">
        <f ca="1">IFERROR(__xludf.DUMMYFUNCTION("IMPORTXML(E2986,""/html/body/main/div[3]/div[3]/div[2]/ul/li[8]/span[2]/span"")"),"Loading...")</f>
        <v>Loading...</v>
      </c>
      <c r="T2986" s="4">
        <v>34.6</v>
      </c>
      <c r="U2986" s="4">
        <v>22.7</v>
      </c>
      <c r="V2986" s="4">
        <v>2.6</v>
      </c>
      <c r="W2986" s="4">
        <v>5.7</v>
      </c>
      <c r="X2986" s="4">
        <v>519.92999999999995</v>
      </c>
      <c r="Y2986" s="7" t="e">
        <f t="shared" ca="1" si="64"/>
        <v>#VALUE!</v>
      </c>
    </row>
    <row r="2987" spans="1:25" ht="15" x14ac:dyDescent="0.25">
      <c r="A2987" s="4">
        <v>2959</v>
      </c>
      <c r="C2987" s="12" t="s">
        <v>5299</v>
      </c>
      <c r="D2987" s="12" t="s">
        <v>5300</v>
      </c>
      <c r="E2987" s="5" t="str">
        <f t="shared" si="60"/>
        <v>https://www.screener.in/company/TECHIN/consolidated/</v>
      </c>
      <c r="F2987" s="4">
        <v>443059</v>
      </c>
      <c r="G2987" s="4">
        <v>3832241897</v>
      </c>
      <c r="H2987" s="6" t="e">
        <f t="shared" ca="1" si="61"/>
        <v>#VALUE!</v>
      </c>
      <c r="I2987" s="7" t="str">
        <f ca="1">IFERROR(__xludf.DUMMYFUNCTION("IMPORTXML(E2987,""/html/body/main/div[3]/div[3]/div[2]/ul/li[5]/span[2]/span"")"),"Loading...")</f>
        <v>Loading...</v>
      </c>
      <c r="J2987" s="7" t="str">
        <f ca="1">IFERROR(__xludf.DUMMYFUNCTION("GOOGLEFINANCE(""NSE:""&amp;D2987,""marketcap"")"),"#N/A")</f>
        <v>#N/A</v>
      </c>
      <c r="K2987" s="7">
        <v>992.8</v>
      </c>
      <c r="L2987" s="8" t="str">
        <f ca="1">IFERROR(__xludf.DUMMYFUNCTION("GOOGLEFINANCE(""NSE:""&amp;D2987,""price"")"),"#N/A")</f>
        <v>#N/A</v>
      </c>
      <c r="M2987" s="9" t="e">
        <f t="shared" ca="1" si="62"/>
        <v>#VALUE!</v>
      </c>
      <c r="N2987" s="10" t="e">
        <f t="shared" ca="1" si="63"/>
        <v>#VALUE!</v>
      </c>
      <c r="O2987" s="7" t="str">
        <f ca="1">IFERROR(__xludf.DUMMYFUNCTION("GOOGLEFINANCE(""NSE:""&amp;D2987,""pe"")"),"#N/A")</f>
        <v>#N/A</v>
      </c>
      <c r="P2987" s="7" t="str">
        <f ca="1">IFERROR(__xludf.DUMMYFUNCTION("GOOGLEFINANCE(""NSE:""&amp;D2987,""EPS"")"),"#N/A")</f>
        <v>#N/A</v>
      </c>
      <c r="Q2987" s="7">
        <v>13.5</v>
      </c>
      <c r="R2987" s="7" t="str">
        <f ca="1">IFERROR(__xludf.DUMMYFUNCTION("IMPORTXML(E2987,""/html/body/main/div[3]/div[3]/div[2]/ul/li[7]/span[2]/span"")"),"Loading...")</f>
        <v>Loading...</v>
      </c>
      <c r="S2987" s="7" t="str">
        <f ca="1">IFERROR(__xludf.DUMMYFUNCTION("IMPORTXML(E2987,""/html/body/main/div[3]/div[3]/div[2]/ul/li[8]/span[2]/span"")"),"Loading...")</f>
        <v>Loading...</v>
      </c>
      <c r="T2987" s="4">
        <v>34.6</v>
      </c>
      <c r="U2987" s="4">
        <v>22.7</v>
      </c>
      <c r="V2987" s="4">
        <v>2.6</v>
      </c>
      <c r="W2987" s="4">
        <v>5.7</v>
      </c>
      <c r="X2987" s="4">
        <v>519.92999999999995</v>
      </c>
      <c r="Y2987" s="7" t="e">
        <f t="shared" ca="1" si="64"/>
        <v>#VALUE!</v>
      </c>
    </row>
    <row r="2988" spans="1:25" ht="15" x14ac:dyDescent="0.25">
      <c r="A2988" s="4">
        <v>2960</v>
      </c>
      <c r="C2988" s="41" t="s">
        <v>5301</v>
      </c>
      <c r="D2988" s="42"/>
      <c r="E2988" s="5" t="str">
        <f t="shared" si="60"/>
        <v>https://www.screener.in/company//consolidated/</v>
      </c>
      <c r="F2988" s="4">
        <v>443059</v>
      </c>
      <c r="G2988" s="4">
        <v>3832241897</v>
      </c>
      <c r="H2988" s="6" t="e">
        <f t="shared" ca="1" si="61"/>
        <v>#VALUE!</v>
      </c>
      <c r="I2988" s="7" t="str">
        <f ca="1">IFERROR(__xludf.DUMMYFUNCTION("IMPORTXML(E2988,""/html/body/main/div[3]/div[3]/div[2]/ul/li[5]/span[2]/span"")"),"Loading...")</f>
        <v>Loading...</v>
      </c>
      <c r="J2988" s="7" t="str">
        <f ca="1">IFERROR(__xludf.DUMMYFUNCTION("GOOGLEFINANCE(""NSE:""&amp;D2988,""marketcap"")"),"#N/A")</f>
        <v>#N/A</v>
      </c>
      <c r="K2988" s="7">
        <v>992.8</v>
      </c>
      <c r="L2988" s="8" t="str">
        <f ca="1">IFERROR(__xludf.DUMMYFUNCTION("GOOGLEFINANCE(""NSE:""&amp;D2988,""price"")"),"#N/A")</f>
        <v>#N/A</v>
      </c>
      <c r="M2988" s="9" t="e">
        <f t="shared" ca="1" si="62"/>
        <v>#VALUE!</v>
      </c>
      <c r="N2988" s="10" t="e">
        <f t="shared" ca="1" si="63"/>
        <v>#VALUE!</v>
      </c>
      <c r="O2988" s="7" t="str">
        <f ca="1">IFERROR(__xludf.DUMMYFUNCTION("GOOGLEFINANCE(""NSE:""&amp;D2988,""pe"")"),"#N/A")</f>
        <v>#N/A</v>
      </c>
      <c r="P2988" s="7" t="str">
        <f ca="1">IFERROR(__xludf.DUMMYFUNCTION("GOOGLEFINANCE(""NSE:""&amp;D2988,""EPS"")"),"#N/A")</f>
        <v>#N/A</v>
      </c>
      <c r="Q2988" s="7">
        <v>13.5</v>
      </c>
      <c r="R2988" s="7" t="str">
        <f ca="1">IFERROR(__xludf.DUMMYFUNCTION("IMPORTXML(E2988,""/html/body/main/div[3]/div[3]/div[2]/ul/li[7]/span[2]/span"")"),"Loading...")</f>
        <v>Loading...</v>
      </c>
      <c r="S2988" s="7" t="str">
        <f ca="1">IFERROR(__xludf.DUMMYFUNCTION("IMPORTXML(E2988,""/html/body/main/div[3]/div[3]/div[2]/ul/li[8]/span[2]/span"")"),"Loading...")</f>
        <v>Loading...</v>
      </c>
      <c r="T2988" s="4">
        <v>34.6</v>
      </c>
      <c r="U2988" s="4">
        <v>22.7</v>
      </c>
      <c r="V2988" s="4">
        <v>2.6</v>
      </c>
      <c r="W2988" s="4">
        <v>5.7</v>
      </c>
      <c r="X2988" s="4">
        <v>519.92999999999995</v>
      </c>
      <c r="Y2988" s="7" t="e">
        <f t="shared" ca="1" si="64"/>
        <v>#VALUE!</v>
      </c>
    </row>
    <row r="2989" spans="1:25" ht="15" x14ac:dyDescent="0.25">
      <c r="A2989" s="4">
        <v>2961</v>
      </c>
      <c r="C2989" s="41" t="s">
        <v>5302</v>
      </c>
      <c r="D2989" s="42"/>
      <c r="E2989" s="5" t="str">
        <f t="shared" si="60"/>
        <v>https://www.screener.in/company//consolidated/</v>
      </c>
      <c r="F2989" s="4">
        <v>443059</v>
      </c>
      <c r="G2989" s="4">
        <v>3832241897</v>
      </c>
      <c r="H2989" s="6" t="e">
        <f t="shared" ca="1" si="61"/>
        <v>#VALUE!</v>
      </c>
      <c r="I2989" s="7" t="str">
        <f ca="1">IFERROR(__xludf.DUMMYFUNCTION("IMPORTXML(E2989,""/html/body/main/div[3]/div[3]/div[2]/ul/li[5]/span[2]/span"")"),"Loading...")</f>
        <v>Loading...</v>
      </c>
      <c r="J2989" s="7" t="str">
        <f ca="1">IFERROR(__xludf.DUMMYFUNCTION("GOOGLEFINANCE(""NSE:""&amp;D2989,""marketcap"")"),"#N/A")</f>
        <v>#N/A</v>
      </c>
      <c r="K2989" s="7">
        <v>992.8</v>
      </c>
      <c r="L2989" s="8" t="str">
        <f ca="1">IFERROR(__xludf.DUMMYFUNCTION("GOOGLEFINANCE(""NSE:""&amp;D2989,""price"")"),"#N/A")</f>
        <v>#N/A</v>
      </c>
      <c r="M2989" s="9" t="e">
        <f t="shared" ca="1" si="62"/>
        <v>#VALUE!</v>
      </c>
      <c r="N2989" s="10" t="e">
        <f t="shared" ca="1" si="63"/>
        <v>#VALUE!</v>
      </c>
      <c r="O2989" s="7" t="str">
        <f ca="1">IFERROR(__xludf.DUMMYFUNCTION("GOOGLEFINANCE(""NSE:""&amp;D2989,""pe"")"),"#N/A")</f>
        <v>#N/A</v>
      </c>
      <c r="P2989" s="7" t="str">
        <f ca="1">IFERROR(__xludf.DUMMYFUNCTION("GOOGLEFINANCE(""NSE:""&amp;D2989,""EPS"")"),"#N/A")</f>
        <v>#N/A</v>
      </c>
      <c r="Q2989" s="7">
        <v>13.5</v>
      </c>
      <c r="R2989" s="7" t="str">
        <f ca="1">IFERROR(__xludf.DUMMYFUNCTION("IMPORTXML(E2989,""/html/body/main/div[3]/div[3]/div[2]/ul/li[7]/span[2]/span"")"),"Loading...")</f>
        <v>Loading...</v>
      </c>
      <c r="S2989" s="7" t="str">
        <f ca="1">IFERROR(__xludf.DUMMYFUNCTION("IMPORTXML(E2989,""/html/body/main/div[3]/div[3]/div[2]/ul/li[8]/span[2]/span"")"),"Loading...")</f>
        <v>Loading...</v>
      </c>
      <c r="T2989" s="4">
        <v>34.6</v>
      </c>
      <c r="U2989" s="4">
        <v>22.7</v>
      </c>
      <c r="V2989" s="4">
        <v>2.6</v>
      </c>
      <c r="W2989" s="4">
        <v>5.7</v>
      </c>
      <c r="X2989" s="4">
        <v>519.92999999999995</v>
      </c>
      <c r="Y2989" s="7" t="e">
        <f t="shared" ca="1" si="64"/>
        <v>#VALUE!</v>
      </c>
    </row>
    <row r="2990" spans="1:25" ht="15" x14ac:dyDescent="0.25">
      <c r="A2990" s="4">
        <v>2962</v>
      </c>
      <c r="C2990" s="41" t="s">
        <v>5303</v>
      </c>
      <c r="D2990" s="42"/>
      <c r="E2990" s="5" t="str">
        <f t="shared" si="60"/>
        <v>https://www.screener.in/company//consolidated/</v>
      </c>
      <c r="F2990" s="4">
        <v>443059</v>
      </c>
      <c r="G2990" s="4">
        <v>3832241897</v>
      </c>
      <c r="H2990" s="6" t="e">
        <f t="shared" ca="1" si="61"/>
        <v>#VALUE!</v>
      </c>
      <c r="I2990" s="7" t="str">
        <f ca="1">IFERROR(__xludf.DUMMYFUNCTION("IMPORTXML(E2990,""/html/body/main/div[3]/div[3]/div[2]/ul/li[5]/span[2]/span"")"),"Loading...")</f>
        <v>Loading...</v>
      </c>
      <c r="J2990" s="7" t="str">
        <f ca="1">IFERROR(__xludf.DUMMYFUNCTION("GOOGLEFINANCE(""NSE:""&amp;D2990,""marketcap"")"),"#N/A")</f>
        <v>#N/A</v>
      </c>
      <c r="K2990" s="7">
        <v>992.8</v>
      </c>
      <c r="L2990" s="8" t="str">
        <f ca="1">IFERROR(__xludf.DUMMYFUNCTION("GOOGLEFINANCE(""NSE:""&amp;D2990,""price"")"),"#N/A")</f>
        <v>#N/A</v>
      </c>
      <c r="M2990" s="9" t="e">
        <f t="shared" ca="1" si="62"/>
        <v>#VALUE!</v>
      </c>
      <c r="N2990" s="10" t="e">
        <f t="shared" ca="1" si="63"/>
        <v>#VALUE!</v>
      </c>
      <c r="O2990" s="7" t="str">
        <f ca="1">IFERROR(__xludf.DUMMYFUNCTION("GOOGLEFINANCE(""NSE:""&amp;D2990,""pe"")"),"#N/A")</f>
        <v>#N/A</v>
      </c>
      <c r="P2990" s="7" t="str">
        <f ca="1">IFERROR(__xludf.DUMMYFUNCTION("GOOGLEFINANCE(""NSE:""&amp;D2990,""EPS"")"),"#N/A")</f>
        <v>#N/A</v>
      </c>
      <c r="Q2990" s="7">
        <v>13.5</v>
      </c>
      <c r="R2990" s="7" t="str">
        <f ca="1">IFERROR(__xludf.DUMMYFUNCTION("IMPORTXML(E2990,""/html/body/main/div[3]/div[3]/div[2]/ul/li[7]/span[2]/span"")"),"Loading...")</f>
        <v>Loading...</v>
      </c>
      <c r="S2990" s="7" t="str">
        <f ca="1">IFERROR(__xludf.DUMMYFUNCTION("IMPORTXML(E2990,""/html/body/main/div[3]/div[3]/div[2]/ul/li[8]/span[2]/span"")"),"Loading...")</f>
        <v>Loading...</v>
      </c>
      <c r="T2990" s="4">
        <v>34.6</v>
      </c>
      <c r="U2990" s="4">
        <v>22.7</v>
      </c>
      <c r="V2990" s="4">
        <v>2.6</v>
      </c>
      <c r="W2990" s="4">
        <v>5.7</v>
      </c>
      <c r="X2990" s="4">
        <v>519.92999999999995</v>
      </c>
      <c r="Y2990" s="7" t="e">
        <f t="shared" ca="1" si="64"/>
        <v>#VALUE!</v>
      </c>
    </row>
    <row r="2991" spans="1:25" ht="15" x14ac:dyDescent="0.25">
      <c r="A2991" s="4">
        <v>2963</v>
      </c>
      <c r="C2991" s="41" t="s">
        <v>5304</v>
      </c>
      <c r="D2991" s="42"/>
      <c r="E2991" s="5" t="str">
        <f t="shared" si="60"/>
        <v>https://www.screener.in/company//consolidated/</v>
      </c>
      <c r="F2991" s="4">
        <v>443059</v>
      </c>
      <c r="G2991" s="4">
        <v>3832241897</v>
      </c>
      <c r="H2991" s="6" t="e">
        <f t="shared" ca="1" si="61"/>
        <v>#VALUE!</v>
      </c>
      <c r="I2991" s="7" t="str">
        <f ca="1">IFERROR(__xludf.DUMMYFUNCTION("IMPORTXML(E2991,""/html/body/main/div[3]/div[3]/div[2]/ul/li[5]/span[2]/span"")"),"Loading...")</f>
        <v>Loading...</v>
      </c>
      <c r="J2991" s="7" t="str">
        <f ca="1">IFERROR(__xludf.DUMMYFUNCTION("GOOGLEFINANCE(""NSE:""&amp;D2991,""marketcap"")"),"#N/A")</f>
        <v>#N/A</v>
      </c>
      <c r="K2991" s="7">
        <v>992.8</v>
      </c>
      <c r="L2991" s="8" t="str">
        <f ca="1">IFERROR(__xludf.DUMMYFUNCTION("GOOGLEFINANCE(""NSE:""&amp;D2991,""price"")"),"#N/A")</f>
        <v>#N/A</v>
      </c>
      <c r="M2991" s="9" t="e">
        <f t="shared" ca="1" si="62"/>
        <v>#VALUE!</v>
      </c>
      <c r="N2991" s="10" t="e">
        <f t="shared" ca="1" si="63"/>
        <v>#VALUE!</v>
      </c>
      <c r="O2991" s="7" t="str">
        <f ca="1">IFERROR(__xludf.DUMMYFUNCTION("GOOGLEFINANCE(""NSE:""&amp;D2991,""pe"")"),"#N/A")</f>
        <v>#N/A</v>
      </c>
      <c r="P2991" s="7" t="str">
        <f ca="1">IFERROR(__xludf.DUMMYFUNCTION("GOOGLEFINANCE(""NSE:""&amp;D2991,""EPS"")"),"#N/A")</f>
        <v>#N/A</v>
      </c>
      <c r="Q2991" s="7">
        <v>13.5</v>
      </c>
      <c r="R2991" s="7" t="str">
        <f ca="1">IFERROR(__xludf.DUMMYFUNCTION("IMPORTXML(E2991,""/html/body/main/div[3]/div[3]/div[2]/ul/li[7]/span[2]/span"")"),"Loading...")</f>
        <v>Loading...</v>
      </c>
      <c r="S2991" s="7" t="str">
        <f ca="1">IFERROR(__xludf.DUMMYFUNCTION("IMPORTXML(E2991,""/html/body/main/div[3]/div[3]/div[2]/ul/li[8]/span[2]/span"")"),"Loading...")</f>
        <v>Loading...</v>
      </c>
      <c r="T2991" s="4">
        <v>34.6</v>
      </c>
      <c r="U2991" s="4">
        <v>22.7</v>
      </c>
      <c r="V2991" s="4">
        <v>2.6</v>
      </c>
      <c r="W2991" s="4">
        <v>5.7</v>
      </c>
      <c r="X2991" s="4">
        <v>519.92999999999995</v>
      </c>
      <c r="Y2991" s="7" t="e">
        <f t="shared" ca="1" si="64"/>
        <v>#VALUE!</v>
      </c>
    </row>
    <row r="2992" spans="1:25" ht="15" x14ac:dyDescent="0.25">
      <c r="A2992" s="4">
        <v>2964</v>
      </c>
      <c r="C2992" s="41" t="s">
        <v>5305</v>
      </c>
      <c r="D2992" s="42"/>
      <c r="E2992" s="5" t="str">
        <f t="shared" si="60"/>
        <v>https://www.screener.in/company//consolidated/</v>
      </c>
      <c r="F2992" s="4">
        <v>443059</v>
      </c>
      <c r="G2992" s="4">
        <v>3832241897</v>
      </c>
      <c r="H2992" s="6" t="e">
        <f t="shared" ca="1" si="61"/>
        <v>#VALUE!</v>
      </c>
      <c r="I2992" s="7" t="str">
        <f ca="1">IFERROR(__xludf.DUMMYFUNCTION("IMPORTXML(E2992,""/html/body/main/div[3]/div[3]/div[2]/ul/li[5]/span[2]/span"")"),"Loading...")</f>
        <v>Loading...</v>
      </c>
      <c r="J2992" s="7" t="str">
        <f ca="1">IFERROR(__xludf.DUMMYFUNCTION("GOOGLEFINANCE(""NSE:""&amp;D2992,""marketcap"")"),"#N/A")</f>
        <v>#N/A</v>
      </c>
      <c r="K2992" s="7">
        <v>992.8</v>
      </c>
      <c r="L2992" s="8" t="str">
        <f ca="1">IFERROR(__xludf.DUMMYFUNCTION("GOOGLEFINANCE(""NSE:""&amp;D2992,""price"")"),"#N/A")</f>
        <v>#N/A</v>
      </c>
      <c r="M2992" s="9" t="e">
        <f t="shared" ca="1" si="62"/>
        <v>#VALUE!</v>
      </c>
      <c r="N2992" s="10" t="e">
        <f t="shared" ca="1" si="63"/>
        <v>#VALUE!</v>
      </c>
      <c r="O2992" s="7" t="str">
        <f ca="1">IFERROR(__xludf.DUMMYFUNCTION("GOOGLEFINANCE(""NSE:""&amp;D2992,""pe"")"),"#N/A")</f>
        <v>#N/A</v>
      </c>
      <c r="P2992" s="7" t="str">
        <f ca="1">IFERROR(__xludf.DUMMYFUNCTION("GOOGLEFINANCE(""NSE:""&amp;D2992,""EPS"")"),"#N/A")</f>
        <v>#N/A</v>
      </c>
      <c r="Q2992" s="7">
        <v>13.5</v>
      </c>
      <c r="R2992" s="7" t="str">
        <f ca="1">IFERROR(__xludf.DUMMYFUNCTION("IMPORTXML(E2992,""/html/body/main/div[3]/div[3]/div[2]/ul/li[7]/span[2]/span"")"),"Loading...")</f>
        <v>Loading...</v>
      </c>
      <c r="S2992" s="7" t="str">
        <f ca="1">IFERROR(__xludf.DUMMYFUNCTION("IMPORTXML(E2992,""/html/body/main/div[3]/div[3]/div[2]/ul/li[8]/span[2]/span"")"),"Loading...")</f>
        <v>Loading...</v>
      </c>
      <c r="T2992" s="4">
        <v>34.6</v>
      </c>
      <c r="U2992" s="4">
        <v>22.7</v>
      </c>
      <c r="V2992" s="4">
        <v>2.6</v>
      </c>
      <c r="W2992" s="4">
        <v>5.7</v>
      </c>
      <c r="X2992" s="4">
        <v>519.92999999999995</v>
      </c>
      <c r="Y2992" s="7" t="e">
        <f t="shared" ca="1" si="64"/>
        <v>#VALUE!</v>
      </c>
    </row>
    <row r="2993" spans="1:25" ht="15" x14ac:dyDescent="0.25">
      <c r="A2993" s="4">
        <v>2965</v>
      </c>
      <c r="C2993" s="41" t="s">
        <v>5306</v>
      </c>
      <c r="D2993" s="42"/>
      <c r="E2993" s="5" t="str">
        <f t="shared" si="60"/>
        <v>https://www.screener.in/company//consolidated/</v>
      </c>
      <c r="F2993" s="4">
        <v>443059</v>
      </c>
      <c r="G2993" s="4">
        <v>3832241897</v>
      </c>
      <c r="H2993" s="6" t="e">
        <f t="shared" ca="1" si="61"/>
        <v>#VALUE!</v>
      </c>
      <c r="I2993" s="7" t="str">
        <f ca="1">IFERROR(__xludf.DUMMYFUNCTION("IMPORTXML(E2993,""/html/body/main/div[3]/div[3]/div[2]/ul/li[5]/span[2]/span"")"),"Loading...")</f>
        <v>Loading...</v>
      </c>
      <c r="J2993" s="7" t="str">
        <f ca="1">IFERROR(__xludf.DUMMYFUNCTION("GOOGLEFINANCE(""NSE:""&amp;D2993,""marketcap"")"),"#N/A")</f>
        <v>#N/A</v>
      </c>
      <c r="K2993" s="7">
        <v>992.8</v>
      </c>
      <c r="L2993" s="8" t="str">
        <f ca="1">IFERROR(__xludf.DUMMYFUNCTION("GOOGLEFINANCE(""NSE:""&amp;D2993,""price"")"),"#N/A")</f>
        <v>#N/A</v>
      </c>
      <c r="M2993" s="9" t="e">
        <f t="shared" ca="1" si="62"/>
        <v>#VALUE!</v>
      </c>
      <c r="N2993" s="10" t="e">
        <f t="shared" ca="1" si="63"/>
        <v>#VALUE!</v>
      </c>
      <c r="O2993" s="7" t="str">
        <f ca="1">IFERROR(__xludf.DUMMYFUNCTION("GOOGLEFINANCE(""NSE:""&amp;D2993,""pe"")"),"#N/A")</f>
        <v>#N/A</v>
      </c>
      <c r="P2993" s="7" t="str">
        <f ca="1">IFERROR(__xludf.DUMMYFUNCTION("GOOGLEFINANCE(""NSE:""&amp;D2993,""EPS"")"),"#N/A")</f>
        <v>#N/A</v>
      </c>
      <c r="Q2993" s="7">
        <v>13.5</v>
      </c>
      <c r="R2993" s="7" t="str">
        <f ca="1">IFERROR(__xludf.DUMMYFUNCTION("IMPORTXML(E2993,""/html/body/main/div[3]/div[3]/div[2]/ul/li[7]/span[2]/span"")"),"Loading...")</f>
        <v>Loading...</v>
      </c>
      <c r="S2993" s="7" t="str">
        <f ca="1">IFERROR(__xludf.DUMMYFUNCTION("IMPORTXML(E2993,""/html/body/main/div[3]/div[3]/div[2]/ul/li[8]/span[2]/span"")"),"Loading...")</f>
        <v>Loading...</v>
      </c>
      <c r="T2993" s="4">
        <v>34.6</v>
      </c>
      <c r="U2993" s="4">
        <v>22.7</v>
      </c>
      <c r="V2993" s="4">
        <v>2.6</v>
      </c>
      <c r="W2993" s="4">
        <v>5.7</v>
      </c>
      <c r="X2993" s="4">
        <v>519.92999999999995</v>
      </c>
      <c r="Y2993" s="7" t="e">
        <f t="shared" ca="1" si="64"/>
        <v>#VALUE!</v>
      </c>
    </row>
    <row r="2994" spans="1:25" ht="15" x14ac:dyDescent="0.25">
      <c r="A2994" s="4">
        <v>2966</v>
      </c>
      <c r="C2994" s="41" t="s">
        <v>5307</v>
      </c>
      <c r="D2994" s="42"/>
      <c r="E2994" s="5" t="str">
        <f t="shared" si="60"/>
        <v>https://www.screener.in/company//consolidated/</v>
      </c>
      <c r="F2994" s="4">
        <v>443059</v>
      </c>
      <c r="G2994" s="4">
        <v>3832241897</v>
      </c>
      <c r="H2994" s="6" t="e">
        <f t="shared" ca="1" si="61"/>
        <v>#VALUE!</v>
      </c>
      <c r="I2994" s="7" t="str">
        <f ca="1">IFERROR(__xludf.DUMMYFUNCTION("IMPORTXML(E2994,""/html/body/main/div[3]/div[3]/div[2]/ul/li[5]/span[2]/span"")"),"Loading...")</f>
        <v>Loading...</v>
      </c>
      <c r="J2994" s="7" t="str">
        <f ca="1">IFERROR(__xludf.DUMMYFUNCTION("GOOGLEFINANCE(""NSE:""&amp;D2994,""marketcap"")"),"#N/A")</f>
        <v>#N/A</v>
      </c>
      <c r="K2994" s="7">
        <v>992.8</v>
      </c>
      <c r="L2994" s="8" t="str">
        <f ca="1">IFERROR(__xludf.DUMMYFUNCTION("GOOGLEFINANCE(""NSE:""&amp;D2994,""price"")"),"#N/A")</f>
        <v>#N/A</v>
      </c>
      <c r="M2994" s="9" t="e">
        <f t="shared" ca="1" si="62"/>
        <v>#VALUE!</v>
      </c>
      <c r="N2994" s="10" t="e">
        <f t="shared" ca="1" si="63"/>
        <v>#VALUE!</v>
      </c>
      <c r="O2994" s="7" t="str">
        <f ca="1">IFERROR(__xludf.DUMMYFUNCTION("GOOGLEFINANCE(""NSE:""&amp;D2994,""pe"")"),"#N/A")</f>
        <v>#N/A</v>
      </c>
      <c r="P2994" s="7" t="str">
        <f ca="1">IFERROR(__xludf.DUMMYFUNCTION("GOOGLEFINANCE(""NSE:""&amp;D2994,""EPS"")"),"#N/A")</f>
        <v>#N/A</v>
      </c>
      <c r="Q2994" s="7">
        <v>13.5</v>
      </c>
      <c r="R2994" s="7" t="str">
        <f ca="1">IFERROR(__xludf.DUMMYFUNCTION("IMPORTXML(E2994,""/html/body/main/div[3]/div[3]/div[2]/ul/li[7]/span[2]/span"")"),"Loading...")</f>
        <v>Loading...</v>
      </c>
      <c r="S2994" s="7" t="str">
        <f ca="1">IFERROR(__xludf.DUMMYFUNCTION("IMPORTXML(E2994,""/html/body/main/div[3]/div[3]/div[2]/ul/li[8]/span[2]/span"")"),"Loading...")</f>
        <v>Loading...</v>
      </c>
      <c r="T2994" s="4">
        <v>34.6</v>
      </c>
      <c r="U2994" s="4">
        <v>22.7</v>
      </c>
      <c r="V2994" s="4">
        <v>2.6</v>
      </c>
      <c r="W2994" s="4">
        <v>5.7</v>
      </c>
      <c r="X2994" s="4">
        <v>519.92999999999995</v>
      </c>
      <c r="Y2994" s="7" t="e">
        <f t="shared" ca="1" si="64"/>
        <v>#VALUE!</v>
      </c>
    </row>
    <row r="2995" spans="1:25" ht="15" x14ac:dyDescent="0.25">
      <c r="A2995" s="4">
        <v>2967</v>
      </c>
      <c r="C2995" s="12" t="s">
        <v>5308</v>
      </c>
      <c r="D2995" s="12" t="s">
        <v>5309</v>
      </c>
      <c r="E2995" s="5" t="str">
        <f t="shared" si="60"/>
        <v>https://www.screener.in/company/SHRENIK/consolidated/</v>
      </c>
      <c r="F2995" s="4">
        <v>443059</v>
      </c>
      <c r="G2995" s="4">
        <v>3832241897</v>
      </c>
      <c r="H2995" s="6">
        <f t="shared" ca="1" si="61"/>
        <v>199.27657864400001</v>
      </c>
      <c r="I2995" s="7" t="str">
        <f ca="1">IFERROR(__xludf.DUMMYFUNCTION("IMPORTXML(E2995,""/html/body/main/div[3]/div[3]/div[2]/ul/li[5]/span[2]/span"")"),"Loading...")</f>
        <v>Loading...</v>
      </c>
      <c r="J2995" s="7">
        <f ca="1">IFERROR(__xludf.DUMMYFUNCTION("GOOGLEFINANCE(""NSE:""&amp;D2995,""marketcap"")"),318239988)</f>
        <v>318239988</v>
      </c>
      <c r="K2995" s="7">
        <v>992.8</v>
      </c>
      <c r="L2995" s="8">
        <f ca="1">IFERROR(__xludf.DUMMYFUNCTION("GOOGLEFINANCE(""NSE:""&amp;D2995,""price"")"),0.52)</f>
        <v>0.52</v>
      </c>
      <c r="M2995" s="9">
        <f t="shared" ca="1" si="62"/>
        <v>-992.28</v>
      </c>
      <c r="N2995" s="10">
        <f t="shared" ca="1" si="63"/>
        <v>-99.947622884770354</v>
      </c>
      <c r="O2995" s="7" t="str">
        <f ca="1">IFERROR(__xludf.DUMMYFUNCTION("GOOGLEFINANCE(""NSE:""&amp;D2995,""pe"")"),"#N/A")</f>
        <v>#N/A</v>
      </c>
      <c r="P2995" s="7">
        <f ca="1">IFERROR(__xludf.DUMMYFUNCTION("GOOGLEFINANCE(""NSE:""&amp;D2995,""EPS"")"),0)</f>
        <v>0</v>
      </c>
      <c r="Q2995" s="7">
        <v>13.5</v>
      </c>
      <c r="R2995" s="7" t="str">
        <f ca="1">IFERROR(__xludf.DUMMYFUNCTION("IMPORTXML(E2995,""/html/body/main/div[3]/div[3]/div[2]/ul/li[7]/span[2]/span"")"),"Loading...")</f>
        <v>Loading...</v>
      </c>
      <c r="S2995" s="7" t="str">
        <f ca="1">IFERROR(__xludf.DUMMYFUNCTION("IMPORTXML(E2995,""/html/body/main/div[3]/div[3]/div[2]/ul/li[8]/span[2]/span"")"),"Loading...")</f>
        <v>Loading...</v>
      </c>
      <c r="T2995" s="4">
        <v>34.6</v>
      </c>
      <c r="U2995" s="4">
        <v>22.7</v>
      </c>
      <c r="V2995" s="4">
        <v>2.6</v>
      </c>
      <c r="W2995" s="4">
        <v>5.7</v>
      </c>
      <c r="X2995" s="4">
        <v>519.92999999999995</v>
      </c>
      <c r="Y2995" s="7">
        <f t="shared" ca="1" si="64"/>
        <v>-519.41</v>
      </c>
    </row>
    <row r="2996" spans="1:25" ht="15" x14ac:dyDescent="0.25">
      <c r="A2996" s="4">
        <v>2968</v>
      </c>
      <c r="C2996" s="41" t="s">
        <v>5310</v>
      </c>
      <c r="D2996" s="42"/>
      <c r="E2996" s="5" t="str">
        <f t="shared" si="60"/>
        <v>https://www.screener.in/company//consolidated/</v>
      </c>
      <c r="F2996" s="4">
        <v>443059</v>
      </c>
      <c r="G2996" s="4">
        <v>3832241897</v>
      </c>
      <c r="H2996" s="6" t="e">
        <f t="shared" ca="1" si="61"/>
        <v>#VALUE!</v>
      </c>
      <c r="I2996" s="7" t="str">
        <f ca="1">IFERROR(__xludf.DUMMYFUNCTION("IMPORTXML(E2996,""/html/body/main/div[3]/div[3]/div[2]/ul/li[5]/span[2]/span"")"),"Loading...")</f>
        <v>Loading...</v>
      </c>
      <c r="J2996" s="7" t="str">
        <f ca="1">IFERROR(__xludf.DUMMYFUNCTION("GOOGLEFINANCE(""NSE:""&amp;D2996,""marketcap"")"),"#N/A")</f>
        <v>#N/A</v>
      </c>
      <c r="K2996" s="7">
        <v>992.8</v>
      </c>
      <c r="L2996" s="8" t="str">
        <f ca="1">IFERROR(__xludf.DUMMYFUNCTION("GOOGLEFINANCE(""NSE:""&amp;D2996,""price"")"),"#N/A")</f>
        <v>#N/A</v>
      </c>
      <c r="M2996" s="9" t="e">
        <f t="shared" ca="1" si="62"/>
        <v>#VALUE!</v>
      </c>
      <c r="N2996" s="10" t="e">
        <f t="shared" ca="1" si="63"/>
        <v>#VALUE!</v>
      </c>
      <c r="O2996" s="7" t="str">
        <f ca="1">IFERROR(__xludf.DUMMYFUNCTION("GOOGLEFINANCE(""NSE:""&amp;D2996,""pe"")"),"#N/A")</f>
        <v>#N/A</v>
      </c>
      <c r="P2996" s="7" t="str">
        <f ca="1">IFERROR(__xludf.DUMMYFUNCTION("GOOGLEFINANCE(""NSE:""&amp;D2996,""EPS"")"),"#N/A")</f>
        <v>#N/A</v>
      </c>
      <c r="Q2996" s="7">
        <v>13.5</v>
      </c>
      <c r="R2996" s="7" t="str">
        <f ca="1">IFERROR(__xludf.DUMMYFUNCTION("IMPORTXML(E2996,""/html/body/main/div[3]/div[3]/div[2]/ul/li[7]/span[2]/span"")"),"Loading...")</f>
        <v>Loading...</v>
      </c>
      <c r="S2996" s="7" t="str">
        <f ca="1">IFERROR(__xludf.DUMMYFUNCTION("IMPORTXML(E2996,""/html/body/main/div[3]/div[3]/div[2]/ul/li[8]/span[2]/span"")"),"Loading...")</f>
        <v>Loading...</v>
      </c>
      <c r="T2996" s="4">
        <v>34.6</v>
      </c>
      <c r="U2996" s="4">
        <v>22.7</v>
      </c>
      <c r="V2996" s="4">
        <v>2.6</v>
      </c>
      <c r="W2996" s="4">
        <v>5.7</v>
      </c>
      <c r="X2996" s="4">
        <v>519.92999999999995</v>
      </c>
      <c r="Y2996" s="7" t="e">
        <f t="shared" ca="1" si="64"/>
        <v>#VALUE!</v>
      </c>
    </row>
    <row r="2997" spans="1:25" ht="15" x14ac:dyDescent="0.25">
      <c r="A2997" s="4">
        <v>2969</v>
      </c>
      <c r="C2997" s="41" t="s">
        <v>5311</v>
      </c>
      <c r="D2997" s="42"/>
      <c r="E2997" s="5" t="str">
        <f t="shared" si="60"/>
        <v>https://www.screener.in/company//consolidated/</v>
      </c>
      <c r="F2997" s="4">
        <v>443059</v>
      </c>
      <c r="G2997" s="4">
        <v>3832241897</v>
      </c>
      <c r="H2997" s="6" t="e">
        <f t="shared" ca="1" si="61"/>
        <v>#VALUE!</v>
      </c>
      <c r="I2997" s="7" t="str">
        <f ca="1">IFERROR(__xludf.DUMMYFUNCTION("IMPORTXML(E2997,""/html/body/main/div[3]/div[3]/div[2]/ul/li[5]/span[2]/span"")"),"Loading...")</f>
        <v>Loading...</v>
      </c>
      <c r="J2997" s="7" t="str">
        <f ca="1">IFERROR(__xludf.DUMMYFUNCTION("GOOGLEFINANCE(""NSE:""&amp;D2997,""marketcap"")"),"#N/A")</f>
        <v>#N/A</v>
      </c>
      <c r="K2997" s="7">
        <v>992.8</v>
      </c>
      <c r="L2997" s="8" t="str">
        <f ca="1">IFERROR(__xludf.DUMMYFUNCTION("GOOGLEFINANCE(""NSE:""&amp;D2997,""price"")"),"#N/A")</f>
        <v>#N/A</v>
      </c>
      <c r="M2997" s="9" t="e">
        <f t="shared" ca="1" si="62"/>
        <v>#VALUE!</v>
      </c>
      <c r="N2997" s="10" t="e">
        <f t="shared" ca="1" si="63"/>
        <v>#VALUE!</v>
      </c>
      <c r="O2997" s="7" t="str">
        <f ca="1">IFERROR(__xludf.DUMMYFUNCTION("GOOGLEFINANCE(""NSE:""&amp;D2997,""pe"")"),"#N/A")</f>
        <v>#N/A</v>
      </c>
      <c r="P2997" s="7" t="str">
        <f ca="1">IFERROR(__xludf.DUMMYFUNCTION("GOOGLEFINANCE(""NSE:""&amp;D2997,""EPS"")"),"#N/A")</f>
        <v>#N/A</v>
      </c>
      <c r="Q2997" s="7">
        <v>13.5</v>
      </c>
      <c r="R2997" s="7" t="str">
        <f ca="1">IFERROR(__xludf.DUMMYFUNCTION("IMPORTXML(E2997,""/html/body/main/div[3]/div[3]/div[2]/ul/li[7]/span[2]/span"")"),"Loading...")</f>
        <v>Loading...</v>
      </c>
      <c r="S2997" s="7" t="str">
        <f ca="1">IFERROR(__xludf.DUMMYFUNCTION("IMPORTXML(E2997,""/html/body/main/div[3]/div[3]/div[2]/ul/li[8]/span[2]/span"")"),"Loading...")</f>
        <v>Loading...</v>
      </c>
      <c r="T2997" s="4">
        <v>34.6</v>
      </c>
      <c r="U2997" s="4">
        <v>22.7</v>
      </c>
      <c r="V2997" s="4">
        <v>2.6</v>
      </c>
      <c r="W2997" s="4">
        <v>5.7</v>
      </c>
      <c r="X2997" s="4">
        <v>519.92999999999995</v>
      </c>
      <c r="Y2997" s="7" t="e">
        <f t="shared" ca="1" si="64"/>
        <v>#VALUE!</v>
      </c>
    </row>
    <row r="2998" spans="1:25" ht="15" x14ac:dyDescent="0.25">
      <c r="A2998" s="4">
        <v>2970</v>
      </c>
      <c r="C2998" s="41" t="s">
        <v>5312</v>
      </c>
      <c r="D2998" s="42"/>
      <c r="E2998" s="5" t="str">
        <f t="shared" si="60"/>
        <v>https://www.screener.in/company//consolidated/</v>
      </c>
      <c r="F2998" s="4">
        <v>443059</v>
      </c>
      <c r="G2998" s="4">
        <v>3832241897</v>
      </c>
      <c r="H2998" s="6" t="e">
        <f t="shared" ca="1" si="61"/>
        <v>#VALUE!</v>
      </c>
      <c r="I2998" s="7" t="str">
        <f ca="1">IFERROR(__xludf.DUMMYFUNCTION("IMPORTXML(E2998,""/html/body/main/div[3]/div[3]/div[2]/ul/li[5]/span[2]/span"")"),"Loading...")</f>
        <v>Loading...</v>
      </c>
      <c r="J2998" s="7" t="str">
        <f ca="1">IFERROR(__xludf.DUMMYFUNCTION("GOOGLEFINANCE(""NSE:""&amp;D2998,""marketcap"")"),"#N/A")</f>
        <v>#N/A</v>
      </c>
      <c r="K2998" s="7">
        <v>992.8</v>
      </c>
      <c r="L2998" s="8" t="str">
        <f ca="1">IFERROR(__xludf.DUMMYFUNCTION("GOOGLEFINANCE(""NSE:""&amp;D2998,""price"")"),"#N/A")</f>
        <v>#N/A</v>
      </c>
      <c r="M2998" s="9" t="e">
        <f t="shared" ca="1" si="62"/>
        <v>#VALUE!</v>
      </c>
      <c r="N2998" s="10" t="e">
        <f t="shared" ca="1" si="63"/>
        <v>#VALUE!</v>
      </c>
      <c r="O2998" s="7" t="str">
        <f ca="1">IFERROR(__xludf.DUMMYFUNCTION("GOOGLEFINANCE(""NSE:""&amp;D2998,""pe"")"),"#N/A")</f>
        <v>#N/A</v>
      </c>
      <c r="P2998" s="7" t="str">
        <f ca="1">IFERROR(__xludf.DUMMYFUNCTION("GOOGLEFINANCE(""NSE:""&amp;D2998,""EPS"")"),"#N/A")</f>
        <v>#N/A</v>
      </c>
      <c r="Q2998" s="7">
        <v>13.5</v>
      </c>
      <c r="R2998" s="7" t="str">
        <f ca="1">IFERROR(__xludf.DUMMYFUNCTION("IMPORTXML(E2998,""/html/body/main/div[3]/div[3]/div[2]/ul/li[7]/span[2]/span"")"),"Loading...")</f>
        <v>Loading...</v>
      </c>
      <c r="S2998" s="7" t="str">
        <f ca="1">IFERROR(__xludf.DUMMYFUNCTION("IMPORTXML(E2998,""/html/body/main/div[3]/div[3]/div[2]/ul/li[8]/span[2]/span"")"),"Loading...")</f>
        <v>Loading...</v>
      </c>
      <c r="T2998" s="4">
        <v>34.6</v>
      </c>
      <c r="U2998" s="4">
        <v>22.7</v>
      </c>
      <c r="V2998" s="4">
        <v>2.6</v>
      </c>
      <c r="W2998" s="4">
        <v>5.7</v>
      </c>
      <c r="X2998" s="4">
        <v>519.92999999999995</v>
      </c>
      <c r="Y2998" s="7" t="e">
        <f t="shared" ca="1" si="64"/>
        <v>#VALUE!</v>
      </c>
    </row>
    <row r="2999" spans="1:25" ht="15" x14ac:dyDescent="0.25">
      <c r="A2999" s="4">
        <v>2971</v>
      </c>
      <c r="C2999" s="41" t="s">
        <v>5313</v>
      </c>
      <c r="D2999" s="42"/>
      <c r="E2999" s="5" t="str">
        <f t="shared" si="60"/>
        <v>https://www.screener.in/company//consolidated/</v>
      </c>
      <c r="F2999" s="4">
        <v>443059</v>
      </c>
      <c r="G2999" s="4">
        <v>3832241897</v>
      </c>
      <c r="H2999" s="6" t="e">
        <f t="shared" ca="1" si="61"/>
        <v>#VALUE!</v>
      </c>
      <c r="I2999" s="7" t="str">
        <f ca="1">IFERROR(__xludf.DUMMYFUNCTION("IMPORTXML(E2999,""/html/body/main/div[3]/div[3]/div[2]/ul/li[5]/span[2]/span"")"),"Loading...")</f>
        <v>Loading...</v>
      </c>
      <c r="J2999" s="7" t="str">
        <f ca="1">IFERROR(__xludf.DUMMYFUNCTION("GOOGLEFINANCE(""NSE:""&amp;D2999,""marketcap"")"),"#N/A")</f>
        <v>#N/A</v>
      </c>
      <c r="K2999" s="7">
        <v>992.8</v>
      </c>
      <c r="L2999" s="8" t="str">
        <f ca="1">IFERROR(__xludf.DUMMYFUNCTION("GOOGLEFINANCE(""NSE:""&amp;D2999,""price"")"),"#N/A")</f>
        <v>#N/A</v>
      </c>
      <c r="M2999" s="9" t="e">
        <f t="shared" ca="1" si="62"/>
        <v>#VALUE!</v>
      </c>
      <c r="N2999" s="10" t="e">
        <f t="shared" ca="1" si="63"/>
        <v>#VALUE!</v>
      </c>
      <c r="O2999" s="7" t="str">
        <f ca="1">IFERROR(__xludf.DUMMYFUNCTION("GOOGLEFINANCE(""NSE:""&amp;D2999,""pe"")"),"#N/A")</f>
        <v>#N/A</v>
      </c>
      <c r="P2999" s="7" t="str">
        <f ca="1">IFERROR(__xludf.DUMMYFUNCTION("GOOGLEFINANCE(""NSE:""&amp;D2999,""EPS"")"),"#N/A")</f>
        <v>#N/A</v>
      </c>
      <c r="Q2999" s="7">
        <v>13.5</v>
      </c>
      <c r="R2999" s="7" t="str">
        <f ca="1">IFERROR(__xludf.DUMMYFUNCTION("IMPORTXML(E2999,""/html/body/main/div[3]/div[3]/div[2]/ul/li[7]/span[2]/span"")"),"Loading...")</f>
        <v>Loading...</v>
      </c>
      <c r="S2999" s="7" t="str">
        <f ca="1">IFERROR(__xludf.DUMMYFUNCTION("IMPORTXML(E2999,""/html/body/main/div[3]/div[3]/div[2]/ul/li[8]/span[2]/span"")"),"Loading...")</f>
        <v>Loading...</v>
      </c>
      <c r="T2999" s="4">
        <v>34.6</v>
      </c>
      <c r="U2999" s="4">
        <v>22.7</v>
      </c>
      <c r="V2999" s="4">
        <v>2.6</v>
      </c>
      <c r="W2999" s="4">
        <v>5.7</v>
      </c>
      <c r="X2999" s="4">
        <v>519.92999999999995</v>
      </c>
      <c r="Y2999" s="7" t="e">
        <f t="shared" ca="1" si="64"/>
        <v>#VALUE!</v>
      </c>
    </row>
    <row r="3000" spans="1:25" ht="15" x14ac:dyDescent="0.25">
      <c r="A3000" s="4">
        <v>2972</v>
      </c>
      <c r="C3000" s="41" t="s">
        <v>5314</v>
      </c>
      <c r="D3000" s="42"/>
      <c r="E3000" s="5" t="str">
        <f t="shared" si="60"/>
        <v>https://www.screener.in/company//consolidated/</v>
      </c>
      <c r="F3000" s="4">
        <v>443059</v>
      </c>
      <c r="G3000" s="4">
        <v>3832241897</v>
      </c>
      <c r="H3000" s="6" t="e">
        <f t="shared" ca="1" si="61"/>
        <v>#VALUE!</v>
      </c>
      <c r="I3000" s="7" t="str">
        <f ca="1">IFERROR(__xludf.DUMMYFUNCTION("IMPORTXML(E3000,""/html/body/main/div[3]/div[3]/div[2]/ul/li[5]/span[2]/span"")"),"Loading...")</f>
        <v>Loading...</v>
      </c>
      <c r="J3000" s="7" t="str">
        <f ca="1">IFERROR(__xludf.DUMMYFUNCTION("GOOGLEFINANCE(""NSE:""&amp;D3000,""marketcap"")"),"#N/A")</f>
        <v>#N/A</v>
      </c>
      <c r="K3000" s="7">
        <v>992.8</v>
      </c>
      <c r="L3000" s="8" t="str">
        <f ca="1">IFERROR(__xludf.DUMMYFUNCTION("GOOGLEFINANCE(""NSE:""&amp;D3000,""price"")"),"#N/A")</f>
        <v>#N/A</v>
      </c>
      <c r="M3000" s="9" t="e">
        <f t="shared" ca="1" si="62"/>
        <v>#VALUE!</v>
      </c>
      <c r="N3000" s="10" t="e">
        <f t="shared" ca="1" si="63"/>
        <v>#VALUE!</v>
      </c>
      <c r="O3000" s="7" t="str">
        <f ca="1">IFERROR(__xludf.DUMMYFUNCTION("GOOGLEFINANCE(""NSE:""&amp;D3000,""pe"")"),"#N/A")</f>
        <v>#N/A</v>
      </c>
      <c r="P3000" s="7" t="str">
        <f ca="1">IFERROR(__xludf.DUMMYFUNCTION("GOOGLEFINANCE(""NSE:""&amp;D3000,""EPS"")"),"#N/A")</f>
        <v>#N/A</v>
      </c>
      <c r="Q3000" s="7">
        <v>13.5</v>
      </c>
      <c r="R3000" s="7" t="str">
        <f ca="1">IFERROR(__xludf.DUMMYFUNCTION("IMPORTXML(E3000,""/html/body/main/div[3]/div[3]/div[2]/ul/li[7]/span[2]/span"")"),"Loading...")</f>
        <v>Loading...</v>
      </c>
      <c r="S3000" s="7" t="str">
        <f ca="1">IFERROR(__xludf.DUMMYFUNCTION("IMPORTXML(E3000,""/html/body/main/div[3]/div[3]/div[2]/ul/li[8]/span[2]/span"")"),"Loading...")</f>
        <v>Loading...</v>
      </c>
      <c r="T3000" s="4">
        <v>34.6</v>
      </c>
      <c r="U3000" s="4">
        <v>22.7</v>
      </c>
      <c r="V3000" s="4">
        <v>2.6</v>
      </c>
      <c r="W3000" s="4">
        <v>5.7</v>
      </c>
      <c r="X3000" s="4">
        <v>519.92999999999995</v>
      </c>
      <c r="Y3000" s="7" t="e">
        <f t="shared" ca="1" si="64"/>
        <v>#VALUE!</v>
      </c>
    </row>
    <row r="3001" spans="1:25" ht="15" x14ac:dyDescent="0.25">
      <c r="A3001" s="4">
        <v>2973</v>
      </c>
      <c r="C3001" s="41" t="s">
        <v>5315</v>
      </c>
      <c r="D3001" s="42"/>
      <c r="E3001" s="5" t="str">
        <f t="shared" si="60"/>
        <v>https://www.screener.in/company//consolidated/</v>
      </c>
      <c r="F3001" s="4">
        <v>443059</v>
      </c>
      <c r="G3001" s="4">
        <v>3832241897</v>
      </c>
      <c r="H3001" s="6" t="e">
        <f t="shared" ca="1" si="61"/>
        <v>#VALUE!</v>
      </c>
      <c r="I3001" s="7" t="str">
        <f ca="1">IFERROR(__xludf.DUMMYFUNCTION("IMPORTXML(E3001,""/html/body/main/div[3]/div[3]/div[2]/ul/li[5]/span[2]/span"")"),"Loading...")</f>
        <v>Loading...</v>
      </c>
      <c r="J3001" s="7" t="str">
        <f ca="1">IFERROR(__xludf.DUMMYFUNCTION("GOOGLEFINANCE(""NSE:""&amp;D3001,""marketcap"")"),"#N/A")</f>
        <v>#N/A</v>
      </c>
      <c r="K3001" s="7">
        <v>992.8</v>
      </c>
      <c r="L3001" s="8" t="str">
        <f ca="1">IFERROR(__xludf.DUMMYFUNCTION("GOOGLEFINANCE(""NSE:""&amp;D3001,""price"")"),"#N/A")</f>
        <v>#N/A</v>
      </c>
      <c r="M3001" s="9" t="e">
        <f t="shared" ca="1" si="62"/>
        <v>#VALUE!</v>
      </c>
      <c r="N3001" s="10" t="e">
        <f t="shared" ca="1" si="63"/>
        <v>#VALUE!</v>
      </c>
      <c r="O3001" s="7" t="str">
        <f ca="1">IFERROR(__xludf.DUMMYFUNCTION("GOOGLEFINANCE(""NSE:""&amp;D3001,""pe"")"),"#N/A")</f>
        <v>#N/A</v>
      </c>
      <c r="P3001" s="7" t="str">
        <f ca="1">IFERROR(__xludf.DUMMYFUNCTION("GOOGLEFINANCE(""NSE:""&amp;D3001,""EPS"")"),"#N/A")</f>
        <v>#N/A</v>
      </c>
      <c r="Q3001" s="7">
        <v>13.5</v>
      </c>
      <c r="R3001" s="7" t="str">
        <f ca="1">IFERROR(__xludf.DUMMYFUNCTION("IMPORTXML(E3001,""/html/body/main/div[3]/div[3]/div[2]/ul/li[7]/span[2]/span"")"),"Loading...")</f>
        <v>Loading...</v>
      </c>
      <c r="S3001" s="7" t="str">
        <f ca="1">IFERROR(__xludf.DUMMYFUNCTION("IMPORTXML(E3001,""/html/body/main/div[3]/div[3]/div[2]/ul/li[8]/span[2]/span"")"),"Loading...")</f>
        <v>Loading...</v>
      </c>
      <c r="T3001" s="4">
        <v>34.6</v>
      </c>
      <c r="U3001" s="4">
        <v>22.7</v>
      </c>
      <c r="V3001" s="4">
        <v>2.6</v>
      </c>
      <c r="W3001" s="4">
        <v>5.7</v>
      </c>
      <c r="X3001" s="4">
        <v>519.92999999999995</v>
      </c>
      <c r="Y3001" s="7" t="e">
        <f t="shared" ca="1" si="64"/>
        <v>#VALUE!</v>
      </c>
    </row>
    <row r="3002" spans="1:25" ht="15" x14ac:dyDescent="0.25">
      <c r="A3002" s="4">
        <v>2974</v>
      </c>
      <c r="C3002" s="41" t="s">
        <v>5316</v>
      </c>
      <c r="D3002" s="42"/>
      <c r="E3002" s="5" t="str">
        <f t="shared" si="60"/>
        <v>https://www.screener.in/company//consolidated/</v>
      </c>
      <c r="F3002" s="4">
        <v>443059</v>
      </c>
      <c r="G3002" s="4">
        <v>3832241897</v>
      </c>
      <c r="H3002" s="6" t="e">
        <f t="shared" ca="1" si="61"/>
        <v>#VALUE!</v>
      </c>
      <c r="I3002" s="7" t="str">
        <f ca="1">IFERROR(__xludf.DUMMYFUNCTION("IMPORTXML(E3002,""/html/body/main/div[3]/div[3]/div[2]/ul/li[5]/span[2]/span"")"),"Loading...")</f>
        <v>Loading...</v>
      </c>
      <c r="J3002" s="7" t="str">
        <f ca="1">IFERROR(__xludf.DUMMYFUNCTION("GOOGLEFINANCE(""NSE:""&amp;D3002,""marketcap"")"),"#N/A")</f>
        <v>#N/A</v>
      </c>
      <c r="K3002" s="7">
        <v>992.8</v>
      </c>
      <c r="L3002" s="8" t="str">
        <f ca="1">IFERROR(__xludf.DUMMYFUNCTION("GOOGLEFINANCE(""NSE:""&amp;D3002,""price"")"),"#N/A")</f>
        <v>#N/A</v>
      </c>
      <c r="M3002" s="9" t="e">
        <f t="shared" ca="1" si="62"/>
        <v>#VALUE!</v>
      </c>
      <c r="N3002" s="10" t="e">
        <f t="shared" ca="1" si="63"/>
        <v>#VALUE!</v>
      </c>
      <c r="O3002" s="7" t="str">
        <f ca="1">IFERROR(__xludf.DUMMYFUNCTION("GOOGLEFINANCE(""NSE:""&amp;D3002,""pe"")"),"#N/A")</f>
        <v>#N/A</v>
      </c>
      <c r="P3002" s="7" t="str">
        <f ca="1">IFERROR(__xludf.DUMMYFUNCTION("GOOGLEFINANCE(""NSE:""&amp;D3002,""EPS"")"),"#N/A")</f>
        <v>#N/A</v>
      </c>
      <c r="Q3002" s="7">
        <v>13.5</v>
      </c>
      <c r="R3002" s="7" t="str">
        <f ca="1">IFERROR(__xludf.DUMMYFUNCTION("IMPORTXML(E3002,""/html/body/main/div[3]/div[3]/div[2]/ul/li[7]/span[2]/span"")"),"Loading...")</f>
        <v>Loading...</v>
      </c>
      <c r="S3002" s="7" t="str">
        <f ca="1">IFERROR(__xludf.DUMMYFUNCTION("IMPORTXML(E3002,""/html/body/main/div[3]/div[3]/div[2]/ul/li[8]/span[2]/span"")"),"Loading...")</f>
        <v>Loading...</v>
      </c>
      <c r="T3002" s="4">
        <v>34.6</v>
      </c>
      <c r="U3002" s="4">
        <v>22.7</v>
      </c>
      <c r="V3002" s="4">
        <v>2.6</v>
      </c>
      <c r="W3002" s="4">
        <v>5.7</v>
      </c>
      <c r="X3002" s="4">
        <v>519.92999999999995</v>
      </c>
      <c r="Y3002" s="7" t="e">
        <f t="shared" ca="1" si="64"/>
        <v>#VALUE!</v>
      </c>
    </row>
    <row r="3003" spans="1:25" ht="15" x14ac:dyDescent="0.25">
      <c r="A3003" s="4">
        <v>2975</v>
      </c>
      <c r="C3003" s="41" t="s">
        <v>5317</v>
      </c>
      <c r="D3003" s="42"/>
      <c r="E3003" s="5" t="str">
        <f t="shared" si="60"/>
        <v>https://www.screener.in/company//consolidated/</v>
      </c>
      <c r="F3003" s="4">
        <v>443059</v>
      </c>
      <c r="G3003" s="4">
        <v>3832241897</v>
      </c>
      <c r="H3003" s="6" t="e">
        <f t="shared" ca="1" si="61"/>
        <v>#VALUE!</v>
      </c>
      <c r="I3003" s="7" t="str">
        <f ca="1">IFERROR(__xludf.DUMMYFUNCTION("IMPORTXML(E3003,""/html/body/main/div[3]/div[3]/div[2]/ul/li[5]/span[2]/span"")"),"Loading...")</f>
        <v>Loading...</v>
      </c>
      <c r="J3003" s="7" t="str">
        <f ca="1">IFERROR(__xludf.DUMMYFUNCTION("GOOGLEFINANCE(""NSE:""&amp;D3003,""marketcap"")"),"#N/A")</f>
        <v>#N/A</v>
      </c>
      <c r="K3003" s="7">
        <v>992.8</v>
      </c>
      <c r="L3003" s="8" t="str">
        <f ca="1">IFERROR(__xludf.DUMMYFUNCTION("GOOGLEFINANCE(""NSE:""&amp;D3003,""price"")"),"#N/A")</f>
        <v>#N/A</v>
      </c>
      <c r="M3003" s="9" t="e">
        <f t="shared" ca="1" si="62"/>
        <v>#VALUE!</v>
      </c>
      <c r="N3003" s="10" t="e">
        <f t="shared" ca="1" si="63"/>
        <v>#VALUE!</v>
      </c>
      <c r="O3003" s="7" t="str">
        <f ca="1">IFERROR(__xludf.DUMMYFUNCTION("GOOGLEFINANCE(""NSE:""&amp;D3003,""pe"")"),"#N/A")</f>
        <v>#N/A</v>
      </c>
      <c r="P3003" s="7" t="str">
        <f ca="1">IFERROR(__xludf.DUMMYFUNCTION("GOOGLEFINANCE(""NSE:""&amp;D3003,""EPS"")"),"#N/A")</f>
        <v>#N/A</v>
      </c>
      <c r="Q3003" s="7">
        <v>13.5</v>
      </c>
      <c r="R3003" s="7" t="str">
        <f ca="1">IFERROR(__xludf.DUMMYFUNCTION("IMPORTXML(E3003,""/html/body/main/div[3]/div[3]/div[2]/ul/li[7]/span[2]/span"")"),"Loading...")</f>
        <v>Loading...</v>
      </c>
      <c r="S3003" s="7" t="str">
        <f ca="1">IFERROR(__xludf.DUMMYFUNCTION("IMPORTXML(E3003,""/html/body/main/div[3]/div[3]/div[2]/ul/li[8]/span[2]/span"")"),"Loading...")</f>
        <v>Loading...</v>
      </c>
      <c r="T3003" s="4">
        <v>34.6</v>
      </c>
      <c r="U3003" s="4">
        <v>22.7</v>
      </c>
      <c r="V3003" s="4">
        <v>2.6</v>
      </c>
      <c r="W3003" s="4">
        <v>5.7</v>
      </c>
      <c r="X3003" s="4">
        <v>519.92999999999995</v>
      </c>
      <c r="Y3003" s="7" t="e">
        <f t="shared" ca="1" si="64"/>
        <v>#VALUE!</v>
      </c>
    </row>
    <row r="3004" spans="1:25" ht="15" x14ac:dyDescent="0.25">
      <c r="A3004" s="4">
        <v>2978</v>
      </c>
      <c r="C3004" s="41" t="s">
        <v>5318</v>
      </c>
      <c r="D3004" s="42"/>
      <c r="E3004" s="5" t="str">
        <f t="shared" si="60"/>
        <v>https://www.screener.in/company//consolidated/</v>
      </c>
      <c r="F3004" s="4">
        <v>443059</v>
      </c>
      <c r="G3004" s="4">
        <v>3832241897</v>
      </c>
      <c r="H3004" s="6" t="e">
        <f t="shared" ca="1" si="61"/>
        <v>#VALUE!</v>
      </c>
      <c r="I3004" s="7" t="str">
        <f ca="1">IFERROR(__xludf.DUMMYFUNCTION("IMPORTXML(E3004,""/html/body/main/div[3]/div[3]/div[2]/ul/li[5]/span[2]/span"")"),"Loading...")</f>
        <v>Loading...</v>
      </c>
      <c r="J3004" s="7" t="str">
        <f ca="1">IFERROR(__xludf.DUMMYFUNCTION("GOOGLEFINANCE(""NSE:""&amp;D3004,""marketcap"")"),"#N/A")</f>
        <v>#N/A</v>
      </c>
      <c r="K3004" s="7">
        <v>992.8</v>
      </c>
      <c r="L3004" s="8" t="str">
        <f ca="1">IFERROR(__xludf.DUMMYFUNCTION("GOOGLEFINANCE(""NSE:""&amp;D3004,""price"")"),"#N/A")</f>
        <v>#N/A</v>
      </c>
      <c r="M3004" s="9" t="e">
        <f t="shared" ca="1" si="62"/>
        <v>#VALUE!</v>
      </c>
      <c r="N3004" s="10" t="e">
        <f t="shared" ca="1" si="63"/>
        <v>#VALUE!</v>
      </c>
      <c r="O3004" s="7" t="str">
        <f ca="1">IFERROR(__xludf.DUMMYFUNCTION("GOOGLEFINANCE(""NSE:""&amp;D3004,""pe"")"),"#N/A")</f>
        <v>#N/A</v>
      </c>
      <c r="P3004" s="7" t="str">
        <f ca="1">IFERROR(__xludf.DUMMYFUNCTION("GOOGLEFINANCE(""NSE:""&amp;D3004,""EPS"")"),"#N/A")</f>
        <v>#N/A</v>
      </c>
      <c r="Q3004" s="7">
        <v>13.5</v>
      </c>
      <c r="R3004" s="7" t="str">
        <f ca="1">IFERROR(__xludf.DUMMYFUNCTION("IMPORTXML(E3004,""/html/body/main/div[3]/div[3]/div[2]/ul/li[7]/span[2]/span"")"),"Loading...")</f>
        <v>Loading...</v>
      </c>
      <c r="S3004" s="7" t="str">
        <f ca="1">IFERROR(__xludf.DUMMYFUNCTION("IMPORTXML(E3004,""/html/body/main/div[3]/div[3]/div[2]/ul/li[8]/span[2]/span"")"),"Loading...")</f>
        <v>Loading...</v>
      </c>
      <c r="T3004" s="4">
        <v>34.6</v>
      </c>
      <c r="U3004" s="4">
        <v>22.7</v>
      </c>
      <c r="V3004" s="4">
        <v>2.6</v>
      </c>
      <c r="W3004" s="4">
        <v>5.7</v>
      </c>
      <c r="X3004" s="4">
        <v>519.92999999999995</v>
      </c>
      <c r="Y3004" s="7" t="e">
        <f t="shared" ca="1" si="64"/>
        <v>#VALUE!</v>
      </c>
    </row>
    <row r="3005" spans="1:25" ht="15" x14ac:dyDescent="0.25">
      <c r="A3005" s="4">
        <v>2979</v>
      </c>
      <c r="C3005" s="41" t="s">
        <v>5319</v>
      </c>
      <c r="D3005" s="42"/>
      <c r="E3005" s="5" t="str">
        <f t="shared" si="60"/>
        <v>https://www.screener.in/company//consolidated/</v>
      </c>
      <c r="F3005" s="4">
        <v>443059</v>
      </c>
      <c r="G3005" s="4">
        <v>3832241897</v>
      </c>
      <c r="H3005" s="6" t="e">
        <f t="shared" ca="1" si="61"/>
        <v>#VALUE!</v>
      </c>
      <c r="I3005" s="7" t="str">
        <f ca="1">IFERROR(__xludf.DUMMYFUNCTION("IMPORTXML(E3005,""/html/body/main/div[3]/div[3]/div[2]/ul/li[5]/span[2]/span"")"),"Loading...")</f>
        <v>Loading...</v>
      </c>
      <c r="J3005" s="7" t="str">
        <f ca="1">IFERROR(__xludf.DUMMYFUNCTION("GOOGLEFINANCE(""NSE:""&amp;D3005,""marketcap"")"),"#N/A")</f>
        <v>#N/A</v>
      </c>
      <c r="K3005" s="7">
        <v>992.8</v>
      </c>
      <c r="L3005" s="8" t="str">
        <f ca="1">IFERROR(__xludf.DUMMYFUNCTION("GOOGLEFINANCE(""NSE:""&amp;D3005,""price"")"),"#N/A")</f>
        <v>#N/A</v>
      </c>
      <c r="M3005" s="9" t="e">
        <f t="shared" ca="1" si="62"/>
        <v>#VALUE!</v>
      </c>
      <c r="N3005" s="10" t="e">
        <f t="shared" ca="1" si="63"/>
        <v>#VALUE!</v>
      </c>
      <c r="O3005" s="7" t="str">
        <f ca="1">IFERROR(__xludf.DUMMYFUNCTION("GOOGLEFINANCE(""NSE:""&amp;D3005,""pe"")"),"#N/A")</f>
        <v>#N/A</v>
      </c>
      <c r="P3005" s="7" t="str">
        <f ca="1">IFERROR(__xludf.DUMMYFUNCTION("GOOGLEFINANCE(""NSE:""&amp;D3005,""EPS"")"),"#N/A")</f>
        <v>#N/A</v>
      </c>
      <c r="Q3005" s="7">
        <v>13.5</v>
      </c>
      <c r="R3005" s="7" t="str">
        <f ca="1">IFERROR(__xludf.DUMMYFUNCTION("IMPORTXML(E3005,""/html/body/main/div[3]/div[3]/div[2]/ul/li[7]/span[2]/span"")"),"Loading...")</f>
        <v>Loading...</v>
      </c>
      <c r="S3005" s="7" t="str">
        <f ca="1">IFERROR(__xludf.DUMMYFUNCTION("IMPORTXML(E3005,""/html/body/main/div[3]/div[3]/div[2]/ul/li[8]/span[2]/span"")"),"Loading...")</f>
        <v>Loading...</v>
      </c>
      <c r="T3005" s="4">
        <v>34.6</v>
      </c>
      <c r="U3005" s="4">
        <v>22.7</v>
      </c>
      <c r="V3005" s="4">
        <v>2.6</v>
      </c>
      <c r="W3005" s="4">
        <v>5.7</v>
      </c>
      <c r="X3005" s="4">
        <v>519.92999999999995</v>
      </c>
      <c r="Y3005" s="7" t="e">
        <f t="shared" ca="1" si="64"/>
        <v>#VALUE!</v>
      </c>
    </row>
    <row r="3006" spans="1:25" ht="15" x14ac:dyDescent="0.25">
      <c r="A3006" s="4">
        <v>2980</v>
      </c>
      <c r="C3006" s="41" t="s">
        <v>5320</v>
      </c>
      <c r="D3006" s="42"/>
      <c r="E3006" s="5" t="str">
        <f t="shared" si="60"/>
        <v>https://www.screener.in/company//consolidated/</v>
      </c>
      <c r="F3006" s="4">
        <v>443059</v>
      </c>
      <c r="G3006" s="4">
        <v>3832241897</v>
      </c>
      <c r="H3006" s="6" t="e">
        <f t="shared" ca="1" si="61"/>
        <v>#VALUE!</v>
      </c>
      <c r="I3006" s="7" t="str">
        <f ca="1">IFERROR(__xludf.DUMMYFUNCTION("IMPORTXML(E3006,""/html/body/main/div[3]/div[3]/div[2]/ul/li[5]/span[2]/span"")"),"Loading...")</f>
        <v>Loading...</v>
      </c>
      <c r="J3006" s="7" t="str">
        <f ca="1">IFERROR(__xludf.DUMMYFUNCTION("GOOGLEFINANCE(""NSE:""&amp;D3006,""marketcap"")"),"#N/A")</f>
        <v>#N/A</v>
      </c>
      <c r="K3006" s="7">
        <v>992.8</v>
      </c>
      <c r="L3006" s="8" t="str">
        <f ca="1">IFERROR(__xludf.DUMMYFUNCTION("GOOGLEFINANCE(""NSE:""&amp;D3006,""price"")"),"#N/A")</f>
        <v>#N/A</v>
      </c>
      <c r="M3006" s="9" t="e">
        <f t="shared" ca="1" si="62"/>
        <v>#VALUE!</v>
      </c>
      <c r="N3006" s="10" t="e">
        <f t="shared" ca="1" si="63"/>
        <v>#VALUE!</v>
      </c>
      <c r="O3006" s="7" t="str">
        <f ca="1">IFERROR(__xludf.DUMMYFUNCTION("GOOGLEFINANCE(""NSE:""&amp;D3006,""pe"")"),"#N/A")</f>
        <v>#N/A</v>
      </c>
      <c r="P3006" s="7" t="str">
        <f ca="1">IFERROR(__xludf.DUMMYFUNCTION("GOOGLEFINANCE(""NSE:""&amp;D3006,""EPS"")"),"#N/A")</f>
        <v>#N/A</v>
      </c>
      <c r="Q3006" s="7">
        <v>13.5</v>
      </c>
      <c r="R3006" s="7" t="str">
        <f ca="1">IFERROR(__xludf.DUMMYFUNCTION("IMPORTXML(E3006,""/html/body/main/div[3]/div[3]/div[2]/ul/li[7]/span[2]/span"")"),"Loading...")</f>
        <v>Loading...</v>
      </c>
      <c r="S3006" s="7" t="str">
        <f ca="1">IFERROR(__xludf.DUMMYFUNCTION("IMPORTXML(E3006,""/html/body/main/div[3]/div[3]/div[2]/ul/li[8]/span[2]/span"")"),"Loading...")</f>
        <v>Loading...</v>
      </c>
      <c r="T3006" s="4">
        <v>34.6</v>
      </c>
      <c r="U3006" s="4">
        <v>22.7</v>
      </c>
      <c r="V3006" s="4">
        <v>2.6</v>
      </c>
      <c r="W3006" s="4">
        <v>5.7</v>
      </c>
      <c r="X3006" s="4">
        <v>519.92999999999995</v>
      </c>
      <c r="Y3006" s="7" t="e">
        <f t="shared" ca="1" si="64"/>
        <v>#VALUE!</v>
      </c>
    </row>
    <row r="3007" spans="1:25" ht="15" x14ac:dyDescent="0.25">
      <c r="A3007" s="4">
        <v>2981</v>
      </c>
      <c r="C3007" s="41" t="s">
        <v>5321</v>
      </c>
      <c r="D3007" s="42"/>
      <c r="E3007" s="5" t="str">
        <f t="shared" si="60"/>
        <v>https://www.screener.in/company//consolidated/</v>
      </c>
      <c r="F3007" s="4">
        <v>443059</v>
      </c>
      <c r="G3007" s="4">
        <v>3832241897</v>
      </c>
      <c r="H3007" s="6" t="e">
        <f t="shared" ca="1" si="61"/>
        <v>#VALUE!</v>
      </c>
      <c r="I3007" s="7" t="str">
        <f ca="1">IFERROR(__xludf.DUMMYFUNCTION("IMPORTXML(E3007,""/html/body/main/div[3]/div[3]/div[2]/ul/li[5]/span[2]/span"")"),"Loading...")</f>
        <v>Loading...</v>
      </c>
      <c r="J3007" s="7" t="str">
        <f ca="1">IFERROR(__xludf.DUMMYFUNCTION("GOOGLEFINANCE(""NSE:""&amp;D3007,""marketcap"")"),"#N/A")</f>
        <v>#N/A</v>
      </c>
      <c r="K3007" s="7">
        <v>992.8</v>
      </c>
      <c r="L3007" s="8" t="str">
        <f ca="1">IFERROR(__xludf.DUMMYFUNCTION("GOOGLEFINANCE(""NSE:""&amp;D3007,""price"")"),"#N/A")</f>
        <v>#N/A</v>
      </c>
      <c r="M3007" s="9" t="e">
        <f t="shared" ca="1" si="62"/>
        <v>#VALUE!</v>
      </c>
      <c r="N3007" s="10" t="e">
        <f t="shared" ca="1" si="63"/>
        <v>#VALUE!</v>
      </c>
      <c r="O3007" s="7" t="str">
        <f ca="1">IFERROR(__xludf.DUMMYFUNCTION("GOOGLEFINANCE(""NSE:""&amp;D3007,""pe"")"),"#N/A")</f>
        <v>#N/A</v>
      </c>
      <c r="P3007" s="7" t="str">
        <f ca="1">IFERROR(__xludf.DUMMYFUNCTION("GOOGLEFINANCE(""NSE:""&amp;D3007,""EPS"")"),"#N/A")</f>
        <v>#N/A</v>
      </c>
      <c r="Q3007" s="7">
        <v>13.5</v>
      </c>
      <c r="R3007" s="7" t="str">
        <f ca="1">IFERROR(__xludf.DUMMYFUNCTION("IMPORTXML(E3007,""/html/body/main/div[3]/div[3]/div[2]/ul/li[7]/span[2]/span"")"),"Loading...")</f>
        <v>Loading...</v>
      </c>
      <c r="S3007" s="7" t="str">
        <f ca="1">IFERROR(__xludf.DUMMYFUNCTION("IMPORTXML(E3007,""/html/body/main/div[3]/div[3]/div[2]/ul/li[8]/span[2]/span"")"),"Loading...")</f>
        <v>Loading...</v>
      </c>
      <c r="T3007" s="4">
        <v>34.6</v>
      </c>
      <c r="U3007" s="4">
        <v>22.7</v>
      </c>
      <c r="V3007" s="4">
        <v>2.6</v>
      </c>
      <c r="W3007" s="4">
        <v>5.7</v>
      </c>
      <c r="X3007" s="4">
        <v>519.92999999999995</v>
      </c>
      <c r="Y3007" s="7" t="e">
        <f t="shared" ca="1" si="64"/>
        <v>#VALUE!</v>
      </c>
    </row>
    <row r="3008" spans="1:25" ht="15" x14ac:dyDescent="0.25">
      <c r="A3008" s="4">
        <v>2982</v>
      </c>
      <c r="C3008" s="41" t="s">
        <v>5322</v>
      </c>
      <c r="D3008" s="42"/>
      <c r="E3008" s="5" t="str">
        <f t="shared" si="60"/>
        <v>https://www.screener.in/company//consolidated/</v>
      </c>
      <c r="F3008" s="4">
        <v>443059</v>
      </c>
      <c r="G3008" s="4">
        <v>3832241897</v>
      </c>
      <c r="H3008" s="6" t="e">
        <f t="shared" ca="1" si="61"/>
        <v>#VALUE!</v>
      </c>
      <c r="I3008" s="7" t="str">
        <f ca="1">IFERROR(__xludf.DUMMYFUNCTION("IMPORTXML(E3008,""/html/body/main/div[3]/div[3]/div[2]/ul/li[5]/span[2]/span"")"),"Loading...")</f>
        <v>Loading...</v>
      </c>
      <c r="J3008" s="7" t="str">
        <f ca="1">IFERROR(__xludf.DUMMYFUNCTION("GOOGLEFINANCE(""NSE:""&amp;D3008,""marketcap"")"),"#N/A")</f>
        <v>#N/A</v>
      </c>
      <c r="K3008" s="7">
        <v>992.8</v>
      </c>
      <c r="L3008" s="8" t="str">
        <f ca="1">IFERROR(__xludf.DUMMYFUNCTION("GOOGLEFINANCE(""NSE:""&amp;D3008,""price"")"),"#N/A")</f>
        <v>#N/A</v>
      </c>
      <c r="M3008" s="9" t="e">
        <f t="shared" ca="1" si="62"/>
        <v>#VALUE!</v>
      </c>
      <c r="N3008" s="10" t="e">
        <f t="shared" ca="1" si="63"/>
        <v>#VALUE!</v>
      </c>
      <c r="O3008" s="7" t="str">
        <f ca="1">IFERROR(__xludf.DUMMYFUNCTION("GOOGLEFINANCE(""NSE:""&amp;D3008,""pe"")"),"#N/A")</f>
        <v>#N/A</v>
      </c>
      <c r="P3008" s="7" t="str">
        <f ca="1">IFERROR(__xludf.DUMMYFUNCTION("GOOGLEFINANCE(""NSE:""&amp;D3008,""EPS"")"),"#N/A")</f>
        <v>#N/A</v>
      </c>
      <c r="Q3008" s="7">
        <v>13.5</v>
      </c>
      <c r="R3008" s="7" t="str">
        <f ca="1">IFERROR(__xludf.DUMMYFUNCTION("IMPORTXML(E3008,""/html/body/main/div[3]/div[3]/div[2]/ul/li[7]/span[2]/span"")"),"Loading...")</f>
        <v>Loading...</v>
      </c>
      <c r="S3008" s="7" t="str">
        <f ca="1">IFERROR(__xludf.DUMMYFUNCTION("IMPORTXML(E3008,""/html/body/main/div[3]/div[3]/div[2]/ul/li[8]/span[2]/span"")"),"Loading...")</f>
        <v>Loading...</v>
      </c>
      <c r="T3008" s="4">
        <v>34.6</v>
      </c>
      <c r="U3008" s="4">
        <v>22.7</v>
      </c>
      <c r="V3008" s="4">
        <v>2.6</v>
      </c>
      <c r="W3008" s="4">
        <v>5.7</v>
      </c>
      <c r="X3008" s="4">
        <v>519.92999999999995</v>
      </c>
      <c r="Y3008" s="7" t="e">
        <f t="shared" ca="1" si="64"/>
        <v>#VALUE!</v>
      </c>
    </row>
    <row r="3009" spans="1:25" ht="15" x14ac:dyDescent="0.25">
      <c r="A3009" s="4">
        <v>2983</v>
      </c>
      <c r="C3009" s="12" t="s">
        <v>5323</v>
      </c>
      <c r="D3009" s="12" t="s">
        <v>5324</v>
      </c>
      <c r="E3009" s="5" t="str">
        <f t="shared" si="60"/>
        <v>https://www.screener.in/company/SGL/consolidated/</v>
      </c>
      <c r="F3009" s="4">
        <v>443059</v>
      </c>
      <c r="G3009" s="4">
        <v>3832241897</v>
      </c>
      <c r="H3009" s="6">
        <f t="shared" ca="1" si="61"/>
        <v>5510.7638478859999</v>
      </c>
      <c r="I3009" s="7" t="str">
        <f ca="1">IFERROR(__xludf.DUMMYFUNCTION("IMPORTXML(E3009,""/html/body/main/div[3]/div[3]/div[2]/ul/li[5]/span[2]/span"")"),"Loading...")</f>
        <v>Loading...</v>
      </c>
      <c r="J3009" s="7">
        <f ca="1">IFERROR(__xludf.DUMMYFUNCTION("GOOGLEFINANCE(""NSE:""&amp;D3009,""marketcap"")"),391200700)</f>
        <v>391200700</v>
      </c>
      <c r="K3009" s="7">
        <v>992.8</v>
      </c>
      <c r="L3009" s="8">
        <f ca="1">IFERROR(__xludf.DUMMYFUNCTION("GOOGLEFINANCE(""NSE:""&amp;D3009,""price"")"),14.38)</f>
        <v>14.38</v>
      </c>
      <c r="M3009" s="9">
        <f t="shared" ca="1" si="62"/>
        <v>-978.42</v>
      </c>
      <c r="N3009" s="10">
        <f t="shared" ca="1" si="63"/>
        <v>-98.55157131345689</v>
      </c>
      <c r="O3009" s="7" t="str">
        <f ca="1">IFERROR(__xludf.DUMMYFUNCTION("GOOGLEFINANCE(""NSE:""&amp;D3009,""pe"")"),"#N/A")</f>
        <v>#N/A</v>
      </c>
      <c r="P3009" s="7">
        <f ca="1">IFERROR(__xludf.DUMMYFUNCTION("GOOGLEFINANCE(""NSE:""&amp;D3009,""EPS"")"),-0.23)</f>
        <v>-0.23</v>
      </c>
      <c r="Q3009" s="7">
        <v>13.5</v>
      </c>
      <c r="R3009" s="7" t="str">
        <f ca="1">IFERROR(__xludf.DUMMYFUNCTION("IMPORTXML(E3009,""/html/body/main/div[3]/div[3]/div[2]/ul/li[7]/span[2]/span"")"),"Loading...")</f>
        <v>Loading...</v>
      </c>
      <c r="S3009" s="7" t="str">
        <f ca="1">IFERROR(__xludf.DUMMYFUNCTION("IMPORTXML(E3009,""/html/body/main/div[3]/div[3]/div[2]/ul/li[8]/span[2]/span"")"),"Loading...")</f>
        <v>Loading...</v>
      </c>
      <c r="T3009" s="4">
        <v>34.6</v>
      </c>
      <c r="U3009" s="4">
        <v>22.7</v>
      </c>
      <c r="V3009" s="4">
        <v>2.6</v>
      </c>
      <c r="W3009" s="4">
        <v>5.7</v>
      </c>
      <c r="X3009" s="4">
        <v>519.92999999999995</v>
      </c>
      <c r="Y3009" s="7">
        <f t="shared" ca="1" si="64"/>
        <v>-505.54999999999995</v>
      </c>
    </row>
    <row r="3010" spans="1:25" ht="15" x14ac:dyDescent="0.25">
      <c r="A3010" s="4">
        <v>2984</v>
      </c>
      <c r="C3010" s="41" t="s">
        <v>5325</v>
      </c>
      <c r="D3010" s="42"/>
      <c r="E3010" s="5" t="str">
        <f t="shared" si="60"/>
        <v>https://www.screener.in/company//consolidated/</v>
      </c>
      <c r="F3010" s="4">
        <v>443059</v>
      </c>
      <c r="G3010" s="4">
        <v>3832241897</v>
      </c>
      <c r="H3010" s="6" t="e">
        <f t="shared" ca="1" si="61"/>
        <v>#VALUE!</v>
      </c>
      <c r="I3010" s="7" t="str">
        <f ca="1">IFERROR(__xludf.DUMMYFUNCTION("IMPORTXML(E3010,""/html/body/main/div[3]/div[3]/div[2]/ul/li[5]/span[2]/span"")"),"Loading...")</f>
        <v>Loading...</v>
      </c>
      <c r="J3010" s="7" t="str">
        <f ca="1">IFERROR(__xludf.DUMMYFUNCTION("GOOGLEFINANCE(""NSE:""&amp;D3010,""marketcap"")"),"#N/A")</f>
        <v>#N/A</v>
      </c>
      <c r="K3010" s="7">
        <v>992.8</v>
      </c>
      <c r="L3010" s="8" t="str">
        <f ca="1">IFERROR(__xludf.DUMMYFUNCTION("GOOGLEFINANCE(""NSE:""&amp;D3010,""price"")"),"#N/A")</f>
        <v>#N/A</v>
      </c>
      <c r="M3010" s="9" t="e">
        <f t="shared" ca="1" si="62"/>
        <v>#VALUE!</v>
      </c>
      <c r="N3010" s="10" t="e">
        <f t="shared" ca="1" si="63"/>
        <v>#VALUE!</v>
      </c>
      <c r="O3010" s="7" t="str">
        <f ca="1">IFERROR(__xludf.DUMMYFUNCTION("GOOGLEFINANCE(""NSE:""&amp;D3010,""pe"")"),"#N/A")</f>
        <v>#N/A</v>
      </c>
      <c r="P3010" s="7" t="str">
        <f ca="1">IFERROR(__xludf.DUMMYFUNCTION("GOOGLEFINANCE(""NSE:""&amp;D3010,""EPS"")"),"#N/A")</f>
        <v>#N/A</v>
      </c>
      <c r="Q3010" s="7">
        <v>13.5</v>
      </c>
      <c r="R3010" s="7" t="str">
        <f ca="1">IFERROR(__xludf.DUMMYFUNCTION("IMPORTXML(E3010,""/html/body/main/div[3]/div[3]/div[2]/ul/li[7]/span[2]/span"")"),"Loading...")</f>
        <v>Loading...</v>
      </c>
      <c r="S3010" s="7" t="str">
        <f ca="1">IFERROR(__xludf.DUMMYFUNCTION("IMPORTXML(E3010,""/html/body/main/div[3]/div[3]/div[2]/ul/li[8]/span[2]/span"")"),"Loading...")</f>
        <v>Loading...</v>
      </c>
      <c r="T3010" s="4">
        <v>34.6</v>
      </c>
      <c r="U3010" s="4">
        <v>22.7</v>
      </c>
      <c r="V3010" s="4">
        <v>2.6</v>
      </c>
      <c r="W3010" s="4">
        <v>5.7</v>
      </c>
      <c r="X3010" s="4">
        <v>519.92999999999995</v>
      </c>
      <c r="Y3010" s="7" t="e">
        <f t="shared" ca="1" si="64"/>
        <v>#VALUE!</v>
      </c>
    </row>
    <row r="3011" spans="1:25" ht="15" x14ac:dyDescent="0.25">
      <c r="A3011" s="4">
        <v>2985</v>
      </c>
      <c r="C3011" s="41" t="s">
        <v>5326</v>
      </c>
      <c r="D3011" s="42"/>
      <c r="E3011" s="5" t="str">
        <f t="shared" si="60"/>
        <v>https://www.screener.in/company//consolidated/</v>
      </c>
      <c r="F3011" s="4">
        <v>443059</v>
      </c>
      <c r="G3011" s="4">
        <v>3832241897</v>
      </c>
      <c r="H3011" s="6" t="e">
        <f t="shared" ca="1" si="61"/>
        <v>#VALUE!</v>
      </c>
      <c r="I3011" s="7" t="str">
        <f ca="1">IFERROR(__xludf.DUMMYFUNCTION("IMPORTXML(E3011,""/html/body/main/div[3]/div[3]/div[2]/ul/li[5]/span[2]/span"")"),"Loading...")</f>
        <v>Loading...</v>
      </c>
      <c r="J3011" s="7" t="str">
        <f ca="1">IFERROR(__xludf.DUMMYFUNCTION("GOOGLEFINANCE(""NSE:""&amp;D3011,""marketcap"")"),"#N/A")</f>
        <v>#N/A</v>
      </c>
      <c r="K3011" s="7">
        <v>992.8</v>
      </c>
      <c r="L3011" s="8" t="str">
        <f ca="1">IFERROR(__xludf.DUMMYFUNCTION("GOOGLEFINANCE(""NSE:""&amp;D3011,""price"")"),"#N/A")</f>
        <v>#N/A</v>
      </c>
      <c r="M3011" s="9" t="e">
        <f t="shared" ca="1" si="62"/>
        <v>#VALUE!</v>
      </c>
      <c r="N3011" s="10" t="e">
        <f t="shared" ca="1" si="63"/>
        <v>#VALUE!</v>
      </c>
      <c r="O3011" s="7" t="str">
        <f ca="1">IFERROR(__xludf.DUMMYFUNCTION("GOOGLEFINANCE(""NSE:""&amp;D3011,""pe"")"),"#N/A")</f>
        <v>#N/A</v>
      </c>
      <c r="P3011" s="7" t="str">
        <f ca="1">IFERROR(__xludf.DUMMYFUNCTION("GOOGLEFINANCE(""NSE:""&amp;D3011,""EPS"")"),"#N/A")</f>
        <v>#N/A</v>
      </c>
      <c r="Q3011" s="7">
        <v>13.5</v>
      </c>
      <c r="R3011" s="7" t="str">
        <f ca="1">IFERROR(__xludf.DUMMYFUNCTION("IMPORTXML(E3011,""/html/body/main/div[3]/div[3]/div[2]/ul/li[7]/span[2]/span"")"),"Loading...")</f>
        <v>Loading...</v>
      </c>
      <c r="S3011" s="7" t="str">
        <f ca="1">IFERROR(__xludf.DUMMYFUNCTION("IMPORTXML(E3011,""/html/body/main/div[3]/div[3]/div[2]/ul/li[8]/span[2]/span"")"),"Loading...")</f>
        <v>Loading...</v>
      </c>
      <c r="T3011" s="4">
        <v>34.6</v>
      </c>
      <c r="U3011" s="4">
        <v>22.7</v>
      </c>
      <c r="V3011" s="4">
        <v>2.6</v>
      </c>
      <c r="W3011" s="4">
        <v>5.7</v>
      </c>
      <c r="X3011" s="4">
        <v>519.92999999999995</v>
      </c>
      <c r="Y3011" s="7" t="e">
        <f t="shared" ca="1" si="64"/>
        <v>#VALUE!</v>
      </c>
    </row>
    <row r="3012" spans="1:25" ht="15" x14ac:dyDescent="0.25">
      <c r="A3012" s="4">
        <v>2987</v>
      </c>
      <c r="C3012" s="41" t="s">
        <v>5327</v>
      </c>
      <c r="D3012" s="42"/>
      <c r="E3012" s="5" t="str">
        <f t="shared" si="60"/>
        <v>https://www.screener.in/company//consolidated/</v>
      </c>
      <c r="F3012" s="4">
        <v>443059</v>
      </c>
      <c r="G3012" s="4">
        <v>3832241897</v>
      </c>
      <c r="H3012" s="6" t="e">
        <f t="shared" ca="1" si="61"/>
        <v>#VALUE!</v>
      </c>
      <c r="I3012" s="7" t="str">
        <f ca="1">IFERROR(__xludf.DUMMYFUNCTION("IMPORTXML(E3012,""/html/body/main/div[3]/div[3]/div[2]/ul/li[5]/span[2]/span"")"),"Loading...")</f>
        <v>Loading...</v>
      </c>
      <c r="J3012" s="7" t="str">
        <f ca="1">IFERROR(__xludf.DUMMYFUNCTION("GOOGLEFINANCE(""NSE:""&amp;D3012,""marketcap"")"),"#N/A")</f>
        <v>#N/A</v>
      </c>
      <c r="K3012" s="7">
        <v>992.8</v>
      </c>
      <c r="L3012" s="8" t="str">
        <f ca="1">IFERROR(__xludf.DUMMYFUNCTION("GOOGLEFINANCE(""NSE:""&amp;D3012,""price"")"),"#N/A")</f>
        <v>#N/A</v>
      </c>
      <c r="M3012" s="9" t="e">
        <f t="shared" ca="1" si="62"/>
        <v>#VALUE!</v>
      </c>
      <c r="N3012" s="10" t="e">
        <f t="shared" ca="1" si="63"/>
        <v>#VALUE!</v>
      </c>
      <c r="O3012" s="7" t="str">
        <f ca="1">IFERROR(__xludf.DUMMYFUNCTION("GOOGLEFINANCE(""NSE:""&amp;D3012,""pe"")"),"#N/A")</f>
        <v>#N/A</v>
      </c>
      <c r="P3012" s="7" t="str">
        <f ca="1">IFERROR(__xludf.DUMMYFUNCTION("GOOGLEFINANCE(""NSE:""&amp;D3012,""EPS"")"),"#N/A")</f>
        <v>#N/A</v>
      </c>
      <c r="Q3012" s="7">
        <v>13.5</v>
      </c>
      <c r="R3012" s="7" t="str">
        <f ca="1">IFERROR(__xludf.DUMMYFUNCTION("IMPORTXML(E3012,""/html/body/main/div[3]/div[3]/div[2]/ul/li[7]/span[2]/span"")"),"Loading...")</f>
        <v>Loading...</v>
      </c>
      <c r="S3012" s="7" t="str">
        <f ca="1">IFERROR(__xludf.DUMMYFUNCTION("IMPORTXML(E3012,""/html/body/main/div[3]/div[3]/div[2]/ul/li[8]/span[2]/span"")"),"Loading...")</f>
        <v>Loading...</v>
      </c>
      <c r="T3012" s="4">
        <v>34.6</v>
      </c>
      <c r="U3012" s="4">
        <v>22.7</v>
      </c>
      <c r="V3012" s="4">
        <v>2.6</v>
      </c>
      <c r="W3012" s="4">
        <v>5.7</v>
      </c>
      <c r="X3012" s="4">
        <v>519.92999999999995</v>
      </c>
      <c r="Y3012" s="7" t="e">
        <f t="shared" ca="1" si="64"/>
        <v>#VALUE!</v>
      </c>
    </row>
    <row r="3013" spans="1:25" ht="15" x14ac:dyDescent="0.25">
      <c r="A3013" s="4">
        <v>2988</v>
      </c>
      <c r="C3013" s="41" t="s">
        <v>5328</v>
      </c>
      <c r="D3013" s="42"/>
      <c r="E3013" s="5" t="str">
        <f t="shared" si="60"/>
        <v>https://www.screener.in/company//consolidated/</v>
      </c>
      <c r="F3013" s="4">
        <v>443059</v>
      </c>
      <c r="G3013" s="4">
        <v>3832241897</v>
      </c>
      <c r="H3013" s="6" t="e">
        <f t="shared" ca="1" si="61"/>
        <v>#VALUE!</v>
      </c>
      <c r="I3013" s="7" t="str">
        <f ca="1">IFERROR(__xludf.DUMMYFUNCTION("IMPORTXML(E3013,""/html/body/main/div[3]/div[3]/div[2]/ul/li[5]/span[2]/span"")"),"Loading...")</f>
        <v>Loading...</v>
      </c>
      <c r="J3013" s="7" t="str">
        <f ca="1">IFERROR(__xludf.DUMMYFUNCTION("GOOGLEFINANCE(""NSE:""&amp;D3013,""marketcap"")"),"#N/A")</f>
        <v>#N/A</v>
      </c>
      <c r="K3013" s="7">
        <v>992.8</v>
      </c>
      <c r="L3013" s="8" t="str">
        <f ca="1">IFERROR(__xludf.DUMMYFUNCTION("GOOGLEFINANCE(""NSE:""&amp;D3013,""price"")"),"#N/A")</f>
        <v>#N/A</v>
      </c>
      <c r="M3013" s="9" t="e">
        <f t="shared" ca="1" si="62"/>
        <v>#VALUE!</v>
      </c>
      <c r="N3013" s="10" t="e">
        <f t="shared" ca="1" si="63"/>
        <v>#VALUE!</v>
      </c>
      <c r="O3013" s="7" t="str">
        <f ca="1">IFERROR(__xludf.DUMMYFUNCTION("GOOGLEFINANCE(""NSE:""&amp;D3013,""pe"")"),"#N/A")</f>
        <v>#N/A</v>
      </c>
      <c r="P3013" s="7" t="str">
        <f ca="1">IFERROR(__xludf.DUMMYFUNCTION("GOOGLEFINANCE(""NSE:""&amp;D3013,""EPS"")"),"#N/A")</f>
        <v>#N/A</v>
      </c>
      <c r="Q3013" s="7">
        <v>13.5</v>
      </c>
      <c r="R3013" s="7" t="str">
        <f ca="1">IFERROR(__xludf.DUMMYFUNCTION("IMPORTXML(E3013,""/html/body/main/div[3]/div[3]/div[2]/ul/li[7]/span[2]/span"")"),"Loading...")</f>
        <v>Loading...</v>
      </c>
      <c r="S3013" s="7" t="str">
        <f ca="1">IFERROR(__xludf.DUMMYFUNCTION("IMPORTXML(E3013,""/html/body/main/div[3]/div[3]/div[2]/ul/li[8]/span[2]/span"")"),"Loading...")</f>
        <v>Loading...</v>
      </c>
      <c r="T3013" s="4">
        <v>34.6</v>
      </c>
      <c r="U3013" s="4">
        <v>22.7</v>
      </c>
      <c r="V3013" s="4">
        <v>2.6</v>
      </c>
      <c r="W3013" s="4">
        <v>5.7</v>
      </c>
      <c r="X3013" s="4">
        <v>519.92999999999995</v>
      </c>
      <c r="Y3013" s="7" t="e">
        <f t="shared" ca="1" si="64"/>
        <v>#VALUE!</v>
      </c>
    </row>
    <row r="3014" spans="1:25" ht="15" x14ac:dyDescent="0.25">
      <c r="A3014" s="4">
        <v>2989</v>
      </c>
      <c r="C3014" s="41" t="s">
        <v>5329</v>
      </c>
      <c r="D3014" s="42"/>
      <c r="E3014" s="5" t="str">
        <f t="shared" si="60"/>
        <v>https://www.screener.in/company//consolidated/</v>
      </c>
      <c r="F3014" s="4">
        <v>443059</v>
      </c>
      <c r="G3014" s="4">
        <v>3832241897</v>
      </c>
      <c r="H3014" s="6" t="e">
        <f t="shared" ca="1" si="61"/>
        <v>#VALUE!</v>
      </c>
      <c r="I3014" s="7" t="str">
        <f ca="1">IFERROR(__xludf.DUMMYFUNCTION("IMPORTXML(E3014,""/html/body/main/div[3]/div[3]/div[2]/ul/li[5]/span[2]/span"")"),"Loading...")</f>
        <v>Loading...</v>
      </c>
      <c r="J3014" s="7" t="str">
        <f ca="1">IFERROR(__xludf.DUMMYFUNCTION("GOOGLEFINANCE(""NSE:""&amp;D3014,""marketcap"")"),"#N/A")</f>
        <v>#N/A</v>
      </c>
      <c r="K3014" s="7">
        <v>992.8</v>
      </c>
      <c r="L3014" s="8" t="str">
        <f ca="1">IFERROR(__xludf.DUMMYFUNCTION("GOOGLEFINANCE(""NSE:""&amp;D3014,""price"")"),"#N/A")</f>
        <v>#N/A</v>
      </c>
      <c r="M3014" s="9" t="e">
        <f t="shared" ca="1" si="62"/>
        <v>#VALUE!</v>
      </c>
      <c r="N3014" s="10" t="e">
        <f t="shared" ca="1" si="63"/>
        <v>#VALUE!</v>
      </c>
      <c r="O3014" s="7" t="str">
        <f ca="1">IFERROR(__xludf.DUMMYFUNCTION("GOOGLEFINANCE(""NSE:""&amp;D3014,""pe"")"),"#N/A")</f>
        <v>#N/A</v>
      </c>
      <c r="P3014" s="7" t="str">
        <f ca="1">IFERROR(__xludf.DUMMYFUNCTION("GOOGLEFINANCE(""NSE:""&amp;D3014,""EPS"")"),"#N/A")</f>
        <v>#N/A</v>
      </c>
      <c r="Q3014" s="7">
        <v>13.5</v>
      </c>
      <c r="R3014" s="7" t="str">
        <f ca="1">IFERROR(__xludf.DUMMYFUNCTION("IMPORTXML(E3014,""/html/body/main/div[3]/div[3]/div[2]/ul/li[7]/span[2]/span"")"),"Loading...")</f>
        <v>Loading...</v>
      </c>
      <c r="S3014" s="7" t="str">
        <f ca="1">IFERROR(__xludf.DUMMYFUNCTION("IMPORTXML(E3014,""/html/body/main/div[3]/div[3]/div[2]/ul/li[8]/span[2]/span"")"),"Loading...")</f>
        <v>Loading...</v>
      </c>
      <c r="T3014" s="4">
        <v>34.6</v>
      </c>
      <c r="U3014" s="4">
        <v>22.7</v>
      </c>
      <c r="V3014" s="4">
        <v>2.6</v>
      </c>
      <c r="W3014" s="4">
        <v>5.7</v>
      </c>
      <c r="X3014" s="4">
        <v>519.92999999999995</v>
      </c>
      <c r="Y3014" s="7" t="e">
        <f t="shared" ca="1" si="64"/>
        <v>#VALUE!</v>
      </c>
    </row>
    <row r="3015" spans="1:25" ht="15" x14ac:dyDescent="0.25">
      <c r="A3015" s="4">
        <v>2990</v>
      </c>
      <c r="C3015" s="41" t="s">
        <v>5330</v>
      </c>
      <c r="D3015" s="42"/>
      <c r="E3015" s="5" t="str">
        <f t="shared" si="60"/>
        <v>https://www.screener.in/company//consolidated/</v>
      </c>
      <c r="F3015" s="4">
        <v>443059</v>
      </c>
      <c r="G3015" s="4">
        <v>3832241897</v>
      </c>
      <c r="H3015" s="6" t="e">
        <f t="shared" ca="1" si="61"/>
        <v>#VALUE!</v>
      </c>
      <c r="I3015" s="7" t="str">
        <f ca="1">IFERROR(__xludf.DUMMYFUNCTION("IMPORTXML(E3015,""/html/body/main/div[3]/div[3]/div[2]/ul/li[5]/span[2]/span"")"),"Loading...")</f>
        <v>Loading...</v>
      </c>
      <c r="J3015" s="7" t="str">
        <f ca="1">IFERROR(__xludf.DUMMYFUNCTION("GOOGLEFINANCE(""NSE:""&amp;D3015,""marketcap"")"),"#N/A")</f>
        <v>#N/A</v>
      </c>
      <c r="K3015" s="7">
        <v>992.8</v>
      </c>
      <c r="L3015" s="8" t="str">
        <f ca="1">IFERROR(__xludf.DUMMYFUNCTION("GOOGLEFINANCE(""NSE:""&amp;D3015,""price"")"),"#N/A")</f>
        <v>#N/A</v>
      </c>
      <c r="M3015" s="9" t="e">
        <f t="shared" ca="1" si="62"/>
        <v>#VALUE!</v>
      </c>
      <c r="N3015" s="10" t="e">
        <f t="shared" ca="1" si="63"/>
        <v>#VALUE!</v>
      </c>
      <c r="O3015" s="7" t="str">
        <f ca="1">IFERROR(__xludf.DUMMYFUNCTION("GOOGLEFINANCE(""NSE:""&amp;D3015,""pe"")"),"#N/A")</f>
        <v>#N/A</v>
      </c>
      <c r="P3015" s="7" t="str">
        <f ca="1">IFERROR(__xludf.DUMMYFUNCTION("GOOGLEFINANCE(""NSE:""&amp;D3015,""EPS"")"),"#N/A")</f>
        <v>#N/A</v>
      </c>
      <c r="Q3015" s="7">
        <v>13.5</v>
      </c>
      <c r="R3015" s="7" t="str">
        <f ca="1">IFERROR(__xludf.DUMMYFUNCTION("IMPORTXML(E3015,""/html/body/main/div[3]/div[3]/div[2]/ul/li[7]/span[2]/span"")"),"Loading...")</f>
        <v>Loading...</v>
      </c>
      <c r="S3015" s="7" t="str">
        <f ca="1">IFERROR(__xludf.DUMMYFUNCTION("IMPORTXML(E3015,""/html/body/main/div[3]/div[3]/div[2]/ul/li[8]/span[2]/span"")"),"Loading...")</f>
        <v>Loading...</v>
      </c>
      <c r="T3015" s="4">
        <v>34.6</v>
      </c>
      <c r="U3015" s="4">
        <v>22.7</v>
      </c>
      <c r="V3015" s="4">
        <v>2.6</v>
      </c>
      <c r="W3015" s="4">
        <v>5.7</v>
      </c>
      <c r="X3015" s="4">
        <v>519.92999999999995</v>
      </c>
      <c r="Y3015" s="7" t="e">
        <f t="shared" ca="1" si="64"/>
        <v>#VALUE!</v>
      </c>
    </row>
    <row r="3016" spans="1:25" ht="15" x14ac:dyDescent="0.25">
      <c r="A3016" s="4">
        <v>2991</v>
      </c>
      <c r="C3016" s="41" t="s">
        <v>5331</v>
      </c>
      <c r="D3016" s="42"/>
      <c r="E3016" s="5" t="str">
        <f t="shared" si="60"/>
        <v>https://www.screener.in/company//consolidated/</v>
      </c>
      <c r="F3016" s="4">
        <v>443059</v>
      </c>
      <c r="G3016" s="4">
        <v>3832241897</v>
      </c>
      <c r="H3016" s="6" t="e">
        <f t="shared" ca="1" si="61"/>
        <v>#VALUE!</v>
      </c>
      <c r="I3016" s="7" t="str">
        <f ca="1">IFERROR(__xludf.DUMMYFUNCTION("IMPORTXML(E3016,""/html/body/main/div[3]/div[3]/div[2]/ul/li[5]/span[2]/span"")"),"Loading...")</f>
        <v>Loading...</v>
      </c>
      <c r="J3016" s="7" t="str">
        <f ca="1">IFERROR(__xludf.DUMMYFUNCTION("GOOGLEFINANCE(""NSE:""&amp;D3016,""marketcap"")"),"#N/A")</f>
        <v>#N/A</v>
      </c>
      <c r="K3016" s="7">
        <v>992.8</v>
      </c>
      <c r="L3016" s="8" t="str">
        <f ca="1">IFERROR(__xludf.DUMMYFUNCTION("GOOGLEFINANCE(""NSE:""&amp;D3016,""price"")"),"#N/A")</f>
        <v>#N/A</v>
      </c>
      <c r="M3016" s="9" t="e">
        <f t="shared" ca="1" si="62"/>
        <v>#VALUE!</v>
      </c>
      <c r="N3016" s="10" t="e">
        <f t="shared" ca="1" si="63"/>
        <v>#VALUE!</v>
      </c>
      <c r="O3016" s="7" t="str">
        <f ca="1">IFERROR(__xludf.DUMMYFUNCTION("GOOGLEFINANCE(""NSE:""&amp;D3016,""pe"")"),"#N/A")</f>
        <v>#N/A</v>
      </c>
      <c r="P3016" s="7" t="str">
        <f ca="1">IFERROR(__xludf.DUMMYFUNCTION("GOOGLEFINANCE(""NSE:""&amp;D3016,""EPS"")"),"#N/A")</f>
        <v>#N/A</v>
      </c>
      <c r="Q3016" s="7">
        <v>13.5</v>
      </c>
      <c r="R3016" s="7" t="str">
        <f ca="1">IFERROR(__xludf.DUMMYFUNCTION("IMPORTXML(E3016,""/html/body/main/div[3]/div[3]/div[2]/ul/li[7]/span[2]/span"")"),"Loading...")</f>
        <v>Loading...</v>
      </c>
      <c r="S3016" s="7" t="str">
        <f ca="1">IFERROR(__xludf.DUMMYFUNCTION("IMPORTXML(E3016,""/html/body/main/div[3]/div[3]/div[2]/ul/li[8]/span[2]/span"")"),"Loading...")</f>
        <v>Loading...</v>
      </c>
      <c r="T3016" s="4">
        <v>34.6</v>
      </c>
      <c r="U3016" s="4">
        <v>22.7</v>
      </c>
      <c r="V3016" s="4">
        <v>2.6</v>
      </c>
      <c r="W3016" s="4">
        <v>5.7</v>
      </c>
      <c r="X3016" s="4">
        <v>519.92999999999995</v>
      </c>
      <c r="Y3016" s="7" t="e">
        <f t="shared" ca="1" si="64"/>
        <v>#VALUE!</v>
      </c>
    </row>
    <row r="3017" spans="1:25" ht="15" x14ac:dyDescent="0.25">
      <c r="A3017" s="4">
        <v>2992</v>
      </c>
      <c r="C3017" s="41" t="s">
        <v>5332</v>
      </c>
      <c r="D3017" s="42"/>
      <c r="E3017" s="5" t="str">
        <f t="shared" si="60"/>
        <v>https://www.screener.in/company//consolidated/</v>
      </c>
      <c r="F3017" s="4">
        <v>443059</v>
      </c>
      <c r="G3017" s="4">
        <v>3832241897</v>
      </c>
      <c r="H3017" s="6" t="e">
        <f t="shared" ca="1" si="61"/>
        <v>#VALUE!</v>
      </c>
      <c r="I3017" s="7" t="str">
        <f ca="1">IFERROR(__xludf.DUMMYFUNCTION("IMPORTXML(E3017,""/html/body/main/div[3]/div[3]/div[2]/ul/li[5]/span[2]/span"")"),"Loading...")</f>
        <v>Loading...</v>
      </c>
      <c r="J3017" s="7" t="str">
        <f ca="1">IFERROR(__xludf.DUMMYFUNCTION("GOOGLEFINANCE(""NSE:""&amp;D3017,""marketcap"")"),"#N/A")</f>
        <v>#N/A</v>
      </c>
      <c r="K3017" s="7">
        <v>992.8</v>
      </c>
      <c r="L3017" s="8" t="str">
        <f ca="1">IFERROR(__xludf.DUMMYFUNCTION("GOOGLEFINANCE(""NSE:""&amp;D3017,""price"")"),"#N/A")</f>
        <v>#N/A</v>
      </c>
      <c r="M3017" s="9" t="e">
        <f t="shared" ca="1" si="62"/>
        <v>#VALUE!</v>
      </c>
      <c r="N3017" s="10" t="e">
        <f t="shared" ca="1" si="63"/>
        <v>#VALUE!</v>
      </c>
      <c r="O3017" s="7" t="str">
        <f ca="1">IFERROR(__xludf.DUMMYFUNCTION("GOOGLEFINANCE(""NSE:""&amp;D3017,""pe"")"),"#N/A")</f>
        <v>#N/A</v>
      </c>
      <c r="P3017" s="7" t="str">
        <f ca="1">IFERROR(__xludf.DUMMYFUNCTION("GOOGLEFINANCE(""NSE:""&amp;D3017,""EPS"")"),"#N/A")</f>
        <v>#N/A</v>
      </c>
      <c r="Q3017" s="7">
        <v>13.5</v>
      </c>
      <c r="R3017" s="7" t="str">
        <f ca="1">IFERROR(__xludf.DUMMYFUNCTION("IMPORTXML(E3017,""/html/body/main/div[3]/div[3]/div[2]/ul/li[7]/span[2]/span"")"),"Loading...")</f>
        <v>Loading...</v>
      </c>
      <c r="S3017" s="7" t="str">
        <f ca="1">IFERROR(__xludf.DUMMYFUNCTION("IMPORTXML(E3017,""/html/body/main/div[3]/div[3]/div[2]/ul/li[8]/span[2]/span"")"),"Loading...")</f>
        <v>Loading...</v>
      </c>
      <c r="T3017" s="4">
        <v>34.6</v>
      </c>
      <c r="U3017" s="4">
        <v>22.7</v>
      </c>
      <c r="V3017" s="4">
        <v>2.6</v>
      </c>
      <c r="W3017" s="4">
        <v>5.7</v>
      </c>
      <c r="X3017" s="4">
        <v>519.92999999999995</v>
      </c>
      <c r="Y3017" s="7" t="e">
        <f t="shared" ca="1" si="64"/>
        <v>#VALUE!</v>
      </c>
    </row>
    <row r="3018" spans="1:25" ht="15" x14ac:dyDescent="0.25">
      <c r="A3018" s="4">
        <v>2993</v>
      </c>
      <c r="C3018" s="12" t="s">
        <v>5333</v>
      </c>
      <c r="D3018" s="12" t="s">
        <v>5334</v>
      </c>
      <c r="E3018" s="5" t="str">
        <f t="shared" si="60"/>
        <v>https://www.screener.in/company/TNTELE/consolidated/</v>
      </c>
      <c r="F3018" s="4">
        <v>443059</v>
      </c>
      <c r="G3018" s="4">
        <v>3832241897</v>
      </c>
      <c r="H3018" s="6">
        <f t="shared" ca="1" si="61"/>
        <v>5825.0076834399997</v>
      </c>
      <c r="I3018" s="7" t="str">
        <f ca="1">IFERROR(__xludf.DUMMYFUNCTION("IMPORTXML(E3018,""/html/body/main/div[3]/div[3]/div[2]/ul/li[5]/span[2]/span"")"),"Loading...")</f>
        <v>Loading...</v>
      </c>
      <c r="J3018" s="7">
        <f ca="1">IFERROR(__xludf.DUMMYFUNCTION("GOOGLEFINANCE(""NSE:""&amp;D3018,""marketcap"")"),661947380)</f>
        <v>661947380</v>
      </c>
      <c r="K3018" s="7">
        <v>992.8</v>
      </c>
      <c r="L3018" s="8">
        <f ca="1">IFERROR(__xludf.DUMMYFUNCTION("GOOGLEFINANCE(""NSE:""&amp;D3018,""price"")"),15.2)</f>
        <v>15.2</v>
      </c>
      <c r="M3018" s="9">
        <f t="shared" ca="1" si="62"/>
        <v>-977.59999999999991</v>
      </c>
      <c r="N3018" s="10">
        <f t="shared" ca="1" si="63"/>
        <v>-98.468976631748589</v>
      </c>
      <c r="O3018" s="7" t="str">
        <f ca="1">IFERROR(__xludf.DUMMYFUNCTION("GOOGLEFINANCE(""NSE:""&amp;D3018,""pe"")"),"#N/A")</f>
        <v>#N/A</v>
      </c>
      <c r="P3018" s="7">
        <f ca="1">IFERROR(__xludf.DUMMYFUNCTION("GOOGLEFINANCE(""NSE:""&amp;D3018,""EPS"")"),-3.43)</f>
        <v>-3.43</v>
      </c>
      <c r="Q3018" s="7">
        <v>13.5</v>
      </c>
      <c r="R3018" s="7" t="str">
        <f ca="1">IFERROR(__xludf.DUMMYFUNCTION("IMPORTXML(E3018,""/html/body/main/div[3]/div[3]/div[2]/ul/li[7]/span[2]/span"")"),"Loading...")</f>
        <v>Loading...</v>
      </c>
      <c r="S3018" s="7" t="str">
        <f ca="1">IFERROR(__xludf.DUMMYFUNCTION("IMPORTXML(E3018,""/html/body/main/div[3]/div[3]/div[2]/ul/li[8]/span[2]/span"")"),"Loading...")</f>
        <v>Loading...</v>
      </c>
      <c r="T3018" s="4">
        <v>34.6</v>
      </c>
      <c r="U3018" s="4">
        <v>22.7</v>
      </c>
      <c r="V3018" s="4">
        <v>2.6</v>
      </c>
      <c r="W3018" s="4">
        <v>5.7</v>
      </c>
      <c r="X3018" s="4">
        <v>519.92999999999995</v>
      </c>
      <c r="Y3018" s="7">
        <f t="shared" ca="1" si="64"/>
        <v>-504.72999999999996</v>
      </c>
    </row>
    <row r="3019" spans="1:25" ht="15" x14ac:dyDescent="0.25">
      <c r="A3019" s="4">
        <v>2994</v>
      </c>
      <c r="C3019" s="41" t="s">
        <v>5335</v>
      </c>
      <c r="D3019" s="42"/>
      <c r="E3019" s="5" t="str">
        <f t="shared" si="60"/>
        <v>https://www.screener.in/company//consolidated/</v>
      </c>
      <c r="F3019" s="4">
        <v>443059</v>
      </c>
      <c r="G3019" s="4">
        <v>3832241897</v>
      </c>
      <c r="H3019" s="6" t="e">
        <f t="shared" ca="1" si="61"/>
        <v>#VALUE!</v>
      </c>
      <c r="I3019" s="7" t="str">
        <f ca="1">IFERROR(__xludf.DUMMYFUNCTION("IMPORTXML(E3019,""/html/body/main/div[3]/div[3]/div[2]/ul/li[5]/span[2]/span"")"),"Loading...")</f>
        <v>Loading...</v>
      </c>
      <c r="J3019" s="7" t="str">
        <f ca="1">IFERROR(__xludf.DUMMYFUNCTION("GOOGLEFINANCE(""NSE:""&amp;D3019,""marketcap"")"),"#N/A")</f>
        <v>#N/A</v>
      </c>
      <c r="K3019" s="7">
        <v>992.8</v>
      </c>
      <c r="L3019" s="8" t="str">
        <f ca="1">IFERROR(__xludf.DUMMYFUNCTION("GOOGLEFINANCE(""NSE:""&amp;D3019,""price"")"),"#N/A")</f>
        <v>#N/A</v>
      </c>
      <c r="M3019" s="9" t="e">
        <f t="shared" ca="1" si="62"/>
        <v>#VALUE!</v>
      </c>
      <c r="N3019" s="10" t="e">
        <f t="shared" ca="1" si="63"/>
        <v>#VALUE!</v>
      </c>
      <c r="O3019" s="7" t="str">
        <f ca="1">IFERROR(__xludf.DUMMYFUNCTION("GOOGLEFINANCE(""NSE:""&amp;D3019,""pe"")"),"#N/A")</f>
        <v>#N/A</v>
      </c>
      <c r="P3019" s="7" t="str">
        <f ca="1">IFERROR(__xludf.DUMMYFUNCTION("GOOGLEFINANCE(""NSE:""&amp;D3019,""EPS"")"),"#N/A")</f>
        <v>#N/A</v>
      </c>
      <c r="Q3019" s="7">
        <v>13.5</v>
      </c>
      <c r="R3019" s="7" t="str">
        <f ca="1">IFERROR(__xludf.DUMMYFUNCTION("IMPORTXML(E3019,""/html/body/main/div[3]/div[3]/div[2]/ul/li[7]/span[2]/span"")"),"Loading...")</f>
        <v>Loading...</v>
      </c>
      <c r="S3019" s="7" t="str">
        <f ca="1">IFERROR(__xludf.DUMMYFUNCTION("IMPORTXML(E3019,""/html/body/main/div[3]/div[3]/div[2]/ul/li[8]/span[2]/span"")"),"Loading...")</f>
        <v>Loading...</v>
      </c>
      <c r="T3019" s="4">
        <v>34.6</v>
      </c>
      <c r="U3019" s="4">
        <v>22.7</v>
      </c>
      <c r="V3019" s="4">
        <v>2.6</v>
      </c>
      <c r="W3019" s="4">
        <v>5.7</v>
      </c>
      <c r="X3019" s="4">
        <v>519.92999999999995</v>
      </c>
      <c r="Y3019" s="7" t="e">
        <f t="shared" ca="1" si="64"/>
        <v>#VALUE!</v>
      </c>
    </row>
    <row r="3020" spans="1:25" ht="15" x14ac:dyDescent="0.25">
      <c r="A3020" s="4">
        <v>2995</v>
      </c>
      <c r="C3020" s="12" t="s">
        <v>5336</v>
      </c>
      <c r="D3020" s="12" t="s">
        <v>5337</v>
      </c>
      <c r="E3020" s="5" t="str">
        <f t="shared" si="60"/>
        <v>https://www.screener.in/company/PODDARHOUS/consolidated/</v>
      </c>
      <c r="F3020" s="4">
        <v>443059</v>
      </c>
      <c r="G3020" s="4">
        <v>3832241897</v>
      </c>
      <c r="H3020" s="6" t="e">
        <f t="shared" ca="1" si="61"/>
        <v>#VALUE!</v>
      </c>
      <c r="I3020" s="7" t="str">
        <f ca="1">IFERROR(__xludf.DUMMYFUNCTION("IMPORTXML(E3020,""/html/body/main/div[3]/div[3]/div[2]/ul/li[5]/span[2]/span"")"),"Loading...")</f>
        <v>Loading...</v>
      </c>
      <c r="J3020" s="7" t="str">
        <f ca="1">IFERROR(__xludf.DUMMYFUNCTION("GOOGLEFINANCE(""NSE:""&amp;D3020,""marketcap"")"),"#N/A")</f>
        <v>#N/A</v>
      </c>
      <c r="K3020" s="7">
        <v>992.8</v>
      </c>
      <c r="L3020" s="8" t="str">
        <f ca="1">IFERROR(__xludf.DUMMYFUNCTION("GOOGLEFINANCE(""NSE:""&amp;D3020,""price"")"),"#N/A")</f>
        <v>#N/A</v>
      </c>
      <c r="M3020" s="9" t="e">
        <f t="shared" ca="1" si="62"/>
        <v>#VALUE!</v>
      </c>
      <c r="N3020" s="10" t="e">
        <f t="shared" ca="1" si="63"/>
        <v>#VALUE!</v>
      </c>
      <c r="O3020" s="7" t="str">
        <f ca="1">IFERROR(__xludf.DUMMYFUNCTION("GOOGLEFINANCE(""NSE:""&amp;D3020,""pe"")"),"#N/A")</f>
        <v>#N/A</v>
      </c>
      <c r="P3020" s="7" t="str">
        <f ca="1">IFERROR(__xludf.DUMMYFUNCTION("GOOGLEFINANCE(""NSE:""&amp;D3020,""EPS"")"),"#N/A")</f>
        <v>#N/A</v>
      </c>
      <c r="Q3020" s="7">
        <v>13.5</v>
      </c>
      <c r="R3020" s="7" t="str">
        <f ca="1">IFERROR(__xludf.DUMMYFUNCTION("IMPORTXML(E3020,""/html/body/main/div[3]/div[3]/div[2]/ul/li[7]/span[2]/span"")"),"Loading...")</f>
        <v>Loading...</v>
      </c>
      <c r="S3020" s="7" t="str">
        <f ca="1">IFERROR(__xludf.DUMMYFUNCTION("IMPORTXML(E3020,""/html/body/main/div[3]/div[3]/div[2]/ul/li[8]/span[2]/span"")"),"Loading...")</f>
        <v>Loading...</v>
      </c>
      <c r="T3020" s="4">
        <v>34.6</v>
      </c>
      <c r="U3020" s="4">
        <v>22.7</v>
      </c>
      <c r="V3020" s="4">
        <v>2.6</v>
      </c>
      <c r="W3020" s="4">
        <v>5.7</v>
      </c>
      <c r="X3020" s="4">
        <v>519.92999999999995</v>
      </c>
      <c r="Y3020" s="7" t="e">
        <f t="shared" ca="1" si="64"/>
        <v>#VALUE!</v>
      </c>
    </row>
    <row r="3021" spans="1:25" ht="15" x14ac:dyDescent="0.25">
      <c r="A3021" s="4">
        <v>2996</v>
      </c>
      <c r="C3021" s="41" t="s">
        <v>5338</v>
      </c>
      <c r="D3021" s="42"/>
      <c r="E3021" s="5" t="str">
        <f t="shared" si="60"/>
        <v>https://www.screener.in/company//consolidated/</v>
      </c>
      <c r="F3021" s="4">
        <v>443059</v>
      </c>
      <c r="G3021" s="4">
        <v>3832241897</v>
      </c>
      <c r="H3021" s="6" t="e">
        <f t="shared" ca="1" si="61"/>
        <v>#VALUE!</v>
      </c>
      <c r="I3021" s="7" t="str">
        <f ca="1">IFERROR(__xludf.DUMMYFUNCTION("IMPORTXML(E3021,""/html/body/main/div[3]/div[3]/div[2]/ul/li[5]/span[2]/span"")"),"Loading...")</f>
        <v>Loading...</v>
      </c>
      <c r="J3021" s="7" t="str">
        <f ca="1">IFERROR(__xludf.DUMMYFUNCTION("GOOGLEFINANCE(""NSE:""&amp;D3021,""marketcap"")"),"#N/A")</f>
        <v>#N/A</v>
      </c>
      <c r="K3021" s="7">
        <v>992.8</v>
      </c>
      <c r="L3021" s="8" t="str">
        <f ca="1">IFERROR(__xludf.DUMMYFUNCTION("GOOGLEFINANCE(""NSE:""&amp;D3021,""price"")"),"#N/A")</f>
        <v>#N/A</v>
      </c>
      <c r="M3021" s="9" t="e">
        <f t="shared" ca="1" si="62"/>
        <v>#VALUE!</v>
      </c>
      <c r="N3021" s="10" t="e">
        <f t="shared" ca="1" si="63"/>
        <v>#VALUE!</v>
      </c>
      <c r="O3021" s="7" t="str">
        <f ca="1">IFERROR(__xludf.DUMMYFUNCTION("GOOGLEFINANCE(""NSE:""&amp;D3021,""pe"")"),"#N/A")</f>
        <v>#N/A</v>
      </c>
      <c r="P3021" s="7" t="str">
        <f ca="1">IFERROR(__xludf.DUMMYFUNCTION("GOOGLEFINANCE(""NSE:""&amp;D3021,""EPS"")"),"#N/A")</f>
        <v>#N/A</v>
      </c>
      <c r="Q3021" s="7">
        <v>13.5</v>
      </c>
      <c r="R3021" s="7" t="str">
        <f ca="1">IFERROR(__xludf.DUMMYFUNCTION("IMPORTXML(E3021,""/html/body/main/div[3]/div[3]/div[2]/ul/li[7]/span[2]/span"")"),"Loading...")</f>
        <v>Loading...</v>
      </c>
      <c r="S3021" s="7" t="str">
        <f ca="1">IFERROR(__xludf.DUMMYFUNCTION("IMPORTXML(E3021,""/html/body/main/div[3]/div[3]/div[2]/ul/li[8]/span[2]/span"")"),"Loading...")</f>
        <v>Loading...</v>
      </c>
      <c r="T3021" s="4">
        <v>34.6</v>
      </c>
      <c r="U3021" s="4">
        <v>22.7</v>
      </c>
      <c r="V3021" s="4">
        <v>2.6</v>
      </c>
      <c r="W3021" s="4">
        <v>5.7</v>
      </c>
      <c r="X3021" s="4">
        <v>519.92999999999995</v>
      </c>
      <c r="Y3021" s="7" t="e">
        <f t="shared" ca="1" si="64"/>
        <v>#VALUE!</v>
      </c>
    </row>
    <row r="3022" spans="1:25" ht="15" x14ac:dyDescent="0.25">
      <c r="A3022" s="4">
        <v>2997</v>
      </c>
      <c r="C3022" s="41" t="s">
        <v>5339</v>
      </c>
      <c r="D3022" s="42"/>
      <c r="E3022" s="5" t="str">
        <f t="shared" si="60"/>
        <v>https://www.screener.in/company//consolidated/</v>
      </c>
      <c r="F3022" s="4">
        <v>443059</v>
      </c>
      <c r="G3022" s="4">
        <v>3832241897</v>
      </c>
      <c r="H3022" s="6" t="e">
        <f t="shared" ca="1" si="61"/>
        <v>#VALUE!</v>
      </c>
      <c r="I3022" s="7" t="str">
        <f ca="1">IFERROR(__xludf.DUMMYFUNCTION("IMPORTXML(E3022,""/html/body/main/div[3]/div[3]/div[2]/ul/li[5]/span[2]/span"")"),"Loading...")</f>
        <v>Loading...</v>
      </c>
      <c r="J3022" s="7" t="str">
        <f ca="1">IFERROR(__xludf.DUMMYFUNCTION("GOOGLEFINANCE(""NSE:""&amp;D3022,""marketcap"")"),"#N/A")</f>
        <v>#N/A</v>
      </c>
      <c r="K3022" s="7">
        <v>992.8</v>
      </c>
      <c r="L3022" s="8" t="str">
        <f ca="1">IFERROR(__xludf.DUMMYFUNCTION("GOOGLEFINANCE(""NSE:""&amp;D3022,""price"")"),"#N/A")</f>
        <v>#N/A</v>
      </c>
      <c r="M3022" s="9" t="e">
        <f t="shared" ca="1" si="62"/>
        <v>#VALUE!</v>
      </c>
      <c r="N3022" s="10" t="e">
        <f t="shared" ca="1" si="63"/>
        <v>#VALUE!</v>
      </c>
      <c r="O3022" s="7" t="str">
        <f ca="1">IFERROR(__xludf.DUMMYFUNCTION("GOOGLEFINANCE(""NSE:""&amp;D3022,""pe"")"),"#N/A")</f>
        <v>#N/A</v>
      </c>
      <c r="P3022" s="7" t="str">
        <f ca="1">IFERROR(__xludf.DUMMYFUNCTION("GOOGLEFINANCE(""NSE:""&amp;D3022,""EPS"")"),"#N/A")</f>
        <v>#N/A</v>
      </c>
      <c r="Q3022" s="7">
        <v>13.5</v>
      </c>
      <c r="R3022" s="7" t="str">
        <f ca="1">IFERROR(__xludf.DUMMYFUNCTION("IMPORTXML(E3022,""/html/body/main/div[3]/div[3]/div[2]/ul/li[7]/span[2]/span"")"),"Loading...")</f>
        <v>Loading...</v>
      </c>
      <c r="S3022" s="7" t="str">
        <f ca="1">IFERROR(__xludf.DUMMYFUNCTION("IMPORTXML(E3022,""/html/body/main/div[3]/div[3]/div[2]/ul/li[8]/span[2]/span"")"),"Loading...")</f>
        <v>Loading...</v>
      </c>
      <c r="T3022" s="4">
        <v>34.6</v>
      </c>
      <c r="U3022" s="4">
        <v>22.7</v>
      </c>
      <c r="V3022" s="4">
        <v>2.6</v>
      </c>
      <c r="W3022" s="4">
        <v>5.7</v>
      </c>
      <c r="X3022" s="4">
        <v>519.92999999999995</v>
      </c>
      <c r="Y3022" s="7" t="e">
        <f t="shared" ca="1" si="64"/>
        <v>#VALUE!</v>
      </c>
    </row>
    <row r="3023" spans="1:25" ht="15" x14ac:dyDescent="0.25">
      <c r="A3023" s="4">
        <v>2998</v>
      </c>
      <c r="C3023" s="41" t="s">
        <v>5340</v>
      </c>
      <c r="D3023" s="42"/>
      <c r="E3023" s="5" t="str">
        <f t="shared" si="60"/>
        <v>https://www.screener.in/company//consolidated/</v>
      </c>
      <c r="F3023" s="4">
        <v>443059</v>
      </c>
      <c r="G3023" s="4">
        <v>3832241897</v>
      </c>
      <c r="H3023" s="6" t="e">
        <f t="shared" ca="1" si="61"/>
        <v>#VALUE!</v>
      </c>
      <c r="I3023" s="7" t="str">
        <f ca="1">IFERROR(__xludf.DUMMYFUNCTION("IMPORTXML(E3023,""/html/body/main/div[3]/div[3]/div[2]/ul/li[5]/span[2]/span"")"),"Loading...")</f>
        <v>Loading...</v>
      </c>
      <c r="J3023" s="7" t="str">
        <f ca="1">IFERROR(__xludf.DUMMYFUNCTION("GOOGLEFINANCE(""NSE:""&amp;D3023,""marketcap"")"),"#N/A")</f>
        <v>#N/A</v>
      </c>
      <c r="K3023" s="7">
        <v>992.8</v>
      </c>
      <c r="L3023" s="8" t="str">
        <f ca="1">IFERROR(__xludf.DUMMYFUNCTION("GOOGLEFINANCE(""NSE:""&amp;D3023,""price"")"),"#N/A")</f>
        <v>#N/A</v>
      </c>
      <c r="M3023" s="9" t="e">
        <f t="shared" ca="1" si="62"/>
        <v>#VALUE!</v>
      </c>
      <c r="N3023" s="10" t="e">
        <f t="shared" ca="1" si="63"/>
        <v>#VALUE!</v>
      </c>
      <c r="O3023" s="7" t="str">
        <f ca="1">IFERROR(__xludf.DUMMYFUNCTION("GOOGLEFINANCE(""NSE:""&amp;D3023,""pe"")"),"#N/A")</f>
        <v>#N/A</v>
      </c>
      <c r="P3023" s="7" t="str">
        <f ca="1">IFERROR(__xludf.DUMMYFUNCTION("GOOGLEFINANCE(""NSE:""&amp;D3023,""EPS"")"),"#N/A")</f>
        <v>#N/A</v>
      </c>
      <c r="Q3023" s="7">
        <v>13.5</v>
      </c>
      <c r="R3023" s="7" t="str">
        <f ca="1">IFERROR(__xludf.DUMMYFUNCTION("IMPORTXML(E3023,""/html/body/main/div[3]/div[3]/div[2]/ul/li[7]/span[2]/span"")"),"Loading...")</f>
        <v>Loading...</v>
      </c>
      <c r="S3023" s="7" t="str">
        <f ca="1">IFERROR(__xludf.DUMMYFUNCTION("IMPORTXML(E3023,""/html/body/main/div[3]/div[3]/div[2]/ul/li[8]/span[2]/span"")"),"Loading...")</f>
        <v>Loading...</v>
      </c>
      <c r="T3023" s="4">
        <v>34.6</v>
      </c>
      <c r="U3023" s="4">
        <v>22.7</v>
      </c>
      <c r="V3023" s="4">
        <v>2.6</v>
      </c>
      <c r="W3023" s="4">
        <v>5.7</v>
      </c>
      <c r="X3023" s="4">
        <v>519.92999999999995</v>
      </c>
      <c r="Y3023" s="7" t="e">
        <f t="shared" ca="1" si="64"/>
        <v>#VALUE!</v>
      </c>
    </row>
    <row r="3024" spans="1:25" ht="15" x14ac:dyDescent="0.25">
      <c r="A3024" s="4">
        <v>2999</v>
      </c>
      <c r="C3024" s="41" t="s">
        <v>5341</v>
      </c>
      <c r="D3024" s="42"/>
      <c r="E3024" s="5" t="str">
        <f t="shared" si="60"/>
        <v>https://www.screener.in/company//consolidated/</v>
      </c>
      <c r="F3024" s="4">
        <v>443059</v>
      </c>
      <c r="G3024" s="4">
        <v>3832241897</v>
      </c>
      <c r="H3024" s="6" t="e">
        <f t="shared" ca="1" si="61"/>
        <v>#VALUE!</v>
      </c>
      <c r="I3024" s="7" t="str">
        <f ca="1">IFERROR(__xludf.DUMMYFUNCTION("IMPORTXML(E3024,""/html/body/main/div[3]/div[3]/div[2]/ul/li[5]/span[2]/span"")"),"Loading...")</f>
        <v>Loading...</v>
      </c>
      <c r="J3024" s="7" t="str">
        <f ca="1">IFERROR(__xludf.DUMMYFUNCTION("GOOGLEFINANCE(""NSE:""&amp;D3024,""marketcap"")"),"#N/A")</f>
        <v>#N/A</v>
      </c>
      <c r="K3024" s="7">
        <v>992.8</v>
      </c>
      <c r="L3024" s="8" t="str">
        <f ca="1">IFERROR(__xludf.DUMMYFUNCTION("GOOGLEFINANCE(""NSE:""&amp;D3024,""price"")"),"#N/A")</f>
        <v>#N/A</v>
      </c>
      <c r="M3024" s="9" t="e">
        <f t="shared" ca="1" si="62"/>
        <v>#VALUE!</v>
      </c>
      <c r="N3024" s="10" t="e">
        <f t="shared" ca="1" si="63"/>
        <v>#VALUE!</v>
      </c>
      <c r="O3024" s="7" t="str">
        <f ca="1">IFERROR(__xludf.DUMMYFUNCTION("GOOGLEFINANCE(""NSE:""&amp;D3024,""pe"")"),"#N/A")</f>
        <v>#N/A</v>
      </c>
      <c r="P3024" s="7" t="str">
        <f ca="1">IFERROR(__xludf.DUMMYFUNCTION("GOOGLEFINANCE(""NSE:""&amp;D3024,""EPS"")"),"#N/A")</f>
        <v>#N/A</v>
      </c>
      <c r="Q3024" s="7">
        <v>13.5</v>
      </c>
      <c r="R3024" s="7" t="str">
        <f ca="1">IFERROR(__xludf.DUMMYFUNCTION("IMPORTXML(E3024,""/html/body/main/div[3]/div[3]/div[2]/ul/li[7]/span[2]/span"")"),"Loading...")</f>
        <v>Loading...</v>
      </c>
      <c r="S3024" s="7" t="str">
        <f ca="1">IFERROR(__xludf.DUMMYFUNCTION("IMPORTXML(E3024,""/html/body/main/div[3]/div[3]/div[2]/ul/li[8]/span[2]/span"")"),"Loading...")</f>
        <v>Loading...</v>
      </c>
      <c r="T3024" s="4">
        <v>34.6</v>
      </c>
      <c r="U3024" s="4">
        <v>22.7</v>
      </c>
      <c r="V3024" s="4">
        <v>2.6</v>
      </c>
      <c r="W3024" s="4">
        <v>5.7</v>
      </c>
      <c r="X3024" s="4">
        <v>519.92999999999995</v>
      </c>
      <c r="Y3024" s="7" t="e">
        <f t="shared" ca="1" si="64"/>
        <v>#VALUE!</v>
      </c>
    </row>
    <row r="3025" spans="1:25" ht="15" x14ac:dyDescent="0.25">
      <c r="A3025" s="4">
        <v>3000</v>
      </c>
      <c r="C3025" s="41" t="s">
        <v>5342</v>
      </c>
      <c r="D3025" s="42"/>
      <c r="E3025" s="5" t="str">
        <f t="shared" si="60"/>
        <v>https://www.screener.in/company//consolidated/</v>
      </c>
      <c r="F3025" s="4">
        <v>443059</v>
      </c>
      <c r="G3025" s="4">
        <v>3832241897</v>
      </c>
      <c r="H3025" s="6" t="e">
        <f t="shared" ca="1" si="61"/>
        <v>#VALUE!</v>
      </c>
      <c r="I3025" s="7" t="str">
        <f ca="1">IFERROR(__xludf.DUMMYFUNCTION("IMPORTXML(E3025,""/html/body/main/div[3]/div[3]/div[2]/ul/li[5]/span[2]/span"")"),"Loading...")</f>
        <v>Loading...</v>
      </c>
      <c r="J3025" s="7" t="str">
        <f ca="1">IFERROR(__xludf.DUMMYFUNCTION("GOOGLEFINANCE(""NSE:""&amp;D3025,""marketcap"")"),"#N/A")</f>
        <v>#N/A</v>
      </c>
      <c r="K3025" s="7">
        <v>992.8</v>
      </c>
      <c r="L3025" s="8" t="str">
        <f ca="1">IFERROR(__xludf.DUMMYFUNCTION("GOOGLEFINANCE(""NSE:""&amp;D3025,""price"")"),"#N/A")</f>
        <v>#N/A</v>
      </c>
      <c r="M3025" s="9" t="e">
        <f t="shared" ca="1" si="62"/>
        <v>#VALUE!</v>
      </c>
      <c r="N3025" s="10" t="e">
        <f t="shared" ca="1" si="63"/>
        <v>#VALUE!</v>
      </c>
      <c r="O3025" s="7" t="str">
        <f ca="1">IFERROR(__xludf.DUMMYFUNCTION("GOOGLEFINANCE(""NSE:""&amp;D3025,""pe"")"),"#N/A")</f>
        <v>#N/A</v>
      </c>
      <c r="P3025" s="7" t="str">
        <f ca="1">IFERROR(__xludf.DUMMYFUNCTION("GOOGLEFINANCE(""NSE:""&amp;D3025,""EPS"")"),"#N/A")</f>
        <v>#N/A</v>
      </c>
      <c r="Q3025" s="7">
        <v>13.5</v>
      </c>
      <c r="R3025" s="7" t="str">
        <f ca="1">IFERROR(__xludf.DUMMYFUNCTION("IMPORTXML(E3025,""/html/body/main/div[3]/div[3]/div[2]/ul/li[7]/span[2]/span"")"),"Loading...")</f>
        <v>Loading...</v>
      </c>
      <c r="S3025" s="7" t="str">
        <f ca="1">IFERROR(__xludf.DUMMYFUNCTION("IMPORTXML(E3025,""/html/body/main/div[3]/div[3]/div[2]/ul/li[8]/span[2]/span"")"),"Loading...")</f>
        <v>Loading...</v>
      </c>
      <c r="T3025" s="4">
        <v>34.6</v>
      </c>
      <c r="U3025" s="4">
        <v>22.7</v>
      </c>
      <c r="V3025" s="4">
        <v>2.6</v>
      </c>
      <c r="W3025" s="4">
        <v>5.7</v>
      </c>
      <c r="X3025" s="4">
        <v>519.92999999999995</v>
      </c>
      <c r="Y3025" s="7" t="e">
        <f t="shared" ca="1" si="64"/>
        <v>#VALUE!</v>
      </c>
    </row>
    <row r="3026" spans="1:25" ht="15" x14ac:dyDescent="0.25">
      <c r="A3026" s="4">
        <v>3001</v>
      </c>
      <c r="C3026" s="41" t="s">
        <v>5343</v>
      </c>
      <c r="D3026" s="42"/>
      <c r="E3026" s="5" t="str">
        <f t="shared" si="60"/>
        <v>https://www.screener.in/company//consolidated/</v>
      </c>
      <c r="F3026" s="4">
        <v>443059</v>
      </c>
      <c r="G3026" s="4">
        <v>3832241897</v>
      </c>
      <c r="H3026" s="6" t="e">
        <f t="shared" ca="1" si="61"/>
        <v>#VALUE!</v>
      </c>
      <c r="I3026" s="7" t="str">
        <f ca="1">IFERROR(__xludf.DUMMYFUNCTION("IMPORTXML(E3026,""/html/body/main/div[3]/div[3]/div[2]/ul/li[5]/span[2]/span"")"),"Loading...")</f>
        <v>Loading...</v>
      </c>
      <c r="J3026" s="7" t="str">
        <f ca="1">IFERROR(__xludf.DUMMYFUNCTION("GOOGLEFINANCE(""NSE:""&amp;D3026,""marketcap"")"),"#N/A")</f>
        <v>#N/A</v>
      </c>
      <c r="K3026" s="7">
        <v>992.8</v>
      </c>
      <c r="L3026" s="8" t="str">
        <f ca="1">IFERROR(__xludf.DUMMYFUNCTION("GOOGLEFINANCE(""NSE:""&amp;D3026,""price"")"),"#N/A")</f>
        <v>#N/A</v>
      </c>
      <c r="M3026" s="9" t="e">
        <f t="shared" ca="1" si="62"/>
        <v>#VALUE!</v>
      </c>
      <c r="N3026" s="10" t="e">
        <f t="shared" ca="1" si="63"/>
        <v>#VALUE!</v>
      </c>
      <c r="O3026" s="7" t="str">
        <f ca="1">IFERROR(__xludf.DUMMYFUNCTION("GOOGLEFINANCE(""NSE:""&amp;D3026,""pe"")"),"#N/A")</f>
        <v>#N/A</v>
      </c>
      <c r="P3026" s="7" t="str">
        <f ca="1">IFERROR(__xludf.DUMMYFUNCTION("GOOGLEFINANCE(""NSE:""&amp;D3026,""EPS"")"),"#N/A")</f>
        <v>#N/A</v>
      </c>
      <c r="Q3026" s="7">
        <v>13.5</v>
      </c>
      <c r="R3026" s="7" t="str">
        <f ca="1">IFERROR(__xludf.DUMMYFUNCTION("IMPORTXML(E3026,""/html/body/main/div[3]/div[3]/div[2]/ul/li[7]/span[2]/span"")"),"Loading...")</f>
        <v>Loading...</v>
      </c>
      <c r="S3026" s="7" t="str">
        <f ca="1">IFERROR(__xludf.DUMMYFUNCTION("IMPORTXML(E3026,""/html/body/main/div[3]/div[3]/div[2]/ul/li[8]/span[2]/span"")"),"Loading...")</f>
        <v>Loading...</v>
      </c>
      <c r="T3026" s="4">
        <v>34.6</v>
      </c>
      <c r="U3026" s="4">
        <v>22.7</v>
      </c>
      <c r="V3026" s="4">
        <v>2.6</v>
      </c>
      <c r="W3026" s="4">
        <v>5.7</v>
      </c>
      <c r="X3026" s="4">
        <v>519.92999999999995</v>
      </c>
      <c r="Y3026" s="7" t="e">
        <f t="shared" ca="1" si="64"/>
        <v>#VALUE!</v>
      </c>
    </row>
    <row r="3027" spans="1:25" ht="15" x14ac:dyDescent="0.25">
      <c r="A3027" s="4">
        <v>3002</v>
      </c>
      <c r="C3027" s="41" t="s">
        <v>5344</v>
      </c>
      <c r="D3027" s="42"/>
      <c r="E3027" s="5" t="str">
        <f t="shared" si="60"/>
        <v>https://www.screener.in/company//consolidated/</v>
      </c>
      <c r="F3027" s="4">
        <v>443059</v>
      </c>
      <c r="G3027" s="4">
        <v>3832241897</v>
      </c>
      <c r="H3027" s="6" t="e">
        <f t="shared" ca="1" si="61"/>
        <v>#VALUE!</v>
      </c>
      <c r="I3027" s="7" t="str">
        <f ca="1">IFERROR(__xludf.DUMMYFUNCTION("IMPORTXML(E3027,""/html/body/main/div[3]/div[3]/div[2]/ul/li[5]/span[2]/span"")"),"Loading...")</f>
        <v>Loading...</v>
      </c>
      <c r="J3027" s="7" t="str">
        <f ca="1">IFERROR(__xludf.DUMMYFUNCTION("GOOGLEFINANCE(""NSE:""&amp;D3027,""marketcap"")"),"#N/A")</f>
        <v>#N/A</v>
      </c>
      <c r="K3027" s="7">
        <v>992.8</v>
      </c>
      <c r="L3027" s="8" t="str">
        <f ca="1">IFERROR(__xludf.DUMMYFUNCTION("GOOGLEFINANCE(""NSE:""&amp;D3027,""price"")"),"#N/A")</f>
        <v>#N/A</v>
      </c>
      <c r="M3027" s="9" t="e">
        <f t="shared" ca="1" si="62"/>
        <v>#VALUE!</v>
      </c>
      <c r="N3027" s="10" t="e">
        <f t="shared" ca="1" si="63"/>
        <v>#VALUE!</v>
      </c>
      <c r="O3027" s="7" t="str">
        <f ca="1">IFERROR(__xludf.DUMMYFUNCTION("GOOGLEFINANCE(""NSE:""&amp;D3027,""pe"")"),"#N/A")</f>
        <v>#N/A</v>
      </c>
      <c r="P3027" s="7" t="str">
        <f ca="1">IFERROR(__xludf.DUMMYFUNCTION("GOOGLEFINANCE(""NSE:""&amp;D3027,""EPS"")"),"#N/A")</f>
        <v>#N/A</v>
      </c>
      <c r="Q3027" s="7">
        <v>13.5</v>
      </c>
      <c r="R3027" s="7" t="str">
        <f ca="1">IFERROR(__xludf.DUMMYFUNCTION("IMPORTXML(E3027,""/html/body/main/div[3]/div[3]/div[2]/ul/li[7]/span[2]/span"")"),"Loading...")</f>
        <v>Loading...</v>
      </c>
      <c r="S3027" s="7" t="str">
        <f ca="1">IFERROR(__xludf.DUMMYFUNCTION("IMPORTXML(E3027,""/html/body/main/div[3]/div[3]/div[2]/ul/li[8]/span[2]/span"")"),"Loading...")</f>
        <v>Loading...</v>
      </c>
      <c r="T3027" s="4">
        <v>34.6</v>
      </c>
      <c r="U3027" s="4">
        <v>22.7</v>
      </c>
      <c r="V3027" s="4">
        <v>2.6</v>
      </c>
      <c r="W3027" s="4">
        <v>5.7</v>
      </c>
      <c r="X3027" s="4">
        <v>519.92999999999995</v>
      </c>
      <c r="Y3027" s="7" t="e">
        <f t="shared" ca="1" si="64"/>
        <v>#VALUE!</v>
      </c>
    </row>
    <row r="3028" spans="1:25" ht="15" x14ac:dyDescent="0.25">
      <c r="A3028" s="4">
        <v>3003</v>
      </c>
      <c r="C3028" s="41" t="s">
        <v>5345</v>
      </c>
      <c r="D3028" s="42"/>
      <c r="E3028" s="5" t="str">
        <f t="shared" si="60"/>
        <v>https://www.screener.in/company//consolidated/</v>
      </c>
      <c r="F3028" s="4">
        <v>443059</v>
      </c>
      <c r="G3028" s="4">
        <v>3832241897</v>
      </c>
      <c r="H3028" s="6" t="e">
        <f t="shared" ca="1" si="61"/>
        <v>#VALUE!</v>
      </c>
      <c r="I3028" s="7" t="str">
        <f ca="1">IFERROR(__xludf.DUMMYFUNCTION("IMPORTXML(E3028,""/html/body/main/div[3]/div[3]/div[2]/ul/li[5]/span[2]/span"")"),"Loading...")</f>
        <v>Loading...</v>
      </c>
      <c r="J3028" s="7" t="str">
        <f ca="1">IFERROR(__xludf.DUMMYFUNCTION("GOOGLEFINANCE(""NSE:""&amp;D3028,""marketcap"")"),"#N/A")</f>
        <v>#N/A</v>
      </c>
      <c r="K3028" s="7">
        <v>992.8</v>
      </c>
      <c r="L3028" s="8" t="str">
        <f ca="1">IFERROR(__xludf.DUMMYFUNCTION("GOOGLEFINANCE(""NSE:""&amp;D3028,""price"")"),"#N/A")</f>
        <v>#N/A</v>
      </c>
      <c r="M3028" s="9" t="e">
        <f t="shared" ca="1" si="62"/>
        <v>#VALUE!</v>
      </c>
      <c r="N3028" s="10" t="e">
        <f t="shared" ca="1" si="63"/>
        <v>#VALUE!</v>
      </c>
      <c r="O3028" s="7" t="str">
        <f ca="1">IFERROR(__xludf.DUMMYFUNCTION("GOOGLEFINANCE(""NSE:""&amp;D3028,""pe"")"),"#N/A")</f>
        <v>#N/A</v>
      </c>
      <c r="P3028" s="7" t="str">
        <f ca="1">IFERROR(__xludf.DUMMYFUNCTION("GOOGLEFINANCE(""NSE:""&amp;D3028,""EPS"")"),"#N/A")</f>
        <v>#N/A</v>
      </c>
      <c r="Q3028" s="7">
        <v>13.5</v>
      </c>
      <c r="R3028" s="7" t="str">
        <f ca="1">IFERROR(__xludf.DUMMYFUNCTION("IMPORTXML(E3028,""/html/body/main/div[3]/div[3]/div[2]/ul/li[7]/span[2]/span"")"),"Loading...")</f>
        <v>Loading...</v>
      </c>
      <c r="S3028" s="7" t="str">
        <f ca="1">IFERROR(__xludf.DUMMYFUNCTION("IMPORTXML(E3028,""/html/body/main/div[3]/div[3]/div[2]/ul/li[8]/span[2]/span"")"),"Loading...")</f>
        <v>Loading...</v>
      </c>
      <c r="T3028" s="4">
        <v>34.6</v>
      </c>
      <c r="U3028" s="4">
        <v>22.7</v>
      </c>
      <c r="V3028" s="4">
        <v>2.6</v>
      </c>
      <c r="W3028" s="4">
        <v>5.7</v>
      </c>
      <c r="X3028" s="4">
        <v>519.92999999999995</v>
      </c>
      <c r="Y3028" s="7" t="e">
        <f t="shared" ca="1" si="64"/>
        <v>#VALUE!</v>
      </c>
    </row>
    <row r="3029" spans="1:25" ht="15" x14ac:dyDescent="0.25">
      <c r="A3029" s="4">
        <v>3004</v>
      </c>
      <c r="C3029" s="41" t="s">
        <v>5346</v>
      </c>
      <c r="D3029" s="42"/>
      <c r="E3029" s="5" t="str">
        <f t="shared" si="60"/>
        <v>https://www.screener.in/company//consolidated/</v>
      </c>
      <c r="F3029" s="4">
        <v>443059</v>
      </c>
      <c r="G3029" s="4">
        <v>3832241897</v>
      </c>
      <c r="H3029" s="6" t="e">
        <f t="shared" ca="1" si="61"/>
        <v>#VALUE!</v>
      </c>
      <c r="I3029" s="7" t="str">
        <f ca="1">IFERROR(__xludf.DUMMYFUNCTION("IMPORTXML(E3029,""/html/body/main/div[3]/div[3]/div[2]/ul/li[5]/span[2]/span"")"),"Loading...")</f>
        <v>Loading...</v>
      </c>
      <c r="J3029" s="7" t="str">
        <f ca="1">IFERROR(__xludf.DUMMYFUNCTION("GOOGLEFINANCE(""NSE:""&amp;D3029,""marketcap"")"),"#N/A")</f>
        <v>#N/A</v>
      </c>
      <c r="K3029" s="7">
        <v>992.8</v>
      </c>
      <c r="L3029" s="8" t="str">
        <f ca="1">IFERROR(__xludf.DUMMYFUNCTION("GOOGLEFINANCE(""NSE:""&amp;D3029,""price"")"),"#N/A")</f>
        <v>#N/A</v>
      </c>
      <c r="M3029" s="9" t="e">
        <f t="shared" ca="1" si="62"/>
        <v>#VALUE!</v>
      </c>
      <c r="N3029" s="10" t="e">
        <f t="shared" ca="1" si="63"/>
        <v>#VALUE!</v>
      </c>
      <c r="O3029" s="7" t="str">
        <f ca="1">IFERROR(__xludf.DUMMYFUNCTION("GOOGLEFINANCE(""NSE:""&amp;D3029,""pe"")"),"#N/A")</f>
        <v>#N/A</v>
      </c>
      <c r="P3029" s="7" t="str">
        <f ca="1">IFERROR(__xludf.DUMMYFUNCTION("GOOGLEFINANCE(""NSE:""&amp;D3029,""EPS"")"),"#N/A")</f>
        <v>#N/A</v>
      </c>
      <c r="Q3029" s="7">
        <v>13.5</v>
      </c>
      <c r="R3029" s="7" t="str">
        <f ca="1">IFERROR(__xludf.DUMMYFUNCTION("IMPORTXML(E3029,""/html/body/main/div[3]/div[3]/div[2]/ul/li[7]/span[2]/span"")"),"Loading...")</f>
        <v>Loading...</v>
      </c>
      <c r="S3029" s="7" t="str">
        <f ca="1">IFERROR(__xludf.DUMMYFUNCTION("IMPORTXML(E3029,""/html/body/main/div[3]/div[3]/div[2]/ul/li[8]/span[2]/span"")"),"Loading...")</f>
        <v>Loading...</v>
      </c>
      <c r="T3029" s="4">
        <v>34.6</v>
      </c>
      <c r="U3029" s="4">
        <v>22.7</v>
      </c>
      <c r="V3029" s="4">
        <v>2.6</v>
      </c>
      <c r="W3029" s="4">
        <v>5.7</v>
      </c>
      <c r="X3029" s="4">
        <v>519.92999999999995</v>
      </c>
      <c r="Y3029" s="7" t="e">
        <f t="shared" ca="1" si="64"/>
        <v>#VALUE!</v>
      </c>
    </row>
    <row r="3030" spans="1:25" ht="15" x14ac:dyDescent="0.25">
      <c r="A3030" s="4">
        <v>3005</v>
      </c>
      <c r="C3030" s="41" t="s">
        <v>5347</v>
      </c>
      <c r="D3030" s="42"/>
      <c r="E3030" s="5" t="str">
        <f t="shared" si="60"/>
        <v>https://www.screener.in/company//consolidated/</v>
      </c>
      <c r="F3030" s="4">
        <v>443059</v>
      </c>
      <c r="G3030" s="4">
        <v>3832241897</v>
      </c>
      <c r="H3030" s="6" t="e">
        <f t="shared" ca="1" si="61"/>
        <v>#VALUE!</v>
      </c>
      <c r="I3030" s="7" t="str">
        <f ca="1">IFERROR(__xludf.DUMMYFUNCTION("IMPORTXML(E3030,""/html/body/main/div[3]/div[3]/div[2]/ul/li[5]/span[2]/span"")"),"Loading...")</f>
        <v>Loading...</v>
      </c>
      <c r="J3030" s="7" t="str">
        <f ca="1">IFERROR(__xludf.DUMMYFUNCTION("GOOGLEFINANCE(""NSE:""&amp;D3030,""marketcap"")"),"#N/A")</f>
        <v>#N/A</v>
      </c>
      <c r="K3030" s="7">
        <v>992.8</v>
      </c>
      <c r="L3030" s="8" t="str">
        <f ca="1">IFERROR(__xludf.DUMMYFUNCTION("GOOGLEFINANCE(""NSE:""&amp;D3030,""price"")"),"#N/A")</f>
        <v>#N/A</v>
      </c>
      <c r="M3030" s="9" t="e">
        <f t="shared" ca="1" si="62"/>
        <v>#VALUE!</v>
      </c>
      <c r="N3030" s="10" t="e">
        <f t="shared" ca="1" si="63"/>
        <v>#VALUE!</v>
      </c>
      <c r="O3030" s="7" t="str">
        <f ca="1">IFERROR(__xludf.DUMMYFUNCTION("GOOGLEFINANCE(""NSE:""&amp;D3030,""pe"")"),"#N/A")</f>
        <v>#N/A</v>
      </c>
      <c r="P3030" s="7" t="str">
        <f ca="1">IFERROR(__xludf.DUMMYFUNCTION("GOOGLEFINANCE(""NSE:""&amp;D3030,""EPS"")"),"#N/A")</f>
        <v>#N/A</v>
      </c>
      <c r="Q3030" s="7">
        <v>13.5</v>
      </c>
      <c r="R3030" s="7" t="str">
        <f ca="1">IFERROR(__xludf.DUMMYFUNCTION("IMPORTXML(E3030,""/html/body/main/div[3]/div[3]/div[2]/ul/li[7]/span[2]/span"")"),"Loading...")</f>
        <v>Loading...</v>
      </c>
      <c r="S3030" s="7" t="str">
        <f ca="1">IFERROR(__xludf.DUMMYFUNCTION("IMPORTXML(E3030,""/html/body/main/div[3]/div[3]/div[2]/ul/li[8]/span[2]/span"")"),"Loading...")</f>
        <v>Loading...</v>
      </c>
      <c r="T3030" s="4">
        <v>34.6</v>
      </c>
      <c r="U3030" s="4">
        <v>22.7</v>
      </c>
      <c r="V3030" s="4">
        <v>2.6</v>
      </c>
      <c r="W3030" s="4">
        <v>5.7</v>
      </c>
      <c r="X3030" s="4">
        <v>519.92999999999995</v>
      </c>
      <c r="Y3030" s="7" t="e">
        <f t="shared" ca="1" si="64"/>
        <v>#VALUE!</v>
      </c>
    </row>
    <row r="3031" spans="1:25" ht="15" x14ac:dyDescent="0.25">
      <c r="A3031" s="4">
        <v>3006</v>
      </c>
      <c r="C3031" s="41" t="s">
        <v>5348</v>
      </c>
      <c r="D3031" s="42"/>
      <c r="E3031" s="5" t="str">
        <f t="shared" si="60"/>
        <v>https://www.screener.in/company//consolidated/</v>
      </c>
      <c r="F3031" s="4">
        <v>443059</v>
      </c>
      <c r="G3031" s="4">
        <v>3832241897</v>
      </c>
      <c r="H3031" s="6" t="e">
        <f t="shared" ca="1" si="61"/>
        <v>#VALUE!</v>
      </c>
      <c r="I3031" s="7" t="str">
        <f ca="1">IFERROR(__xludf.DUMMYFUNCTION("IMPORTXML(E3031,""/html/body/main/div[3]/div[3]/div[2]/ul/li[5]/span[2]/span"")"),"Loading...")</f>
        <v>Loading...</v>
      </c>
      <c r="J3031" s="7" t="str">
        <f ca="1">IFERROR(__xludf.DUMMYFUNCTION("GOOGLEFINANCE(""NSE:""&amp;D3031,""marketcap"")"),"#N/A")</f>
        <v>#N/A</v>
      </c>
      <c r="K3031" s="7">
        <v>992.8</v>
      </c>
      <c r="L3031" s="8" t="str">
        <f ca="1">IFERROR(__xludf.DUMMYFUNCTION("GOOGLEFINANCE(""NSE:""&amp;D3031,""price"")"),"#N/A")</f>
        <v>#N/A</v>
      </c>
      <c r="M3031" s="9" t="e">
        <f t="shared" ca="1" si="62"/>
        <v>#VALUE!</v>
      </c>
      <c r="N3031" s="10" t="e">
        <f t="shared" ca="1" si="63"/>
        <v>#VALUE!</v>
      </c>
      <c r="O3031" s="7" t="str">
        <f ca="1">IFERROR(__xludf.DUMMYFUNCTION("GOOGLEFINANCE(""NSE:""&amp;D3031,""pe"")"),"#N/A")</f>
        <v>#N/A</v>
      </c>
      <c r="P3031" s="7" t="str">
        <f ca="1">IFERROR(__xludf.DUMMYFUNCTION("GOOGLEFINANCE(""NSE:""&amp;D3031,""EPS"")"),"#N/A")</f>
        <v>#N/A</v>
      </c>
      <c r="Q3031" s="7">
        <v>13.5</v>
      </c>
      <c r="R3031" s="7" t="str">
        <f ca="1">IFERROR(__xludf.DUMMYFUNCTION("IMPORTXML(E3031,""/html/body/main/div[3]/div[3]/div[2]/ul/li[7]/span[2]/span"")"),"Loading...")</f>
        <v>Loading...</v>
      </c>
      <c r="S3031" s="7" t="str">
        <f ca="1">IFERROR(__xludf.DUMMYFUNCTION("IMPORTXML(E3031,""/html/body/main/div[3]/div[3]/div[2]/ul/li[8]/span[2]/span"")"),"Loading...")</f>
        <v>Loading...</v>
      </c>
      <c r="T3031" s="4">
        <v>34.6</v>
      </c>
      <c r="U3031" s="4">
        <v>22.7</v>
      </c>
      <c r="V3031" s="4">
        <v>2.6</v>
      </c>
      <c r="W3031" s="4">
        <v>5.7</v>
      </c>
      <c r="X3031" s="4">
        <v>519.92999999999995</v>
      </c>
      <c r="Y3031" s="7" t="e">
        <f t="shared" ca="1" si="64"/>
        <v>#VALUE!</v>
      </c>
    </row>
    <row r="3032" spans="1:25" ht="15" x14ac:dyDescent="0.25">
      <c r="A3032" s="4">
        <v>3007</v>
      </c>
      <c r="C3032" s="41" t="s">
        <v>5349</v>
      </c>
      <c r="D3032" s="42"/>
      <c r="E3032" s="5" t="str">
        <f t="shared" si="60"/>
        <v>https://www.screener.in/company//consolidated/</v>
      </c>
      <c r="F3032" s="4">
        <v>443059</v>
      </c>
      <c r="G3032" s="4">
        <v>3832241897</v>
      </c>
      <c r="H3032" s="6" t="e">
        <f t="shared" ca="1" si="61"/>
        <v>#VALUE!</v>
      </c>
      <c r="I3032" s="7" t="str">
        <f ca="1">IFERROR(__xludf.DUMMYFUNCTION("IMPORTXML(E3032,""/html/body/main/div[3]/div[3]/div[2]/ul/li[5]/span[2]/span"")"),"Loading...")</f>
        <v>Loading...</v>
      </c>
      <c r="J3032" s="7" t="str">
        <f ca="1">IFERROR(__xludf.DUMMYFUNCTION("GOOGLEFINANCE(""NSE:""&amp;D3032,""marketcap"")"),"#N/A")</f>
        <v>#N/A</v>
      </c>
      <c r="K3032" s="7">
        <v>992.8</v>
      </c>
      <c r="L3032" s="8" t="str">
        <f ca="1">IFERROR(__xludf.DUMMYFUNCTION("GOOGLEFINANCE(""NSE:""&amp;D3032,""price"")"),"#N/A")</f>
        <v>#N/A</v>
      </c>
      <c r="M3032" s="9" t="e">
        <f t="shared" ca="1" si="62"/>
        <v>#VALUE!</v>
      </c>
      <c r="N3032" s="10" t="e">
        <f t="shared" ca="1" si="63"/>
        <v>#VALUE!</v>
      </c>
      <c r="O3032" s="7" t="str">
        <f ca="1">IFERROR(__xludf.DUMMYFUNCTION("GOOGLEFINANCE(""NSE:""&amp;D3032,""pe"")"),"#N/A")</f>
        <v>#N/A</v>
      </c>
      <c r="P3032" s="7" t="str">
        <f ca="1">IFERROR(__xludf.DUMMYFUNCTION("GOOGLEFINANCE(""NSE:""&amp;D3032,""EPS"")"),"#N/A")</f>
        <v>#N/A</v>
      </c>
      <c r="Q3032" s="7">
        <v>13.5</v>
      </c>
      <c r="R3032" s="7" t="str">
        <f ca="1">IFERROR(__xludf.DUMMYFUNCTION("IMPORTXML(E3032,""/html/body/main/div[3]/div[3]/div[2]/ul/li[7]/span[2]/span"")"),"Loading...")</f>
        <v>Loading...</v>
      </c>
      <c r="S3032" s="7" t="str">
        <f ca="1">IFERROR(__xludf.DUMMYFUNCTION("IMPORTXML(E3032,""/html/body/main/div[3]/div[3]/div[2]/ul/li[8]/span[2]/span"")"),"Loading...")</f>
        <v>Loading...</v>
      </c>
      <c r="T3032" s="4">
        <v>34.6</v>
      </c>
      <c r="U3032" s="4">
        <v>22.7</v>
      </c>
      <c r="V3032" s="4">
        <v>2.6</v>
      </c>
      <c r="W3032" s="4">
        <v>5.7</v>
      </c>
      <c r="X3032" s="4">
        <v>519.92999999999995</v>
      </c>
      <c r="Y3032" s="7" t="e">
        <f t="shared" ca="1" si="64"/>
        <v>#VALUE!</v>
      </c>
    </row>
    <row r="3033" spans="1:25" ht="15" x14ac:dyDescent="0.25">
      <c r="A3033" s="4">
        <v>3008</v>
      </c>
      <c r="C3033" s="41" t="s">
        <v>5350</v>
      </c>
      <c r="D3033" s="42"/>
      <c r="E3033" s="5" t="str">
        <f t="shared" si="60"/>
        <v>https://www.screener.in/company//consolidated/</v>
      </c>
      <c r="F3033" s="4">
        <v>443059</v>
      </c>
      <c r="G3033" s="4">
        <v>3832241897</v>
      </c>
      <c r="H3033" s="6" t="e">
        <f t="shared" ca="1" si="61"/>
        <v>#VALUE!</v>
      </c>
      <c r="I3033" s="7" t="str">
        <f ca="1">IFERROR(__xludf.DUMMYFUNCTION("IMPORTXML(E3033,""/html/body/main/div[3]/div[3]/div[2]/ul/li[5]/span[2]/span"")"),"Loading...")</f>
        <v>Loading...</v>
      </c>
      <c r="J3033" s="7" t="str">
        <f ca="1">IFERROR(__xludf.DUMMYFUNCTION("GOOGLEFINANCE(""NSE:""&amp;D3033,""marketcap"")"),"#N/A")</f>
        <v>#N/A</v>
      </c>
      <c r="K3033" s="7">
        <v>992.8</v>
      </c>
      <c r="L3033" s="8" t="str">
        <f ca="1">IFERROR(__xludf.DUMMYFUNCTION("GOOGLEFINANCE(""NSE:""&amp;D3033,""price"")"),"#N/A")</f>
        <v>#N/A</v>
      </c>
      <c r="M3033" s="9" t="e">
        <f t="shared" ca="1" si="62"/>
        <v>#VALUE!</v>
      </c>
      <c r="N3033" s="10" t="e">
        <f t="shared" ca="1" si="63"/>
        <v>#VALUE!</v>
      </c>
      <c r="O3033" s="7" t="str">
        <f ca="1">IFERROR(__xludf.DUMMYFUNCTION("GOOGLEFINANCE(""NSE:""&amp;D3033,""pe"")"),"#N/A")</f>
        <v>#N/A</v>
      </c>
      <c r="P3033" s="7" t="str">
        <f ca="1">IFERROR(__xludf.DUMMYFUNCTION("GOOGLEFINANCE(""NSE:""&amp;D3033,""EPS"")"),"#N/A")</f>
        <v>#N/A</v>
      </c>
      <c r="Q3033" s="7">
        <v>13.5</v>
      </c>
      <c r="R3033" s="7" t="str">
        <f ca="1">IFERROR(__xludf.DUMMYFUNCTION("IMPORTXML(E3033,""/html/body/main/div[3]/div[3]/div[2]/ul/li[7]/span[2]/span"")"),"Loading...")</f>
        <v>Loading...</v>
      </c>
      <c r="S3033" s="7" t="str">
        <f ca="1">IFERROR(__xludf.DUMMYFUNCTION("IMPORTXML(E3033,""/html/body/main/div[3]/div[3]/div[2]/ul/li[8]/span[2]/span"")"),"Loading...")</f>
        <v>Loading...</v>
      </c>
      <c r="T3033" s="4">
        <v>34.6</v>
      </c>
      <c r="U3033" s="4">
        <v>22.7</v>
      </c>
      <c r="V3033" s="4">
        <v>2.6</v>
      </c>
      <c r="W3033" s="4">
        <v>5.7</v>
      </c>
      <c r="X3033" s="4">
        <v>519.92999999999995</v>
      </c>
      <c r="Y3033" s="7" t="e">
        <f t="shared" ca="1" si="64"/>
        <v>#VALUE!</v>
      </c>
    </row>
    <row r="3034" spans="1:25" ht="15" x14ac:dyDescent="0.25">
      <c r="A3034" s="4">
        <v>3009</v>
      </c>
      <c r="C3034" s="41" t="s">
        <v>5351</v>
      </c>
      <c r="D3034" s="42"/>
      <c r="E3034" s="5" t="str">
        <f t="shared" si="60"/>
        <v>https://www.screener.in/company//consolidated/</v>
      </c>
      <c r="F3034" s="4">
        <v>443059</v>
      </c>
      <c r="G3034" s="4">
        <v>3832241897</v>
      </c>
      <c r="H3034" s="6" t="e">
        <f t="shared" ca="1" si="61"/>
        <v>#VALUE!</v>
      </c>
      <c r="I3034" s="7" t="str">
        <f ca="1">IFERROR(__xludf.DUMMYFUNCTION("IMPORTXML(E3034,""/html/body/main/div[3]/div[3]/div[2]/ul/li[5]/span[2]/span"")"),"Loading...")</f>
        <v>Loading...</v>
      </c>
      <c r="J3034" s="7" t="str">
        <f ca="1">IFERROR(__xludf.DUMMYFUNCTION("GOOGLEFINANCE(""NSE:""&amp;D3034,""marketcap"")"),"#N/A")</f>
        <v>#N/A</v>
      </c>
      <c r="K3034" s="7">
        <v>992.8</v>
      </c>
      <c r="L3034" s="8" t="str">
        <f ca="1">IFERROR(__xludf.DUMMYFUNCTION("GOOGLEFINANCE(""NSE:""&amp;D3034,""price"")"),"#N/A")</f>
        <v>#N/A</v>
      </c>
      <c r="M3034" s="9" t="e">
        <f t="shared" ca="1" si="62"/>
        <v>#VALUE!</v>
      </c>
      <c r="N3034" s="10" t="e">
        <f t="shared" ca="1" si="63"/>
        <v>#VALUE!</v>
      </c>
      <c r="O3034" s="7" t="str">
        <f ca="1">IFERROR(__xludf.DUMMYFUNCTION("GOOGLEFINANCE(""NSE:""&amp;D3034,""pe"")"),"#N/A")</f>
        <v>#N/A</v>
      </c>
      <c r="P3034" s="7" t="str">
        <f ca="1">IFERROR(__xludf.DUMMYFUNCTION("GOOGLEFINANCE(""NSE:""&amp;D3034,""EPS"")"),"#N/A")</f>
        <v>#N/A</v>
      </c>
      <c r="Q3034" s="7">
        <v>13.5</v>
      </c>
      <c r="R3034" s="7" t="str">
        <f ca="1">IFERROR(__xludf.DUMMYFUNCTION("IMPORTXML(E3034,""/html/body/main/div[3]/div[3]/div[2]/ul/li[7]/span[2]/span"")"),"Loading...")</f>
        <v>Loading...</v>
      </c>
      <c r="S3034" s="7" t="str">
        <f ca="1">IFERROR(__xludf.DUMMYFUNCTION("IMPORTXML(E3034,""/html/body/main/div[3]/div[3]/div[2]/ul/li[8]/span[2]/span"")"),"Loading...")</f>
        <v>Loading...</v>
      </c>
      <c r="T3034" s="4">
        <v>34.6</v>
      </c>
      <c r="U3034" s="4">
        <v>22.7</v>
      </c>
      <c r="V3034" s="4">
        <v>2.6</v>
      </c>
      <c r="W3034" s="4">
        <v>5.7</v>
      </c>
      <c r="X3034" s="4">
        <v>519.92999999999995</v>
      </c>
      <c r="Y3034" s="7" t="e">
        <f t="shared" ca="1" si="64"/>
        <v>#VALUE!</v>
      </c>
    </row>
    <row r="3035" spans="1:25" ht="15" x14ac:dyDescent="0.25">
      <c r="A3035" s="4">
        <v>3010</v>
      </c>
      <c r="C3035" s="41" t="s">
        <v>5352</v>
      </c>
      <c r="D3035" s="42"/>
      <c r="E3035" s="5" t="str">
        <f t="shared" si="60"/>
        <v>https://www.screener.in/company//consolidated/</v>
      </c>
      <c r="F3035" s="4">
        <v>443059</v>
      </c>
      <c r="G3035" s="4">
        <v>3832241897</v>
      </c>
      <c r="H3035" s="6" t="e">
        <f t="shared" ca="1" si="61"/>
        <v>#VALUE!</v>
      </c>
      <c r="I3035" s="7" t="str">
        <f ca="1">IFERROR(__xludf.DUMMYFUNCTION("IMPORTXML(E3035,""/html/body/main/div[3]/div[3]/div[2]/ul/li[5]/span[2]/span"")"),"Loading...")</f>
        <v>Loading...</v>
      </c>
      <c r="J3035" s="7" t="str">
        <f ca="1">IFERROR(__xludf.DUMMYFUNCTION("GOOGLEFINANCE(""NSE:""&amp;D3035,""marketcap"")"),"#N/A")</f>
        <v>#N/A</v>
      </c>
      <c r="K3035" s="7">
        <v>992.8</v>
      </c>
      <c r="L3035" s="8" t="str">
        <f ca="1">IFERROR(__xludf.DUMMYFUNCTION("GOOGLEFINANCE(""NSE:""&amp;D3035,""price"")"),"#N/A")</f>
        <v>#N/A</v>
      </c>
      <c r="M3035" s="9" t="e">
        <f t="shared" ca="1" si="62"/>
        <v>#VALUE!</v>
      </c>
      <c r="N3035" s="10" t="e">
        <f t="shared" ca="1" si="63"/>
        <v>#VALUE!</v>
      </c>
      <c r="O3035" s="7" t="str">
        <f ca="1">IFERROR(__xludf.DUMMYFUNCTION("GOOGLEFINANCE(""NSE:""&amp;D3035,""pe"")"),"#N/A")</f>
        <v>#N/A</v>
      </c>
      <c r="P3035" s="7" t="str">
        <f ca="1">IFERROR(__xludf.DUMMYFUNCTION("GOOGLEFINANCE(""NSE:""&amp;D3035,""EPS"")"),"#N/A")</f>
        <v>#N/A</v>
      </c>
      <c r="Q3035" s="7">
        <v>13.5</v>
      </c>
      <c r="R3035" s="7" t="str">
        <f ca="1">IFERROR(__xludf.DUMMYFUNCTION("IMPORTXML(E3035,""/html/body/main/div[3]/div[3]/div[2]/ul/li[7]/span[2]/span"")"),"Loading...")</f>
        <v>Loading...</v>
      </c>
      <c r="S3035" s="7" t="str">
        <f ca="1">IFERROR(__xludf.DUMMYFUNCTION("IMPORTXML(E3035,""/html/body/main/div[3]/div[3]/div[2]/ul/li[8]/span[2]/span"")"),"Loading...")</f>
        <v>Loading...</v>
      </c>
      <c r="T3035" s="4">
        <v>34.6</v>
      </c>
      <c r="U3035" s="4">
        <v>22.7</v>
      </c>
      <c r="V3035" s="4">
        <v>2.6</v>
      </c>
      <c r="W3035" s="4">
        <v>5.7</v>
      </c>
      <c r="X3035" s="4">
        <v>519.92999999999995</v>
      </c>
      <c r="Y3035" s="7" t="e">
        <f t="shared" ca="1" si="64"/>
        <v>#VALUE!</v>
      </c>
    </row>
    <row r="3036" spans="1:25" ht="15" x14ac:dyDescent="0.25">
      <c r="A3036" s="4">
        <v>3012</v>
      </c>
      <c r="C3036" s="41" t="s">
        <v>5353</v>
      </c>
      <c r="D3036" s="42"/>
      <c r="E3036" s="5" t="str">
        <f t="shared" si="60"/>
        <v>https://www.screener.in/company//consolidated/</v>
      </c>
      <c r="F3036" s="4">
        <v>443059</v>
      </c>
      <c r="G3036" s="4">
        <v>3832241897</v>
      </c>
      <c r="H3036" s="6" t="e">
        <f t="shared" ca="1" si="61"/>
        <v>#VALUE!</v>
      </c>
      <c r="I3036" s="7" t="str">
        <f ca="1">IFERROR(__xludf.DUMMYFUNCTION("IMPORTXML(E3036,""/html/body/main/div[3]/div[3]/div[2]/ul/li[5]/span[2]/span"")"),"Loading...")</f>
        <v>Loading...</v>
      </c>
      <c r="J3036" s="7" t="str">
        <f ca="1">IFERROR(__xludf.DUMMYFUNCTION("GOOGLEFINANCE(""NSE:""&amp;D3036,""marketcap"")"),"#N/A")</f>
        <v>#N/A</v>
      </c>
      <c r="K3036" s="7">
        <v>992.8</v>
      </c>
      <c r="L3036" s="8" t="str">
        <f ca="1">IFERROR(__xludf.DUMMYFUNCTION("GOOGLEFINANCE(""NSE:""&amp;D3036,""price"")"),"#N/A")</f>
        <v>#N/A</v>
      </c>
      <c r="M3036" s="9" t="e">
        <f t="shared" ca="1" si="62"/>
        <v>#VALUE!</v>
      </c>
      <c r="N3036" s="10" t="e">
        <f t="shared" ca="1" si="63"/>
        <v>#VALUE!</v>
      </c>
      <c r="O3036" s="7" t="str">
        <f ca="1">IFERROR(__xludf.DUMMYFUNCTION("GOOGLEFINANCE(""NSE:""&amp;D3036,""pe"")"),"#N/A")</f>
        <v>#N/A</v>
      </c>
      <c r="P3036" s="7" t="str">
        <f ca="1">IFERROR(__xludf.DUMMYFUNCTION("GOOGLEFINANCE(""NSE:""&amp;D3036,""EPS"")"),"#N/A")</f>
        <v>#N/A</v>
      </c>
      <c r="Q3036" s="7">
        <v>13.5</v>
      </c>
      <c r="R3036" s="7" t="str">
        <f ca="1">IFERROR(__xludf.DUMMYFUNCTION("IMPORTXML(E3036,""/html/body/main/div[3]/div[3]/div[2]/ul/li[7]/span[2]/span"")"),"Loading...")</f>
        <v>Loading...</v>
      </c>
      <c r="S3036" s="7" t="str">
        <f ca="1">IFERROR(__xludf.DUMMYFUNCTION("IMPORTXML(E3036,""/html/body/main/div[3]/div[3]/div[2]/ul/li[8]/span[2]/span"")"),"Loading...")</f>
        <v>Loading...</v>
      </c>
      <c r="T3036" s="4">
        <v>34.6</v>
      </c>
      <c r="U3036" s="4">
        <v>22.7</v>
      </c>
      <c r="V3036" s="4">
        <v>2.6</v>
      </c>
      <c r="W3036" s="4">
        <v>5.7</v>
      </c>
      <c r="X3036" s="4">
        <v>519.92999999999995</v>
      </c>
      <c r="Y3036" s="7" t="e">
        <f t="shared" ca="1" si="64"/>
        <v>#VALUE!</v>
      </c>
    </row>
    <row r="3037" spans="1:25" ht="15" x14ac:dyDescent="0.25">
      <c r="A3037" s="4">
        <v>3013</v>
      </c>
      <c r="C3037" s="41" t="s">
        <v>5354</v>
      </c>
      <c r="D3037" s="42"/>
      <c r="E3037" s="5" t="str">
        <f t="shared" si="60"/>
        <v>https://www.screener.in/company//consolidated/</v>
      </c>
      <c r="F3037" s="4">
        <v>443059</v>
      </c>
      <c r="G3037" s="4">
        <v>3832241897</v>
      </c>
      <c r="H3037" s="6" t="e">
        <f t="shared" ca="1" si="61"/>
        <v>#VALUE!</v>
      </c>
      <c r="I3037" s="7" t="str">
        <f ca="1">IFERROR(__xludf.DUMMYFUNCTION("IMPORTXML(E3037,""/html/body/main/div[3]/div[3]/div[2]/ul/li[5]/span[2]/span"")"),"Loading...")</f>
        <v>Loading...</v>
      </c>
      <c r="J3037" s="7" t="str">
        <f ca="1">IFERROR(__xludf.DUMMYFUNCTION("GOOGLEFINANCE(""NSE:""&amp;D3037,""marketcap"")"),"#N/A")</f>
        <v>#N/A</v>
      </c>
      <c r="K3037" s="7">
        <v>992.8</v>
      </c>
      <c r="L3037" s="8" t="str">
        <f ca="1">IFERROR(__xludf.DUMMYFUNCTION("GOOGLEFINANCE(""NSE:""&amp;D3037,""price"")"),"#N/A")</f>
        <v>#N/A</v>
      </c>
      <c r="M3037" s="9" t="e">
        <f t="shared" ca="1" si="62"/>
        <v>#VALUE!</v>
      </c>
      <c r="N3037" s="10" t="e">
        <f t="shared" ca="1" si="63"/>
        <v>#VALUE!</v>
      </c>
      <c r="O3037" s="7" t="str">
        <f ca="1">IFERROR(__xludf.DUMMYFUNCTION("GOOGLEFINANCE(""NSE:""&amp;D3037,""pe"")"),"#N/A")</f>
        <v>#N/A</v>
      </c>
      <c r="P3037" s="7" t="str">
        <f ca="1">IFERROR(__xludf.DUMMYFUNCTION("GOOGLEFINANCE(""NSE:""&amp;D3037,""EPS"")"),"#N/A")</f>
        <v>#N/A</v>
      </c>
      <c r="Q3037" s="7">
        <v>13.5</v>
      </c>
      <c r="R3037" s="7" t="str">
        <f ca="1">IFERROR(__xludf.DUMMYFUNCTION("IMPORTXML(E3037,""/html/body/main/div[3]/div[3]/div[2]/ul/li[7]/span[2]/span"")"),"Loading...")</f>
        <v>Loading...</v>
      </c>
      <c r="S3037" s="7" t="str">
        <f ca="1">IFERROR(__xludf.DUMMYFUNCTION("IMPORTXML(E3037,""/html/body/main/div[3]/div[3]/div[2]/ul/li[8]/span[2]/span"")"),"Loading...")</f>
        <v>Loading...</v>
      </c>
      <c r="T3037" s="4">
        <v>34.6</v>
      </c>
      <c r="U3037" s="4">
        <v>22.7</v>
      </c>
      <c r="V3037" s="4">
        <v>2.6</v>
      </c>
      <c r="W3037" s="4">
        <v>5.7</v>
      </c>
      <c r="X3037" s="4">
        <v>519.92999999999995</v>
      </c>
      <c r="Y3037" s="7" t="e">
        <f t="shared" ca="1" si="64"/>
        <v>#VALUE!</v>
      </c>
    </row>
    <row r="3038" spans="1:25" ht="15" x14ac:dyDescent="0.25">
      <c r="A3038" s="4">
        <v>3014</v>
      </c>
      <c r="C3038" s="41" t="s">
        <v>5355</v>
      </c>
      <c r="D3038" s="42"/>
      <c r="E3038" s="5" t="str">
        <f t="shared" si="60"/>
        <v>https://www.screener.in/company//consolidated/</v>
      </c>
      <c r="F3038" s="4">
        <v>443059</v>
      </c>
      <c r="G3038" s="4">
        <v>3832241897</v>
      </c>
      <c r="H3038" s="6" t="e">
        <f t="shared" ca="1" si="61"/>
        <v>#VALUE!</v>
      </c>
      <c r="I3038" s="7" t="str">
        <f ca="1">IFERROR(__xludf.DUMMYFUNCTION("IMPORTXML(E3038,""/html/body/main/div[3]/div[3]/div[2]/ul/li[5]/span[2]/span"")"),"Loading...")</f>
        <v>Loading...</v>
      </c>
      <c r="J3038" s="7" t="str">
        <f ca="1">IFERROR(__xludf.DUMMYFUNCTION("GOOGLEFINANCE(""NSE:""&amp;D3038,""marketcap"")"),"#N/A")</f>
        <v>#N/A</v>
      </c>
      <c r="K3038" s="7">
        <v>992.8</v>
      </c>
      <c r="L3038" s="8" t="str">
        <f ca="1">IFERROR(__xludf.DUMMYFUNCTION("GOOGLEFINANCE(""NSE:""&amp;D3038,""price"")"),"#N/A")</f>
        <v>#N/A</v>
      </c>
      <c r="M3038" s="9" t="e">
        <f t="shared" ca="1" si="62"/>
        <v>#VALUE!</v>
      </c>
      <c r="N3038" s="10" t="e">
        <f t="shared" ca="1" si="63"/>
        <v>#VALUE!</v>
      </c>
      <c r="O3038" s="7" t="str">
        <f ca="1">IFERROR(__xludf.DUMMYFUNCTION("GOOGLEFINANCE(""NSE:""&amp;D3038,""pe"")"),"#N/A")</f>
        <v>#N/A</v>
      </c>
      <c r="P3038" s="7" t="str">
        <f ca="1">IFERROR(__xludf.DUMMYFUNCTION("GOOGLEFINANCE(""NSE:""&amp;D3038,""EPS"")"),"#N/A")</f>
        <v>#N/A</v>
      </c>
      <c r="Q3038" s="7">
        <v>13.5</v>
      </c>
      <c r="R3038" s="7" t="str">
        <f ca="1">IFERROR(__xludf.DUMMYFUNCTION("IMPORTXML(E3038,""/html/body/main/div[3]/div[3]/div[2]/ul/li[7]/span[2]/span"")"),"Loading...")</f>
        <v>Loading...</v>
      </c>
      <c r="S3038" s="7" t="str">
        <f ca="1">IFERROR(__xludf.DUMMYFUNCTION("IMPORTXML(E3038,""/html/body/main/div[3]/div[3]/div[2]/ul/li[8]/span[2]/span"")"),"Loading...")</f>
        <v>Loading...</v>
      </c>
      <c r="T3038" s="4">
        <v>34.6</v>
      </c>
      <c r="U3038" s="4">
        <v>22.7</v>
      </c>
      <c r="V3038" s="4">
        <v>2.6</v>
      </c>
      <c r="W3038" s="4">
        <v>5.7</v>
      </c>
      <c r="X3038" s="4">
        <v>519.92999999999995</v>
      </c>
      <c r="Y3038" s="7" t="e">
        <f t="shared" ca="1" si="64"/>
        <v>#VALUE!</v>
      </c>
    </row>
    <row r="3039" spans="1:25" ht="15" x14ac:dyDescent="0.25">
      <c r="A3039" s="4">
        <v>3015</v>
      </c>
      <c r="C3039" s="41" t="s">
        <v>5356</v>
      </c>
      <c r="D3039" s="42"/>
      <c r="E3039" s="5" t="str">
        <f t="shared" si="60"/>
        <v>https://www.screener.in/company//consolidated/</v>
      </c>
      <c r="F3039" s="4">
        <v>443059</v>
      </c>
      <c r="G3039" s="4">
        <v>3832241897</v>
      </c>
      <c r="H3039" s="6" t="e">
        <f t="shared" ca="1" si="61"/>
        <v>#VALUE!</v>
      </c>
      <c r="I3039" s="7" t="str">
        <f ca="1">IFERROR(__xludf.DUMMYFUNCTION("IMPORTXML(E3039,""/html/body/main/div[3]/div[3]/div[2]/ul/li[5]/span[2]/span"")"),"Loading...")</f>
        <v>Loading...</v>
      </c>
      <c r="J3039" s="7" t="str">
        <f ca="1">IFERROR(__xludf.DUMMYFUNCTION("GOOGLEFINANCE(""NSE:""&amp;D3039,""marketcap"")"),"#N/A")</f>
        <v>#N/A</v>
      </c>
      <c r="K3039" s="7">
        <v>992.8</v>
      </c>
      <c r="L3039" s="8" t="str">
        <f ca="1">IFERROR(__xludf.DUMMYFUNCTION("GOOGLEFINANCE(""NSE:""&amp;D3039,""price"")"),"#N/A")</f>
        <v>#N/A</v>
      </c>
      <c r="M3039" s="9" t="e">
        <f t="shared" ca="1" si="62"/>
        <v>#VALUE!</v>
      </c>
      <c r="N3039" s="10" t="e">
        <f t="shared" ca="1" si="63"/>
        <v>#VALUE!</v>
      </c>
      <c r="O3039" s="7" t="str">
        <f ca="1">IFERROR(__xludf.DUMMYFUNCTION("GOOGLEFINANCE(""NSE:""&amp;D3039,""pe"")"),"#N/A")</f>
        <v>#N/A</v>
      </c>
      <c r="P3039" s="7" t="str">
        <f ca="1">IFERROR(__xludf.DUMMYFUNCTION("GOOGLEFINANCE(""NSE:""&amp;D3039,""EPS"")"),"#N/A")</f>
        <v>#N/A</v>
      </c>
      <c r="Q3039" s="7">
        <v>13.5</v>
      </c>
      <c r="R3039" s="7" t="str">
        <f ca="1">IFERROR(__xludf.DUMMYFUNCTION("IMPORTXML(E3039,""/html/body/main/div[3]/div[3]/div[2]/ul/li[7]/span[2]/span"")"),"Loading...")</f>
        <v>Loading...</v>
      </c>
      <c r="S3039" s="7" t="str">
        <f ca="1">IFERROR(__xludf.DUMMYFUNCTION("IMPORTXML(E3039,""/html/body/main/div[3]/div[3]/div[2]/ul/li[8]/span[2]/span"")"),"Loading...")</f>
        <v>Loading...</v>
      </c>
      <c r="T3039" s="4">
        <v>34.6</v>
      </c>
      <c r="U3039" s="4">
        <v>22.7</v>
      </c>
      <c r="V3039" s="4">
        <v>2.6</v>
      </c>
      <c r="W3039" s="4">
        <v>5.7</v>
      </c>
      <c r="X3039" s="4">
        <v>519.92999999999995</v>
      </c>
      <c r="Y3039" s="7" t="e">
        <f t="shared" ca="1" si="64"/>
        <v>#VALUE!</v>
      </c>
    </row>
    <row r="3040" spans="1:25" ht="15" x14ac:dyDescent="0.25">
      <c r="A3040" s="4">
        <v>3016</v>
      </c>
      <c r="C3040" s="41" t="s">
        <v>5357</v>
      </c>
      <c r="D3040" s="42"/>
      <c r="E3040" s="5" t="str">
        <f t="shared" si="60"/>
        <v>https://www.screener.in/company//consolidated/</v>
      </c>
      <c r="F3040" s="4">
        <v>443059</v>
      </c>
      <c r="G3040" s="4">
        <v>3832241897</v>
      </c>
      <c r="H3040" s="6" t="e">
        <f t="shared" ca="1" si="61"/>
        <v>#VALUE!</v>
      </c>
      <c r="I3040" s="7" t="str">
        <f ca="1">IFERROR(__xludf.DUMMYFUNCTION("IMPORTXML(E3040,""/html/body/main/div[3]/div[3]/div[2]/ul/li[5]/span[2]/span"")"),"Loading...")</f>
        <v>Loading...</v>
      </c>
      <c r="J3040" s="7" t="str">
        <f ca="1">IFERROR(__xludf.DUMMYFUNCTION("GOOGLEFINANCE(""NSE:""&amp;D3040,""marketcap"")"),"#N/A")</f>
        <v>#N/A</v>
      </c>
      <c r="K3040" s="7">
        <v>992.8</v>
      </c>
      <c r="L3040" s="8" t="str">
        <f ca="1">IFERROR(__xludf.DUMMYFUNCTION("GOOGLEFINANCE(""NSE:""&amp;D3040,""price"")"),"#N/A")</f>
        <v>#N/A</v>
      </c>
      <c r="M3040" s="9" t="e">
        <f t="shared" ca="1" si="62"/>
        <v>#VALUE!</v>
      </c>
      <c r="N3040" s="10" t="e">
        <f t="shared" ca="1" si="63"/>
        <v>#VALUE!</v>
      </c>
      <c r="O3040" s="7" t="str">
        <f ca="1">IFERROR(__xludf.DUMMYFUNCTION("GOOGLEFINANCE(""NSE:""&amp;D3040,""pe"")"),"#N/A")</f>
        <v>#N/A</v>
      </c>
      <c r="P3040" s="7" t="str">
        <f ca="1">IFERROR(__xludf.DUMMYFUNCTION("GOOGLEFINANCE(""NSE:""&amp;D3040,""EPS"")"),"#N/A")</f>
        <v>#N/A</v>
      </c>
      <c r="Q3040" s="7">
        <v>13.5</v>
      </c>
      <c r="R3040" s="7" t="str">
        <f ca="1">IFERROR(__xludf.DUMMYFUNCTION("IMPORTXML(E3040,""/html/body/main/div[3]/div[3]/div[2]/ul/li[7]/span[2]/span"")"),"Loading...")</f>
        <v>Loading...</v>
      </c>
      <c r="S3040" s="7" t="str">
        <f ca="1">IFERROR(__xludf.DUMMYFUNCTION("IMPORTXML(E3040,""/html/body/main/div[3]/div[3]/div[2]/ul/li[8]/span[2]/span"")"),"Loading...")</f>
        <v>Loading...</v>
      </c>
      <c r="T3040" s="4">
        <v>34.6</v>
      </c>
      <c r="U3040" s="4">
        <v>22.7</v>
      </c>
      <c r="V3040" s="4">
        <v>2.6</v>
      </c>
      <c r="W3040" s="4">
        <v>5.7</v>
      </c>
      <c r="X3040" s="4">
        <v>519.92999999999995</v>
      </c>
      <c r="Y3040" s="7" t="e">
        <f t="shared" ca="1" si="64"/>
        <v>#VALUE!</v>
      </c>
    </row>
    <row r="3041" spans="1:25" ht="15" x14ac:dyDescent="0.25">
      <c r="A3041" s="4">
        <v>3018</v>
      </c>
      <c r="C3041" s="41" t="s">
        <v>5358</v>
      </c>
      <c r="D3041" s="42"/>
      <c r="E3041" s="5" t="str">
        <f t="shared" si="60"/>
        <v>https://www.screener.in/company//consolidated/</v>
      </c>
      <c r="F3041" s="4">
        <v>443059</v>
      </c>
      <c r="G3041" s="4">
        <v>3832241897</v>
      </c>
      <c r="H3041" s="6" t="e">
        <f t="shared" ca="1" si="61"/>
        <v>#VALUE!</v>
      </c>
      <c r="I3041" s="7" t="str">
        <f ca="1">IFERROR(__xludf.DUMMYFUNCTION("IMPORTXML(E3041,""/html/body/main/div[3]/div[3]/div[2]/ul/li[5]/span[2]/span"")"),"Loading...")</f>
        <v>Loading...</v>
      </c>
      <c r="J3041" s="7" t="str">
        <f ca="1">IFERROR(__xludf.DUMMYFUNCTION("GOOGLEFINANCE(""NSE:""&amp;D3041,""marketcap"")"),"#N/A")</f>
        <v>#N/A</v>
      </c>
      <c r="K3041" s="7">
        <v>992.8</v>
      </c>
      <c r="L3041" s="8" t="str">
        <f ca="1">IFERROR(__xludf.DUMMYFUNCTION("GOOGLEFINANCE(""NSE:""&amp;D3041,""price"")"),"#N/A")</f>
        <v>#N/A</v>
      </c>
      <c r="M3041" s="9" t="e">
        <f t="shared" ca="1" si="62"/>
        <v>#VALUE!</v>
      </c>
      <c r="N3041" s="10" t="e">
        <f t="shared" ca="1" si="63"/>
        <v>#VALUE!</v>
      </c>
      <c r="O3041" s="7" t="str">
        <f ca="1">IFERROR(__xludf.DUMMYFUNCTION("GOOGLEFINANCE(""NSE:""&amp;D3041,""pe"")"),"#N/A")</f>
        <v>#N/A</v>
      </c>
      <c r="P3041" s="7" t="str">
        <f ca="1">IFERROR(__xludf.DUMMYFUNCTION("GOOGLEFINANCE(""NSE:""&amp;D3041,""EPS"")"),"#N/A")</f>
        <v>#N/A</v>
      </c>
      <c r="Q3041" s="7">
        <v>13.5</v>
      </c>
      <c r="R3041" s="7" t="str">
        <f ca="1">IFERROR(__xludf.DUMMYFUNCTION("IMPORTXML(E3041,""/html/body/main/div[3]/div[3]/div[2]/ul/li[7]/span[2]/span"")"),"Loading...")</f>
        <v>Loading...</v>
      </c>
      <c r="S3041" s="7" t="str">
        <f ca="1">IFERROR(__xludf.DUMMYFUNCTION("IMPORTXML(E3041,""/html/body/main/div[3]/div[3]/div[2]/ul/li[8]/span[2]/span"")"),"Loading...")</f>
        <v>Loading...</v>
      </c>
      <c r="T3041" s="4">
        <v>34.6</v>
      </c>
      <c r="U3041" s="4">
        <v>22.7</v>
      </c>
      <c r="V3041" s="4">
        <v>2.6</v>
      </c>
      <c r="W3041" s="4">
        <v>5.7</v>
      </c>
      <c r="X3041" s="4">
        <v>519.92999999999995</v>
      </c>
      <c r="Y3041" s="7" t="e">
        <f t="shared" ca="1" si="64"/>
        <v>#VALUE!</v>
      </c>
    </row>
    <row r="3042" spans="1:25" ht="15" x14ac:dyDescent="0.25">
      <c r="A3042" s="4">
        <v>3019</v>
      </c>
      <c r="C3042" s="41" t="s">
        <v>5359</v>
      </c>
      <c r="D3042" s="42"/>
      <c r="E3042" s="5" t="str">
        <f t="shared" si="60"/>
        <v>https://www.screener.in/company//consolidated/</v>
      </c>
      <c r="F3042" s="4">
        <v>443059</v>
      </c>
      <c r="G3042" s="4">
        <v>3832241897</v>
      </c>
      <c r="H3042" s="6" t="e">
        <f t="shared" ca="1" si="61"/>
        <v>#VALUE!</v>
      </c>
      <c r="I3042" s="7" t="str">
        <f ca="1">IFERROR(__xludf.DUMMYFUNCTION("IMPORTXML(E3042,""/html/body/main/div[3]/div[3]/div[2]/ul/li[5]/span[2]/span"")"),"Loading...")</f>
        <v>Loading...</v>
      </c>
      <c r="J3042" s="7" t="str">
        <f ca="1">IFERROR(__xludf.DUMMYFUNCTION("GOOGLEFINANCE(""NSE:""&amp;D3042,""marketcap"")"),"#N/A")</f>
        <v>#N/A</v>
      </c>
      <c r="K3042" s="7">
        <v>992.8</v>
      </c>
      <c r="L3042" s="8" t="str">
        <f ca="1">IFERROR(__xludf.DUMMYFUNCTION("GOOGLEFINANCE(""NSE:""&amp;D3042,""price"")"),"#N/A")</f>
        <v>#N/A</v>
      </c>
      <c r="M3042" s="9" t="e">
        <f t="shared" ca="1" si="62"/>
        <v>#VALUE!</v>
      </c>
      <c r="N3042" s="10" t="e">
        <f t="shared" ca="1" si="63"/>
        <v>#VALUE!</v>
      </c>
      <c r="O3042" s="7" t="str">
        <f ca="1">IFERROR(__xludf.DUMMYFUNCTION("GOOGLEFINANCE(""NSE:""&amp;D3042,""pe"")"),"#N/A")</f>
        <v>#N/A</v>
      </c>
      <c r="P3042" s="7" t="str">
        <f ca="1">IFERROR(__xludf.DUMMYFUNCTION("GOOGLEFINANCE(""NSE:""&amp;D3042,""EPS"")"),"#N/A")</f>
        <v>#N/A</v>
      </c>
      <c r="Q3042" s="7">
        <v>13.5</v>
      </c>
      <c r="R3042" s="7" t="str">
        <f ca="1">IFERROR(__xludf.DUMMYFUNCTION("IMPORTXML(E3042,""/html/body/main/div[3]/div[3]/div[2]/ul/li[7]/span[2]/span"")"),"Loading...")</f>
        <v>Loading...</v>
      </c>
      <c r="S3042" s="7" t="str">
        <f ca="1">IFERROR(__xludf.DUMMYFUNCTION("IMPORTXML(E3042,""/html/body/main/div[3]/div[3]/div[2]/ul/li[8]/span[2]/span"")"),"Loading...")</f>
        <v>Loading...</v>
      </c>
      <c r="T3042" s="4">
        <v>34.6</v>
      </c>
      <c r="U3042" s="4">
        <v>22.7</v>
      </c>
      <c r="V3042" s="4">
        <v>2.6</v>
      </c>
      <c r="W3042" s="4">
        <v>5.7</v>
      </c>
      <c r="X3042" s="4">
        <v>519.92999999999995</v>
      </c>
      <c r="Y3042" s="7" t="e">
        <f t="shared" ca="1" si="64"/>
        <v>#VALUE!</v>
      </c>
    </row>
    <row r="3043" spans="1:25" ht="15" x14ac:dyDescent="0.25">
      <c r="A3043" s="4">
        <v>3020</v>
      </c>
      <c r="C3043" s="41" t="s">
        <v>5360</v>
      </c>
      <c r="D3043" s="42"/>
      <c r="E3043" s="5" t="str">
        <f t="shared" si="60"/>
        <v>https://www.screener.in/company//consolidated/</v>
      </c>
      <c r="F3043" s="4">
        <v>443059</v>
      </c>
      <c r="G3043" s="4">
        <v>3832241897</v>
      </c>
      <c r="H3043" s="6" t="e">
        <f t="shared" ca="1" si="61"/>
        <v>#VALUE!</v>
      </c>
      <c r="I3043" s="7" t="str">
        <f ca="1">IFERROR(__xludf.DUMMYFUNCTION("IMPORTXML(E3043,""/html/body/main/div[3]/div[3]/div[2]/ul/li[5]/span[2]/span"")"),"Loading...")</f>
        <v>Loading...</v>
      </c>
      <c r="J3043" s="7" t="str">
        <f ca="1">IFERROR(__xludf.DUMMYFUNCTION("GOOGLEFINANCE(""NSE:""&amp;D3043,""marketcap"")"),"#N/A")</f>
        <v>#N/A</v>
      </c>
      <c r="K3043" s="7">
        <v>992.8</v>
      </c>
      <c r="L3043" s="8" t="str">
        <f ca="1">IFERROR(__xludf.DUMMYFUNCTION("GOOGLEFINANCE(""NSE:""&amp;D3043,""price"")"),"#N/A")</f>
        <v>#N/A</v>
      </c>
      <c r="M3043" s="9" t="e">
        <f t="shared" ca="1" si="62"/>
        <v>#VALUE!</v>
      </c>
      <c r="N3043" s="10" t="e">
        <f t="shared" ca="1" si="63"/>
        <v>#VALUE!</v>
      </c>
      <c r="O3043" s="7" t="str">
        <f ca="1">IFERROR(__xludf.DUMMYFUNCTION("GOOGLEFINANCE(""NSE:""&amp;D3043,""pe"")"),"#N/A")</f>
        <v>#N/A</v>
      </c>
      <c r="P3043" s="7" t="str">
        <f ca="1">IFERROR(__xludf.DUMMYFUNCTION("GOOGLEFINANCE(""NSE:""&amp;D3043,""EPS"")"),"#N/A")</f>
        <v>#N/A</v>
      </c>
      <c r="Q3043" s="7">
        <v>13.5</v>
      </c>
      <c r="R3043" s="7" t="str">
        <f ca="1">IFERROR(__xludf.DUMMYFUNCTION("IMPORTXML(E3043,""/html/body/main/div[3]/div[3]/div[2]/ul/li[7]/span[2]/span"")"),"Loading...")</f>
        <v>Loading...</v>
      </c>
      <c r="S3043" s="7" t="str">
        <f ca="1">IFERROR(__xludf.DUMMYFUNCTION("IMPORTXML(E3043,""/html/body/main/div[3]/div[3]/div[2]/ul/li[8]/span[2]/span"")"),"Loading...")</f>
        <v>Loading...</v>
      </c>
      <c r="T3043" s="4">
        <v>34.6</v>
      </c>
      <c r="U3043" s="4">
        <v>22.7</v>
      </c>
      <c r="V3043" s="4">
        <v>2.6</v>
      </c>
      <c r="W3043" s="4">
        <v>5.7</v>
      </c>
      <c r="X3043" s="4">
        <v>519.92999999999995</v>
      </c>
      <c r="Y3043" s="7" t="e">
        <f t="shared" ca="1" si="64"/>
        <v>#VALUE!</v>
      </c>
    </row>
    <row r="3044" spans="1:25" ht="15" x14ac:dyDescent="0.25">
      <c r="A3044" s="4">
        <v>3022</v>
      </c>
      <c r="C3044" s="41" t="s">
        <v>5361</v>
      </c>
      <c r="D3044" s="42"/>
      <c r="E3044" s="5" t="str">
        <f t="shared" si="60"/>
        <v>https://www.screener.in/company//consolidated/</v>
      </c>
      <c r="F3044" s="4">
        <v>443059</v>
      </c>
      <c r="G3044" s="4">
        <v>3832241897</v>
      </c>
      <c r="H3044" s="6" t="e">
        <f t="shared" ca="1" si="61"/>
        <v>#VALUE!</v>
      </c>
      <c r="I3044" s="7" t="str">
        <f ca="1">IFERROR(__xludf.DUMMYFUNCTION("IMPORTXML(E3044,""/html/body/main/div[3]/div[3]/div[2]/ul/li[5]/span[2]/span"")"),"Loading...")</f>
        <v>Loading...</v>
      </c>
      <c r="J3044" s="7" t="str">
        <f ca="1">IFERROR(__xludf.DUMMYFUNCTION("GOOGLEFINANCE(""NSE:""&amp;D3044,""marketcap"")"),"#N/A")</f>
        <v>#N/A</v>
      </c>
      <c r="K3044" s="7">
        <v>992.8</v>
      </c>
      <c r="L3044" s="8" t="str">
        <f ca="1">IFERROR(__xludf.DUMMYFUNCTION("GOOGLEFINANCE(""NSE:""&amp;D3044,""price"")"),"#N/A")</f>
        <v>#N/A</v>
      </c>
      <c r="M3044" s="9" t="e">
        <f t="shared" ca="1" si="62"/>
        <v>#VALUE!</v>
      </c>
      <c r="N3044" s="10" t="e">
        <f t="shared" ca="1" si="63"/>
        <v>#VALUE!</v>
      </c>
      <c r="O3044" s="7" t="str">
        <f ca="1">IFERROR(__xludf.DUMMYFUNCTION("GOOGLEFINANCE(""NSE:""&amp;D3044,""pe"")"),"#N/A")</f>
        <v>#N/A</v>
      </c>
      <c r="P3044" s="7" t="str">
        <f ca="1">IFERROR(__xludf.DUMMYFUNCTION("GOOGLEFINANCE(""NSE:""&amp;D3044,""EPS"")"),"#N/A")</f>
        <v>#N/A</v>
      </c>
      <c r="Q3044" s="7">
        <v>13.5</v>
      </c>
      <c r="R3044" s="7" t="str">
        <f ca="1">IFERROR(__xludf.DUMMYFUNCTION("IMPORTXML(E3044,""/html/body/main/div[3]/div[3]/div[2]/ul/li[7]/span[2]/span"")"),"Loading...")</f>
        <v>Loading...</v>
      </c>
      <c r="S3044" s="7" t="str">
        <f ca="1">IFERROR(__xludf.DUMMYFUNCTION("IMPORTXML(E3044,""/html/body/main/div[3]/div[3]/div[2]/ul/li[8]/span[2]/span"")"),"Loading...")</f>
        <v>Loading...</v>
      </c>
      <c r="T3044" s="4">
        <v>34.6</v>
      </c>
      <c r="U3044" s="4">
        <v>22.7</v>
      </c>
      <c r="V3044" s="4">
        <v>2.6</v>
      </c>
      <c r="W3044" s="4">
        <v>5.7</v>
      </c>
      <c r="X3044" s="4">
        <v>519.92999999999995</v>
      </c>
      <c r="Y3044" s="7" t="e">
        <f t="shared" ca="1" si="64"/>
        <v>#VALUE!</v>
      </c>
    </row>
    <row r="3045" spans="1:25" ht="15" x14ac:dyDescent="0.25">
      <c r="A3045" s="4">
        <v>3023</v>
      </c>
      <c r="C3045" s="41" t="s">
        <v>5362</v>
      </c>
      <c r="D3045" s="42"/>
      <c r="E3045" s="5" t="str">
        <f t="shared" si="60"/>
        <v>https://www.screener.in/company//consolidated/</v>
      </c>
      <c r="F3045" s="4">
        <v>443059</v>
      </c>
      <c r="G3045" s="4">
        <v>3832241897</v>
      </c>
      <c r="H3045" s="6" t="e">
        <f t="shared" ca="1" si="61"/>
        <v>#VALUE!</v>
      </c>
      <c r="I3045" s="7" t="str">
        <f ca="1">IFERROR(__xludf.DUMMYFUNCTION("IMPORTXML(E3045,""/html/body/main/div[3]/div[3]/div[2]/ul/li[5]/span[2]/span"")"),"Loading...")</f>
        <v>Loading...</v>
      </c>
      <c r="J3045" s="7" t="str">
        <f ca="1">IFERROR(__xludf.DUMMYFUNCTION("GOOGLEFINANCE(""NSE:""&amp;D3045,""marketcap"")"),"#N/A")</f>
        <v>#N/A</v>
      </c>
      <c r="K3045" s="7">
        <v>992.8</v>
      </c>
      <c r="L3045" s="8" t="str">
        <f ca="1">IFERROR(__xludf.DUMMYFUNCTION("GOOGLEFINANCE(""NSE:""&amp;D3045,""price"")"),"#N/A")</f>
        <v>#N/A</v>
      </c>
      <c r="M3045" s="9" t="e">
        <f t="shared" ca="1" si="62"/>
        <v>#VALUE!</v>
      </c>
      <c r="N3045" s="10" t="e">
        <f t="shared" ca="1" si="63"/>
        <v>#VALUE!</v>
      </c>
      <c r="O3045" s="7" t="str">
        <f ca="1">IFERROR(__xludf.DUMMYFUNCTION("GOOGLEFINANCE(""NSE:""&amp;D3045,""pe"")"),"#N/A")</f>
        <v>#N/A</v>
      </c>
      <c r="P3045" s="7" t="str">
        <f ca="1">IFERROR(__xludf.DUMMYFUNCTION("GOOGLEFINANCE(""NSE:""&amp;D3045,""EPS"")"),"#N/A")</f>
        <v>#N/A</v>
      </c>
      <c r="Q3045" s="7">
        <v>13.5</v>
      </c>
      <c r="R3045" s="7" t="str">
        <f ca="1">IFERROR(__xludf.DUMMYFUNCTION("IMPORTXML(E3045,""/html/body/main/div[3]/div[3]/div[2]/ul/li[7]/span[2]/span"")"),"Loading...")</f>
        <v>Loading...</v>
      </c>
      <c r="S3045" s="7" t="str">
        <f ca="1">IFERROR(__xludf.DUMMYFUNCTION("IMPORTXML(E3045,""/html/body/main/div[3]/div[3]/div[2]/ul/li[8]/span[2]/span"")"),"Loading...")</f>
        <v>Loading...</v>
      </c>
      <c r="T3045" s="4">
        <v>34.6</v>
      </c>
      <c r="U3045" s="4">
        <v>22.7</v>
      </c>
      <c r="V3045" s="4">
        <v>2.6</v>
      </c>
      <c r="W3045" s="4">
        <v>5.7</v>
      </c>
      <c r="X3045" s="4">
        <v>519.92999999999995</v>
      </c>
      <c r="Y3045" s="7" t="e">
        <f t="shared" ca="1" si="64"/>
        <v>#VALUE!</v>
      </c>
    </row>
    <row r="3046" spans="1:25" ht="15" x14ac:dyDescent="0.25">
      <c r="A3046" s="4">
        <v>3024</v>
      </c>
      <c r="C3046" s="41" t="s">
        <v>5363</v>
      </c>
      <c r="D3046" s="42"/>
      <c r="E3046" s="5" t="str">
        <f t="shared" si="60"/>
        <v>https://www.screener.in/company//consolidated/</v>
      </c>
      <c r="F3046" s="4">
        <v>443059</v>
      </c>
      <c r="G3046" s="4">
        <v>3832241897</v>
      </c>
      <c r="H3046" s="6" t="e">
        <f t="shared" ca="1" si="61"/>
        <v>#VALUE!</v>
      </c>
      <c r="I3046" s="7" t="str">
        <f ca="1">IFERROR(__xludf.DUMMYFUNCTION("IMPORTXML(E3046,""/html/body/main/div[3]/div[3]/div[2]/ul/li[5]/span[2]/span"")"),"Loading...")</f>
        <v>Loading...</v>
      </c>
      <c r="J3046" s="7" t="str">
        <f ca="1">IFERROR(__xludf.DUMMYFUNCTION("GOOGLEFINANCE(""NSE:""&amp;D3046,""marketcap"")"),"#N/A")</f>
        <v>#N/A</v>
      </c>
      <c r="K3046" s="7">
        <v>992.8</v>
      </c>
      <c r="L3046" s="8" t="str">
        <f ca="1">IFERROR(__xludf.DUMMYFUNCTION("GOOGLEFINANCE(""NSE:""&amp;D3046,""price"")"),"#N/A")</f>
        <v>#N/A</v>
      </c>
      <c r="M3046" s="9" t="e">
        <f t="shared" ca="1" si="62"/>
        <v>#VALUE!</v>
      </c>
      <c r="N3046" s="10" t="e">
        <f t="shared" ca="1" si="63"/>
        <v>#VALUE!</v>
      </c>
      <c r="O3046" s="7" t="str">
        <f ca="1">IFERROR(__xludf.DUMMYFUNCTION("GOOGLEFINANCE(""NSE:""&amp;D3046,""pe"")"),"#N/A")</f>
        <v>#N/A</v>
      </c>
      <c r="P3046" s="7" t="str">
        <f ca="1">IFERROR(__xludf.DUMMYFUNCTION("GOOGLEFINANCE(""NSE:""&amp;D3046,""EPS"")"),"#N/A")</f>
        <v>#N/A</v>
      </c>
      <c r="Q3046" s="7">
        <v>13.5</v>
      </c>
      <c r="R3046" s="7" t="str">
        <f ca="1">IFERROR(__xludf.DUMMYFUNCTION("IMPORTXML(E3046,""/html/body/main/div[3]/div[3]/div[2]/ul/li[7]/span[2]/span"")"),"Loading...")</f>
        <v>Loading...</v>
      </c>
      <c r="S3046" s="7" t="str">
        <f ca="1">IFERROR(__xludf.DUMMYFUNCTION("IMPORTXML(E3046,""/html/body/main/div[3]/div[3]/div[2]/ul/li[8]/span[2]/span"")"),"Loading...")</f>
        <v>Loading...</v>
      </c>
      <c r="T3046" s="4">
        <v>34.6</v>
      </c>
      <c r="U3046" s="4">
        <v>22.7</v>
      </c>
      <c r="V3046" s="4">
        <v>2.6</v>
      </c>
      <c r="W3046" s="4">
        <v>5.7</v>
      </c>
      <c r="X3046" s="4">
        <v>519.92999999999995</v>
      </c>
      <c r="Y3046" s="7" t="e">
        <f t="shared" ca="1" si="64"/>
        <v>#VALUE!</v>
      </c>
    </row>
    <row r="3047" spans="1:25" ht="15" x14ac:dyDescent="0.25">
      <c r="A3047" s="4">
        <v>3025</v>
      </c>
      <c r="C3047" s="41" t="s">
        <v>5364</v>
      </c>
      <c r="D3047" s="42"/>
      <c r="E3047" s="5" t="str">
        <f t="shared" si="60"/>
        <v>https://www.screener.in/company//consolidated/</v>
      </c>
      <c r="F3047" s="4">
        <v>443059</v>
      </c>
      <c r="G3047" s="4">
        <v>3832241897</v>
      </c>
      <c r="H3047" s="6" t="e">
        <f t="shared" ca="1" si="61"/>
        <v>#VALUE!</v>
      </c>
      <c r="I3047" s="7" t="str">
        <f ca="1">IFERROR(__xludf.DUMMYFUNCTION("IMPORTXML(E3047,""/html/body/main/div[3]/div[3]/div[2]/ul/li[5]/span[2]/span"")"),"Loading...")</f>
        <v>Loading...</v>
      </c>
      <c r="J3047" s="7" t="str">
        <f ca="1">IFERROR(__xludf.DUMMYFUNCTION("GOOGLEFINANCE(""NSE:""&amp;D3047,""marketcap"")"),"#N/A")</f>
        <v>#N/A</v>
      </c>
      <c r="K3047" s="7">
        <v>992.8</v>
      </c>
      <c r="L3047" s="8" t="str">
        <f ca="1">IFERROR(__xludf.DUMMYFUNCTION("GOOGLEFINANCE(""NSE:""&amp;D3047,""price"")"),"#N/A")</f>
        <v>#N/A</v>
      </c>
      <c r="M3047" s="9" t="e">
        <f t="shared" ca="1" si="62"/>
        <v>#VALUE!</v>
      </c>
      <c r="N3047" s="10" t="e">
        <f t="shared" ca="1" si="63"/>
        <v>#VALUE!</v>
      </c>
      <c r="O3047" s="7" t="str">
        <f ca="1">IFERROR(__xludf.DUMMYFUNCTION("GOOGLEFINANCE(""NSE:""&amp;D3047,""pe"")"),"#N/A")</f>
        <v>#N/A</v>
      </c>
      <c r="P3047" s="7" t="str">
        <f ca="1">IFERROR(__xludf.DUMMYFUNCTION("GOOGLEFINANCE(""NSE:""&amp;D3047,""EPS"")"),"#N/A")</f>
        <v>#N/A</v>
      </c>
      <c r="Q3047" s="7">
        <v>13.5</v>
      </c>
      <c r="R3047" s="7" t="str">
        <f ca="1">IFERROR(__xludf.DUMMYFUNCTION("IMPORTXML(E3047,""/html/body/main/div[3]/div[3]/div[2]/ul/li[7]/span[2]/span"")"),"Loading...")</f>
        <v>Loading...</v>
      </c>
      <c r="S3047" s="7" t="str">
        <f ca="1">IFERROR(__xludf.DUMMYFUNCTION("IMPORTXML(E3047,""/html/body/main/div[3]/div[3]/div[2]/ul/li[8]/span[2]/span"")"),"Loading...")</f>
        <v>Loading...</v>
      </c>
      <c r="T3047" s="4">
        <v>34.6</v>
      </c>
      <c r="U3047" s="4">
        <v>22.7</v>
      </c>
      <c r="V3047" s="4">
        <v>2.6</v>
      </c>
      <c r="W3047" s="4">
        <v>5.7</v>
      </c>
      <c r="X3047" s="4">
        <v>519.92999999999995</v>
      </c>
      <c r="Y3047" s="7" t="e">
        <f t="shared" ca="1" si="64"/>
        <v>#VALUE!</v>
      </c>
    </row>
    <row r="3048" spans="1:25" ht="15" x14ac:dyDescent="0.25">
      <c r="A3048" s="4">
        <v>3026</v>
      </c>
      <c r="C3048" s="41" t="s">
        <v>5365</v>
      </c>
      <c r="D3048" s="42"/>
      <c r="E3048" s="5" t="str">
        <f t="shared" si="60"/>
        <v>https://www.screener.in/company//consolidated/</v>
      </c>
      <c r="F3048" s="4">
        <v>443059</v>
      </c>
      <c r="G3048" s="4">
        <v>3832241897</v>
      </c>
      <c r="H3048" s="6" t="e">
        <f t="shared" ca="1" si="61"/>
        <v>#VALUE!</v>
      </c>
      <c r="I3048" s="7" t="str">
        <f ca="1">IFERROR(__xludf.DUMMYFUNCTION("IMPORTXML(E3048,""/html/body/main/div[3]/div[3]/div[2]/ul/li[5]/span[2]/span"")"),"Loading...")</f>
        <v>Loading...</v>
      </c>
      <c r="J3048" s="7" t="str">
        <f ca="1">IFERROR(__xludf.DUMMYFUNCTION("GOOGLEFINANCE(""NSE:""&amp;D3048,""marketcap"")"),"#N/A")</f>
        <v>#N/A</v>
      </c>
      <c r="K3048" s="7">
        <v>992.8</v>
      </c>
      <c r="L3048" s="8" t="str">
        <f ca="1">IFERROR(__xludf.DUMMYFUNCTION("GOOGLEFINANCE(""NSE:""&amp;D3048,""price"")"),"#N/A")</f>
        <v>#N/A</v>
      </c>
      <c r="M3048" s="9" t="e">
        <f t="shared" ca="1" si="62"/>
        <v>#VALUE!</v>
      </c>
      <c r="N3048" s="10" t="e">
        <f t="shared" ca="1" si="63"/>
        <v>#VALUE!</v>
      </c>
      <c r="O3048" s="7" t="str">
        <f ca="1">IFERROR(__xludf.DUMMYFUNCTION("GOOGLEFINANCE(""NSE:""&amp;D3048,""pe"")"),"#N/A")</f>
        <v>#N/A</v>
      </c>
      <c r="P3048" s="7" t="str">
        <f ca="1">IFERROR(__xludf.DUMMYFUNCTION("GOOGLEFINANCE(""NSE:""&amp;D3048,""EPS"")"),"#N/A")</f>
        <v>#N/A</v>
      </c>
      <c r="Q3048" s="7">
        <v>13.5</v>
      </c>
      <c r="R3048" s="7" t="str">
        <f ca="1">IFERROR(__xludf.DUMMYFUNCTION("IMPORTXML(E3048,""/html/body/main/div[3]/div[3]/div[2]/ul/li[7]/span[2]/span"")"),"Loading...")</f>
        <v>Loading...</v>
      </c>
      <c r="S3048" s="7" t="str">
        <f ca="1">IFERROR(__xludf.DUMMYFUNCTION("IMPORTXML(E3048,""/html/body/main/div[3]/div[3]/div[2]/ul/li[8]/span[2]/span"")"),"Loading...")</f>
        <v>Loading...</v>
      </c>
      <c r="T3048" s="4">
        <v>34.6</v>
      </c>
      <c r="U3048" s="4">
        <v>22.7</v>
      </c>
      <c r="V3048" s="4">
        <v>2.6</v>
      </c>
      <c r="W3048" s="4">
        <v>5.7</v>
      </c>
      <c r="X3048" s="4">
        <v>519.92999999999995</v>
      </c>
      <c r="Y3048" s="7" t="e">
        <f t="shared" ca="1" si="64"/>
        <v>#VALUE!</v>
      </c>
    </row>
    <row r="3049" spans="1:25" ht="15" x14ac:dyDescent="0.25">
      <c r="A3049" s="4">
        <v>3027</v>
      </c>
      <c r="C3049" s="12" t="s">
        <v>5366</v>
      </c>
      <c r="D3049" s="12" t="s">
        <v>5367</v>
      </c>
      <c r="E3049" s="5" t="str">
        <f t="shared" si="60"/>
        <v>https://www.screener.in/company/FLFL/consolidated/</v>
      </c>
      <c r="F3049" s="4">
        <v>443059</v>
      </c>
      <c r="G3049" s="4">
        <v>3832241897</v>
      </c>
      <c r="H3049" s="6">
        <f t="shared" ca="1" si="61"/>
        <v>643.81663869600004</v>
      </c>
      <c r="I3049" s="7" t="str">
        <f ca="1">IFERROR(__xludf.DUMMYFUNCTION("IMPORTXML(E3049,""/html/body/main/div[3]/div[3]/div[2]/ul/li[5]/span[2]/span"")"),"Loading...")</f>
        <v>Loading...</v>
      </c>
      <c r="J3049" s="7">
        <f ca="1">IFERROR(__xludf.DUMMYFUNCTION("GOOGLEFINANCE(""NSE:""&amp;D3049,""marketcap"")"),338370500)</f>
        <v>338370500</v>
      </c>
      <c r="K3049" s="7">
        <v>992.8</v>
      </c>
      <c r="L3049" s="8">
        <f ca="1">IFERROR(__xludf.DUMMYFUNCTION("GOOGLEFINANCE(""NSE:""&amp;D3049,""price"")"),1.68)</f>
        <v>1.68</v>
      </c>
      <c r="M3049" s="9">
        <f t="shared" ca="1" si="62"/>
        <v>-991.12</v>
      </c>
      <c r="N3049" s="10">
        <f t="shared" ca="1" si="63"/>
        <v>-99.830781627719588</v>
      </c>
      <c r="O3049" s="7" t="str">
        <f ca="1">IFERROR(__xludf.DUMMYFUNCTION("GOOGLEFINANCE(""NSE:""&amp;D3049,""pe"")"),"#N/A")</f>
        <v>#N/A</v>
      </c>
      <c r="P3049" s="7" t="str">
        <f ca="1">IFERROR(__xludf.DUMMYFUNCTION("GOOGLEFINANCE(""NSE:""&amp;D3049,""EPS"")"),"#N/A")</f>
        <v>#N/A</v>
      </c>
      <c r="Q3049" s="7">
        <v>13.5</v>
      </c>
      <c r="R3049" s="7" t="str">
        <f ca="1">IFERROR(__xludf.DUMMYFUNCTION("IMPORTXML(E3049,""/html/body/main/div[3]/div[3]/div[2]/ul/li[7]/span[2]/span"")"),"Loading...")</f>
        <v>Loading...</v>
      </c>
      <c r="S3049" s="7" t="str">
        <f ca="1">IFERROR(__xludf.DUMMYFUNCTION("IMPORTXML(E3049,""/html/body/main/div[3]/div[3]/div[2]/ul/li[8]/span[2]/span"")"),"Loading...")</f>
        <v>Loading...</v>
      </c>
      <c r="T3049" s="4">
        <v>34.6</v>
      </c>
      <c r="U3049" s="4">
        <v>22.7</v>
      </c>
      <c r="V3049" s="4">
        <v>2.6</v>
      </c>
      <c r="W3049" s="4">
        <v>5.7</v>
      </c>
      <c r="X3049" s="4">
        <v>519.92999999999995</v>
      </c>
      <c r="Y3049" s="7">
        <f t="shared" ca="1" si="64"/>
        <v>-518.25</v>
      </c>
    </row>
    <row r="3050" spans="1:25" ht="15" x14ac:dyDescent="0.25">
      <c r="A3050" s="4">
        <v>3028</v>
      </c>
      <c r="C3050" s="41" t="s">
        <v>5368</v>
      </c>
      <c r="D3050" s="42"/>
      <c r="E3050" s="5" t="str">
        <f t="shared" si="60"/>
        <v>https://www.screener.in/company//consolidated/</v>
      </c>
      <c r="F3050" s="4">
        <v>443059</v>
      </c>
      <c r="G3050" s="4">
        <v>3832241897</v>
      </c>
      <c r="H3050" s="6" t="e">
        <f t="shared" ca="1" si="61"/>
        <v>#VALUE!</v>
      </c>
      <c r="I3050" s="7" t="str">
        <f ca="1">IFERROR(__xludf.DUMMYFUNCTION("IMPORTXML(E3050,""/html/body/main/div[3]/div[3]/div[2]/ul/li[5]/span[2]/span"")"),"Loading...")</f>
        <v>Loading...</v>
      </c>
      <c r="J3050" s="7" t="str">
        <f ca="1">IFERROR(__xludf.DUMMYFUNCTION("GOOGLEFINANCE(""NSE:""&amp;D3050,""marketcap"")"),"#N/A")</f>
        <v>#N/A</v>
      </c>
      <c r="K3050" s="7">
        <v>992.8</v>
      </c>
      <c r="L3050" s="8" t="str">
        <f ca="1">IFERROR(__xludf.DUMMYFUNCTION("GOOGLEFINANCE(""NSE:""&amp;D3050,""price"")"),"#N/A")</f>
        <v>#N/A</v>
      </c>
      <c r="M3050" s="9" t="e">
        <f t="shared" ca="1" si="62"/>
        <v>#VALUE!</v>
      </c>
      <c r="N3050" s="10" t="e">
        <f t="shared" ca="1" si="63"/>
        <v>#VALUE!</v>
      </c>
      <c r="O3050" s="7" t="str">
        <f ca="1">IFERROR(__xludf.DUMMYFUNCTION("GOOGLEFINANCE(""NSE:""&amp;D3050,""pe"")"),"#N/A")</f>
        <v>#N/A</v>
      </c>
      <c r="P3050" s="7" t="str">
        <f ca="1">IFERROR(__xludf.DUMMYFUNCTION("GOOGLEFINANCE(""NSE:""&amp;D3050,""EPS"")"),"#N/A")</f>
        <v>#N/A</v>
      </c>
      <c r="Q3050" s="7">
        <v>13.5</v>
      </c>
      <c r="R3050" s="7" t="str">
        <f ca="1">IFERROR(__xludf.DUMMYFUNCTION("IMPORTXML(E3050,""/html/body/main/div[3]/div[3]/div[2]/ul/li[7]/span[2]/span"")"),"Loading...")</f>
        <v>Loading...</v>
      </c>
      <c r="S3050" s="7" t="str">
        <f ca="1">IFERROR(__xludf.DUMMYFUNCTION("IMPORTXML(E3050,""/html/body/main/div[3]/div[3]/div[2]/ul/li[8]/span[2]/span"")"),"Loading...")</f>
        <v>Loading...</v>
      </c>
      <c r="T3050" s="4">
        <v>34.6</v>
      </c>
      <c r="U3050" s="4">
        <v>22.7</v>
      </c>
      <c r="V3050" s="4">
        <v>2.6</v>
      </c>
      <c r="W3050" s="4">
        <v>5.7</v>
      </c>
      <c r="X3050" s="4">
        <v>519.92999999999995</v>
      </c>
      <c r="Y3050" s="7" t="e">
        <f t="shared" ca="1" si="64"/>
        <v>#VALUE!</v>
      </c>
    </row>
    <row r="3051" spans="1:25" ht="15" x14ac:dyDescent="0.25">
      <c r="A3051" s="4">
        <v>3029</v>
      </c>
      <c r="C3051" s="41" t="s">
        <v>5369</v>
      </c>
      <c r="D3051" s="42"/>
      <c r="E3051" s="5" t="str">
        <f t="shared" si="60"/>
        <v>https://www.screener.in/company//consolidated/</v>
      </c>
      <c r="F3051" s="4">
        <v>443059</v>
      </c>
      <c r="G3051" s="4">
        <v>3832241897</v>
      </c>
      <c r="H3051" s="6" t="e">
        <f t="shared" ca="1" si="61"/>
        <v>#VALUE!</v>
      </c>
      <c r="I3051" s="7" t="str">
        <f ca="1">IFERROR(__xludf.DUMMYFUNCTION("IMPORTXML(E3051,""/html/body/main/div[3]/div[3]/div[2]/ul/li[5]/span[2]/span"")"),"Loading...")</f>
        <v>Loading...</v>
      </c>
      <c r="J3051" s="7" t="str">
        <f ca="1">IFERROR(__xludf.DUMMYFUNCTION("GOOGLEFINANCE(""NSE:""&amp;D3051,""marketcap"")"),"#N/A")</f>
        <v>#N/A</v>
      </c>
      <c r="K3051" s="7">
        <v>992.8</v>
      </c>
      <c r="L3051" s="8" t="str">
        <f ca="1">IFERROR(__xludf.DUMMYFUNCTION("GOOGLEFINANCE(""NSE:""&amp;D3051,""price"")"),"#N/A")</f>
        <v>#N/A</v>
      </c>
      <c r="M3051" s="9" t="e">
        <f t="shared" ca="1" si="62"/>
        <v>#VALUE!</v>
      </c>
      <c r="N3051" s="10" t="e">
        <f t="shared" ca="1" si="63"/>
        <v>#VALUE!</v>
      </c>
      <c r="O3051" s="7" t="str">
        <f ca="1">IFERROR(__xludf.DUMMYFUNCTION("GOOGLEFINANCE(""NSE:""&amp;D3051,""pe"")"),"#N/A")</f>
        <v>#N/A</v>
      </c>
      <c r="P3051" s="7" t="str">
        <f ca="1">IFERROR(__xludf.DUMMYFUNCTION("GOOGLEFINANCE(""NSE:""&amp;D3051,""EPS"")"),"#N/A")</f>
        <v>#N/A</v>
      </c>
      <c r="Q3051" s="7">
        <v>13.5</v>
      </c>
      <c r="R3051" s="7" t="str">
        <f ca="1">IFERROR(__xludf.DUMMYFUNCTION("IMPORTXML(E3051,""/html/body/main/div[3]/div[3]/div[2]/ul/li[7]/span[2]/span"")"),"Loading...")</f>
        <v>Loading...</v>
      </c>
      <c r="S3051" s="7" t="str">
        <f ca="1">IFERROR(__xludf.DUMMYFUNCTION("IMPORTXML(E3051,""/html/body/main/div[3]/div[3]/div[2]/ul/li[8]/span[2]/span"")"),"Loading...")</f>
        <v>Loading...</v>
      </c>
      <c r="T3051" s="4">
        <v>34.6</v>
      </c>
      <c r="U3051" s="4">
        <v>22.7</v>
      </c>
      <c r="V3051" s="4">
        <v>2.6</v>
      </c>
      <c r="W3051" s="4">
        <v>5.7</v>
      </c>
      <c r="X3051" s="4">
        <v>519.92999999999995</v>
      </c>
      <c r="Y3051" s="7" t="e">
        <f t="shared" ca="1" si="64"/>
        <v>#VALUE!</v>
      </c>
    </row>
    <row r="3052" spans="1:25" ht="15" x14ac:dyDescent="0.25">
      <c r="A3052" s="4">
        <v>3030</v>
      </c>
      <c r="C3052" s="41" t="s">
        <v>5370</v>
      </c>
      <c r="D3052" s="42"/>
      <c r="E3052" s="5" t="str">
        <f t="shared" si="60"/>
        <v>https://www.screener.in/company//consolidated/</v>
      </c>
      <c r="F3052" s="4">
        <v>443059</v>
      </c>
      <c r="G3052" s="4">
        <v>3832241897</v>
      </c>
      <c r="H3052" s="6" t="e">
        <f t="shared" ca="1" si="61"/>
        <v>#VALUE!</v>
      </c>
      <c r="I3052" s="7" t="str">
        <f ca="1">IFERROR(__xludf.DUMMYFUNCTION("IMPORTXML(E3052,""/html/body/main/div[3]/div[3]/div[2]/ul/li[5]/span[2]/span"")"),"Loading...")</f>
        <v>Loading...</v>
      </c>
      <c r="J3052" s="7" t="str">
        <f ca="1">IFERROR(__xludf.DUMMYFUNCTION("GOOGLEFINANCE(""NSE:""&amp;D3052,""marketcap"")"),"#N/A")</f>
        <v>#N/A</v>
      </c>
      <c r="K3052" s="7">
        <v>992.8</v>
      </c>
      <c r="L3052" s="8" t="str">
        <f ca="1">IFERROR(__xludf.DUMMYFUNCTION("GOOGLEFINANCE(""NSE:""&amp;D3052,""price"")"),"#N/A")</f>
        <v>#N/A</v>
      </c>
      <c r="M3052" s="9" t="e">
        <f t="shared" ca="1" si="62"/>
        <v>#VALUE!</v>
      </c>
      <c r="N3052" s="10" t="e">
        <f t="shared" ca="1" si="63"/>
        <v>#VALUE!</v>
      </c>
      <c r="O3052" s="7" t="str">
        <f ca="1">IFERROR(__xludf.DUMMYFUNCTION("GOOGLEFINANCE(""NSE:""&amp;D3052,""pe"")"),"#N/A")</f>
        <v>#N/A</v>
      </c>
      <c r="P3052" s="7" t="str">
        <f ca="1">IFERROR(__xludf.DUMMYFUNCTION("GOOGLEFINANCE(""NSE:""&amp;D3052,""EPS"")"),"#N/A")</f>
        <v>#N/A</v>
      </c>
      <c r="Q3052" s="7">
        <v>13.5</v>
      </c>
      <c r="R3052" s="7" t="str">
        <f ca="1">IFERROR(__xludf.DUMMYFUNCTION("IMPORTXML(E3052,""/html/body/main/div[3]/div[3]/div[2]/ul/li[7]/span[2]/span"")"),"Loading...")</f>
        <v>Loading...</v>
      </c>
      <c r="S3052" s="7" t="str">
        <f ca="1">IFERROR(__xludf.DUMMYFUNCTION("IMPORTXML(E3052,""/html/body/main/div[3]/div[3]/div[2]/ul/li[8]/span[2]/span"")"),"Loading...")</f>
        <v>Loading...</v>
      </c>
      <c r="T3052" s="4">
        <v>34.6</v>
      </c>
      <c r="U3052" s="4">
        <v>22.7</v>
      </c>
      <c r="V3052" s="4">
        <v>2.6</v>
      </c>
      <c r="W3052" s="4">
        <v>5.7</v>
      </c>
      <c r="X3052" s="4">
        <v>519.92999999999995</v>
      </c>
      <c r="Y3052" s="7" t="e">
        <f t="shared" ca="1" si="64"/>
        <v>#VALUE!</v>
      </c>
    </row>
    <row r="3053" spans="1:25" ht="15" x14ac:dyDescent="0.25">
      <c r="A3053" s="4">
        <v>3031</v>
      </c>
      <c r="C3053" s="41" t="s">
        <v>5371</v>
      </c>
      <c r="D3053" s="42"/>
      <c r="E3053" s="5" t="str">
        <f t="shared" si="60"/>
        <v>https://www.screener.in/company//consolidated/</v>
      </c>
      <c r="F3053" s="4">
        <v>443059</v>
      </c>
      <c r="G3053" s="4">
        <v>3832241897</v>
      </c>
      <c r="H3053" s="6" t="e">
        <f t="shared" ca="1" si="61"/>
        <v>#VALUE!</v>
      </c>
      <c r="I3053" s="7" t="str">
        <f ca="1">IFERROR(__xludf.DUMMYFUNCTION("IMPORTXML(E3053,""/html/body/main/div[3]/div[3]/div[2]/ul/li[5]/span[2]/span"")"),"Loading...")</f>
        <v>Loading...</v>
      </c>
      <c r="J3053" s="7" t="str">
        <f ca="1">IFERROR(__xludf.DUMMYFUNCTION("GOOGLEFINANCE(""NSE:""&amp;D3053,""marketcap"")"),"#N/A")</f>
        <v>#N/A</v>
      </c>
      <c r="K3053" s="7">
        <v>992.8</v>
      </c>
      <c r="L3053" s="8" t="str">
        <f ca="1">IFERROR(__xludf.DUMMYFUNCTION("GOOGLEFINANCE(""NSE:""&amp;D3053,""price"")"),"#N/A")</f>
        <v>#N/A</v>
      </c>
      <c r="M3053" s="9" t="e">
        <f t="shared" ca="1" si="62"/>
        <v>#VALUE!</v>
      </c>
      <c r="N3053" s="10" t="e">
        <f t="shared" ca="1" si="63"/>
        <v>#VALUE!</v>
      </c>
      <c r="O3053" s="7" t="str">
        <f ca="1">IFERROR(__xludf.DUMMYFUNCTION("GOOGLEFINANCE(""NSE:""&amp;D3053,""pe"")"),"#N/A")</f>
        <v>#N/A</v>
      </c>
      <c r="P3053" s="7" t="str">
        <f ca="1">IFERROR(__xludf.DUMMYFUNCTION("GOOGLEFINANCE(""NSE:""&amp;D3053,""EPS"")"),"#N/A")</f>
        <v>#N/A</v>
      </c>
      <c r="Q3053" s="7">
        <v>13.5</v>
      </c>
      <c r="R3053" s="7" t="str">
        <f ca="1">IFERROR(__xludf.DUMMYFUNCTION("IMPORTXML(E3053,""/html/body/main/div[3]/div[3]/div[2]/ul/li[7]/span[2]/span"")"),"Loading...")</f>
        <v>Loading...</v>
      </c>
      <c r="S3053" s="7" t="str">
        <f ca="1">IFERROR(__xludf.DUMMYFUNCTION("IMPORTXML(E3053,""/html/body/main/div[3]/div[3]/div[2]/ul/li[8]/span[2]/span"")"),"Loading...")</f>
        <v>Loading...</v>
      </c>
      <c r="T3053" s="4">
        <v>34.6</v>
      </c>
      <c r="U3053" s="4">
        <v>22.7</v>
      </c>
      <c r="V3053" s="4">
        <v>2.6</v>
      </c>
      <c r="W3053" s="4">
        <v>5.7</v>
      </c>
      <c r="X3053" s="4">
        <v>519.92999999999995</v>
      </c>
      <c r="Y3053" s="7" t="e">
        <f t="shared" ca="1" si="64"/>
        <v>#VALUE!</v>
      </c>
    </row>
    <row r="3054" spans="1:25" ht="15" x14ac:dyDescent="0.25">
      <c r="A3054" s="4">
        <v>3032</v>
      </c>
      <c r="C3054" s="41" t="s">
        <v>5372</v>
      </c>
      <c r="D3054" s="42"/>
      <c r="E3054" s="5" t="str">
        <f t="shared" si="60"/>
        <v>https://www.screener.in/company//consolidated/</v>
      </c>
      <c r="F3054" s="4">
        <v>443059</v>
      </c>
      <c r="G3054" s="4">
        <v>3832241897</v>
      </c>
      <c r="H3054" s="6" t="e">
        <f t="shared" ca="1" si="61"/>
        <v>#VALUE!</v>
      </c>
      <c r="I3054" s="7" t="str">
        <f ca="1">IFERROR(__xludf.DUMMYFUNCTION("IMPORTXML(E3054,""/html/body/main/div[3]/div[3]/div[2]/ul/li[5]/span[2]/span"")"),"Loading...")</f>
        <v>Loading...</v>
      </c>
      <c r="J3054" s="7" t="str">
        <f ca="1">IFERROR(__xludf.DUMMYFUNCTION("GOOGLEFINANCE(""NSE:""&amp;D3054,""marketcap"")"),"#N/A")</f>
        <v>#N/A</v>
      </c>
      <c r="K3054" s="7">
        <v>992.8</v>
      </c>
      <c r="L3054" s="8" t="str">
        <f ca="1">IFERROR(__xludf.DUMMYFUNCTION("GOOGLEFINANCE(""NSE:""&amp;D3054,""price"")"),"#N/A")</f>
        <v>#N/A</v>
      </c>
      <c r="M3054" s="9" t="e">
        <f t="shared" ca="1" si="62"/>
        <v>#VALUE!</v>
      </c>
      <c r="N3054" s="10" t="e">
        <f t="shared" ca="1" si="63"/>
        <v>#VALUE!</v>
      </c>
      <c r="O3054" s="7" t="str">
        <f ca="1">IFERROR(__xludf.DUMMYFUNCTION("GOOGLEFINANCE(""NSE:""&amp;D3054,""pe"")"),"#N/A")</f>
        <v>#N/A</v>
      </c>
      <c r="P3054" s="7" t="str">
        <f ca="1">IFERROR(__xludf.DUMMYFUNCTION("GOOGLEFINANCE(""NSE:""&amp;D3054,""EPS"")"),"#N/A")</f>
        <v>#N/A</v>
      </c>
      <c r="Q3054" s="7">
        <v>13.5</v>
      </c>
      <c r="R3054" s="7" t="str">
        <f ca="1">IFERROR(__xludf.DUMMYFUNCTION("IMPORTXML(E3054,""/html/body/main/div[3]/div[3]/div[2]/ul/li[7]/span[2]/span"")"),"Loading...")</f>
        <v>Loading...</v>
      </c>
      <c r="S3054" s="7" t="str">
        <f ca="1">IFERROR(__xludf.DUMMYFUNCTION("IMPORTXML(E3054,""/html/body/main/div[3]/div[3]/div[2]/ul/li[8]/span[2]/span"")"),"Loading...")</f>
        <v>Loading...</v>
      </c>
      <c r="T3054" s="4">
        <v>34.6</v>
      </c>
      <c r="U3054" s="4">
        <v>22.7</v>
      </c>
      <c r="V3054" s="4">
        <v>2.6</v>
      </c>
      <c r="W3054" s="4">
        <v>5.7</v>
      </c>
      <c r="X3054" s="4">
        <v>519.92999999999995</v>
      </c>
      <c r="Y3054" s="7" t="e">
        <f t="shared" ca="1" si="64"/>
        <v>#VALUE!</v>
      </c>
    </row>
    <row r="3055" spans="1:25" ht="15" x14ac:dyDescent="0.25">
      <c r="A3055" s="4">
        <v>3033</v>
      </c>
      <c r="C3055" s="41" t="s">
        <v>5373</v>
      </c>
      <c r="D3055" s="42"/>
      <c r="E3055" s="5" t="str">
        <f t="shared" si="60"/>
        <v>https://www.screener.in/company//consolidated/</v>
      </c>
      <c r="F3055" s="4">
        <v>443059</v>
      </c>
      <c r="G3055" s="4">
        <v>3832241897</v>
      </c>
      <c r="H3055" s="6" t="e">
        <f t="shared" ca="1" si="61"/>
        <v>#VALUE!</v>
      </c>
      <c r="I3055" s="7" t="str">
        <f ca="1">IFERROR(__xludf.DUMMYFUNCTION("IMPORTXML(E3055,""/html/body/main/div[3]/div[3]/div[2]/ul/li[5]/span[2]/span"")"),"Loading...")</f>
        <v>Loading...</v>
      </c>
      <c r="J3055" s="7" t="str">
        <f ca="1">IFERROR(__xludf.DUMMYFUNCTION("GOOGLEFINANCE(""NSE:""&amp;D3055,""marketcap"")"),"#N/A")</f>
        <v>#N/A</v>
      </c>
      <c r="K3055" s="7">
        <v>992.8</v>
      </c>
      <c r="L3055" s="8" t="str">
        <f ca="1">IFERROR(__xludf.DUMMYFUNCTION("GOOGLEFINANCE(""NSE:""&amp;D3055,""price"")"),"#N/A")</f>
        <v>#N/A</v>
      </c>
      <c r="M3055" s="9" t="e">
        <f t="shared" ca="1" si="62"/>
        <v>#VALUE!</v>
      </c>
      <c r="N3055" s="10" t="e">
        <f t="shared" ca="1" si="63"/>
        <v>#VALUE!</v>
      </c>
      <c r="O3055" s="7" t="str">
        <f ca="1">IFERROR(__xludf.DUMMYFUNCTION("GOOGLEFINANCE(""NSE:""&amp;D3055,""pe"")"),"#N/A")</f>
        <v>#N/A</v>
      </c>
      <c r="P3055" s="7" t="str">
        <f ca="1">IFERROR(__xludf.DUMMYFUNCTION("GOOGLEFINANCE(""NSE:""&amp;D3055,""EPS"")"),"#N/A")</f>
        <v>#N/A</v>
      </c>
      <c r="Q3055" s="7">
        <v>13.5</v>
      </c>
      <c r="R3055" s="7" t="str">
        <f ca="1">IFERROR(__xludf.DUMMYFUNCTION("IMPORTXML(E3055,""/html/body/main/div[3]/div[3]/div[2]/ul/li[7]/span[2]/span"")"),"Loading...")</f>
        <v>Loading...</v>
      </c>
      <c r="S3055" s="7" t="str">
        <f ca="1">IFERROR(__xludf.DUMMYFUNCTION("IMPORTXML(E3055,""/html/body/main/div[3]/div[3]/div[2]/ul/li[8]/span[2]/span"")"),"Loading...")</f>
        <v>Loading...</v>
      </c>
      <c r="T3055" s="4">
        <v>34.6</v>
      </c>
      <c r="U3055" s="4">
        <v>22.7</v>
      </c>
      <c r="V3055" s="4">
        <v>2.6</v>
      </c>
      <c r="W3055" s="4">
        <v>5.7</v>
      </c>
      <c r="X3055" s="4">
        <v>519.92999999999995</v>
      </c>
      <c r="Y3055" s="7" t="e">
        <f t="shared" ca="1" si="64"/>
        <v>#VALUE!</v>
      </c>
    </row>
    <row r="3056" spans="1:25" ht="15" x14ac:dyDescent="0.25">
      <c r="A3056" s="4">
        <v>3034</v>
      </c>
      <c r="C3056" s="12" t="s">
        <v>5374</v>
      </c>
      <c r="D3056" s="12" t="s">
        <v>5375</v>
      </c>
      <c r="E3056" s="5" t="str">
        <f t="shared" si="60"/>
        <v>https://www.screener.in/company/TECILCHEM/consolidated/</v>
      </c>
      <c r="F3056" s="4">
        <v>443059</v>
      </c>
      <c r="G3056" s="4">
        <v>3832241897</v>
      </c>
      <c r="H3056" s="6">
        <f t="shared" ca="1" si="61"/>
        <v>8200.9976595799981</v>
      </c>
      <c r="I3056" s="7" t="str">
        <f ca="1">IFERROR(__xludf.DUMMYFUNCTION("IMPORTXML(E3056,""/html/body/main/div[3]/div[3]/div[2]/ul/li[5]/span[2]/span"")"),"Loading...")</f>
        <v>Loading...</v>
      </c>
      <c r="J3056" s="7">
        <f ca="1">IFERROR(__xludf.DUMMYFUNCTION("GOOGLEFINANCE(""NSE:""&amp;D3056,""marketcap"")"),409344051)</f>
        <v>409344051</v>
      </c>
      <c r="K3056" s="7">
        <v>992.8</v>
      </c>
      <c r="L3056" s="8">
        <f ca="1">IFERROR(__xludf.DUMMYFUNCTION("GOOGLEFINANCE(""NSE:""&amp;D3056,""price"")"),21.4)</f>
        <v>21.4</v>
      </c>
      <c r="M3056" s="9">
        <f t="shared" ca="1" si="62"/>
        <v>-971.4</v>
      </c>
      <c r="N3056" s="10">
        <f t="shared" ca="1" si="63"/>
        <v>-97.844480257856574</v>
      </c>
      <c r="O3056" s="7" t="str">
        <f ca="1">IFERROR(__xludf.DUMMYFUNCTION("GOOGLEFINANCE(""NSE:""&amp;D3056,""pe"")"),"#N/A")</f>
        <v>#N/A</v>
      </c>
      <c r="P3056" s="7">
        <f ca="1">IFERROR(__xludf.DUMMYFUNCTION("GOOGLEFINANCE(""NSE:""&amp;D3056,""EPS"")"),-0.16)</f>
        <v>-0.16</v>
      </c>
      <c r="Q3056" s="7">
        <v>13.5</v>
      </c>
      <c r="R3056" s="7" t="str">
        <f ca="1">IFERROR(__xludf.DUMMYFUNCTION("IMPORTXML(E3056,""/html/body/main/div[3]/div[3]/div[2]/ul/li[7]/span[2]/span"")"),"Loading...")</f>
        <v>Loading...</v>
      </c>
      <c r="S3056" s="7" t="str">
        <f ca="1">IFERROR(__xludf.DUMMYFUNCTION("IMPORTXML(E3056,""/html/body/main/div[3]/div[3]/div[2]/ul/li[8]/span[2]/span"")"),"Loading...")</f>
        <v>Loading...</v>
      </c>
      <c r="T3056" s="4">
        <v>34.6</v>
      </c>
      <c r="U3056" s="4">
        <v>22.7</v>
      </c>
      <c r="V3056" s="4">
        <v>2.6</v>
      </c>
      <c r="W3056" s="4">
        <v>5.7</v>
      </c>
      <c r="X3056" s="4">
        <v>519.92999999999995</v>
      </c>
      <c r="Y3056" s="7">
        <f t="shared" ca="1" si="64"/>
        <v>-498.53</v>
      </c>
    </row>
    <row r="3057" spans="1:25" ht="15" x14ac:dyDescent="0.25">
      <c r="A3057" s="4">
        <v>3035</v>
      </c>
      <c r="C3057" s="41" t="s">
        <v>5376</v>
      </c>
      <c r="D3057" s="42"/>
      <c r="E3057" s="5" t="str">
        <f t="shared" si="60"/>
        <v>https://www.screener.in/company//consolidated/</v>
      </c>
      <c r="F3057" s="4">
        <v>443059</v>
      </c>
      <c r="G3057" s="4">
        <v>3832241897</v>
      </c>
      <c r="H3057" s="6" t="e">
        <f t="shared" ca="1" si="61"/>
        <v>#VALUE!</v>
      </c>
      <c r="I3057" s="7" t="str">
        <f ca="1">IFERROR(__xludf.DUMMYFUNCTION("IMPORTXML(E3057,""/html/body/main/div[3]/div[3]/div[2]/ul/li[5]/span[2]/span"")"),"Loading...")</f>
        <v>Loading...</v>
      </c>
      <c r="J3057" s="7" t="str">
        <f ca="1">IFERROR(__xludf.DUMMYFUNCTION("GOOGLEFINANCE(""NSE:""&amp;D3057,""marketcap"")"),"#N/A")</f>
        <v>#N/A</v>
      </c>
      <c r="K3057" s="7">
        <v>992.8</v>
      </c>
      <c r="L3057" s="8" t="str">
        <f ca="1">IFERROR(__xludf.DUMMYFUNCTION("GOOGLEFINANCE(""NSE:""&amp;D3057,""price"")"),"#N/A")</f>
        <v>#N/A</v>
      </c>
      <c r="M3057" s="9" t="e">
        <f t="shared" ca="1" si="62"/>
        <v>#VALUE!</v>
      </c>
      <c r="N3057" s="10" t="e">
        <f t="shared" ca="1" si="63"/>
        <v>#VALUE!</v>
      </c>
      <c r="O3057" s="7" t="str">
        <f ca="1">IFERROR(__xludf.DUMMYFUNCTION("GOOGLEFINANCE(""NSE:""&amp;D3057,""pe"")"),"#N/A")</f>
        <v>#N/A</v>
      </c>
      <c r="P3057" s="7" t="str">
        <f ca="1">IFERROR(__xludf.DUMMYFUNCTION("GOOGLEFINANCE(""NSE:""&amp;D3057,""EPS"")"),"#N/A")</f>
        <v>#N/A</v>
      </c>
      <c r="Q3057" s="7">
        <v>13.5</v>
      </c>
      <c r="R3057" s="7" t="str">
        <f ca="1">IFERROR(__xludf.DUMMYFUNCTION("IMPORTXML(E3057,""/html/body/main/div[3]/div[3]/div[2]/ul/li[7]/span[2]/span"")"),"Loading...")</f>
        <v>Loading...</v>
      </c>
      <c r="S3057" s="7" t="str">
        <f ca="1">IFERROR(__xludf.DUMMYFUNCTION("IMPORTXML(E3057,""/html/body/main/div[3]/div[3]/div[2]/ul/li[8]/span[2]/span"")"),"Loading...")</f>
        <v>Loading...</v>
      </c>
      <c r="T3057" s="4">
        <v>34.6</v>
      </c>
      <c r="U3057" s="4">
        <v>22.7</v>
      </c>
      <c r="V3057" s="4">
        <v>2.6</v>
      </c>
      <c r="W3057" s="4">
        <v>5.7</v>
      </c>
      <c r="X3057" s="4">
        <v>519.92999999999995</v>
      </c>
      <c r="Y3057" s="7" t="e">
        <f t="shared" ca="1" si="64"/>
        <v>#VALUE!</v>
      </c>
    </row>
    <row r="3058" spans="1:25" ht="15" x14ac:dyDescent="0.25">
      <c r="A3058" s="4">
        <v>3037</v>
      </c>
      <c r="C3058" s="41" t="s">
        <v>5377</v>
      </c>
      <c r="D3058" s="42"/>
      <c r="E3058" s="5" t="str">
        <f t="shared" si="60"/>
        <v>https://www.screener.in/company//consolidated/</v>
      </c>
      <c r="F3058" s="4">
        <v>443059</v>
      </c>
      <c r="G3058" s="4">
        <v>3832241897</v>
      </c>
      <c r="H3058" s="6" t="e">
        <f t="shared" ca="1" si="61"/>
        <v>#VALUE!</v>
      </c>
      <c r="I3058" s="7" t="str">
        <f ca="1">IFERROR(__xludf.DUMMYFUNCTION("IMPORTXML(E3058,""/html/body/main/div[3]/div[3]/div[2]/ul/li[5]/span[2]/span"")"),"Loading...")</f>
        <v>Loading...</v>
      </c>
      <c r="J3058" s="7" t="str">
        <f ca="1">IFERROR(__xludf.DUMMYFUNCTION("GOOGLEFINANCE(""NSE:""&amp;D3058,""marketcap"")"),"#N/A")</f>
        <v>#N/A</v>
      </c>
      <c r="K3058" s="7">
        <v>992.8</v>
      </c>
      <c r="L3058" s="8" t="str">
        <f ca="1">IFERROR(__xludf.DUMMYFUNCTION("GOOGLEFINANCE(""NSE:""&amp;D3058,""price"")"),"#N/A")</f>
        <v>#N/A</v>
      </c>
      <c r="M3058" s="9" t="e">
        <f t="shared" ca="1" si="62"/>
        <v>#VALUE!</v>
      </c>
      <c r="N3058" s="10" t="e">
        <f t="shared" ca="1" si="63"/>
        <v>#VALUE!</v>
      </c>
      <c r="O3058" s="7" t="str">
        <f ca="1">IFERROR(__xludf.DUMMYFUNCTION("GOOGLEFINANCE(""NSE:""&amp;D3058,""pe"")"),"#N/A")</f>
        <v>#N/A</v>
      </c>
      <c r="P3058" s="7" t="str">
        <f ca="1">IFERROR(__xludf.DUMMYFUNCTION("GOOGLEFINANCE(""NSE:""&amp;D3058,""EPS"")"),"#N/A")</f>
        <v>#N/A</v>
      </c>
      <c r="Q3058" s="7">
        <v>13.5</v>
      </c>
      <c r="R3058" s="7" t="str">
        <f ca="1">IFERROR(__xludf.DUMMYFUNCTION("IMPORTXML(E3058,""/html/body/main/div[3]/div[3]/div[2]/ul/li[7]/span[2]/span"")"),"Loading...")</f>
        <v>Loading...</v>
      </c>
      <c r="S3058" s="7" t="str">
        <f ca="1">IFERROR(__xludf.DUMMYFUNCTION("IMPORTXML(E3058,""/html/body/main/div[3]/div[3]/div[2]/ul/li[8]/span[2]/span"")"),"Loading...")</f>
        <v>Loading...</v>
      </c>
      <c r="T3058" s="4">
        <v>34.6</v>
      </c>
      <c r="U3058" s="4">
        <v>22.7</v>
      </c>
      <c r="V3058" s="4">
        <v>2.6</v>
      </c>
      <c r="W3058" s="4">
        <v>5.7</v>
      </c>
      <c r="X3058" s="4">
        <v>519.92999999999995</v>
      </c>
      <c r="Y3058" s="7" t="e">
        <f t="shared" ca="1" si="64"/>
        <v>#VALUE!</v>
      </c>
    </row>
    <row r="3059" spans="1:25" ht="15" x14ac:dyDescent="0.25">
      <c r="A3059" s="4">
        <v>3038</v>
      </c>
      <c r="C3059" s="41" t="s">
        <v>5378</v>
      </c>
      <c r="D3059" s="42"/>
      <c r="E3059" s="5" t="str">
        <f t="shared" si="60"/>
        <v>https://www.screener.in/company//consolidated/</v>
      </c>
      <c r="F3059" s="4">
        <v>443059</v>
      </c>
      <c r="G3059" s="4">
        <v>3832241897</v>
      </c>
      <c r="H3059" s="6" t="e">
        <f t="shared" ca="1" si="61"/>
        <v>#VALUE!</v>
      </c>
      <c r="I3059" s="7" t="str">
        <f ca="1">IFERROR(__xludf.DUMMYFUNCTION("IMPORTXML(E3059,""/html/body/main/div[3]/div[3]/div[2]/ul/li[5]/span[2]/span"")"),"Loading...")</f>
        <v>Loading...</v>
      </c>
      <c r="J3059" s="7" t="str">
        <f ca="1">IFERROR(__xludf.DUMMYFUNCTION("GOOGLEFINANCE(""NSE:""&amp;D3059,""marketcap"")"),"#N/A")</f>
        <v>#N/A</v>
      </c>
      <c r="K3059" s="7">
        <v>992.8</v>
      </c>
      <c r="L3059" s="8" t="str">
        <f ca="1">IFERROR(__xludf.DUMMYFUNCTION("GOOGLEFINANCE(""NSE:""&amp;D3059,""price"")"),"#N/A")</f>
        <v>#N/A</v>
      </c>
      <c r="M3059" s="9" t="e">
        <f t="shared" ca="1" si="62"/>
        <v>#VALUE!</v>
      </c>
      <c r="N3059" s="10" t="e">
        <f t="shared" ca="1" si="63"/>
        <v>#VALUE!</v>
      </c>
      <c r="O3059" s="7" t="str">
        <f ca="1">IFERROR(__xludf.DUMMYFUNCTION("GOOGLEFINANCE(""NSE:""&amp;D3059,""pe"")"),"#N/A")</f>
        <v>#N/A</v>
      </c>
      <c r="P3059" s="7" t="str">
        <f ca="1">IFERROR(__xludf.DUMMYFUNCTION("GOOGLEFINANCE(""NSE:""&amp;D3059,""EPS"")"),"#N/A")</f>
        <v>#N/A</v>
      </c>
      <c r="Q3059" s="7">
        <v>13.5</v>
      </c>
      <c r="R3059" s="7" t="str">
        <f ca="1">IFERROR(__xludf.DUMMYFUNCTION("IMPORTXML(E3059,""/html/body/main/div[3]/div[3]/div[2]/ul/li[7]/span[2]/span"")"),"Loading...")</f>
        <v>Loading...</v>
      </c>
      <c r="S3059" s="7" t="str">
        <f ca="1">IFERROR(__xludf.DUMMYFUNCTION("IMPORTXML(E3059,""/html/body/main/div[3]/div[3]/div[2]/ul/li[8]/span[2]/span"")"),"Loading...")</f>
        <v>Loading...</v>
      </c>
      <c r="T3059" s="4">
        <v>34.6</v>
      </c>
      <c r="U3059" s="4">
        <v>22.7</v>
      </c>
      <c r="V3059" s="4">
        <v>2.6</v>
      </c>
      <c r="W3059" s="4">
        <v>5.7</v>
      </c>
      <c r="X3059" s="4">
        <v>519.92999999999995</v>
      </c>
      <c r="Y3059" s="7" t="e">
        <f t="shared" ca="1" si="64"/>
        <v>#VALUE!</v>
      </c>
    </row>
    <row r="3060" spans="1:25" ht="15" x14ac:dyDescent="0.25">
      <c r="A3060" s="4">
        <v>3039</v>
      </c>
      <c r="C3060" s="41" t="s">
        <v>5379</v>
      </c>
      <c r="D3060" s="42"/>
      <c r="E3060" s="5" t="str">
        <f t="shared" si="60"/>
        <v>https://www.screener.in/company//consolidated/</v>
      </c>
      <c r="F3060" s="4">
        <v>443059</v>
      </c>
      <c r="G3060" s="4">
        <v>3832241897</v>
      </c>
      <c r="H3060" s="6" t="e">
        <f t="shared" ca="1" si="61"/>
        <v>#VALUE!</v>
      </c>
      <c r="I3060" s="7" t="str">
        <f ca="1">IFERROR(__xludf.DUMMYFUNCTION("IMPORTXML(E3060,""/html/body/main/div[3]/div[3]/div[2]/ul/li[5]/span[2]/span"")"),"Loading...")</f>
        <v>Loading...</v>
      </c>
      <c r="J3060" s="7" t="str">
        <f ca="1">IFERROR(__xludf.DUMMYFUNCTION("GOOGLEFINANCE(""NSE:""&amp;D3060,""marketcap"")"),"#N/A")</f>
        <v>#N/A</v>
      </c>
      <c r="K3060" s="7">
        <v>992.8</v>
      </c>
      <c r="L3060" s="8" t="str">
        <f ca="1">IFERROR(__xludf.DUMMYFUNCTION("GOOGLEFINANCE(""NSE:""&amp;D3060,""price"")"),"#N/A")</f>
        <v>#N/A</v>
      </c>
      <c r="M3060" s="9" t="e">
        <f t="shared" ca="1" si="62"/>
        <v>#VALUE!</v>
      </c>
      <c r="N3060" s="10" t="e">
        <f t="shared" ca="1" si="63"/>
        <v>#VALUE!</v>
      </c>
      <c r="O3060" s="7" t="str">
        <f ca="1">IFERROR(__xludf.DUMMYFUNCTION("GOOGLEFINANCE(""NSE:""&amp;D3060,""pe"")"),"#N/A")</f>
        <v>#N/A</v>
      </c>
      <c r="P3060" s="7" t="str">
        <f ca="1">IFERROR(__xludf.DUMMYFUNCTION("GOOGLEFINANCE(""NSE:""&amp;D3060,""EPS"")"),"#N/A")</f>
        <v>#N/A</v>
      </c>
      <c r="Q3060" s="7">
        <v>13.5</v>
      </c>
      <c r="R3060" s="7" t="str">
        <f ca="1">IFERROR(__xludf.DUMMYFUNCTION("IMPORTXML(E3060,""/html/body/main/div[3]/div[3]/div[2]/ul/li[7]/span[2]/span"")"),"Loading...")</f>
        <v>Loading...</v>
      </c>
      <c r="S3060" s="7" t="str">
        <f ca="1">IFERROR(__xludf.DUMMYFUNCTION("IMPORTXML(E3060,""/html/body/main/div[3]/div[3]/div[2]/ul/li[8]/span[2]/span"")"),"Loading...")</f>
        <v>Loading...</v>
      </c>
      <c r="T3060" s="4">
        <v>34.6</v>
      </c>
      <c r="U3060" s="4">
        <v>22.7</v>
      </c>
      <c r="V3060" s="4">
        <v>2.6</v>
      </c>
      <c r="W3060" s="4">
        <v>5.7</v>
      </c>
      <c r="X3060" s="4">
        <v>519.92999999999995</v>
      </c>
      <c r="Y3060" s="7" t="e">
        <f t="shared" ca="1" si="64"/>
        <v>#VALUE!</v>
      </c>
    </row>
    <row r="3061" spans="1:25" ht="15" x14ac:dyDescent="0.25">
      <c r="A3061" s="4">
        <v>3040</v>
      </c>
      <c r="C3061" s="41" t="s">
        <v>5380</v>
      </c>
      <c r="D3061" s="42"/>
      <c r="E3061" s="5" t="str">
        <f t="shared" si="60"/>
        <v>https://www.screener.in/company//consolidated/</v>
      </c>
      <c r="F3061" s="4">
        <v>443059</v>
      </c>
      <c r="G3061" s="4">
        <v>3832241897</v>
      </c>
      <c r="H3061" s="6" t="e">
        <f t="shared" ca="1" si="61"/>
        <v>#VALUE!</v>
      </c>
      <c r="I3061" s="7" t="str">
        <f ca="1">IFERROR(__xludf.DUMMYFUNCTION("IMPORTXML(E3061,""/html/body/main/div[3]/div[3]/div[2]/ul/li[5]/span[2]/span"")"),"Loading...")</f>
        <v>Loading...</v>
      </c>
      <c r="J3061" s="7" t="str">
        <f ca="1">IFERROR(__xludf.DUMMYFUNCTION("GOOGLEFINANCE(""NSE:""&amp;D3061,""marketcap"")"),"#N/A")</f>
        <v>#N/A</v>
      </c>
      <c r="K3061" s="7">
        <v>992.8</v>
      </c>
      <c r="L3061" s="8" t="str">
        <f ca="1">IFERROR(__xludf.DUMMYFUNCTION("GOOGLEFINANCE(""NSE:""&amp;D3061,""price"")"),"#N/A")</f>
        <v>#N/A</v>
      </c>
      <c r="M3061" s="9" t="e">
        <f t="shared" ca="1" si="62"/>
        <v>#VALUE!</v>
      </c>
      <c r="N3061" s="10" t="e">
        <f t="shared" ca="1" si="63"/>
        <v>#VALUE!</v>
      </c>
      <c r="O3061" s="7" t="str">
        <f ca="1">IFERROR(__xludf.DUMMYFUNCTION("GOOGLEFINANCE(""NSE:""&amp;D3061,""pe"")"),"#N/A")</f>
        <v>#N/A</v>
      </c>
      <c r="P3061" s="7" t="str">
        <f ca="1">IFERROR(__xludf.DUMMYFUNCTION("GOOGLEFINANCE(""NSE:""&amp;D3061,""EPS"")"),"#N/A")</f>
        <v>#N/A</v>
      </c>
      <c r="Q3061" s="7">
        <v>13.5</v>
      </c>
      <c r="R3061" s="7" t="str">
        <f ca="1">IFERROR(__xludf.DUMMYFUNCTION("IMPORTXML(E3061,""/html/body/main/div[3]/div[3]/div[2]/ul/li[7]/span[2]/span"")"),"Loading...")</f>
        <v>Loading...</v>
      </c>
      <c r="S3061" s="7" t="str">
        <f ca="1">IFERROR(__xludf.DUMMYFUNCTION("IMPORTXML(E3061,""/html/body/main/div[3]/div[3]/div[2]/ul/li[8]/span[2]/span"")"),"Loading...")</f>
        <v>Loading...</v>
      </c>
      <c r="T3061" s="4">
        <v>34.6</v>
      </c>
      <c r="U3061" s="4">
        <v>22.7</v>
      </c>
      <c r="V3061" s="4">
        <v>2.6</v>
      </c>
      <c r="W3061" s="4">
        <v>5.7</v>
      </c>
      <c r="X3061" s="4">
        <v>519.92999999999995</v>
      </c>
      <c r="Y3061" s="7" t="e">
        <f t="shared" ca="1" si="64"/>
        <v>#VALUE!</v>
      </c>
    </row>
    <row r="3062" spans="1:25" ht="15" x14ac:dyDescent="0.25">
      <c r="A3062" s="4">
        <v>3041</v>
      </c>
      <c r="C3062" s="41" t="s">
        <v>5381</v>
      </c>
      <c r="D3062" s="42"/>
      <c r="E3062" s="5" t="str">
        <f t="shared" si="60"/>
        <v>https://www.screener.in/company//consolidated/</v>
      </c>
      <c r="F3062" s="4">
        <v>443059</v>
      </c>
      <c r="G3062" s="4">
        <v>3832241897</v>
      </c>
      <c r="H3062" s="6" t="e">
        <f t="shared" ca="1" si="61"/>
        <v>#VALUE!</v>
      </c>
      <c r="I3062" s="7" t="str">
        <f ca="1">IFERROR(__xludf.DUMMYFUNCTION("IMPORTXML(E3062,""/html/body/main/div[3]/div[3]/div[2]/ul/li[5]/span[2]/span"")"),"Loading...")</f>
        <v>Loading...</v>
      </c>
      <c r="J3062" s="7" t="str">
        <f ca="1">IFERROR(__xludf.DUMMYFUNCTION("GOOGLEFINANCE(""NSE:""&amp;D3062,""marketcap"")"),"#N/A")</f>
        <v>#N/A</v>
      </c>
      <c r="K3062" s="7">
        <v>992.8</v>
      </c>
      <c r="L3062" s="8" t="str">
        <f ca="1">IFERROR(__xludf.DUMMYFUNCTION("GOOGLEFINANCE(""NSE:""&amp;D3062,""price"")"),"#N/A")</f>
        <v>#N/A</v>
      </c>
      <c r="M3062" s="9" t="e">
        <f t="shared" ca="1" si="62"/>
        <v>#VALUE!</v>
      </c>
      <c r="N3062" s="10" t="e">
        <f t="shared" ca="1" si="63"/>
        <v>#VALUE!</v>
      </c>
      <c r="O3062" s="7" t="str">
        <f ca="1">IFERROR(__xludf.DUMMYFUNCTION("GOOGLEFINANCE(""NSE:""&amp;D3062,""pe"")"),"#N/A")</f>
        <v>#N/A</v>
      </c>
      <c r="P3062" s="7" t="str">
        <f ca="1">IFERROR(__xludf.DUMMYFUNCTION("GOOGLEFINANCE(""NSE:""&amp;D3062,""EPS"")"),"#N/A")</f>
        <v>#N/A</v>
      </c>
      <c r="Q3062" s="7">
        <v>13.5</v>
      </c>
      <c r="R3062" s="7" t="str">
        <f ca="1">IFERROR(__xludf.DUMMYFUNCTION("IMPORTXML(E3062,""/html/body/main/div[3]/div[3]/div[2]/ul/li[7]/span[2]/span"")"),"Loading...")</f>
        <v>Loading...</v>
      </c>
      <c r="S3062" s="7" t="str">
        <f ca="1">IFERROR(__xludf.DUMMYFUNCTION("IMPORTXML(E3062,""/html/body/main/div[3]/div[3]/div[2]/ul/li[8]/span[2]/span"")"),"Loading...")</f>
        <v>Loading...</v>
      </c>
      <c r="T3062" s="4">
        <v>34.6</v>
      </c>
      <c r="U3062" s="4">
        <v>22.7</v>
      </c>
      <c r="V3062" s="4">
        <v>2.6</v>
      </c>
      <c r="W3062" s="4">
        <v>5.7</v>
      </c>
      <c r="X3062" s="4">
        <v>519.92999999999995</v>
      </c>
      <c r="Y3062" s="7" t="e">
        <f t="shared" ca="1" si="64"/>
        <v>#VALUE!</v>
      </c>
    </row>
    <row r="3063" spans="1:25" ht="15" x14ac:dyDescent="0.25">
      <c r="A3063" s="4">
        <v>3042</v>
      </c>
      <c r="C3063" s="41" t="s">
        <v>5382</v>
      </c>
      <c r="D3063" s="42"/>
      <c r="E3063" s="5" t="str">
        <f t="shared" si="60"/>
        <v>https://www.screener.in/company//consolidated/</v>
      </c>
      <c r="F3063" s="4">
        <v>443059</v>
      </c>
      <c r="G3063" s="4">
        <v>3832241897</v>
      </c>
      <c r="H3063" s="6" t="e">
        <f t="shared" ca="1" si="61"/>
        <v>#VALUE!</v>
      </c>
      <c r="I3063" s="7" t="str">
        <f ca="1">IFERROR(__xludf.DUMMYFUNCTION("IMPORTXML(E3063,""/html/body/main/div[3]/div[3]/div[2]/ul/li[5]/span[2]/span"")"),"Loading...")</f>
        <v>Loading...</v>
      </c>
      <c r="J3063" s="7" t="str">
        <f ca="1">IFERROR(__xludf.DUMMYFUNCTION("GOOGLEFINANCE(""NSE:""&amp;D3063,""marketcap"")"),"#N/A")</f>
        <v>#N/A</v>
      </c>
      <c r="K3063" s="7">
        <v>992.8</v>
      </c>
      <c r="L3063" s="8" t="str">
        <f ca="1">IFERROR(__xludf.DUMMYFUNCTION("GOOGLEFINANCE(""NSE:""&amp;D3063,""price"")"),"#N/A")</f>
        <v>#N/A</v>
      </c>
      <c r="M3063" s="9" t="e">
        <f t="shared" ca="1" si="62"/>
        <v>#VALUE!</v>
      </c>
      <c r="N3063" s="10" t="e">
        <f t="shared" ca="1" si="63"/>
        <v>#VALUE!</v>
      </c>
      <c r="O3063" s="7" t="str">
        <f ca="1">IFERROR(__xludf.DUMMYFUNCTION("GOOGLEFINANCE(""NSE:""&amp;D3063,""pe"")"),"#N/A")</f>
        <v>#N/A</v>
      </c>
      <c r="P3063" s="7" t="str">
        <f ca="1">IFERROR(__xludf.DUMMYFUNCTION("GOOGLEFINANCE(""NSE:""&amp;D3063,""EPS"")"),"#N/A")</f>
        <v>#N/A</v>
      </c>
      <c r="Q3063" s="7">
        <v>13.5</v>
      </c>
      <c r="R3063" s="7" t="str">
        <f ca="1">IFERROR(__xludf.DUMMYFUNCTION("IMPORTXML(E3063,""/html/body/main/div[3]/div[3]/div[2]/ul/li[7]/span[2]/span"")"),"Loading...")</f>
        <v>Loading...</v>
      </c>
      <c r="S3063" s="7" t="str">
        <f ca="1">IFERROR(__xludf.DUMMYFUNCTION("IMPORTXML(E3063,""/html/body/main/div[3]/div[3]/div[2]/ul/li[8]/span[2]/span"")"),"Loading...")</f>
        <v>Loading...</v>
      </c>
      <c r="T3063" s="4">
        <v>34.6</v>
      </c>
      <c r="U3063" s="4">
        <v>22.7</v>
      </c>
      <c r="V3063" s="4">
        <v>2.6</v>
      </c>
      <c r="W3063" s="4">
        <v>5.7</v>
      </c>
      <c r="X3063" s="4">
        <v>519.92999999999995</v>
      </c>
      <c r="Y3063" s="7" t="e">
        <f t="shared" ca="1" si="64"/>
        <v>#VALUE!</v>
      </c>
    </row>
    <row r="3064" spans="1:25" ht="15" x14ac:dyDescent="0.25">
      <c r="A3064" s="4">
        <v>3043</v>
      </c>
      <c r="C3064" s="41" t="s">
        <v>5383</v>
      </c>
      <c r="D3064" s="42"/>
      <c r="E3064" s="5" t="str">
        <f t="shared" si="60"/>
        <v>https://www.screener.in/company//consolidated/</v>
      </c>
      <c r="F3064" s="4">
        <v>443059</v>
      </c>
      <c r="G3064" s="4">
        <v>3832241897</v>
      </c>
      <c r="H3064" s="6" t="e">
        <f t="shared" ca="1" si="61"/>
        <v>#VALUE!</v>
      </c>
      <c r="I3064" s="7" t="str">
        <f ca="1">IFERROR(__xludf.DUMMYFUNCTION("IMPORTXML(E3064,""/html/body/main/div[3]/div[3]/div[2]/ul/li[5]/span[2]/span"")"),"Loading...")</f>
        <v>Loading...</v>
      </c>
      <c r="J3064" s="7" t="str">
        <f ca="1">IFERROR(__xludf.DUMMYFUNCTION("GOOGLEFINANCE(""NSE:""&amp;D3064,""marketcap"")"),"#N/A")</f>
        <v>#N/A</v>
      </c>
      <c r="K3064" s="7">
        <v>992.8</v>
      </c>
      <c r="L3064" s="8" t="str">
        <f ca="1">IFERROR(__xludf.DUMMYFUNCTION("GOOGLEFINANCE(""NSE:""&amp;D3064,""price"")"),"#N/A")</f>
        <v>#N/A</v>
      </c>
      <c r="M3064" s="9" t="e">
        <f t="shared" ca="1" si="62"/>
        <v>#VALUE!</v>
      </c>
      <c r="N3064" s="10" t="e">
        <f t="shared" ca="1" si="63"/>
        <v>#VALUE!</v>
      </c>
      <c r="O3064" s="7" t="str">
        <f ca="1">IFERROR(__xludf.DUMMYFUNCTION("GOOGLEFINANCE(""NSE:""&amp;D3064,""pe"")"),"#N/A")</f>
        <v>#N/A</v>
      </c>
      <c r="P3064" s="7" t="str">
        <f ca="1">IFERROR(__xludf.DUMMYFUNCTION("GOOGLEFINANCE(""NSE:""&amp;D3064,""EPS"")"),"#N/A")</f>
        <v>#N/A</v>
      </c>
      <c r="Q3064" s="7">
        <v>13.5</v>
      </c>
      <c r="R3064" s="7" t="str">
        <f ca="1">IFERROR(__xludf.DUMMYFUNCTION("IMPORTXML(E3064,""/html/body/main/div[3]/div[3]/div[2]/ul/li[7]/span[2]/span"")"),"Loading...")</f>
        <v>Loading...</v>
      </c>
      <c r="S3064" s="7" t="str">
        <f ca="1">IFERROR(__xludf.DUMMYFUNCTION("IMPORTXML(E3064,""/html/body/main/div[3]/div[3]/div[2]/ul/li[8]/span[2]/span"")"),"Loading...")</f>
        <v>Loading...</v>
      </c>
      <c r="T3064" s="4">
        <v>34.6</v>
      </c>
      <c r="U3064" s="4">
        <v>22.7</v>
      </c>
      <c r="V3064" s="4">
        <v>2.6</v>
      </c>
      <c r="W3064" s="4">
        <v>5.7</v>
      </c>
      <c r="X3064" s="4">
        <v>519.92999999999995</v>
      </c>
      <c r="Y3064" s="7" t="e">
        <f t="shared" ca="1" si="64"/>
        <v>#VALUE!</v>
      </c>
    </row>
    <row r="3065" spans="1:25" ht="15" x14ac:dyDescent="0.25">
      <c r="A3065" s="4">
        <v>3044</v>
      </c>
      <c r="C3065" s="41" t="s">
        <v>5384</v>
      </c>
      <c r="D3065" s="42"/>
      <c r="E3065" s="5" t="str">
        <f t="shared" si="60"/>
        <v>https://www.screener.in/company//consolidated/</v>
      </c>
      <c r="F3065" s="4">
        <v>443059</v>
      </c>
      <c r="G3065" s="4">
        <v>3832241897</v>
      </c>
      <c r="H3065" s="6" t="e">
        <f t="shared" ca="1" si="61"/>
        <v>#VALUE!</v>
      </c>
      <c r="I3065" s="7" t="str">
        <f ca="1">IFERROR(__xludf.DUMMYFUNCTION("IMPORTXML(E3065,""/html/body/main/div[3]/div[3]/div[2]/ul/li[5]/span[2]/span"")"),"Loading...")</f>
        <v>Loading...</v>
      </c>
      <c r="J3065" s="7" t="str">
        <f ca="1">IFERROR(__xludf.DUMMYFUNCTION("GOOGLEFINANCE(""NSE:""&amp;D3065,""marketcap"")"),"#N/A")</f>
        <v>#N/A</v>
      </c>
      <c r="K3065" s="7">
        <v>992.8</v>
      </c>
      <c r="L3065" s="8" t="str">
        <f ca="1">IFERROR(__xludf.DUMMYFUNCTION("GOOGLEFINANCE(""NSE:""&amp;D3065,""price"")"),"#N/A")</f>
        <v>#N/A</v>
      </c>
      <c r="M3065" s="9" t="e">
        <f t="shared" ca="1" si="62"/>
        <v>#VALUE!</v>
      </c>
      <c r="N3065" s="10" t="e">
        <f t="shared" ca="1" si="63"/>
        <v>#VALUE!</v>
      </c>
      <c r="O3065" s="7" t="str">
        <f ca="1">IFERROR(__xludf.DUMMYFUNCTION("GOOGLEFINANCE(""NSE:""&amp;D3065,""pe"")"),"#N/A")</f>
        <v>#N/A</v>
      </c>
      <c r="P3065" s="7" t="str">
        <f ca="1">IFERROR(__xludf.DUMMYFUNCTION("GOOGLEFINANCE(""NSE:""&amp;D3065,""EPS"")"),"#N/A")</f>
        <v>#N/A</v>
      </c>
      <c r="Q3065" s="7">
        <v>13.5</v>
      </c>
      <c r="R3065" s="7" t="str">
        <f ca="1">IFERROR(__xludf.DUMMYFUNCTION("IMPORTXML(E3065,""/html/body/main/div[3]/div[3]/div[2]/ul/li[7]/span[2]/span"")"),"Loading...")</f>
        <v>Loading...</v>
      </c>
      <c r="S3065" s="7" t="str">
        <f ca="1">IFERROR(__xludf.DUMMYFUNCTION("IMPORTXML(E3065,""/html/body/main/div[3]/div[3]/div[2]/ul/li[8]/span[2]/span"")"),"Loading...")</f>
        <v>Loading...</v>
      </c>
      <c r="T3065" s="4">
        <v>34.6</v>
      </c>
      <c r="U3065" s="4">
        <v>22.7</v>
      </c>
      <c r="V3065" s="4">
        <v>2.6</v>
      </c>
      <c r="W3065" s="4">
        <v>5.7</v>
      </c>
      <c r="X3065" s="4">
        <v>519.92999999999995</v>
      </c>
      <c r="Y3065" s="7" t="e">
        <f t="shared" ca="1" si="64"/>
        <v>#VALUE!</v>
      </c>
    </row>
    <row r="3066" spans="1:25" ht="15" x14ac:dyDescent="0.25">
      <c r="A3066" s="4">
        <v>3045</v>
      </c>
      <c r="C3066" s="41" t="s">
        <v>5385</v>
      </c>
      <c r="D3066" s="42"/>
      <c r="E3066" s="5" t="str">
        <f t="shared" si="60"/>
        <v>https://www.screener.in/company//consolidated/</v>
      </c>
      <c r="F3066" s="4">
        <v>443059</v>
      </c>
      <c r="G3066" s="4">
        <v>3832241897</v>
      </c>
      <c r="H3066" s="6" t="e">
        <f t="shared" ca="1" si="61"/>
        <v>#VALUE!</v>
      </c>
      <c r="I3066" s="7" t="str">
        <f ca="1">IFERROR(__xludf.DUMMYFUNCTION("IMPORTXML(E3066,""/html/body/main/div[3]/div[3]/div[2]/ul/li[5]/span[2]/span"")"),"Loading...")</f>
        <v>Loading...</v>
      </c>
      <c r="J3066" s="7" t="str">
        <f ca="1">IFERROR(__xludf.DUMMYFUNCTION("GOOGLEFINANCE(""NSE:""&amp;D3066,""marketcap"")"),"#N/A")</f>
        <v>#N/A</v>
      </c>
      <c r="K3066" s="7">
        <v>992.8</v>
      </c>
      <c r="L3066" s="8" t="str">
        <f ca="1">IFERROR(__xludf.DUMMYFUNCTION("GOOGLEFINANCE(""NSE:""&amp;D3066,""price"")"),"#N/A")</f>
        <v>#N/A</v>
      </c>
      <c r="M3066" s="9" t="e">
        <f t="shared" ca="1" si="62"/>
        <v>#VALUE!</v>
      </c>
      <c r="N3066" s="10" t="e">
        <f t="shared" ca="1" si="63"/>
        <v>#VALUE!</v>
      </c>
      <c r="O3066" s="7" t="str">
        <f ca="1">IFERROR(__xludf.DUMMYFUNCTION("GOOGLEFINANCE(""NSE:""&amp;D3066,""pe"")"),"#N/A")</f>
        <v>#N/A</v>
      </c>
      <c r="P3066" s="7" t="str">
        <f ca="1">IFERROR(__xludf.DUMMYFUNCTION("GOOGLEFINANCE(""NSE:""&amp;D3066,""EPS"")"),"#N/A")</f>
        <v>#N/A</v>
      </c>
      <c r="Q3066" s="7">
        <v>13.5</v>
      </c>
      <c r="R3066" s="7" t="str">
        <f ca="1">IFERROR(__xludf.DUMMYFUNCTION("IMPORTXML(E3066,""/html/body/main/div[3]/div[3]/div[2]/ul/li[7]/span[2]/span"")"),"Loading...")</f>
        <v>Loading...</v>
      </c>
      <c r="S3066" s="7" t="str">
        <f ca="1">IFERROR(__xludf.DUMMYFUNCTION("IMPORTXML(E3066,""/html/body/main/div[3]/div[3]/div[2]/ul/li[8]/span[2]/span"")"),"Loading...")</f>
        <v>Loading...</v>
      </c>
      <c r="T3066" s="4">
        <v>34.6</v>
      </c>
      <c r="U3066" s="4">
        <v>22.7</v>
      </c>
      <c r="V3066" s="4">
        <v>2.6</v>
      </c>
      <c r="W3066" s="4">
        <v>5.7</v>
      </c>
      <c r="X3066" s="4">
        <v>519.92999999999995</v>
      </c>
      <c r="Y3066" s="7" t="e">
        <f t="shared" ca="1" si="64"/>
        <v>#VALUE!</v>
      </c>
    </row>
    <row r="3067" spans="1:25" ht="15" x14ac:dyDescent="0.25">
      <c r="A3067" s="4">
        <v>3046</v>
      </c>
      <c r="C3067" s="41" t="s">
        <v>5386</v>
      </c>
      <c r="D3067" s="42"/>
      <c r="E3067" s="5" t="str">
        <f t="shared" si="60"/>
        <v>https://www.screener.in/company//consolidated/</v>
      </c>
      <c r="F3067" s="4">
        <v>443059</v>
      </c>
      <c r="G3067" s="4">
        <v>3832241897</v>
      </c>
      <c r="H3067" s="6" t="e">
        <f t="shared" ca="1" si="61"/>
        <v>#VALUE!</v>
      </c>
      <c r="I3067" s="7" t="str">
        <f ca="1">IFERROR(__xludf.DUMMYFUNCTION("IMPORTXML(E3067,""/html/body/main/div[3]/div[3]/div[2]/ul/li[5]/span[2]/span"")"),"Loading...")</f>
        <v>Loading...</v>
      </c>
      <c r="J3067" s="7" t="str">
        <f ca="1">IFERROR(__xludf.DUMMYFUNCTION("GOOGLEFINANCE(""NSE:""&amp;D3067,""marketcap"")"),"#N/A")</f>
        <v>#N/A</v>
      </c>
      <c r="K3067" s="7">
        <v>992.8</v>
      </c>
      <c r="L3067" s="8" t="str">
        <f ca="1">IFERROR(__xludf.DUMMYFUNCTION("GOOGLEFINANCE(""NSE:""&amp;D3067,""price"")"),"#N/A")</f>
        <v>#N/A</v>
      </c>
      <c r="M3067" s="9" t="e">
        <f t="shared" ca="1" si="62"/>
        <v>#VALUE!</v>
      </c>
      <c r="N3067" s="10" t="e">
        <f t="shared" ca="1" si="63"/>
        <v>#VALUE!</v>
      </c>
      <c r="O3067" s="7" t="str">
        <f ca="1">IFERROR(__xludf.DUMMYFUNCTION("GOOGLEFINANCE(""NSE:""&amp;D3067,""pe"")"),"#N/A")</f>
        <v>#N/A</v>
      </c>
      <c r="P3067" s="7" t="str">
        <f ca="1">IFERROR(__xludf.DUMMYFUNCTION("GOOGLEFINANCE(""NSE:""&amp;D3067,""EPS"")"),"#N/A")</f>
        <v>#N/A</v>
      </c>
      <c r="Q3067" s="7">
        <v>13.5</v>
      </c>
      <c r="R3067" s="7" t="str">
        <f ca="1">IFERROR(__xludf.DUMMYFUNCTION("IMPORTXML(E3067,""/html/body/main/div[3]/div[3]/div[2]/ul/li[7]/span[2]/span"")"),"Loading...")</f>
        <v>Loading...</v>
      </c>
      <c r="S3067" s="7" t="str">
        <f ca="1">IFERROR(__xludf.DUMMYFUNCTION("IMPORTXML(E3067,""/html/body/main/div[3]/div[3]/div[2]/ul/li[8]/span[2]/span"")"),"Loading...")</f>
        <v>Loading...</v>
      </c>
      <c r="T3067" s="4">
        <v>34.6</v>
      </c>
      <c r="U3067" s="4">
        <v>22.7</v>
      </c>
      <c r="V3067" s="4">
        <v>2.6</v>
      </c>
      <c r="W3067" s="4">
        <v>5.7</v>
      </c>
      <c r="X3067" s="4">
        <v>519.92999999999995</v>
      </c>
      <c r="Y3067" s="7" t="e">
        <f t="shared" ca="1" si="64"/>
        <v>#VALUE!</v>
      </c>
    </row>
    <row r="3068" spans="1:25" ht="15" x14ac:dyDescent="0.25">
      <c r="A3068" s="4">
        <v>3047</v>
      </c>
      <c r="C3068" s="41" t="s">
        <v>5387</v>
      </c>
      <c r="D3068" s="42"/>
      <c r="E3068" s="5" t="str">
        <f t="shared" si="60"/>
        <v>https://www.screener.in/company//consolidated/</v>
      </c>
      <c r="F3068" s="4">
        <v>443059</v>
      </c>
      <c r="G3068" s="4">
        <v>3832241897</v>
      </c>
      <c r="H3068" s="6" t="e">
        <f t="shared" ca="1" si="61"/>
        <v>#VALUE!</v>
      </c>
      <c r="I3068" s="7" t="str">
        <f ca="1">IFERROR(__xludf.DUMMYFUNCTION("IMPORTXML(E3068,""/html/body/main/div[3]/div[3]/div[2]/ul/li[5]/span[2]/span"")"),"Loading...")</f>
        <v>Loading...</v>
      </c>
      <c r="J3068" s="7" t="str">
        <f ca="1">IFERROR(__xludf.DUMMYFUNCTION("GOOGLEFINANCE(""NSE:""&amp;D3068,""marketcap"")"),"#N/A")</f>
        <v>#N/A</v>
      </c>
      <c r="K3068" s="7">
        <v>992.8</v>
      </c>
      <c r="L3068" s="8" t="str">
        <f ca="1">IFERROR(__xludf.DUMMYFUNCTION("GOOGLEFINANCE(""NSE:""&amp;D3068,""price"")"),"#N/A")</f>
        <v>#N/A</v>
      </c>
      <c r="M3068" s="9" t="e">
        <f t="shared" ca="1" si="62"/>
        <v>#VALUE!</v>
      </c>
      <c r="N3068" s="10" t="e">
        <f t="shared" ca="1" si="63"/>
        <v>#VALUE!</v>
      </c>
      <c r="O3068" s="7" t="str">
        <f ca="1">IFERROR(__xludf.DUMMYFUNCTION("GOOGLEFINANCE(""NSE:""&amp;D3068,""pe"")"),"#N/A")</f>
        <v>#N/A</v>
      </c>
      <c r="P3068" s="7" t="str">
        <f ca="1">IFERROR(__xludf.DUMMYFUNCTION("GOOGLEFINANCE(""NSE:""&amp;D3068,""EPS"")"),"#N/A")</f>
        <v>#N/A</v>
      </c>
      <c r="Q3068" s="7">
        <v>13.5</v>
      </c>
      <c r="R3068" s="7" t="str">
        <f ca="1">IFERROR(__xludf.DUMMYFUNCTION("IMPORTXML(E3068,""/html/body/main/div[3]/div[3]/div[2]/ul/li[7]/span[2]/span"")"),"Loading...")</f>
        <v>Loading...</v>
      </c>
      <c r="S3068" s="7" t="str">
        <f ca="1">IFERROR(__xludf.DUMMYFUNCTION("IMPORTXML(E3068,""/html/body/main/div[3]/div[3]/div[2]/ul/li[8]/span[2]/span"")"),"Loading...")</f>
        <v>Loading...</v>
      </c>
      <c r="T3068" s="4">
        <v>34.6</v>
      </c>
      <c r="U3068" s="4">
        <v>22.7</v>
      </c>
      <c r="V3068" s="4">
        <v>2.6</v>
      </c>
      <c r="W3068" s="4">
        <v>5.7</v>
      </c>
      <c r="X3068" s="4">
        <v>519.92999999999995</v>
      </c>
      <c r="Y3068" s="7" t="e">
        <f t="shared" ca="1" si="64"/>
        <v>#VALUE!</v>
      </c>
    </row>
    <row r="3069" spans="1:25" ht="15" x14ac:dyDescent="0.25">
      <c r="A3069" s="4">
        <v>3048</v>
      </c>
      <c r="C3069" s="41" t="s">
        <v>5388</v>
      </c>
      <c r="D3069" s="42"/>
      <c r="E3069" s="5" t="str">
        <f t="shared" si="60"/>
        <v>https://www.screener.in/company//consolidated/</v>
      </c>
      <c r="F3069" s="4">
        <v>443059</v>
      </c>
      <c r="G3069" s="4">
        <v>3832241897</v>
      </c>
      <c r="H3069" s="6" t="e">
        <f t="shared" ca="1" si="61"/>
        <v>#VALUE!</v>
      </c>
      <c r="I3069" s="7" t="str">
        <f ca="1">IFERROR(__xludf.DUMMYFUNCTION("IMPORTXML(E3069,""/html/body/main/div[3]/div[3]/div[2]/ul/li[5]/span[2]/span"")"),"Loading...")</f>
        <v>Loading...</v>
      </c>
      <c r="J3069" s="7" t="str">
        <f ca="1">IFERROR(__xludf.DUMMYFUNCTION("GOOGLEFINANCE(""NSE:""&amp;D3069,""marketcap"")"),"#N/A")</f>
        <v>#N/A</v>
      </c>
      <c r="K3069" s="7">
        <v>992.8</v>
      </c>
      <c r="L3069" s="8" t="str">
        <f ca="1">IFERROR(__xludf.DUMMYFUNCTION("GOOGLEFINANCE(""NSE:""&amp;D3069,""price"")"),"#N/A")</f>
        <v>#N/A</v>
      </c>
      <c r="M3069" s="9" t="e">
        <f t="shared" ca="1" si="62"/>
        <v>#VALUE!</v>
      </c>
      <c r="N3069" s="10" t="e">
        <f t="shared" ca="1" si="63"/>
        <v>#VALUE!</v>
      </c>
      <c r="O3069" s="7" t="str">
        <f ca="1">IFERROR(__xludf.DUMMYFUNCTION("GOOGLEFINANCE(""NSE:""&amp;D3069,""pe"")"),"#N/A")</f>
        <v>#N/A</v>
      </c>
      <c r="P3069" s="7" t="str">
        <f ca="1">IFERROR(__xludf.DUMMYFUNCTION("GOOGLEFINANCE(""NSE:""&amp;D3069,""EPS"")"),"#N/A")</f>
        <v>#N/A</v>
      </c>
      <c r="Q3069" s="7">
        <v>13.5</v>
      </c>
      <c r="R3069" s="7" t="str">
        <f ca="1">IFERROR(__xludf.DUMMYFUNCTION("IMPORTXML(E3069,""/html/body/main/div[3]/div[3]/div[2]/ul/li[7]/span[2]/span"")"),"Loading...")</f>
        <v>Loading...</v>
      </c>
      <c r="S3069" s="7" t="str">
        <f ca="1">IFERROR(__xludf.DUMMYFUNCTION("IMPORTXML(E3069,""/html/body/main/div[3]/div[3]/div[2]/ul/li[8]/span[2]/span"")"),"Loading...")</f>
        <v>Loading...</v>
      </c>
      <c r="T3069" s="4">
        <v>34.6</v>
      </c>
      <c r="U3069" s="4">
        <v>22.7</v>
      </c>
      <c r="V3069" s="4">
        <v>2.6</v>
      </c>
      <c r="W3069" s="4">
        <v>5.7</v>
      </c>
      <c r="X3069" s="4">
        <v>519.92999999999995</v>
      </c>
      <c r="Y3069" s="7" t="e">
        <f t="shared" ca="1" si="64"/>
        <v>#VALUE!</v>
      </c>
    </row>
    <row r="3070" spans="1:25" ht="15" x14ac:dyDescent="0.25">
      <c r="A3070" s="4">
        <v>3050</v>
      </c>
      <c r="C3070" s="41" t="s">
        <v>5389</v>
      </c>
      <c r="D3070" s="42"/>
      <c r="E3070" s="5" t="str">
        <f t="shared" si="60"/>
        <v>https://www.screener.in/company//consolidated/</v>
      </c>
      <c r="F3070" s="4">
        <v>443059</v>
      </c>
      <c r="G3070" s="4">
        <v>3832241897</v>
      </c>
      <c r="H3070" s="6" t="e">
        <f t="shared" ca="1" si="61"/>
        <v>#VALUE!</v>
      </c>
      <c r="I3070" s="7" t="str">
        <f ca="1">IFERROR(__xludf.DUMMYFUNCTION("IMPORTXML(E3070,""/html/body/main/div[3]/div[3]/div[2]/ul/li[5]/span[2]/span"")"),"Loading...")</f>
        <v>Loading...</v>
      </c>
      <c r="J3070" s="7" t="str">
        <f ca="1">IFERROR(__xludf.DUMMYFUNCTION("GOOGLEFINANCE(""NSE:""&amp;D3070,""marketcap"")"),"#N/A")</f>
        <v>#N/A</v>
      </c>
      <c r="K3070" s="7">
        <v>992.8</v>
      </c>
      <c r="L3070" s="8" t="str">
        <f ca="1">IFERROR(__xludf.DUMMYFUNCTION("GOOGLEFINANCE(""NSE:""&amp;D3070,""price"")"),"#N/A")</f>
        <v>#N/A</v>
      </c>
      <c r="M3070" s="9" t="e">
        <f t="shared" ca="1" si="62"/>
        <v>#VALUE!</v>
      </c>
      <c r="N3070" s="10" t="e">
        <f t="shared" ca="1" si="63"/>
        <v>#VALUE!</v>
      </c>
      <c r="O3070" s="7" t="str">
        <f ca="1">IFERROR(__xludf.DUMMYFUNCTION("GOOGLEFINANCE(""NSE:""&amp;D3070,""pe"")"),"#N/A")</f>
        <v>#N/A</v>
      </c>
      <c r="P3070" s="7" t="str">
        <f ca="1">IFERROR(__xludf.DUMMYFUNCTION("GOOGLEFINANCE(""NSE:""&amp;D3070,""EPS"")"),"#N/A")</f>
        <v>#N/A</v>
      </c>
      <c r="Q3070" s="7">
        <v>13.5</v>
      </c>
      <c r="R3070" s="7" t="str">
        <f ca="1">IFERROR(__xludf.DUMMYFUNCTION("IMPORTXML(E3070,""/html/body/main/div[3]/div[3]/div[2]/ul/li[7]/span[2]/span"")"),"Loading...")</f>
        <v>Loading...</v>
      </c>
      <c r="S3070" s="7" t="str">
        <f ca="1">IFERROR(__xludf.DUMMYFUNCTION("IMPORTXML(E3070,""/html/body/main/div[3]/div[3]/div[2]/ul/li[8]/span[2]/span"")"),"Loading...")</f>
        <v>Loading...</v>
      </c>
      <c r="T3070" s="4">
        <v>34.6</v>
      </c>
      <c r="U3070" s="4">
        <v>22.7</v>
      </c>
      <c r="V3070" s="4">
        <v>2.6</v>
      </c>
      <c r="W3070" s="4">
        <v>5.7</v>
      </c>
      <c r="X3070" s="4">
        <v>519.92999999999995</v>
      </c>
      <c r="Y3070" s="7" t="e">
        <f t="shared" ca="1" si="64"/>
        <v>#VALUE!</v>
      </c>
    </row>
    <row r="3071" spans="1:25" ht="15" x14ac:dyDescent="0.25">
      <c r="A3071" s="4">
        <v>3051</v>
      </c>
      <c r="C3071" s="41" t="s">
        <v>5390</v>
      </c>
      <c r="D3071" s="42"/>
      <c r="E3071" s="5" t="str">
        <f t="shared" si="60"/>
        <v>https://www.screener.in/company//consolidated/</v>
      </c>
      <c r="F3071" s="4">
        <v>443059</v>
      </c>
      <c r="G3071" s="4">
        <v>3832241897</v>
      </c>
      <c r="H3071" s="6" t="e">
        <f t="shared" ca="1" si="61"/>
        <v>#VALUE!</v>
      </c>
      <c r="I3071" s="7" t="str">
        <f ca="1">IFERROR(__xludf.DUMMYFUNCTION("IMPORTXML(E3071,""/html/body/main/div[3]/div[3]/div[2]/ul/li[5]/span[2]/span"")"),"Loading...")</f>
        <v>Loading...</v>
      </c>
      <c r="J3071" s="7" t="str">
        <f ca="1">IFERROR(__xludf.DUMMYFUNCTION("GOOGLEFINANCE(""NSE:""&amp;D3071,""marketcap"")"),"#N/A")</f>
        <v>#N/A</v>
      </c>
      <c r="K3071" s="7">
        <v>992.8</v>
      </c>
      <c r="L3071" s="8" t="str">
        <f ca="1">IFERROR(__xludf.DUMMYFUNCTION("GOOGLEFINANCE(""NSE:""&amp;D3071,""price"")"),"#N/A")</f>
        <v>#N/A</v>
      </c>
      <c r="M3071" s="9" t="e">
        <f t="shared" ca="1" si="62"/>
        <v>#VALUE!</v>
      </c>
      <c r="N3071" s="10" t="e">
        <f t="shared" ca="1" si="63"/>
        <v>#VALUE!</v>
      </c>
      <c r="O3071" s="7" t="str">
        <f ca="1">IFERROR(__xludf.DUMMYFUNCTION("GOOGLEFINANCE(""NSE:""&amp;D3071,""pe"")"),"#N/A")</f>
        <v>#N/A</v>
      </c>
      <c r="P3071" s="7" t="str">
        <f ca="1">IFERROR(__xludf.DUMMYFUNCTION("GOOGLEFINANCE(""NSE:""&amp;D3071,""EPS"")"),"#N/A")</f>
        <v>#N/A</v>
      </c>
      <c r="Q3071" s="7">
        <v>13.5</v>
      </c>
      <c r="R3071" s="7" t="str">
        <f ca="1">IFERROR(__xludf.DUMMYFUNCTION("IMPORTXML(E3071,""/html/body/main/div[3]/div[3]/div[2]/ul/li[7]/span[2]/span"")"),"Loading...")</f>
        <v>Loading...</v>
      </c>
      <c r="S3071" s="7" t="str">
        <f ca="1">IFERROR(__xludf.DUMMYFUNCTION("IMPORTXML(E3071,""/html/body/main/div[3]/div[3]/div[2]/ul/li[8]/span[2]/span"")"),"Loading...")</f>
        <v>Loading...</v>
      </c>
      <c r="T3071" s="4">
        <v>34.6</v>
      </c>
      <c r="U3071" s="4">
        <v>22.7</v>
      </c>
      <c r="V3071" s="4">
        <v>2.6</v>
      </c>
      <c r="W3071" s="4">
        <v>5.7</v>
      </c>
      <c r="X3071" s="4">
        <v>519.92999999999995</v>
      </c>
      <c r="Y3071" s="7" t="e">
        <f t="shared" ca="1" si="64"/>
        <v>#VALUE!</v>
      </c>
    </row>
    <row r="3072" spans="1:25" ht="15" x14ac:dyDescent="0.25">
      <c r="A3072" s="4">
        <v>3052</v>
      </c>
      <c r="C3072" s="41" t="s">
        <v>5391</v>
      </c>
      <c r="D3072" s="42"/>
      <c r="E3072" s="5" t="str">
        <f t="shared" si="60"/>
        <v>https://www.screener.in/company//consolidated/</v>
      </c>
      <c r="F3072" s="4">
        <v>443059</v>
      </c>
      <c r="G3072" s="4">
        <v>3832241897</v>
      </c>
      <c r="H3072" s="6" t="e">
        <f t="shared" ca="1" si="61"/>
        <v>#VALUE!</v>
      </c>
      <c r="I3072" s="7" t="str">
        <f ca="1">IFERROR(__xludf.DUMMYFUNCTION("IMPORTXML(E3072,""/html/body/main/div[3]/div[3]/div[2]/ul/li[5]/span[2]/span"")"),"Loading...")</f>
        <v>Loading...</v>
      </c>
      <c r="J3072" s="7" t="str">
        <f ca="1">IFERROR(__xludf.DUMMYFUNCTION("GOOGLEFINANCE(""NSE:""&amp;D3072,""marketcap"")"),"#N/A")</f>
        <v>#N/A</v>
      </c>
      <c r="K3072" s="7">
        <v>992.8</v>
      </c>
      <c r="L3072" s="8" t="str">
        <f ca="1">IFERROR(__xludf.DUMMYFUNCTION("GOOGLEFINANCE(""NSE:""&amp;D3072,""price"")"),"#N/A")</f>
        <v>#N/A</v>
      </c>
      <c r="M3072" s="9" t="e">
        <f t="shared" ca="1" si="62"/>
        <v>#VALUE!</v>
      </c>
      <c r="N3072" s="10" t="e">
        <f t="shared" ca="1" si="63"/>
        <v>#VALUE!</v>
      </c>
      <c r="O3072" s="7" t="str">
        <f ca="1">IFERROR(__xludf.DUMMYFUNCTION("GOOGLEFINANCE(""NSE:""&amp;D3072,""pe"")"),"#N/A")</f>
        <v>#N/A</v>
      </c>
      <c r="P3072" s="7" t="str">
        <f ca="1">IFERROR(__xludf.DUMMYFUNCTION("GOOGLEFINANCE(""NSE:""&amp;D3072,""EPS"")"),"#N/A")</f>
        <v>#N/A</v>
      </c>
      <c r="Q3072" s="7">
        <v>13.5</v>
      </c>
      <c r="R3072" s="7" t="str">
        <f ca="1">IFERROR(__xludf.DUMMYFUNCTION("IMPORTXML(E3072,""/html/body/main/div[3]/div[3]/div[2]/ul/li[7]/span[2]/span"")"),"Loading...")</f>
        <v>Loading...</v>
      </c>
      <c r="S3072" s="7" t="str">
        <f ca="1">IFERROR(__xludf.DUMMYFUNCTION("IMPORTXML(E3072,""/html/body/main/div[3]/div[3]/div[2]/ul/li[8]/span[2]/span"")"),"Loading...")</f>
        <v>Loading...</v>
      </c>
      <c r="T3072" s="4">
        <v>34.6</v>
      </c>
      <c r="U3072" s="4">
        <v>22.7</v>
      </c>
      <c r="V3072" s="4">
        <v>2.6</v>
      </c>
      <c r="W3072" s="4">
        <v>5.7</v>
      </c>
      <c r="X3072" s="4">
        <v>519.92999999999995</v>
      </c>
      <c r="Y3072" s="7" t="e">
        <f t="shared" ca="1" si="64"/>
        <v>#VALUE!</v>
      </c>
    </row>
    <row r="3073" spans="1:25" ht="15" x14ac:dyDescent="0.25">
      <c r="A3073" s="4">
        <v>3053</v>
      </c>
      <c r="C3073" s="12" t="s">
        <v>5392</v>
      </c>
      <c r="D3073" s="12" t="s">
        <v>5393</v>
      </c>
      <c r="E3073" s="5" t="str">
        <f t="shared" si="60"/>
        <v>https://www.screener.in/company/TGBHOTELS/consolidated/</v>
      </c>
      <c r="F3073" s="4">
        <v>443059</v>
      </c>
      <c r="G3073" s="4">
        <v>3832241897</v>
      </c>
      <c r="H3073" s="6">
        <f t="shared" ca="1" si="61"/>
        <v>4518.2131965629997</v>
      </c>
      <c r="I3073" s="7" t="str">
        <f ca="1">IFERROR(__xludf.DUMMYFUNCTION("IMPORTXML(E3073,""/html/body/main/div[3]/div[3]/div[2]/ul/li[5]/span[2]/span"")"),"Loading...")</f>
        <v>Loading...</v>
      </c>
      <c r="J3073" s="7">
        <f ca="1">IFERROR(__xludf.DUMMYFUNCTION("GOOGLEFINANCE(""NSE:""&amp;D3073,""marketcap"")"),344698923)</f>
        <v>344698923</v>
      </c>
      <c r="K3073" s="7">
        <v>992.8</v>
      </c>
      <c r="L3073" s="8">
        <f ca="1">IFERROR(__xludf.DUMMYFUNCTION("GOOGLEFINANCE(""NSE:""&amp;D3073,""price"")"),11.79)</f>
        <v>11.79</v>
      </c>
      <c r="M3073" s="9">
        <f t="shared" ca="1" si="62"/>
        <v>-981.01</v>
      </c>
      <c r="N3073" s="10">
        <f t="shared" ca="1" si="63"/>
        <v>-98.812449637389207</v>
      </c>
      <c r="O3073" s="7">
        <f ca="1">IFERROR(__xludf.DUMMYFUNCTION("GOOGLEFINANCE(""NSE:""&amp;D3073,""pe"")"),17.6)</f>
        <v>17.600000000000001</v>
      </c>
      <c r="P3073" s="7">
        <f ca="1">IFERROR(__xludf.DUMMYFUNCTION("GOOGLEFINANCE(""NSE:""&amp;D3073,""EPS"")"),0.67)</f>
        <v>0.67</v>
      </c>
      <c r="Q3073" s="7">
        <v>13.5</v>
      </c>
      <c r="R3073" s="7" t="str">
        <f ca="1">IFERROR(__xludf.DUMMYFUNCTION("IMPORTXML(E3073,""/html/body/main/div[3]/div[3]/div[2]/ul/li[7]/span[2]/span"")"),"Loading...")</f>
        <v>Loading...</v>
      </c>
      <c r="S3073" s="7" t="str">
        <f ca="1">IFERROR(__xludf.DUMMYFUNCTION("IMPORTXML(E3073,""/html/body/main/div[3]/div[3]/div[2]/ul/li[8]/span[2]/span"")"),"Loading...")</f>
        <v>Loading...</v>
      </c>
      <c r="T3073" s="4">
        <v>34.6</v>
      </c>
      <c r="U3073" s="4">
        <v>22.7</v>
      </c>
      <c r="V3073" s="4">
        <v>2.6</v>
      </c>
      <c r="W3073" s="4">
        <v>5.7</v>
      </c>
      <c r="X3073" s="4">
        <v>519.92999999999995</v>
      </c>
      <c r="Y3073" s="7">
        <f t="shared" ca="1" si="64"/>
        <v>-508.13999999999993</v>
      </c>
    </row>
    <row r="3074" spans="1:25" ht="15" x14ac:dyDescent="0.25">
      <c r="A3074" s="4">
        <v>3054</v>
      </c>
      <c r="C3074" s="41" t="s">
        <v>5394</v>
      </c>
      <c r="D3074" s="42"/>
      <c r="E3074" s="5" t="str">
        <f t="shared" si="60"/>
        <v>https://www.screener.in/company//consolidated/</v>
      </c>
      <c r="F3074" s="4">
        <v>443059</v>
      </c>
      <c r="G3074" s="4">
        <v>3832241897</v>
      </c>
      <c r="H3074" s="6" t="e">
        <f t="shared" ca="1" si="61"/>
        <v>#VALUE!</v>
      </c>
      <c r="I3074" s="7" t="str">
        <f ca="1">IFERROR(__xludf.DUMMYFUNCTION("IMPORTXML(E3074,""/html/body/main/div[3]/div[3]/div[2]/ul/li[5]/span[2]/span"")"),"Loading...")</f>
        <v>Loading...</v>
      </c>
      <c r="J3074" s="7" t="str">
        <f ca="1">IFERROR(__xludf.DUMMYFUNCTION("GOOGLEFINANCE(""NSE:""&amp;D3074,""marketcap"")"),"#N/A")</f>
        <v>#N/A</v>
      </c>
      <c r="K3074" s="7">
        <v>992.8</v>
      </c>
      <c r="L3074" s="8" t="str">
        <f ca="1">IFERROR(__xludf.DUMMYFUNCTION("GOOGLEFINANCE(""NSE:""&amp;D3074,""price"")"),"#N/A")</f>
        <v>#N/A</v>
      </c>
      <c r="M3074" s="9" t="e">
        <f t="shared" ca="1" si="62"/>
        <v>#VALUE!</v>
      </c>
      <c r="N3074" s="10" t="e">
        <f t="shared" ca="1" si="63"/>
        <v>#VALUE!</v>
      </c>
      <c r="O3074" s="7" t="str">
        <f ca="1">IFERROR(__xludf.DUMMYFUNCTION("GOOGLEFINANCE(""NSE:""&amp;D3074,""pe"")"),"#N/A")</f>
        <v>#N/A</v>
      </c>
      <c r="P3074" s="7" t="str">
        <f ca="1">IFERROR(__xludf.DUMMYFUNCTION("GOOGLEFINANCE(""NSE:""&amp;D3074,""EPS"")"),"#N/A")</f>
        <v>#N/A</v>
      </c>
      <c r="Q3074" s="7">
        <v>13.5</v>
      </c>
      <c r="R3074" s="7" t="str">
        <f ca="1">IFERROR(__xludf.DUMMYFUNCTION("IMPORTXML(E3074,""/html/body/main/div[3]/div[3]/div[2]/ul/li[7]/span[2]/span"")"),"Loading...")</f>
        <v>Loading...</v>
      </c>
      <c r="S3074" s="7" t="str">
        <f ca="1">IFERROR(__xludf.DUMMYFUNCTION("IMPORTXML(E3074,""/html/body/main/div[3]/div[3]/div[2]/ul/li[8]/span[2]/span"")"),"Loading...")</f>
        <v>Loading...</v>
      </c>
      <c r="T3074" s="4">
        <v>34.6</v>
      </c>
      <c r="U3074" s="4">
        <v>22.7</v>
      </c>
      <c r="V3074" s="4">
        <v>2.6</v>
      </c>
      <c r="W3074" s="4">
        <v>5.7</v>
      </c>
      <c r="X3074" s="4">
        <v>519.92999999999995</v>
      </c>
      <c r="Y3074" s="7" t="e">
        <f t="shared" ca="1" si="64"/>
        <v>#VALUE!</v>
      </c>
    </row>
    <row r="3075" spans="1:25" ht="15" x14ac:dyDescent="0.25">
      <c r="A3075" s="4">
        <v>3055</v>
      </c>
      <c r="C3075" s="41" t="s">
        <v>5395</v>
      </c>
      <c r="D3075" s="42"/>
      <c r="E3075" s="5" t="str">
        <f t="shared" si="60"/>
        <v>https://www.screener.in/company//consolidated/</v>
      </c>
      <c r="F3075" s="4">
        <v>443059</v>
      </c>
      <c r="G3075" s="4">
        <v>3832241897</v>
      </c>
      <c r="H3075" s="6" t="e">
        <f t="shared" ca="1" si="61"/>
        <v>#VALUE!</v>
      </c>
      <c r="I3075" s="7" t="str">
        <f ca="1">IFERROR(__xludf.DUMMYFUNCTION("IMPORTXML(E3075,""/html/body/main/div[3]/div[3]/div[2]/ul/li[5]/span[2]/span"")"),"Loading...")</f>
        <v>Loading...</v>
      </c>
      <c r="J3075" s="7" t="str">
        <f ca="1">IFERROR(__xludf.DUMMYFUNCTION("GOOGLEFINANCE(""NSE:""&amp;D3075,""marketcap"")"),"#N/A")</f>
        <v>#N/A</v>
      </c>
      <c r="K3075" s="7">
        <v>992.8</v>
      </c>
      <c r="L3075" s="8" t="str">
        <f ca="1">IFERROR(__xludf.DUMMYFUNCTION("GOOGLEFINANCE(""NSE:""&amp;D3075,""price"")"),"#N/A")</f>
        <v>#N/A</v>
      </c>
      <c r="M3075" s="9" t="e">
        <f t="shared" ca="1" si="62"/>
        <v>#VALUE!</v>
      </c>
      <c r="N3075" s="10" t="e">
        <f t="shared" ca="1" si="63"/>
        <v>#VALUE!</v>
      </c>
      <c r="O3075" s="7" t="str">
        <f ca="1">IFERROR(__xludf.DUMMYFUNCTION("GOOGLEFINANCE(""NSE:""&amp;D3075,""pe"")"),"#N/A")</f>
        <v>#N/A</v>
      </c>
      <c r="P3075" s="7" t="str">
        <f ca="1">IFERROR(__xludf.DUMMYFUNCTION("GOOGLEFINANCE(""NSE:""&amp;D3075,""EPS"")"),"#N/A")</f>
        <v>#N/A</v>
      </c>
      <c r="Q3075" s="7">
        <v>13.5</v>
      </c>
      <c r="R3075" s="7" t="str">
        <f ca="1">IFERROR(__xludf.DUMMYFUNCTION("IMPORTXML(E3075,""/html/body/main/div[3]/div[3]/div[2]/ul/li[7]/span[2]/span"")"),"Loading...")</f>
        <v>Loading...</v>
      </c>
      <c r="S3075" s="7" t="str">
        <f ca="1">IFERROR(__xludf.DUMMYFUNCTION("IMPORTXML(E3075,""/html/body/main/div[3]/div[3]/div[2]/ul/li[8]/span[2]/span"")"),"Loading...")</f>
        <v>Loading...</v>
      </c>
      <c r="T3075" s="4">
        <v>34.6</v>
      </c>
      <c r="U3075" s="4">
        <v>22.7</v>
      </c>
      <c r="V3075" s="4">
        <v>2.6</v>
      </c>
      <c r="W3075" s="4">
        <v>5.7</v>
      </c>
      <c r="X3075" s="4">
        <v>519.92999999999995</v>
      </c>
      <c r="Y3075" s="7" t="e">
        <f t="shared" ca="1" si="64"/>
        <v>#VALUE!</v>
      </c>
    </row>
    <row r="3076" spans="1:25" ht="15" x14ac:dyDescent="0.25">
      <c r="A3076" s="4">
        <v>3056</v>
      </c>
      <c r="C3076" s="12" t="s">
        <v>5396</v>
      </c>
      <c r="D3076" s="37"/>
      <c r="E3076" s="5" t="str">
        <f t="shared" si="60"/>
        <v>https://www.screener.in/company//consolidated/</v>
      </c>
      <c r="F3076" s="4">
        <v>443059</v>
      </c>
      <c r="G3076" s="4">
        <v>3832241897</v>
      </c>
      <c r="H3076" s="6" t="e">
        <f t="shared" ca="1" si="61"/>
        <v>#VALUE!</v>
      </c>
      <c r="I3076" s="7" t="str">
        <f ca="1">IFERROR(__xludf.DUMMYFUNCTION("IMPORTXML(E3076,""/html/body/main/div[3]/div[3]/div[2]/ul/li[5]/span[2]/span"")"),"Loading...")</f>
        <v>Loading...</v>
      </c>
      <c r="J3076" s="7" t="str">
        <f ca="1">IFERROR(__xludf.DUMMYFUNCTION("GOOGLEFINANCE(""NSE:""&amp;D3076,""marketcap"")"),"#N/A")</f>
        <v>#N/A</v>
      </c>
      <c r="K3076" s="7">
        <v>992.8</v>
      </c>
      <c r="L3076" s="8" t="str">
        <f ca="1">IFERROR(__xludf.DUMMYFUNCTION("GOOGLEFINANCE(""NSE:""&amp;D3076,""price"")"),"#N/A")</f>
        <v>#N/A</v>
      </c>
      <c r="M3076" s="9" t="e">
        <f t="shared" ca="1" si="62"/>
        <v>#VALUE!</v>
      </c>
      <c r="N3076" s="10" t="e">
        <f t="shared" ca="1" si="63"/>
        <v>#VALUE!</v>
      </c>
      <c r="O3076" s="7" t="str">
        <f ca="1">IFERROR(__xludf.DUMMYFUNCTION("GOOGLEFINANCE(""NSE:""&amp;D3076,""pe"")"),"#N/A")</f>
        <v>#N/A</v>
      </c>
      <c r="P3076" s="7" t="str">
        <f ca="1">IFERROR(__xludf.DUMMYFUNCTION("GOOGLEFINANCE(""NSE:""&amp;D3076,""EPS"")"),"#N/A")</f>
        <v>#N/A</v>
      </c>
      <c r="Q3076" s="7">
        <v>13.5</v>
      </c>
      <c r="R3076" s="7" t="str">
        <f ca="1">IFERROR(__xludf.DUMMYFUNCTION("IMPORTXML(E3076,""/html/body/main/div[3]/div[3]/div[2]/ul/li[7]/span[2]/span"")"),"Loading...")</f>
        <v>Loading...</v>
      </c>
      <c r="S3076" s="7" t="str">
        <f ca="1">IFERROR(__xludf.DUMMYFUNCTION("IMPORTXML(E3076,""/html/body/main/div[3]/div[3]/div[2]/ul/li[8]/span[2]/span"")"),"Loading...")</f>
        <v>Loading...</v>
      </c>
      <c r="T3076" s="4">
        <v>34.6</v>
      </c>
      <c r="U3076" s="4">
        <v>22.7</v>
      </c>
      <c r="V3076" s="4">
        <v>2.6</v>
      </c>
      <c r="W3076" s="4">
        <v>5.7</v>
      </c>
      <c r="X3076" s="4">
        <v>519.92999999999995</v>
      </c>
      <c r="Y3076" s="7" t="e">
        <f t="shared" ca="1" si="64"/>
        <v>#VALUE!</v>
      </c>
    </row>
    <row r="3077" spans="1:25" ht="15" x14ac:dyDescent="0.25">
      <c r="A3077" s="4">
        <v>3057</v>
      </c>
      <c r="C3077" s="41" t="s">
        <v>5397</v>
      </c>
      <c r="D3077" s="42"/>
      <c r="E3077" s="5" t="str">
        <f t="shared" si="60"/>
        <v>https://www.screener.in/company//consolidated/</v>
      </c>
      <c r="F3077" s="4">
        <v>443059</v>
      </c>
      <c r="G3077" s="4">
        <v>3832241897</v>
      </c>
      <c r="H3077" s="6" t="e">
        <f t="shared" ca="1" si="61"/>
        <v>#VALUE!</v>
      </c>
      <c r="I3077" s="7" t="str">
        <f ca="1">IFERROR(__xludf.DUMMYFUNCTION("IMPORTXML(E3077,""/html/body/main/div[3]/div[3]/div[2]/ul/li[5]/span[2]/span"")"),"Loading...")</f>
        <v>Loading...</v>
      </c>
      <c r="J3077" s="7" t="str">
        <f ca="1">IFERROR(__xludf.DUMMYFUNCTION("GOOGLEFINANCE(""NSE:""&amp;D3077,""marketcap"")"),"#N/A")</f>
        <v>#N/A</v>
      </c>
      <c r="K3077" s="7">
        <v>992.8</v>
      </c>
      <c r="L3077" s="8" t="str">
        <f ca="1">IFERROR(__xludf.DUMMYFUNCTION("GOOGLEFINANCE(""NSE:""&amp;D3077,""price"")"),"#N/A")</f>
        <v>#N/A</v>
      </c>
      <c r="M3077" s="9" t="e">
        <f t="shared" ca="1" si="62"/>
        <v>#VALUE!</v>
      </c>
      <c r="N3077" s="10" t="e">
        <f t="shared" ca="1" si="63"/>
        <v>#VALUE!</v>
      </c>
      <c r="O3077" s="7" t="str">
        <f ca="1">IFERROR(__xludf.DUMMYFUNCTION("GOOGLEFINANCE(""NSE:""&amp;D3077,""pe"")"),"#N/A")</f>
        <v>#N/A</v>
      </c>
      <c r="P3077" s="7" t="str">
        <f ca="1">IFERROR(__xludf.DUMMYFUNCTION("GOOGLEFINANCE(""NSE:""&amp;D3077,""EPS"")"),"#N/A")</f>
        <v>#N/A</v>
      </c>
      <c r="Q3077" s="7">
        <v>13.5</v>
      </c>
      <c r="R3077" s="7" t="str">
        <f ca="1">IFERROR(__xludf.DUMMYFUNCTION("IMPORTXML(E3077,""/html/body/main/div[3]/div[3]/div[2]/ul/li[7]/span[2]/span"")"),"Loading...")</f>
        <v>Loading...</v>
      </c>
      <c r="S3077" s="7" t="str">
        <f ca="1">IFERROR(__xludf.DUMMYFUNCTION("IMPORTXML(E3077,""/html/body/main/div[3]/div[3]/div[2]/ul/li[8]/span[2]/span"")"),"Loading...")</f>
        <v>Loading...</v>
      </c>
      <c r="T3077" s="4">
        <v>34.6</v>
      </c>
      <c r="U3077" s="4">
        <v>22.7</v>
      </c>
      <c r="V3077" s="4">
        <v>2.6</v>
      </c>
      <c r="W3077" s="4">
        <v>5.7</v>
      </c>
      <c r="X3077" s="4">
        <v>519.92999999999995</v>
      </c>
      <c r="Y3077" s="7" t="e">
        <f t="shared" ca="1" si="64"/>
        <v>#VALUE!</v>
      </c>
    </row>
    <row r="3078" spans="1:25" ht="15" x14ac:dyDescent="0.25">
      <c r="A3078" s="4">
        <v>3058</v>
      </c>
      <c r="C3078" s="41" t="s">
        <v>5398</v>
      </c>
      <c r="D3078" s="42"/>
      <c r="E3078" s="5" t="str">
        <f t="shared" si="60"/>
        <v>https://www.screener.in/company//consolidated/</v>
      </c>
      <c r="F3078" s="4">
        <v>443059</v>
      </c>
      <c r="G3078" s="4">
        <v>3832241897</v>
      </c>
      <c r="H3078" s="6" t="e">
        <f t="shared" ca="1" si="61"/>
        <v>#VALUE!</v>
      </c>
      <c r="I3078" s="7" t="str">
        <f ca="1">IFERROR(__xludf.DUMMYFUNCTION("IMPORTXML(E3078,""/html/body/main/div[3]/div[3]/div[2]/ul/li[5]/span[2]/span"")"),"Loading...")</f>
        <v>Loading...</v>
      </c>
      <c r="J3078" s="7" t="str">
        <f ca="1">IFERROR(__xludf.DUMMYFUNCTION("GOOGLEFINANCE(""NSE:""&amp;D3078,""marketcap"")"),"#N/A")</f>
        <v>#N/A</v>
      </c>
      <c r="K3078" s="7">
        <v>992.8</v>
      </c>
      <c r="L3078" s="8" t="str">
        <f ca="1">IFERROR(__xludf.DUMMYFUNCTION("GOOGLEFINANCE(""NSE:""&amp;D3078,""price"")"),"#N/A")</f>
        <v>#N/A</v>
      </c>
      <c r="M3078" s="9" t="e">
        <f t="shared" ca="1" si="62"/>
        <v>#VALUE!</v>
      </c>
      <c r="N3078" s="10" t="e">
        <f t="shared" ca="1" si="63"/>
        <v>#VALUE!</v>
      </c>
      <c r="O3078" s="7" t="str">
        <f ca="1">IFERROR(__xludf.DUMMYFUNCTION("GOOGLEFINANCE(""NSE:""&amp;D3078,""pe"")"),"#N/A")</f>
        <v>#N/A</v>
      </c>
      <c r="P3078" s="7" t="str">
        <f ca="1">IFERROR(__xludf.DUMMYFUNCTION("GOOGLEFINANCE(""NSE:""&amp;D3078,""EPS"")"),"#N/A")</f>
        <v>#N/A</v>
      </c>
      <c r="Q3078" s="7">
        <v>13.5</v>
      </c>
      <c r="R3078" s="7" t="str">
        <f ca="1">IFERROR(__xludf.DUMMYFUNCTION("IMPORTXML(E3078,""/html/body/main/div[3]/div[3]/div[2]/ul/li[7]/span[2]/span"")"),"Loading...")</f>
        <v>Loading...</v>
      </c>
      <c r="S3078" s="7" t="str">
        <f ca="1">IFERROR(__xludf.DUMMYFUNCTION("IMPORTXML(E3078,""/html/body/main/div[3]/div[3]/div[2]/ul/li[8]/span[2]/span"")"),"Loading...")</f>
        <v>Loading...</v>
      </c>
      <c r="T3078" s="4">
        <v>34.6</v>
      </c>
      <c r="U3078" s="4">
        <v>22.7</v>
      </c>
      <c r="V3078" s="4">
        <v>2.6</v>
      </c>
      <c r="W3078" s="4">
        <v>5.7</v>
      </c>
      <c r="X3078" s="4">
        <v>519.92999999999995</v>
      </c>
      <c r="Y3078" s="7" t="e">
        <f t="shared" ca="1" si="64"/>
        <v>#VALUE!</v>
      </c>
    </row>
    <row r="3079" spans="1:25" ht="15" x14ac:dyDescent="0.25">
      <c r="A3079" s="4">
        <v>3059</v>
      </c>
      <c r="C3079" s="41" t="s">
        <v>5399</v>
      </c>
      <c r="D3079" s="42"/>
      <c r="E3079" s="5" t="str">
        <f t="shared" si="60"/>
        <v>https://www.screener.in/company//consolidated/</v>
      </c>
      <c r="F3079" s="4">
        <v>443059</v>
      </c>
      <c r="G3079" s="4">
        <v>3832241897</v>
      </c>
      <c r="H3079" s="6" t="e">
        <f t="shared" ca="1" si="61"/>
        <v>#VALUE!</v>
      </c>
      <c r="I3079" s="7" t="str">
        <f ca="1">IFERROR(__xludf.DUMMYFUNCTION("IMPORTXML(E3079,""/html/body/main/div[3]/div[3]/div[2]/ul/li[5]/span[2]/span"")"),"Loading...")</f>
        <v>Loading...</v>
      </c>
      <c r="J3079" s="7" t="str">
        <f ca="1">IFERROR(__xludf.DUMMYFUNCTION("GOOGLEFINANCE(""NSE:""&amp;D3079,""marketcap"")"),"#N/A")</f>
        <v>#N/A</v>
      </c>
      <c r="K3079" s="7">
        <v>992.8</v>
      </c>
      <c r="L3079" s="8" t="str">
        <f ca="1">IFERROR(__xludf.DUMMYFUNCTION("GOOGLEFINANCE(""NSE:""&amp;D3079,""price"")"),"#N/A")</f>
        <v>#N/A</v>
      </c>
      <c r="M3079" s="9" t="e">
        <f t="shared" ca="1" si="62"/>
        <v>#VALUE!</v>
      </c>
      <c r="N3079" s="10" t="e">
        <f t="shared" ca="1" si="63"/>
        <v>#VALUE!</v>
      </c>
      <c r="O3079" s="7" t="str">
        <f ca="1">IFERROR(__xludf.DUMMYFUNCTION("GOOGLEFINANCE(""NSE:""&amp;D3079,""pe"")"),"#N/A")</f>
        <v>#N/A</v>
      </c>
      <c r="P3079" s="7" t="str">
        <f ca="1">IFERROR(__xludf.DUMMYFUNCTION("GOOGLEFINANCE(""NSE:""&amp;D3079,""EPS"")"),"#N/A")</f>
        <v>#N/A</v>
      </c>
      <c r="Q3079" s="7">
        <v>13.5</v>
      </c>
      <c r="R3079" s="7" t="str">
        <f ca="1">IFERROR(__xludf.DUMMYFUNCTION("IMPORTXML(E3079,""/html/body/main/div[3]/div[3]/div[2]/ul/li[7]/span[2]/span"")"),"Loading...")</f>
        <v>Loading...</v>
      </c>
      <c r="S3079" s="7" t="str">
        <f ca="1">IFERROR(__xludf.DUMMYFUNCTION("IMPORTXML(E3079,""/html/body/main/div[3]/div[3]/div[2]/ul/li[8]/span[2]/span"")"),"Loading...")</f>
        <v>Loading...</v>
      </c>
      <c r="T3079" s="4">
        <v>34.6</v>
      </c>
      <c r="U3079" s="4">
        <v>22.7</v>
      </c>
      <c r="V3079" s="4">
        <v>2.6</v>
      </c>
      <c r="W3079" s="4">
        <v>5.7</v>
      </c>
      <c r="X3079" s="4">
        <v>519.92999999999995</v>
      </c>
      <c r="Y3079" s="7" t="e">
        <f t="shared" ca="1" si="64"/>
        <v>#VALUE!</v>
      </c>
    </row>
    <row r="3080" spans="1:25" ht="15" x14ac:dyDescent="0.25">
      <c r="A3080" s="4">
        <v>3060</v>
      </c>
      <c r="C3080" s="41" t="s">
        <v>5400</v>
      </c>
      <c r="D3080" s="42"/>
      <c r="E3080" s="5" t="str">
        <f t="shared" si="60"/>
        <v>https://www.screener.in/company//consolidated/</v>
      </c>
      <c r="F3080" s="4">
        <v>443059</v>
      </c>
      <c r="G3080" s="4">
        <v>3832241897</v>
      </c>
      <c r="H3080" s="6" t="e">
        <f t="shared" ca="1" si="61"/>
        <v>#VALUE!</v>
      </c>
      <c r="I3080" s="7" t="str">
        <f ca="1">IFERROR(__xludf.DUMMYFUNCTION("IMPORTXML(E3080,""/html/body/main/div[3]/div[3]/div[2]/ul/li[5]/span[2]/span"")"),"Loading...")</f>
        <v>Loading...</v>
      </c>
      <c r="J3080" s="7" t="str">
        <f ca="1">IFERROR(__xludf.DUMMYFUNCTION("GOOGLEFINANCE(""NSE:""&amp;D3080,""marketcap"")"),"#N/A")</f>
        <v>#N/A</v>
      </c>
      <c r="K3080" s="7">
        <v>992.8</v>
      </c>
      <c r="L3080" s="8" t="str">
        <f ca="1">IFERROR(__xludf.DUMMYFUNCTION("GOOGLEFINANCE(""NSE:""&amp;D3080,""price"")"),"#N/A")</f>
        <v>#N/A</v>
      </c>
      <c r="M3080" s="9" t="e">
        <f t="shared" ca="1" si="62"/>
        <v>#VALUE!</v>
      </c>
      <c r="N3080" s="10" t="e">
        <f t="shared" ca="1" si="63"/>
        <v>#VALUE!</v>
      </c>
      <c r="O3080" s="7" t="str">
        <f ca="1">IFERROR(__xludf.DUMMYFUNCTION("GOOGLEFINANCE(""NSE:""&amp;D3080,""pe"")"),"#N/A")</f>
        <v>#N/A</v>
      </c>
      <c r="P3080" s="7" t="str">
        <f ca="1">IFERROR(__xludf.DUMMYFUNCTION("GOOGLEFINANCE(""NSE:""&amp;D3080,""EPS"")"),"#N/A")</f>
        <v>#N/A</v>
      </c>
      <c r="Q3080" s="7">
        <v>13.5</v>
      </c>
      <c r="R3080" s="7" t="str">
        <f ca="1">IFERROR(__xludf.DUMMYFUNCTION("IMPORTXML(E3080,""/html/body/main/div[3]/div[3]/div[2]/ul/li[7]/span[2]/span"")"),"Loading...")</f>
        <v>Loading...</v>
      </c>
      <c r="S3080" s="7" t="str">
        <f ca="1">IFERROR(__xludf.DUMMYFUNCTION("IMPORTXML(E3080,""/html/body/main/div[3]/div[3]/div[2]/ul/li[8]/span[2]/span"")"),"Loading...")</f>
        <v>Loading...</v>
      </c>
      <c r="T3080" s="4">
        <v>34.6</v>
      </c>
      <c r="U3080" s="4">
        <v>22.7</v>
      </c>
      <c r="V3080" s="4">
        <v>2.6</v>
      </c>
      <c r="W3080" s="4">
        <v>5.7</v>
      </c>
      <c r="X3080" s="4">
        <v>519.92999999999995</v>
      </c>
      <c r="Y3080" s="7" t="e">
        <f t="shared" ca="1" si="64"/>
        <v>#VALUE!</v>
      </c>
    </row>
    <row r="3081" spans="1:25" ht="15" x14ac:dyDescent="0.25">
      <c r="A3081" s="4">
        <v>3061</v>
      </c>
      <c r="C3081" s="41" t="s">
        <v>5401</v>
      </c>
      <c r="D3081" s="42"/>
      <c r="E3081" s="5" t="str">
        <f t="shared" si="60"/>
        <v>https://www.screener.in/company//consolidated/</v>
      </c>
      <c r="F3081" s="4">
        <v>443059</v>
      </c>
      <c r="G3081" s="4">
        <v>3832241897</v>
      </c>
      <c r="H3081" s="6" t="e">
        <f t="shared" ca="1" si="61"/>
        <v>#VALUE!</v>
      </c>
      <c r="I3081" s="7" t="str">
        <f ca="1">IFERROR(__xludf.DUMMYFUNCTION("IMPORTXML(E3081,""/html/body/main/div[3]/div[3]/div[2]/ul/li[5]/span[2]/span"")"),"Loading...")</f>
        <v>Loading...</v>
      </c>
      <c r="J3081" s="7" t="str">
        <f ca="1">IFERROR(__xludf.DUMMYFUNCTION("GOOGLEFINANCE(""NSE:""&amp;D3081,""marketcap"")"),"#N/A")</f>
        <v>#N/A</v>
      </c>
      <c r="K3081" s="7">
        <v>992.8</v>
      </c>
      <c r="L3081" s="8" t="str">
        <f ca="1">IFERROR(__xludf.DUMMYFUNCTION("GOOGLEFINANCE(""NSE:""&amp;D3081,""price"")"),"#N/A")</f>
        <v>#N/A</v>
      </c>
      <c r="M3081" s="9" t="e">
        <f t="shared" ca="1" si="62"/>
        <v>#VALUE!</v>
      </c>
      <c r="N3081" s="10" t="e">
        <f t="shared" ca="1" si="63"/>
        <v>#VALUE!</v>
      </c>
      <c r="O3081" s="7" t="str">
        <f ca="1">IFERROR(__xludf.DUMMYFUNCTION("GOOGLEFINANCE(""NSE:""&amp;D3081,""pe"")"),"#N/A")</f>
        <v>#N/A</v>
      </c>
      <c r="P3081" s="7" t="str">
        <f ca="1">IFERROR(__xludf.DUMMYFUNCTION("GOOGLEFINANCE(""NSE:""&amp;D3081,""EPS"")"),"#N/A")</f>
        <v>#N/A</v>
      </c>
      <c r="Q3081" s="7">
        <v>13.5</v>
      </c>
      <c r="R3081" s="7" t="str">
        <f ca="1">IFERROR(__xludf.DUMMYFUNCTION("IMPORTXML(E3081,""/html/body/main/div[3]/div[3]/div[2]/ul/li[7]/span[2]/span"")"),"Loading...")</f>
        <v>Loading...</v>
      </c>
      <c r="S3081" s="7" t="str">
        <f ca="1">IFERROR(__xludf.DUMMYFUNCTION("IMPORTXML(E3081,""/html/body/main/div[3]/div[3]/div[2]/ul/li[8]/span[2]/span"")"),"Loading...")</f>
        <v>Loading...</v>
      </c>
      <c r="T3081" s="4">
        <v>34.6</v>
      </c>
      <c r="U3081" s="4">
        <v>22.7</v>
      </c>
      <c r="V3081" s="4">
        <v>2.6</v>
      </c>
      <c r="W3081" s="4">
        <v>5.7</v>
      </c>
      <c r="X3081" s="4">
        <v>519.92999999999995</v>
      </c>
      <c r="Y3081" s="7" t="e">
        <f t="shared" ca="1" si="64"/>
        <v>#VALUE!</v>
      </c>
    </row>
    <row r="3082" spans="1:25" ht="15" x14ac:dyDescent="0.25">
      <c r="A3082" s="4">
        <v>3063</v>
      </c>
      <c r="C3082" s="41" t="s">
        <v>5402</v>
      </c>
      <c r="D3082" s="42"/>
      <c r="E3082" s="5" t="str">
        <f t="shared" si="60"/>
        <v>https://www.screener.in/company//consolidated/</v>
      </c>
      <c r="F3082" s="4">
        <v>443059</v>
      </c>
      <c r="G3082" s="4">
        <v>3832241897</v>
      </c>
      <c r="H3082" s="6" t="e">
        <f t="shared" ca="1" si="61"/>
        <v>#VALUE!</v>
      </c>
      <c r="I3082" s="7" t="str">
        <f ca="1">IFERROR(__xludf.DUMMYFUNCTION("IMPORTXML(E3082,""/html/body/main/div[3]/div[3]/div[2]/ul/li[5]/span[2]/span"")"),"Loading...")</f>
        <v>Loading...</v>
      </c>
      <c r="J3082" s="7" t="str">
        <f ca="1">IFERROR(__xludf.DUMMYFUNCTION("GOOGLEFINANCE(""NSE:""&amp;D3082,""marketcap"")"),"#N/A")</f>
        <v>#N/A</v>
      </c>
      <c r="K3082" s="7">
        <v>992.8</v>
      </c>
      <c r="L3082" s="8" t="str">
        <f ca="1">IFERROR(__xludf.DUMMYFUNCTION("GOOGLEFINANCE(""NSE:""&amp;D3082,""price"")"),"#N/A")</f>
        <v>#N/A</v>
      </c>
      <c r="M3082" s="9" t="e">
        <f t="shared" ca="1" si="62"/>
        <v>#VALUE!</v>
      </c>
      <c r="N3082" s="10" t="e">
        <f t="shared" ca="1" si="63"/>
        <v>#VALUE!</v>
      </c>
      <c r="O3082" s="7" t="str">
        <f ca="1">IFERROR(__xludf.DUMMYFUNCTION("GOOGLEFINANCE(""NSE:""&amp;D3082,""pe"")"),"#N/A")</f>
        <v>#N/A</v>
      </c>
      <c r="P3082" s="7" t="str">
        <f ca="1">IFERROR(__xludf.DUMMYFUNCTION("GOOGLEFINANCE(""NSE:""&amp;D3082,""EPS"")"),"#N/A")</f>
        <v>#N/A</v>
      </c>
      <c r="Q3082" s="7">
        <v>13.5</v>
      </c>
      <c r="R3082" s="7" t="str">
        <f ca="1">IFERROR(__xludf.DUMMYFUNCTION("IMPORTXML(E3082,""/html/body/main/div[3]/div[3]/div[2]/ul/li[7]/span[2]/span"")"),"Loading...")</f>
        <v>Loading...</v>
      </c>
      <c r="S3082" s="7" t="str">
        <f ca="1">IFERROR(__xludf.DUMMYFUNCTION("IMPORTXML(E3082,""/html/body/main/div[3]/div[3]/div[2]/ul/li[8]/span[2]/span"")"),"Loading...")</f>
        <v>Loading...</v>
      </c>
      <c r="T3082" s="4">
        <v>34.6</v>
      </c>
      <c r="U3082" s="4">
        <v>22.7</v>
      </c>
      <c r="V3082" s="4">
        <v>2.6</v>
      </c>
      <c r="W3082" s="4">
        <v>5.7</v>
      </c>
      <c r="X3082" s="4">
        <v>519.92999999999995</v>
      </c>
      <c r="Y3082" s="7" t="e">
        <f t="shared" ca="1" si="64"/>
        <v>#VALUE!</v>
      </c>
    </row>
    <row r="3083" spans="1:25" ht="15" x14ac:dyDescent="0.25">
      <c r="A3083" s="4">
        <v>3064</v>
      </c>
      <c r="C3083" s="41" t="s">
        <v>5403</v>
      </c>
      <c r="D3083" s="42"/>
      <c r="E3083" s="5" t="str">
        <f t="shared" si="60"/>
        <v>https://www.screener.in/company//consolidated/</v>
      </c>
      <c r="F3083" s="4">
        <v>443059</v>
      </c>
      <c r="G3083" s="4">
        <v>3832241897</v>
      </c>
      <c r="H3083" s="6" t="e">
        <f t="shared" ca="1" si="61"/>
        <v>#VALUE!</v>
      </c>
      <c r="I3083" s="7" t="str">
        <f ca="1">IFERROR(__xludf.DUMMYFUNCTION("IMPORTXML(E3083,""/html/body/main/div[3]/div[3]/div[2]/ul/li[5]/span[2]/span"")"),"Loading...")</f>
        <v>Loading...</v>
      </c>
      <c r="J3083" s="7" t="str">
        <f ca="1">IFERROR(__xludf.DUMMYFUNCTION("GOOGLEFINANCE(""NSE:""&amp;D3083,""marketcap"")"),"#N/A")</f>
        <v>#N/A</v>
      </c>
      <c r="K3083" s="7">
        <v>992.8</v>
      </c>
      <c r="L3083" s="8" t="str">
        <f ca="1">IFERROR(__xludf.DUMMYFUNCTION("GOOGLEFINANCE(""NSE:""&amp;D3083,""price"")"),"#N/A")</f>
        <v>#N/A</v>
      </c>
      <c r="M3083" s="9" t="e">
        <f t="shared" ca="1" si="62"/>
        <v>#VALUE!</v>
      </c>
      <c r="N3083" s="10" t="e">
        <f t="shared" ca="1" si="63"/>
        <v>#VALUE!</v>
      </c>
      <c r="O3083" s="7" t="str">
        <f ca="1">IFERROR(__xludf.DUMMYFUNCTION("GOOGLEFINANCE(""NSE:""&amp;D3083,""pe"")"),"#N/A")</f>
        <v>#N/A</v>
      </c>
      <c r="P3083" s="7" t="str">
        <f ca="1">IFERROR(__xludf.DUMMYFUNCTION("GOOGLEFINANCE(""NSE:""&amp;D3083,""EPS"")"),"#N/A")</f>
        <v>#N/A</v>
      </c>
      <c r="Q3083" s="7">
        <v>13.5</v>
      </c>
      <c r="R3083" s="7" t="str">
        <f ca="1">IFERROR(__xludf.DUMMYFUNCTION("IMPORTXML(E3083,""/html/body/main/div[3]/div[3]/div[2]/ul/li[7]/span[2]/span"")"),"Loading...")</f>
        <v>Loading...</v>
      </c>
      <c r="S3083" s="7" t="str">
        <f ca="1">IFERROR(__xludf.DUMMYFUNCTION("IMPORTXML(E3083,""/html/body/main/div[3]/div[3]/div[2]/ul/li[8]/span[2]/span"")"),"Loading...")</f>
        <v>Loading...</v>
      </c>
      <c r="T3083" s="4">
        <v>34.6</v>
      </c>
      <c r="U3083" s="4">
        <v>22.7</v>
      </c>
      <c r="V3083" s="4">
        <v>2.6</v>
      </c>
      <c r="W3083" s="4">
        <v>5.7</v>
      </c>
      <c r="X3083" s="4">
        <v>519.92999999999995</v>
      </c>
      <c r="Y3083" s="7" t="e">
        <f t="shared" ca="1" si="64"/>
        <v>#VALUE!</v>
      </c>
    </row>
    <row r="3084" spans="1:25" ht="15" x14ac:dyDescent="0.25">
      <c r="A3084" s="4">
        <v>3065</v>
      </c>
      <c r="C3084" s="41" t="s">
        <v>5404</v>
      </c>
      <c r="D3084" s="42"/>
      <c r="E3084" s="5" t="str">
        <f t="shared" si="60"/>
        <v>https://www.screener.in/company//consolidated/</v>
      </c>
      <c r="F3084" s="4">
        <v>443059</v>
      </c>
      <c r="G3084" s="4">
        <v>3832241897</v>
      </c>
      <c r="H3084" s="6" t="e">
        <f t="shared" ca="1" si="61"/>
        <v>#VALUE!</v>
      </c>
      <c r="I3084" s="7" t="str">
        <f ca="1">IFERROR(__xludf.DUMMYFUNCTION("IMPORTXML(E3084,""/html/body/main/div[3]/div[3]/div[2]/ul/li[5]/span[2]/span"")"),"Loading...")</f>
        <v>Loading...</v>
      </c>
      <c r="J3084" s="7" t="str">
        <f ca="1">IFERROR(__xludf.DUMMYFUNCTION("GOOGLEFINANCE(""NSE:""&amp;D3084,""marketcap"")"),"#N/A")</f>
        <v>#N/A</v>
      </c>
      <c r="K3084" s="7">
        <v>992.8</v>
      </c>
      <c r="L3084" s="8" t="str">
        <f ca="1">IFERROR(__xludf.DUMMYFUNCTION("GOOGLEFINANCE(""NSE:""&amp;D3084,""price"")"),"#N/A")</f>
        <v>#N/A</v>
      </c>
      <c r="M3084" s="9" t="e">
        <f t="shared" ca="1" si="62"/>
        <v>#VALUE!</v>
      </c>
      <c r="N3084" s="10" t="e">
        <f t="shared" ca="1" si="63"/>
        <v>#VALUE!</v>
      </c>
      <c r="O3084" s="7" t="str">
        <f ca="1">IFERROR(__xludf.DUMMYFUNCTION("GOOGLEFINANCE(""NSE:""&amp;D3084,""pe"")"),"#N/A")</f>
        <v>#N/A</v>
      </c>
      <c r="P3084" s="7" t="str">
        <f ca="1">IFERROR(__xludf.DUMMYFUNCTION("GOOGLEFINANCE(""NSE:""&amp;D3084,""EPS"")"),"#N/A")</f>
        <v>#N/A</v>
      </c>
      <c r="Q3084" s="7">
        <v>13.5</v>
      </c>
      <c r="R3084" s="7" t="str">
        <f ca="1">IFERROR(__xludf.DUMMYFUNCTION("IMPORTXML(E3084,""/html/body/main/div[3]/div[3]/div[2]/ul/li[7]/span[2]/span"")"),"Loading...")</f>
        <v>Loading...</v>
      </c>
      <c r="S3084" s="7" t="str">
        <f ca="1">IFERROR(__xludf.DUMMYFUNCTION("IMPORTXML(E3084,""/html/body/main/div[3]/div[3]/div[2]/ul/li[8]/span[2]/span"")"),"Loading...")</f>
        <v>Loading...</v>
      </c>
      <c r="T3084" s="4">
        <v>34.6</v>
      </c>
      <c r="U3084" s="4">
        <v>22.7</v>
      </c>
      <c r="V3084" s="4">
        <v>2.6</v>
      </c>
      <c r="W3084" s="4">
        <v>5.7</v>
      </c>
      <c r="X3084" s="4">
        <v>519.92999999999995</v>
      </c>
      <c r="Y3084" s="7" t="e">
        <f t="shared" ca="1" si="64"/>
        <v>#VALUE!</v>
      </c>
    </row>
    <row r="3085" spans="1:25" ht="15" x14ac:dyDescent="0.25">
      <c r="A3085" s="4">
        <v>3066</v>
      </c>
      <c r="C3085" s="41" t="s">
        <v>5405</v>
      </c>
      <c r="D3085" s="42"/>
      <c r="E3085" s="5" t="str">
        <f t="shared" si="60"/>
        <v>https://www.screener.in/company//consolidated/</v>
      </c>
      <c r="F3085" s="4">
        <v>443059</v>
      </c>
      <c r="G3085" s="4">
        <v>3832241897</v>
      </c>
      <c r="H3085" s="6" t="e">
        <f t="shared" ca="1" si="61"/>
        <v>#VALUE!</v>
      </c>
      <c r="I3085" s="7" t="str">
        <f ca="1">IFERROR(__xludf.DUMMYFUNCTION("IMPORTXML(E3085,""/html/body/main/div[3]/div[3]/div[2]/ul/li[5]/span[2]/span"")"),"Loading...")</f>
        <v>Loading...</v>
      </c>
      <c r="J3085" s="7" t="str">
        <f ca="1">IFERROR(__xludf.DUMMYFUNCTION("GOOGLEFINANCE(""NSE:""&amp;D3085,""marketcap"")"),"#N/A")</f>
        <v>#N/A</v>
      </c>
      <c r="K3085" s="7">
        <v>992.8</v>
      </c>
      <c r="L3085" s="8" t="str">
        <f ca="1">IFERROR(__xludf.DUMMYFUNCTION("GOOGLEFINANCE(""NSE:""&amp;D3085,""price"")"),"#N/A")</f>
        <v>#N/A</v>
      </c>
      <c r="M3085" s="9" t="e">
        <f t="shared" ca="1" si="62"/>
        <v>#VALUE!</v>
      </c>
      <c r="N3085" s="10" t="e">
        <f t="shared" ca="1" si="63"/>
        <v>#VALUE!</v>
      </c>
      <c r="O3085" s="7" t="str">
        <f ca="1">IFERROR(__xludf.DUMMYFUNCTION("GOOGLEFINANCE(""NSE:""&amp;D3085,""pe"")"),"#N/A")</f>
        <v>#N/A</v>
      </c>
      <c r="P3085" s="7" t="str">
        <f ca="1">IFERROR(__xludf.DUMMYFUNCTION("GOOGLEFINANCE(""NSE:""&amp;D3085,""EPS"")"),"#N/A")</f>
        <v>#N/A</v>
      </c>
      <c r="Q3085" s="7">
        <v>13.5</v>
      </c>
      <c r="R3085" s="7" t="str">
        <f ca="1">IFERROR(__xludf.DUMMYFUNCTION("IMPORTXML(E3085,""/html/body/main/div[3]/div[3]/div[2]/ul/li[7]/span[2]/span"")"),"Loading...")</f>
        <v>Loading...</v>
      </c>
      <c r="S3085" s="7" t="str">
        <f ca="1">IFERROR(__xludf.DUMMYFUNCTION("IMPORTXML(E3085,""/html/body/main/div[3]/div[3]/div[2]/ul/li[8]/span[2]/span"")"),"Loading...")</f>
        <v>Loading...</v>
      </c>
      <c r="T3085" s="4">
        <v>34.6</v>
      </c>
      <c r="U3085" s="4">
        <v>22.7</v>
      </c>
      <c r="V3085" s="4">
        <v>2.6</v>
      </c>
      <c r="W3085" s="4">
        <v>5.7</v>
      </c>
      <c r="X3085" s="4">
        <v>519.92999999999995</v>
      </c>
      <c r="Y3085" s="7" t="e">
        <f t="shared" ca="1" si="64"/>
        <v>#VALUE!</v>
      </c>
    </row>
    <row r="3086" spans="1:25" ht="15" x14ac:dyDescent="0.25">
      <c r="A3086" s="4">
        <v>3067</v>
      </c>
      <c r="C3086" s="41" t="s">
        <v>5406</v>
      </c>
      <c r="D3086" s="42"/>
      <c r="E3086" s="5" t="str">
        <f t="shared" si="60"/>
        <v>https://www.screener.in/company//consolidated/</v>
      </c>
      <c r="F3086" s="4">
        <v>443059</v>
      </c>
      <c r="G3086" s="4">
        <v>3832241897</v>
      </c>
      <c r="H3086" s="6" t="e">
        <f t="shared" ca="1" si="61"/>
        <v>#VALUE!</v>
      </c>
      <c r="I3086" s="7" t="str">
        <f ca="1">IFERROR(__xludf.DUMMYFUNCTION("IMPORTXML(E3086,""/html/body/main/div[3]/div[3]/div[2]/ul/li[5]/span[2]/span"")"),"Loading...")</f>
        <v>Loading...</v>
      </c>
      <c r="J3086" s="7" t="str">
        <f ca="1">IFERROR(__xludf.DUMMYFUNCTION("GOOGLEFINANCE(""NSE:""&amp;D3086,""marketcap"")"),"#N/A")</f>
        <v>#N/A</v>
      </c>
      <c r="K3086" s="7">
        <v>992.8</v>
      </c>
      <c r="L3086" s="8" t="str">
        <f ca="1">IFERROR(__xludf.DUMMYFUNCTION("GOOGLEFINANCE(""NSE:""&amp;D3086,""price"")"),"#N/A")</f>
        <v>#N/A</v>
      </c>
      <c r="M3086" s="9" t="e">
        <f t="shared" ca="1" si="62"/>
        <v>#VALUE!</v>
      </c>
      <c r="N3086" s="10" t="e">
        <f t="shared" ca="1" si="63"/>
        <v>#VALUE!</v>
      </c>
      <c r="O3086" s="7" t="str">
        <f ca="1">IFERROR(__xludf.DUMMYFUNCTION("GOOGLEFINANCE(""NSE:""&amp;D3086,""pe"")"),"#N/A")</f>
        <v>#N/A</v>
      </c>
      <c r="P3086" s="7" t="str">
        <f ca="1">IFERROR(__xludf.DUMMYFUNCTION("GOOGLEFINANCE(""NSE:""&amp;D3086,""EPS"")"),"#N/A")</f>
        <v>#N/A</v>
      </c>
      <c r="Q3086" s="7">
        <v>13.5</v>
      </c>
      <c r="R3086" s="7" t="str">
        <f ca="1">IFERROR(__xludf.DUMMYFUNCTION("IMPORTXML(E3086,""/html/body/main/div[3]/div[3]/div[2]/ul/li[7]/span[2]/span"")"),"Loading...")</f>
        <v>Loading...</v>
      </c>
      <c r="S3086" s="7" t="str">
        <f ca="1">IFERROR(__xludf.DUMMYFUNCTION("IMPORTXML(E3086,""/html/body/main/div[3]/div[3]/div[2]/ul/li[8]/span[2]/span"")"),"Loading...")</f>
        <v>Loading...</v>
      </c>
      <c r="T3086" s="4">
        <v>34.6</v>
      </c>
      <c r="U3086" s="4">
        <v>22.7</v>
      </c>
      <c r="V3086" s="4">
        <v>2.6</v>
      </c>
      <c r="W3086" s="4">
        <v>5.7</v>
      </c>
      <c r="X3086" s="4">
        <v>519.92999999999995</v>
      </c>
      <c r="Y3086" s="7" t="e">
        <f t="shared" ca="1" si="64"/>
        <v>#VALUE!</v>
      </c>
    </row>
    <row r="3087" spans="1:25" ht="15" x14ac:dyDescent="0.25">
      <c r="A3087" s="4">
        <v>3068</v>
      </c>
      <c r="C3087" s="41" t="s">
        <v>5407</v>
      </c>
      <c r="D3087" s="42"/>
      <c r="E3087" s="5" t="str">
        <f t="shared" si="60"/>
        <v>https://www.screener.in/company//consolidated/</v>
      </c>
      <c r="F3087" s="4">
        <v>443059</v>
      </c>
      <c r="G3087" s="4">
        <v>3832241897</v>
      </c>
      <c r="H3087" s="6" t="e">
        <f t="shared" ca="1" si="61"/>
        <v>#VALUE!</v>
      </c>
      <c r="I3087" s="7" t="str">
        <f ca="1">IFERROR(__xludf.DUMMYFUNCTION("IMPORTXML(E3087,""/html/body/main/div[3]/div[3]/div[2]/ul/li[5]/span[2]/span"")"),"Loading...")</f>
        <v>Loading...</v>
      </c>
      <c r="J3087" s="7" t="str">
        <f ca="1">IFERROR(__xludf.DUMMYFUNCTION("GOOGLEFINANCE(""NSE:""&amp;D3087,""marketcap"")"),"#N/A")</f>
        <v>#N/A</v>
      </c>
      <c r="K3087" s="7">
        <v>992.8</v>
      </c>
      <c r="L3087" s="8" t="str">
        <f ca="1">IFERROR(__xludf.DUMMYFUNCTION("GOOGLEFINANCE(""NSE:""&amp;D3087,""price"")"),"#N/A")</f>
        <v>#N/A</v>
      </c>
      <c r="M3087" s="9" t="e">
        <f t="shared" ca="1" si="62"/>
        <v>#VALUE!</v>
      </c>
      <c r="N3087" s="10" t="e">
        <f t="shared" ca="1" si="63"/>
        <v>#VALUE!</v>
      </c>
      <c r="O3087" s="7" t="str">
        <f ca="1">IFERROR(__xludf.DUMMYFUNCTION("GOOGLEFINANCE(""NSE:""&amp;D3087,""pe"")"),"#N/A")</f>
        <v>#N/A</v>
      </c>
      <c r="P3087" s="7" t="str">
        <f ca="1">IFERROR(__xludf.DUMMYFUNCTION("GOOGLEFINANCE(""NSE:""&amp;D3087,""EPS"")"),"#N/A")</f>
        <v>#N/A</v>
      </c>
      <c r="Q3087" s="7">
        <v>13.5</v>
      </c>
      <c r="R3087" s="7" t="str">
        <f ca="1">IFERROR(__xludf.DUMMYFUNCTION("IMPORTXML(E3087,""/html/body/main/div[3]/div[3]/div[2]/ul/li[7]/span[2]/span"")"),"Loading...")</f>
        <v>Loading...</v>
      </c>
      <c r="S3087" s="7" t="str">
        <f ca="1">IFERROR(__xludf.DUMMYFUNCTION("IMPORTXML(E3087,""/html/body/main/div[3]/div[3]/div[2]/ul/li[8]/span[2]/span"")"),"Loading...")</f>
        <v>Loading...</v>
      </c>
      <c r="T3087" s="4">
        <v>34.6</v>
      </c>
      <c r="U3087" s="4">
        <v>22.7</v>
      </c>
      <c r="V3087" s="4">
        <v>2.6</v>
      </c>
      <c r="W3087" s="4">
        <v>5.7</v>
      </c>
      <c r="X3087" s="4">
        <v>519.92999999999995</v>
      </c>
      <c r="Y3087" s="7" t="e">
        <f t="shared" ca="1" si="64"/>
        <v>#VALUE!</v>
      </c>
    </row>
    <row r="3088" spans="1:25" ht="15" x14ac:dyDescent="0.25">
      <c r="A3088" s="4">
        <v>3070</v>
      </c>
      <c r="C3088" s="41" t="s">
        <v>5408</v>
      </c>
      <c r="D3088" s="42"/>
      <c r="E3088" s="5" t="str">
        <f t="shared" si="60"/>
        <v>https://www.screener.in/company//consolidated/</v>
      </c>
      <c r="F3088" s="4">
        <v>443059</v>
      </c>
      <c r="G3088" s="4">
        <v>3832241897</v>
      </c>
      <c r="H3088" s="6" t="e">
        <f t="shared" ca="1" si="61"/>
        <v>#VALUE!</v>
      </c>
      <c r="I3088" s="7" t="str">
        <f ca="1">IFERROR(__xludf.DUMMYFUNCTION("IMPORTXML(E3088,""/html/body/main/div[3]/div[3]/div[2]/ul/li[5]/span[2]/span"")"),"Loading...")</f>
        <v>Loading...</v>
      </c>
      <c r="J3088" s="7" t="str">
        <f ca="1">IFERROR(__xludf.DUMMYFUNCTION("GOOGLEFINANCE(""NSE:""&amp;D3088,""marketcap"")"),"#N/A")</f>
        <v>#N/A</v>
      </c>
      <c r="K3088" s="7">
        <v>992.8</v>
      </c>
      <c r="L3088" s="8" t="str">
        <f ca="1">IFERROR(__xludf.DUMMYFUNCTION("GOOGLEFINANCE(""NSE:""&amp;D3088,""price"")"),"#N/A")</f>
        <v>#N/A</v>
      </c>
      <c r="M3088" s="9" t="e">
        <f t="shared" ca="1" si="62"/>
        <v>#VALUE!</v>
      </c>
      <c r="N3088" s="10" t="e">
        <f t="shared" ca="1" si="63"/>
        <v>#VALUE!</v>
      </c>
      <c r="O3088" s="7" t="str">
        <f ca="1">IFERROR(__xludf.DUMMYFUNCTION("GOOGLEFINANCE(""NSE:""&amp;D3088,""pe"")"),"#N/A")</f>
        <v>#N/A</v>
      </c>
      <c r="P3088" s="7" t="str">
        <f ca="1">IFERROR(__xludf.DUMMYFUNCTION("GOOGLEFINANCE(""NSE:""&amp;D3088,""EPS"")"),"#N/A")</f>
        <v>#N/A</v>
      </c>
      <c r="Q3088" s="7">
        <v>13.5</v>
      </c>
      <c r="R3088" s="7" t="str">
        <f ca="1">IFERROR(__xludf.DUMMYFUNCTION("IMPORTXML(E3088,""/html/body/main/div[3]/div[3]/div[2]/ul/li[7]/span[2]/span"")"),"Loading...")</f>
        <v>Loading...</v>
      </c>
      <c r="S3088" s="7" t="str">
        <f ca="1">IFERROR(__xludf.DUMMYFUNCTION("IMPORTXML(E3088,""/html/body/main/div[3]/div[3]/div[2]/ul/li[8]/span[2]/span"")"),"Loading...")</f>
        <v>Loading...</v>
      </c>
      <c r="T3088" s="4">
        <v>34.6</v>
      </c>
      <c r="U3088" s="4">
        <v>22.7</v>
      </c>
      <c r="V3088" s="4">
        <v>2.6</v>
      </c>
      <c r="W3088" s="4">
        <v>5.7</v>
      </c>
      <c r="X3088" s="4">
        <v>519.92999999999995</v>
      </c>
      <c r="Y3088" s="7" t="e">
        <f t="shared" ca="1" si="64"/>
        <v>#VALUE!</v>
      </c>
    </row>
    <row r="3089" spans="1:25" ht="15" x14ac:dyDescent="0.25">
      <c r="A3089" s="4">
        <v>3071</v>
      </c>
      <c r="C3089" s="41" t="s">
        <v>5409</v>
      </c>
      <c r="D3089" s="42"/>
      <c r="E3089" s="5" t="str">
        <f t="shared" si="60"/>
        <v>https://www.screener.in/company//consolidated/</v>
      </c>
      <c r="F3089" s="4">
        <v>443059</v>
      </c>
      <c r="G3089" s="4">
        <v>3832241897</v>
      </c>
      <c r="H3089" s="6" t="e">
        <f t="shared" ca="1" si="61"/>
        <v>#VALUE!</v>
      </c>
      <c r="I3089" s="7" t="str">
        <f ca="1">IFERROR(__xludf.DUMMYFUNCTION("IMPORTXML(E3089,""/html/body/main/div[3]/div[3]/div[2]/ul/li[5]/span[2]/span"")"),"Loading...")</f>
        <v>Loading...</v>
      </c>
      <c r="J3089" s="7" t="str">
        <f ca="1">IFERROR(__xludf.DUMMYFUNCTION("GOOGLEFINANCE(""NSE:""&amp;D3089,""marketcap"")"),"#N/A")</f>
        <v>#N/A</v>
      </c>
      <c r="K3089" s="7">
        <v>992.8</v>
      </c>
      <c r="L3089" s="8" t="str">
        <f ca="1">IFERROR(__xludf.DUMMYFUNCTION("GOOGLEFINANCE(""NSE:""&amp;D3089,""price"")"),"#N/A")</f>
        <v>#N/A</v>
      </c>
      <c r="M3089" s="9" t="e">
        <f t="shared" ca="1" si="62"/>
        <v>#VALUE!</v>
      </c>
      <c r="N3089" s="10" t="e">
        <f t="shared" ca="1" si="63"/>
        <v>#VALUE!</v>
      </c>
      <c r="O3089" s="7" t="str">
        <f ca="1">IFERROR(__xludf.DUMMYFUNCTION("GOOGLEFINANCE(""NSE:""&amp;D3089,""pe"")"),"#N/A")</f>
        <v>#N/A</v>
      </c>
      <c r="P3089" s="7" t="str">
        <f ca="1">IFERROR(__xludf.DUMMYFUNCTION("GOOGLEFINANCE(""NSE:""&amp;D3089,""EPS"")"),"#N/A")</f>
        <v>#N/A</v>
      </c>
      <c r="Q3089" s="7">
        <v>13.5</v>
      </c>
      <c r="R3089" s="7" t="str">
        <f ca="1">IFERROR(__xludf.DUMMYFUNCTION("IMPORTXML(E3089,""/html/body/main/div[3]/div[3]/div[2]/ul/li[7]/span[2]/span"")"),"Loading...")</f>
        <v>Loading...</v>
      </c>
      <c r="S3089" s="7" t="str">
        <f ca="1">IFERROR(__xludf.DUMMYFUNCTION("IMPORTXML(E3089,""/html/body/main/div[3]/div[3]/div[2]/ul/li[8]/span[2]/span"")"),"Loading...")</f>
        <v>Loading...</v>
      </c>
      <c r="T3089" s="4">
        <v>34.6</v>
      </c>
      <c r="U3089" s="4">
        <v>22.7</v>
      </c>
      <c r="V3089" s="4">
        <v>2.6</v>
      </c>
      <c r="W3089" s="4">
        <v>5.7</v>
      </c>
      <c r="X3089" s="4">
        <v>519.92999999999995</v>
      </c>
      <c r="Y3089" s="7" t="e">
        <f t="shared" ca="1" si="64"/>
        <v>#VALUE!</v>
      </c>
    </row>
    <row r="3090" spans="1:25" ht="15" x14ac:dyDescent="0.25">
      <c r="A3090" s="4">
        <v>3072</v>
      </c>
      <c r="C3090" s="41" t="s">
        <v>5410</v>
      </c>
      <c r="D3090" s="42"/>
      <c r="E3090" s="5" t="str">
        <f t="shared" si="60"/>
        <v>https://www.screener.in/company//consolidated/</v>
      </c>
      <c r="F3090" s="4">
        <v>443059</v>
      </c>
      <c r="G3090" s="4">
        <v>3832241897</v>
      </c>
      <c r="H3090" s="6" t="e">
        <f t="shared" ca="1" si="61"/>
        <v>#VALUE!</v>
      </c>
      <c r="I3090" s="7" t="str">
        <f ca="1">IFERROR(__xludf.DUMMYFUNCTION("IMPORTXML(E3090,""/html/body/main/div[3]/div[3]/div[2]/ul/li[5]/span[2]/span"")"),"Loading...")</f>
        <v>Loading...</v>
      </c>
      <c r="J3090" s="7" t="str">
        <f ca="1">IFERROR(__xludf.DUMMYFUNCTION("GOOGLEFINANCE(""NSE:""&amp;D3090,""marketcap"")"),"#N/A")</f>
        <v>#N/A</v>
      </c>
      <c r="K3090" s="7">
        <v>992.8</v>
      </c>
      <c r="L3090" s="8" t="str">
        <f ca="1">IFERROR(__xludf.DUMMYFUNCTION("GOOGLEFINANCE(""NSE:""&amp;D3090,""price"")"),"#N/A")</f>
        <v>#N/A</v>
      </c>
      <c r="M3090" s="9" t="e">
        <f t="shared" ca="1" si="62"/>
        <v>#VALUE!</v>
      </c>
      <c r="N3090" s="10" t="e">
        <f t="shared" ca="1" si="63"/>
        <v>#VALUE!</v>
      </c>
      <c r="O3090" s="7" t="str">
        <f ca="1">IFERROR(__xludf.DUMMYFUNCTION("GOOGLEFINANCE(""NSE:""&amp;D3090,""pe"")"),"#N/A")</f>
        <v>#N/A</v>
      </c>
      <c r="P3090" s="7" t="str">
        <f ca="1">IFERROR(__xludf.DUMMYFUNCTION("GOOGLEFINANCE(""NSE:""&amp;D3090,""EPS"")"),"#N/A")</f>
        <v>#N/A</v>
      </c>
      <c r="Q3090" s="7">
        <v>13.5</v>
      </c>
      <c r="R3090" s="7" t="str">
        <f ca="1">IFERROR(__xludf.DUMMYFUNCTION("IMPORTXML(E3090,""/html/body/main/div[3]/div[3]/div[2]/ul/li[7]/span[2]/span"")"),"Loading...")</f>
        <v>Loading...</v>
      </c>
      <c r="S3090" s="7" t="str">
        <f ca="1">IFERROR(__xludf.DUMMYFUNCTION("IMPORTXML(E3090,""/html/body/main/div[3]/div[3]/div[2]/ul/li[8]/span[2]/span"")"),"Loading...")</f>
        <v>Loading...</v>
      </c>
      <c r="T3090" s="4">
        <v>34.6</v>
      </c>
      <c r="U3090" s="4">
        <v>22.7</v>
      </c>
      <c r="V3090" s="4">
        <v>2.6</v>
      </c>
      <c r="W3090" s="4">
        <v>5.7</v>
      </c>
      <c r="X3090" s="4">
        <v>519.92999999999995</v>
      </c>
      <c r="Y3090" s="7" t="e">
        <f t="shared" ca="1" si="64"/>
        <v>#VALUE!</v>
      </c>
    </row>
    <row r="3091" spans="1:25" ht="15" x14ac:dyDescent="0.25">
      <c r="A3091" s="4">
        <v>3073</v>
      </c>
      <c r="C3091" s="12" t="s">
        <v>5411</v>
      </c>
      <c r="D3091" s="12" t="s">
        <v>5412</v>
      </c>
      <c r="E3091" s="5" t="str">
        <f t="shared" si="60"/>
        <v>https://www.screener.in/company/KRIDHANINF/consolidated/</v>
      </c>
      <c r="F3091" s="4">
        <v>443059</v>
      </c>
      <c r="G3091" s="4">
        <v>3832241897</v>
      </c>
      <c r="H3091" s="6">
        <f t="shared" ca="1" si="61"/>
        <v>1456.2519208599999</v>
      </c>
      <c r="I3091" s="7" t="str">
        <f ca="1">IFERROR(__xludf.DUMMYFUNCTION("IMPORTXML(E3091,""/html/body/main/div[3]/div[3]/div[2]/ul/li[5]/span[2]/span"")"),"Loading...")</f>
        <v>Loading...</v>
      </c>
      <c r="J3091" s="7">
        <f ca="1">IFERROR(__xludf.DUMMYFUNCTION("GOOGLEFINANCE(""NSE:""&amp;D3091,""marketcap"")"),373446553)</f>
        <v>373446553</v>
      </c>
      <c r="K3091" s="7">
        <v>992.8</v>
      </c>
      <c r="L3091" s="8">
        <f ca="1">IFERROR(__xludf.DUMMYFUNCTION("GOOGLEFINANCE(""NSE:""&amp;D3091,""price"")"),3.8)</f>
        <v>3.8</v>
      </c>
      <c r="M3091" s="9">
        <f t="shared" ca="1" si="62"/>
        <v>-989</v>
      </c>
      <c r="N3091" s="10">
        <f t="shared" ca="1" si="63"/>
        <v>-99.617244157937151</v>
      </c>
      <c r="O3091" s="7">
        <f ca="1">IFERROR(__xludf.DUMMYFUNCTION("GOOGLEFINANCE(""NSE:""&amp;D3091,""pe"")"),0.49)</f>
        <v>0.49</v>
      </c>
      <c r="P3091" s="7">
        <f ca="1">IFERROR(__xludf.DUMMYFUNCTION("GOOGLEFINANCE(""NSE:""&amp;D3091,""EPS"")"),7.76)</f>
        <v>7.76</v>
      </c>
      <c r="Q3091" s="7">
        <v>13.5</v>
      </c>
      <c r="R3091" s="7" t="str">
        <f ca="1">IFERROR(__xludf.DUMMYFUNCTION("IMPORTXML(E3091,""/html/body/main/div[3]/div[3]/div[2]/ul/li[7]/span[2]/span"")"),"Loading...")</f>
        <v>Loading...</v>
      </c>
      <c r="S3091" s="7" t="str">
        <f ca="1">IFERROR(__xludf.DUMMYFUNCTION("IMPORTXML(E3091,""/html/body/main/div[3]/div[3]/div[2]/ul/li[8]/span[2]/span"")"),"Loading...")</f>
        <v>Loading...</v>
      </c>
      <c r="T3091" s="4">
        <v>34.6</v>
      </c>
      <c r="U3091" s="4">
        <v>22.7</v>
      </c>
      <c r="V3091" s="4">
        <v>2.6</v>
      </c>
      <c r="W3091" s="4">
        <v>5.7</v>
      </c>
      <c r="X3091" s="4">
        <v>519.92999999999995</v>
      </c>
      <c r="Y3091" s="7">
        <f t="shared" ca="1" si="64"/>
        <v>-516.13</v>
      </c>
    </row>
    <row r="3092" spans="1:25" ht="15" x14ac:dyDescent="0.25">
      <c r="A3092" s="4">
        <v>3074</v>
      </c>
      <c r="C3092" s="41" t="s">
        <v>5413</v>
      </c>
      <c r="D3092" s="42"/>
      <c r="E3092" s="5" t="str">
        <f t="shared" si="60"/>
        <v>https://www.screener.in/company//consolidated/</v>
      </c>
      <c r="F3092" s="4">
        <v>443059</v>
      </c>
      <c r="G3092" s="4">
        <v>3832241897</v>
      </c>
      <c r="H3092" s="6" t="e">
        <f t="shared" ca="1" si="61"/>
        <v>#VALUE!</v>
      </c>
      <c r="I3092" s="7" t="str">
        <f ca="1">IFERROR(__xludf.DUMMYFUNCTION("IMPORTXML(E3092,""/html/body/main/div[3]/div[3]/div[2]/ul/li[5]/span[2]/span"")"),"Loading...")</f>
        <v>Loading...</v>
      </c>
      <c r="J3092" s="7" t="str">
        <f ca="1">IFERROR(__xludf.DUMMYFUNCTION("GOOGLEFINANCE(""NSE:""&amp;D3092,""marketcap"")"),"#N/A")</f>
        <v>#N/A</v>
      </c>
      <c r="K3092" s="7">
        <v>992.8</v>
      </c>
      <c r="L3092" s="8" t="str">
        <f ca="1">IFERROR(__xludf.DUMMYFUNCTION("GOOGLEFINANCE(""NSE:""&amp;D3092,""price"")"),"#N/A")</f>
        <v>#N/A</v>
      </c>
      <c r="M3092" s="9" t="e">
        <f t="shared" ca="1" si="62"/>
        <v>#VALUE!</v>
      </c>
      <c r="N3092" s="10" t="e">
        <f t="shared" ca="1" si="63"/>
        <v>#VALUE!</v>
      </c>
      <c r="O3092" s="7" t="str">
        <f ca="1">IFERROR(__xludf.DUMMYFUNCTION("GOOGLEFINANCE(""NSE:""&amp;D3092,""pe"")"),"#N/A")</f>
        <v>#N/A</v>
      </c>
      <c r="P3092" s="7" t="str">
        <f ca="1">IFERROR(__xludf.DUMMYFUNCTION("GOOGLEFINANCE(""NSE:""&amp;D3092,""EPS"")"),"#N/A")</f>
        <v>#N/A</v>
      </c>
      <c r="Q3092" s="7">
        <v>13.5</v>
      </c>
      <c r="R3092" s="7" t="str">
        <f ca="1">IFERROR(__xludf.DUMMYFUNCTION("IMPORTXML(E3092,""/html/body/main/div[3]/div[3]/div[2]/ul/li[7]/span[2]/span"")"),"Loading...")</f>
        <v>Loading...</v>
      </c>
      <c r="S3092" s="7" t="str">
        <f ca="1">IFERROR(__xludf.DUMMYFUNCTION("IMPORTXML(E3092,""/html/body/main/div[3]/div[3]/div[2]/ul/li[8]/span[2]/span"")"),"Loading...")</f>
        <v>Loading...</v>
      </c>
      <c r="T3092" s="4">
        <v>34.6</v>
      </c>
      <c r="U3092" s="4">
        <v>22.7</v>
      </c>
      <c r="V3092" s="4">
        <v>2.6</v>
      </c>
      <c r="W3092" s="4">
        <v>5.7</v>
      </c>
      <c r="X3092" s="4">
        <v>519.92999999999995</v>
      </c>
      <c r="Y3092" s="7" t="e">
        <f t="shared" ca="1" si="64"/>
        <v>#VALUE!</v>
      </c>
    </row>
    <row r="3093" spans="1:25" ht="15" x14ac:dyDescent="0.25">
      <c r="A3093" s="4">
        <v>3075</v>
      </c>
      <c r="C3093" s="41" t="s">
        <v>5414</v>
      </c>
      <c r="D3093" s="42"/>
      <c r="E3093" s="5" t="str">
        <f t="shared" si="60"/>
        <v>https://www.screener.in/company//consolidated/</v>
      </c>
      <c r="F3093" s="4">
        <v>443059</v>
      </c>
      <c r="G3093" s="4">
        <v>3832241897</v>
      </c>
      <c r="H3093" s="6" t="e">
        <f t="shared" ca="1" si="61"/>
        <v>#VALUE!</v>
      </c>
      <c r="I3093" s="7" t="str">
        <f ca="1">IFERROR(__xludf.DUMMYFUNCTION("IMPORTXML(E3093,""/html/body/main/div[3]/div[3]/div[2]/ul/li[5]/span[2]/span"")"),"Loading...")</f>
        <v>Loading...</v>
      </c>
      <c r="J3093" s="7" t="str">
        <f ca="1">IFERROR(__xludf.DUMMYFUNCTION("GOOGLEFINANCE(""NSE:""&amp;D3093,""marketcap"")"),"#N/A")</f>
        <v>#N/A</v>
      </c>
      <c r="K3093" s="7">
        <v>992.8</v>
      </c>
      <c r="L3093" s="8" t="str">
        <f ca="1">IFERROR(__xludf.DUMMYFUNCTION("GOOGLEFINANCE(""NSE:""&amp;D3093,""price"")"),"#N/A")</f>
        <v>#N/A</v>
      </c>
      <c r="M3093" s="9" t="e">
        <f t="shared" ca="1" si="62"/>
        <v>#VALUE!</v>
      </c>
      <c r="N3093" s="10" t="e">
        <f t="shared" ca="1" si="63"/>
        <v>#VALUE!</v>
      </c>
      <c r="O3093" s="7" t="str">
        <f ca="1">IFERROR(__xludf.DUMMYFUNCTION("GOOGLEFINANCE(""NSE:""&amp;D3093,""pe"")"),"#N/A")</f>
        <v>#N/A</v>
      </c>
      <c r="P3093" s="7" t="str">
        <f ca="1">IFERROR(__xludf.DUMMYFUNCTION("GOOGLEFINANCE(""NSE:""&amp;D3093,""EPS"")"),"#N/A")</f>
        <v>#N/A</v>
      </c>
      <c r="Q3093" s="7">
        <v>13.5</v>
      </c>
      <c r="R3093" s="7" t="str">
        <f ca="1">IFERROR(__xludf.DUMMYFUNCTION("IMPORTXML(E3093,""/html/body/main/div[3]/div[3]/div[2]/ul/li[7]/span[2]/span"")"),"Loading...")</f>
        <v>Loading...</v>
      </c>
      <c r="S3093" s="7" t="str">
        <f ca="1">IFERROR(__xludf.DUMMYFUNCTION("IMPORTXML(E3093,""/html/body/main/div[3]/div[3]/div[2]/ul/li[8]/span[2]/span"")"),"Loading...")</f>
        <v>Loading...</v>
      </c>
      <c r="T3093" s="4">
        <v>34.6</v>
      </c>
      <c r="U3093" s="4">
        <v>22.7</v>
      </c>
      <c r="V3093" s="4">
        <v>2.6</v>
      </c>
      <c r="W3093" s="4">
        <v>5.7</v>
      </c>
      <c r="X3093" s="4">
        <v>519.92999999999995</v>
      </c>
      <c r="Y3093" s="7" t="e">
        <f t="shared" ca="1" si="64"/>
        <v>#VALUE!</v>
      </c>
    </row>
    <row r="3094" spans="1:25" ht="15" x14ac:dyDescent="0.25">
      <c r="A3094" s="4">
        <v>3076</v>
      </c>
      <c r="C3094" s="41" t="s">
        <v>5415</v>
      </c>
      <c r="D3094" s="42"/>
      <c r="E3094" s="5" t="str">
        <f t="shared" si="60"/>
        <v>https://www.screener.in/company//consolidated/</v>
      </c>
      <c r="F3094" s="4">
        <v>443059</v>
      </c>
      <c r="G3094" s="4">
        <v>3832241897</v>
      </c>
      <c r="H3094" s="6" t="e">
        <f t="shared" ca="1" si="61"/>
        <v>#VALUE!</v>
      </c>
      <c r="I3094" s="7" t="str">
        <f ca="1">IFERROR(__xludf.DUMMYFUNCTION("IMPORTXML(E3094,""/html/body/main/div[3]/div[3]/div[2]/ul/li[5]/span[2]/span"")"),"Loading...")</f>
        <v>Loading...</v>
      </c>
      <c r="J3094" s="7" t="str">
        <f ca="1">IFERROR(__xludf.DUMMYFUNCTION("GOOGLEFINANCE(""NSE:""&amp;D3094,""marketcap"")"),"#N/A")</f>
        <v>#N/A</v>
      </c>
      <c r="K3094" s="7">
        <v>992.8</v>
      </c>
      <c r="L3094" s="8" t="str">
        <f ca="1">IFERROR(__xludf.DUMMYFUNCTION("GOOGLEFINANCE(""NSE:""&amp;D3094,""price"")"),"#N/A")</f>
        <v>#N/A</v>
      </c>
      <c r="M3094" s="9" t="e">
        <f t="shared" ca="1" si="62"/>
        <v>#VALUE!</v>
      </c>
      <c r="N3094" s="10" t="e">
        <f t="shared" ca="1" si="63"/>
        <v>#VALUE!</v>
      </c>
      <c r="O3094" s="7" t="str">
        <f ca="1">IFERROR(__xludf.DUMMYFUNCTION("GOOGLEFINANCE(""NSE:""&amp;D3094,""pe"")"),"#N/A")</f>
        <v>#N/A</v>
      </c>
      <c r="P3094" s="7" t="str">
        <f ca="1">IFERROR(__xludf.DUMMYFUNCTION("GOOGLEFINANCE(""NSE:""&amp;D3094,""EPS"")"),"#N/A")</f>
        <v>#N/A</v>
      </c>
      <c r="Q3094" s="7">
        <v>13.5</v>
      </c>
      <c r="R3094" s="7" t="str">
        <f ca="1">IFERROR(__xludf.DUMMYFUNCTION("IMPORTXML(E3094,""/html/body/main/div[3]/div[3]/div[2]/ul/li[7]/span[2]/span"")"),"Loading...")</f>
        <v>Loading...</v>
      </c>
      <c r="S3094" s="7" t="str">
        <f ca="1">IFERROR(__xludf.DUMMYFUNCTION("IMPORTXML(E3094,""/html/body/main/div[3]/div[3]/div[2]/ul/li[8]/span[2]/span"")"),"Loading...")</f>
        <v>Loading...</v>
      </c>
      <c r="T3094" s="4">
        <v>34.6</v>
      </c>
      <c r="U3094" s="4">
        <v>22.7</v>
      </c>
      <c r="V3094" s="4">
        <v>2.6</v>
      </c>
      <c r="W3094" s="4">
        <v>5.7</v>
      </c>
      <c r="X3094" s="4">
        <v>519.92999999999995</v>
      </c>
      <c r="Y3094" s="7" t="e">
        <f t="shared" ca="1" si="64"/>
        <v>#VALUE!</v>
      </c>
    </row>
    <row r="3095" spans="1:25" ht="15" x14ac:dyDescent="0.25">
      <c r="A3095" s="4">
        <v>3077</v>
      </c>
      <c r="C3095" s="41" t="s">
        <v>5416</v>
      </c>
      <c r="D3095" s="42"/>
      <c r="E3095" s="5" t="str">
        <f t="shared" si="60"/>
        <v>https://www.screener.in/company//consolidated/</v>
      </c>
      <c r="F3095" s="4">
        <v>443059</v>
      </c>
      <c r="G3095" s="4">
        <v>3832241897</v>
      </c>
      <c r="H3095" s="6" t="e">
        <f t="shared" ca="1" si="61"/>
        <v>#VALUE!</v>
      </c>
      <c r="I3095" s="7" t="str">
        <f ca="1">IFERROR(__xludf.DUMMYFUNCTION("IMPORTXML(E3095,""/html/body/main/div[3]/div[3]/div[2]/ul/li[5]/span[2]/span"")"),"Loading...")</f>
        <v>Loading...</v>
      </c>
      <c r="J3095" s="7" t="str">
        <f ca="1">IFERROR(__xludf.DUMMYFUNCTION("GOOGLEFINANCE(""NSE:""&amp;D3095,""marketcap"")"),"#N/A")</f>
        <v>#N/A</v>
      </c>
      <c r="K3095" s="7">
        <v>992.8</v>
      </c>
      <c r="L3095" s="8" t="str">
        <f ca="1">IFERROR(__xludf.DUMMYFUNCTION("GOOGLEFINANCE(""NSE:""&amp;D3095,""price"")"),"#N/A")</f>
        <v>#N/A</v>
      </c>
      <c r="M3095" s="9" t="e">
        <f t="shared" ca="1" si="62"/>
        <v>#VALUE!</v>
      </c>
      <c r="N3095" s="10" t="e">
        <f t="shared" ca="1" si="63"/>
        <v>#VALUE!</v>
      </c>
      <c r="O3095" s="7" t="str">
        <f ca="1">IFERROR(__xludf.DUMMYFUNCTION("GOOGLEFINANCE(""NSE:""&amp;D3095,""pe"")"),"#N/A")</f>
        <v>#N/A</v>
      </c>
      <c r="P3095" s="7" t="str">
        <f ca="1">IFERROR(__xludf.DUMMYFUNCTION("GOOGLEFINANCE(""NSE:""&amp;D3095,""EPS"")"),"#N/A")</f>
        <v>#N/A</v>
      </c>
      <c r="Q3095" s="7">
        <v>13.5</v>
      </c>
      <c r="R3095" s="7" t="str">
        <f ca="1">IFERROR(__xludf.DUMMYFUNCTION("IMPORTXML(E3095,""/html/body/main/div[3]/div[3]/div[2]/ul/li[7]/span[2]/span"")"),"Loading...")</f>
        <v>Loading...</v>
      </c>
      <c r="S3095" s="7" t="str">
        <f ca="1">IFERROR(__xludf.DUMMYFUNCTION("IMPORTXML(E3095,""/html/body/main/div[3]/div[3]/div[2]/ul/li[8]/span[2]/span"")"),"Loading...")</f>
        <v>Loading...</v>
      </c>
      <c r="T3095" s="4">
        <v>34.6</v>
      </c>
      <c r="U3095" s="4">
        <v>22.7</v>
      </c>
      <c r="V3095" s="4">
        <v>2.6</v>
      </c>
      <c r="W3095" s="4">
        <v>5.7</v>
      </c>
      <c r="X3095" s="4">
        <v>519.92999999999995</v>
      </c>
      <c r="Y3095" s="7" t="e">
        <f t="shared" ca="1" si="64"/>
        <v>#VALUE!</v>
      </c>
    </row>
    <row r="3096" spans="1:25" ht="15" x14ac:dyDescent="0.25">
      <c r="A3096" s="4">
        <v>3078</v>
      </c>
      <c r="C3096" s="41" t="s">
        <v>5417</v>
      </c>
      <c r="D3096" s="42"/>
      <c r="E3096" s="5" t="str">
        <f t="shared" si="60"/>
        <v>https://www.screener.in/company//consolidated/</v>
      </c>
      <c r="F3096" s="4">
        <v>443059</v>
      </c>
      <c r="G3096" s="4">
        <v>3832241897</v>
      </c>
      <c r="H3096" s="6" t="e">
        <f t="shared" ca="1" si="61"/>
        <v>#VALUE!</v>
      </c>
      <c r="I3096" s="7" t="str">
        <f ca="1">IFERROR(__xludf.DUMMYFUNCTION("IMPORTXML(E3096,""/html/body/main/div[3]/div[3]/div[2]/ul/li[5]/span[2]/span"")"),"Loading...")</f>
        <v>Loading...</v>
      </c>
      <c r="J3096" s="7" t="str">
        <f ca="1">IFERROR(__xludf.DUMMYFUNCTION("GOOGLEFINANCE(""NSE:""&amp;D3096,""marketcap"")"),"#N/A")</f>
        <v>#N/A</v>
      </c>
      <c r="K3096" s="7">
        <v>992.8</v>
      </c>
      <c r="L3096" s="8" t="str">
        <f ca="1">IFERROR(__xludf.DUMMYFUNCTION("GOOGLEFINANCE(""NSE:""&amp;D3096,""price"")"),"#N/A")</f>
        <v>#N/A</v>
      </c>
      <c r="M3096" s="9" t="e">
        <f t="shared" ca="1" si="62"/>
        <v>#VALUE!</v>
      </c>
      <c r="N3096" s="10" t="e">
        <f t="shared" ca="1" si="63"/>
        <v>#VALUE!</v>
      </c>
      <c r="O3096" s="7" t="str">
        <f ca="1">IFERROR(__xludf.DUMMYFUNCTION("GOOGLEFINANCE(""NSE:""&amp;D3096,""pe"")"),"#N/A")</f>
        <v>#N/A</v>
      </c>
      <c r="P3096" s="7" t="str">
        <f ca="1">IFERROR(__xludf.DUMMYFUNCTION("GOOGLEFINANCE(""NSE:""&amp;D3096,""EPS"")"),"#N/A")</f>
        <v>#N/A</v>
      </c>
      <c r="Q3096" s="7">
        <v>13.5</v>
      </c>
      <c r="R3096" s="7" t="str">
        <f ca="1">IFERROR(__xludf.DUMMYFUNCTION("IMPORTXML(E3096,""/html/body/main/div[3]/div[3]/div[2]/ul/li[7]/span[2]/span"")"),"Loading...")</f>
        <v>Loading...</v>
      </c>
      <c r="S3096" s="7" t="str">
        <f ca="1">IFERROR(__xludf.DUMMYFUNCTION("IMPORTXML(E3096,""/html/body/main/div[3]/div[3]/div[2]/ul/li[8]/span[2]/span"")"),"Loading...")</f>
        <v>Loading...</v>
      </c>
      <c r="T3096" s="4">
        <v>34.6</v>
      </c>
      <c r="U3096" s="4">
        <v>22.7</v>
      </c>
      <c r="V3096" s="4">
        <v>2.6</v>
      </c>
      <c r="W3096" s="4">
        <v>5.7</v>
      </c>
      <c r="X3096" s="4">
        <v>519.92999999999995</v>
      </c>
      <c r="Y3096" s="7" t="e">
        <f t="shared" ca="1" si="64"/>
        <v>#VALUE!</v>
      </c>
    </row>
    <row r="3097" spans="1:25" ht="15" x14ac:dyDescent="0.25">
      <c r="A3097" s="4">
        <v>3079</v>
      </c>
      <c r="C3097" s="41" t="s">
        <v>5418</v>
      </c>
      <c r="D3097" s="42"/>
      <c r="E3097" s="5" t="str">
        <f t="shared" si="60"/>
        <v>https://www.screener.in/company//consolidated/</v>
      </c>
      <c r="F3097" s="4">
        <v>443059</v>
      </c>
      <c r="G3097" s="4">
        <v>3832241897</v>
      </c>
      <c r="H3097" s="6" t="e">
        <f t="shared" ca="1" si="61"/>
        <v>#VALUE!</v>
      </c>
      <c r="I3097" s="7" t="str">
        <f ca="1">IFERROR(__xludf.DUMMYFUNCTION("IMPORTXML(E3097,""/html/body/main/div[3]/div[3]/div[2]/ul/li[5]/span[2]/span"")"),"Loading...")</f>
        <v>Loading...</v>
      </c>
      <c r="J3097" s="7" t="str">
        <f ca="1">IFERROR(__xludf.DUMMYFUNCTION("GOOGLEFINANCE(""NSE:""&amp;D3097,""marketcap"")"),"#N/A")</f>
        <v>#N/A</v>
      </c>
      <c r="K3097" s="7">
        <v>992.8</v>
      </c>
      <c r="L3097" s="8" t="str">
        <f ca="1">IFERROR(__xludf.DUMMYFUNCTION("GOOGLEFINANCE(""NSE:""&amp;D3097,""price"")"),"#N/A")</f>
        <v>#N/A</v>
      </c>
      <c r="M3097" s="9" t="e">
        <f t="shared" ca="1" si="62"/>
        <v>#VALUE!</v>
      </c>
      <c r="N3097" s="10" t="e">
        <f t="shared" ca="1" si="63"/>
        <v>#VALUE!</v>
      </c>
      <c r="O3097" s="7" t="str">
        <f ca="1">IFERROR(__xludf.DUMMYFUNCTION("GOOGLEFINANCE(""NSE:""&amp;D3097,""pe"")"),"#N/A")</f>
        <v>#N/A</v>
      </c>
      <c r="P3097" s="7" t="str">
        <f ca="1">IFERROR(__xludf.DUMMYFUNCTION("GOOGLEFINANCE(""NSE:""&amp;D3097,""EPS"")"),"#N/A")</f>
        <v>#N/A</v>
      </c>
      <c r="Q3097" s="7">
        <v>13.5</v>
      </c>
      <c r="R3097" s="7" t="str">
        <f ca="1">IFERROR(__xludf.DUMMYFUNCTION("IMPORTXML(E3097,""/html/body/main/div[3]/div[3]/div[2]/ul/li[7]/span[2]/span"")"),"Loading...")</f>
        <v>Loading...</v>
      </c>
      <c r="S3097" s="7" t="str">
        <f ca="1">IFERROR(__xludf.DUMMYFUNCTION("IMPORTXML(E3097,""/html/body/main/div[3]/div[3]/div[2]/ul/li[8]/span[2]/span"")"),"Loading...")</f>
        <v>Loading...</v>
      </c>
      <c r="T3097" s="4">
        <v>34.6</v>
      </c>
      <c r="U3097" s="4">
        <v>22.7</v>
      </c>
      <c r="V3097" s="4">
        <v>2.6</v>
      </c>
      <c r="W3097" s="4">
        <v>5.7</v>
      </c>
      <c r="X3097" s="4">
        <v>519.92999999999995</v>
      </c>
      <c r="Y3097" s="7" t="e">
        <f t="shared" ca="1" si="64"/>
        <v>#VALUE!</v>
      </c>
    </row>
    <row r="3098" spans="1:25" ht="15" x14ac:dyDescent="0.25">
      <c r="A3098" s="4">
        <v>3080</v>
      </c>
      <c r="C3098" s="41" t="s">
        <v>5419</v>
      </c>
      <c r="D3098" s="42"/>
      <c r="E3098" s="5" t="str">
        <f t="shared" si="60"/>
        <v>https://www.screener.in/company//consolidated/</v>
      </c>
      <c r="F3098" s="4">
        <v>443059</v>
      </c>
      <c r="G3098" s="4">
        <v>3832241897</v>
      </c>
      <c r="H3098" s="6" t="e">
        <f t="shared" ca="1" si="61"/>
        <v>#VALUE!</v>
      </c>
      <c r="I3098" s="7" t="str">
        <f ca="1">IFERROR(__xludf.DUMMYFUNCTION("IMPORTXML(E3098,""/html/body/main/div[3]/div[3]/div[2]/ul/li[5]/span[2]/span"")"),"Loading...")</f>
        <v>Loading...</v>
      </c>
      <c r="J3098" s="7" t="str">
        <f ca="1">IFERROR(__xludf.DUMMYFUNCTION("GOOGLEFINANCE(""NSE:""&amp;D3098,""marketcap"")"),"#N/A")</f>
        <v>#N/A</v>
      </c>
      <c r="K3098" s="7">
        <v>992.8</v>
      </c>
      <c r="L3098" s="8" t="str">
        <f ca="1">IFERROR(__xludf.DUMMYFUNCTION("GOOGLEFINANCE(""NSE:""&amp;D3098,""price"")"),"#N/A")</f>
        <v>#N/A</v>
      </c>
      <c r="M3098" s="9" t="e">
        <f t="shared" ca="1" si="62"/>
        <v>#VALUE!</v>
      </c>
      <c r="N3098" s="10" t="e">
        <f t="shared" ca="1" si="63"/>
        <v>#VALUE!</v>
      </c>
      <c r="O3098" s="7" t="str">
        <f ca="1">IFERROR(__xludf.DUMMYFUNCTION("GOOGLEFINANCE(""NSE:""&amp;D3098,""pe"")"),"#N/A")</f>
        <v>#N/A</v>
      </c>
      <c r="P3098" s="7" t="str">
        <f ca="1">IFERROR(__xludf.DUMMYFUNCTION("GOOGLEFINANCE(""NSE:""&amp;D3098,""EPS"")"),"#N/A")</f>
        <v>#N/A</v>
      </c>
      <c r="Q3098" s="7">
        <v>13.5</v>
      </c>
      <c r="R3098" s="7" t="str">
        <f ca="1">IFERROR(__xludf.DUMMYFUNCTION("IMPORTXML(E3098,""/html/body/main/div[3]/div[3]/div[2]/ul/li[7]/span[2]/span"")"),"Loading...")</f>
        <v>Loading...</v>
      </c>
      <c r="S3098" s="7" t="str">
        <f ca="1">IFERROR(__xludf.DUMMYFUNCTION("IMPORTXML(E3098,""/html/body/main/div[3]/div[3]/div[2]/ul/li[8]/span[2]/span"")"),"Loading...")</f>
        <v>Loading...</v>
      </c>
      <c r="T3098" s="4">
        <v>34.6</v>
      </c>
      <c r="U3098" s="4">
        <v>22.7</v>
      </c>
      <c r="V3098" s="4">
        <v>2.6</v>
      </c>
      <c r="W3098" s="4">
        <v>5.7</v>
      </c>
      <c r="X3098" s="4">
        <v>519.92999999999995</v>
      </c>
      <c r="Y3098" s="7" t="e">
        <f t="shared" ca="1" si="64"/>
        <v>#VALUE!</v>
      </c>
    </row>
    <row r="3099" spans="1:25" ht="15" x14ac:dyDescent="0.25">
      <c r="A3099" s="4">
        <v>3081</v>
      </c>
      <c r="C3099" s="41" t="s">
        <v>5420</v>
      </c>
      <c r="D3099" s="42"/>
      <c r="E3099" s="5" t="str">
        <f t="shared" si="60"/>
        <v>https://www.screener.in/company//consolidated/</v>
      </c>
      <c r="F3099" s="4">
        <v>443059</v>
      </c>
      <c r="G3099" s="4">
        <v>3832241897</v>
      </c>
      <c r="H3099" s="6" t="e">
        <f t="shared" ca="1" si="61"/>
        <v>#VALUE!</v>
      </c>
      <c r="I3099" s="7" t="str">
        <f ca="1">IFERROR(__xludf.DUMMYFUNCTION("IMPORTXML(E3099,""/html/body/main/div[3]/div[3]/div[2]/ul/li[5]/span[2]/span"")"),"Loading...")</f>
        <v>Loading...</v>
      </c>
      <c r="J3099" s="7" t="str">
        <f ca="1">IFERROR(__xludf.DUMMYFUNCTION("GOOGLEFINANCE(""NSE:""&amp;D3099,""marketcap"")"),"#N/A")</f>
        <v>#N/A</v>
      </c>
      <c r="K3099" s="7">
        <v>992.8</v>
      </c>
      <c r="L3099" s="8" t="str">
        <f ca="1">IFERROR(__xludf.DUMMYFUNCTION("GOOGLEFINANCE(""NSE:""&amp;D3099,""price"")"),"#N/A")</f>
        <v>#N/A</v>
      </c>
      <c r="M3099" s="9" t="e">
        <f t="shared" ca="1" si="62"/>
        <v>#VALUE!</v>
      </c>
      <c r="N3099" s="10" t="e">
        <f t="shared" ca="1" si="63"/>
        <v>#VALUE!</v>
      </c>
      <c r="O3099" s="7" t="str">
        <f ca="1">IFERROR(__xludf.DUMMYFUNCTION("GOOGLEFINANCE(""NSE:""&amp;D3099,""pe"")"),"#N/A")</f>
        <v>#N/A</v>
      </c>
      <c r="P3099" s="7" t="str">
        <f ca="1">IFERROR(__xludf.DUMMYFUNCTION("GOOGLEFINANCE(""NSE:""&amp;D3099,""EPS"")"),"#N/A")</f>
        <v>#N/A</v>
      </c>
      <c r="Q3099" s="7">
        <v>13.5</v>
      </c>
      <c r="R3099" s="7" t="str">
        <f ca="1">IFERROR(__xludf.DUMMYFUNCTION("IMPORTXML(E3099,""/html/body/main/div[3]/div[3]/div[2]/ul/li[7]/span[2]/span"")"),"Loading...")</f>
        <v>Loading...</v>
      </c>
      <c r="S3099" s="7" t="str">
        <f ca="1">IFERROR(__xludf.DUMMYFUNCTION("IMPORTXML(E3099,""/html/body/main/div[3]/div[3]/div[2]/ul/li[8]/span[2]/span"")"),"Loading...")</f>
        <v>Loading...</v>
      </c>
      <c r="T3099" s="4">
        <v>34.6</v>
      </c>
      <c r="U3099" s="4">
        <v>22.7</v>
      </c>
      <c r="V3099" s="4">
        <v>2.6</v>
      </c>
      <c r="W3099" s="4">
        <v>5.7</v>
      </c>
      <c r="X3099" s="4">
        <v>519.92999999999995</v>
      </c>
      <c r="Y3099" s="7" t="e">
        <f t="shared" ca="1" si="64"/>
        <v>#VALUE!</v>
      </c>
    </row>
    <row r="3100" spans="1:25" ht="15" x14ac:dyDescent="0.25">
      <c r="A3100" s="4">
        <v>3082</v>
      </c>
      <c r="C3100" s="41" t="s">
        <v>5421</v>
      </c>
      <c r="D3100" s="42"/>
      <c r="E3100" s="5" t="str">
        <f t="shared" si="60"/>
        <v>https://www.screener.in/company//consolidated/</v>
      </c>
      <c r="F3100" s="4">
        <v>443059</v>
      </c>
      <c r="G3100" s="4">
        <v>3832241897</v>
      </c>
      <c r="H3100" s="6" t="e">
        <f t="shared" ca="1" si="61"/>
        <v>#VALUE!</v>
      </c>
      <c r="I3100" s="7" t="str">
        <f ca="1">IFERROR(__xludf.DUMMYFUNCTION("IMPORTXML(E3100,""/html/body/main/div[3]/div[3]/div[2]/ul/li[5]/span[2]/span"")"),"Loading...")</f>
        <v>Loading...</v>
      </c>
      <c r="J3100" s="7" t="str">
        <f ca="1">IFERROR(__xludf.DUMMYFUNCTION("GOOGLEFINANCE(""NSE:""&amp;D3100,""marketcap"")"),"#N/A")</f>
        <v>#N/A</v>
      </c>
      <c r="K3100" s="7">
        <v>992.8</v>
      </c>
      <c r="L3100" s="8" t="str">
        <f ca="1">IFERROR(__xludf.DUMMYFUNCTION("GOOGLEFINANCE(""NSE:""&amp;D3100,""price"")"),"#N/A")</f>
        <v>#N/A</v>
      </c>
      <c r="M3100" s="9" t="e">
        <f t="shared" ca="1" si="62"/>
        <v>#VALUE!</v>
      </c>
      <c r="N3100" s="10" t="e">
        <f t="shared" ca="1" si="63"/>
        <v>#VALUE!</v>
      </c>
      <c r="O3100" s="7" t="str">
        <f ca="1">IFERROR(__xludf.DUMMYFUNCTION("GOOGLEFINANCE(""NSE:""&amp;D3100,""pe"")"),"#N/A")</f>
        <v>#N/A</v>
      </c>
      <c r="P3100" s="7" t="str">
        <f ca="1">IFERROR(__xludf.DUMMYFUNCTION("GOOGLEFINANCE(""NSE:""&amp;D3100,""EPS"")"),"#N/A")</f>
        <v>#N/A</v>
      </c>
      <c r="Q3100" s="7">
        <v>13.5</v>
      </c>
      <c r="R3100" s="7" t="str">
        <f ca="1">IFERROR(__xludf.DUMMYFUNCTION("IMPORTXML(E3100,""/html/body/main/div[3]/div[3]/div[2]/ul/li[7]/span[2]/span"")"),"Loading...")</f>
        <v>Loading...</v>
      </c>
      <c r="S3100" s="7" t="str">
        <f ca="1">IFERROR(__xludf.DUMMYFUNCTION("IMPORTXML(E3100,""/html/body/main/div[3]/div[3]/div[2]/ul/li[8]/span[2]/span"")"),"Loading...")</f>
        <v>Loading...</v>
      </c>
      <c r="T3100" s="4">
        <v>34.6</v>
      </c>
      <c r="U3100" s="4">
        <v>22.7</v>
      </c>
      <c r="V3100" s="4">
        <v>2.6</v>
      </c>
      <c r="W3100" s="4">
        <v>5.7</v>
      </c>
      <c r="X3100" s="4">
        <v>519.92999999999995</v>
      </c>
      <c r="Y3100" s="7" t="e">
        <f t="shared" ca="1" si="64"/>
        <v>#VALUE!</v>
      </c>
    </row>
    <row r="3101" spans="1:25" ht="15" x14ac:dyDescent="0.25">
      <c r="A3101" s="4">
        <v>3083</v>
      </c>
      <c r="C3101" s="12" t="s">
        <v>5422</v>
      </c>
      <c r="D3101" s="12" t="s">
        <v>5423</v>
      </c>
      <c r="E3101" s="5" t="str">
        <f t="shared" si="60"/>
        <v>https://www.screener.in/company/MORARJEE/consolidated/</v>
      </c>
      <c r="F3101" s="4">
        <v>443059</v>
      </c>
      <c r="G3101" s="4">
        <v>3832241897</v>
      </c>
      <c r="H3101" s="6">
        <f t="shared" ca="1" si="61"/>
        <v>3353.2116598749999</v>
      </c>
      <c r="I3101" s="7" t="str">
        <f ca="1">IFERROR(__xludf.DUMMYFUNCTION("IMPORTXML(E3101,""/html/body/main/div[3]/div[3]/div[2]/ul/li[5]/span[2]/span"")"),"Loading...")</f>
        <v>Loading...</v>
      </c>
      <c r="J3101" s="7">
        <f ca="1">IFERROR(__xludf.DUMMYFUNCTION("GOOGLEFINANCE(""NSE:""&amp;D3101,""marketcap"")"),313025400)</f>
        <v>313025400</v>
      </c>
      <c r="K3101" s="7">
        <v>992.8</v>
      </c>
      <c r="L3101" s="8">
        <f ca="1">IFERROR(__xludf.DUMMYFUNCTION("GOOGLEFINANCE(""NSE:""&amp;D3101,""price"")"),8.75)</f>
        <v>8.75</v>
      </c>
      <c r="M3101" s="9">
        <f t="shared" ca="1" si="62"/>
        <v>-984.05</v>
      </c>
      <c r="N3101" s="10">
        <f t="shared" ca="1" si="63"/>
        <v>-99.118654311039492</v>
      </c>
      <c r="O3101" s="7" t="str">
        <f ca="1">IFERROR(__xludf.DUMMYFUNCTION("GOOGLEFINANCE(""NSE:""&amp;D3101,""pe"")"),"#N/A")</f>
        <v>#N/A</v>
      </c>
      <c r="P3101" s="7" t="str">
        <f ca="1">IFERROR(__xludf.DUMMYFUNCTION("GOOGLEFINANCE(""NSE:""&amp;D3101,""EPS"")"),"#N/A")</f>
        <v>#N/A</v>
      </c>
      <c r="Q3101" s="7">
        <v>13.5</v>
      </c>
      <c r="R3101" s="7" t="str">
        <f ca="1">IFERROR(__xludf.DUMMYFUNCTION("IMPORTXML(E3101,""/html/body/main/div[3]/div[3]/div[2]/ul/li[7]/span[2]/span"")"),"Loading...")</f>
        <v>Loading...</v>
      </c>
      <c r="S3101" s="7" t="str">
        <f ca="1">IFERROR(__xludf.DUMMYFUNCTION("IMPORTXML(E3101,""/html/body/main/div[3]/div[3]/div[2]/ul/li[8]/span[2]/span"")"),"Loading...")</f>
        <v>Loading...</v>
      </c>
      <c r="T3101" s="4">
        <v>34.6</v>
      </c>
      <c r="U3101" s="4">
        <v>22.7</v>
      </c>
      <c r="V3101" s="4">
        <v>2.6</v>
      </c>
      <c r="W3101" s="4">
        <v>5.7</v>
      </c>
      <c r="X3101" s="4">
        <v>519.92999999999995</v>
      </c>
      <c r="Y3101" s="7">
        <f t="shared" ca="1" si="64"/>
        <v>-511.17999999999995</v>
      </c>
    </row>
    <row r="3102" spans="1:25" ht="15" x14ac:dyDescent="0.25">
      <c r="A3102" s="4">
        <v>3084</v>
      </c>
      <c r="C3102" s="41" t="s">
        <v>5424</v>
      </c>
      <c r="D3102" s="42"/>
      <c r="E3102" s="5" t="str">
        <f t="shared" si="60"/>
        <v>https://www.screener.in/company//consolidated/</v>
      </c>
      <c r="F3102" s="4">
        <v>443059</v>
      </c>
      <c r="G3102" s="4">
        <v>3832241897</v>
      </c>
      <c r="H3102" s="6" t="e">
        <f t="shared" ca="1" si="61"/>
        <v>#VALUE!</v>
      </c>
      <c r="I3102" s="7" t="str">
        <f ca="1">IFERROR(__xludf.DUMMYFUNCTION("IMPORTXML(E3102,""/html/body/main/div[3]/div[3]/div[2]/ul/li[5]/span[2]/span"")"),"Loading...")</f>
        <v>Loading...</v>
      </c>
      <c r="J3102" s="7" t="str">
        <f ca="1">IFERROR(__xludf.DUMMYFUNCTION("GOOGLEFINANCE(""NSE:""&amp;D3102,""marketcap"")"),"#N/A")</f>
        <v>#N/A</v>
      </c>
      <c r="K3102" s="7">
        <v>992.8</v>
      </c>
      <c r="L3102" s="8" t="str">
        <f ca="1">IFERROR(__xludf.DUMMYFUNCTION("GOOGLEFINANCE(""NSE:""&amp;D3102,""price"")"),"#N/A")</f>
        <v>#N/A</v>
      </c>
      <c r="M3102" s="9" t="e">
        <f t="shared" ca="1" si="62"/>
        <v>#VALUE!</v>
      </c>
      <c r="N3102" s="10" t="e">
        <f t="shared" ca="1" si="63"/>
        <v>#VALUE!</v>
      </c>
      <c r="O3102" s="7" t="str">
        <f ca="1">IFERROR(__xludf.DUMMYFUNCTION("GOOGLEFINANCE(""NSE:""&amp;D3102,""pe"")"),"#N/A")</f>
        <v>#N/A</v>
      </c>
      <c r="P3102" s="7" t="str">
        <f ca="1">IFERROR(__xludf.DUMMYFUNCTION("GOOGLEFINANCE(""NSE:""&amp;D3102,""EPS"")"),"#N/A")</f>
        <v>#N/A</v>
      </c>
      <c r="Q3102" s="7">
        <v>13.5</v>
      </c>
      <c r="R3102" s="7" t="str">
        <f ca="1">IFERROR(__xludf.DUMMYFUNCTION("IMPORTXML(E3102,""/html/body/main/div[3]/div[3]/div[2]/ul/li[7]/span[2]/span"")"),"Loading...")</f>
        <v>Loading...</v>
      </c>
      <c r="S3102" s="7" t="str">
        <f ca="1">IFERROR(__xludf.DUMMYFUNCTION("IMPORTXML(E3102,""/html/body/main/div[3]/div[3]/div[2]/ul/li[8]/span[2]/span"")"),"Loading...")</f>
        <v>Loading...</v>
      </c>
      <c r="T3102" s="4">
        <v>34.6</v>
      </c>
      <c r="U3102" s="4">
        <v>22.7</v>
      </c>
      <c r="V3102" s="4">
        <v>2.6</v>
      </c>
      <c r="W3102" s="4">
        <v>5.7</v>
      </c>
      <c r="X3102" s="4">
        <v>519.92999999999995</v>
      </c>
      <c r="Y3102" s="7" t="e">
        <f t="shared" ca="1" si="64"/>
        <v>#VALUE!</v>
      </c>
    </row>
    <row r="3103" spans="1:25" ht="15" x14ac:dyDescent="0.25">
      <c r="A3103" s="4">
        <v>3085</v>
      </c>
      <c r="C3103" s="12" t="s">
        <v>5425</v>
      </c>
      <c r="D3103" s="37"/>
      <c r="E3103" s="5" t="str">
        <f t="shared" si="60"/>
        <v>https://www.screener.in/company//consolidated/</v>
      </c>
      <c r="F3103" s="4">
        <v>443059</v>
      </c>
      <c r="G3103" s="4">
        <v>3832241897</v>
      </c>
      <c r="H3103" s="6" t="e">
        <f t="shared" ca="1" si="61"/>
        <v>#VALUE!</v>
      </c>
      <c r="I3103" s="7" t="str">
        <f ca="1">IFERROR(__xludf.DUMMYFUNCTION("IMPORTXML(E3103,""/html/body/main/div[3]/div[3]/div[2]/ul/li[5]/span[2]/span"")"),"Loading...")</f>
        <v>Loading...</v>
      </c>
      <c r="J3103" s="7" t="str">
        <f ca="1">IFERROR(__xludf.DUMMYFUNCTION("GOOGLEFINANCE(""NSE:""&amp;D3103,""marketcap"")"),"#N/A")</f>
        <v>#N/A</v>
      </c>
      <c r="K3103" s="7">
        <v>992.8</v>
      </c>
      <c r="L3103" s="8" t="str">
        <f ca="1">IFERROR(__xludf.DUMMYFUNCTION("GOOGLEFINANCE(""NSE:""&amp;D3103,""price"")"),"#N/A")</f>
        <v>#N/A</v>
      </c>
      <c r="M3103" s="9" t="e">
        <f t="shared" ca="1" si="62"/>
        <v>#VALUE!</v>
      </c>
      <c r="N3103" s="10" t="e">
        <f t="shared" ca="1" si="63"/>
        <v>#VALUE!</v>
      </c>
      <c r="O3103" s="7" t="str">
        <f ca="1">IFERROR(__xludf.DUMMYFUNCTION("GOOGLEFINANCE(""NSE:""&amp;D3103,""pe"")"),"#N/A")</f>
        <v>#N/A</v>
      </c>
      <c r="P3103" s="7" t="str">
        <f ca="1">IFERROR(__xludf.DUMMYFUNCTION("GOOGLEFINANCE(""NSE:""&amp;D3103,""EPS"")"),"#N/A")</f>
        <v>#N/A</v>
      </c>
      <c r="Q3103" s="7">
        <v>13.5</v>
      </c>
      <c r="R3103" s="7" t="str">
        <f ca="1">IFERROR(__xludf.DUMMYFUNCTION("IMPORTXML(E3103,""/html/body/main/div[3]/div[3]/div[2]/ul/li[7]/span[2]/span"")"),"Loading...")</f>
        <v>Loading...</v>
      </c>
      <c r="S3103" s="7" t="str">
        <f ca="1">IFERROR(__xludf.DUMMYFUNCTION("IMPORTXML(E3103,""/html/body/main/div[3]/div[3]/div[2]/ul/li[8]/span[2]/span"")"),"Loading...")</f>
        <v>Loading...</v>
      </c>
      <c r="T3103" s="4">
        <v>34.6</v>
      </c>
      <c r="U3103" s="4">
        <v>22.7</v>
      </c>
      <c r="V3103" s="4">
        <v>2.6</v>
      </c>
      <c r="W3103" s="4">
        <v>5.7</v>
      </c>
      <c r="X3103" s="4">
        <v>519.92999999999995</v>
      </c>
      <c r="Y3103" s="7" t="e">
        <f t="shared" ca="1" si="64"/>
        <v>#VALUE!</v>
      </c>
    </row>
    <row r="3104" spans="1:25" ht="15" x14ac:dyDescent="0.25">
      <c r="A3104" s="4">
        <v>3086</v>
      </c>
      <c r="C3104" s="41" t="s">
        <v>5426</v>
      </c>
      <c r="D3104" s="42"/>
      <c r="E3104" s="5" t="str">
        <f t="shared" si="60"/>
        <v>https://www.screener.in/company//consolidated/</v>
      </c>
      <c r="F3104" s="4">
        <v>443059</v>
      </c>
      <c r="G3104" s="4">
        <v>3832241897</v>
      </c>
      <c r="H3104" s="6" t="e">
        <f t="shared" ca="1" si="61"/>
        <v>#VALUE!</v>
      </c>
      <c r="I3104" s="7" t="str">
        <f ca="1">IFERROR(__xludf.DUMMYFUNCTION("IMPORTXML(E3104,""/html/body/main/div[3]/div[3]/div[2]/ul/li[5]/span[2]/span"")"),"Loading...")</f>
        <v>Loading...</v>
      </c>
      <c r="J3104" s="7" t="str">
        <f ca="1">IFERROR(__xludf.DUMMYFUNCTION("GOOGLEFINANCE(""NSE:""&amp;D3104,""marketcap"")"),"#N/A")</f>
        <v>#N/A</v>
      </c>
      <c r="K3104" s="7">
        <v>992.8</v>
      </c>
      <c r="L3104" s="8" t="str">
        <f ca="1">IFERROR(__xludf.DUMMYFUNCTION("GOOGLEFINANCE(""NSE:""&amp;D3104,""price"")"),"#N/A")</f>
        <v>#N/A</v>
      </c>
      <c r="M3104" s="9" t="e">
        <f t="shared" ca="1" si="62"/>
        <v>#VALUE!</v>
      </c>
      <c r="N3104" s="10" t="e">
        <f t="shared" ca="1" si="63"/>
        <v>#VALUE!</v>
      </c>
      <c r="O3104" s="7" t="str">
        <f ca="1">IFERROR(__xludf.DUMMYFUNCTION("GOOGLEFINANCE(""NSE:""&amp;D3104,""pe"")"),"#N/A")</f>
        <v>#N/A</v>
      </c>
      <c r="P3104" s="7" t="str">
        <f ca="1">IFERROR(__xludf.DUMMYFUNCTION("GOOGLEFINANCE(""NSE:""&amp;D3104,""EPS"")"),"#N/A")</f>
        <v>#N/A</v>
      </c>
      <c r="Q3104" s="7">
        <v>13.5</v>
      </c>
      <c r="R3104" s="7" t="str">
        <f ca="1">IFERROR(__xludf.DUMMYFUNCTION("IMPORTXML(E3104,""/html/body/main/div[3]/div[3]/div[2]/ul/li[7]/span[2]/span"")"),"Loading...")</f>
        <v>Loading...</v>
      </c>
      <c r="S3104" s="7" t="str">
        <f ca="1">IFERROR(__xludf.DUMMYFUNCTION("IMPORTXML(E3104,""/html/body/main/div[3]/div[3]/div[2]/ul/li[8]/span[2]/span"")"),"Loading...")</f>
        <v>Loading...</v>
      </c>
      <c r="T3104" s="4">
        <v>34.6</v>
      </c>
      <c r="U3104" s="4">
        <v>22.7</v>
      </c>
      <c r="V3104" s="4">
        <v>2.6</v>
      </c>
      <c r="W3104" s="4">
        <v>5.7</v>
      </c>
      <c r="X3104" s="4">
        <v>519.92999999999995</v>
      </c>
      <c r="Y3104" s="7" t="e">
        <f t="shared" ca="1" si="64"/>
        <v>#VALUE!</v>
      </c>
    </row>
    <row r="3105" spans="1:25" ht="15" x14ac:dyDescent="0.25">
      <c r="A3105" s="4">
        <v>3087</v>
      </c>
      <c r="C3105" s="41" t="s">
        <v>5427</v>
      </c>
      <c r="D3105" s="42"/>
      <c r="E3105" s="5" t="str">
        <f t="shared" si="60"/>
        <v>https://www.screener.in/company//consolidated/</v>
      </c>
      <c r="F3105" s="4">
        <v>443059</v>
      </c>
      <c r="G3105" s="4">
        <v>3832241897</v>
      </c>
      <c r="H3105" s="6" t="e">
        <f t="shared" ca="1" si="61"/>
        <v>#VALUE!</v>
      </c>
      <c r="I3105" s="7" t="str">
        <f ca="1">IFERROR(__xludf.DUMMYFUNCTION("IMPORTXML(E3105,""/html/body/main/div[3]/div[3]/div[2]/ul/li[5]/span[2]/span"")"),"Loading...")</f>
        <v>Loading...</v>
      </c>
      <c r="J3105" s="7" t="str">
        <f ca="1">IFERROR(__xludf.DUMMYFUNCTION("GOOGLEFINANCE(""NSE:""&amp;D3105,""marketcap"")"),"#N/A")</f>
        <v>#N/A</v>
      </c>
      <c r="K3105" s="7">
        <v>992.8</v>
      </c>
      <c r="L3105" s="8" t="str">
        <f ca="1">IFERROR(__xludf.DUMMYFUNCTION("GOOGLEFINANCE(""NSE:""&amp;D3105,""price"")"),"#N/A")</f>
        <v>#N/A</v>
      </c>
      <c r="M3105" s="9" t="e">
        <f t="shared" ca="1" si="62"/>
        <v>#VALUE!</v>
      </c>
      <c r="N3105" s="10" t="e">
        <f t="shared" ca="1" si="63"/>
        <v>#VALUE!</v>
      </c>
      <c r="O3105" s="7" t="str">
        <f ca="1">IFERROR(__xludf.DUMMYFUNCTION("GOOGLEFINANCE(""NSE:""&amp;D3105,""pe"")"),"#N/A")</f>
        <v>#N/A</v>
      </c>
      <c r="P3105" s="7" t="str">
        <f ca="1">IFERROR(__xludf.DUMMYFUNCTION("GOOGLEFINANCE(""NSE:""&amp;D3105,""EPS"")"),"#N/A")</f>
        <v>#N/A</v>
      </c>
      <c r="Q3105" s="7">
        <v>13.5</v>
      </c>
      <c r="R3105" s="7" t="str">
        <f ca="1">IFERROR(__xludf.DUMMYFUNCTION("IMPORTXML(E3105,""/html/body/main/div[3]/div[3]/div[2]/ul/li[7]/span[2]/span"")"),"Loading...")</f>
        <v>Loading...</v>
      </c>
      <c r="S3105" s="7" t="str">
        <f ca="1">IFERROR(__xludf.DUMMYFUNCTION("IMPORTXML(E3105,""/html/body/main/div[3]/div[3]/div[2]/ul/li[8]/span[2]/span"")"),"Loading...")</f>
        <v>Loading...</v>
      </c>
      <c r="T3105" s="4">
        <v>34.6</v>
      </c>
      <c r="U3105" s="4">
        <v>22.7</v>
      </c>
      <c r="V3105" s="4">
        <v>2.6</v>
      </c>
      <c r="W3105" s="4">
        <v>5.7</v>
      </c>
      <c r="X3105" s="4">
        <v>519.92999999999995</v>
      </c>
      <c r="Y3105" s="7" t="e">
        <f t="shared" ca="1" si="64"/>
        <v>#VALUE!</v>
      </c>
    </row>
    <row r="3106" spans="1:25" ht="15" x14ac:dyDescent="0.25">
      <c r="A3106" s="4">
        <v>3088</v>
      </c>
      <c r="C3106" s="41" t="s">
        <v>5428</v>
      </c>
      <c r="D3106" s="42"/>
      <c r="E3106" s="5" t="str">
        <f t="shared" si="60"/>
        <v>https://www.screener.in/company//consolidated/</v>
      </c>
      <c r="F3106" s="4">
        <v>443059</v>
      </c>
      <c r="G3106" s="4">
        <v>3832241897</v>
      </c>
      <c r="H3106" s="6" t="e">
        <f t="shared" ca="1" si="61"/>
        <v>#VALUE!</v>
      </c>
      <c r="I3106" s="7" t="str">
        <f ca="1">IFERROR(__xludf.DUMMYFUNCTION("IMPORTXML(E3106,""/html/body/main/div[3]/div[3]/div[2]/ul/li[5]/span[2]/span"")"),"Loading...")</f>
        <v>Loading...</v>
      </c>
      <c r="J3106" s="7" t="str">
        <f ca="1">IFERROR(__xludf.DUMMYFUNCTION("GOOGLEFINANCE(""NSE:""&amp;D3106,""marketcap"")"),"#N/A")</f>
        <v>#N/A</v>
      </c>
      <c r="K3106" s="7">
        <v>992.8</v>
      </c>
      <c r="L3106" s="8" t="str">
        <f ca="1">IFERROR(__xludf.DUMMYFUNCTION("GOOGLEFINANCE(""NSE:""&amp;D3106,""price"")"),"#N/A")</f>
        <v>#N/A</v>
      </c>
      <c r="M3106" s="9" t="e">
        <f t="shared" ca="1" si="62"/>
        <v>#VALUE!</v>
      </c>
      <c r="N3106" s="10" t="e">
        <f t="shared" ca="1" si="63"/>
        <v>#VALUE!</v>
      </c>
      <c r="O3106" s="7" t="str">
        <f ca="1">IFERROR(__xludf.DUMMYFUNCTION("GOOGLEFINANCE(""NSE:""&amp;D3106,""pe"")"),"#N/A")</f>
        <v>#N/A</v>
      </c>
      <c r="P3106" s="7" t="str">
        <f ca="1">IFERROR(__xludf.DUMMYFUNCTION("GOOGLEFINANCE(""NSE:""&amp;D3106,""EPS"")"),"#N/A")</f>
        <v>#N/A</v>
      </c>
      <c r="Q3106" s="7">
        <v>13.5</v>
      </c>
      <c r="R3106" s="7" t="str">
        <f ca="1">IFERROR(__xludf.DUMMYFUNCTION("IMPORTXML(E3106,""/html/body/main/div[3]/div[3]/div[2]/ul/li[7]/span[2]/span"")"),"Loading...")</f>
        <v>Loading...</v>
      </c>
      <c r="S3106" s="7" t="str">
        <f ca="1">IFERROR(__xludf.DUMMYFUNCTION("IMPORTXML(E3106,""/html/body/main/div[3]/div[3]/div[2]/ul/li[8]/span[2]/span"")"),"Loading...")</f>
        <v>Loading...</v>
      </c>
      <c r="T3106" s="4">
        <v>34.6</v>
      </c>
      <c r="U3106" s="4">
        <v>22.7</v>
      </c>
      <c r="V3106" s="4">
        <v>2.6</v>
      </c>
      <c r="W3106" s="4">
        <v>5.7</v>
      </c>
      <c r="X3106" s="4">
        <v>519.92999999999995</v>
      </c>
      <c r="Y3106" s="7" t="e">
        <f t="shared" ca="1" si="64"/>
        <v>#VALUE!</v>
      </c>
    </row>
    <row r="3107" spans="1:25" ht="15" x14ac:dyDescent="0.25">
      <c r="A3107" s="4">
        <v>3089</v>
      </c>
      <c r="C3107" s="41" t="s">
        <v>5429</v>
      </c>
      <c r="D3107" s="42"/>
      <c r="E3107" s="5" t="str">
        <f t="shared" si="60"/>
        <v>https://www.screener.in/company//consolidated/</v>
      </c>
      <c r="F3107" s="4">
        <v>443059</v>
      </c>
      <c r="G3107" s="4">
        <v>3832241897</v>
      </c>
      <c r="H3107" s="6" t="e">
        <f t="shared" ca="1" si="61"/>
        <v>#VALUE!</v>
      </c>
      <c r="I3107" s="7" t="str">
        <f ca="1">IFERROR(__xludf.DUMMYFUNCTION("IMPORTXML(E3107,""/html/body/main/div[3]/div[3]/div[2]/ul/li[5]/span[2]/span"")"),"Loading...")</f>
        <v>Loading...</v>
      </c>
      <c r="J3107" s="7" t="str">
        <f ca="1">IFERROR(__xludf.DUMMYFUNCTION("GOOGLEFINANCE(""NSE:""&amp;D3107,""marketcap"")"),"#N/A")</f>
        <v>#N/A</v>
      </c>
      <c r="K3107" s="7">
        <v>992.8</v>
      </c>
      <c r="L3107" s="8" t="str">
        <f ca="1">IFERROR(__xludf.DUMMYFUNCTION("GOOGLEFINANCE(""NSE:""&amp;D3107,""price"")"),"#N/A")</f>
        <v>#N/A</v>
      </c>
      <c r="M3107" s="9" t="e">
        <f t="shared" ca="1" si="62"/>
        <v>#VALUE!</v>
      </c>
      <c r="N3107" s="10" t="e">
        <f t="shared" ca="1" si="63"/>
        <v>#VALUE!</v>
      </c>
      <c r="O3107" s="7" t="str">
        <f ca="1">IFERROR(__xludf.DUMMYFUNCTION("GOOGLEFINANCE(""NSE:""&amp;D3107,""pe"")"),"#N/A")</f>
        <v>#N/A</v>
      </c>
      <c r="P3107" s="7" t="str">
        <f ca="1">IFERROR(__xludf.DUMMYFUNCTION("GOOGLEFINANCE(""NSE:""&amp;D3107,""EPS"")"),"#N/A")</f>
        <v>#N/A</v>
      </c>
      <c r="Q3107" s="7">
        <v>13.5</v>
      </c>
      <c r="R3107" s="7" t="str">
        <f ca="1">IFERROR(__xludf.DUMMYFUNCTION("IMPORTXML(E3107,""/html/body/main/div[3]/div[3]/div[2]/ul/li[7]/span[2]/span"")"),"Loading...")</f>
        <v>Loading...</v>
      </c>
      <c r="S3107" s="7" t="str">
        <f ca="1">IFERROR(__xludf.DUMMYFUNCTION("IMPORTXML(E3107,""/html/body/main/div[3]/div[3]/div[2]/ul/li[8]/span[2]/span"")"),"Loading...")</f>
        <v>Loading...</v>
      </c>
      <c r="T3107" s="4">
        <v>34.6</v>
      </c>
      <c r="U3107" s="4">
        <v>22.7</v>
      </c>
      <c r="V3107" s="4">
        <v>2.6</v>
      </c>
      <c r="W3107" s="4">
        <v>5.7</v>
      </c>
      <c r="X3107" s="4">
        <v>519.92999999999995</v>
      </c>
      <c r="Y3107" s="7" t="e">
        <f t="shared" ca="1" si="64"/>
        <v>#VALUE!</v>
      </c>
    </row>
    <row r="3108" spans="1:25" ht="15" x14ac:dyDescent="0.25">
      <c r="A3108" s="4">
        <v>3090</v>
      </c>
      <c r="C3108" s="41" t="s">
        <v>5430</v>
      </c>
      <c r="D3108" s="42"/>
      <c r="E3108" s="5" t="str">
        <f t="shared" si="60"/>
        <v>https://www.screener.in/company//consolidated/</v>
      </c>
      <c r="F3108" s="4">
        <v>443059</v>
      </c>
      <c r="G3108" s="4">
        <v>3832241897</v>
      </c>
      <c r="H3108" s="6" t="e">
        <f t="shared" ca="1" si="61"/>
        <v>#VALUE!</v>
      </c>
      <c r="I3108" s="7" t="str">
        <f ca="1">IFERROR(__xludf.DUMMYFUNCTION("IMPORTXML(E3108,""/html/body/main/div[3]/div[3]/div[2]/ul/li[5]/span[2]/span"")"),"Loading...")</f>
        <v>Loading...</v>
      </c>
      <c r="J3108" s="7" t="str">
        <f ca="1">IFERROR(__xludf.DUMMYFUNCTION("GOOGLEFINANCE(""NSE:""&amp;D3108,""marketcap"")"),"#N/A")</f>
        <v>#N/A</v>
      </c>
      <c r="K3108" s="7">
        <v>992.8</v>
      </c>
      <c r="L3108" s="8" t="str">
        <f ca="1">IFERROR(__xludf.DUMMYFUNCTION("GOOGLEFINANCE(""NSE:""&amp;D3108,""price"")"),"#N/A")</f>
        <v>#N/A</v>
      </c>
      <c r="M3108" s="9" t="e">
        <f t="shared" ca="1" si="62"/>
        <v>#VALUE!</v>
      </c>
      <c r="N3108" s="10" t="e">
        <f t="shared" ca="1" si="63"/>
        <v>#VALUE!</v>
      </c>
      <c r="O3108" s="7" t="str">
        <f ca="1">IFERROR(__xludf.DUMMYFUNCTION("GOOGLEFINANCE(""NSE:""&amp;D3108,""pe"")"),"#N/A")</f>
        <v>#N/A</v>
      </c>
      <c r="P3108" s="7" t="str">
        <f ca="1">IFERROR(__xludf.DUMMYFUNCTION("GOOGLEFINANCE(""NSE:""&amp;D3108,""EPS"")"),"#N/A")</f>
        <v>#N/A</v>
      </c>
      <c r="Q3108" s="7">
        <v>13.5</v>
      </c>
      <c r="R3108" s="7" t="str">
        <f ca="1">IFERROR(__xludf.DUMMYFUNCTION("IMPORTXML(E3108,""/html/body/main/div[3]/div[3]/div[2]/ul/li[7]/span[2]/span"")"),"Loading...")</f>
        <v>Loading...</v>
      </c>
      <c r="S3108" s="7" t="str">
        <f ca="1">IFERROR(__xludf.DUMMYFUNCTION("IMPORTXML(E3108,""/html/body/main/div[3]/div[3]/div[2]/ul/li[8]/span[2]/span"")"),"Loading...")</f>
        <v>Loading...</v>
      </c>
      <c r="T3108" s="4">
        <v>34.6</v>
      </c>
      <c r="U3108" s="4">
        <v>22.7</v>
      </c>
      <c r="V3108" s="4">
        <v>2.6</v>
      </c>
      <c r="W3108" s="4">
        <v>5.7</v>
      </c>
      <c r="X3108" s="4">
        <v>519.92999999999995</v>
      </c>
      <c r="Y3108" s="7" t="e">
        <f t="shared" ca="1" si="64"/>
        <v>#VALUE!</v>
      </c>
    </row>
    <row r="3109" spans="1:25" ht="15" x14ac:dyDescent="0.25">
      <c r="A3109" s="4">
        <v>3091</v>
      </c>
      <c r="C3109" s="41" t="s">
        <v>5431</v>
      </c>
      <c r="D3109" s="42"/>
      <c r="E3109" s="5" t="str">
        <f t="shared" si="60"/>
        <v>https://www.screener.in/company//consolidated/</v>
      </c>
      <c r="F3109" s="4">
        <v>443059</v>
      </c>
      <c r="G3109" s="4">
        <v>3832241897</v>
      </c>
      <c r="H3109" s="6" t="e">
        <f t="shared" ca="1" si="61"/>
        <v>#VALUE!</v>
      </c>
      <c r="I3109" s="7" t="str">
        <f ca="1">IFERROR(__xludf.DUMMYFUNCTION("IMPORTXML(E3109,""/html/body/main/div[3]/div[3]/div[2]/ul/li[5]/span[2]/span"")"),"Loading...")</f>
        <v>Loading...</v>
      </c>
      <c r="J3109" s="7" t="str">
        <f ca="1">IFERROR(__xludf.DUMMYFUNCTION("GOOGLEFINANCE(""NSE:""&amp;D3109,""marketcap"")"),"#N/A")</f>
        <v>#N/A</v>
      </c>
      <c r="K3109" s="7">
        <v>992.8</v>
      </c>
      <c r="L3109" s="8" t="str">
        <f ca="1">IFERROR(__xludf.DUMMYFUNCTION("GOOGLEFINANCE(""NSE:""&amp;D3109,""price"")"),"#N/A")</f>
        <v>#N/A</v>
      </c>
      <c r="M3109" s="9" t="e">
        <f t="shared" ca="1" si="62"/>
        <v>#VALUE!</v>
      </c>
      <c r="N3109" s="10" t="e">
        <f t="shared" ca="1" si="63"/>
        <v>#VALUE!</v>
      </c>
      <c r="O3109" s="7" t="str">
        <f ca="1">IFERROR(__xludf.DUMMYFUNCTION("GOOGLEFINANCE(""NSE:""&amp;D3109,""pe"")"),"#N/A")</f>
        <v>#N/A</v>
      </c>
      <c r="P3109" s="7" t="str">
        <f ca="1">IFERROR(__xludf.DUMMYFUNCTION("GOOGLEFINANCE(""NSE:""&amp;D3109,""EPS"")"),"#N/A")</f>
        <v>#N/A</v>
      </c>
      <c r="Q3109" s="7">
        <v>13.5</v>
      </c>
      <c r="R3109" s="7" t="str">
        <f ca="1">IFERROR(__xludf.DUMMYFUNCTION("IMPORTXML(E3109,""/html/body/main/div[3]/div[3]/div[2]/ul/li[7]/span[2]/span"")"),"Loading...")</f>
        <v>Loading...</v>
      </c>
      <c r="S3109" s="7" t="str">
        <f ca="1">IFERROR(__xludf.DUMMYFUNCTION("IMPORTXML(E3109,""/html/body/main/div[3]/div[3]/div[2]/ul/li[8]/span[2]/span"")"),"Loading...")</f>
        <v>Loading...</v>
      </c>
      <c r="T3109" s="4">
        <v>34.6</v>
      </c>
      <c r="U3109" s="4">
        <v>22.7</v>
      </c>
      <c r="V3109" s="4">
        <v>2.6</v>
      </c>
      <c r="W3109" s="4">
        <v>5.7</v>
      </c>
      <c r="X3109" s="4">
        <v>519.92999999999995</v>
      </c>
      <c r="Y3109" s="7" t="e">
        <f t="shared" ca="1" si="64"/>
        <v>#VALUE!</v>
      </c>
    </row>
    <row r="3110" spans="1:25" ht="15" x14ac:dyDescent="0.25">
      <c r="A3110" s="4">
        <v>3092</v>
      </c>
      <c r="C3110" s="12" t="s">
        <v>5432</v>
      </c>
      <c r="D3110" s="12" t="s">
        <v>5433</v>
      </c>
      <c r="E3110" s="5" t="str">
        <f t="shared" si="60"/>
        <v>https://www.screener.in/company/MASKINVEST/consolidated/</v>
      </c>
      <c r="F3110" s="4">
        <v>443059</v>
      </c>
      <c r="G3110" s="4">
        <v>3832241897</v>
      </c>
      <c r="H3110" s="6">
        <f t="shared" ca="1" si="61"/>
        <v>58920.719166374998</v>
      </c>
      <c r="I3110" s="7" t="str">
        <f ca="1">IFERROR(__xludf.DUMMYFUNCTION("IMPORTXML(E3110,""/html/body/main/div[3]/div[3]/div[2]/ul/li[5]/span[2]/span"")"),"Loading...")</f>
        <v>Loading...</v>
      </c>
      <c r="J3110" s="7">
        <f ca="1">IFERROR(__xludf.DUMMYFUNCTION("GOOGLEFINANCE(""NSE:""&amp;D3110,""marketcap"")"),468435800)</f>
        <v>468435800</v>
      </c>
      <c r="K3110" s="7">
        <v>992.8</v>
      </c>
      <c r="L3110" s="8">
        <f ca="1">IFERROR(__xludf.DUMMYFUNCTION("GOOGLEFINANCE(""NSE:""&amp;D3110,""price"")"),153.75)</f>
        <v>153.75</v>
      </c>
      <c r="M3110" s="9">
        <f t="shared" ca="1" si="62"/>
        <v>-839.05</v>
      </c>
      <c r="N3110" s="10">
        <f t="shared" ca="1" si="63"/>
        <v>-84.5134971796938</v>
      </c>
      <c r="O3110" s="7">
        <f ca="1">IFERROR(__xludf.DUMMYFUNCTION("GOOGLEFINANCE(""NSE:""&amp;D3110,""pe"")"),7687.5)</f>
        <v>7687.5</v>
      </c>
      <c r="P3110" s="7">
        <f ca="1">IFERROR(__xludf.DUMMYFUNCTION("GOOGLEFINANCE(""NSE:""&amp;D3110,""EPS"")"),0.02)</f>
        <v>0.02</v>
      </c>
      <c r="Q3110" s="7">
        <v>13.5</v>
      </c>
      <c r="R3110" s="7" t="str">
        <f ca="1">IFERROR(__xludf.DUMMYFUNCTION("IMPORTXML(E3110,""/html/body/main/div[3]/div[3]/div[2]/ul/li[7]/span[2]/span"")"),"#N/A")</f>
        <v>#N/A</v>
      </c>
      <c r="S3110" s="7" t="str">
        <f ca="1">IFERROR(__xludf.DUMMYFUNCTION("IMPORTXML(E3110,""/html/body/main/div[3]/div[3]/div[2]/ul/li[8]/span[2]/span"")"),"Loading...")</f>
        <v>Loading...</v>
      </c>
      <c r="T3110" s="4">
        <v>34.6</v>
      </c>
      <c r="U3110" s="4">
        <v>22.7</v>
      </c>
      <c r="V3110" s="4">
        <v>2.6</v>
      </c>
      <c r="W3110" s="4">
        <v>5.7</v>
      </c>
      <c r="X3110" s="4">
        <v>519.92999999999995</v>
      </c>
      <c r="Y3110" s="7">
        <f t="shared" ca="1" si="64"/>
        <v>-366.17999999999995</v>
      </c>
    </row>
    <row r="3111" spans="1:25" ht="15" x14ac:dyDescent="0.25">
      <c r="A3111" s="4">
        <v>3093</v>
      </c>
      <c r="C3111" s="41" t="s">
        <v>5434</v>
      </c>
      <c r="D3111" s="42"/>
      <c r="E3111" s="5" t="str">
        <f t="shared" si="60"/>
        <v>https://www.screener.in/company//consolidated/</v>
      </c>
      <c r="F3111" s="4">
        <v>443059</v>
      </c>
      <c r="G3111" s="4">
        <v>3832241897</v>
      </c>
      <c r="H3111" s="6" t="e">
        <f t="shared" ca="1" si="61"/>
        <v>#VALUE!</v>
      </c>
      <c r="I3111" s="7" t="str">
        <f ca="1">IFERROR(__xludf.DUMMYFUNCTION("IMPORTXML(E3111,""/html/body/main/div[3]/div[3]/div[2]/ul/li[5]/span[2]/span"")"),"Loading...")</f>
        <v>Loading...</v>
      </c>
      <c r="J3111" s="7" t="str">
        <f ca="1">IFERROR(__xludf.DUMMYFUNCTION("GOOGLEFINANCE(""NSE:""&amp;D3111,""marketcap"")"),"#N/A")</f>
        <v>#N/A</v>
      </c>
      <c r="K3111" s="7">
        <v>992.8</v>
      </c>
      <c r="L3111" s="8" t="str">
        <f ca="1">IFERROR(__xludf.DUMMYFUNCTION("GOOGLEFINANCE(""NSE:""&amp;D3111,""price"")"),"#N/A")</f>
        <v>#N/A</v>
      </c>
      <c r="M3111" s="9" t="e">
        <f t="shared" ca="1" si="62"/>
        <v>#VALUE!</v>
      </c>
      <c r="N3111" s="10" t="e">
        <f t="shared" ca="1" si="63"/>
        <v>#VALUE!</v>
      </c>
      <c r="O3111" s="7" t="str">
        <f ca="1">IFERROR(__xludf.DUMMYFUNCTION("GOOGLEFINANCE(""NSE:""&amp;D3111,""pe"")"),"#N/A")</f>
        <v>#N/A</v>
      </c>
      <c r="P3111" s="7" t="str">
        <f ca="1">IFERROR(__xludf.DUMMYFUNCTION("GOOGLEFINANCE(""NSE:""&amp;D3111,""EPS"")"),"#N/A")</f>
        <v>#N/A</v>
      </c>
      <c r="Q3111" s="7">
        <v>13.5</v>
      </c>
      <c r="R3111" s="7" t="str">
        <f ca="1">IFERROR(__xludf.DUMMYFUNCTION("IMPORTXML(E3111,""/html/body/main/div[3]/div[3]/div[2]/ul/li[7]/span[2]/span"")"),"Loading...")</f>
        <v>Loading...</v>
      </c>
      <c r="S3111" s="7" t="str">
        <f ca="1">IFERROR(__xludf.DUMMYFUNCTION("IMPORTXML(E3111,""/html/body/main/div[3]/div[3]/div[2]/ul/li[8]/span[2]/span"")"),"Loading...")</f>
        <v>Loading...</v>
      </c>
      <c r="T3111" s="4">
        <v>34.6</v>
      </c>
      <c r="U3111" s="4">
        <v>22.7</v>
      </c>
      <c r="V3111" s="4">
        <v>2.6</v>
      </c>
      <c r="W3111" s="4">
        <v>5.7</v>
      </c>
      <c r="X3111" s="4">
        <v>519.92999999999995</v>
      </c>
      <c r="Y3111" s="7" t="e">
        <f t="shared" ca="1" si="64"/>
        <v>#VALUE!</v>
      </c>
    </row>
    <row r="3112" spans="1:25" ht="15" x14ac:dyDescent="0.25">
      <c r="A3112" s="4">
        <v>3094</v>
      </c>
      <c r="C3112" s="41" t="s">
        <v>5435</v>
      </c>
      <c r="D3112" s="42"/>
      <c r="E3112" s="5" t="str">
        <f t="shared" si="60"/>
        <v>https://www.screener.in/company//consolidated/</v>
      </c>
      <c r="F3112" s="4">
        <v>443059</v>
      </c>
      <c r="G3112" s="4">
        <v>3832241897</v>
      </c>
      <c r="H3112" s="6" t="e">
        <f t="shared" ca="1" si="61"/>
        <v>#VALUE!</v>
      </c>
      <c r="I3112" s="7" t="str">
        <f ca="1">IFERROR(__xludf.DUMMYFUNCTION("IMPORTXML(E3112,""/html/body/main/div[3]/div[3]/div[2]/ul/li[5]/span[2]/span"")"),"Loading...")</f>
        <v>Loading...</v>
      </c>
      <c r="J3112" s="7" t="str">
        <f ca="1">IFERROR(__xludf.DUMMYFUNCTION("GOOGLEFINANCE(""NSE:""&amp;D3112,""marketcap"")"),"#N/A")</f>
        <v>#N/A</v>
      </c>
      <c r="K3112" s="7">
        <v>992.8</v>
      </c>
      <c r="L3112" s="8" t="str">
        <f ca="1">IFERROR(__xludf.DUMMYFUNCTION("GOOGLEFINANCE(""NSE:""&amp;D3112,""price"")"),"#N/A")</f>
        <v>#N/A</v>
      </c>
      <c r="M3112" s="9" t="e">
        <f t="shared" ca="1" si="62"/>
        <v>#VALUE!</v>
      </c>
      <c r="N3112" s="10" t="e">
        <f t="shared" ca="1" si="63"/>
        <v>#VALUE!</v>
      </c>
      <c r="O3112" s="7" t="str">
        <f ca="1">IFERROR(__xludf.DUMMYFUNCTION("GOOGLEFINANCE(""NSE:""&amp;D3112,""pe"")"),"#N/A")</f>
        <v>#N/A</v>
      </c>
      <c r="P3112" s="7" t="str">
        <f ca="1">IFERROR(__xludf.DUMMYFUNCTION("GOOGLEFINANCE(""NSE:""&amp;D3112,""EPS"")"),"#N/A")</f>
        <v>#N/A</v>
      </c>
      <c r="Q3112" s="7">
        <v>13.5</v>
      </c>
      <c r="R3112" s="7" t="str">
        <f ca="1">IFERROR(__xludf.DUMMYFUNCTION("IMPORTXML(E3112,""/html/body/main/div[3]/div[3]/div[2]/ul/li[7]/span[2]/span"")"),"Loading...")</f>
        <v>Loading...</v>
      </c>
      <c r="S3112" s="7" t="str">
        <f ca="1">IFERROR(__xludf.DUMMYFUNCTION("IMPORTXML(E3112,""/html/body/main/div[3]/div[3]/div[2]/ul/li[8]/span[2]/span"")"),"Loading...")</f>
        <v>Loading...</v>
      </c>
      <c r="T3112" s="4">
        <v>34.6</v>
      </c>
      <c r="U3112" s="4">
        <v>22.7</v>
      </c>
      <c r="V3112" s="4">
        <v>2.6</v>
      </c>
      <c r="W3112" s="4">
        <v>5.7</v>
      </c>
      <c r="X3112" s="4">
        <v>519.92999999999995</v>
      </c>
      <c r="Y3112" s="7" t="e">
        <f t="shared" ca="1" si="64"/>
        <v>#VALUE!</v>
      </c>
    </row>
    <row r="3113" spans="1:25" ht="15" x14ac:dyDescent="0.25">
      <c r="A3113" s="4">
        <v>3095</v>
      </c>
      <c r="C3113" s="41" t="s">
        <v>5436</v>
      </c>
      <c r="D3113" s="42"/>
      <c r="E3113" s="5" t="str">
        <f t="shared" si="60"/>
        <v>https://www.screener.in/company//consolidated/</v>
      </c>
      <c r="F3113" s="4">
        <v>443059</v>
      </c>
      <c r="G3113" s="4">
        <v>3832241897</v>
      </c>
      <c r="H3113" s="6" t="e">
        <f t="shared" ca="1" si="61"/>
        <v>#VALUE!</v>
      </c>
      <c r="I3113" s="7" t="str">
        <f ca="1">IFERROR(__xludf.DUMMYFUNCTION("IMPORTXML(E3113,""/html/body/main/div[3]/div[3]/div[2]/ul/li[5]/span[2]/span"")"),"Loading...")</f>
        <v>Loading...</v>
      </c>
      <c r="J3113" s="7" t="str">
        <f ca="1">IFERROR(__xludf.DUMMYFUNCTION("GOOGLEFINANCE(""NSE:""&amp;D3113,""marketcap"")"),"#N/A")</f>
        <v>#N/A</v>
      </c>
      <c r="K3113" s="7">
        <v>992.8</v>
      </c>
      <c r="L3113" s="8" t="str">
        <f ca="1">IFERROR(__xludf.DUMMYFUNCTION("GOOGLEFINANCE(""NSE:""&amp;D3113,""price"")"),"#N/A")</f>
        <v>#N/A</v>
      </c>
      <c r="M3113" s="9" t="e">
        <f t="shared" ca="1" si="62"/>
        <v>#VALUE!</v>
      </c>
      <c r="N3113" s="10" t="e">
        <f t="shared" ca="1" si="63"/>
        <v>#VALUE!</v>
      </c>
      <c r="O3113" s="7" t="str">
        <f ca="1">IFERROR(__xludf.DUMMYFUNCTION("GOOGLEFINANCE(""NSE:""&amp;D3113,""pe"")"),"#N/A")</f>
        <v>#N/A</v>
      </c>
      <c r="P3113" s="7" t="str">
        <f ca="1">IFERROR(__xludf.DUMMYFUNCTION("GOOGLEFINANCE(""NSE:""&amp;D3113,""EPS"")"),"#N/A")</f>
        <v>#N/A</v>
      </c>
      <c r="Q3113" s="7">
        <v>13.5</v>
      </c>
      <c r="R3113" s="7" t="str">
        <f ca="1">IFERROR(__xludf.DUMMYFUNCTION("IMPORTXML(E3113,""/html/body/main/div[3]/div[3]/div[2]/ul/li[7]/span[2]/span"")"),"Loading...")</f>
        <v>Loading...</v>
      </c>
      <c r="S3113" s="7" t="str">
        <f ca="1">IFERROR(__xludf.DUMMYFUNCTION("IMPORTXML(E3113,""/html/body/main/div[3]/div[3]/div[2]/ul/li[8]/span[2]/span"")"),"Loading...")</f>
        <v>Loading...</v>
      </c>
      <c r="T3113" s="4">
        <v>34.6</v>
      </c>
      <c r="U3113" s="4">
        <v>22.7</v>
      </c>
      <c r="V3113" s="4">
        <v>2.6</v>
      </c>
      <c r="W3113" s="4">
        <v>5.7</v>
      </c>
      <c r="X3113" s="4">
        <v>519.92999999999995</v>
      </c>
      <c r="Y3113" s="7" t="e">
        <f t="shared" ca="1" si="64"/>
        <v>#VALUE!</v>
      </c>
    </row>
    <row r="3114" spans="1:25" ht="15" x14ac:dyDescent="0.25">
      <c r="A3114" s="4">
        <v>3096</v>
      </c>
      <c r="C3114" s="41" t="s">
        <v>5437</v>
      </c>
      <c r="D3114" s="42"/>
      <c r="E3114" s="5" t="str">
        <f t="shared" si="60"/>
        <v>https://www.screener.in/company//consolidated/</v>
      </c>
      <c r="F3114" s="4">
        <v>443059</v>
      </c>
      <c r="G3114" s="4">
        <v>3832241897</v>
      </c>
      <c r="H3114" s="6" t="e">
        <f t="shared" ca="1" si="61"/>
        <v>#VALUE!</v>
      </c>
      <c r="I3114" s="7" t="str">
        <f ca="1">IFERROR(__xludf.DUMMYFUNCTION("IMPORTXML(E3114,""/html/body/main/div[3]/div[3]/div[2]/ul/li[5]/span[2]/span"")"),"Loading...")</f>
        <v>Loading...</v>
      </c>
      <c r="J3114" s="7" t="str">
        <f ca="1">IFERROR(__xludf.DUMMYFUNCTION("GOOGLEFINANCE(""NSE:""&amp;D3114,""marketcap"")"),"#N/A")</f>
        <v>#N/A</v>
      </c>
      <c r="K3114" s="7">
        <v>992.8</v>
      </c>
      <c r="L3114" s="8" t="str">
        <f ca="1">IFERROR(__xludf.DUMMYFUNCTION("GOOGLEFINANCE(""NSE:""&amp;D3114,""price"")"),"#N/A")</f>
        <v>#N/A</v>
      </c>
      <c r="M3114" s="9" t="e">
        <f t="shared" ca="1" si="62"/>
        <v>#VALUE!</v>
      </c>
      <c r="N3114" s="10" t="e">
        <f t="shared" ca="1" si="63"/>
        <v>#VALUE!</v>
      </c>
      <c r="O3114" s="7" t="str">
        <f ca="1">IFERROR(__xludf.DUMMYFUNCTION("GOOGLEFINANCE(""NSE:""&amp;D3114,""pe"")"),"#N/A")</f>
        <v>#N/A</v>
      </c>
      <c r="P3114" s="7" t="str">
        <f ca="1">IFERROR(__xludf.DUMMYFUNCTION("GOOGLEFINANCE(""NSE:""&amp;D3114,""EPS"")"),"#N/A")</f>
        <v>#N/A</v>
      </c>
      <c r="Q3114" s="7">
        <v>13.5</v>
      </c>
      <c r="R3114" s="7" t="str">
        <f ca="1">IFERROR(__xludf.DUMMYFUNCTION("IMPORTXML(E3114,""/html/body/main/div[3]/div[3]/div[2]/ul/li[7]/span[2]/span"")"),"Loading...")</f>
        <v>Loading...</v>
      </c>
      <c r="S3114" s="7" t="str">
        <f ca="1">IFERROR(__xludf.DUMMYFUNCTION("IMPORTXML(E3114,""/html/body/main/div[3]/div[3]/div[2]/ul/li[8]/span[2]/span"")"),"Loading...")</f>
        <v>Loading...</v>
      </c>
      <c r="T3114" s="4">
        <v>34.6</v>
      </c>
      <c r="U3114" s="4">
        <v>22.7</v>
      </c>
      <c r="V3114" s="4">
        <v>2.6</v>
      </c>
      <c r="W3114" s="4">
        <v>5.7</v>
      </c>
      <c r="X3114" s="4">
        <v>519.92999999999995</v>
      </c>
      <c r="Y3114" s="7" t="e">
        <f t="shared" ca="1" si="64"/>
        <v>#VALUE!</v>
      </c>
    </row>
    <row r="3115" spans="1:25" ht="15" x14ac:dyDescent="0.25">
      <c r="A3115" s="4">
        <v>3097</v>
      </c>
      <c r="C3115" s="41" t="s">
        <v>5438</v>
      </c>
      <c r="D3115" s="42"/>
      <c r="E3115" s="5" t="str">
        <f t="shared" si="60"/>
        <v>https://www.screener.in/company//consolidated/</v>
      </c>
      <c r="F3115" s="4">
        <v>443059</v>
      </c>
      <c r="G3115" s="4">
        <v>3832241897</v>
      </c>
      <c r="H3115" s="6" t="e">
        <f t="shared" ca="1" si="61"/>
        <v>#VALUE!</v>
      </c>
      <c r="I3115" s="7" t="str">
        <f ca="1">IFERROR(__xludf.DUMMYFUNCTION("IMPORTXML(E3115,""/html/body/main/div[3]/div[3]/div[2]/ul/li[5]/span[2]/span"")"),"Loading...")</f>
        <v>Loading...</v>
      </c>
      <c r="J3115" s="7" t="str">
        <f ca="1">IFERROR(__xludf.DUMMYFUNCTION("GOOGLEFINANCE(""NSE:""&amp;D3115,""marketcap"")"),"#N/A")</f>
        <v>#N/A</v>
      </c>
      <c r="K3115" s="7">
        <v>992.8</v>
      </c>
      <c r="L3115" s="8" t="str">
        <f ca="1">IFERROR(__xludf.DUMMYFUNCTION("GOOGLEFINANCE(""NSE:""&amp;D3115,""price"")"),"#N/A")</f>
        <v>#N/A</v>
      </c>
      <c r="M3115" s="9" t="e">
        <f t="shared" ca="1" si="62"/>
        <v>#VALUE!</v>
      </c>
      <c r="N3115" s="10" t="e">
        <f t="shared" ca="1" si="63"/>
        <v>#VALUE!</v>
      </c>
      <c r="O3115" s="7" t="str">
        <f ca="1">IFERROR(__xludf.DUMMYFUNCTION("GOOGLEFINANCE(""NSE:""&amp;D3115,""pe"")"),"#N/A")</f>
        <v>#N/A</v>
      </c>
      <c r="P3115" s="7" t="str">
        <f ca="1">IFERROR(__xludf.DUMMYFUNCTION("GOOGLEFINANCE(""NSE:""&amp;D3115,""EPS"")"),"#N/A")</f>
        <v>#N/A</v>
      </c>
      <c r="Q3115" s="7">
        <v>13.5</v>
      </c>
      <c r="R3115" s="7" t="str">
        <f ca="1">IFERROR(__xludf.DUMMYFUNCTION("IMPORTXML(E3115,""/html/body/main/div[3]/div[3]/div[2]/ul/li[7]/span[2]/span"")"),"Loading...")</f>
        <v>Loading...</v>
      </c>
      <c r="S3115" s="7" t="str">
        <f ca="1">IFERROR(__xludf.DUMMYFUNCTION("IMPORTXML(E3115,""/html/body/main/div[3]/div[3]/div[2]/ul/li[8]/span[2]/span"")"),"Loading...")</f>
        <v>Loading...</v>
      </c>
      <c r="T3115" s="4">
        <v>34.6</v>
      </c>
      <c r="U3115" s="4">
        <v>22.7</v>
      </c>
      <c r="V3115" s="4">
        <v>2.6</v>
      </c>
      <c r="W3115" s="4">
        <v>5.7</v>
      </c>
      <c r="X3115" s="4">
        <v>519.92999999999995</v>
      </c>
      <c r="Y3115" s="7" t="e">
        <f t="shared" ca="1" si="64"/>
        <v>#VALUE!</v>
      </c>
    </row>
    <row r="3116" spans="1:25" ht="15" x14ac:dyDescent="0.25">
      <c r="A3116" s="4">
        <v>3098</v>
      </c>
      <c r="C3116" s="41" t="s">
        <v>5439</v>
      </c>
      <c r="D3116" s="42"/>
      <c r="E3116" s="5" t="str">
        <f t="shared" si="60"/>
        <v>https://www.screener.in/company//consolidated/</v>
      </c>
      <c r="F3116" s="4">
        <v>443059</v>
      </c>
      <c r="G3116" s="4">
        <v>3832241897</v>
      </c>
      <c r="H3116" s="6" t="e">
        <f t="shared" ca="1" si="61"/>
        <v>#VALUE!</v>
      </c>
      <c r="I3116" s="7" t="str">
        <f ca="1">IFERROR(__xludf.DUMMYFUNCTION("IMPORTXML(E3116,""/html/body/main/div[3]/div[3]/div[2]/ul/li[5]/span[2]/span"")"),"Loading...")</f>
        <v>Loading...</v>
      </c>
      <c r="J3116" s="7" t="str">
        <f ca="1">IFERROR(__xludf.DUMMYFUNCTION("GOOGLEFINANCE(""NSE:""&amp;D3116,""marketcap"")"),"#N/A")</f>
        <v>#N/A</v>
      </c>
      <c r="K3116" s="7">
        <v>992.8</v>
      </c>
      <c r="L3116" s="8" t="str">
        <f ca="1">IFERROR(__xludf.DUMMYFUNCTION("GOOGLEFINANCE(""NSE:""&amp;D3116,""price"")"),"#N/A")</f>
        <v>#N/A</v>
      </c>
      <c r="M3116" s="9" t="e">
        <f t="shared" ca="1" si="62"/>
        <v>#VALUE!</v>
      </c>
      <c r="N3116" s="10" t="e">
        <f t="shared" ca="1" si="63"/>
        <v>#VALUE!</v>
      </c>
      <c r="O3116" s="7" t="str">
        <f ca="1">IFERROR(__xludf.DUMMYFUNCTION("GOOGLEFINANCE(""NSE:""&amp;D3116,""pe"")"),"#N/A")</f>
        <v>#N/A</v>
      </c>
      <c r="P3116" s="7" t="str">
        <f ca="1">IFERROR(__xludf.DUMMYFUNCTION("GOOGLEFINANCE(""NSE:""&amp;D3116,""EPS"")"),"#N/A")</f>
        <v>#N/A</v>
      </c>
      <c r="Q3116" s="7">
        <v>13.5</v>
      </c>
      <c r="R3116" s="7" t="str">
        <f ca="1">IFERROR(__xludf.DUMMYFUNCTION("IMPORTXML(E3116,""/html/body/main/div[3]/div[3]/div[2]/ul/li[7]/span[2]/span"")"),"Loading...")</f>
        <v>Loading...</v>
      </c>
      <c r="S3116" s="7" t="str">
        <f ca="1">IFERROR(__xludf.DUMMYFUNCTION("IMPORTXML(E3116,""/html/body/main/div[3]/div[3]/div[2]/ul/li[8]/span[2]/span"")"),"Loading...")</f>
        <v>Loading...</v>
      </c>
      <c r="T3116" s="4">
        <v>34.6</v>
      </c>
      <c r="U3116" s="4">
        <v>22.7</v>
      </c>
      <c r="V3116" s="4">
        <v>2.6</v>
      </c>
      <c r="W3116" s="4">
        <v>5.7</v>
      </c>
      <c r="X3116" s="4">
        <v>519.92999999999995</v>
      </c>
      <c r="Y3116" s="7" t="e">
        <f t="shared" ca="1" si="64"/>
        <v>#VALUE!</v>
      </c>
    </row>
    <row r="3117" spans="1:25" ht="15" x14ac:dyDescent="0.25">
      <c r="A3117" s="4">
        <v>3099</v>
      </c>
      <c r="C3117" s="41" t="s">
        <v>5440</v>
      </c>
      <c r="D3117" s="42"/>
      <c r="E3117" s="5" t="str">
        <f t="shared" si="60"/>
        <v>https://www.screener.in/company//consolidated/</v>
      </c>
      <c r="F3117" s="4">
        <v>443059</v>
      </c>
      <c r="G3117" s="4">
        <v>3832241897</v>
      </c>
      <c r="H3117" s="6" t="e">
        <f t="shared" ca="1" si="61"/>
        <v>#VALUE!</v>
      </c>
      <c r="I3117" s="7" t="str">
        <f ca="1">IFERROR(__xludf.DUMMYFUNCTION("IMPORTXML(E3117,""/html/body/main/div[3]/div[3]/div[2]/ul/li[5]/span[2]/span"")"),"Loading...")</f>
        <v>Loading...</v>
      </c>
      <c r="J3117" s="7" t="str">
        <f ca="1">IFERROR(__xludf.DUMMYFUNCTION("GOOGLEFINANCE(""NSE:""&amp;D3117,""marketcap"")"),"#N/A")</f>
        <v>#N/A</v>
      </c>
      <c r="K3117" s="7">
        <v>992.8</v>
      </c>
      <c r="L3117" s="8" t="str">
        <f ca="1">IFERROR(__xludf.DUMMYFUNCTION("GOOGLEFINANCE(""NSE:""&amp;D3117,""price"")"),"#N/A")</f>
        <v>#N/A</v>
      </c>
      <c r="M3117" s="9" t="e">
        <f t="shared" ca="1" si="62"/>
        <v>#VALUE!</v>
      </c>
      <c r="N3117" s="10" t="e">
        <f t="shared" ca="1" si="63"/>
        <v>#VALUE!</v>
      </c>
      <c r="O3117" s="7" t="str">
        <f ca="1">IFERROR(__xludf.DUMMYFUNCTION("GOOGLEFINANCE(""NSE:""&amp;D3117,""pe"")"),"#N/A")</f>
        <v>#N/A</v>
      </c>
      <c r="P3117" s="7" t="str">
        <f ca="1">IFERROR(__xludf.DUMMYFUNCTION("GOOGLEFINANCE(""NSE:""&amp;D3117,""EPS"")"),"#N/A")</f>
        <v>#N/A</v>
      </c>
      <c r="Q3117" s="7">
        <v>13.5</v>
      </c>
      <c r="R3117" s="7" t="str">
        <f ca="1">IFERROR(__xludf.DUMMYFUNCTION("IMPORTXML(E3117,""/html/body/main/div[3]/div[3]/div[2]/ul/li[7]/span[2]/span"")"),"Loading...")</f>
        <v>Loading...</v>
      </c>
      <c r="S3117" s="7" t="str">
        <f ca="1">IFERROR(__xludf.DUMMYFUNCTION("IMPORTXML(E3117,""/html/body/main/div[3]/div[3]/div[2]/ul/li[8]/span[2]/span"")"),"Loading...")</f>
        <v>Loading...</v>
      </c>
      <c r="T3117" s="4">
        <v>34.6</v>
      </c>
      <c r="U3117" s="4">
        <v>22.7</v>
      </c>
      <c r="V3117" s="4">
        <v>2.6</v>
      </c>
      <c r="W3117" s="4">
        <v>5.7</v>
      </c>
      <c r="X3117" s="4">
        <v>519.92999999999995</v>
      </c>
      <c r="Y3117" s="7" t="e">
        <f t="shared" ca="1" si="64"/>
        <v>#VALUE!</v>
      </c>
    </row>
    <row r="3118" spans="1:25" ht="15" x14ac:dyDescent="0.25">
      <c r="A3118" s="4">
        <v>3100</v>
      </c>
      <c r="C3118" s="41" t="s">
        <v>5441</v>
      </c>
      <c r="D3118" s="42"/>
      <c r="E3118" s="5" t="str">
        <f t="shared" si="60"/>
        <v>https://www.screener.in/company//consolidated/</v>
      </c>
      <c r="F3118" s="4">
        <v>443059</v>
      </c>
      <c r="G3118" s="4">
        <v>3832241897</v>
      </c>
      <c r="H3118" s="6" t="e">
        <f t="shared" ca="1" si="61"/>
        <v>#VALUE!</v>
      </c>
      <c r="I3118" s="7" t="str">
        <f ca="1">IFERROR(__xludf.DUMMYFUNCTION("IMPORTXML(E3118,""/html/body/main/div[3]/div[3]/div[2]/ul/li[5]/span[2]/span"")"),"Loading...")</f>
        <v>Loading...</v>
      </c>
      <c r="J3118" s="7" t="str">
        <f ca="1">IFERROR(__xludf.DUMMYFUNCTION("GOOGLEFINANCE(""NSE:""&amp;D3118,""marketcap"")"),"#N/A")</f>
        <v>#N/A</v>
      </c>
      <c r="K3118" s="7">
        <v>992.8</v>
      </c>
      <c r="L3118" s="8" t="str">
        <f ca="1">IFERROR(__xludf.DUMMYFUNCTION("GOOGLEFINANCE(""NSE:""&amp;D3118,""price"")"),"#N/A")</f>
        <v>#N/A</v>
      </c>
      <c r="M3118" s="9" t="e">
        <f t="shared" ca="1" si="62"/>
        <v>#VALUE!</v>
      </c>
      <c r="N3118" s="10" t="e">
        <f t="shared" ca="1" si="63"/>
        <v>#VALUE!</v>
      </c>
      <c r="O3118" s="7" t="str">
        <f ca="1">IFERROR(__xludf.DUMMYFUNCTION("GOOGLEFINANCE(""NSE:""&amp;D3118,""pe"")"),"#N/A")</f>
        <v>#N/A</v>
      </c>
      <c r="P3118" s="7" t="str">
        <f ca="1">IFERROR(__xludf.DUMMYFUNCTION("GOOGLEFINANCE(""NSE:""&amp;D3118,""EPS"")"),"#N/A")</f>
        <v>#N/A</v>
      </c>
      <c r="Q3118" s="7">
        <v>13.5</v>
      </c>
      <c r="R3118" s="7" t="str">
        <f ca="1">IFERROR(__xludf.DUMMYFUNCTION("IMPORTXML(E3118,""/html/body/main/div[3]/div[3]/div[2]/ul/li[7]/span[2]/span"")"),"Loading...")</f>
        <v>Loading...</v>
      </c>
      <c r="S3118" s="7" t="str">
        <f ca="1">IFERROR(__xludf.DUMMYFUNCTION("IMPORTXML(E3118,""/html/body/main/div[3]/div[3]/div[2]/ul/li[8]/span[2]/span"")"),"Loading...")</f>
        <v>Loading...</v>
      </c>
      <c r="T3118" s="4">
        <v>34.6</v>
      </c>
      <c r="U3118" s="4">
        <v>22.7</v>
      </c>
      <c r="V3118" s="4">
        <v>2.6</v>
      </c>
      <c r="W3118" s="4">
        <v>5.7</v>
      </c>
      <c r="X3118" s="4">
        <v>519.92999999999995</v>
      </c>
      <c r="Y3118" s="7" t="e">
        <f t="shared" ca="1" si="64"/>
        <v>#VALUE!</v>
      </c>
    </row>
    <row r="3119" spans="1:25" ht="15" x14ac:dyDescent="0.25">
      <c r="A3119" s="4">
        <v>3101</v>
      </c>
      <c r="C3119" s="41" t="s">
        <v>5442</v>
      </c>
      <c r="D3119" s="42"/>
      <c r="E3119" s="5" t="str">
        <f t="shared" si="60"/>
        <v>https://www.screener.in/company//consolidated/</v>
      </c>
      <c r="F3119" s="4">
        <v>443059</v>
      </c>
      <c r="G3119" s="4">
        <v>3832241897</v>
      </c>
      <c r="H3119" s="6" t="e">
        <f t="shared" ca="1" si="61"/>
        <v>#VALUE!</v>
      </c>
      <c r="I3119" s="7" t="str">
        <f ca="1">IFERROR(__xludf.DUMMYFUNCTION("IMPORTXML(E3119,""/html/body/main/div[3]/div[3]/div[2]/ul/li[5]/span[2]/span"")"),"Loading...")</f>
        <v>Loading...</v>
      </c>
      <c r="J3119" s="7" t="str">
        <f ca="1">IFERROR(__xludf.DUMMYFUNCTION("GOOGLEFINANCE(""NSE:""&amp;D3119,""marketcap"")"),"#N/A")</f>
        <v>#N/A</v>
      </c>
      <c r="K3119" s="7">
        <v>992.8</v>
      </c>
      <c r="L3119" s="8" t="str">
        <f ca="1">IFERROR(__xludf.DUMMYFUNCTION("GOOGLEFINANCE(""NSE:""&amp;D3119,""price"")"),"#N/A")</f>
        <v>#N/A</v>
      </c>
      <c r="M3119" s="9" t="e">
        <f t="shared" ca="1" si="62"/>
        <v>#VALUE!</v>
      </c>
      <c r="N3119" s="10" t="e">
        <f t="shared" ca="1" si="63"/>
        <v>#VALUE!</v>
      </c>
      <c r="O3119" s="7" t="str">
        <f ca="1">IFERROR(__xludf.DUMMYFUNCTION("GOOGLEFINANCE(""NSE:""&amp;D3119,""pe"")"),"#N/A")</f>
        <v>#N/A</v>
      </c>
      <c r="P3119" s="7" t="str">
        <f ca="1">IFERROR(__xludf.DUMMYFUNCTION("GOOGLEFINANCE(""NSE:""&amp;D3119,""EPS"")"),"#N/A")</f>
        <v>#N/A</v>
      </c>
      <c r="Q3119" s="7">
        <v>13.5</v>
      </c>
      <c r="R3119" s="7" t="str">
        <f ca="1">IFERROR(__xludf.DUMMYFUNCTION("IMPORTXML(E3119,""/html/body/main/div[3]/div[3]/div[2]/ul/li[7]/span[2]/span"")"),"Loading...")</f>
        <v>Loading...</v>
      </c>
      <c r="S3119" s="7" t="str">
        <f ca="1">IFERROR(__xludf.DUMMYFUNCTION("IMPORTXML(E3119,""/html/body/main/div[3]/div[3]/div[2]/ul/li[8]/span[2]/span"")"),"Loading...")</f>
        <v>Loading...</v>
      </c>
      <c r="T3119" s="4">
        <v>34.6</v>
      </c>
      <c r="U3119" s="4">
        <v>22.7</v>
      </c>
      <c r="V3119" s="4">
        <v>2.6</v>
      </c>
      <c r="W3119" s="4">
        <v>5.7</v>
      </c>
      <c r="X3119" s="4">
        <v>519.92999999999995</v>
      </c>
      <c r="Y3119" s="7" t="e">
        <f t="shared" ca="1" si="64"/>
        <v>#VALUE!</v>
      </c>
    </row>
    <row r="3120" spans="1:25" ht="15" x14ac:dyDescent="0.25">
      <c r="A3120" s="4">
        <v>3102</v>
      </c>
      <c r="C3120" s="12" t="s">
        <v>5443</v>
      </c>
      <c r="D3120" s="12" t="s">
        <v>5444</v>
      </c>
      <c r="E3120" s="5" t="str">
        <f t="shared" si="60"/>
        <v>https://www.screener.in/company/CYBERMEDIA/consolidated/</v>
      </c>
      <c r="F3120" s="4">
        <v>443059</v>
      </c>
      <c r="G3120" s="4">
        <v>3832241897</v>
      </c>
      <c r="H3120" s="6">
        <f t="shared" ca="1" si="61"/>
        <v>6396.011726093001</v>
      </c>
      <c r="I3120" s="7" t="str">
        <f ca="1">IFERROR(__xludf.DUMMYFUNCTION("IMPORTXML(E3120,""/html/body/main/div[3]/div[3]/div[2]/ul/li[5]/span[2]/span"")"),"Loading...")</f>
        <v>Loading...</v>
      </c>
      <c r="J3120" s="7">
        <f ca="1">IFERROR(__xludf.DUMMYFUNCTION("GOOGLEFINANCE(""NSE:""&amp;D3120,""marketcap"")"),339524400)</f>
        <v>339524400</v>
      </c>
      <c r="K3120" s="7">
        <v>992.8</v>
      </c>
      <c r="L3120" s="8">
        <f ca="1">IFERROR(__xludf.DUMMYFUNCTION("GOOGLEFINANCE(""NSE:""&amp;D3120,""price"")"),16.69)</f>
        <v>16.690000000000001</v>
      </c>
      <c r="M3120" s="9">
        <f t="shared" ca="1" si="62"/>
        <v>-976.1099999999999</v>
      </c>
      <c r="N3120" s="10">
        <f t="shared" ca="1" si="63"/>
        <v>-98.318896051571301</v>
      </c>
      <c r="O3120" s="7" t="str">
        <f ca="1">IFERROR(__xludf.DUMMYFUNCTION("GOOGLEFINANCE(""NSE:""&amp;D3120,""pe"")"),"#N/A")</f>
        <v>#N/A</v>
      </c>
      <c r="P3120" s="7">
        <f ca="1">IFERROR(__xludf.DUMMYFUNCTION("GOOGLEFINANCE(""NSE:""&amp;D3120,""EPS"")"),-5.99)</f>
        <v>-5.99</v>
      </c>
      <c r="Q3120" s="7">
        <v>13.5</v>
      </c>
      <c r="R3120" s="7" t="str">
        <f ca="1">IFERROR(__xludf.DUMMYFUNCTION("IMPORTXML(E3120,""/html/body/main/div[3]/div[3]/div[2]/ul/li[7]/span[2]/span"")"),"Loading...")</f>
        <v>Loading...</v>
      </c>
      <c r="S3120" s="7" t="str">
        <f ca="1">IFERROR(__xludf.DUMMYFUNCTION("IMPORTXML(E3120,""/html/body/main/div[3]/div[3]/div[2]/ul/li[8]/span[2]/span"")"),"Loading...")</f>
        <v>Loading...</v>
      </c>
      <c r="T3120" s="4">
        <v>34.6</v>
      </c>
      <c r="U3120" s="4">
        <v>22.7</v>
      </c>
      <c r="V3120" s="4">
        <v>2.6</v>
      </c>
      <c r="W3120" s="4">
        <v>5.7</v>
      </c>
      <c r="X3120" s="4">
        <v>519.92999999999995</v>
      </c>
      <c r="Y3120" s="7">
        <f t="shared" ca="1" si="64"/>
        <v>-503.23999999999995</v>
      </c>
    </row>
    <row r="3121" spans="1:25" ht="15" x14ac:dyDescent="0.25">
      <c r="A3121" s="4">
        <v>3103</v>
      </c>
      <c r="C3121" s="41" t="s">
        <v>5445</v>
      </c>
      <c r="D3121" s="42"/>
      <c r="E3121" s="5" t="str">
        <f t="shared" si="60"/>
        <v>https://www.screener.in/company//consolidated/</v>
      </c>
      <c r="F3121" s="4">
        <v>443059</v>
      </c>
      <c r="G3121" s="4">
        <v>3832241897</v>
      </c>
      <c r="H3121" s="6" t="e">
        <f t="shared" ca="1" si="61"/>
        <v>#VALUE!</v>
      </c>
      <c r="I3121" s="7" t="str">
        <f ca="1">IFERROR(__xludf.DUMMYFUNCTION("IMPORTXML(E3121,""/html/body/main/div[3]/div[3]/div[2]/ul/li[5]/span[2]/span"")"),"Loading...")</f>
        <v>Loading...</v>
      </c>
      <c r="J3121" s="7" t="str">
        <f ca="1">IFERROR(__xludf.DUMMYFUNCTION("GOOGLEFINANCE(""NSE:""&amp;D3121,""marketcap"")"),"#N/A")</f>
        <v>#N/A</v>
      </c>
      <c r="K3121" s="7">
        <v>992.8</v>
      </c>
      <c r="L3121" s="8" t="str">
        <f ca="1">IFERROR(__xludf.DUMMYFUNCTION("GOOGLEFINANCE(""NSE:""&amp;D3121,""price"")"),"#N/A")</f>
        <v>#N/A</v>
      </c>
      <c r="M3121" s="9" t="e">
        <f t="shared" ca="1" si="62"/>
        <v>#VALUE!</v>
      </c>
      <c r="N3121" s="10" t="e">
        <f t="shared" ca="1" si="63"/>
        <v>#VALUE!</v>
      </c>
      <c r="O3121" s="7" t="str">
        <f ca="1">IFERROR(__xludf.DUMMYFUNCTION("GOOGLEFINANCE(""NSE:""&amp;D3121,""pe"")"),"#N/A")</f>
        <v>#N/A</v>
      </c>
      <c r="P3121" s="7" t="str">
        <f ca="1">IFERROR(__xludf.DUMMYFUNCTION("GOOGLEFINANCE(""NSE:""&amp;D3121,""EPS"")"),"#N/A")</f>
        <v>#N/A</v>
      </c>
      <c r="Q3121" s="7">
        <v>13.5</v>
      </c>
      <c r="R3121" s="7" t="str">
        <f ca="1">IFERROR(__xludf.DUMMYFUNCTION("IMPORTXML(E3121,""/html/body/main/div[3]/div[3]/div[2]/ul/li[7]/span[2]/span"")"),"Loading...")</f>
        <v>Loading...</v>
      </c>
      <c r="S3121" s="7" t="str">
        <f ca="1">IFERROR(__xludf.DUMMYFUNCTION("IMPORTXML(E3121,""/html/body/main/div[3]/div[3]/div[2]/ul/li[8]/span[2]/span"")"),"Loading...")</f>
        <v>Loading...</v>
      </c>
      <c r="T3121" s="4">
        <v>34.6</v>
      </c>
      <c r="U3121" s="4">
        <v>22.7</v>
      </c>
      <c r="V3121" s="4">
        <v>2.6</v>
      </c>
      <c r="W3121" s="4">
        <v>5.7</v>
      </c>
      <c r="X3121" s="4">
        <v>519.92999999999995</v>
      </c>
      <c r="Y3121" s="7" t="e">
        <f t="shared" ca="1" si="64"/>
        <v>#VALUE!</v>
      </c>
    </row>
    <row r="3122" spans="1:25" ht="15" x14ac:dyDescent="0.25">
      <c r="A3122" s="4">
        <v>3104</v>
      </c>
      <c r="C3122" s="41" t="s">
        <v>5446</v>
      </c>
      <c r="D3122" s="42"/>
      <c r="E3122" s="5" t="str">
        <f t="shared" si="60"/>
        <v>https://www.screener.in/company//consolidated/</v>
      </c>
      <c r="F3122" s="4">
        <v>443059</v>
      </c>
      <c r="G3122" s="4">
        <v>3832241897</v>
      </c>
      <c r="H3122" s="6" t="e">
        <f t="shared" ca="1" si="61"/>
        <v>#VALUE!</v>
      </c>
      <c r="I3122" s="7" t="str">
        <f ca="1">IFERROR(__xludf.DUMMYFUNCTION("IMPORTXML(E3122,""/html/body/main/div[3]/div[3]/div[2]/ul/li[5]/span[2]/span"")"),"Loading...")</f>
        <v>Loading...</v>
      </c>
      <c r="J3122" s="7" t="str">
        <f ca="1">IFERROR(__xludf.DUMMYFUNCTION("GOOGLEFINANCE(""NSE:""&amp;D3122,""marketcap"")"),"#N/A")</f>
        <v>#N/A</v>
      </c>
      <c r="K3122" s="7">
        <v>992.8</v>
      </c>
      <c r="L3122" s="8" t="str">
        <f ca="1">IFERROR(__xludf.DUMMYFUNCTION("GOOGLEFINANCE(""NSE:""&amp;D3122,""price"")"),"#N/A")</f>
        <v>#N/A</v>
      </c>
      <c r="M3122" s="9" t="e">
        <f t="shared" ca="1" si="62"/>
        <v>#VALUE!</v>
      </c>
      <c r="N3122" s="10" t="e">
        <f t="shared" ca="1" si="63"/>
        <v>#VALUE!</v>
      </c>
      <c r="O3122" s="7" t="str">
        <f ca="1">IFERROR(__xludf.DUMMYFUNCTION("GOOGLEFINANCE(""NSE:""&amp;D3122,""pe"")"),"#N/A")</f>
        <v>#N/A</v>
      </c>
      <c r="P3122" s="7" t="str">
        <f ca="1">IFERROR(__xludf.DUMMYFUNCTION("GOOGLEFINANCE(""NSE:""&amp;D3122,""EPS"")"),"#N/A")</f>
        <v>#N/A</v>
      </c>
      <c r="Q3122" s="7">
        <v>13.5</v>
      </c>
      <c r="R3122" s="7" t="str">
        <f ca="1">IFERROR(__xludf.DUMMYFUNCTION("IMPORTXML(E3122,""/html/body/main/div[3]/div[3]/div[2]/ul/li[7]/span[2]/span"")"),"Loading...")</f>
        <v>Loading...</v>
      </c>
      <c r="S3122" s="7" t="str">
        <f ca="1">IFERROR(__xludf.DUMMYFUNCTION("IMPORTXML(E3122,""/html/body/main/div[3]/div[3]/div[2]/ul/li[8]/span[2]/span"")"),"Loading...")</f>
        <v>Loading...</v>
      </c>
      <c r="T3122" s="4">
        <v>34.6</v>
      </c>
      <c r="U3122" s="4">
        <v>22.7</v>
      </c>
      <c r="V3122" s="4">
        <v>2.6</v>
      </c>
      <c r="W3122" s="4">
        <v>5.7</v>
      </c>
      <c r="X3122" s="4">
        <v>519.92999999999995</v>
      </c>
      <c r="Y3122" s="7" t="e">
        <f t="shared" ca="1" si="64"/>
        <v>#VALUE!</v>
      </c>
    </row>
    <row r="3123" spans="1:25" ht="15" x14ac:dyDescent="0.25">
      <c r="A3123" s="4">
        <v>3105</v>
      </c>
      <c r="C3123" s="12" t="s">
        <v>5447</v>
      </c>
      <c r="D3123" s="12" t="s">
        <v>5448</v>
      </c>
      <c r="E3123" s="5" t="str">
        <f t="shared" si="60"/>
        <v>https://www.screener.in/company/MOHITIND/consolidated/</v>
      </c>
      <c r="F3123" s="4">
        <v>443059</v>
      </c>
      <c r="G3123" s="4">
        <v>3832241897</v>
      </c>
      <c r="H3123" s="6">
        <f t="shared" ca="1" si="61"/>
        <v>11764.98262379</v>
      </c>
      <c r="I3123" s="7" t="str">
        <f ca="1">IFERROR(__xludf.DUMMYFUNCTION("IMPORTXML(E3123,""/html/body/main/div[3]/div[3]/div[2]/ul/li[5]/span[2]/span"")"),"Loading...")</f>
        <v>Loading...</v>
      </c>
      <c r="J3123" s="7">
        <f ca="1">IFERROR(__xludf.DUMMYFUNCTION("GOOGLEFINANCE(""NSE:""&amp;D3123,""marketcap"")"),434637409)</f>
        <v>434637409</v>
      </c>
      <c r="K3123" s="7">
        <v>992.8</v>
      </c>
      <c r="L3123" s="8">
        <f ca="1">IFERROR(__xludf.DUMMYFUNCTION("GOOGLEFINANCE(""NSE:""&amp;D3123,""price"")"),30.7)</f>
        <v>30.7</v>
      </c>
      <c r="M3123" s="9">
        <f t="shared" ca="1" si="62"/>
        <v>-962.09999999999991</v>
      </c>
      <c r="N3123" s="10">
        <f t="shared" ca="1" si="63"/>
        <v>-96.907735697018524</v>
      </c>
      <c r="O3123" s="7" t="str">
        <f ca="1">IFERROR(__xludf.DUMMYFUNCTION("GOOGLEFINANCE(""NSE:""&amp;D3123,""pe"")"),"#N/A")</f>
        <v>#N/A</v>
      </c>
      <c r="P3123" s="7">
        <f ca="1">IFERROR(__xludf.DUMMYFUNCTION("GOOGLEFINANCE(""NSE:""&amp;D3123,""EPS"")"),-1.72)</f>
        <v>-1.72</v>
      </c>
      <c r="Q3123" s="7">
        <v>13.5</v>
      </c>
      <c r="R3123" s="7" t="str">
        <f ca="1">IFERROR(__xludf.DUMMYFUNCTION("IMPORTXML(E3123,""/html/body/main/div[3]/div[3]/div[2]/ul/li[7]/span[2]/span"")"),"Loading...")</f>
        <v>Loading...</v>
      </c>
      <c r="S3123" s="7" t="str">
        <f ca="1">IFERROR(__xludf.DUMMYFUNCTION("IMPORTXML(E3123,""/html/body/main/div[3]/div[3]/div[2]/ul/li[8]/span[2]/span"")"),"Loading...")</f>
        <v>Loading...</v>
      </c>
      <c r="T3123" s="4">
        <v>34.6</v>
      </c>
      <c r="U3123" s="4">
        <v>22.7</v>
      </c>
      <c r="V3123" s="4">
        <v>2.6</v>
      </c>
      <c r="W3123" s="4">
        <v>5.7</v>
      </c>
      <c r="X3123" s="4">
        <v>519.92999999999995</v>
      </c>
      <c r="Y3123" s="7">
        <f t="shared" ca="1" si="64"/>
        <v>-489.22999999999996</v>
      </c>
    </row>
    <row r="3124" spans="1:25" ht="15" x14ac:dyDescent="0.25">
      <c r="A3124" s="4">
        <v>3106</v>
      </c>
      <c r="C3124" s="41" t="s">
        <v>5449</v>
      </c>
      <c r="D3124" s="42"/>
      <c r="E3124" s="5" t="str">
        <f t="shared" si="60"/>
        <v>https://www.screener.in/company//consolidated/</v>
      </c>
      <c r="F3124" s="4">
        <v>443059</v>
      </c>
      <c r="G3124" s="4">
        <v>3832241897</v>
      </c>
      <c r="H3124" s="6" t="e">
        <f t="shared" ca="1" si="61"/>
        <v>#VALUE!</v>
      </c>
      <c r="I3124" s="7" t="str">
        <f ca="1">IFERROR(__xludf.DUMMYFUNCTION("IMPORTXML(E3124,""/html/body/main/div[3]/div[3]/div[2]/ul/li[5]/span[2]/span"")"),"Loading...")</f>
        <v>Loading...</v>
      </c>
      <c r="J3124" s="7" t="str">
        <f ca="1">IFERROR(__xludf.DUMMYFUNCTION("GOOGLEFINANCE(""NSE:""&amp;D3124,""marketcap"")"),"#N/A")</f>
        <v>#N/A</v>
      </c>
      <c r="K3124" s="7">
        <v>992.8</v>
      </c>
      <c r="L3124" s="8" t="str">
        <f ca="1">IFERROR(__xludf.DUMMYFUNCTION("GOOGLEFINANCE(""NSE:""&amp;D3124,""price"")"),"#N/A")</f>
        <v>#N/A</v>
      </c>
      <c r="M3124" s="9" t="e">
        <f t="shared" ca="1" si="62"/>
        <v>#VALUE!</v>
      </c>
      <c r="N3124" s="10" t="e">
        <f t="shared" ca="1" si="63"/>
        <v>#VALUE!</v>
      </c>
      <c r="O3124" s="7" t="str">
        <f ca="1">IFERROR(__xludf.DUMMYFUNCTION("GOOGLEFINANCE(""NSE:""&amp;D3124,""pe"")"),"#N/A")</f>
        <v>#N/A</v>
      </c>
      <c r="P3124" s="7" t="str">
        <f ca="1">IFERROR(__xludf.DUMMYFUNCTION("GOOGLEFINANCE(""NSE:""&amp;D3124,""EPS"")"),"#N/A")</f>
        <v>#N/A</v>
      </c>
      <c r="Q3124" s="7">
        <v>13.5</v>
      </c>
      <c r="R3124" s="7" t="str">
        <f ca="1">IFERROR(__xludf.DUMMYFUNCTION("IMPORTXML(E3124,""/html/body/main/div[3]/div[3]/div[2]/ul/li[7]/span[2]/span"")"),"Loading...")</f>
        <v>Loading...</v>
      </c>
      <c r="S3124" s="7" t="str">
        <f ca="1">IFERROR(__xludf.DUMMYFUNCTION("IMPORTXML(E3124,""/html/body/main/div[3]/div[3]/div[2]/ul/li[8]/span[2]/span"")"),"Loading...")</f>
        <v>Loading...</v>
      </c>
      <c r="T3124" s="4">
        <v>34.6</v>
      </c>
      <c r="U3124" s="4">
        <v>22.7</v>
      </c>
      <c r="V3124" s="4">
        <v>2.6</v>
      </c>
      <c r="W3124" s="4">
        <v>5.7</v>
      </c>
      <c r="X3124" s="4">
        <v>519.92999999999995</v>
      </c>
      <c r="Y3124" s="7" t="e">
        <f t="shared" ca="1" si="64"/>
        <v>#VALUE!</v>
      </c>
    </row>
    <row r="3125" spans="1:25" ht="15" x14ac:dyDescent="0.25">
      <c r="A3125" s="4">
        <v>3107</v>
      </c>
      <c r="C3125" s="41" t="s">
        <v>5450</v>
      </c>
      <c r="D3125" s="42"/>
      <c r="E3125" s="5" t="str">
        <f t="shared" si="60"/>
        <v>https://www.screener.in/company//consolidated/</v>
      </c>
      <c r="F3125" s="4">
        <v>443059</v>
      </c>
      <c r="G3125" s="4">
        <v>3832241897</v>
      </c>
      <c r="H3125" s="6" t="e">
        <f t="shared" ca="1" si="61"/>
        <v>#VALUE!</v>
      </c>
      <c r="I3125" s="7" t="str">
        <f ca="1">IFERROR(__xludf.DUMMYFUNCTION("IMPORTXML(E3125,""/html/body/main/div[3]/div[3]/div[2]/ul/li[5]/span[2]/span"")"),"Loading...")</f>
        <v>Loading...</v>
      </c>
      <c r="J3125" s="7" t="str">
        <f ca="1">IFERROR(__xludf.DUMMYFUNCTION("GOOGLEFINANCE(""NSE:""&amp;D3125,""marketcap"")"),"#N/A")</f>
        <v>#N/A</v>
      </c>
      <c r="K3125" s="7">
        <v>992.8</v>
      </c>
      <c r="L3125" s="8" t="str">
        <f ca="1">IFERROR(__xludf.DUMMYFUNCTION("GOOGLEFINANCE(""NSE:""&amp;D3125,""price"")"),"#N/A")</f>
        <v>#N/A</v>
      </c>
      <c r="M3125" s="9" t="e">
        <f t="shared" ca="1" si="62"/>
        <v>#VALUE!</v>
      </c>
      <c r="N3125" s="10" t="e">
        <f t="shared" ca="1" si="63"/>
        <v>#VALUE!</v>
      </c>
      <c r="O3125" s="7" t="str">
        <f ca="1">IFERROR(__xludf.DUMMYFUNCTION("GOOGLEFINANCE(""NSE:""&amp;D3125,""pe"")"),"#N/A")</f>
        <v>#N/A</v>
      </c>
      <c r="P3125" s="7" t="str">
        <f ca="1">IFERROR(__xludf.DUMMYFUNCTION("GOOGLEFINANCE(""NSE:""&amp;D3125,""EPS"")"),"#N/A")</f>
        <v>#N/A</v>
      </c>
      <c r="Q3125" s="7">
        <v>13.5</v>
      </c>
      <c r="R3125" s="7" t="str">
        <f ca="1">IFERROR(__xludf.DUMMYFUNCTION("IMPORTXML(E3125,""/html/body/main/div[3]/div[3]/div[2]/ul/li[7]/span[2]/span"")"),"Loading...")</f>
        <v>Loading...</v>
      </c>
      <c r="S3125" s="7" t="str">
        <f ca="1">IFERROR(__xludf.DUMMYFUNCTION("IMPORTXML(E3125,""/html/body/main/div[3]/div[3]/div[2]/ul/li[8]/span[2]/span"")"),"Loading...")</f>
        <v>Loading...</v>
      </c>
      <c r="T3125" s="4">
        <v>34.6</v>
      </c>
      <c r="U3125" s="4">
        <v>22.7</v>
      </c>
      <c r="V3125" s="4">
        <v>2.6</v>
      </c>
      <c r="W3125" s="4">
        <v>5.7</v>
      </c>
      <c r="X3125" s="4">
        <v>519.92999999999995</v>
      </c>
      <c r="Y3125" s="7" t="e">
        <f t="shared" ca="1" si="64"/>
        <v>#VALUE!</v>
      </c>
    </row>
    <row r="3126" spans="1:25" ht="15" x14ac:dyDescent="0.25">
      <c r="A3126" s="4">
        <v>3108</v>
      </c>
      <c r="C3126" s="41" t="s">
        <v>5451</v>
      </c>
      <c r="D3126" s="42"/>
      <c r="E3126" s="5" t="str">
        <f t="shared" si="60"/>
        <v>https://www.screener.in/company//consolidated/</v>
      </c>
      <c r="F3126" s="4">
        <v>443059</v>
      </c>
      <c r="G3126" s="4">
        <v>3832241897</v>
      </c>
      <c r="H3126" s="6" t="e">
        <f t="shared" ca="1" si="61"/>
        <v>#VALUE!</v>
      </c>
      <c r="I3126" s="7" t="str">
        <f ca="1">IFERROR(__xludf.DUMMYFUNCTION("IMPORTXML(E3126,""/html/body/main/div[3]/div[3]/div[2]/ul/li[5]/span[2]/span"")"),"Loading...")</f>
        <v>Loading...</v>
      </c>
      <c r="J3126" s="7" t="str">
        <f ca="1">IFERROR(__xludf.DUMMYFUNCTION("GOOGLEFINANCE(""NSE:""&amp;D3126,""marketcap"")"),"#N/A")</f>
        <v>#N/A</v>
      </c>
      <c r="K3126" s="7">
        <v>992.8</v>
      </c>
      <c r="L3126" s="8" t="str">
        <f ca="1">IFERROR(__xludf.DUMMYFUNCTION("GOOGLEFINANCE(""NSE:""&amp;D3126,""price"")"),"#N/A")</f>
        <v>#N/A</v>
      </c>
      <c r="M3126" s="9" t="e">
        <f t="shared" ca="1" si="62"/>
        <v>#VALUE!</v>
      </c>
      <c r="N3126" s="10" t="e">
        <f t="shared" ca="1" si="63"/>
        <v>#VALUE!</v>
      </c>
      <c r="O3126" s="7" t="str">
        <f ca="1">IFERROR(__xludf.DUMMYFUNCTION("GOOGLEFINANCE(""NSE:""&amp;D3126,""pe"")"),"#N/A")</f>
        <v>#N/A</v>
      </c>
      <c r="P3126" s="7" t="str">
        <f ca="1">IFERROR(__xludf.DUMMYFUNCTION("GOOGLEFINANCE(""NSE:""&amp;D3126,""EPS"")"),"#N/A")</f>
        <v>#N/A</v>
      </c>
      <c r="Q3126" s="7">
        <v>13.5</v>
      </c>
      <c r="R3126" s="7" t="str">
        <f ca="1">IFERROR(__xludf.DUMMYFUNCTION("IMPORTXML(E3126,""/html/body/main/div[3]/div[3]/div[2]/ul/li[7]/span[2]/span"")"),"Loading...")</f>
        <v>Loading...</v>
      </c>
      <c r="S3126" s="7" t="str">
        <f ca="1">IFERROR(__xludf.DUMMYFUNCTION("IMPORTXML(E3126,""/html/body/main/div[3]/div[3]/div[2]/ul/li[8]/span[2]/span"")"),"Loading...")</f>
        <v>Loading...</v>
      </c>
      <c r="T3126" s="4">
        <v>34.6</v>
      </c>
      <c r="U3126" s="4">
        <v>22.7</v>
      </c>
      <c r="V3126" s="4">
        <v>2.6</v>
      </c>
      <c r="W3126" s="4">
        <v>5.7</v>
      </c>
      <c r="X3126" s="4">
        <v>519.92999999999995</v>
      </c>
      <c r="Y3126" s="7" t="e">
        <f t="shared" ca="1" si="64"/>
        <v>#VALUE!</v>
      </c>
    </row>
    <row r="3127" spans="1:25" ht="15" x14ac:dyDescent="0.25">
      <c r="A3127" s="4">
        <v>3109</v>
      </c>
      <c r="C3127" s="41" t="s">
        <v>5452</v>
      </c>
      <c r="D3127" s="42"/>
      <c r="E3127" s="5" t="str">
        <f t="shared" si="60"/>
        <v>https://www.screener.in/company//consolidated/</v>
      </c>
      <c r="F3127" s="4">
        <v>443059</v>
      </c>
      <c r="G3127" s="4">
        <v>3832241897</v>
      </c>
      <c r="H3127" s="6" t="e">
        <f t="shared" ca="1" si="61"/>
        <v>#VALUE!</v>
      </c>
      <c r="I3127" s="7" t="str">
        <f ca="1">IFERROR(__xludf.DUMMYFUNCTION("IMPORTXML(E3127,""/html/body/main/div[3]/div[3]/div[2]/ul/li[5]/span[2]/span"")"),"Loading...")</f>
        <v>Loading...</v>
      </c>
      <c r="J3127" s="7" t="str">
        <f ca="1">IFERROR(__xludf.DUMMYFUNCTION("GOOGLEFINANCE(""NSE:""&amp;D3127,""marketcap"")"),"#N/A")</f>
        <v>#N/A</v>
      </c>
      <c r="K3127" s="7">
        <v>992.8</v>
      </c>
      <c r="L3127" s="8" t="str">
        <f ca="1">IFERROR(__xludf.DUMMYFUNCTION("GOOGLEFINANCE(""NSE:""&amp;D3127,""price"")"),"#N/A")</f>
        <v>#N/A</v>
      </c>
      <c r="M3127" s="9" t="e">
        <f t="shared" ca="1" si="62"/>
        <v>#VALUE!</v>
      </c>
      <c r="N3127" s="10" t="e">
        <f t="shared" ca="1" si="63"/>
        <v>#VALUE!</v>
      </c>
      <c r="O3127" s="7" t="str">
        <f ca="1">IFERROR(__xludf.DUMMYFUNCTION("GOOGLEFINANCE(""NSE:""&amp;D3127,""pe"")"),"#N/A")</f>
        <v>#N/A</v>
      </c>
      <c r="P3127" s="7" t="str">
        <f ca="1">IFERROR(__xludf.DUMMYFUNCTION("GOOGLEFINANCE(""NSE:""&amp;D3127,""EPS"")"),"#N/A")</f>
        <v>#N/A</v>
      </c>
      <c r="Q3127" s="7">
        <v>13.5</v>
      </c>
      <c r="R3127" s="7" t="str">
        <f ca="1">IFERROR(__xludf.DUMMYFUNCTION("IMPORTXML(E3127,""/html/body/main/div[3]/div[3]/div[2]/ul/li[7]/span[2]/span"")"),"Loading...")</f>
        <v>Loading...</v>
      </c>
      <c r="S3127" s="7" t="str">
        <f ca="1">IFERROR(__xludf.DUMMYFUNCTION("IMPORTXML(E3127,""/html/body/main/div[3]/div[3]/div[2]/ul/li[8]/span[2]/span"")"),"Loading...")</f>
        <v>Loading...</v>
      </c>
      <c r="T3127" s="4">
        <v>34.6</v>
      </c>
      <c r="U3127" s="4">
        <v>22.7</v>
      </c>
      <c r="V3127" s="4">
        <v>2.6</v>
      </c>
      <c r="W3127" s="4">
        <v>5.7</v>
      </c>
      <c r="X3127" s="4">
        <v>519.92999999999995</v>
      </c>
      <c r="Y3127" s="7" t="e">
        <f t="shared" ca="1" si="64"/>
        <v>#VALUE!</v>
      </c>
    </row>
    <row r="3128" spans="1:25" ht="15" x14ac:dyDescent="0.25">
      <c r="A3128" s="4">
        <v>3110</v>
      </c>
      <c r="C3128" s="41" t="s">
        <v>5453</v>
      </c>
      <c r="D3128" s="42"/>
      <c r="E3128" s="5" t="str">
        <f t="shared" si="60"/>
        <v>https://www.screener.in/company//consolidated/</v>
      </c>
      <c r="F3128" s="4">
        <v>443059</v>
      </c>
      <c r="G3128" s="4">
        <v>3832241897</v>
      </c>
      <c r="H3128" s="6" t="e">
        <f t="shared" ca="1" si="61"/>
        <v>#VALUE!</v>
      </c>
      <c r="I3128" s="7" t="str">
        <f ca="1">IFERROR(__xludf.DUMMYFUNCTION("IMPORTXML(E3128,""/html/body/main/div[3]/div[3]/div[2]/ul/li[5]/span[2]/span"")"),"Loading...")</f>
        <v>Loading...</v>
      </c>
      <c r="J3128" s="7" t="str">
        <f ca="1">IFERROR(__xludf.DUMMYFUNCTION("GOOGLEFINANCE(""NSE:""&amp;D3128,""marketcap"")"),"#N/A")</f>
        <v>#N/A</v>
      </c>
      <c r="K3128" s="7">
        <v>992.8</v>
      </c>
      <c r="L3128" s="8" t="str">
        <f ca="1">IFERROR(__xludf.DUMMYFUNCTION("GOOGLEFINANCE(""NSE:""&amp;D3128,""price"")"),"#N/A")</f>
        <v>#N/A</v>
      </c>
      <c r="M3128" s="9" t="e">
        <f t="shared" ca="1" si="62"/>
        <v>#VALUE!</v>
      </c>
      <c r="N3128" s="10" t="e">
        <f t="shared" ca="1" si="63"/>
        <v>#VALUE!</v>
      </c>
      <c r="O3128" s="7" t="str">
        <f ca="1">IFERROR(__xludf.DUMMYFUNCTION("GOOGLEFINANCE(""NSE:""&amp;D3128,""pe"")"),"#N/A")</f>
        <v>#N/A</v>
      </c>
      <c r="P3128" s="7" t="str">
        <f ca="1">IFERROR(__xludf.DUMMYFUNCTION("GOOGLEFINANCE(""NSE:""&amp;D3128,""EPS"")"),"#N/A")</f>
        <v>#N/A</v>
      </c>
      <c r="Q3128" s="7">
        <v>13.5</v>
      </c>
      <c r="R3128" s="7" t="str">
        <f ca="1">IFERROR(__xludf.DUMMYFUNCTION("IMPORTXML(E3128,""/html/body/main/div[3]/div[3]/div[2]/ul/li[7]/span[2]/span"")"),"Loading...")</f>
        <v>Loading...</v>
      </c>
      <c r="S3128" s="7" t="str">
        <f ca="1">IFERROR(__xludf.DUMMYFUNCTION("IMPORTXML(E3128,""/html/body/main/div[3]/div[3]/div[2]/ul/li[8]/span[2]/span"")"),"Loading...")</f>
        <v>Loading...</v>
      </c>
      <c r="T3128" s="4">
        <v>34.6</v>
      </c>
      <c r="U3128" s="4">
        <v>22.7</v>
      </c>
      <c r="V3128" s="4">
        <v>2.6</v>
      </c>
      <c r="W3128" s="4">
        <v>5.7</v>
      </c>
      <c r="X3128" s="4">
        <v>519.92999999999995</v>
      </c>
      <c r="Y3128" s="7" t="e">
        <f t="shared" ca="1" si="64"/>
        <v>#VALUE!</v>
      </c>
    </row>
    <row r="3129" spans="1:25" ht="15" x14ac:dyDescent="0.25">
      <c r="A3129" s="4">
        <v>3111</v>
      </c>
      <c r="C3129" s="41" t="s">
        <v>5454</v>
      </c>
      <c r="D3129" s="42"/>
      <c r="E3129" s="5" t="str">
        <f t="shared" si="60"/>
        <v>https://www.screener.in/company//consolidated/</v>
      </c>
      <c r="F3129" s="4">
        <v>443059</v>
      </c>
      <c r="G3129" s="4">
        <v>3832241897</v>
      </c>
      <c r="H3129" s="6" t="e">
        <f t="shared" ca="1" si="61"/>
        <v>#VALUE!</v>
      </c>
      <c r="I3129" s="7" t="str">
        <f ca="1">IFERROR(__xludf.DUMMYFUNCTION("IMPORTXML(E3129,""/html/body/main/div[3]/div[3]/div[2]/ul/li[5]/span[2]/span"")"),"Loading...")</f>
        <v>Loading...</v>
      </c>
      <c r="J3129" s="7" t="str">
        <f ca="1">IFERROR(__xludf.DUMMYFUNCTION("GOOGLEFINANCE(""NSE:""&amp;D3129,""marketcap"")"),"#N/A")</f>
        <v>#N/A</v>
      </c>
      <c r="K3129" s="7">
        <v>992.8</v>
      </c>
      <c r="L3129" s="8" t="str">
        <f ca="1">IFERROR(__xludf.DUMMYFUNCTION("GOOGLEFINANCE(""NSE:""&amp;D3129,""price"")"),"#N/A")</f>
        <v>#N/A</v>
      </c>
      <c r="M3129" s="9" t="e">
        <f t="shared" ca="1" si="62"/>
        <v>#VALUE!</v>
      </c>
      <c r="N3129" s="10" t="e">
        <f t="shared" ca="1" si="63"/>
        <v>#VALUE!</v>
      </c>
      <c r="O3129" s="7" t="str">
        <f ca="1">IFERROR(__xludf.DUMMYFUNCTION("GOOGLEFINANCE(""NSE:""&amp;D3129,""pe"")"),"#N/A")</f>
        <v>#N/A</v>
      </c>
      <c r="P3129" s="7" t="str">
        <f ca="1">IFERROR(__xludf.DUMMYFUNCTION("GOOGLEFINANCE(""NSE:""&amp;D3129,""EPS"")"),"#N/A")</f>
        <v>#N/A</v>
      </c>
      <c r="Q3129" s="7">
        <v>13.5</v>
      </c>
      <c r="R3129" s="7" t="str">
        <f ca="1">IFERROR(__xludf.DUMMYFUNCTION("IMPORTXML(E3129,""/html/body/main/div[3]/div[3]/div[2]/ul/li[7]/span[2]/span"")"),"Loading...")</f>
        <v>Loading...</v>
      </c>
      <c r="S3129" s="7" t="str">
        <f ca="1">IFERROR(__xludf.DUMMYFUNCTION("IMPORTXML(E3129,""/html/body/main/div[3]/div[3]/div[2]/ul/li[8]/span[2]/span"")"),"Loading...")</f>
        <v>Loading...</v>
      </c>
      <c r="T3129" s="4">
        <v>34.6</v>
      </c>
      <c r="U3129" s="4">
        <v>22.7</v>
      </c>
      <c r="V3129" s="4">
        <v>2.6</v>
      </c>
      <c r="W3129" s="4">
        <v>5.7</v>
      </c>
      <c r="X3129" s="4">
        <v>519.92999999999995</v>
      </c>
      <c r="Y3129" s="7" t="e">
        <f t="shared" ca="1" si="64"/>
        <v>#VALUE!</v>
      </c>
    </row>
    <row r="3130" spans="1:25" ht="15" x14ac:dyDescent="0.25">
      <c r="A3130" s="4">
        <v>3113</v>
      </c>
      <c r="C3130" s="41" t="s">
        <v>5455</v>
      </c>
      <c r="D3130" s="42"/>
      <c r="E3130" s="5" t="str">
        <f t="shared" si="60"/>
        <v>https://www.screener.in/company//consolidated/</v>
      </c>
      <c r="F3130" s="4">
        <v>443059</v>
      </c>
      <c r="G3130" s="4">
        <v>3832241897</v>
      </c>
      <c r="H3130" s="6" t="e">
        <f t="shared" ca="1" si="61"/>
        <v>#VALUE!</v>
      </c>
      <c r="I3130" s="7" t="str">
        <f ca="1">IFERROR(__xludf.DUMMYFUNCTION("IMPORTXML(E3130,""/html/body/main/div[3]/div[3]/div[2]/ul/li[5]/span[2]/span"")"),"Loading...")</f>
        <v>Loading...</v>
      </c>
      <c r="J3130" s="7" t="str">
        <f ca="1">IFERROR(__xludf.DUMMYFUNCTION("GOOGLEFINANCE(""NSE:""&amp;D3130,""marketcap"")"),"#N/A")</f>
        <v>#N/A</v>
      </c>
      <c r="K3130" s="7">
        <v>992.8</v>
      </c>
      <c r="L3130" s="8" t="str">
        <f ca="1">IFERROR(__xludf.DUMMYFUNCTION("GOOGLEFINANCE(""NSE:""&amp;D3130,""price"")"),"#N/A")</f>
        <v>#N/A</v>
      </c>
      <c r="M3130" s="9" t="e">
        <f t="shared" ca="1" si="62"/>
        <v>#VALUE!</v>
      </c>
      <c r="N3130" s="10" t="e">
        <f t="shared" ca="1" si="63"/>
        <v>#VALUE!</v>
      </c>
      <c r="O3130" s="7" t="str">
        <f ca="1">IFERROR(__xludf.DUMMYFUNCTION("GOOGLEFINANCE(""NSE:""&amp;D3130,""pe"")"),"#N/A")</f>
        <v>#N/A</v>
      </c>
      <c r="P3130" s="7" t="str">
        <f ca="1">IFERROR(__xludf.DUMMYFUNCTION("GOOGLEFINANCE(""NSE:""&amp;D3130,""EPS"")"),"#N/A")</f>
        <v>#N/A</v>
      </c>
      <c r="Q3130" s="7">
        <v>13.5</v>
      </c>
      <c r="R3130" s="7" t="str">
        <f ca="1">IFERROR(__xludf.DUMMYFUNCTION("IMPORTXML(E3130,""/html/body/main/div[3]/div[3]/div[2]/ul/li[7]/span[2]/span"")"),"Loading...")</f>
        <v>Loading...</v>
      </c>
      <c r="S3130" s="7" t="str">
        <f ca="1">IFERROR(__xludf.DUMMYFUNCTION("IMPORTXML(E3130,""/html/body/main/div[3]/div[3]/div[2]/ul/li[8]/span[2]/span"")"),"Loading...")</f>
        <v>Loading...</v>
      </c>
      <c r="T3130" s="4">
        <v>34.6</v>
      </c>
      <c r="U3130" s="4">
        <v>22.7</v>
      </c>
      <c r="V3130" s="4">
        <v>2.6</v>
      </c>
      <c r="W3130" s="4">
        <v>5.7</v>
      </c>
      <c r="X3130" s="4">
        <v>519.92999999999995</v>
      </c>
      <c r="Y3130" s="7" t="e">
        <f t="shared" ca="1" si="64"/>
        <v>#VALUE!</v>
      </c>
    </row>
    <row r="3131" spans="1:25" ht="15" x14ac:dyDescent="0.25">
      <c r="A3131" s="4">
        <v>3114</v>
      </c>
      <c r="C3131" s="41" t="s">
        <v>5456</v>
      </c>
      <c r="D3131" s="42"/>
      <c r="E3131" s="5" t="str">
        <f t="shared" si="60"/>
        <v>https://www.screener.in/company//consolidated/</v>
      </c>
      <c r="F3131" s="4">
        <v>443059</v>
      </c>
      <c r="G3131" s="4">
        <v>3832241897</v>
      </c>
      <c r="H3131" s="6" t="e">
        <f t="shared" ca="1" si="61"/>
        <v>#VALUE!</v>
      </c>
      <c r="I3131" s="7" t="str">
        <f ca="1">IFERROR(__xludf.DUMMYFUNCTION("IMPORTXML(E3131,""/html/body/main/div[3]/div[3]/div[2]/ul/li[5]/span[2]/span"")"),"Loading...")</f>
        <v>Loading...</v>
      </c>
      <c r="J3131" s="7" t="str">
        <f ca="1">IFERROR(__xludf.DUMMYFUNCTION("GOOGLEFINANCE(""NSE:""&amp;D3131,""marketcap"")"),"#N/A")</f>
        <v>#N/A</v>
      </c>
      <c r="K3131" s="7">
        <v>992.8</v>
      </c>
      <c r="L3131" s="8" t="str">
        <f ca="1">IFERROR(__xludf.DUMMYFUNCTION("GOOGLEFINANCE(""NSE:""&amp;D3131,""price"")"),"#N/A")</f>
        <v>#N/A</v>
      </c>
      <c r="M3131" s="9" t="e">
        <f t="shared" ca="1" si="62"/>
        <v>#VALUE!</v>
      </c>
      <c r="N3131" s="10" t="e">
        <f t="shared" ca="1" si="63"/>
        <v>#VALUE!</v>
      </c>
      <c r="O3131" s="7" t="str">
        <f ca="1">IFERROR(__xludf.DUMMYFUNCTION("GOOGLEFINANCE(""NSE:""&amp;D3131,""pe"")"),"#N/A")</f>
        <v>#N/A</v>
      </c>
      <c r="P3131" s="7" t="str">
        <f ca="1">IFERROR(__xludf.DUMMYFUNCTION("GOOGLEFINANCE(""NSE:""&amp;D3131,""EPS"")"),"#N/A")</f>
        <v>#N/A</v>
      </c>
      <c r="Q3131" s="7">
        <v>13.5</v>
      </c>
      <c r="R3131" s="7" t="str">
        <f ca="1">IFERROR(__xludf.DUMMYFUNCTION("IMPORTXML(E3131,""/html/body/main/div[3]/div[3]/div[2]/ul/li[7]/span[2]/span"")"),"Loading...")</f>
        <v>Loading...</v>
      </c>
      <c r="S3131" s="7" t="str">
        <f ca="1">IFERROR(__xludf.DUMMYFUNCTION("IMPORTXML(E3131,""/html/body/main/div[3]/div[3]/div[2]/ul/li[8]/span[2]/span"")"),"Loading...")</f>
        <v>Loading...</v>
      </c>
      <c r="T3131" s="4">
        <v>34.6</v>
      </c>
      <c r="U3131" s="4">
        <v>22.7</v>
      </c>
      <c r="V3131" s="4">
        <v>2.6</v>
      </c>
      <c r="W3131" s="4">
        <v>5.7</v>
      </c>
      <c r="X3131" s="4">
        <v>519.92999999999995</v>
      </c>
      <c r="Y3131" s="7" t="e">
        <f t="shared" ca="1" si="64"/>
        <v>#VALUE!</v>
      </c>
    </row>
    <row r="3132" spans="1:25" ht="15" x14ac:dyDescent="0.25">
      <c r="A3132" s="4">
        <v>3115</v>
      </c>
      <c r="C3132" s="41" t="s">
        <v>5457</v>
      </c>
      <c r="D3132" s="42"/>
      <c r="E3132" s="5" t="str">
        <f t="shared" si="60"/>
        <v>https://www.screener.in/company//consolidated/</v>
      </c>
      <c r="F3132" s="4">
        <v>443059</v>
      </c>
      <c r="G3132" s="4">
        <v>3832241897</v>
      </c>
      <c r="H3132" s="6" t="e">
        <f t="shared" ca="1" si="61"/>
        <v>#VALUE!</v>
      </c>
      <c r="I3132" s="7" t="str">
        <f ca="1">IFERROR(__xludf.DUMMYFUNCTION("IMPORTXML(E3132,""/html/body/main/div[3]/div[3]/div[2]/ul/li[5]/span[2]/span"")"),"Loading...")</f>
        <v>Loading...</v>
      </c>
      <c r="J3132" s="7" t="str">
        <f ca="1">IFERROR(__xludf.DUMMYFUNCTION("GOOGLEFINANCE(""NSE:""&amp;D3132,""marketcap"")"),"#N/A")</f>
        <v>#N/A</v>
      </c>
      <c r="K3132" s="7">
        <v>992.8</v>
      </c>
      <c r="L3132" s="8" t="str">
        <f ca="1">IFERROR(__xludf.DUMMYFUNCTION("GOOGLEFINANCE(""NSE:""&amp;D3132,""price"")"),"#N/A")</f>
        <v>#N/A</v>
      </c>
      <c r="M3132" s="9" t="e">
        <f t="shared" ca="1" si="62"/>
        <v>#VALUE!</v>
      </c>
      <c r="N3132" s="10" t="e">
        <f t="shared" ca="1" si="63"/>
        <v>#VALUE!</v>
      </c>
      <c r="O3132" s="7" t="str">
        <f ca="1">IFERROR(__xludf.DUMMYFUNCTION("GOOGLEFINANCE(""NSE:""&amp;D3132,""pe"")"),"#N/A")</f>
        <v>#N/A</v>
      </c>
      <c r="P3132" s="7" t="str">
        <f ca="1">IFERROR(__xludf.DUMMYFUNCTION("GOOGLEFINANCE(""NSE:""&amp;D3132,""EPS"")"),"#N/A")</f>
        <v>#N/A</v>
      </c>
      <c r="Q3132" s="7">
        <v>13.5</v>
      </c>
      <c r="R3132" s="7" t="str">
        <f ca="1">IFERROR(__xludf.DUMMYFUNCTION("IMPORTXML(E3132,""/html/body/main/div[3]/div[3]/div[2]/ul/li[7]/span[2]/span"")"),"Loading...")</f>
        <v>Loading...</v>
      </c>
      <c r="S3132" s="7" t="str">
        <f ca="1">IFERROR(__xludf.DUMMYFUNCTION("IMPORTXML(E3132,""/html/body/main/div[3]/div[3]/div[2]/ul/li[8]/span[2]/span"")"),"Loading...")</f>
        <v>Loading...</v>
      </c>
      <c r="T3132" s="4">
        <v>34.6</v>
      </c>
      <c r="U3132" s="4">
        <v>22.7</v>
      </c>
      <c r="V3132" s="4">
        <v>2.6</v>
      </c>
      <c r="W3132" s="4">
        <v>5.7</v>
      </c>
      <c r="X3132" s="4">
        <v>519.92999999999995</v>
      </c>
      <c r="Y3132" s="7" t="e">
        <f t="shared" ca="1" si="64"/>
        <v>#VALUE!</v>
      </c>
    </row>
    <row r="3133" spans="1:25" ht="15" x14ac:dyDescent="0.25">
      <c r="A3133" s="4">
        <v>3116</v>
      </c>
      <c r="C3133" s="41" t="s">
        <v>5458</v>
      </c>
      <c r="D3133" s="42"/>
      <c r="E3133" s="5" t="str">
        <f t="shared" si="60"/>
        <v>https://www.screener.in/company//consolidated/</v>
      </c>
      <c r="F3133" s="4">
        <v>443059</v>
      </c>
      <c r="G3133" s="4">
        <v>3832241897</v>
      </c>
      <c r="H3133" s="6" t="e">
        <f t="shared" ca="1" si="61"/>
        <v>#VALUE!</v>
      </c>
      <c r="I3133" s="7" t="str">
        <f ca="1">IFERROR(__xludf.DUMMYFUNCTION("IMPORTXML(E3133,""/html/body/main/div[3]/div[3]/div[2]/ul/li[5]/span[2]/span"")"),"Loading...")</f>
        <v>Loading...</v>
      </c>
      <c r="J3133" s="7" t="str">
        <f ca="1">IFERROR(__xludf.DUMMYFUNCTION("GOOGLEFINANCE(""NSE:""&amp;D3133,""marketcap"")"),"#N/A")</f>
        <v>#N/A</v>
      </c>
      <c r="K3133" s="7">
        <v>992.8</v>
      </c>
      <c r="L3133" s="8" t="str">
        <f ca="1">IFERROR(__xludf.DUMMYFUNCTION("GOOGLEFINANCE(""NSE:""&amp;D3133,""price"")"),"#N/A")</f>
        <v>#N/A</v>
      </c>
      <c r="M3133" s="9" t="e">
        <f t="shared" ca="1" si="62"/>
        <v>#VALUE!</v>
      </c>
      <c r="N3133" s="10" t="e">
        <f t="shared" ca="1" si="63"/>
        <v>#VALUE!</v>
      </c>
      <c r="O3133" s="7" t="str">
        <f ca="1">IFERROR(__xludf.DUMMYFUNCTION("GOOGLEFINANCE(""NSE:""&amp;D3133,""pe"")"),"#N/A")</f>
        <v>#N/A</v>
      </c>
      <c r="P3133" s="7" t="str">
        <f ca="1">IFERROR(__xludf.DUMMYFUNCTION("GOOGLEFINANCE(""NSE:""&amp;D3133,""EPS"")"),"#N/A")</f>
        <v>#N/A</v>
      </c>
      <c r="Q3133" s="7">
        <v>13.5</v>
      </c>
      <c r="R3133" s="7" t="str">
        <f ca="1">IFERROR(__xludf.DUMMYFUNCTION("IMPORTXML(E3133,""/html/body/main/div[3]/div[3]/div[2]/ul/li[7]/span[2]/span"")"),"Loading...")</f>
        <v>Loading...</v>
      </c>
      <c r="S3133" s="7" t="str">
        <f ca="1">IFERROR(__xludf.DUMMYFUNCTION("IMPORTXML(E3133,""/html/body/main/div[3]/div[3]/div[2]/ul/li[8]/span[2]/span"")"),"Loading...")</f>
        <v>Loading...</v>
      </c>
      <c r="T3133" s="4">
        <v>34.6</v>
      </c>
      <c r="U3133" s="4">
        <v>22.7</v>
      </c>
      <c r="V3133" s="4">
        <v>2.6</v>
      </c>
      <c r="W3133" s="4">
        <v>5.7</v>
      </c>
      <c r="X3133" s="4">
        <v>519.92999999999995</v>
      </c>
      <c r="Y3133" s="7" t="e">
        <f t="shared" ca="1" si="64"/>
        <v>#VALUE!</v>
      </c>
    </row>
    <row r="3134" spans="1:25" ht="15" x14ac:dyDescent="0.25">
      <c r="A3134" s="4">
        <v>3117</v>
      </c>
      <c r="C3134" s="41" t="s">
        <v>5459</v>
      </c>
      <c r="D3134" s="42"/>
      <c r="E3134" s="5" t="str">
        <f t="shared" si="60"/>
        <v>https://www.screener.in/company//consolidated/</v>
      </c>
      <c r="F3134" s="4">
        <v>443059</v>
      </c>
      <c r="G3134" s="4">
        <v>3832241897</v>
      </c>
      <c r="H3134" s="6" t="e">
        <f t="shared" ca="1" si="61"/>
        <v>#VALUE!</v>
      </c>
      <c r="I3134" s="7" t="str">
        <f ca="1">IFERROR(__xludf.DUMMYFUNCTION("IMPORTXML(E3134,""/html/body/main/div[3]/div[3]/div[2]/ul/li[5]/span[2]/span"")"),"Loading...")</f>
        <v>Loading...</v>
      </c>
      <c r="J3134" s="7" t="str">
        <f ca="1">IFERROR(__xludf.DUMMYFUNCTION("GOOGLEFINANCE(""NSE:""&amp;D3134,""marketcap"")"),"#N/A")</f>
        <v>#N/A</v>
      </c>
      <c r="K3134" s="7">
        <v>992.8</v>
      </c>
      <c r="L3134" s="8" t="str">
        <f ca="1">IFERROR(__xludf.DUMMYFUNCTION("GOOGLEFINANCE(""NSE:""&amp;D3134,""price"")"),"#N/A")</f>
        <v>#N/A</v>
      </c>
      <c r="M3134" s="9" t="e">
        <f t="shared" ca="1" si="62"/>
        <v>#VALUE!</v>
      </c>
      <c r="N3134" s="10" t="e">
        <f t="shared" ca="1" si="63"/>
        <v>#VALUE!</v>
      </c>
      <c r="O3134" s="7" t="str">
        <f ca="1">IFERROR(__xludf.DUMMYFUNCTION("GOOGLEFINANCE(""NSE:""&amp;D3134,""pe"")"),"#N/A")</f>
        <v>#N/A</v>
      </c>
      <c r="P3134" s="7" t="str">
        <f ca="1">IFERROR(__xludf.DUMMYFUNCTION("GOOGLEFINANCE(""NSE:""&amp;D3134,""EPS"")"),"#N/A")</f>
        <v>#N/A</v>
      </c>
      <c r="Q3134" s="7">
        <v>13.5</v>
      </c>
      <c r="R3134" s="7" t="str">
        <f ca="1">IFERROR(__xludf.DUMMYFUNCTION("IMPORTXML(E3134,""/html/body/main/div[3]/div[3]/div[2]/ul/li[7]/span[2]/span"")"),"Loading...")</f>
        <v>Loading...</v>
      </c>
      <c r="S3134" s="7" t="str">
        <f ca="1">IFERROR(__xludf.DUMMYFUNCTION("IMPORTXML(E3134,""/html/body/main/div[3]/div[3]/div[2]/ul/li[8]/span[2]/span"")"),"Loading...")</f>
        <v>Loading...</v>
      </c>
      <c r="T3134" s="4">
        <v>34.6</v>
      </c>
      <c r="U3134" s="4">
        <v>22.7</v>
      </c>
      <c r="V3134" s="4">
        <v>2.6</v>
      </c>
      <c r="W3134" s="4">
        <v>5.7</v>
      </c>
      <c r="X3134" s="4">
        <v>519.92999999999995</v>
      </c>
      <c r="Y3134" s="7" t="e">
        <f t="shared" ca="1" si="64"/>
        <v>#VALUE!</v>
      </c>
    </row>
    <row r="3135" spans="1:25" ht="15" x14ac:dyDescent="0.25">
      <c r="A3135" s="4">
        <v>3118</v>
      </c>
      <c r="C3135" s="41" t="s">
        <v>5460</v>
      </c>
      <c r="D3135" s="42"/>
      <c r="E3135" s="5" t="str">
        <f t="shared" si="60"/>
        <v>https://www.screener.in/company//consolidated/</v>
      </c>
      <c r="F3135" s="4">
        <v>443059</v>
      </c>
      <c r="G3135" s="4">
        <v>3832241897</v>
      </c>
      <c r="H3135" s="6" t="e">
        <f t="shared" ca="1" si="61"/>
        <v>#VALUE!</v>
      </c>
      <c r="I3135" s="7" t="str">
        <f ca="1">IFERROR(__xludf.DUMMYFUNCTION("IMPORTXML(E3135,""/html/body/main/div[3]/div[3]/div[2]/ul/li[5]/span[2]/span"")"),"Loading...")</f>
        <v>Loading...</v>
      </c>
      <c r="J3135" s="7" t="str">
        <f ca="1">IFERROR(__xludf.DUMMYFUNCTION("GOOGLEFINANCE(""NSE:""&amp;D3135,""marketcap"")"),"#N/A")</f>
        <v>#N/A</v>
      </c>
      <c r="K3135" s="7">
        <v>992.8</v>
      </c>
      <c r="L3135" s="8" t="str">
        <f ca="1">IFERROR(__xludf.DUMMYFUNCTION("GOOGLEFINANCE(""NSE:""&amp;D3135,""price"")"),"#N/A")</f>
        <v>#N/A</v>
      </c>
      <c r="M3135" s="9" t="e">
        <f t="shared" ca="1" si="62"/>
        <v>#VALUE!</v>
      </c>
      <c r="N3135" s="10" t="e">
        <f t="shared" ca="1" si="63"/>
        <v>#VALUE!</v>
      </c>
      <c r="O3135" s="7" t="str">
        <f ca="1">IFERROR(__xludf.DUMMYFUNCTION("GOOGLEFINANCE(""NSE:""&amp;D3135,""pe"")"),"#N/A")</f>
        <v>#N/A</v>
      </c>
      <c r="P3135" s="7" t="str">
        <f ca="1">IFERROR(__xludf.DUMMYFUNCTION("GOOGLEFINANCE(""NSE:""&amp;D3135,""EPS"")"),"#N/A")</f>
        <v>#N/A</v>
      </c>
      <c r="Q3135" s="7">
        <v>13.5</v>
      </c>
      <c r="R3135" s="7" t="str">
        <f ca="1">IFERROR(__xludf.DUMMYFUNCTION("IMPORTXML(E3135,""/html/body/main/div[3]/div[3]/div[2]/ul/li[7]/span[2]/span"")"),"Loading...")</f>
        <v>Loading...</v>
      </c>
      <c r="S3135" s="7" t="str">
        <f ca="1">IFERROR(__xludf.DUMMYFUNCTION("IMPORTXML(E3135,""/html/body/main/div[3]/div[3]/div[2]/ul/li[8]/span[2]/span"")"),"Loading...")</f>
        <v>Loading...</v>
      </c>
      <c r="T3135" s="4">
        <v>34.6</v>
      </c>
      <c r="U3135" s="4">
        <v>22.7</v>
      </c>
      <c r="V3135" s="4">
        <v>2.6</v>
      </c>
      <c r="W3135" s="4">
        <v>5.7</v>
      </c>
      <c r="X3135" s="4">
        <v>519.92999999999995</v>
      </c>
      <c r="Y3135" s="7" t="e">
        <f t="shared" ca="1" si="64"/>
        <v>#VALUE!</v>
      </c>
    </row>
    <row r="3136" spans="1:25" ht="15" x14ac:dyDescent="0.25">
      <c r="A3136" s="4">
        <v>3119</v>
      </c>
      <c r="C3136" s="41" t="s">
        <v>5461</v>
      </c>
      <c r="D3136" s="42"/>
      <c r="E3136" s="5" t="str">
        <f t="shared" si="60"/>
        <v>https://www.screener.in/company//consolidated/</v>
      </c>
      <c r="F3136" s="4">
        <v>443059</v>
      </c>
      <c r="G3136" s="4">
        <v>3832241897</v>
      </c>
      <c r="H3136" s="6" t="e">
        <f t="shared" ca="1" si="61"/>
        <v>#VALUE!</v>
      </c>
      <c r="I3136" s="7" t="str">
        <f ca="1">IFERROR(__xludf.DUMMYFUNCTION("IMPORTXML(E3136,""/html/body/main/div[3]/div[3]/div[2]/ul/li[5]/span[2]/span"")"),"Loading...")</f>
        <v>Loading...</v>
      </c>
      <c r="J3136" s="7" t="str">
        <f ca="1">IFERROR(__xludf.DUMMYFUNCTION("GOOGLEFINANCE(""NSE:""&amp;D3136,""marketcap"")"),"#N/A")</f>
        <v>#N/A</v>
      </c>
      <c r="K3136" s="7">
        <v>992.8</v>
      </c>
      <c r="L3136" s="8" t="str">
        <f ca="1">IFERROR(__xludf.DUMMYFUNCTION("GOOGLEFINANCE(""NSE:""&amp;D3136,""price"")"),"#N/A")</f>
        <v>#N/A</v>
      </c>
      <c r="M3136" s="9" t="e">
        <f t="shared" ca="1" si="62"/>
        <v>#VALUE!</v>
      </c>
      <c r="N3136" s="10" t="e">
        <f t="shared" ca="1" si="63"/>
        <v>#VALUE!</v>
      </c>
      <c r="O3136" s="7" t="str">
        <f ca="1">IFERROR(__xludf.DUMMYFUNCTION("GOOGLEFINANCE(""NSE:""&amp;D3136,""pe"")"),"#N/A")</f>
        <v>#N/A</v>
      </c>
      <c r="P3136" s="7" t="str">
        <f ca="1">IFERROR(__xludf.DUMMYFUNCTION("GOOGLEFINANCE(""NSE:""&amp;D3136,""EPS"")"),"#N/A")</f>
        <v>#N/A</v>
      </c>
      <c r="Q3136" s="7">
        <v>13.5</v>
      </c>
      <c r="R3136" s="7" t="str">
        <f ca="1">IFERROR(__xludf.DUMMYFUNCTION("IMPORTXML(E3136,""/html/body/main/div[3]/div[3]/div[2]/ul/li[7]/span[2]/span"")"),"Loading...")</f>
        <v>Loading...</v>
      </c>
      <c r="S3136" s="7" t="str">
        <f ca="1">IFERROR(__xludf.DUMMYFUNCTION("IMPORTXML(E3136,""/html/body/main/div[3]/div[3]/div[2]/ul/li[8]/span[2]/span"")"),"Loading...")</f>
        <v>Loading...</v>
      </c>
      <c r="T3136" s="4">
        <v>34.6</v>
      </c>
      <c r="U3136" s="4">
        <v>22.7</v>
      </c>
      <c r="V3136" s="4">
        <v>2.6</v>
      </c>
      <c r="W3136" s="4">
        <v>5.7</v>
      </c>
      <c r="X3136" s="4">
        <v>519.92999999999995</v>
      </c>
      <c r="Y3136" s="7" t="e">
        <f t="shared" ca="1" si="64"/>
        <v>#VALUE!</v>
      </c>
    </row>
    <row r="3137" spans="1:25" ht="15" x14ac:dyDescent="0.25">
      <c r="A3137" s="4">
        <v>3120</v>
      </c>
      <c r="C3137" s="41" t="s">
        <v>5462</v>
      </c>
      <c r="D3137" s="42"/>
      <c r="E3137" s="5" t="str">
        <f t="shared" si="60"/>
        <v>https://www.screener.in/company//consolidated/</v>
      </c>
      <c r="F3137" s="4">
        <v>443059</v>
      </c>
      <c r="G3137" s="4">
        <v>3832241897</v>
      </c>
      <c r="H3137" s="6" t="e">
        <f t="shared" ca="1" si="61"/>
        <v>#VALUE!</v>
      </c>
      <c r="I3137" s="7" t="str">
        <f ca="1">IFERROR(__xludf.DUMMYFUNCTION("IMPORTXML(E3137,""/html/body/main/div[3]/div[3]/div[2]/ul/li[5]/span[2]/span"")"),"Loading...")</f>
        <v>Loading...</v>
      </c>
      <c r="J3137" s="7" t="str">
        <f ca="1">IFERROR(__xludf.DUMMYFUNCTION("GOOGLEFINANCE(""NSE:""&amp;D3137,""marketcap"")"),"#N/A")</f>
        <v>#N/A</v>
      </c>
      <c r="K3137" s="7">
        <v>992.8</v>
      </c>
      <c r="L3137" s="8" t="str">
        <f ca="1">IFERROR(__xludf.DUMMYFUNCTION("GOOGLEFINANCE(""NSE:""&amp;D3137,""price"")"),"#N/A")</f>
        <v>#N/A</v>
      </c>
      <c r="M3137" s="9" t="e">
        <f t="shared" ca="1" si="62"/>
        <v>#VALUE!</v>
      </c>
      <c r="N3137" s="10" t="e">
        <f t="shared" ca="1" si="63"/>
        <v>#VALUE!</v>
      </c>
      <c r="O3137" s="7" t="str">
        <f ca="1">IFERROR(__xludf.DUMMYFUNCTION("GOOGLEFINANCE(""NSE:""&amp;D3137,""pe"")"),"#N/A")</f>
        <v>#N/A</v>
      </c>
      <c r="P3137" s="7" t="str">
        <f ca="1">IFERROR(__xludf.DUMMYFUNCTION("GOOGLEFINANCE(""NSE:""&amp;D3137,""EPS"")"),"#N/A")</f>
        <v>#N/A</v>
      </c>
      <c r="Q3137" s="7">
        <v>13.5</v>
      </c>
      <c r="R3137" s="7" t="str">
        <f ca="1">IFERROR(__xludf.DUMMYFUNCTION("IMPORTXML(E3137,""/html/body/main/div[3]/div[3]/div[2]/ul/li[7]/span[2]/span"")"),"Loading...")</f>
        <v>Loading...</v>
      </c>
      <c r="S3137" s="7" t="str">
        <f ca="1">IFERROR(__xludf.DUMMYFUNCTION("IMPORTXML(E3137,""/html/body/main/div[3]/div[3]/div[2]/ul/li[8]/span[2]/span"")"),"Loading...")</f>
        <v>Loading...</v>
      </c>
      <c r="T3137" s="4">
        <v>34.6</v>
      </c>
      <c r="U3137" s="4">
        <v>22.7</v>
      </c>
      <c r="V3137" s="4">
        <v>2.6</v>
      </c>
      <c r="W3137" s="4">
        <v>5.7</v>
      </c>
      <c r="X3137" s="4">
        <v>519.92999999999995</v>
      </c>
      <c r="Y3137" s="7" t="e">
        <f t="shared" ca="1" si="64"/>
        <v>#VALUE!</v>
      </c>
    </row>
    <row r="3138" spans="1:25" ht="15" x14ac:dyDescent="0.25">
      <c r="A3138" s="4">
        <v>3121</v>
      </c>
      <c r="C3138" s="41" t="s">
        <v>5463</v>
      </c>
      <c r="D3138" s="42"/>
      <c r="E3138" s="5" t="str">
        <f t="shared" si="60"/>
        <v>https://www.screener.in/company//consolidated/</v>
      </c>
      <c r="F3138" s="4">
        <v>443059</v>
      </c>
      <c r="G3138" s="4">
        <v>3832241897</v>
      </c>
      <c r="H3138" s="6" t="e">
        <f t="shared" ca="1" si="61"/>
        <v>#VALUE!</v>
      </c>
      <c r="I3138" s="7" t="str">
        <f ca="1">IFERROR(__xludf.DUMMYFUNCTION("IMPORTXML(E3138,""/html/body/main/div[3]/div[3]/div[2]/ul/li[5]/span[2]/span"")"),"Loading...")</f>
        <v>Loading...</v>
      </c>
      <c r="J3138" s="7" t="str">
        <f ca="1">IFERROR(__xludf.DUMMYFUNCTION("GOOGLEFINANCE(""NSE:""&amp;D3138,""marketcap"")"),"#N/A")</f>
        <v>#N/A</v>
      </c>
      <c r="K3138" s="7">
        <v>992.8</v>
      </c>
      <c r="L3138" s="8" t="str">
        <f ca="1">IFERROR(__xludf.DUMMYFUNCTION("GOOGLEFINANCE(""NSE:""&amp;D3138,""price"")"),"#N/A")</f>
        <v>#N/A</v>
      </c>
      <c r="M3138" s="9" t="e">
        <f t="shared" ca="1" si="62"/>
        <v>#VALUE!</v>
      </c>
      <c r="N3138" s="10" t="e">
        <f t="shared" ca="1" si="63"/>
        <v>#VALUE!</v>
      </c>
      <c r="O3138" s="7" t="str">
        <f ca="1">IFERROR(__xludf.DUMMYFUNCTION("GOOGLEFINANCE(""NSE:""&amp;D3138,""pe"")"),"#N/A")</f>
        <v>#N/A</v>
      </c>
      <c r="P3138" s="7" t="str">
        <f ca="1">IFERROR(__xludf.DUMMYFUNCTION("GOOGLEFINANCE(""NSE:""&amp;D3138,""EPS"")"),"#N/A")</f>
        <v>#N/A</v>
      </c>
      <c r="Q3138" s="7">
        <v>13.5</v>
      </c>
      <c r="R3138" s="7" t="str">
        <f ca="1">IFERROR(__xludf.DUMMYFUNCTION("IMPORTXML(E3138,""/html/body/main/div[3]/div[3]/div[2]/ul/li[7]/span[2]/span"")"),"Loading...")</f>
        <v>Loading...</v>
      </c>
      <c r="S3138" s="7" t="str">
        <f ca="1">IFERROR(__xludf.DUMMYFUNCTION("IMPORTXML(E3138,""/html/body/main/div[3]/div[3]/div[2]/ul/li[8]/span[2]/span"")"),"Loading...")</f>
        <v>Loading...</v>
      </c>
      <c r="T3138" s="4">
        <v>34.6</v>
      </c>
      <c r="U3138" s="4">
        <v>22.7</v>
      </c>
      <c r="V3138" s="4">
        <v>2.6</v>
      </c>
      <c r="W3138" s="4">
        <v>5.7</v>
      </c>
      <c r="X3138" s="4">
        <v>519.92999999999995</v>
      </c>
      <c r="Y3138" s="7" t="e">
        <f t="shared" ca="1" si="64"/>
        <v>#VALUE!</v>
      </c>
    </row>
    <row r="3139" spans="1:25" ht="15" x14ac:dyDescent="0.25">
      <c r="A3139" s="4">
        <v>3122</v>
      </c>
      <c r="C3139" s="12" t="s">
        <v>5464</v>
      </c>
      <c r="D3139" s="12" t="s">
        <v>5465</v>
      </c>
      <c r="E3139" s="5" t="str">
        <f t="shared" si="60"/>
        <v>https://www.screener.in/company/VIJIFIN/consolidated/</v>
      </c>
      <c r="F3139" s="4">
        <v>443059</v>
      </c>
      <c r="G3139" s="4">
        <v>3832241897</v>
      </c>
      <c r="H3139" s="6">
        <f t="shared" ca="1" si="61"/>
        <v>1310.626728774</v>
      </c>
      <c r="I3139" s="7" t="str">
        <f ca="1">IFERROR(__xludf.DUMMYFUNCTION("IMPORTXML(E3139,""/html/body/main/div[3]/div[3]/div[2]/ul/li[5]/span[2]/span"")"),"Loading...")</f>
        <v>Loading...</v>
      </c>
      <c r="J3139" s="7">
        <f ca="1">IFERROR(__xludf.DUMMYFUNCTION("GOOGLEFINANCE(""NSE:""&amp;D3139,""marketcap"")"),491625000)</f>
        <v>491625000</v>
      </c>
      <c r="K3139" s="7">
        <v>992.8</v>
      </c>
      <c r="L3139" s="8">
        <f ca="1">IFERROR(__xludf.DUMMYFUNCTION("GOOGLEFINANCE(""NSE:""&amp;D3139,""price"")"),3.42)</f>
        <v>3.42</v>
      </c>
      <c r="M3139" s="9">
        <f t="shared" ca="1" si="62"/>
        <v>-989.38</v>
      </c>
      <c r="N3139" s="10">
        <f t="shared" ca="1" si="63"/>
        <v>-99.65551974214344</v>
      </c>
      <c r="O3139" s="7" t="str">
        <f ca="1">IFERROR(__xludf.DUMMYFUNCTION("GOOGLEFINANCE(""NSE:""&amp;D3139,""pe"")"),"#N/A")</f>
        <v>#N/A</v>
      </c>
      <c r="P3139" s="7">
        <f ca="1">IFERROR(__xludf.DUMMYFUNCTION("GOOGLEFINANCE(""NSE:""&amp;D3139,""EPS"")"),0)</f>
        <v>0</v>
      </c>
      <c r="Q3139" s="7">
        <v>13.5</v>
      </c>
      <c r="R3139" s="7" t="str">
        <f ca="1">IFERROR(__xludf.DUMMYFUNCTION("IMPORTXML(E3139,""/html/body/main/div[3]/div[3]/div[2]/ul/li[7]/span[2]/span"")"),"Loading...")</f>
        <v>Loading...</v>
      </c>
      <c r="S3139" s="7" t="str">
        <f ca="1">IFERROR(__xludf.DUMMYFUNCTION("IMPORTXML(E3139,""/html/body/main/div[3]/div[3]/div[2]/ul/li[8]/span[2]/span"")"),"Loading...")</f>
        <v>Loading...</v>
      </c>
      <c r="T3139" s="4">
        <v>34.6</v>
      </c>
      <c r="U3139" s="4">
        <v>22.7</v>
      </c>
      <c r="V3139" s="4">
        <v>2.6</v>
      </c>
      <c r="W3139" s="4">
        <v>5.7</v>
      </c>
      <c r="X3139" s="4">
        <v>519.92999999999995</v>
      </c>
      <c r="Y3139" s="7">
        <f t="shared" ca="1" si="64"/>
        <v>-516.51</v>
      </c>
    </row>
    <row r="3140" spans="1:25" ht="15" x14ac:dyDescent="0.25">
      <c r="A3140" s="4">
        <v>3123</v>
      </c>
      <c r="C3140" s="41" t="s">
        <v>5466</v>
      </c>
      <c r="D3140" s="42"/>
      <c r="E3140" s="5" t="str">
        <f t="shared" si="60"/>
        <v>https://www.screener.in/company//consolidated/</v>
      </c>
      <c r="F3140" s="4">
        <v>443059</v>
      </c>
      <c r="G3140" s="4">
        <v>3832241897</v>
      </c>
      <c r="H3140" s="6" t="e">
        <f t="shared" ca="1" si="61"/>
        <v>#VALUE!</v>
      </c>
      <c r="I3140" s="7" t="str">
        <f ca="1">IFERROR(__xludf.DUMMYFUNCTION("IMPORTXML(E3140,""/html/body/main/div[3]/div[3]/div[2]/ul/li[5]/span[2]/span"")"),"Loading...")</f>
        <v>Loading...</v>
      </c>
      <c r="J3140" s="7" t="str">
        <f ca="1">IFERROR(__xludf.DUMMYFUNCTION("GOOGLEFINANCE(""NSE:""&amp;D3140,""marketcap"")"),"#N/A")</f>
        <v>#N/A</v>
      </c>
      <c r="K3140" s="7">
        <v>992.8</v>
      </c>
      <c r="L3140" s="8" t="str">
        <f ca="1">IFERROR(__xludf.DUMMYFUNCTION("GOOGLEFINANCE(""NSE:""&amp;D3140,""price"")"),"#N/A")</f>
        <v>#N/A</v>
      </c>
      <c r="M3140" s="9" t="e">
        <f t="shared" ca="1" si="62"/>
        <v>#VALUE!</v>
      </c>
      <c r="N3140" s="10" t="e">
        <f t="shared" ca="1" si="63"/>
        <v>#VALUE!</v>
      </c>
      <c r="O3140" s="7" t="str">
        <f ca="1">IFERROR(__xludf.DUMMYFUNCTION("GOOGLEFINANCE(""NSE:""&amp;D3140,""pe"")"),"#N/A")</f>
        <v>#N/A</v>
      </c>
      <c r="P3140" s="7" t="str">
        <f ca="1">IFERROR(__xludf.DUMMYFUNCTION("GOOGLEFINANCE(""NSE:""&amp;D3140,""EPS"")"),"#N/A")</f>
        <v>#N/A</v>
      </c>
      <c r="Q3140" s="7">
        <v>13.5</v>
      </c>
      <c r="R3140" s="7" t="str">
        <f ca="1">IFERROR(__xludf.DUMMYFUNCTION("IMPORTXML(E3140,""/html/body/main/div[3]/div[3]/div[2]/ul/li[7]/span[2]/span"")"),"Loading...")</f>
        <v>Loading...</v>
      </c>
      <c r="S3140" s="7" t="str">
        <f ca="1">IFERROR(__xludf.DUMMYFUNCTION("IMPORTXML(E3140,""/html/body/main/div[3]/div[3]/div[2]/ul/li[8]/span[2]/span"")"),"Loading...")</f>
        <v>Loading...</v>
      </c>
      <c r="T3140" s="4">
        <v>34.6</v>
      </c>
      <c r="U3140" s="4">
        <v>22.7</v>
      </c>
      <c r="V3140" s="4">
        <v>2.6</v>
      </c>
      <c r="W3140" s="4">
        <v>5.7</v>
      </c>
      <c r="X3140" s="4">
        <v>519.92999999999995</v>
      </c>
      <c r="Y3140" s="7" t="e">
        <f t="shared" ca="1" si="64"/>
        <v>#VALUE!</v>
      </c>
    </row>
    <row r="3141" spans="1:25" ht="15" x14ac:dyDescent="0.25">
      <c r="A3141" s="4">
        <v>3124</v>
      </c>
      <c r="C3141" s="41" t="s">
        <v>5467</v>
      </c>
      <c r="D3141" s="42"/>
      <c r="E3141" s="5" t="str">
        <f t="shared" si="60"/>
        <v>https://www.screener.in/company//consolidated/</v>
      </c>
      <c r="F3141" s="4">
        <v>443059</v>
      </c>
      <c r="G3141" s="4">
        <v>3832241897</v>
      </c>
      <c r="H3141" s="6" t="e">
        <f t="shared" ca="1" si="61"/>
        <v>#VALUE!</v>
      </c>
      <c r="I3141" s="7" t="str">
        <f ca="1">IFERROR(__xludf.DUMMYFUNCTION("IMPORTXML(E3141,""/html/body/main/div[3]/div[3]/div[2]/ul/li[5]/span[2]/span"")"),"Loading...")</f>
        <v>Loading...</v>
      </c>
      <c r="J3141" s="7" t="str">
        <f ca="1">IFERROR(__xludf.DUMMYFUNCTION("GOOGLEFINANCE(""NSE:""&amp;D3141,""marketcap"")"),"#N/A")</f>
        <v>#N/A</v>
      </c>
      <c r="K3141" s="7">
        <v>992.8</v>
      </c>
      <c r="L3141" s="8" t="str">
        <f ca="1">IFERROR(__xludf.DUMMYFUNCTION("GOOGLEFINANCE(""NSE:""&amp;D3141,""price"")"),"#N/A")</f>
        <v>#N/A</v>
      </c>
      <c r="M3141" s="9" t="e">
        <f t="shared" ca="1" si="62"/>
        <v>#VALUE!</v>
      </c>
      <c r="N3141" s="10" t="e">
        <f t="shared" ca="1" si="63"/>
        <v>#VALUE!</v>
      </c>
      <c r="O3141" s="7" t="str">
        <f ca="1">IFERROR(__xludf.DUMMYFUNCTION("GOOGLEFINANCE(""NSE:""&amp;D3141,""pe"")"),"#N/A")</f>
        <v>#N/A</v>
      </c>
      <c r="P3141" s="7" t="str">
        <f ca="1">IFERROR(__xludf.DUMMYFUNCTION("GOOGLEFINANCE(""NSE:""&amp;D3141,""EPS"")"),"#N/A")</f>
        <v>#N/A</v>
      </c>
      <c r="Q3141" s="7">
        <v>13.5</v>
      </c>
      <c r="R3141" s="7" t="str">
        <f ca="1">IFERROR(__xludf.DUMMYFUNCTION("IMPORTXML(E3141,""/html/body/main/div[3]/div[3]/div[2]/ul/li[7]/span[2]/span"")"),"Loading...")</f>
        <v>Loading...</v>
      </c>
      <c r="S3141" s="7" t="str">
        <f ca="1">IFERROR(__xludf.DUMMYFUNCTION("IMPORTXML(E3141,""/html/body/main/div[3]/div[3]/div[2]/ul/li[8]/span[2]/span"")"),"Loading...")</f>
        <v>Loading...</v>
      </c>
      <c r="T3141" s="4">
        <v>34.6</v>
      </c>
      <c r="U3141" s="4">
        <v>22.7</v>
      </c>
      <c r="V3141" s="4">
        <v>2.6</v>
      </c>
      <c r="W3141" s="4">
        <v>5.7</v>
      </c>
      <c r="X3141" s="4">
        <v>519.92999999999995</v>
      </c>
      <c r="Y3141" s="7" t="e">
        <f t="shared" ca="1" si="64"/>
        <v>#VALUE!</v>
      </c>
    </row>
    <row r="3142" spans="1:25" ht="15" x14ac:dyDescent="0.25">
      <c r="A3142" s="4">
        <v>3125</v>
      </c>
      <c r="C3142" s="12" t="s">
        <v>5468</v>
      </c>
      <c r="D3142" s="12" t="s">
        <v>5469</v>
      </c>
      <c r="E3142" s="5" t="str">
        <f t="shared" si="60"/>
        <v>https://www.screener.in/company/WILLAMAGOR/consolidated/</v>
      </c>
      <c r="F3142" s="4">
        <v>443059</v>
      </c>
      <c r="G3142" s="4">
        <v>3832241897</v>
      </c>
      <c r="H3142" s="6">
        <f t="shared" ca="1" si="61"/>
        <v>12481.611858529001</v>
      </c>
      <c r="I3142" s="7" t="str">
        <f ca="1">IFERROR(__xludf.DUMMYFUNCTION("IMPORTXML(E3142,""/html/body/main/div[3]/div[3]/div[2]/ul/li[5]/span[2]/span"")"),"Loading...")</f>
        <v>Loading...</v>
      </c>
      <c r="J3142" s="7">
        <f ca="1">IFERROR(__xludf.DUMMYFUNCTION("GOOGLEFINANCE(""NSE:""&amp;D3142,""marketcap"")"),357725200)</f>
        <v>357725200</v>
      </c>
      <c r="K3142" s="7">
        <v>992.8</v>
      </c>
      <c r="L3142" s="8">
        <f ca="1">IFERROR(__xludf.DUMMYFUNCTION("GOOGLEFINANCE(""NSE:""&amp;D3142,""price"")"),32.57)</f>
        <v>32.57</v>
      </c>
      <c r="M3142" s="9">
        <f t="shared" ca="1" si="62"/>
        <v>-960.2299999999999</v>
      </c>
      <c r="N3142" s="10">
        <f t="shared" ca="1" si="63"/>
        <v>-96.71937953263496</v>
      </c>
      <c r="O3142" s="7">
        <f ca="1">IFERROR(__xludf.DUMMYFUNCTION("GOOGLEFINANCE(""NSE:""&amp;D3142,""pe"")"),0.18)</f>
        <v>0.18</v>
      </c>
      <c r="P3142" s="7">
        <f ca="1">IFERROR(__xludf.DUMMYFUNCTION("GOOGLEFINANCE(""NSE:""&amp;D3142,""EPS"")"),184.83)</f>
        <v>184.83</v>
      </c>
      <c r="Q3142" s="7">
        <v>13.5</v>
      </c>
      <c r="R3142" s="7" t="str">
        <f ca="1">IFERROR(__xludf.DUMMYFUNCTION("IMPORTXML(E3142,""/html/body/main/div[3]/div[3]/div[2]/ul/li[7]/span[2]/span"")"),"Loading...")</f>
        <v>Loading...</v>
      </c>
      <c r="S3142" s="7" t="str">
        <f ca="1">IFERROR(__xludf.DUMMYFUNCTION("IMPORTXML(E3142,""/html/body/main/div[3]/div[3]/div[2]/ul/li[8]/span[2]/span"")"),"Loading...")</f>
        <v>Loading...</v>
      </c>
      <c r="T3142" s="4">
        <v>34.6</v>
      </c>
      <c r="U3142" s="4">
        <v>22.7</v>
      </c>
      <c r="V3142" s="4">
        <v>2.6</v>
      </c>
      <c r="W3142" s="4">
        <v>5.7</v>
      </c>
      <c r="X3142" s="4">
        <v>519.92999999999995</v>
      </c>
      <c r="Y3142" s="7">
        <f t="shared" ca="1" si="64"/>
        <v>-487.35999999999996</v>
      </c>
    </row>
    <row r="3143" spans="1:25" ht="15" x14ac:dyDescent="0.25">
      <c r="A3143" s="4">
        <v>3126</v>
      </c>
      <c r="C3143" s="41" t="s">
        <v>5470</v>
      </c>
      <c r="D3143" s="42"/>
      <c r="E3143" s="5" t="str">
        <f t="shared" si="60"/>
        <v>https://www.screener.in/company//consolidated/</v>
      </c>
      <c r="F3143" s="4">
        <v>443059</v>
      </c>
      <c r="G3143" s="4">
        <v>3832241897</v>
      </c>
      <c r="H3143" s="6" t="e">
        <f t="shared" ca="1" si="61"/>
        <v>#VALUE!</v>
      </c>
      <c r="I3143" s="7" t="str">
        <f ca="1">IFERROR(__xludf.DUMMYFUNCTION("IMPORTXML(E3143,""/html/body/main/div[3]/div[3]/div[2]/ul/li[5]/span[2]/span"")"),"Loading...")</f>
        <v>Loading...</v>
      </c>
      <c r="J3143" s="7" t="str">
        <f ca="1">IFERROR(__xludf.DUMMYFUNCTION("GOOGLEFINANCE(""NSE:""&amp;D3143,""marketcap"")"),"#N/A")</f>
        <v>#N/A</v>
      </c>
      <c r="K3143" s="7">
        <v>992.8</v>
      </c>
      <c r="L3143" s="8" t="str">
        <f ca="1">IFERROR(__xludf.DUMMYFUNCTION("GOOGLEFINANCE(""NSE:""&amp;D3143,""price"")"),"#N/A")</f>
        <v>#N/A</v>
      </c>
      <c r="M3143" s="9" t="e">
        <f t="shared" ca="1" si="62"/>
        <v>#VALUE!</v>
      </c>
      <c r="N3143" s="10" t="e">
        <f t="shared" ca="1" si="63"/>
        <v>#VALUE!</v>
      </c>
      <c r="O3143" s="7" t="str">
        <f ca="1">IFERROR(__xludf.DUMMYFUNCTION("GOOGLEFINANCE(""NSE:""&amp;D3143,""pe"")"),"#N/A")</f>
        <v>#N/A</v>
      </c>
      <c r="P3143" s="7" t="str">
        <f ca="1">IFERROR(__xludf.DUMMYFUNCTION("GOOGLEFINANCE(""NSE:""&amp;D3143,""EPS"")"),"#N/A")</f>
        <v>#N/A</v>
      </c>
      <c r="Q3143" s="7">
        <v>13.5</v>
      </c>
      <c r="R3143" s="7" t="str">
        <f ca="1">IFERROR(__xludf.DUMMYFUNCTION("IMPORTXML(E3143,""/html/body/main/div[3]/div[3]/div[2]/ul/li[7]/span[2]/span"")"),"Loading...")</f>
        <v>Loading...</v>
      </c>
      <c r="S3143" s="7" t="str">
        <f ca="1">IFERROR(__xludf.DUMMYFUNCTION("IMPORTXML(E3143,""/html/body/main/div[3]/div[3]/div[2]/ul/li[8]/span[2]/span"")"),"Loading...")</f>
        <v>Loading...</v>
      </c>
      <c r="T3143" s="4">
        <v>34.6</v>
      </c>
      <c r="U3143" s="4">
        <v>22.7</v>
      </c>
      <c r="V3143" s="4">
        <v>2.6</v>
      </c>
      <c r="W3143" s="4">
        <v>5.7</v>
      </c>
      <c r="X3143" s="4">
        <v>519.92999999999995</v>
      </c>
      <c r="Y3143" s="7" t="e">
        <f t="shared" ca="1" si="64"/>
        <v>#VALUE!</v>
      </c>
    </row>
    <row r="3144" spans="1:25" ht="15" x14ac:dyDescent="0.25">
      <c r="A3144" s="4">
        <v>3127</v>
      </c>
      <c r="C3144" s="41" t="s">
        <v>5471</v>
      </c>
      <c r="D3144" s="42"/>
      <c r="E3144" s="5" t="str">
        <f t="shared" si="60"/>
        <v>https://www.screener.in/company//consolidated/</v>
      </c>
      <c r="F3144" s="4">
        <v>443059</v>
      </c>
      <c r="G3144" s="4">
        <v>3832241897</v>
      </c>
      <c r="H3144" s="6" t="e">
        <f t="shared" ca="1" si="61"/>
        <v>#VALUE!</v>
      </c>
      <c r="I3144" s="7" t="str">
        <f ca="1">IFERROR(__xludf.DUMMYFUNCTION("IMPORTXML(E3144,""/html/body/main/div[3]/div[3]/div[2]/ul/li[5]/span[2]/span"")"),"Loading...")</f>
        <v>Loading...</v>
      </c>
      <c r="J3144" s="7" t="str">
        <f ca="1">IFERROR(__xludf.DUMMYFUNCTION("GOOGLEFINANCE(""NSE:""&amp;D3144,""marketcap"")"),"#N/A")</f>
        <v>#N/A</v>
      </c>
      <c r="K3144" s="7">
        <v>992.8</v>
      </c>
      <c r="L3144" s="8" t="str">
        <f ca="1">IFERROR(__xludf.DUMMYFUNCTION("GOOGLEFINANCE(""NSE:""&amp;D3144,""price"")"),"#N/A")</f>
        <v>#N/A</v>
      </c>
      <c r="M3144" s="9" t="e">
        <f t="shared" ca="1" si="62"/>
        <v>#VALUE!</v>
      </c>
      <c r="N3144" s="10" t="e">
        <f t="shared" ca="1" si="63"/>
        <v>#VALUE!</v>
      </c>
      <c r="O3144" s="7" t="str">
        <f ca="1">IFERROR(__xludf.DUMMYFUNCTION("GOOGLEFINANCE(""NSE:""&amp;D3144,""pe"")"),"#N/A")</f>
        <v>#N/A</v>
      </c>
      <c r="P3144" s="7" t="str">
        <f ca="1">IFERROR(__xludf.DUMMYFUNCTION("GOOGLEFINANCE(""NSE:""&amp;D3144,""EPS"")"),"#N/A")</f>
        <v>#N/A</v>
      </c>
      <c r="Q3144" s="7">
        <v>13.5</v>
      </c>
      <c r="R3144" s="7" t="str">
        <f ca="1">IFERROR(__xludf.DUMMYFUNCTION("IMPORTXML(E3144,""/html/body/main/div[3]/div[3]/div[2]/ul/li[7]/span[2]/span"")"),"Loading...")</f>
        <v>Loading...</v>
      </c>
      <c r="S3144" s="7" t="str">
        <f ca="1">IFERROR(__xludf.DUMMYFUNCTION("IMPORTXML(E3144,""/html/body/main/div[3]/div[3]/div[2]/ul/li[8]/span[2]/span"")"),"Loading...")</f>
        <v>Loading...</v>
      </c>
      <c r="T3144" s="4">
        <v>34.6</v>
      </c>
      <c r="U3144" s="4">
        <v>22.7</v>
      </c>
      <c r="V3144" s="4">
        <v>2.6</v>
      </c>
      <c r="W3144" s="4">
        <v>5.7</v>
      </c>
      <c r="X3144" s="4">
        <v>519.92999999999995</v>
      </c>
      <c r="Y3144" s="7" t="e">
        <f t="shared" ca="1" si="64"/>
        <v>#VALUE!</v>
      </c>
    </row>
    <row r="3145" spans="1:25" ht="15" x14ac:dyDescent="0.25">
      <c r="A3145" s="4">
        <v>3128</v>
      </c>
      <c r="C3145" s="41" t="s">
        <v>5472</v>
      </c>
      <c r="D3145" s="42"/>
      <c r="E3145" s="5" t="str">
        <f t="shared" si="60"/>
        <v>https://www.screener.in/company//consolidated/</v>
      </c>
      <c r="F3145" s="4">
        <v>443059</v>
      </c>
      <c r="G3145" s="4">
        <v>3832241897</v>
      </c>
      <c r="H3145" s="6" t="e">
        <f t="shared" ca="1" si="61"/>
        <v>#VALUE!</v>
      </c>
      <c r="I3145" s="7" t="str">
        <f ca="1">IFERROR(__xludf.DUMMYFUNCTION("IMPORTXML(E3145,""/html/body/main/div[3]/div[3]/div[2]/ul/li[5]/span[2]/span"")"),"Loading...")</f>
        <v>Loading...</v>
      </c>
      <c r="J3145" s="7" t="str">
        <f ca="1">IFERROR(__xludf.DUMMYFUNCTION("GOOGLEFINANCE(""NSE:""&amp;D3145,""marketcap"")"),"#N/A")</f>
        <v>#N/A</v>
      </c>
      <c r="K3145" s="7">
        <v>992.8</v>
      </c>
      <c r="L3145" s="8" t="str">
        <f ca="1">IFERROR(__xludf.DUMMYFUNCTION("GOOGLEFINANCE(""NSE:""&amp;D3145,""price"")"),"#N/A")</f>
        <v>#N/A</v>
      </c>
      <c r="M3145" s="9" t="e">
        <f t="shared" ca="1" si="62"/>
        <v>#VALUE!</v>
      </c>
      <c r="N3145" s="10" t="e">
        <f t="shared" ca="1" si="63"/>
        <v>#VALUE!</v>
      </c>
      <c r="O3145" s="7" t="str">
        <f ca="1">IFERROR(__xludf.DUMMYFUNCTION("GOOGLEFINANCE(""NSE:""&amp;D3145,""pe"")"),"#N/A")</f>
        <v>#N/A</v>
      </c>
      <c r="P3145" s="7" t="str">
        <f ca="1">IFERROR(__xludf.DUMMYFUNCTION("GOOGLEFINANCE(""NSE:""&amp;D3145,""EPS"")"),"#N/A")</f>
        <v>#N/A</v>
      </c>
      <c r="Q3145" s="7">
        <v>13.5</v>
      </c>
      <c r="R3145" s="7" t="str">
        <f ca="1">IFERROR(__xludf.DUMMYFUNCTION("IMPORTXML(E3145,""/html/body/main/div[3]/div[3]/div[2]/ul/li[7]/span[2]/span"")"),"Loading...")</f>
        <v>Loading...</v>
      </c>
      <c r="S3145" s="7" t="str">
        <f ca="1">IFERROR(__xludf.DUMMYFUNCTION("IMPORTXML(E3145,""/html/body/main/div[3]/div[3]/div[2]/ul/li[8]/span[2]/span"")"),"Loading...")</f>
        <v>Loading...</v>
      </c>
      <c r="T3145" s="4">
        <v>34.6</v>
      </c>
      <c r="U3145" s="4">
        <v>22.7</v>
      </c>
      <c r="V3145" s="4">
        <v>2.6</v>
      </c>
      <c r="W3145" s="4">
        <v>5.7</v>
      </c>
      <c r="X3145" s="4">
        <v>519.92999999999995</v>
      </c>
      <c r="Y3145" s="7" t="e">
        <f t="shared" ca="1" si="64"/>
        <v>#VALUE!</v>
      </c>
    </row>
    <row r="3146" spans="1:25" ht="15" x14ac:dyDescent="0.25">
      <c r="A3146" s="4">
        <v>3129</v>
      </c>
      <c r="C3146" s="41" t="s">
        <v>5473</v>
      </c>
      <c r="D3146" s="42"/>
      <c r="E3146" s="5" t="str">
        <f t="shared" si="60"/>
        <v>https://www.screener.in/company//consolidated/</v>
      </c>
      <c r="F3146" s="4">
        <v>443059</v>
      </c>
      <c r="G3146" s="4">
        <v>3832241897</v>
      </c>
      <c r="H3146" s="6" t="e">
        <f t="shared" ca="1" si="61"/>
        <v>#VALUE!</v>
      </c>
      <c r="I3146" s="7" t="str">
        <f ca="1">IFERROR(__xludf.DUMMYFUNCTION("IMPORTXML(E3146,""/html/body/main/div[3]/div[3]/div[2]/ul/li[5]/span[2]/span"")"),"Loading...")</f>
        <v>Loading...</v>
      </c>
      <c r="J3146" s="7" t="str">
        <f ca="1">IFERROR(__xludf.DUMMYFUNCTION("GOOGLEFINANCE(""NSE:""&amp;D3146,""marketcap"")"),"#N/A")</f>
        <v>#N/A</v>
      </c>
      <c r="K3146" s="7">
        <v>992.8</v>
      </c>
      <c r="L3146" s="8" t="str">
        <f ca="1">IFERROR(__xludf.DUMMYFUNCTION("GOOGLEFINANCE(""NSE:""&amp;D3146,""price"")"),"#N/A")</f>
        <v>#N/A</v>
      </c>
      <c r="M3146" s="9" t="e">
        <f t="shared" ca="1" si="62"/>
        <v>#VALUE!</v>
      </c>
      <c r="N3146" s="10" t="e">
        <f t="shared" ca="1" si="63"/>
        <v>#VALUE!</v>
      </c>
      <c r="O3146" s="7" t="str">
        <f ca="1">IFERROR(__xludf.DUMMYFUNCTION("GOOGLEFINANCE(""NSE:""&amp;D3146,""pe"")"),"#N/A")</f>
        <v>#N/A</v>
      </c>
      <c r="P3146" s="7" t="str">
        <f ca="1">IFERROR(__xludf.DUMMYFUNCTION("GOOGLEFINANCE(""NSE:""&amp;D3146,""EPS"")"),"#N/A")</f>
        <v>#N/A</v>
      </c>
      <c r="Q3146" s="7">
        <v>13.5</v>
      </c>
      <c r="R3146" s="7" t="str">
        <f ca="1">IFERROR(__xludf.DUMMYFUNCTION("IMPORTXML(E3146,""/html/body/main/div[3]/div[3]/div[2]/ul/li[7]/span[2]/span"")"),"Loading...")</f>
        <v>Loading...</v>
      </c>
      <c r="S3146" s="7" t="str">
        <f ca="1">IFERROR(__xludf.DUMMYFUNCTION("IMPORTXML(E3146,""/html/body/main/div[3]/div[3]/div[2]/ul/li[8]/span[2]/span"")"),"Loading...")</f>
        <v>Loading...</v>
      </c>
      <c r="T3146" s="4">
        <v>34.6</v>
      </c>
      <c r="U3146" s="4">
        <v>22.7</v>
      </c>
      <c r="V3146" s="4">
        <v>2.6</v>
      </c>
      <c r="W3146" s="4">
        <v>5.7</v>
      </c>
      <c r="X3146" s="4">
        <v>519.92999999999995</v>
      </c>
      <c r="Y3146" s="7" t="e">
        <f t="shared" ca="1" si="64"/>
        <v>#VALUE!</v>
      </c>
    </row>
    <row r="3147" spans="1:25" ht="15" x14ac:dyDescent="0.25">
      <c r="A3147" s="4">
        <v>3130</v>
      </c>
      <c r="C3147" s="41" t="s">
        <v>5474</v>
      </c>
      <c r="D3147" s="42"/>
      <c r="E3147" s="5" t="str">
        <f t="shared" si="60"/>
        <v>https://www.screener.in/company//consolidated/</v>
      </c>
      <c r="F3147" s="4">
        <v>443059</v>
      </c>
      <c r="G3147" s="4">
        <v>3832241897</v>
      </c>
      <c r="H3147" s="6" t="e">
        <f t="shared" ca="1" si="61"/>
        <v>#VALUE!</v>
      </c>
      <c r="I3147" s="7" t="str">
        <f ca="1">IFERROR(__xludf.DUMMYFUNCTION("IMPORTXML(E3147,""/html/body/main/div[3]/div[3]/div[2]/ul/li[5]/span[2]/span"")"),"Loading...")</f>
        <v>Loading...</v>
      </c>
      <c r="J3147" s="7" t="str">
        <f ca="1">IFERROR(__xludf.DUMMYFUNCTION("GOOGLEFINANCE(""NSE:""&amp;D3147,""marketcap"")"),"#N/A")</f>
        <v>#N/A</v>
      </c>
      <c r="K3147" s="7">
        <v>992.8</v>
      </c>
      <c r="L3147" s="8" t="str">
        <f ca="1">IFERROR(__xludf.DUMMYFUNCTION("GOOGLEFINANCE(""NSE:""&amp;D3147,""price"")"),"#N/A")</f>
        <v>#N/A</v>
      </c>
      <c r="M3147" s="9" t="e">
        <f t="shared" ca="1" si="62"/>
        <v>#VALUE!</v>
      </c>
      <c r="N3147" s="10" t="e">
        <f t="shared" ca="1" si="63"/>
        <v>#VALUE!</v>
      </c>
      <c r="O3147" s="7" t="str">
        <f ca="1">IFERROR(__xludf.DUMMYFUNCTION("GOOGLEFINANCE(""NSE:""&amp;D3147,""pe"")"),"#N/A")</f>
        <v>#N/A</v>
      </c>
      <c r="P3147" s="7" t="str">
        <f ca="1">IFERROR(__xludf.DUMMYFUNCTION("GOOGLEFINANCE(""NSE:""&amp;D3147,""EPS"")"),"#N/A")</f>
        <v>#N/A</v>
      </c>
      <c r="Q3147" s="7">
        <v>13.5</v>
      </c>
      <c r="R3147" s="7" t="str">
        <f ca="1">IFERROR(__xludf.DUMMYFUNCTION("IMPORTXML(E3147,""/html/body/main/div[3]/div[3]/div[2]/ul/li[7]/span[2]/span"")"),"Loading...")</f>
        <v>Loading...</v>
      </c>
      <c r="S3147" s="7" t="str">
        <f ca="1">IFERROR(__xludf.DUMMYFUNCTION("IMPORTXML(E3147,""/html/body/main/div[3]/div[3]/div[2]/ul/li[8]/span[2]/span"")"),"Loading...")</f>
        <v>Loading...</v>
      </c>
      <c r="T3147" s="4">
        <v>34.6</v>
      </c>
      <c r="U3147" s="4">
        <v>22.7</v>
      </c>
      <c r="V3147" s="4">
        <v>2.6</v>
      </c>
      <c r="W3147" s="4">
        <v>5.7</v>
      </c>
      <c r="X3147" s="4">
        <v>519.92999999999995</v>
      </c>
      <c r="Y3147" s="7" t="e">
        <f t="shared" ca="1" si="64"/>
        <v>#VALUE!</v>
      </c>
    </row>
    <row r="3148" spans="1:25" ht="15" x14ac:dyDescent="0.25">
      <c r="A3148" s="4">
        <v>3131</v>
      </c>
      <c r="C3148" s="41" t="s">
        <v>5475</v>
      </c>
      <c r="D3148" s="42"/>
      <c r="E3148" s="5" t="str">
        <f t="shared" si="60"/>
        <v>https://www.screener.in/company//consolidated/</v>
      </c>
      <c r="F3148" s="4">
        <v>443059</v>
      </c>
      <c r="G3148" s="4">
        <v>3832241897</v>
      </c>
      <c r="H3148" s="6" t="e">
        <f t="shared" ca="1" si="61"/>
        <v>#VALUE!</v>
      </c>
      <c r="I3148" s="7" t="str">
        <f ca="1">IFERROR(__xludf.DUMMYFUNCTION("IMPORTXML(E3148,""/html/body/main/div[3]/div[3]/div[2]/ul/li[5]/span[2]/span"")"),"Loading...")</f>
        <v>Loading...</v>
      </c>
      <c r="J3148" s="7" t="str">
        <f ca="1">IFERROR(__xludf.DUMMYFUNCTION("GOOGLEFINANCE(""NSE:""&amp;D3148,""marketcap"")"),"#N/A")</f>
        <v>#N/A</v>
      </c>
      <c r="K3148" s="7">
        <v>992.8</v>
      </c>
      <c r="L3148" s="8" t="str">
        <f ca="1">IFERROR(__xludf.DUMMYFUNCTION("GOOGLEFINANCE(""NSE:""&amp;D3148,""price"")"),"#N/A")</f>
        <v>#N/A</v>
      </c>
      <c r="M3148" s="9" t="e">
        <f t="shared" ca="1" si="62"/>
        <v>#VALUE!</v>
      </c>
      <c r="N3148" s="10" t="e">
        <f t="shared" ca="1" si="63"/>
        <v>#VALUE!</v>
      </c>
      <c r="O3148" s="7" t="str">
        <f ca="1">IFERROR(__xludf.DUMMYFUNCTION("GOOGLEFINANCE(""NSE:""&amp;D3148,""pe"")"),"#N/A")</f>
        <v>#N/A</v>
      </c>
      <c r="P3148" s="7" t="str">
        <f ca="1">IFERROR(__xludf.DUMMYFUNCTION("GOOGLEFINANCE(""NSE:""&amp;D3148,""EPS"")"),"#N/A")</f>
        <v>#N/A</v>
      </c>
      <c r="Q3148" s="7">
        <v>13.5</v>
      </c>
      <c r="R3148" s="7" t="str">
        <f ca="1">IFERROR(__xludf.DUMMYFUNCTION("IMPORTXML(E3148,""/html/body/main/div[3]/div[3]/div[2]/ul/li[7]/span[2]/span"")"),"Loading...")</f>
        <v>Loading...</v>
      </c>
      <c r="S3148" s="7" t="str">
        <f ca="1">IFERROR(__xludf.DUMMYFUNCTION("IMPORTXML(E3148,""/html/body/main/div[3]/div[3]/div[2]/ul/li[8]/span[2]/span"")"),"Loading...")</f>
        <v>Loading...</v>
      </c>
      <c r="T3148" s="4">
        <v>34.6</v>
      </c>
      <c r="U3148" s="4">
        <v>22.7</v>
      </c>
      <c r="V3148" s="4">
        <v>2.6</v>
      </c>
      <c r="W3148" s="4">
        <v>5.7</v>
      </c>
      <c r="X3148" s="4">
        <v>519.92999999999995</v>
      </c>
      <c r="Y3148" s="7" t="e">
        <f t="shared" ca="1" si="64"/>
        <v>#VALUE!</v>
      </c>
    </row>
    <row r="3149" spans="1:25" ht="15" x14ac:dyDescent="0.25">
      <c r="A3149" s="4">
        <v>3133</v>
      </c>
      <c r="C3149" s="41" t="s">
        <v>5476</v>
      </c>
      <c r="D3149" s="42"/>
      <c r="E3149" s="5" t="str">
        <f t="shared" si="60"/>
        <v>https://www.screener.in/company//consolidated/</v>
      </c>
      <c r="F3149" s="4">
        <v>443059</v>
      </c>
      <c r="G3149" s="4">
        <v>3832241897</v>
      </c>
      <c r="H3149" s="6" t="e">
        <f t="shared" ca="1" si="61"/>
        <v>#VALUE!</v>
      </c>
      <c r="I3149" s="7" t="str">
        <f ca="1">IFERROR(__xludf.DUMMYFUNCTION("IMPORTXML(E3149,""/html/body/main/div[3]/div[3]/div[2]/ul/li[5]/span[2]/span"")"),"Loading...")</f>
        <v>Loading...</v>
      </c>
      <c r="J3149" s="7" t="str">
        <f ca="1">IFERROR(__xludf.DUMMYFUNCTION("GOOGLEFINANCE(""NSE:""&amp;D3149,""marketcap"")"),"#N/A")</f>
        <v>#N/A</v>
      </c>
      <c r="K3149" s="7">
        <v>992.8</v>
      </c>
      <c r="L3149" s="8" t="str">
        <f ca="1">IFERROR(__xludf.DUMMYFUNCTION("GOOGLEFINANCE(""NSE:""&amp;D3149,""price"")"),"#N/A")</f>
        <v>#N/A</v>
      </c>
      <c r="M3149" s="9" t="e">
        <f t="shared" ca="1" si="62"/>
        <v>#VALUE!</v>
      </c>
      <c r="N3149" s="10" t="e">
        <f t="shared" ca="1" si="63"/>
        <v>#VALUE!</v>
      </c>
      <c r="O3149" s="7" t="str">
        <f ca="1">IFERROR(__xludf.DUMMYFUNCTION("GOOGLEFINANCE(""NSE:""&amp;D3149,""pe"")"),"#N/A")</f>
        <v>#N/A</v>
      </c>
      <c r="P3149" s="7" t="str">
        <f ca="1">IFERROR(__xludf.DUMMYFUNCTION("GOOGLEFINANCE(""NSE:""&amp;D3149,""EPS"")"),"#N/A")</f>
        <v>#N/A</v>
      </c>
      <c r="Q3149" s="7">
        <v>13.5</v>
      </c>
      <c r="R3149" s="7" t="str">
        <f ca="1">IFERROR(__xludf.DUMMYFUNCTION("IMPORTXML(E3149,""/html/body/main/div[3]/div[3]/div[2]/ul/li[7]/span[2]/span"")"),"Loading...")</f>
        <v>Loading...</v>
      </c>
      <c r="S3149" s="7" t="str">
        <f ca="1">IFERROR(__xludf.DUMMYFUNCTION("IMPORTXML(E3149,""/html/body/main/div[3]/div[3]/div[2]/ul/li[8]/span[2]/span"")"),"Loading...")</f>
        <v>Loading...</v>
      </c>
      <c r="T3149" s="4">
        <v>34.6</v>
      </c>
      <c r="U3149" s="4">
        <v>22.7</v>
      </c>
      <c r="V3149" s="4">
        <v>2.6</v>
      </c>
      <c r="W3149" s="4">
        <v>5.7</v>
      </c>
      <c r="X3149" s="4">
        <v>519.92999999999995</v>
      </c>
      <c r="Y3149" s="7" t="e">
        <f t="shared" ca="1" si="64"/>
        <v>#VALUE!</v>
      </c>
    </row>
    <row r="3150" spans="1:25" ht="15" x14ac:dyDescent="0.25">
      <c r="A3150" s="4">
        <v>3134</v>
      </c>
      <c r="C3150" s="41" t="s">
        <v>5477</v>
      </c>
      <c r="D3150" s="42"/>
      <c r="E3150" s="5" t="str">
        <f t="shared" si="60"/>
        <v>https://www.screener.in/company//consolidated/</v>
      </c>
      <c r="F3150" s="4">
        <v>443059</v>
      </c>
      <c r="G3150" s="4">
        <v>3832241897</v>
      </c>
      <c r="H3150" s="6" t="e">
        <f t="shared" ca="1" si="61"/>
        <v>#VALUE!</v>
      </c>
      <c r="I3150" s="7" t="str">
        <f ca="1">IFERROR(__xludf.DUMMYFUNCTION("IMPORTXML(E3150,""/html/body/main/div[3]/div[3]/div[2]/ul/li[5]/span[2]/span"")"),"Loading...")</f>
        <v>Loading...</v>
      </c>
      <c r="J3150" s="7" t="str">
        <f ca="1">IFERROR(__xludf.DUMMYFUNCTION("GOOGLEFINANCE(""NSE:""&amp;D3150,""marketcap"")"),"#N/A")</f>
        <v>#N/A</v>
      </c>
      <c r="K3150" s="7">
        <v>992.8</v>
      </c>
      <c r="L3150" s="8" t="str">
        <f ca="1">IFERROR(__xludf.DUMMYFUNCTION("GOOGLEFINANCE(""NSE:""&amp;D3150,""price"")"),"#N/A")</f>
        <v>#N/A</v>
      </c>
      <c r="M3150" s="9" t="e">
        <f t="shared" ca="1" si="62"/>
        <v>#VALUE!</v>
      </c>
      <c r="N3150" s="10" t="e">
        <f t="shared" ca="1" si="63"/>
        <v>#VALUE!</v>
      </c>
      <c r="O3150" s="7" t="str">
        <f ca="1">IFERROR(__xludf.DUMMYFUNCTION("GOOGLEFINANCE(""NSE:""&amp;D3150,""pe"")"),"#N/A")</f>
        <v>#N/A</v>
      </c>
      <c r="P3150" s="7" t="str">
        <f ca="1">IFERROR(__xludf.DUMMYFUNCTION("GOOGLEFINANCE(""NSE:""&amp;D3150,""EPS"")"),"#N/A")</f>
        <v>#N/A</v>
      </c>
      <c r="Q3150" s="7">
        <v>13.5</v>
      </c>
      <c r="R3150" s="7" t="str">
        <f ca="1">IFERROR(__xludf.DUMMYFUNCTION("IMPORTXML(E3150,""/html/body/main/div[3]/div[3]/div[2]/ul/li[7]/span[2]/span"")"),"Loading...")</f>
        <v>Loading...</v>
      </c>
      <c r="S3150" s="7" t="str">
        <f ca="1">IFERROR(__xludf.DUMMYFUNCTION("IMPORTXML(E3150,""/html/body/main/div[3]/div[3]/div[2]/ul/li[8]/span[2]/span"")"),"Loading...")</f>
        <v>Loading...</v>
      </c>
      <c r="T3150" s="4">
        <v>34.6</v>
      </c>
      <c r="U3150" s="4">
        <v>22.7</v>
      </c>
      <c r="V3150" s="4">
        <v>2.6</v>
      </c>
      <c r="W3150" s="4">
        <v>5.7</v>
      </c>
      <c r="X3150" s="4">
        <v>519.92999999999995</v>
      </c>
      <c r="Y3150" s="7" t="e">
        <f t="shared" ca="1" si="64"/>
        <v>#VALUE!</v>
      </c>
    </row>
    <row r="3151" spans="1:25" ht="15" x14ac:dyDescent="0.25">
      <c r="A3151" s="4">
        <v>3135</v>
      </c>
      <c r="C3151" s="41" t="s">
        <v>5478</v>
      </c>
      <c r="D3151" s="42"/>
      <c r="E3151" s="5" t="str">
        <f t="shared" si="60"/>
        <v>https://www.screener.in/company//consolidated/</v>
      </c>
      <c r="F3151" s="4">
        <v>443059</v>
      </c>
      <c r="G3151" s="4">
        <v>3832241897</v>
      </c>
      <c r="H3151" s="6" t="e">
        <f t="shared" ca="1" si="61"/>
        <v>#VALUE!</v>
      </c>
      <c r="I3151" s="7" t="str">
        <f ca="1">IFERROR(__xludf.DUMMYFUNCTION("IMPORTXML(E3151,""/html/body/main/div[3]/div[3]/div[2]/ul/li[5]/span[2]/span"")"),"Loading...")</f>
        <v>Loading...</v>
      </c>
      <c r="J3151" s="7" t="str">
        <f ca="1">IFERROR(__xludf.DUMMYFUNCTION("GOOGLEFINANCE(""NSE:""&amp;D3151,""marketcap"")"),"#N/A")</f>
        <v>#N/A</v>
      </c>
      <c r="K3151" s="7">
        <v>992.8</v>
      </c>
      <c r="L3151" s="8" t="str">
        <f ca="1">IFERROR(__xludf.DUMMYFUNCTION("GOOGLEFINANCE(""NSE:""&amp;D3151,""price"")"),"#N/A")</f>
        <v>#N/A</v>
      </c>
      <c r="M3151" s="9" t="e">
        <f t="shared" ca="1" si="62"/>
        <v>#VALUE!</v>
      </c>
      <c r="N3151" s="10" t="e">
        <f t="shared" ca="1" si="63"/>
        <v>#VALUE!</v>
      </c>
      <c r="O3151" s="7" t="str">
        <f ca="1">IFERROR(__xludf.DUMMYFUNCTION("GOOGLEFINANCE(""NSE:""&amp;D3151,""pe"")"),"#N/A")</f>
        <v>#N/A</v>
      </c>
      <c r="P3151" s="7" t="str">
        <f ca="1">IFERROR(__xludf.DUMMYFUNCTION("GOOGLEFINANCE(""NSE:""&amp;D3151,""EPS"")"),"#N/A")</f>
        <v>#N/A</v>
      </c>
      <c r="Q3151" s="7">
        <v>13.5</v>
      </c>
      <c r="R3151" s="7" t="str">
        <f ca="1">IFERROR(__xludf.DUMMYFUNCTION("IMPORTXML(E3151,""/html/body/main/div[3]/div[3]/div[2]/ul/li[7]/span[2]/span"")"),"Loading...")</f>
        <v>Loading...</v>
      </c>
      <c r="S3151" s="7" t="str">
        <f ca="1">IFERROR(__xludf.DUMMYFUNCTION("IMPORTXML(E3151,""/html/body/main/div[3]/div[3]/div[2]/ul/li[8]/span[2]/span"")"),"Loading...")</f>
        <v>Loading...</v>
      </c>
      <c r="T3151" s="4">
        <v>34.6</v>
      </c>
      <c r="U3151" s="4">
        <v>22.7</v>
      </c>
      <c r="V3151" s="4">
        <v>2.6</v>
      </c>
      <c r="W3151" s="4">
        <v>5.7</v>
      </c>
      <c r="X3151" s="4">
        <v>519.92999999999995</v>
      </c>
      <c r="Y3151" s="7" t="e">
        <f t="shared" ca="1" si="64"/>
        <v>#VALUE!</v>
      </c>
    </row>
    <row r="3152" spans="1:25" ht="15" x14ac:dyDescent="0.25">
      <c r="A3152" s="4">
        <v>3136</v>
      </c>
      <c r="C3152" s="41" t="s">
        <v>5479</v>
      </c>
      <c r="D3152" s="42"/>
      <c r="E3152" s="5" t="str">
        <f t="shared" si="60"/>
        <v>https://www.screener.in/company//consolidated/</v>
      </c>
      <c r="F3152" s="4">
        <v>443059</v>
      </c>
      <c r="G3152" s="4">
        <v>3832241897</v>
      </c>
      <c r="H3152" s="6" t="e">
        <f t="shared" ca="1" si="61"/>
        <v>#VALUE!</v>
      </c>
      <c r="I3152" s="7" t="str">
        <f ca="1">IFERROR(__xludf.DUMMYFUNCTION("IMPORTXML(E3152,""/html/body/main/div[3]/div[3]/div[2]/ul/li[5]/span[2]/span"")"),"Loading...")</f>
        <v>Loading...</v>
      </c>
      <c r="J3152" s="7" t="str">
        <f ca="1">IFERROR(__xludf.DUMMYFUNCTION("GOOGLEFINANCE(""NSE:""&amp;D3152,""marketcap"")"),"#N/A")</f>
        <v>#N/A</v>
      </c>
      <c r="K3152" s="7">
        <v>992.8</v>
      </c>
      <c r="L3152" s="8" t="str">
        <f ca="1">IFERROR(__xludf.DUMMYFUNCTION("GOOGLEFINANCE(""NSE:""&amp;D3152,""price"")"),"#N/A")</f>
        <v>#N/A</v>
      </c>
      <c r="M3152" s="9" t="e">
        <f t="shared" ca="1" si="62"/>
        <v>#VALUE!</v>
      </c>
      <c r="N3152" s="10" t="e">
        <f t="shared" ca="1" si="63"/>
        <v>#VALUE!</v>
      </c>
      <c r="O3152" s="7" t="str">
        <f ca="1">IFERROR(__xludf.DUMMYFUNCTION("GOOGLEFINANCE(""NSE:""&amp;D3152,""pe"")"),"#N/A")</f>
        <v>#N/A</v>
      </c>
      <c r="P3152" s="7" t="str">
        <f ca="1">IFERROR(__xludf.DUMMYFUNCTION("GOOGLEFINANCE(""NSE:""&amp;D3152,""EPS"")"),"#N/A")</f>
        <v>#N/A</v>
      </c>
      <c r="Q3152" s="7">
        <v>13.5</v>
      </c>
      <c r="R3152" s="7" t="str">
        <f ca="1">IFERROR(__xludf.DUMMYFUNCTION("IMPORTXML(E3152,""/html/body/main/div[3]/div[3]/div[2]/ul/li[7]/span[2]/span"")"),"Loading...")</f>
        <v>Loading...</v>
      </c>
      <c r="S3152" s="7" t="str">
        <f ca="1">IFERROR(__xludf.DUMMYFUNCTION("IMPORTXML(E3152,""/html/body/main/div[3]/div[3]/div[2]/ul/li[8]/span[2]/span"")"),"Loading...")</f>
        <v>Loading...</v>
      </c>
      <c r="T3152" s="4">
        <v>34.6</v>
      </c>
      <c r="U3152" s="4">
        <v>22.7</v>
      </c>
      <c r="V3152" s="4">
        <v>2.6</v>
      </c>
      <c r="W3152" s="4">
        <v>5.7</v>
      </c>
      <c r="X3152" s="4">
        <v>519.92999999999995</v>
      </c>
      <c r="Y3152" s="7" t="e">
        <f t="shared" ca="1" si="64"/>
        <v>#VALUE!</v>
      </c>
    </row>
    <row r="3153" spans="1:25" ht="15" x14ac:dyDescent="0.25">
      <c r="A3153" s="4">
        <v>3137</v>
      </c>
      <c r="C3153" s="41" t="s">
        <v>5480</v>
      </c>
      <c r="D3153" s="42"/>
      <c r="E3153" s="5" t="str">
        <f t="shared" si="60"/>
        <v>https://www.screener.in/company//consolidated/</v>
      </c>
      <c r="F3153" s="4">
        <v>443059</v>
      </c>
      <c r="G3153" s="4">
        <v>3832241897</v>
      </c>
      <c r="H3153" s="6" t="e">
        <f t="shared" ca="1" si="61"/>
        <v>#VALUE!</v>
      </c>
      <c r="I3153" s="7" t="str">
        <f ca="1">IFERROR(__xludf.DUMMYFUNCTION("IMPORTXML(E3153,""/html/body/main/div[3]/div[3]/div[2]/ul/li[5]/span[2]/span"")"),"Loading...")</f>
        <v>Loading...</v>
      </c>
      <c r="J3153" s="7" t="str">
        <f ca="1">IFERROR(__xludf.DUMMYFUNCTION("GOOGLEFINANCE(""NSE:""&amp;D3153,""marketcap"")"),"#N/A")</f>
        <v>#N/A</v>
      </c>
      <c r="K3153" s="7">
        <v>992.8</v>
      </c>
      <c r="L3153" s="8" t="str">
        <f ca="1">IFERROR(__xludf.DUMMYFUNCTION("GOOGLEFINANCE(""NSE:""&amp;D3153,""price"")"),"#N/A")</f>
        <v>#N/A</v>
      </c>
      <c r="M3153" s="9" t="e">
        <f t="shared" ca="1" si="62"/>
        <v>#VALUE!</v>
      </c>
      <c r="N3153" s="10" t="e">
        <f t="shared" ca="1" si="63"/>
        <v>#VALUE!</v>
      </c>
      <c r="O3153" s="7" t="str">
        <f ca="1">IFERROR(__xludf.DUMMYFUNCTION("GOOGLEFINANCE(""NSE:""&amp;D3153,""pe"")"),"#N/A")</f>
        <v>#N/A</v>
      </c>
      <c r="P3153" s="7" t="str">
        <f ca="1">IFERROR(__xludf.DUMMYFUNCTION("GOOGLEFINANCE(""NSE:""&amp;D3153,""EPS"")"),"#N/A")</f>
        <v>#N/A</v>
      </c>
      <c r="Q3153" s="7">
        <v>13.5</v>
      </c>
      <c r="R3153" s="7" t="str">
        <f ca="1">IFERROR(__xludf.DUMMYFUNCTION("IMPORTXML(E3153,""/html/body/main/div[3]/div[3]/div[2]/ul/li[7]/span[2]/span"")"),"Loading...")</f>
        <v>Loading...</v>
      </c>
      <c r="S3153" s="7" t="str">
        <f ca="1">IFERROR(__xludf.DUMMYFUNCTION("IMPORTXML(E3153,""/html/body/main/div[3]/div[3]/div[2]/ul/li[8]/span[2]/span"")"),"Loading...")</f>
        <v>Loading...</v>
      </c>
      <c r="T3153" s="4">
        <v>34.6</v>
      </c>
      <c r="U3153" s="4">
        <v>22.7</v>
      </c>
      <c r="V3153" s="4">
        <v>2.6</v>
      </c>
      <c r="W3153" s="4">
        <v>5.7</v>
      </c>
      <c r="X3153" s="4">
        <v>519.92999999999995</v>
      </c>
      <c r="Y3153" s="7" t="e">
        <f t="shared" ca="1" si="64"/>
        <v>#VALUE!</v>
      </c>
    </row>
    <row r="3154" spans="1:25" ht="15" x14ac:dyDescent="0.25">
      <c r="A3154" s="4">
        <v>3138</v>
      </c>
      <c r="C3154" s="41" t="s">
        <v>5481</v>
      </c>
      <c r="D3154" s="42"/>
      <c r="E3154" s="5" t="str">
        <f t="shared" si="60"/>
        <v>https://www.screener.in/company//consolidated/</v>
      </c>
      <c r="F3154" s="4">
        <v>443059</v>
      </c>
      <c r="G3154" s="4">
        <v>3832241897</v>
      </c>
      <c r="H3154" s="6" t="e">
        <f t="shared" ca="1" si="61"/>
        <v>#VALUE!</v>
      </c>
      <c r="I3154" s="7" t="str">
        <f ca="1">IFERROR(__xludf.DUMMYFUNCTION("IMPORTXML(E3154,""/html/body/main/div[3]/div[3]/div[2]/ul/li[5]/span[2]/span"")"),"Loading...")</f>
        <v>Loading...</v>
      </c>
      <c r="J3154" s="7" t="str">
        <f ca="1">IFERROR(__xludf.DUMMYFUNCTION("GOOGLEFINANCE(""NSE:""&amp;D3154,""marketcap"")"),"#N/A")</f>
        <v>#N/A</v>
      </c>
      <c r="K3154" s="7">
        <v>992.8</v>
      </c>
      <c r="L3154" s="8" t="str">
        <f ca="1">IFERROR(__xludf.DUMMYFUNCTION("GOOGLEFINANCE(""NSE:""&amp;D3154,""price"")"),"#N/A")</f>
        <v>#N/A</v>
      </c>
      <c r="M3154" s="9" t="e">
        <f t="shared" ca="1" si="62"/>
        <v>#VALUE!</v>
      </c>
      <c r="N3154" s="10" t="e">
        <f t="shared" ca="1" si="63"/>
        <v>#VALUE!</v>
      </c>
      <c r="O3154" s="7" t="str">
        <f ca="1">IFERROR(__xludf.DUMMYFUNCTION("GOOGLEFINANCE(""NSE:""&amp;D3154,""pe"")"),"#N/A")</f>
        <v>#N/A</v>
      </c>
      <c r="P3154" s="7" t="str">
        <f ca="1">IFERROR(__xludf.DUMMYFUNCTION("GOOGLEFINANCE(""NSE:""&amp;D3154,""EPS"")"),"#N/A")</f>
        <v>#N/A</v>
      </c>
      <c r="Q3154" s="7">
        <v>13.5</v>
      </c>
      <c r="R3154" s="7" t="str">
        <f ca="1">IFERROR(__xludf.DUMMYFUNCTION("IMPORTXML(E3154,""/html/body/main/div[3]/div[3]/div[2]/ul/li[7]/span[2]/span"")"),"Loading...")</f>
        <v>Loading...</v>
      </c>
      <c r="S3154" s="7" t="str">
        <f ca="1">IFERROR(__xludf.DUMMYFUNCTION("IMPORTXML(E3154,""/html/body/main/div[3]/div[3]/div[2]/ul/li[8]/span[2]/span"")"),"Loading...")</f>
        <v>Loading...</v>
      </c>
      <c r="T3154" s="4">
        <v>34.6</v>
      </c>
      <c r="U3154" s="4">
        <v>22.7</v>
      </c>
      <c r="V3154" s="4">
        <v>2.6</v>
      </c>
      <c r="W3154" s="4">
        <v>5.7</v>
      </c>
      <c r="X3154" s="4">
        <v>519.92999999999995</v>
      </c>
      <c r="Y3154" s="7" t="e">
        <f t="shared" ca="1" si="64"/>
        <v>#VALUE!</v>
      </c>
    </row>
    <row r="3155" spans="1:25" ht="15" x14ac:dyDescent="0.25">
      <c r="A3155" s="4">
        <v>3139</v>
      </c>
      <c r="C3155" s="41" t="s">
        <v>5482</v>
      </c>
      <c r="D3155" s="42"/>
      <c r="E3155" s="5" t="str">
        <f t="shared" si="60"/>
        <v>https://www.screener.in/company//consolidated/</v>
      </c>
      <c r="F3155" s="4">
        <v>443059</v>
      </c>
      <c r="G3155" s="4">
        <v>3832241897</v>
      </c>
      <c r="H3155" s="6" t="e">
        <f t="shared" ca="1" si="61"/>
        <v>#VALUE!</v>
      </c>
      <c r="I3155" s="7" t="str">
        <f ca="1">IFERROR(__xludf.DUMMYFUNCTION("IMPORTXML(E3155,""/html/body/main/div[3]/div[3]/div[2]/ul/li[5]/span[2]/span"")"),"Loading...")</f>
        <v>Loading...</v>
      </c>
      <c r="J3155" s="7" t="str">
        <f ca="1">IFERROR(__xludf.DUMMYFUNCTION("GOOGLEFINANCE(""NSE:""&amp;D3155,""marketcap"")"),"#N/A")</f>
        <v>#N/A</v>
      </c>
      <c r="K3155" s="7">
        <v>992.8</v>
      </c>
      <c r="L3155" s="8" t="str">
        <f ca="1">IFERROR(__xludf.DUMMYFUNCTION("GOOGLEFINANCE(""NSE:""&amp;D3155,""price"")"),"#N/A")</f>
        <v>#N/A</v>
      </c>
      <c r="M3155" s="9" t="e">
        <f t="shared" ca="1" si="62"/>
        <v>#VALUE!</v>
      </c>
      <c r="N3155" s="10" t="e">
        <f t="shared" ca="1" si="63"/>
        <v>#VALUE!</v>
      </c>
      <c r="O3155" s="7" t="str">
        <f ca="1">IFERROR(__xludf.DUMMYFUNCTION("GOOGLEFINANCE(""NSE:""&amp;D3155,""pe"")"),"#N/A")</f>
        <v>#N/A</v>
      </c>
      <c r="P3155" s="7" t="str">
        <f ca="1">IFERROR(__xludf.DUMMYFUNCTION("GOOGLEFINANCE(""NSE:""&amp;D3155,""EPS"")"),"#N/A")</f>
        <v>#N/A</v>
      </c>
      <c r="Q3155" s="7">
        <v>13.5</v>
      </c>
      <c r="R3155" s="7" t="str">
        <f ca="1">IFERROR(__xludf.DUMMYFUNCTION("IMPORTXML(E3155,""/html/body/main/div[3]/div[3]/div[2]/ul/li[7]/span[2]/span"")"),"Loading...")</f>
        <v>Loading...</v>
      </c>
      <c r="S3155" s="7" t="str">
        <f ca="1">IFERROR(__xludf.DUMMYFUNCTION("IMPORTXML(E3155,""/html/body/main/div[3]/div[3]/div[2]/ul/li[8]/span[2]/span"")"),"Loading...")</f>
        <v>Loading...</v>
      </c>
      <c r="T3155" s="4">
        <v>34.6</v>
      </c>
      <c r="U3155" s="4">
        <v>22.7</v>
      </c>
      <c r="V3155" s="4">
        <v>2.6</v>
      </c>
      <c r="W3155" s="4">
        <v>5.7</v>
      </c>
      <c r="X3155" s="4">
        <v>519.92999999999995</v>
      </c>
      <c r="Y3155" s="7" t="e">
        <f t="shared" ca="1" si="64"/>
        <v>#VALUE!</v>
      </c>
    </row>
    <row r="3156" spans="1:25" ht="15" x14ac:dyDescent="0.25">
      <c r="A3156" s="4">
        <v>3140</v>
      </c>
      <c r="C3156" s="41" t="s">
        <v>5483</v>
      </c>
      <c r="D3156" s="42"/>
      <c r="E3156" s="5" t="str">
        <f t="shared" si="60"/>
        <v>https://www.screener.in/company//consolidated/</v>
      </c>
      <c r="F3156" s="4">
        <v>443059</v>
      </c>
      <c r="G3156" s="4">
        <v>3832241897</v>
      </c>
      <c r="H3156" s="6" t="e">
        <f t="shared" ca="1" si="61"/>
        <v>#VALUE!</v>
      </c>
      <c r="I3156" s="7" t="str">
        <f ca="1">IFERROR(__xludf.DUMMYFUNCTION("IMPORTXML(E3156,""/html/body/main/div[3]/div[3]/div[2]/ul/li[5]/span[2]/span"")"),"Loading...")</f>
        <v>Loading...</v>
      </c>
      <c r="J3156" s="7" t="str">
        <f ca="1">IFERROR(__xludf.DUMMYFUNCTION("GOOGLEFINANCE(""NSE:""&amp;D3156,""marketcap"")"),"#N/A")</f>
        <v>#N/A</v>
      </c>
      <c r="K3156" s="7">
        <v>992.8</v>
      </c>
      <c r="L3156" s="8" t="str">
        <f ca="1">IFERROR(__xludf.DUMMYFUNCTION("GOOGLEFINANCE(""NSE:""&amp;D3156,""price"")"),"#N/A")</f>
        <v>#N/A</v>
      </c>
      <c r="M3156" s="9" t="e">
        <f t="shared" ca="1" si="62"/>
        <v>#VALUE!</v>
      </c>
      <c r="N3156" s="10" t="e">
        <f t="shared" ca="1" si="63"/>
        <v>#VALUE!</v>
      </c>
      <c r="O3156" s="7" t="str">
        <f ca="1">IFERROR(__xludf.DUMMYFUNCTION("GOOGLEFINANCE(""NSE:""&amp;D3156,""pe"")"),"#N/A")</f>
        <v>#N/A</v>
      </c>
      <c r="P3156" s="7" t="str">
        <f ca="1">IFERROR(__xludf.DUMMYFUNCTION("GOOGLEFINANCE(""NSE:""&amp;D3156,""EPS"")"),"#N/A")</f>
        <v>#N/A</v>
      </c>
      <c r="Q3156" s="7">
        <v>13.5</v>
      </c>
      <c r="R3156" s="7" t="str">
        <f ca="1">IFERROR(__xludf.DUMMYFUNCTION("IMPORTXML(E3156,""/html/body/main/div[3]/div[3]/div[2]/ul/li[7]/span[2]/span"")"),"Loading...")</f>
        <v>Loading...</v>
      </c>
      <c r="S3156" s="7" t="str">
        <f ca="1">IFERROR(__xludf.DUMMYFUNCTION("IMPORTXML(E3156,""/html/body/main/div[3]/div[3]/div[2]/ul/li[8]/span[2]/span"")"),"Loading...")</f>
        <v>Loading...</v>
      </c>
      <c r="T3156" s="4">
        <v>34.6</v>
      </c>
      <c r="U3156" s="4">
        <v>22.7</v>
      </c>
      <c r="V3156" s="4">
        <v>2.6</v>
      </c>
      <c r="W3156" s="4">
        <v>5.7</v>
      </c>
      <c r="X3156" s="4">
        <v>519.92999999999995</v>
      </c>
      <c r="Y3156" s="7" t="e">
        <f t="shared" ca="1" si="64"/>
        <v>#VALUE!</v>
      </c>
    </row>
    <row r="3157" spans="1:25" ht="15" x14ac:dyDescent="0.25">
      <c r="A3157" s="4">
        <v>3141</v>
      </c>
      <c r="C3157" s="41" t="s">
        <v>5484</v>
      </c>
      <c r="D3157" s="42"/>
      <c r="E3157" s="5" t="str">
        <f t="shared" si="60"/>
        <v>https://www.screener.in/company//consolidated/</v>
      </c>
      <c r="F3157" s="4">
        <v>443059</v>
      </c>
      <c r="G3157" s="4">
        <v>3832241897</v>
      </c>
      <c r="H3157" s="6" t="e">
        <f t="shared" ca="1" si="61"/>
        <v>#VALUE!</v>
      </c>
      <c r="I3157" s="7" t="str">
        <f ca="1">IFERROR(__xludf.DUMMYFUNCTION("IMPORTXML(E3157,""/html/body/main/div[3]/div[3]/div[2]/ul/li[5]/span[2]/span"")"),"Loading...")</f>
        <v>Loading...</v>
      </c>
      <c r="J3157" s="7" t="str">
        <f ca="1">IFERROR(__xludf.DUMMYFUNCTION("GOOGLEFINANCE(""NSE:""&amp;D3157,""marketcap"")"),"#N/A")</f>
        <v>#N/A</v>
      </c>
      <c r="K3157" s="7">
        <v>992.8</v>
      </c>
      <c r="L3157" s="8" t="str">
        <f ca="1">IFERROR(__xludf.DUMMYFUNCTION("GOOGLEFINANCE(""NSE:""&amp;D3157,""price"")"),"#N/A")</f>
        <v>#N/A</v>
      </c>
      <c r="M3157" s="9" t="e">
        <f t="shared" ca="1" si="62"/>
        <v>#VALUE!</v>
      </c>
      <c r="N3157" s="10" t="e">
        <f t="shared" ca="1" si="63"/>
        <v>#VALUE!</v>
      </c>
      <c r="O3157" s="7" t="str">
        <f ca="1">IFERROR(__xludf.DUMMYFUNCTION("GOOGLEFINANCE(""NSE:""&amp;D3157,""pe"")"),"#N/A")</f>
        <v>#N/A</v>
      </c>
      <c r="P3157" s="7" t="str">
        <f ca="1">IFERROR(__xludf.DUMMYFUNCTION("GOOGLEFINANCE(""NSE:""&amp;D3157,""EPS"")"),"#N/A")</f>
        <v>#N/A</v>
      </c>
      <c r="Q3157" s="7">
        <v>13.5</v>
      </c>
      <c r="R3157" s="7" t="str">
        <f ca="1">IFERROR(__xludf.DUMMYFUNCTION("IMPORTXML(E3157,""/html/body/main/div[3]/div[3]/div[2]/ul/li[7]/span[2]/span"")"),"Loading...")</f>
        <v>Loading...</v>
      </c>
      <c r="S3157" s="7" t="str">
        <f ca="1">IFERROR(__xludf.DUMMYFUNCTION("IMPORTXML(E3157,""/html/body/main/div[3]/div[3]/div[2]/ul/li[8]/span[2]/span"")"),"Loading...")</f>
        <v>Loading...</v>
      </c>
      <c r="T3157" s="4">
        <v>34.6</v>
      </c>
      <c r="U3157" s="4">
        <v>22.7</v>
      </c>
      <c r="V3157" s="4">
        <v>2.6</v>
      </c>
      <c r="W3157" s="4">
        <v>5.7</v>
      </c>
      <c r="X3157" s="4">
        <v>519.92999999999995</v>
      </c>
      <c r="Y3157" s="7" t="e">
        <f t="shared" ca="1" si="64"/>
        <v>#VALUE!</v>
      </c>
    </row>
    <row r="3158" spans="1:25" ht="15" x14ac:dyDescent="0.25">
      <c r="A3158" s="4">
        <v>3142</v>
      </c>
      <c r="C3158" s="41" t="s">
        <v>5485</v>
      </c>
      <c r="D3158" s="42"/>
      <c r="E3158" s="5" t="str">
        <f t="shared" si="60"/>
        <v>https://www.screener.in/company//consolidated/</v>
      </c>
      <c r="F3158" s="4">
        <v>443059</v>
      </c>
      <c r="G3158" s="4">
        <v>3832241897</v>
      </c>
      <c r="H3158" s="6" t="e">
        <f t="shared" ca="1" si="61"/>
        <v>#VALUE!</v>
      </c>
      <c r="I3158" s="7" t="str">
        <f ca="1">IFERROR(__xludf.DUMMYFUNCTION("IMPORTXML(E3158,""/html/body/main/div[3]/div[3]/div[2]/ul/li[5]/span[2]/span"")"),"Loading...")</f>
        <v>Loading...</v>
      </c>
      <c r="J3158" s="7" t="str">
        <f ca="1">IFERROR(__xludf.DUMMYFUNCTION("GOOGLEFINANCE(""NSE:""&amp;D3158,""marketcap"")"),"#N/A")</f>
        <v>#N/A</v>
      </c>
      <c r="K3158" s="7">
        <v>992.8</v>
      </c>
      <c r="L3158" s="8" t="str">
        <f ca="1">IFERROR(__xludf.DUMMYFUNCTION("GOOGLEFINANCE(""NSE:""&amp;D3158,""price"")"),"#N/A")</f>
        <v>#N/A</v>
      </c>
      <c r="M3158" s="9" t="e">
        <f t="shared" ca="1" si="62"/>
        <v>#VALUE!</v>
      </c>
      <c r="N3158" s="10" t="e">
        <f t="shared" ca="1" si="63"/>
        <v>#VALUE!</v>
      </c>
      <c r="O3158" s="7" t="str">
        <f ca="1">IFERROR(__xludf.DUMMYFUNCTION("GOOGLEFINANCE(""NSE:""&amp;D3158,""pe"")"),"#N/A")</f>
        <v>#N/A</v>
      </c>
      <c r="P3158" s="7" t="str">
        <f ca="1">IFERROR(__xludf.DUMMYFUNCTION("GOOGLEFINANCE(""NSE:""&amp;D3158,""EPS"")"),"#N/A")</f>
        <v>#N/A</v>
      </c>
      <c r="Q3158" s="7">
        <v>13.5</v>
      </c>
      <c r="R3158" s="7" t="str">
        <f ca="1">IFERROR(__xludf.DUMMYFUNCTION("IMPORTXML(E3158,""/html/body/main/div[3]/div[3]/div[2]/ul/li[7]/span[2]/span"")"),"Loading...")</f>
        <v>Loading...</v>
      </c>
      <c r="S3158" s="7" t="str">
        <f ca="1">IFERROR(__xludf.DUMMYFUNCTION("IMPORTXML(E3158,""/html/body/main/div[3]/div[3]/div[2]/ul/li[8]/span[2]/span"")"),"Loading...")</f>
        <v>Loading...</v>
      </c>
      <c r="T3158" s="4">
        <v>34.6</v>
      </c>
      <c r="U3158" s="4">
        <v>22.7</v>
      </c>
      <c r="V3158" s="4">
        <v>2.6</v>
      </c>
      <c r="W3158" s="4">
        <v>5.7</v>
      </c>
      <c r="X3158" s="4">
        <v>519.92999999999995</v>
      </c>
      <c r="Y3158" s="7" t="e">
        <f t="shared" ca="1" si="64"/>
        <v>#VALUE!</v>
      </c>
    </row>
    <row r="3159" spans="1:25" ht="15" x14ac:dyDescent="0.25">
      <c r="A3159" s="4">
        <v>3143</v>
      </c>
      <c r="C3159" s="12" t="s">
        <v>5486</v>
      </c>
      <c r="D3159" s="37"/>
      <c r="E3159" s="5" t="str">
        <f t="shared" si="60"/>
        <v>https://www.screener.in/company//consolidated/</v>
      </c>
      <c r="F3159" s="4">
        <v>443059</v>
      </c>
      <c r="G3159" s="4">
        <v>3832241897</v>
      </c>
      <c r="H3159" s="6" t="e">
        <f t="shared" ca="1" si="61"/>
        <v>#VALUE!</v>
      </c>
      <c r="I3159" s="7" t="str">
        <f ca="1">IFERROR(__xludf.DUMMYFUNCTION("IMPORTXML(E3159,""/html/body/main/div[3]/div[3]/div[2]/ul/li[5]/span[2]/span"")"),"Loading...")</f>
        <v>Loading...</v>
      </c>
      <c r="J3159" s="7" t="str">
        <f ca="1">IFERROR(__xludf.DUMMYFUNCTION("GOOGLEFINANCE(""NSE:""&amp;D3159,""marketcap"")"),"#N/A")</f>
        <v>#N/A</v>
      </c>
      <c r="K3159" s="7">
        <v>992.8</v>
      </c>
      <c r="L3159" s="8" t="str">
        <f ca="1">IFERROR(__xludf.DUMMYFUNCTION("GOOGLEFINANCE(""NSE:""&amp;D3159,""price"")"),"#N/A")</f>
        <v>#N/A</v>
      </c>
      <c r="M3159" s="9" t="e">
        <f t="shared" ca="1" si="62"/>
        <v>#VALUE!</v>
      </c>
      <c r="N3159" s="10" t="e">
        <f t="shared" ca="1" si="63"/>
        <v>#VALUE!</v>
      </c>
      <c r="O3159" s="7" t="str">
        <f ca="1">IFERROR(__xludf.DUMMYFUNCTION("GOOGLEFINANCE(""NSE:""&amp;D3159,""pe"")"),"#N/A")</f>
        <v>#N/A</v>
      </c>
      <c r="P3159" s="7" t="str">
        <f ca="1">IFERROR(__xludf.DUMMYFUNCTION("GOOGLEFINANCE(""NSE:""&amp;D3159,""EPS"")"),"#N/A")</f>
        <v>#N/A</v>
      </c>
      <c r="Q3159" s="7">
        <v>13.5</v>
      </c>
      <c r="R3159" s="7" t="str">
        <f ca="1">IFERROR(__xludf.DUMMYFUNCTION("IMPORTXML(E3159,""/html/body/main/div[3]/div[3]/div[2]/ul/li[7]/span[2]/span"")"),"Loading...")</f>
        <v>Loading...</v>
      </c>
      <c r="S3159" s="7" t="str">
        <f ca="1">IFERROR(__xludf.DUMMYFUNCTION("IMPORTXML(E3159,""/html/body/main/div[3]/div[3]/div[2]/ul/li[8]/span[2]/span"")"),"Loading...")</f>
        <v>Loading...</v>
      </c>
      <c r="T3159" s="4">
        <v>34.6</v>
      </c>
      <c r="U3159" s="4">
        <v>22.7</v>
      </c>
      <c r="V3159" s="4">
        <v>2.6</v>
      </c>
      <c r="W3159" s="4">
        <v>5.7</v>
      </c>
      <c r="X3159" s="4">
        <v>519.92999999999995</v>
      </c>
      <c r="Y3159" s="7" t="e">
        <f t="shared" ca="1" si="64"/>
        <v>#VALUE!</v>
      </c>
    </row>
    <row r="3160" spans="1:25" ht="15" x14ac:dyDescent="0.25">
      <c r="A3160" s="4">
        <v>3145</v>
      </c>
      <c r="C3160" s="41" t="s">
        <v>5487</v>
      </c>
      <c r="D3160" s="42"/>
      <c r="E3160" s="5" t="str">
        <f t="shared" si="60"/>
        <v>https://www.screener.in/company//consolidated/</v>
      </c>
      <c r="F3160" s="4">
        <v>443059</v>
      </c>
      <c r="G3160" s="4">
        <v>3832241897</v>
      </c>
      <c r="H3160" s="6" t="e">
        <f t="shared" ca="1" si="61"/>
        <v>#VALUE!</v>
      </c>
      <c r="I3160" s="7" t="str">
        <f ca="1">IFERROR(__xludf.DUMMYFUNCTION("IMPORTXML(E3160,""/html/body/main/div[3]/div[3]/div[2]/ul/li[5]/span[2]/span"")"),"Loading...")</f>
        <v>Loading...</v>
      </c>
      <c r="J3160" s="7" t="str">
        <f ca="1">IFERROR(__xludf.DUMMYFUNCTION("GOOGLEFINANCE(""NSE:""&amp;D3160,""marketcap"")"),"#N/A")</f>
        <v>#N/A</v>
      </c>
      <c r="K3160" s="7">
        <v>992.8</v>
      </c>
      <c r="L3160" s="8" t="str">
        <f ca="1">IFERROR(__xludf.DUMMYFUNCTION("GOOGLEFINANCE(""NSE:""&amp;D3160,""price"")"),"#N/A")</f>
        <v>#N/A</v>
      </c>
      <c r="M3160" s="9" t="e">
        <f t="shared" ca="1" si="62"/>
        <v>#VALUE!</v>
      </c>
      <c r="N3160" s="10" t="e">
        <f t="shared" ca="1" si="63"/>
        <v>#VALUE!</v>
      </c>
      <c r="O3160" s="7" t="str">
        <f ca="1">IFERROR(__xludf.DUMMYFUNCTION("GOOGLEFINANCE(""NSE:""&amp;D3160,""pe"")"),"#N/A")</f>
        <v>#N/A</v>
      </c>
      <c r="P3160" s="7" t="str">
        <f ca="1">IFERROR(__xludf.DUMMYFUNCTION("GOOGLEFINANCE(""NSE:""&amp;D3160,""EPS"")"),"#N/A")</f>
        <v>#N/A</v>
      </c>
      <c r="Q3160" s="7">
        <v>13.5</v>
      </c>
      <c r="R3160" s="7" t="str">
        <f ca="1">IFERROR(__xludf.DUMMYFUNCTION("IMPORTXML(E3160,""/html/body/main/div[3]/div[3]/div[2]/ul/li[7]/span[2]/span"")"),"Loading...")</f>
        <v>Loading...</v>
      </c>
      <c r="S3160" s="7" t="str">
        <f ca="1">IFERROR(__xludf.DUMMYFUNCTION("IMPORTXML(E3160,""/html/body/main/div[3]/div[3]/div[2]/ul/li[8]/span[2]/span"")"),"Loading...")</f>
        <v>Loading...</v>
      </c>
      <c r="T3160" s="4">
        <v>34.6</v>
      </c>
      <c r="U3160" s="4">
        <v>22.7</v>
      </c>
      <c r="V3160" s="4">
        <v>2.6</v>
      </c>
      <c r="W3160" s="4">
        <v>5.7</v>
      </c>
      <c r="X3160" s="4">
        <v>519.92999999999995</v>
      </c>
      <c r="Y3160" s="7" t="e">
        <f t="shared" ca="1" si="64"/>
        <v>#VALUE!</v>
      </c>
    </row>
    <row r="3161" spans="1:25" ht="15" x14ac:dyDescent="0.25">
      <c r="A3161" s="4">
        <v>3146</v>
      </c>
      <c r="C3161" s="41" t="s">
        <v>5488</v>
      </c>
      <c r="D3161" s="42"/>
      <c r="E3161" s="5" t="str">
        <f t="shared" si="60"/>
        <v>https://www.screener.in/company//consolidated/</v>
      </c>
      <c r="F3161" s="4">
        <v>443059</v>
      </c>
      <c r="G3161" s="4">
        <v>3832241897</v>
      </c>
      <c r="H3161" s="6" t="e">
        <f t="shared" ca="1" si="61"/>
        <v>#VALUE!</v>
      </c>
      <c r="I3161" s="7" t="str">
        <f ca="1">IFERROR(__xludf.DUMMYFUNCTION("IMPORTXML(E3161,""/html/body/main/div[3]/div[3]/div[2]/ul/li[5]/span[2]/span"")"),"Loading...")</f>
        <v>Loading...</v>
      </c>
      <c r="J3161" s="7" t="str">
        <f ca="1">IFERROR(__xludf.DUMMYFUNCTION("GOOGLEFINANCE(""NSE:""&amp;D3161,""marketcap"")"),"#N/A")</f>
        <v>#N/A</v>
      </c>
      <c r="K3161" s="7">
        <v>992.8</v>
      </c>
      <c r="L3161" s="8" t="str">
        <f ca="1">IFERROR(__xludf.DUMMYFUNCTION("GOOGLEFINANCE(""NSE:""&amp;D3161,""price"")"),"#N/A")</f>
        <v>#N/A</v>
      </c>
      <c r="M3161" s="9" t="e">
        <f t="shared" ca="1" si="62"/>
        <v>#VALUE!</v>
      </c>
      <c r="N3161" s="10" t="e">
        <f t="shared" ca="1" si="63"/>
        <v>#VALUE!</v>
      </c>
      <c r="O3161" s="7" t="str">
        <f ca="1">IFERROR(__xludf.DUMMYFUNCTION("GOOGLEFINANCE(""NSE:""&amp;D3161,""pe"")"),"#N/A")</f>
        <v>#N/A</v>
      </c>
      <c r="P3161" s="7" t="str">
        <f ca="1">IFERROR(__xludf.DUMMYFUNCTION("GOOGLEFINANCE(""NSE:""&amp;D3161,""EPS"")"),"#N/A")</f>
        <v>#N/A</v>
      </c>
      <c r="Q3161" s="7">
        <v>13.5</v>
      </c>
      <c r="R3161" s="7" t="str">
        <f ca="1">IFERROR(__xludf.DUMMYFUNCTION("IMPORTXML(E3161,""/html/body/main/div[3]/div[3]/div[2]/ul/li[7]/span[2]/span"")"),"Loading...")</f>
        <v>Loading...</v>
      </c>
      <c r="S3161" s="7" t="str">
        <f ca="1">IFERROR(__xludf.DUMMYFUNCTION("IMPORTXML(E3161,""/html/body/main/div[3]/div[3]/div[2]/ul/li[8]/span[2]/span"")"),"Loading...")</f>
        <v>Loading...</v>
      </c>
      <c r="T3161" s="4">
        <v>34.6</v>
      </c>
      <c r="U3161" s="4">
        <v>22.7</v>
      </c>
      <c r="V3161" s="4">
        <v>2.6</v>
      </c>
      <c r="W3161" s="4">
        <v>5.7</v>
      </c>
      <c r="X3161" s="4">
        <v>519.92999999999995</v>
      </c>
      <c r="Y3161" s="7" t="e">
        <f t="shared" ca="1" si="64"/>
        <v>#VALUE!</v>
      </c>
    </row>
    <row r="3162" spans="1:25" ht="15" x14ac:dyDescent="0.25">
      <c r="A3162" s="4">
        <v>3147</v>
      </c>
      <c r="C3162" s="12" t="s">
        <v>5489</v>
      </c>
      <c r="D3162" s="37"/>
      <c r="E3162" s="5" t="str">
        <f t="shared" si="60"/>
        <v>https://www.screener.in/company//consolidated/</v>
      </c>
      <c r="F3162" s="4">
        <v>443059</v>
      </c>
      <c r="G3162" s="4">
        <v>3832241897</v>
      </c>
      <c r="H3162" s="6" t="e">
        <f t="shared" ca="1" si="61"/>
        <v>#VALUE!</v>
      </c>
      <c r="I3162" s="7" t="str">
        <f ca="1">IFERROR(__xludf.DUMMYFUNCTION("IMPORTXML(E3162,""/html/body/main/div[3]/div[3]/div[2]/ul/li[5]/span[2]/span"")"),"Loading...")</f>
        <v>Loading...</v>
      </c>
      <c r="J3162" s="7" t="str">
        <f ca="1">IFERROR(__xludf.DUMMYFUNCTION("GOOGLEFINANCE(""NSE:""&amp;D3162,""marketcap"")"),"#N/A")</f>
        <v>#N/A</v>
      </c>
      <c r="K3162" s="7">
        <v>992.8</v>
      </c>
      <c r="L3162" s="8" t="str">
        <f ca="1">IFERROR(__xludf.DUMMYFUNCTION("GOOGLEFINANCE(""NSE:""&amp;D3162,""price"")"),"#N/A")</f>
        <v>#N/A</v>
      </c>
      <c r="M3162" s="9" t="e">
        <f t="shared" ca="1" si="62"/>
        <v>#VALUE!</v>
      </c>
      <c r="N3162" s="10" t="e">
        <f t="shared" ca="1" si="63"/>
        <v>#VALUE!</v>
      </c>
      <c r="O3162" s="7" t="str">
        <f ca="1">IFERROR(__xludf.DUMMYFUNCTION("GOOGLEFINANCE(""NSE:""&amp;D3162,""pe"")"),"#N/A")</f>
        <v>#N/A</v>
      </c>
      <c r="P3162" s="7" t="str">
        <f ca="1">IFERROR(__xludf.DUMMYFUNCTION("GOOGLEFINANCE(""NSE:""&amp;D3162,""EPS"")"),"#N/A")</f>
        <v>#N/A</v>
      </c>
      <c r="Q3162" s="7">
        <v>13.5</v>
      </c>
      <c r="R3162" s="7" t="str">
        <f ca="1">IFERROR(__xludf.DUMMYFUNCTION("IMPORTXML(E3162,""/html/body/main/div[3]/div[3]/div[2]/ul/li[7]/span[2]/span"")"),"Loading...")</f>
        <v>Loading...</v>
      </c>
      <c r="S3162" s="7" t="str">
        <f ca="1">IFERROR(__xludf.DUMMYFUNCTION("IMPORTXML(E3162,""/html/body/main/div[3]/div[3]/div[2]/ul/li[8]/span[2]/span"")"),"Loading...")</f>
        <v>Loading...</v>
      </c>
      <c r="T3162" s="4">
        <v>34.6</v>
      </c>
      <c r="U3162" s="4">
        <v>22.7</v>
      </c>
      <c r="V3162" s="4">
        <v>2.6</v>
      </c>
      <c r="W3162" s="4">
        <v>5.7</v>
      </c>
      <c r="X3162" s="4">
        <v>519.92999999999995</v>
      </c>
      <c r="Y3162" s="7" t="e">
        <f t="shared" ca="1" si="64"/>
        <v>#VALUE!</v>
      </c>
    </row>
    <row r="3163" spans="1:25" ht="15" x14ac:dyDescent="0.25">
      <c r="A3163" s="4">
        <v>3148</v>
      </c>
      <c r="C3163" s="41" t="s">
        <v>5490</v>
      </c>
      <c r="D3163" s="42"/>
      <c r="E3163" s="5" t="str">
        <f t="shared" si="60"/>
        <v>https://www.screener.in/company//consolidated/</v>
      </c>
      <c r="F3163" s="4">
        <v>443059</v>
      </c>
      <c r="G3163" s="4">
        <v>3832241897</v>
      </c>
      <c r="H3163" s="6" t="e">
        <f t="shared" ca="1" si="61"/>
        <v>#VALUE!</v>
      </c>
      <c r="I3163" s="7" t="str">
        <f ca="1">IFERROR(__xludf.DUMMYFUNCTION("IMPORTXML(E3163,""/html/body/main/div[3]/div[3]/div[2]/ul/li[5]/span[2]/span"")"),"Loading...")</f>
        <v>Loading...</v>
      </c>
      <c r="J3163" s="7" t="str">
        <f ca="1">IFERROR(__xludf.DUMMYFUNCTION("GOOGLEFINANCE(""NSE:""&amp;D3163,""marketcap"")"),"#N/A")</f>
        <v>#N/A</v>
      </c>
      <c r="K3163" s="7">
        <v>992.8</v>
      </c>
      <c r="L3163" s="8" t="str">
        <f ca="1">IFERROR(__xludf.DUMMYFUNCTION("GOOGLEFINANCE(""NSE:""&amp;D3163,""price"")"),"#N/A")</f>
        <v>#N/A</v>
      </c>
      <c r="M3163" s="9" t="e">
        <f t="shared" ca="1" si="62"/>
        <v>#VALUE!</v>
      </c>
      <c r="N3163" s="10" t="e">
        <f t="shared" ca="1" si="63"/>
        <v>#VALUE!</v>
      </c>
      <c r="O3163" s="7" t="str">
        <f ca="1">IFERROR(__xludf.DUMMYFUNCTION("GOOGLEFINANCE(""NSE:""&amp;D3163,""pe"")"),"#N/A")</f>
        <v>#N/A</v>
      </c>
      <c r="P3163" s="7" t="str">
        <f ca="1">IFERROR(__xludf.DUMMYFUNCTION("GOOGLEFINANCE(""NSE:""&amp;D3163,""EPS"")"),"#N/A")</f>
        <v>#N/A</v>
      </c>
      <c r="Q3163" s="7">
        <v>13.5</v>
      </c>
      <c r="R3163" s="7" t="str">
        <f ca="1">IFERROR(__xludf.DUMMYFUNCTION("IMPORTXML(E3163,""/html/body/main/div[3]/div[3]/div[2]/ul/li[7]/span[2]/span"")"),"Loading...")</f>
        <v>Loading...</v>
      </c>
      <c r="S3163" s="7" t="str">
        <f ca="1">IFERROR(__xludf.DUMMYFUNCTION("IMPORTXML(E3163,""/html/body/main/div[3]/div[3]/div[2]/ul/li[8]/span[2]/span"")"),"Loading...")</f>
        <v>Loading...</v>
      </c>
      <c r="T3163" s="4">
        <v>34.6</v>
      </c>
      <c r="U3163" s="4">
        <v>22.7</v>
      </c>
      <c r="V3163" s="4">
        <v>2.6</v>
      </c>
      <c r="W3163" s="4">
        <v>5.7</v>
      </c>
      <c r="X3163" s="4">
        <v>519.92999999999995</v>
      </c>
      <c r="Y3163" s="7" t="e">
        <f t="shared" ca="1" si="64"/>
        <v>#VALUE!</v>
      </c>
    </row>
    <row r="3164" spans="1:25" ht="15" x14ac:dyDescent="0.25">
      <c r="A3164" s="4">
        <v>3149</v>
      </c>
      <c r="C3164" s="41" t="s">
        <v>5491</v>
      </c>
      <c r="D3164" s="42"/>
      <c r="E3164" s="5" t="str">
        <f t="shared" si="60"/>
        <v>https://www.screener.in/company//consolidated/</v>
      </c>
      <c r="F3164" s="4">
        <v>443059</v>
      </c>
      <c r="G3164" s="4">
        <v>3832241897</v>
      </c>
      <c r="H3164" s="6" t="e">
        <f t="shared" ca="1" si="61"/>
        <v>#VALUE!</v>
      </c>
      <c r="I3164" s="7" t="str">
        <f ca="1">IFERROR(__xludf.DUMMYFUNCTION("IMPORTXML(E3164,""/html/body/main/div[3]/div[3]/div[2]/ul/li[5]/span[2]/span"")"),"Loading...")</f>
        <v>Loading...</v>
      </c>
      <c r="J3164" s="7" t="str">
        <f ca="1">IFERROR(__xludf.DUMMYFUNCTION("GOOGLEFINANCE(""NSE:""&amp;D3164,""marketcap"")"),"#N/A")</f>
        <v>#N/A</v>
      </c>
      <c r="K3164" s="7">
        <v>992.8</v>
      </c>
      <c r="L3164" s="8" t="str">
        <f ca="1">IFERROR(__xludf.DUMMYFUNCTION("GOOGLEFINANCE(""NSE:""&amp;D3164,""price"")"),"#N/A")</f>
        <v>#N/A</v>
      </c>
      <c r="M3164" s="9" t="e">
        <f t="shared" ca="1" si="62"/>
        <v>#VALUE!</v>
      </c>
      <c r="N3164" s="10" t="e">
        <f t="shared" ca="1" si="63"/>
        <v>#VALUE!</v>
      </c>
      <c r="O3164" s="7" t="str">
        <f ca="1">IFERROR(__xludf.DUMMYFUNCTION("GOOGLEFINANCE(""NSE:""&amp;D3164,""pe"")"),"#N/A")</f>
        <v>#N/A</v>
      </c>
      <c r="P3164" s="7" t="str">
        <f ca="1">IFERROR(__xludf.DUMMYFUNCTION("GOOGLEFINANCE(""NSE:""&amp;D3164,""EPS"")"),"#N/A")</f>
        <v>#N/A</v>
      </c>
      <c r="Q3164" s="7">
        <v>13.5</v>
      </c>
      <c r="R3164" s="7" t="str">
        <f ca="1">IFERROR(__xludf.DUMMYFUNCTION("IMPORTXML(E3164,""/html/body/main/div[3]/div[3]/div[2]/ul/li[7]/span[2]/span"")"),"Loading...")</f>
        <v>Loading...</v>
      </c>
      <c r="S3164" s="7" t="str">
        <f ca="1">IFERROR(__xludf.DUMMYFUNCTION("IMPORTXML(E3164,""/html/body/main/div[3]/div[3]/div[2]/ul/li[8]/span[2]/span"")"),"Loading...")</f>
        <v>Loading...</v>
      </c>
      <c r="T3164" s="4">
        <v>34.6</v>
      </c>
      <c r="U3164" s="4">
        <v>22.7</v>
      </c>
      <c r="V3164" s="4">
        <v>2.6</v>
      </c>
      <c r="W3164" s="4">
        <v>5.7</v>
      </c>
      <c r="X3164" s="4">
        <v>519.92999999999995</v>
      </c>
      <c r="Y3164" s="7" t="e">
        <f t="shared" ca="1" si="64"/>
        <v>#VALUE!</v>
      </c>
    </row>
    <row r="3165" spans="1:25" ht="15" x14ac:dyDescent="0.25">
      <c r="A3165" s="4">
        <v>3150</v>
      </c>
      <c r="C3165" s="41" t="s">
        <v>5492</v>
      </c>
      <c r="D3165" s="42"/>
      <c r="E3165" s="5" t="str">
        <f t="shared" si="60"/>
        <v>https://www.screener.in/company//consolidated/</v>
      </c>
      <c r="F3165" s="4">
        <v>443059</v>
      </c>
      <c r="G3165" s="4">
        <v>3832241897</v>
      </c>
      <c r="H3165" s="6" t="e">
        <f t="shared" ca="1" si="61"/>
        <v>#VALUE!</v>
      </c>
      <c r="I3165" s="7" t="str">
        <f ca="1">IFERROR(__xludf.DUMMYFUNCTION("IMPORTXML(E3165,""/html/body/main/div[3]/div[3]/div[2]/ul/li[5]/span[2]/span"")"),"Loading...")</f>
        <v>Loading...</v>
      </c>
      <c r="J3165" s="7" t="str">
        <f ca="1">IFERROR(__xludf.DUMMYFUNCTION("GOOGLEFINANCE(""NSE:""&amp;D3165,""marketcap"")"),"#N/A")</f>
        <v>#N/A</v>
      </c>
      <c r="K3165" s="7">
        <v>992.8</v>
      </c>
      <c r="L3165" s="8" t="str">
        <f ca="1">IFERROR(__xludf.DUMMYFUNCTION("GOOGLEFINANCE(""NSE:""&amp;D3165,""price"")"),"#N/A")</f>
        <v>#N/A</v>
      </c>
      <c r="M3165" s="9" t="e">
        <f t="shared" ca="1" si="62"/>
        <v>#VALUE!</v>
      </c>
      <c r="N3165" s="10" t="e">
        <f t="shared" ca="1" si="63"/>
        <v>#VALUE!</v>
      </c>
      <c r="O3165" s="7" t="str">
        <f ca="1">IFERROR(__xludf.DUMMYFUNCTION("GOOGLEFINANCE(""NSE:""&amp;D3165,""pe"")"),"#N/A")</f>
        <v>#N/A</v>
      </c>
      <c r="P3165" s="7" t="str">
        <f ca="1">IFERROR(__xludf.DUMMYFUNCTION("GOOGLEFINANCE(""NSE:""&amp;D3165,""EPS"")"),"#N/A")</f>
        <v>#N/A</v>
      </c>
      <c r="Q3165" s="7">
        <v>13.5</v>
      </c>
      <c r="R3165" s="7" t="str">
        <f ca="1">IFERROR(__xludf.DUMMYFUNCTION("IMPORTXML(E3165,""/html/body/main/div[3]/div[3]/div[2]/ul/li[7]/span[2]/span"")"),"Loading...")</f>
        <v>Loading...</v>
      </c>
      <c r="S3165" s="7" t="str">
        <f ca="1">IFERROR(__xludf.DUMMYFUNCTION("IMPORTXML(E3165,""/html/body/main/div[3]/div[3]/div[2]/ul/li[8]/span[2]/span"")"),"Loading...")</f>
        <v>Loading...</v>
      </c>
      <c r="T3165" s="4">
        <v>34.6</v>
      </c>
      <c r="U3165" s="4">
        <v>22.7</v>
      </c>
      <c r="V3165" s="4">
        <v>2.6</v>
      </c>
      <c r="W3165" s="4">
        <v>5.7</v>
      </c>
      <c r="X3165" s="4">
        <v>519.92999999999995</v>
      </c>
      <c r="Y3165" s="7" t="e">
        <f t="shared" ca="1" si="64"/>
        <v>#VALUE!</v>
      </c>
    </row>
    <row r="3166" spans="1:25" ht="15" x14ac:dyDescent="0.25">
      <c r="A3166" s="4">
        <v>3151</v>
      </c>
      <c r="C3166" s="41" t="s">
        <v>5493</v>
      </c>
      <c r="D3166" s="42"/>
      <c r="E3166" s="5" t="str">
        <f t="shared" si="60"/>
        <v>https://www.screener.in/company//consolidated/</v>
      </c>
      <c r="F3166" s="4">
        <v>443059</v>
      </c>
      <c r="G3166" s="4">
        <v>3832241897</v>
      </c>
      <c r="H3166" s="6" t="e">
        <f t="shared" ca="1" si="61"/>
        <v>#VALUE!</v>
      </c>
      <c r="I3166" s="7" t="str">
        <f ca="1">IFERROR(__xludf.DUMMYFUNCTION("IMPORTXML(E3166,""/html/body/main/div[3]/div[3]/div[2]/ul/li[5]/span[2]/span"")"),"Loading...")</f>
        <v>Loading...</v>
      </c>
      <c r="J3166" s="7" t="str">
        <f ca="1">IFERROR(__xludf.DUMMYFUNCTION("GOOGLEFINANCE(""NSE:""&amp;D3166,""marketcap"")"),"#N/A")</f>
        <v>#N/A</v>
      </c>
      <c r="K3166" s="7">
        <v>992.8</v>
      </c>
      <c r="L3166" s="8" t="str">
        <f ca="1">IFERROR(__xludf.DUMMYFUNCTION("GOOGLEFINANCE(""NSE:""&amp;D3166,""price"")"),"#N/A")</f>
        <v>#N/A</v>
      </c>
      <c r="M3166" s="9" t="e">
        <f t="shared" ca="1" si="62"/>
        <v>#VALUE!</v>
      </c>
      <c r="N3166" s="10" t="e">
        <f t="shared" ca="1" si="63"/>
        <v>#VALUE!</v>
      </c>
      <c r="O3166" s="7" t="str">
        <f ca="1">IFERROR(__xludf.DUMMYFUNCTION("GOOGLEFINANCE(""NSE:""&amp;D3166,""pe"")"),"#N/A")</f>
        <v>#N/A</v>
      </c>
      <c r="P3166" s="7" t="str">
        <f ca="1">IFERROR(__xludf.DUMMYFUNCTION("GOOGLEFINANCE(""NSE:""&amp;D3166,""EPS"")"),"#N/A")</f>
        <v>#N/A</v>
      </c>
      <c r="Q3166" s="7">
        <v>13.5</v>
      </c>
      <c r="R3166" s="7" t="str">
        <f ca="1">IFERROR(__xludf.DUMMYFUNCTION("IMPORTXML(E3166,""/html/body/main/div[3]/div[3]/div[2]/ul/li[7]/span[2]/span"")"),"Loading...")</f>
        <v>Loading...</v>
      </c>
      <c r="S3166" s="7" t="str">
        <f ca="1">IFERROR(__xludf.DUMMYFUNCTION("IMPORTXML(E3166,""/html/body/main/div[3]/div[3]/div[2]/ul/li[8]/span[2]/span"")"),"Loading...")</f>
        <v>Loading...</v>
      </c>
      <c r="T3166" s="4">
        <v>34.6</v>
      </c>
      <c r="U3166" s="4">
        <v>22.7</v>
      </c>
      <c r="V3166" s="4">
        <v>2.6</v>
      </c>
      <c r="W3166" s="4">
        <v>5.7</v>
      </c>
      <c r="X3166" s="4">
        <v>519.92999999999995</v>
      </c>
      <c r="Y3166" s="7" t="e">
        <f t="shared" ca="1" si="64"/>
        <v>#VALUE!</v>
      </c>
    </row>
    <row r="3167" spans="1:25" ht="15" x14ac:dyDescent="0.25">
      <c r="A3167" s="4">
        <v>3152</v>
      </c>
      <c r="C3167" s="41" t="s">
        <v>5494</v>
      </c>
      <c r="D3167" s="42"/>
      <c r="E3167" s="5" t="str">
        <f t="shared" si="60"/>
        <v>https://www.screener.in/company//consolidated/</v>
      </c>
      <c r="F3167" s="4">
        <v>443059</v>
      </c>
      <c r="G3167" s="4">
        <v>3832241897</v>
      </c>
      <c r="H3167" s="6" t="e">
        <f t="shared" ca="1" si="61"/>
        <v>#VALUE!</v>
      </c>
      <c r="I3167" s="7" t="str">
        <f ca="1">IFERROR(__xludf.DUMMYFUNCTION("IMPORTXML(E3167,""/html/body/main/div[3]/div[3]/div[2]/ul/li[5]/span[2]/span"")"),"Loading...")</f>
        <v>Loading...</v>
      </c>
      <c r="J3167" s="7" t="str">
        <f ca="1">IFERROR(__xludf.DUMMYFUNCTION("GOOGLEFINANCE(""NSE:""&amp;D3167,""marketcap"")"),"#N/A")</f>
        <v>#N/A</v>
      </c>
      <c r="K3167" s="7">
        <v>992.8</v>
      </c>
      <c r="L3167" s="8" t="str">
        <f ca="1">IFERROR(__xludf.DUMMYFUNCTION("GOOGLEFINANCE(""NSE:""&amp;D3167,""price"")"),"#N/A")</f>
        <v>#N/A</v>
      </c>
      <c r="M3167" s="9" t="e">
        <f t="shared" ca="1" si="62"/>
        <v>#VALUE!</v>
      </c>
      <c r="N3167" s="10" t="e">
        <f t="shared" ca="1" si="63"/>
        <v>#VALUE!</v>
      </c>
      <c r="O3167" s="7" t="str">
        <f ca="1">IFERROR(__xludf.DUMMYFUNCTION("GOOGLEFINANCE(""NSE:""&amp;D3167,""pe"")"),"#N/A")</f>
        <v>#N/A</v>
      </c>
      <c r="P3167" s="7" t="str">
        <f ca="1">IFERROR(__xludf.DUMMYFUNCTION("GOOGLEFINANCE(""NSE:""&amp;D3167,""EPS"")"),"#N/A")</f>
        <v>#N/A</v>
      </c>
      <c r="Q3167" s="7">
        <v>13.5</v>
      </c>
      <c r="R3167" s="7" t="str">
        <f ca="1">IFERROR(__xludf.DUMMYFUNCTION("IMPORTXML(E3167,""/html/body/main/div[3]/div[3]/div[2]/ul/li[7]/span[2]/span"")"),"Loading...")</f>
        <v>Loading...</v>
      </c>
      <c r="S3167" s="7" t="str">
        <f ca="1">IFERROR(__xludf.DUMMYFUNCTION("IMPORTXML(E3167,""/html/body/main/div[3]/div[3]/div[2]/ul/li[8]/span[2]/span"")"),"Loading...")</f>
        <v>Loading...</v>
      </c>
      <c r="T3167" s="4">
        <v>34.6</v>
      </c>
      <c r="U3167" s="4">
        <v>22.7</v>
      </c>
      <c r="V3167" s="4">
        <v>2.6</v>
      </c>
      <c r="W3167" s="4">
        <v>5.7</v>
      </c>
      <c r="X3167" s="4">
        <v>519.92999999999995</v>
      </c>
      <c r="Y3167" s="7" t="e">
        <f t="shared" ca="1" si="64"/>
        <v>#VALUE!</v>
      </c>
    </row>
    <row r="3168" spans="1:25" ht="15" x14ac:dyDescent="0.25">
      <c r="A3168" s="4">
        <v>3153</v>
      </c>
      <c r="C3168" s="41" t="s">
        <v>5495</v>
      </c>
      <c r="D3168" s="42"/>
      <c r="E3168" s="5" t="str">
        <f t="shared" si="60"/>
        <v>https://www.screener.in/company//consolidated/</v>
      </c>
      <c r="F3168" s="4">
        <v>443059</v>
      </c>
      <c r="G3168" s="4">
        <v>3832241897</v>
      </c>
      <c r="H3168" s="6" t="e">
        <f t="shared" ca="1" si="61"/>
        <v>#VALUE!</v>
      </c>
      <c r="I3168" s="7" t="str">
        <f ca="1">IFERROR(__xludf.DUMMYFUNCTION("IMPORTXML(E3168,""/html/body/main/div[3]/div[3]/div[2]/ul/li[5]/span[2]/span"")"),"Loading...")</f>
        <v>Loading...</v>
      </c>
      <c r="J3168" s="7" t="str">
        <f ca="1">IFERROR(__xludf.DUMMYFUNCTION("GOOGLEFINANCE(""NSE:""&amp;D3168,""marketcap"")"),"#N/A")</f>
        <v>#N/A</v>
      </c>
      <c r="K3168" s="7">
        <v>992.8</v>
      </c>
      <c r="L3168" s="8" t="str">
        <f ca="1">IFERROR(__xludf.DUMMYFUNCTION("GOOGLEFINANCE(""NSE:""&amp;D3168,""price"")"),"#N/A")</f>
        <v>#N/A</v>
      </c>
      <c r="M3168" s="9" t="e">
        <f t="shared" ca="1" si="62"/>
        <v>#VALUE!</v>
      </c>
      <c r="N3168" s="10" t="e">
        <f t="shared" ca="1" si="63"/>
        <v>#VALUE!</v>
      </c>
      <c r="O3168" s="7" t="str">
        <f ca="1">IFERROR(__xludf.DUMMYFUNCTION("GOOGLEFINANCE(""NSE:""&amp;D3168,""pe"")"),"#N/A")</f>
        <v>#N/A</v>
      </c>
      <c r="P3168" s="7" t="str">
        <f ca="1">IFERROR(__xludf.DUMMYFUNCTION("GOOGLEFINANCE(""NSE:""&amp;D3168,""EPS"")"),"#N/A")</f>
        <v>#N/A</v>
      </c>
      <c r="Q3168" s="7">
        <v>13.5</v>
      </c>
      <c r="R3168" s="7" t="str">
        <f ca="1">IFERROR(__xludf.DUMMYFUNCTION("IMPORTXML(E3168,""/html/body/main/div[3]/div[3]/div[2]/ul/li[7]/span[2]/span"")"),"Loading...")</f>
        <v>Loading...</v>
      </c>
      <c r="S3168" s="7" t="str">
        <f ca="1">IFERROR(__xludf.DUMMYFUNCTION("IMPORTXML(E3168,""/html/body/main/div[3]/div[3]/div[2]/ul/li[8]/span[2]/span"")"),"Loading...")</f>
        <v>Loading...</v>
      </c>
      <c r="T3168" s="4">
        <v>34.6</v>
      </c>
      <c r="U3168" s="4">
        <v>22.7</v>
      </c>
      <c r="V3168" s="4">
        <v>2.6</v>
      </c>
      <c r="W3168" s="4">
        <v>5.7</v>
      </c>
      <c r="X3168" s="4">
        <v>519.92999999999995</v>
      </c>
      <c r="Y3168" s="7" t="e">
        <f t="shared" ca="1" si="64"/>
        <v>#VALUE!</v>
      </c>
    </row>
    <row r="3169" spans="1:25" ht="15" x14ac:dyDescent="0.25">
      <c r="A3169" s="4">
        <v>3154</v>
      </c>
      <c r="C3169" s="41" t="s">
        <v>5496</v>
      </c>
      <c r="D3169" s="42"/>
      <c r="E3169" s="5" t="str">
        <f t="shared" si="60"/>
        <v>https://www.screener.in/company//consolidated/</v>
      </c>
      <c r="F3169" s="4">
        <v>443059</v>
      </c>
      <c r="G3169" s="4">
        <v>3832241897</v>
      </c>
      <c r="H3169" s="6" t="e">
        <f t="shared" ca="1" si="61"/>
        <v>#VALUE!</v>
      </c>
      <c r="I3169" s="7" t="str">
        <f ca="1">IFERROR(__xludf.DUMMYFUNCTION("IMPORTXML(E3169,""/html/body/main/div[3]/div[3]/div[2]/ul/li[5]/span[2]/span"")"),"Loading...")</f>
        <v>Loading...</v>
      </c>
      <c r="J3169" s="7" t="str">
        <f ca="1">IFERROR(__xludf.DUMMYFUNCTION("GOOGLEFINANCE(""NSE:""&amp;D3169,""marketcap"")"),"#N/A")</f>
        <v>#N/A</v>
      </c>
      <c r="K3169" s="7">
        <v>992.8</v>
      </c>
      <c r="L3169" s="8" t="str">
        <f ca="1">IFERROR(__xludf.DUMMYFUNCTION("GOOGLEFINANCE(""NSE:""&amp;D3169,""price"")"),"#N/A")</f>
        <v>#N/A</v>
      </c>
      <c r="M3169" s="9" t="e">
        <f t="shared" ca="1" si="62"/>
        <v>#VALUE!</v>
      </c>
      <c r="N3169" s="10" t="e">
        <f t="shared" ca="1" si="63"/>
        <v>#VALUE!</v>
      </c>
      <c r="O3169" s="7" t="str">
        <f ca="1">IFERROR(__xludf.DUMMYFUNCTION("GOOGLEFINANCE(""NSE:""&amp;D3169,""pe"")"),"#N/A")</f>
        <v>#N/A</v>
      </c>
      <c r="P3169" s="7" t="str">
        <f ca="1">IFERROR(__xludf.DUMMYFUNCTION("GOOGLEFINANCE(""NSE:""&amp;D3169,""EPS"")"),"#N/A")</f>
        <v>#N/A</v>
      </c>
      <c r="Q3169" s="7">
        <v>13.5</v>
      </c>
      <c r="R3169" s="7" t="str">
        <f ca="1">IFERROR(__xludf.DUMMYFUNCTION("IMPORTXML(E3169,""/html/body/main/div[3]/div[3]/div[2]/ul/li[7]/span[2]/span"")"),"Loading...")</f>
        <v>Loading...</v>
      </c>
      <c r="S3169" s="7" t="str">
        <f ca="1">IFERROR(__xludf.DUMMYFUNCTION("IMPORTXML(E3169,""/html/body/main/div[3]/div[3]/div[2]/ul/li[8]/span[2]/span"")"),"Loading...")</f>
        <v>Loading...</v>
      </c>
      <c r="T3169" s="4">
        <v>34.6</v>
      </c>
      <c r="U3169" s="4">
        <v>22.7</v>
      </c>
      <c r="V3169" s="4">
        <v>2.6</v>
      </c>
      <c r="W3169" s="4">
        <v>5.7</v>
      </c>
      <c r="X3169" s="4">
        <v>519.92999999999995</v>
      </c>
      <c r="Y3169" s="7" t="e">
        <f t="shared" ca="1" si="64"/>
        <v>#VALUE!</v>
      </c>
    </row>
    <row r="3170" spans="1:25" ht="15" x14ac:dyDescent="0.25">
      <c r="A3170" s="4">
        <v>3155</v>
      </c>
      <c r="C3170" s="12" t="s">
        <v>5497</v>
      </c>
      <c r="D3170" s="12" t="s">
        <v>5498</v>
      </c>
      <c r="E3170" s="5" t="str">
        <f t="shared" si="60"/>
        <v>https://www.screener.in/company/GLOBALE/consolidated/</v>
      </c>
      <c r="F3170" s="4">
        <v>443059</v>
      </c>
      <c r="G3170" s="4">
        <v>3832241897</v>
      </c>
      <c r="H3170" s="6">
        <f t="shared" ca="1" si="61"/>
        <v>5434.119009946</v>
      </c>
      <c r="I3170" s="7" t="str">
        <f ca="1">IFERROR(__xludf.DUMMYFUNCTION("IMPORTXML(E3170,""/html/body/main/div[3]/div[3]/div[2]/ul/li[5]/span[2]/span"")"),"Loading...")</f>
        <v>Loading...</v>
      </c>
      <c r="J3170" s="7">
        <f ca="1">IFERROR(__xludf.DUMMYFUNCTION("GOOGLEFINANCE(""NSE:""&amp;D3170,""marketcap"")"),148790100)</f>
        <v>148790100</v>
      </c>
      <c r="K3170" s="7">
        <v>992.8</v>
      </c>
      <c r="L3170" s="8">
        <f ca="1">IFERROR(__xludf.DUMMYFUNCTION("GOOGLEFINANCE(""NSE:""&amp;D3170,""price"")"),14.18)</f>
        <v>14.18</v>
      </c>
      <c r="M3170" s="9">
        <f t="shared" ca="1" si="62"/>
        <v>-978.62</v>
      </c>
      <c r="N3170" s="10">
        <f t="shared" ca="1" si="63"/>
        <v>-98.571716357775998</v>
      </c>
      <c r="O3170" s="7" t="str">
        <f ca="1">IFERROR(__xludf.DUMMYFUNCTION("GOOGLEFINANCE(""NSE:""&amp;D3170,""pe"")"),"#N/A")</f>
        <v>#N/A</v>
      </c>
      <c r="P3170" s="7">
        <f ca="1">IFERROR(__xludf.DUMMYFUNCTION("GOOGLEFINANCE(""NSE:""&amp;D3170,""EPS"")"),-1.54)</f>
        <v>-1.54</v>
      </c>
      <c r="Q3170" s="7">
        <v>13.5</v>
      </c>
      <c r="R3170" s="7" t="str">
        <f ca="1">IFERROR(__xludf.DUMMYFUNCTION("IMPORTXML(E3170,""/html/body/main/div[3]/div[3]/div[2]/ul/li[7]/span[2]/span"")"),"Loading...")</f>
        <v>Loading...</v>
      </c>
      <c r="S3170" s="7" t="str">
        <f ca="1">IFERROR(__xludf.DUMMYFUNCTION("IMPORTXML(E3170,""/html/body/main/div[3]/div[3]/div[2]/ul/li[8]/span[2]/span"")"),"Loading...")</f>
        <v>Loading...</v>
      </c>
      <c r="T3170" s="4">
        <v>34.6</v>
      </c>
      <c r="U3170" s="4">
        <v>22.7</v>
      </c>
      <c r="V3170" s="4">
        <v>2.6</v>
      </c>
      <c r="W3170" s="4">
        <v>5.7</v>
      </c>
      <c r="X3170" s="4">
        <v>519.92999999999995</v>
      </c>
      <c r="Y3170" s="7">
        <f t="shared" ca="1" si="64"/>
        <v>-505.74999999999994</v>
      </c>
    </row>
    <row r="3171" spans="1:25" ht="15" x14ac:dyDescent="0.25">
      <c r="A3171" s="4">
        <v>3156</v>
      </c>
      <c r="C3171" s="41" t="s">
        <v>5499</v>
      </c>
      <c r="D3171" s="42"/>
      <c r="E3171" s="5" t="str">
        <f t="shared" si="60"/>
        <v>https://www.screener.in/company//consolidated/</v>
      </c>
      <c r="F3171" s="4">
        <v>443059</v>
      </c>
      <c r="G3171" s="4">
        <v>3832241897</v>
      </c>
      <c r="H3171" s="6" t="e">
        <f t="shared" ca="1" si="61"/>
        <v>#VALUE!</v>
      </c>
      <c r="I3171" s="7" t="str">
        <f ca="1">IFERROR(__xludf.DUMMYFUNCTION("IMPORTXML(E3171,""/html/body/main/div[3]/div[3]/div[2]/ul/li[5]/span[2]/span"")"),"Loading...")</f>
        <v>Loading...</v>
      </c>
      <c r="J3171" s="7" t="str">
        <f ca="1">IFERROR(__xludf.DUMMYFUNCTION("GOOGLEFINANCE(""NSE:""&amp;D3171,""marketcap"")"),"#N/A")</f>
        <v>#N/A</v>
      </c>
      <c r="K3171" s="7">
        <v>992.8</v>
      </c>
      <c r="L3171" s="8" t="str">
        <f ca="1">IFERROR(__xludf.DUMMYFUNCTION("GOOGLEFINANCE(""NSE:""&amp;D3171,""price"")"),"#N/A")</f>
        <v>#N/A</v>
      </c>
      <c r="M3171" s="9" t="e">
        <f t="shared" ca="1" si="62"/>
        <v>#VALUE!</v>
      </c>
      <c r="N3171" s="10" t="e">
        <f t="shared" ca="1" si="63"/>
        <v>#VALUE!</v>
      </c>
      <c r="O3171" s="7" t="str">
        <f ca="1">IFERROR(__xludf.DUMMYFUNCTION("GOOGLEFINANCE(""NSE:""&amp;D3171,""pe"")"),"#N/A")</f>
        <v>#N/A</v>
      </c>
      <c r="P3171" s="7" t="str">
        <f ca="1">IFERROR(__xludf.DUMMYFUNCTION("GOOGLEFINANCE(""NSE:""&amp;D3171,""EPS"")"),"#N/A")</f>
        <v>#N/A</v>
      </c>
      <c r="Q3171" s="7">
        <v>13.5</v>
      </c>
      <c r="R3171" s="7" t="str">
        <f ca="1">IFERROR(__xludf.DUMMYFUNCTION("IMPORTXML(E3171,""/html/body/main/div[3]/div[3]/div[2]/ul/li[7]/span[2]/span"")"),"Loading...")</f>
        <v>Loading...</v>
      </c>
      <c r="S3171" s="7" t="str">
        <f ca="1">IFERROR(__xludf.DUMMYFUNCTION("IMPORTXML(E3171,""/html/body/main/div[3]/div[3]/div[2]/ul/li[8]/span[2]/span"")"),"Loading...")</f>
        <v>Loading...</v>
      </c>
      <c r="T3171" s="4">
        <v>34.6</v>
      </c>
      <c r="U3171" s="4">
        <v>22.7</v>
      </c>
      <c r="V3171" s="4">
        <v>2.6</v>
      </c>
      <c r="W3171" s="4">
        <v>5.7</v>
      </c>
      <c r="X3171" s="4">
        <v>519.92999999999995</v>
      </c>
      <c r="Y3171" s="7" t="e">
        <f t="shared" ca="1" si="64"/>
        <v>#VALUE!</v>
      </c>
    </row>
    <row r="3172" spans="1:25" ht="15" x14ac:dyDescent="0.25">
      <c r="A3172" s="4">
        <v>3158</v>
      </c>
      <c r="C3172" s="41" t="s">
        <v>5500</v>
      </c>
      <c r="D3172" s="42"/>
      <c r="E3172" s="5" t="str">
        <f t="shared" si="60"/>
        <v>https://www.screener.in/company//consolidated/</v>
      </c>
      <c r="F3172" s="4">
        <v>443059</v>
      </c>
      <c r="G3172" s="4">
        <v>3832241897</v>
      </c>
      <c r="H3172" s="6" t="e">
        <f t="shared" ca="1" si="61"/>
        <v>#VALUE!</v>
      </c>
      <c r="I3172" s="7" t="str">
        <f ca="1">IFERROR(__xludf.DUMMYFUNCTION("IMPORTXML(E3172,""/html/body/main/div[3]/div[3]/div[2]/ul/li[5]/span[2]/span"")"),"Loading...")</f>
        <v>Loading...</v>
      </c>
      <c r="J3172" s="7" t="str">
        <f ca="1">IFERROR(__xludf.DUMMYFUNCTION("GOOGLEFINANCE(""NSE:""&amp;D3172,""marketcap"")"),"#N/A")</f>
        <v>#N/A</v>
      </c>
      <c r="K3172" s="7">
        <v>992.8</v>
      </c>
      <c r="L3172" s="8" t="str">
        <f ca="1">IFERROR(__xludf.DUMMYFUNCTION("GOOGLEFINANCE(""NSE:""&amp;D3172,""price"")"),"#N/A")</f>
        <v>#N/A</v>
      </c>
      <c r="M3172" s="9" t="e">
        <f t="shared" ca="1" si="62"/>
        <v>#VALUE!</v>
      </c>
      <c r="N3172" s="10" t="e">
        <f t="shared" ca="1" si="63"/>
        <v>#VALUE!</v>
      </c>
      <c r="O3172" s="7" t="str">
        <f ca="1">IFERROR(__xludf.DUMMYFUNCTION("GOOGLEFINANCE(""NSE:""&amp;D3172,""pe"")"),"#N/A")</f>
        <v>#N/A</v>
      </c>
      <c r="P3172" s="7" t="str">
        <f ca="1">IFERROR(__xludf.DUMMYFUNCTION("GOOGLEFINANCE(""NSE:""&amp;D3172,""EPS"")"),"#N/A")</f>
        <v>#N/A</v>
      </c>
      <c r="Q3172" s="7">
        <v>13.5</v>
      </c>
      <c r="R3172" s="7" t="str">
        <f ca="1">IFERROR(__xludf.DUMMYFUNCTION("IMPORTXML(E3172,""/html/body/main/div[3]/div[3]/div[2]/ul/li[7]/span[2]/span"")"),"Loading...")</f>
        <v>Loading...</v>
      </c>
      <c r="S3172" s="7" t="str">
        <f ca="1">IFERROR(__xludf.DUMMYFUNCTION("IMPORTXML(E3172,""/html/body/main/div[3]/div[3]/div[2]/ul/li[8]/span[2]/span"")"),"Loading...")</f>
        <v>Loading...</v>
      </c>
      <c r="T3172" s="4">
        <v>34.6</v>
      </c>
      <c r="U3172" s="4">
        <v>22.7</v>
      </c>
      <c r="V3172" s="4">
        <v>2.6</v>
      </c>
      <c r="W3172" s="4">
        <v>5.7</v>
      </c>
      <c r="X3172" s="4">
        <v>519.92999999999995</v>
      </c>
      <c r="Y3172" s="7" t="e">
        <f t="shared" ca="1" si="64"/>
        <v>#VALUE!</v>
      </c>
    </row>
    <row r="3173" spans="1:25" ht="15" x14ac:dyDescent="0.25">
      <c r="A3173" s="4">
        <v>3159</v>
      </c>
      <c r="C3173" s="41" t="s">
        <v>5501</v>
      </c>
      <c r="D3173" s="42"/>
      <c r="E3173" s="5" t="str">
        <f t="shared" si="60"/>
        <v>https://www.screener.in/company//consolidated/</v>
      </c>
      <c r="F3173" s="4">
        <v>443059</v>
      </c>
      <c r="G3173" s="4">
        <v>3832241897</v>
      </c>
      <c r="H3173" s="6" t="e">
        <f t="shared" ca="1" si="61"/>
        <v>#VALUE!</v>
      </c>
      <c r="I3173" s="7" t="str">
        <f ca="1">IFERROR(__xludf.DUMMYFUNCTION("IMPORTXML(E3173,""/html/body/main/div[3]/div[3]/div[2]/ul/li[5]/span[2]/span"")"),"Loading...")</f>
        <v>Loading...</v>
      </c>
      <c r="J3173" s="7" t="str">
        <f ca="1">IFERROR(__xludf.DUMMYFUNCTION("GOOGLEFINANCE(""NSE:""&amp;D3173,""marketcap"")"),"#N/A")</f>
        <v>#N/A</v>
      </c>
      <c r="K3173" s="7">
        <v>992.8</v>
      </c>
      <c r="L3173" s="8" t="str">
        <f ca="1">IFERROR(__xludf.DUMMYFUNCTION("GOOGLEFINANCE(""NSE:""&amp;D3173,""price"")"),"#N/A")</f>
        <v>#N/A</v>
      </c>
      <c r="M3173" s="9" t="e">
        <f t="shared" ca="1" si="62"/>
        <v>#VALUE!</v>
      </c>
      <c r="N3173" s="10" t="e">
        <f t="shared" ca="1" si="63"/>
        <v>#VALUE!</v>
      </c>
      <c r="O3173" s="7" t="str">
        <f ca="1">IFERROR(__xludf.DUMMYFUNCTION("GOOGLEFINANCE(""NSE:""&amp;D3173,""pe"")"),"#N/A")</f>
        <v>#N/A</v>
      </c>
      <c r="P3173" s="7" t="str">
        <f ca="1">IFERROR(__xludf.DUMMYFUNCTION("GOOGLEFINANCE(""NSE:""&amp;D3173,""EPS"")"),"#N/A")</f>
        <v>#N/A</v>
      </c>
      <c r="Q3173" s="7">
        <v>13.5</v>
      </c>
      <c r="R3173" s="7" t="str">
        <f ca="1">IFERROR(__xludf.DUMMYFUNCTION("IMPORTXML(E3173,""/html/body/main/div[3]/div[3]/div[2]/ul/li[7]/span[2]/span"")"),"Loading...")</f>
        <v>Loading...</v>
      </c>
      <c r="S3173" s="7" t="str">
        <f ca="1">IFERROR(__xludf.DUMMYFUNCTION("IMPORTXML(E3173,""/html/body/main/div[3]/div[3]/div[2]/ul/li[8]/span[2]/span"")"),"Loading...")</f>
        <v>Loading...</v>
      </c>
      <c r="T3173" s="4">
        <v>34.6</v>
      </c>
      <c r="U3173" s="4">
        <v>22.7</v>
      </c>
      <c r="V3173" s="4">
        <v>2.6</v>
      </c>
      <c r="W3173" s="4">
        <v>5.7</v>
      </c>
      <c r="X3173" s="4">
        <v>519.92999999999995</v>
      </c>
      <c r="Y3173" s="7" t="e">
        <f t="shared" ca="1" si="64"/>
        <v>#VALUE!</v>
      </c>
    </row>
    <row r="3174" spans="1:25" ht="15" x14ac:dyDescent="0.25">
      <c r="A3174" s="4">
        <v>3160</v>
      </c>
      <c r="C3174" s="12" t="s">
        <v>5502</v>
      </c>
      <c r="D3174" s="12" t="s">
        <v>5503</v>
      </c>
      <c r="E3174" s="5" t="str">
        <f t="shared" si="60"/>
        <v>https://www.screener.in/company/HAVISHA/consolidated/</v>
      </c>
      <c r="F3174" s="4">
        <v>443059</v>
      </c>
      <c r="G3174" s="4">
        <v>3832241897</v>
      </c>
      <c r="H3174" s="6">
        <f t="shared" ca="1" si="61"/>
        <v>777.94510509099985</v>
      </c>
      <c r="I3174" s="7" t="str">
        <f ca="1">IFERROR(__xludf.DUMMYFUNCTION("IMPORTXML(E3174,""/html/body/main/div[3]/div[3]/div[2]/ul/li[5]/span[2]/span"")"),"Loading...")</f>
        <v>Loading...</v>
      </c>
      <c r="J3174" s="7">
        <f ca="1">IFERROR(__xludf.DUMMYFUNCTION("GOOGLEFINANCE(""NSE:""&amp;D3174,""marketcap"")"),300930200)</f>
        <v>300930200</v>
      </c>
      <c r="K3174" s="7">
        <v>992.8</v>
      </c>
      <c r="L3174" s="8">
        <f ca="1">IFERROR(__xludf.DUMMYFUNCTION("GOOGLEFINANCE(""NSE:""&amp;D3174,""price"")"),2.03)</f>
        <v>2.0299999999999998</v>
      </c>
      <c r="M3174" s="9">
        <f t="shared" ca="1" si="62"/>
        <v>-990.77</v>
      </c>
      <c r="N3174" s="10">
        <f t="shared" ca="1" si="63"/>
        <v>-99.795527800161167</v>
      </c>
      <c r="O3174" s="7" t="str">
        <f ca="1">IFERROR(__xludf.DUMMYFUNCTION("GOOGLEFINANCE(""NSE:""&amp;D3174,""pe"")"),"#N/A")</f>
        <v>#N/A</v>
      </c>
      <c r="P3174" s="7">
        <f ca="1">IFERROR(__xludf.DUMMYFUNCTION("GOOGLEFINANCE(""NSE:""&amp;D3174,""EPS"")"),-0.15)</f>
        <v>-0.15</v>
      </c>
      <c r="Q3174" s="7">
        <v>13.5</v>
      </c>
      <c r="R3174" s="7" t="str">
        <f ca="1">IFERROR(__xludf.DUMMYFUNCTION("IMPORTXML(E3174,""/html/body/main/div[3]/div[3]/div[2]/ul/li[7]/span[2]/span"")"),"Loading...")</f>
        <v>Loading...</v>
      </c>
      <c r="S3174" s="7" t="str">
        <f ca="1">IFERROR(__xludf.DUMMYFUNCTION("IMPORTXML(E3174,""/html/body/main/div[3]/div[3]/div[2]/ul/li[8]/span[2]/span"")"),"Loading...")</f>
        <v>Loading...</v>
      </c>
      <c r="T3174" s="4">
        <v>34.6</v>
      </c>
      <c r="U3174" s="4">
        <v>22.7</v>
      </c>
      <c r="V3174" s="4">
        <v>2.6</v>
      </c>
      <c r="W3174" s="4">
        <v>5.7</v>
      </c>
      <c r="X3174" s="4">
        <v>519.92999999999995</v>
      </c>
      <c r="Y3174" s="7">
        <f t="shared" ca="1" si="64"/>
        <v>-517.9</v>
      </c>
    </row>
    <row r="3175" spans="1:25" ht="15" x14ac:dyDescent="0.25">
      <c r="A3175" s="4">
        <v>3161</v>
      </c>
      <c r="C3175" s="41" t="s">
        <v>5504</v>
      </c>
      <c r="D3175" s="42"/>
      <c r="E3175" s="5" t="str">
        <f t="shared" si="60"/>
        <v>https://www.screener.in/company//consolidated/</v>
      </c>
      <c r="F3175" s="4">
        <v>443059</v>
      </c>
      <c r="G3175" s="4">
        <v>3832241897</v>
      </c>
      <c r="H3175" s="6" t="e">
        <f t="shared" ca="1" si="61"/>
        <v>#VALUE!</v>
      </c>
      <c r="I3175" s="7" t="str">
        <f ca="1">IFERROR(__xludf.DUMMYFUNCTION("IMPORTXML(E3175,""/html/body/main/div[3]/div[3]/div[2]/ul/li[5]/span[2]/span"")"),"Loading...")</f>
        <v>Loading...</v>
      </c>
      <c r="J3175" s="7" t="str">
        <f ca="1">IFERROR(__xludf.DUMMYFUNCTION("GOOGLEFINANCE(""NSE:""&amp;D3175,""marketcap"")"),"#N/A")</f>
        <v>#N/A</v>
      </c>
      <c r="K3175" s="7">
        <v>992.8</v>
      </c>
      <c r="L3175" s="8" t="str">
        <f ca="1">IFERROR(__xludf.DUMMYFUNCTION("GOOGLEFINANCE(""NSE:""&amp;D3175,""price"")"),"#N/A")</f>
        <v>#N/A</v>
      </c>
      <c r="M3175" s="9" t="e">
        <f t="shared" ca="1" si="62"/>
        <v>#VALUE!</v>
      </c>
      <c r="N3175" s="10" t="e">
        <f t="shared" ca="1" si="63"/>
        <v>#VALUE!</v>
      </c>
      <c r="O3175" s="7" t="str">
        <f ca="1">IFERROR(__xludf.DUMMYFUNCTION("GOOGLEFINANCE(""NSE:""&amp;D3175,""pe"")"),"#N/A")</f>
        <v>#N/A</v>
      </c>
      <c r="P3175" s="7" t="str">
        <f ca="1">IFERROR(__xludf.DUMMYFUNCTION("GOOGLEFINANCE(""NSE:""&amp;D3175,""EPS"")"),"#N/A")</f>
        <v>#N/A</v>
      </c>
      <c r="Q3175" s="7">
        <v>13.5</v>
      </c>
      <c r="R3175" s="7" t="str">
        <f ca="1">IFERROR(__xludf.DUMMYFUNCTION("IMPORTXML(E3175,""/html/body/main/div[3]/div[3]/div[2]/ul/li[7]/span[2]/span"")"),"Loading...")</f>
        <v>Loading...</v>
      </c>
      <c r="S3175" s="7" t="str">
        <f ca="1">IFERROR(__xludf.DUMMYFUNCTION("IMPORTXML(E3175,""/html/body/main/div[3]/div[3]/div[2]/ul/li[8]/span[2]/span"")"),"Loading...")</f>
        <v>Loading...</v>
      </c>
      <c r="T3175" s="4">
        <v>34.6</v>
      </c>
      <c r="U3175" s="4">
        <v>22.7</v>
      </c>
      <c r="V3175" s="4">
        <v>2.6</v>
      </c>
      <c r="W3175" s="4">
        <v>5.7</v>
      </c>
      <c r="X3175" s="4">
        <v>519.92999999999995</v>
      </c>
      <c r="Y3175" s="7" t="e">
        <f t="shared" ca="1" si="64"/>
        <v>#VALUE!</v>
      </c>
    </row>
    <row r="3176" spans="1:25" ht="15" x14ac:dyDescent="0.25">
      <c r="A3176" s="4">
        <v>3162</v>
      </c>
      <c r="C3176" s="41" t="s">
        <v>5505</v>
      </c>
      <c r="D3176" s="42"/>
      <c r="E3176" s="5" t="str">
        <f t="shared" si="60"/>
        <v>https://www.screener.in/company//consolidated/</v>
      </c>
      <c r="F3176" s="4">
        <v>443059</v>
      </c>
      <c r="G3176" s="4">
        <v>3832241897</v>
      </c>
      <c r="H3176" s="6" t="e">
        <f t="shared" ca="1" si="61"/>
        <v>#VALUE!</v>
      </c>
      <c r="I3176" s="7" t="str">
        <f ca="1">IFERROR(__xludf.DUMMYFUNCTION("IMPORTXML(E3176,""/html/body/main/div[3]/div[3]/div[2]/ul/li[5]/span[2]/span"")"),"Loading...")</f>
        <v>Loading...</v>
      </c>
      <c r="J3176" s="7" t="str">
        <f ca="1">IFERROR(__xludf.DUMMYFUNCTION("GOOGLEFINANCE(""NSE:""&amp;D3176,""marketcap"")"),"#N/A")</f>
        <v>#N/A</v>
      </c>
      <c r="K3176" s="7">
        <v>992.8</v>
      </c>
      <c r="L3176" s="8" t="str">
        <f ca="1">IFERROR(__xludf.DUMMYFUNCTION("GOOGLEFINANCE(""NSE:""&amp;D3176,""price"")"),"#N/A")</f>
        <v>#N/A</v>
      </c>
      <c r="M3176" s="9" t="e">
        <f t="shared" ca="1" si="62"/>
        <v>#VALUE!</v>
      </c>
      <c r="N3176" s="10" t="e">
        <f t="shared" ca="1" si="63"/>
        <v>#VALUE!</v>
      </c>
      <c r="O3176" s="7" t="str">
        <f ca="1">IFERROR(__xludf.DUMMYFUNCTION("GOOGLEFINANCE(""NSE:""&amp;D3176,""pe"")"),"#N/A")</f>
        <v>#N/A</v>
      </c>
      <c r="P3176" s="7" t="str">
        <f ca="1">IFERROR(__xludf.DUMMYFUNCTION("GOOGLEFINANCE(""NSE:""&amp;D3176,""EPS"")"),"#N/A")</f>
        <v>#N/A</v>
      </c>
      <c r="Q3176" s="7">
        <v>13.5</v>
      </c>
      <c r="R3176" s="7" t="str">
        <f ca="1">IFERROR(__xludf.DUMMYFUNCTION("IMPORTXML(E3176,""/html/body/main/div[3]/div[3]/div[2]/ul/li[7]/span[2]/span"")"),"Loading...")</f>
        <v>Loading...</v>
      </c>
      <c r="S3176" s="7" t="str">
        <f ca="1">IFERROR(__xludf.DUMMYFUNCTION("IMPORTXML(E3176,""/html/body/main/div[3]/div[3]/div[2]/ul/li[8]/span[2]/span"")"),"Loading...")</f>
        <v>Loading...</v>
      </c>
      <c r="T3176" s="4">
        <v>34.6</v>
      </c>
      <c r="U3176" s="4">
        <v>22.7</v>
      </c>
      <c r="V3176" s="4">
        <v>2.6</v>
      </c>
      <c r="W3176" s="4">
        <v>5.7</v>
      </c>
      <c r="X3176" s="4">
        <v>519.92999999999995</v>
      </c>
      <c r="Y3176" s="7" t="e">
        <f t="shared" ca="1" si="64"/>
        <v>#VALUE!</v>
      </c>
    </row>
    <row r="3177" spans="1:25" ht="15" x14ac:dyDescent="0.25">
      <c r="A3177" s="4">
        <v>3163</v>
      </c>
      <c r="C3177" s="12" t="s">
        <v>5506</v>
      </c>
      <c r="D3177" s="37"/>
      <c r="E3177" s="5" t="str">
        <f t="shared" si="60"/>
        <v>https://www.screener.in/company//consolidated/</v>
      </c>
      <c r="F3177" s="4">
        <v>443059</v>
      </c>
      <c r="G3177" s="4">
        <v>3832241897</v>
      </c>
      <c r="H3177" s="6" t="e">
        <f t="shared" ca="1" si="61"/>
        <v>#VALUE!</v>
      </c>
      <c r="I3177" s="7" t="str">
        <f ca="1">IFERROR(__xludf.DUMMYFUNCTION("IMPORTXML(E3177,""/html/body/main/div[3]/div[3]/div[2]/ul/li[5]/span[2]/span"")"),"Loading...")</f>
        <v>Loading...</v>
      </c>
      <c r="J3177" s="7" t="str">
        <f ca="1">IFERROR(__xludf.DUMMYFUNCTION("GOOGLEFINANCE(""NSE:""&amp;D3177,""marketcap"")"),"#N/A")</f>
        <v>#N/A</v>
      </c>
      <c r="K3177" s="7">
        <v>992.8</v>
      </c>
      <c r="L3177" s="8" t="str">
        <f ca="1">IFERROR(__xludf.DUMMYFUNCTION("GOOGLEFINANCE(""NSE:""&amp;D3177,""price"")"),"#N/A")</f>
        <v>#N/A</v>
      </c>
      <c r="M3177" s="9" t="e">
        <f t="shared" ca="1" si="62"/>
        <v>#VALUE!</v>
      </c>
      <c r="N3177" s="10" t="e">
        <f t="shared" ca="1" si="63"/>
        <v>#VALUE!</v>
      </c>
      <c r="O3177" s="7" t="str">
        <f ca="1">IFERROR(__xludf.DUMMYFUNCTION("GOOGLEFINANCE(""NSE:""&amp;D3177,""pe"")"),"#N/A")</f>
        <v>#N/A</v>
      </c>
      <c r="P3177" s="7" t="str">
        <f ca="1">IFERROR(__xludf.DUMMYFUNCTION("GOOGLEFINANCE(""NSE:""&amp;D3177,""EPS"")"),"#N/A")</f>
        <v>#N/A</v>
      </c>
      <c r="Q3177" s="7">
        <v>13.5</v>
      </c>
      <c r="R3177" s="7" t="str">
        <f ca="1">IFERROR(__xludf.DUMMYFUNCTION("IMPORTXML(E3177,""/html/body/main/div[3]/div[3]/div[2]/ul/li[7]/span[2]/span"")"),"Loading...")</f>
        <v>Loading...</v>
      </c>
      <c r="S3177" s="7" t="str">
        <f ca="1">IFERROR(__xludf.DUMMYFUNCTION("IMPORTXML(E3177,""/html/body/main/div[3]/div[3]/div[2]/ul/li[8]/span[2]/span"")"),"Loading...")</f>
        <v>Loading...</v>
      </c>
      <c r="T3177" s="4">
        <v>34.6</v>
      </c>
      <c r="U3177" s="4">
        <v>22.7</v>
      </c>
      <c r="V3177" s="4">
        <v>2.6</v>
      </c>
      <c r="W3177" s="4">
        <v>5.7</v>
      </c>
      <c r="X3177" s="4">
        <v>519.92999999999995</v>
      </c>
      <c r="Y3177" s="7" t="e">
        <f t="shared" ca="1" si="64"/>
        <v>#VALUE!</v>
      </c>
    </row>
    <row r="3178" spans="1:25" ht="15" x14ac:dyDescent="0.25">
      <c r="A3178" s="4">
        <v>3164</v>
      </c>
      <c r="C3178" s="41" t="s">
        <v>5507</v>
      </c>
      <c r="D3178" s="42"/>
      <c r="E3178" s="5" t="str">
        <f t="shared" si="60"/>
        <v>https://www.screener.in/company//consolidated/</v>
      </c>
      <c r="F3178" s="4">
        <v>443059</v>
      </c>
      <c r="G3178" s="4">
        <v>3832241897</v>
      </c>
      <c r="H3178" s="6" t="e">
        <f t="shared" ca="1" si="61"/>
        <v>#VALUE!</v>
      </c>
      <c r="I3178" s="7" t="str">
        <f ca="1">IFERROR(__xludf.DUMMYFUNCTION("IMPORTXML(E3178,""/html/body/main/div[3]/div[3]/div[2]/ul/li[5]/span[2]/span"")"),"Loading...")</f>
        <v>Loading...</v>
      </c>
      <c r="J3178" s="7" t="str">
        <f ca="1">IFERROR(__xludf.DUMMYFUNCTION("GOOGLEFINANCE(""NSE:""&amp;D3178,""marketcap"")"),"#N/A")</f>
        <v>#N/A</v>
      </c>
      <c r="K3178" s="7">
        <v>992.8</v>
      </c>
      <c r="L3178" s="8" t="str">
        <f ca="1">IFERROR(__xludf.DUMMYFUNCTION("GOOGLEFINANCE(""NSE:""&amp;D3178,""price"")"),"#N/A")</f>
        <v>#N/A</v>
      </c>
      <c r="M3178" s="9" t="e">
        <f t="shared" ca="1" si="62"/>
        <v>#VALUE!</v>
      </c>
      <c r="N3178" s="10" t="e">
        <f t="shared" ca="1" si="63"/>
        <v>#VALUE!</v>
      </c>
      <c r="O3178" s="7" t="str">
        <f ca="1">IFERROR(__xludf.DUMMYFUNCTION("GOOGLEFINANCE(""NSE:""&amp;D3178,""pe"")"),"#N/A")</f>
        <v>#N/A</v>
      </c>
      <c r="P3178" s="7" t="str">
        <f ca="1">IFERROR(__xludf.DUMMYFUNCTION("GOOGLEFINANCE(""NSE:""&amp;D3178,""EPS"")"),"#N/A")</f>
        <v>#N/A</v>
      </c>
      <c r="Q3178" s="7">
        <v>13.5</v>
      </c>
      <c r="R3178" s="7" t="str">
        <f ca="1">IFERROR(__xludf.DUMMYFUNCTION("IMPORTXML(E3178,""/html/body/main/div[3]/div[3]/div[2]/ul/li[7]/span[2]/span"")"),"Loading...")</f>
        <v>Loading...</v>
      </c>
      <c r="S3178" s="7" t="str">
        <f ca="1">IFERROR(__xludf.DUMMYFUNCTION("IMPORTXML(E3178,""/html/body/main/div[3]/div[3]/div[2]/ul/li[8]/span[2]/span"")"),"Loading...")</f>
        <v>Loading...</v>
      </c>
      <c r="T3178" s="4">
        <v>34.6</v>
      </c>
      <c r="U3178" s="4">
        <v>22.7</v>
      </c>
      <c r="V3178" s="4">
        <v>2.6</v>
      </c>
      <c r="W3178" s="4">
        <v>5.7</v>
      </c>
      <c r="X3178" s="4">
        <v>519.92999999999995</v>
      </c>
      <c r="Y3178" s="7" t="e">
        <f t="shared" ca="1" si="64"/>
        <v>#VALUE!</v>
      </c>
    </row>
    <row r="3179" spans="1:25" ht="15" x14ac:dyDescent="0.25">
      <c r="A3179" s="4">
        <v>3165</v>
      </c>
      <c r="C3179" s="41" t="s">
        <v>5508</v>
      </c>
      <c r="D3179" s="42"/>
      <c r="E3179" s="5" t="str">
        <f t="shared" si="60"/>
        <v>https://www.screener.in/company//consolidated/</v>
      </c>
      <c r="F3179" s="4">
        <v>443059</v>
      </c>
      <c r="G3179" s="4">
        <v>3832241897</v>
      </c>
      <c r="H3179" s="6" t="e">
        <f t="shared" ca="1" si="61"/>
        <v>#VALUE!</v>
      </c>
      <c r="I3179" s="7" t="str">
        <f ca="1">IFERROR(__xludf.DUMMYFUNCTION("IMPORTXML(E3179,""/html/body/main/div[3]/div[3]/div[2]/ul/li[5]/span[2]/span"")"),"Loading...")</f>
        <v>Loading...</v>
      </c>
      <c r="J3179" s="7" t="str">
        <f ca="1">IFERROR(__xludf.DUMMYFUNCTION("GOOGLEFINANCE(""NSE:""&amp;D3179,""marketcap"")"),"#N/A")</f>
        <v>#N/A</v>
      </c>
      <c r="K3179" s="7">
        <v>992.8</v>
      </c>
      <c r="L3179" s="8" t="str">
        <f ca="1">IFERROR(__xludf.DUMMYFUNCTION("GOOGLEFINANCE(""NSE:""&amp;D3179,""price"")"),"#N/A")</f>
        <v>#N/A</v>
      </c>
      <c r="M3179" s="9" t="e">
        <f t="shared" ca="1" si="62"/>
        <v>#VALUE!</v>
      </c>
      <c r="N3179" s="10" t="e">
        <f t="shared" ca="1" si="63"/>
        <v>#VALUE!</v>
      </c>
      <c r="O3179" s="7" t="str">
        <f ca="1">IFERROR(__xludf.DUMMYFUNCTION("GOOGLEFINANCE(""NSE:""&amp;D3179,""pe"")"),"#N/A")</f>
        <v>#N/A</v>
      </c>
      <c r="P3179" s="7" t="str">
        <f ca="1">IFERROR(__xludf.DUMMYFUNCTION("GOOGLEFINANCE(""NSE:""&amp;D3179,""EPS"")"),"#N/A")</f>
        <v>#N/A</v>
      </c>
      <c r="Q3179" s="7">
        <v>13.5</v>
      </c>
      <c r="R3179" s="7" t="str">
        <f ca="1">IFERROR(__xludf.DUMMYFUNCTION("IMPORTXML(E3179,""/html/body/main/div[3]/div[3]/div[2]/ul/li[7]/span[2]/span"")"),"Loading...")</f>
        <v>Loading...</v>
      </c>
      <c r="S3179" s="7" t="str">
        <f ca="1">IFERROR(__xludf.DUMMYFUNCTION("IMPORTXML(E3179,""/html/body/main/div[3]/div[3]/div[2]/ul/li[8]/span[2]/span"")"),"Loading...")</f>
        <v>Loading...</v>
      </c>
      <c r="T3179" s="4">
        <v>34.6</v>
      </c>
      <c r="U3179" s="4">
        <v>22.7</v>
      </c>
      <c r="V3179" s="4">
        <v>2.6</v>
      </c>
      <c r="W3179" s="4">
        <v>5.7</v>
      </c>
      <c r="X3179" s="4">
        <v>519.92999999999995</v>
      </c>
      <c r="Y3179" s="7" t="e">
        <f t="shared" ca="1" si="64"/>
        <v>#VALUE!</v>
      </c>
    </row>
    <row r="3180" spans="1:25" ht="15" x14ac:dyDescent="0.25">
      <c r="A3180" s="4">
        <v>3166</v>
      </c>
      <c r="C3180" s="41" t="s">
        <v>5509</v>
      </c>
      <c r="D3180" s="42"/>
      <c r="E3180" s="5" t="str">
        <f t="shared" si="60"/>
        <v>https://www.screener.in/company//consolidated/</v>
      </c>
      <c r="F3180" s="4">
        <v>443059</v>
      </c>
      <c r="G3180" s="4">
        <v>3832241897</v>
      </c>
      <c r="H3180" s="6" t="e">
        <f t="shared" ca="1" si="61"/>
        <v>#VALUE!</v>
      </c>
      <c r="I3180" s="7" t="str">
        <f ca="1">IFERROR(__xludf.DUMMYFUNCTION("IMPORTXML(E3180,""/html/body/main/div[3]/div[3]/div[2]/ul/li[5]/span[2]/span"")"),"Loading...")</f>
        <v>Loading...</v>
      </c>
      <c r="J3180" s="7" t="str">
        <f ca="1">IFERROR(__xludf.DUMMYFUNCTION("GOOGLEFINANCE(""NSE:""&amp;D3180,""marketcap"")"),"#N/A")</f>
        <v>#N/A</v>
      </c>
      <c r="K3180" s="7">
        <v>992.8</v>
      </c>
      <c r="L3180" s="8" t="str">
        <f ca="1">IFERROR(__xludf.DUMMYFUNCTION("GOOGLEFINANCE(""NSE:""&amp;D3180,""price"")"),"#N/A")</f>
        <v>#N/A</v>
      </c>
      <c r="M3180" s="9" t="e">
        <f t="shared" ca="1" si="62"/>
        <v>#VALUE!</v>
      </c>
      <c r="N3180" s="10" t="e">
        <f t="shared" ca="1" si="63"/>
        <v>#VALUE!</v>
      </c>
      <c r="O3180" s="7" t="str">
        <f ca="1">IFERROR(__xludf.DUMMYFUNCTION("GOOGLEFINANCE(""NSE:""&amp;D3180,""pe"")"),"#N/A")</f>
        <v>#N/A</v>
      </c>
      <c r="P3180" s="7" t="str">
        <f ca="1">IFERROR(__xludf.DUMMYFUNCTION("GOOGLEFINANCE(""NSE:""&amp;D3180,""EPS"")"),"#N/A")</f>
        <v>#N/A</v>
      </c>
      <c r="Q3180" s="7">
        <v>13.5</v>
      </c>
      <c r="R3180" s="7" t="str">
        <f ca="1">IFERROR(__xludf.DUMMYFUNCTION("IMPORTXML(E3180,""/html/body/main/div[3]/div[3]/div[2]/ul/li[7]/span[2]/span"")"),"Loading...")</f>
        <v>Loading...</v>
      </c>
      <c r="S3180" s="7" t="str">
        <f ca="1">IFERROR(__xludf.DUMMYFUNCTION("IMPORTXML(E3180,""/html/body/main/div[3]/div[3]/div[2]/ul/li[8]/span[2]/span"")"),"Loading...")</f>
        <v>Loading...</v>
      </c>
      <c r="T3180" s="4">
        <v>34.6</v>
      </c>
      <c r="U3180" s="4">
        <v>22.7</v>
      </c>
      <c r="V3180" s="4">
        <v>2.6</v>
      </c>
      <c r="W3180" s="4">
        <v>5.7</v>
      </c>
      <c r="X3180" s="4">
        <v>519.92999999999995</v>
      </c>
      <c r="Y3180" s="7" t="e">
        <f t="shared" ca="1" si="64"/>
        <v>#VALUE!</v>
      </c>
    </row>
    <row r="3181" spans="1:25" ht="15" x14ac:dyDescent="0.25">
      <c r="A3181" s="4">
        <v>3167</v>
      </c>
      <c r="C3181" s="41" t="s">
        <v>5510</v>
      </c>
      <c r="D3181" s="42"/>
      <c r="E3181" s="5" t="str">
        <f t="shared" si="60"/>
        <v>https://www.screener.in/company//consolidated/</v>
      </c>
      <c r="F3181" s="4">
        <v>443059</v>
      </c>
      <c r="G3181" s="4">
        <v>3832241897</v>
      </c>
      <c r="H3181" s="6" t="e">
        <f t="shared" ca="1" si="61"/>
        <v>#VALUE!</v>
      </c>
      <c r="I3181" s="7" t="str">
        <f ca="1">IFERROR(__xludf.DUMMYFUNCTION("IMPORTXML(E3181,""/html/body/main/div[3]/div[3]/div[2]/ul/li[5]/span[2]/span"")"),"Loading...")</f>
        <v>Loading...</v>
      </c>
      <c r="J3181" s="7" t="str">
        <f ca="1">IFERROR(__xludf.DUMMYFUNCTION("GOOGLEFINANCE(""NSE:""&amp;D3181,""marketcap"")"),"#N/A")</f>
        <v>#N/A</v>
      </c>
      <c r="K3181" s="7">
        <v>992.8</v>
      </c>
      <c r="L3181" s="8" t="str">
        <f ca="1">IFERROR(__xludf.DUMMYFUNCTION("GOOGLEFINANCE(""NSE:""&amp;D3181,""price"")"),"#N/A")</f>
        <v>#N/A</v>
      </c>
      <c r="M3181" s="9" t="e">
        <f t="shared" ca="1" si="62"/>
        <v>#VALUE!</v>
      </c>
      <c r="N3181" s="10" t="e">
        <f t="shared" ca="1" si="63"/>
        <v>#VALUE!</v>
      </c>
      <c r="O3181" s="7" t="str">
        <f ca="1">IFERROR(__xludf.DUMMYFUNCTION("GOOGLEFINANCE(""NSE:""&amp;D3181,""pe"")"),"#N/A")</f>
        <v>#N/A</v>
      </c>
      <c r="P3181" s="7" t="str">
        <f ca="1">IFERROR(__xludf.DUMMYFUNCTION("GOOGLEFINANCE(""NSE:""&amp;D3181,""EPS"")"),"#N/A")</f>
        <v>#N/A</v>
      </c>
      <c r="Q3181" s="7">
        <v>13.5</v>
      </c>
      <c r="R3181" s="7" t="str">
        <f ca="1">IFERROR(__xludf.DUMMYFUNCTION("IMPORTXML(E3181,""/html/body/main/div[3]/div[3]/div[2]/ul/li[7]/span[2]/span"")"),"Loading...")</f>
        <v>Loading...</v>
      </c>
      <c r="S3181" s="7" t="str">
        <f ca="1">IFERROR(__xludf.DUMMYFUNCTION("IMPORTXML(E3181,""/html/body/main/div[3]/div[3]/div[2]/ul/li[8]/span[2]/span"")"),"Loading...")</f>
        <v>Loading...</v>
      </c>
      <c r="T3181" s="4">
        <v>34.6</v>
      </c>
      <c r="U3181" s="4">
        <v>22.7</v>
      </c>
      <c r="V3181" s="4">
        <v>2.6</v>
      </c>
      <c r="W3181" s="4">
        <v>5.7</v>
      </c>
      <c r="X3181" s="4">
        <v>519.92999999999995</v>
      </c>
      <c r="Y3181" s="7" t="e">
        <f t="shared" ca="1" si="64"/>
        <v>#VALUE!</v>
      </c>
    </row>
    <row r="3182" spans="1:25" ht="15" x14ac:dyDescent="0.25">
      <c r="A3182" s="4">
        <v>3168</v>
      </c>
      <c r="C3182" s="41" t="s">
        <v>5511</v>
      </c>
      <c r="D3182" s="42"/>
      <c r="E3182" s="5" t="str">
        <f t="shared" si="60"/>
        <v>https://www.screener.in/company//consolidated/</v>
      </c>
      <c r="F3182" s="4">
        <v>443059</v>
      </c>
      <c r="G3182" s="4">
        <v>3832241897</v>
      </c>
      <c r="H3182" s="6" t="e">
        <f t="shared" ca="1" si="61"/>
        <v>#VALUE!</v>
      </c>
      <c r="I3182" s="7" t="str">
        <f ca="1">IFERROR(__xludf.DUMMYFUNCTION("IMPORTXML(E3182,""/html/body/main/div[3]/div[3]/div[2]/ul/li[5]/span[2]/span"")"),"Loading...")</f>
        <v>Loading...</v>
      </c>
      <c r="J3182" s="7" t="str">
        <f ca="1">IFERROR(__xludf.DUMMYFUNCTION("GOOGLEFINANCE(""NSE:""&amp;D3182,""marketcap"")"),"#N/A")</f>
        <v>#N/A</v>
      </c>
      <c r="K3182" s="7">
        <v>992.8</v>
      </c>
      <c r="L3182" s="8" t="str">
        <f ca="1">IFERROR(__xludf.DUMMYFUNCTION("GOOGLEFINANCE(""NSE:""&amp;D3182,""price"")"),"#N/A")</f>
        <v>#N/A</v>
      </c>
      <c r="M3182" s="9" t="e">
        <f t="shared" ca="1" si="62"/>
        <v>#VALUE!</v>
      </c>
      <c r="N3182" s="10" t="e">
        <f t="shared" ca="1" si="63"/>
        <v>#VALUE!</v>
      </c>
      <c r="O3182" s="7" t="str">
        <f ca="1">IFERROR(__xludf.DUMMYFUNCTION("GOOGLEFINANCE(""NSE:""&amp;D3182,""pe"")"),"#N/A")</f>
        <v>#N/A</v>
      </c>
      <c r="P3182" s="7" t="str">
        <f ca="1">IFERROR(__xludf.DUMMYFUNCTION("GOOGLEFINANCE(""NSE:""&amp;D3182,""EPS"")"),"#N/A")</f>
        <v>#N/A</v>
      </c>
      <c r="Q3182" s="7">
        <v>13.5</v>
      </c>
      <c r="R3182" s="7" t="str">
        <f ca="1">IFERROR(__xludf.DUMMYFUNCTION("IMPORTXML(E3182,""/html/body/main/div[3]/div[3]/div[2]/ul/li[7]/span[2]/span"")"),"Loading...")</f>
        <v>Loading...</v>
      </c>
      <c r="S3182" s="7" t="str">
        <f ca="1">IFERROR(__xludf.DUMMYFUNCTION("IMPORTXML(E3182,""/html/body/main/div[3]/div[3]/div[2]/ul/li[8]/span[2]/span"")"),"Loading...")</f>
        <v>Loading...</v>
      </c>
      <c r="T3182" s="4">
        <v>34.6</v>
      </c>
      <c r="U3182" s="4">
        <v>22.7</v>
      </c>
      <c r="V3182" s="4">
        <v>2.6</v>
      </c>
      <c r="W3182" s="4">
        <v>5.7</v>
      </c>
      <c r="X3182" s="4">
        <v>519.92999999999995</v>
      </c>
      <c r="Y3182" s="7" t="e">
        <f t="shared" ca="1" si="64"/>
        <v>#VALUE!</v>
      </c>
    </row>
    <row r="3183" spans="1:25" ht="15" x14ac:dyDescent="0.25">
      <c r="A3183" s="4">
        <v>3169</v>
      </c>
      <c r="C3183" s="41" t="s">
        <v>5512</v>
      </c>
      <c r="D3183" s="42"/>
      <c r="E3183" s="5" t="str">
        <f t="shared" si="60"/>
        <v>https://www.screener.in/company//consolidated/</v>
      </c>
      <c r="F3183" s="4">
        <v>443059</v>
      </c>
      <c r="G3183" s="4">
        <v>3832241897</v>
      </c>
      <c r="H3183" s="6" t="e">
        <f t="shared" ca="1" si="61"/>
        <v>#VALUE!</v>
      </c>
      <c r="I3183" s="7" t="str">
        <f ca="1">IFERROR(__xludf.DUMMYFUNCTION("IMPORTXML(E3183,""/html/body/main/div[3]/div[3]/div[2]/ul/li[5]/span[2]/span"")"),"Loading...")</f>
        <v>Loading...</v>
      </c>
      <c r="J3183" s="7" t="str">
        <f ca="1">IFERROR(__xludf.DUMMYFUNCTION("GOOGLEFINANCE(""NSE:""&amp;D3183,""marketcap"")"),"#N/A")</f>
        <v>#N/A</v>
      </c>
      <c r="K3183" s="7">
        <v>992.8</v>
      </c>
      <c r="L3183" s="8" t="str">
        <f ca="1">IFERROR(__xludf.DUMMYFUNCTION("GOOGLEFINANCE(""NSE:""&amp;D3183,""price"")"),"#N/A")</f>
        <v>#N/A</v>
      </c>
      <c r="M3183" s="9" t="e">
        <f t="shared" ca="1" si="62"/>
        <v>#VALUE!</v>
      </c>
      <c r="N3183" s="10" t="e">
        <f t="shared" ca="1" si="63"/>
        <v>#VALUE!</v>
      </c>
      <c r="O3183" s="7" t="str">
        <f ca="1">IFERROR(__xludf.DUMMYFUNCTION("GOOGLEFINANCE(""NSE:""&amp;D3183,""pe"")"),"#N/A")</f>
        <v>#N/A</v>
      </c>
      <c r="P3183" s="7" t="str">
        <f ca="1">IFERROR(__xludf.DUMMYFUNCTION("GOOGLEFINANCE(""NSE:""&amp;D3183,""EPS"")"),"#N/A")</f>
        <v>#N/A</v>
      </c>
      <c r="Q3183" s="7">
        <v>13.5</v>
      </c>
      <c r="R3183" s="7" t="str">
        <f ca="1">IFERROR(__xludf.DUMMYFUNCTION("IMPORTXML(E3183,""/html/body/main/div[3]/div[3]/div[2]/ul/li[7]/span[2]/span"")"),"Loading...")</f>
        <v>Loading...</v>
      </c>
      <c r="S3183" s="7" t="str">
        <f ca="1">IFERROR(__xludf.DUMMYFUNCTION("IMPORTXML(E3183,""/html/body/main/div[3]/div[3]/div[2]/ul/li[8]/span[2]/span"")"),"Loading...")</f>
        <v>Loading...</v>
      </c>
      <c r="T3183" s="4">
        <v>34.6</v>
      </c>
      <c r="U3183" s="4">
        <v>22.7</v>
      </c>
      <c r="V3183" s="4">
        <v>2.6</v>
      </c>
      <c r="W3183" s="4">
        <v>5.7</v>
      </c>
      <c r="X3183" s="4">
        <v>519.92999999999995</v>
      </c>
      <c r="Y3183" s="7" t="e">
        <f t="shared" ca="1" si="64"/>
        <v>#VALUE!</v>
      </c>
    </row>
    <row r="3184" spans="1:25" ht="15" x14ac:dyDescent="0.25">
      <c r="A3184" s="4">
        <v>3170</v>
      </c>
      <c r="C3184" s="41" t="s">
        <v>5513</v>
      </c>
      <c r="D3184" s="42"/>
      <c r="E3184" s="5" t="str">
        <f t="shared" si="60"/>
        <v>https://www.screener.in/company//consolidated/</v>
      </c>
      <c r="F3184" s="4">
        <v>443059</v>
      </c>
      <c r="G3184" s="4">
        <v>3832241897</v>
      </c>
      <c r="H3184" s="6" t="e">
        <f t="shared" ca="1" si="61"/>
        <v>#VALUE!</v>
      </c>
      <c r="I3184" s="7" t="str">
        <f ca="1">IFERROR(__xludf.DUMMYFUNCTION("IMPORTXML(E3184,""/html/body/main/div[3]/div[3]/div[2]/ul/li[5]/span[2]/span"")"),"Loading...")</f>
        <v>Loading...</v>
      </c>
      <c r="J3184" s="7" t="str">
        <f ca="1">IFERROR(__xludf.DUMMYFUNCTION("GOOGLEFINANCE(""NSE:""&amp;D3184,""marketcap"")"),"#N/A")</f>
        <v>#N/A</v>
      </c>
      <c r="K3184" s="7">
        <v>992.8</v>
      </c>
      <c r="L3184" s="8" t="str">
        <f ca="1">IFERROR(__xludf.DUMMYFUNCTION("GOOGLEFINANCE(""NSE:""&amp;D3184,""price"")"),"#N/A")</f>
        <v>#N/A</v>
      </c>
      <c r="M3184" s="9" t="e">
        <f t="shared" ca="1" si="62"/>
        <v>#VALUE!</v>
      </c>
      <c r="N3184" s="10" t="e">
        <f t="shared" ca="1" si="63"/>
        <v>#VALUE!</v>
      </c>
      <c r="O3184" s="7" t="str">
        <f ca="1">IFERROR(__xludf.DUMMYFUNCTION("GOOGLEFINANCE(""NSE:""&amp;D3184,""pe"")"),"#N/A")</f>
        <v>#N/A</v>
      </c>
      <c r="P3184" s="7" t="str">
        <f ca="1">IFERROR(__xludf.DUMMYFUNCTION("GOOGLEFINANCE(""NSE:""&amp;D3184,""EPS"")"),"#N/A")</f>
        <v>#N/A</v>
      </c>
      <c r="Q3184" s="7">
        <v>13.5</v>
      </c>
      <c r="R3184" s="7" t="str">
        <f ca="1">IFERROR(__xludf.DUMMYFUNCTION("IMPORTXML(E3184,""/html/body/main/div[3]/div[3]/div[2]/ul/li[7]/span[2]/span"")"),"Loading...")</f>
        <v>Loading...</v>
      </c>
      <c r="S3184" s="7" t="str">
        <f ca="1">IFERROR(__xludf.DUMMYFUNCTION("IMPORTXML(E3184,""/html/body/main/div[3]/div[3]/div[2]/ul/li[8]/span[2]/span"")"),"Loading...")</f>
        <v>Loading...</v>
      </c>
      <c r="T3184" s="4">
        <v>34.6</v>
      </c>
      <c r="U3184" s="4">
        <v>22.7</v>
      </c>
      <c r="V3184" s="4">
        <v>2.6</v>
      </c>
      <c r="W3184" s="4">
        <v>5.7</v>
      </c>
      <c r="X3184" s="4">
        <v>519.92999999999995</v>
      </c>
      <c r="Y3184" s="7" t="e">
        <f t="shared" ca="1" si="64"/>
        <v>#VALUE!</v>
      </c>
    </row>
    <row r="3185" spans="1:25" ht="15" x14ac:dyDescent="0.25">
      <c r="A3185" s="4">
        <v>3171</v>
      </c>
      <c r="C3185" s="41" t="s">
        <v>5514</v>
      </c>
      <c r="D3185" s="42"/>
      <c r="E3185" s="5" t="str">
        <f t="shared" si="60"/>
        <v>https://www.screener.in/company//consolidated/</v>
      </c>
      <c r="F3185" s="4">
        <v>443059</v>
      </c>
      <c r="G3185" s="4">
        <v>3832241897</v>
      </c>
      <c r="H3185" s="6" t="e">
        <f t="shared" ca="1" si="61"/>
        <v>#VALUE!</v>
      </c>
      <c r="I3185" s="7" t="str">
        <f ca="1">IFERROR(__xludf.DUMMYFUNCTION("IMPORTXML(E3185,""/html/body/main/div[3]/div[3]/div[2]/ul/li[5]/span[2]/span"")"),"Loading...")</f>
        <v>Loading...</v>
      </c>
      <c r="J3185" s="7" t="str">
        <f ca="1">IFERROR(__xludf.DUMMYFUNCTION("GOOGLEFINANCE(""NSE:""&amp;D3185,""marketcap"")"),"#N/A")</f>
        <v>#N/A</v>
      </c>
      <c r="K3185" s="7">
        <v>992.8</v>
      </c>
      <c r="L3185" s="8" t="str">
        <f ca="1">IFERROR(__xludf.DUMMYFUNCTION("GOOGLEFINANCE(""NSE:""&amp;D3185,""price"")"),"#N/A")</f>
        <v>#N/A</v>
      </c>
      <c r="M3185" s="9" t="e">
        <f t="shared" ca="1" si="62"/>
        <v>#VALUE!</v>
      </c>
      <c r="N3185" s="10" t="e">
        <f t="shared" ca="1" si="63"/>
        <v>#VALUE!</v>
      </c>
      <c r="O3185" s="7" t="str">
        <f ca="1">IFERROR(__xludf.DUMMYFUNCTION("GOOGLEFINANCE(""NSE:""&amp;D3185,""pe"")"),"#N/A")</f>
        <v>#N/A</v>
      </c>
      <c r="P3185" s="7" t="str">
        <f ca="1">IFERROR(__xludf.DUMMYFUNCTION("GOOGLEFINANCE(""NSE:""&amp;D3185,""EPS"")"),"#N/A")</f>
        <v>#N/A</v>
      </c>
      <c r="Q3185" s="7">
        <v>13.5</v>
      </c>
      <c r="R3185" s="7" t="str">
        <f ca="1">IFERROR(__xludf.DUMMYFUNCTION("IMPORTXML(E3185,""/html/body/main/div[3]/div[3]/div[2]/ul/li[7]/span[2]/span"")"),"Loading...")</f>
        <v>Loading...</v>
      </c>
      <c r="S3185" s="7" t="str">
        <f ca="1">IFERROR(__xludf.DUMMYFUNCTION("IMPORTXML(E3185,""/html/body/main/div[3]/div[3]/div[2]/ul/li[8]/span[2]/span"")"),"Loading...")</f>
        <v>Loading...</v>
      </c>
      <c r="T3185" s="4">
        <v>34.6</v>
      </c>
      <c r="U3185" s="4">
        <v>22.7</v>
      </c>
      <c r="V3185" s="4">
        <v>2.6</v>
      </c>
      <c r="W3185" s="4">
        <v>5.7</v>
      </c>
      <c r="X3185" s="4">
        <v>519.92999999999995</v>
      </c>
      <c r="Y3185" s="7" t="e">
        <f t="shared" ca="1" si="64"/>
        <v>#VALUE!</v>
      </c>
    </row>
    <row r="3186" spans="1:25" ht="15" x14ac:dyDescent="0.25">
      <c r="A3186" s="4">
        <v>3172</v>
      </c>
      <c r="C3186" s="41" t="s">
        <v>5515</v>
      </c>
      <c r="D3186" s="42"/>
      <c r="E3186" s="5" t="str">
        <f t="shared" si="60"/>
        <v>https://www.screener.in/company//consolidated/</v>
      </c>
      <c r="F3186" s="4">
        <v>443059</v>
      </c>
      <c r="G3186" s="4">
        <v>3832241897</v>
      </c>
      <c r="H3186" s="6" t="e">
        <f t="shared" ca="1" si="61"/>
        <v>#VALUE!</v>
      </c>
      <c r="I3186" s="7" t="str">
        <f ca="1">IFERROR(__xludf.DUMMYFUNCTION("IMPORTXML(E3186,""/html/body/main/div[3]/div[3]/div[2]/ul/li[5]/span[2]/span"")"),"Loading...")</f>
        <v>Loading...</v>
      </c>
      <c r="J3186" s="7" t="str">
        <f ca="1">IFERROR(__xludf.DUMMYFUNCTION("GOOGLEFINANCE(""NSE:""&amp;D3186,""marketcap"")"),"#N/A")</f>
        <v>#N/A</v>
      </c>
      <c r="K3186" s="7">
        <v>992.8</v>
      </c>
      <c r="L3186" s="8" t="str">
        <f ca="1">IFERROR(__xludf.DUMMYFUNCTION("GOOGLEFINANCE(""NSE:""&amp;D3186,""price"")"),"#N/A")</f>
        <v>#N/A</v>
      </c>
      <c r="M3186" s="9" t="e">
        <f t="shared" ca="1" si="62"/>
        <v>#VALUE!</v>
      </c>
      <c r="N3186" s="10" t="e">
        <f t="shared" ca="1" si="63"/>
        <v>#VALUE!</v>
      </c>
      <c r="O3186" s="7" t="str">
        <f ca="1">IFERROR(__xludf.DUMMYFUNCTION("GOOGLEFINANCE(""NSE:""&amp;D3186,""pe"")"),"#N/A")</f>
        <v>#N/A</v>
      </c>
      <c r="P3186" s="7" t="str">
        <f ca="1">IFERROR(__xludf.DUMMYFUNCTION("GOOGLEFINANCE(""NSE:""&amp;D3186,""EPS"")"),"#N/A")</f>
        <v>#N/A</v>
      </c>
      <c r="Q3186" s="7">
        <v>13.5</v>
      </c>
      <c r="R3186" s="7" t="str">
        <f ca="1">IFERROR(__xludf.DUMMYFUNCTION("IMPORTXML(E3186,""/html/body/main/div[3]/div[3]/div[2]/ul/li[7]/span[2]/span"")"),"Loading...")</f>
        <v>Loading...</v>
      </c>
      <c r="S3186" s="7" t="str">
        <f ca="1">IFERROR(__xludf.DUMMYFUNCTION("IMPORTXML(E3186,""/html/body/main/div[3]/div[3]/div[2]/ul/li[8]/span[2]/span"")"),"Loading...")</f>
        <v>Loading...</v>
      </c>
      <c r="T3186" s="4">
        <v>34.6</v>
      </c>
      <c r="U3186" s="4">
        <v>22.7</v>
      </c>
      <c r="V3186" s="4">
        <v>2.6</v>
      </c>
      <c r="W3186" s="4">
        <v>5.7</v>
      </c>
      <c r="X3186" s="4">
        <v>519.92999999999995</v>
      </c>
      <c r="Y3186" s="7" t="e">
        <f t="shared" ca="1" si="64"/>
        <v>#VALUE!</v>
      </c>
    </row>
    <row r="3187" spans="1:25" ht="15" x14ac:dyDescent="0.25">
      <c r="A3187" s="4">
        <v>3173</v>
      </c>
      <c r="C3187" s="41" t="s">
        <v>5516</v>
      </c>
      <c r="D3187" s="42"/>
      <c r="E3187" s="5" t="str">
        <f t="shared" si="60"/>
        <v>https://www.screener.in/company//consolidated/</v>
      </c>
      <c r="F3187" s="4">
        <v>443059</v>
      </c>
      <c r="G3187" s="4">
        <v>3832241897</v>
      </c>
      <c r="H3187" s="6" t="e">
        <f t="shared" ca="1" si="61"/>
        <v>#VALUE!</v>
      </c>
      <c r="I3187" s="7" t="str">
        <f ca="1">IFERROR(__xludf.DUMMYFUNCTION("IMPORTXML(E3187,""/html/body/main/div[3]/div[3]/div[2]/ul/li[5]/span[2]/span"")"),"Loading...")</f>
        <v>Loading...</v>
      </c>
      <c r="J3187" s="7" t="str">
        <f ca="1">IFERROR(__xludf.DUMMYFUNCTION("GOOGLEFINANCE(""NSE:""&amp;D3187,""marketcap"")"),"#N/A")</f>
        <v>#N/A</v>
      </c>
      <c r="K3187" s="7">
        <v>992.8</v>
      </c>
      <c r="L3187" s="8" t="str">
        <f ca="1">IFERROR(__xludf.DUMMYFUNCTION("GOOGLEFINANCE(""NSE:""&amp;D3187,""price"")"),"#N/A")</f>
        <v>#N/A</v>
      </c>
      <c r="M3187" s="9" t="e">
        <f t="shared" ca="1" si="62"/>
        <v>#VALUE!</v>
      </c>
      <c r="N3187" s="10" t="e">
        <f t="shared" ca="1" si="63"/>
        <v>#VALUE!</v>
      </c>
      <c r="O3187" s="7" t="str">
        <f ca="1">IFERROR(__xludf.DUMMYFUNCTION("GOOGLEFINANCE(""NSE:""&amp;D3187,""pe"")"),"#N/A")</f>
        <v>#N/A</v>
      </c>
      <c r="P3187" s="7" t="str">
        <f ca="1">IFERROR(__xludf.DUMMYFUNCTION("GOOGLEFINANCE(""NSE:""&amp;D3187,""EPS"")"),"#N/A")</f>
        <v>#N/A</v>
      </c>
      <c r="Q3187" s="7">
        <v>13.5</v>
      </c>
      <c r="R3187" s="7" t="str">
        <f ca="1">IFERROR(__xludf.DUMMYFUNCTION("IMPORTXML(E3187,""/html/body/main/div[3]/div[3]/div[2]/ul/li[7]/span[2]/span"")"),"Loading...")</f>
        <v>Loading...</v>
      </c>
      <c r="S3187" s="7" t="str">
        <f ca="1">IFERROR(__xludf.DUMMYFUNCTION("IMPORTXML(E3187,""/html/body/main/div[3]/div[3]/div[2]/ul/li[8]/span[2]/span"")"),"Loading...")</f>
        <v>Loading...</v>
      </c>
      <c r="T3187" s="4">
        <v>34.6</v>
      </c>
      <c r="U3187" s="4">
        <v>22.7</v>
      </c>
      <c r="V3187" s="4">
        <v>2.6</v>
      </c>
      <c r="W3187" s="4">
        <v>5.7</v>
      </c>
      <c r="X3187" s="4">
        <v>519.92999999999995</v>
      </c>
      <c r="Y3187" s="7" t="e">
        <f t="shared" ca="1" si="64"/>
        <v>#VALUE!</v>
      </c>
    </row>
    <row r="3188" spans="1:25" ht="15" x14ac:dyDescent="0.25">
      <c r="A3188" s="4">
        <v>3174</v>
      </c>
      <c r="C3188" s="41" t="s">
        <v>5517</v>
      </c>
      <c r="D3188" s="42"/>
      <c r="E3188" s="5" t="str">
        <f t="shared" si="60"/>
        <v>https://www.screener.in/company//consolidated/</v>
      </c>
      <c r="F3188" s="4">
        <v>443059</v>
      </c>
      <c r="G3188" s="4">
        <v>3832241897</v>
      </c>
      <c r="H3188" s="6" t="e">
        <f t="shared" ca="1" si="61"/>
        <v>#VALUE!</v>
      </c>
      <c r="I3188" s="7" t="str">
        <f ca="1">IFERROR(__xludf.DUMMYFUNCTION("IMPORTXML(E3188,""/html/body/main/div[3]/div[3]/div[2]/ul/li[5]/span[2]/span"")"),"Loading...")</f>
        <v>Loading...</v>
      </c>
      <c r="J3188" s="7" t="str">
        <f ca="1">IFERROR(__xludf.DUMMYFUNCTION("GOOGLEFINANCE(""NSE:""&amp;D3188,""marketcap"")"),"#N/A")</f>
        <v>#N/A</v>
      </c>
      <c r="K3188" s="7">
        <v>992.8</v>
      </c>
      <c r="L3188" s="8" t="str">
        <f ca="1">IFERROR(__xludf.DUMMYFUNCTION("GOOGLEFINANCE(""NSE:""&amp;D3188,""price"")"),"#N/A")</f>
        <v>#N/A</v>
      </c>
      <c r="M3188" s="9" t="e">
        <f t="shared" ca="1" si="62"/>
        <v>#VALUE!</v>
      </c>
      <c r="N3188" s="10" t="e">
        <f t="shared" ca="1" si="63"/>
        <v>#VALUE!</v>
      </c>
      <c r="O3188" s="7" t="str">
        <f ca="1">IFERROR(__xludf.DUMMYFUNCTION("GOOGLEFINANCE(""NSE:""&amp;D3188,""pe"")"),"#N/A")</f>
        <v>#N/A</v>
      </c>
      <c r="P3188" s="7" t="str">
        <f ca="1">IFERROR(__xludf.DUMMYFUNCTION("GOOGLEFINANCE(""NSE:""&amp;D3188,""EPS"")"),"#N/A")</f>
        <v>#N/A</v>
      </c>
      <c r="Q3188" s="7">
        <v>13.5</v>
      </c>
      <c r="R3188" s="7" t="str">
        <f ca="1">IFERROR(__xludf.DUMMYFUNCTION("IMPORTXML(E3188,""/html/body/main/div[3]/div[3]/div[2]/ul/li[7]/span[2]/span"")"),"Loading...")</f>
        <v>Loading...</v>
      </c>
      <c r="S3188" s="7" t="str">
        <f ca="1">IFERROR(__xludf.DUMMYFUNCTION("IMPORTXML(E3188,""/html/body/main/div[3]/div[3]/div[2]/ul/li[8]/span[2]/span"")"),"Loading...")</f>
        <v>Loading...</v>
      </c>
      <c r="T3188" s="4">
        <v>34.6</v>
      </c>
      <c r="U3188" s="4">
        <v>22.7</v>
      </c>
      <c r="V3188" s="4">
        <v>2.6</v>
      </c>
      <c r="W3188" s="4">
        <v>5.7</v>
      </c>
      <c r="X3188" s="4">
        <v>519.92999999999995</v>
      </c>
      <c r="Y3188" s="7" t="e">
        <f t="shared" ca="1" si="64"/>
        <v>#VALUE!</v>
      </c>
    </row>
    <row r="3189" spans="1:25" ht="15" x14ac:dyDescent="0.25">
      <c r="A3189" s="4">
        <v>3175</v>
      </c>
      <c r="C3189" s="41" t="s">
        <v>5518</v>
      </c>
      <c r="D3189" s="42"/>
      <c r="E3189" s="5" t="str">
        <f t="shared" si="60"/>
        <v>https://www.screener.in/company//consolidated/</v>
      </c>
      <c r="F3189" s="4">
        <v>443059</v>
      </c>
      <c r="G3189" s="4">
        <v>3832241897</v>
      </c>
      <c r="H3189" s="6" t="e">
        <f t="shared" ca="1" si="61"/>
        <v>#VALUE!</v>
      </c>
      <c r="I3189" s="7" t="str">
        <f ca="1">IFERROR(__xludf.DUMMYFUNCTION("IMPORTXML(E3189,""/html/body/main/div[3]/div[3]/div[2]/ul/li[5]/span[2]/span"")"),"Loading...")</f>
        <v>Loading...</v>
      </c>
      <c r="J3189" s="7" t="str">
        <f ca="1">IFERROR(__xludf.DUMMYFUNCTION("GOOGLEFINANCE(""NSE:""&amp;D3189,""marketcap"")"),"#N/A")</f>
        <v>#N/A</v>
      </c>
      <c r="K3189" s="7">
        <v>992.8</v>
      </c>
      <c r="L3189" s="8" t="str">
        <f ca="1">IFERROR(__xludf.DUMMYFUNCTION("GOOGLEFINANCE(""NSE:""&amp;D3189,""price"")"),"#N/A")</f>
        <v>#N/A</v>
      </c>
      <c r="M3189" s="9" t="e">
        <f t="shared" ca="1" si="62"/>
        <v>#VALUE!</v>
      </c>
      <c r="N3189" s="10" t="e">
        <f t="shared" ca="1" si="63"/>
        <v>#VALUE!</v>
      </c>
      <c r="O3189" s="7" t="str">
        <f ca="1">IFERROR(__xludf.DUMMYFUNCTION("GOOGLEFINANCE(""NSE:""&amp;D3189,""pe"")"),"#N/A")</f>
        <v>#N/A</v>
      </c>
      <c r="P3189" s="7" t="str">
        <f ca="1">IFERROR(__xludf.DUMMYFUNCTION("GOOGLEFINANCE(""NSE:""&amp;D3189,""EPS"")"),"#N/A")</f>
        <v>#N/A</v>
      </c>
      <c r="Q3189" s="7">
        <v>13.5</v>
      </c>
      <c r="R3189" s="7" t="str">
        <f ca="1">IFERROR(__xludf.DUMMYFUNCTION("IMPORTXML(E3189,""/html/body/main/div[3]/div[3]/div[2]/ul/li[7]/span[2]/span"")"),"Loading...")</f>
        <v>Loading...</v>
      </c>
      <c r="S3189" s="7" t="str">
        <f ca="1">IFERROR(__xludf.DUMMYFUNCTION("IMPORTXML(E3189,""/html/body/main/div[3]/div[3]/div[2]/ul/li[8]/span[2]/span"")"),"Loading...")</f>
        <v>Loading...</v>
      </c>
      <c r="T3189" s="4">
        <v>34.6</v>
      </c>
      <c r="U3189" s="4">
        <v>22.7</v>
      </c>
      <c r="V3189" s="4">
        <v>2.6</v>
      </c>
      <c r="W3189" s="4">
        <v>5.7</v>
      </c>
      <c r="X3189" s="4">
        <v>519.92999999999995</v>
      </c>
      <c r="Y3189" s="7" t="e">
        <f t="shared" ca="1" si="64"/>
        <v>#VALUE!</v>
      </c>
    </row>
    <row r="3190" spans="1:25" ht="15" x14ac:dyDescent="0.25">
      <c r="A3190" s="4">
        <v>3176</v>
      </c>
      <c r="C3190" s="41" t="s">
        <v>5519</v>
      </c>
      <c r="D3190" s="42"/>
      <c r="E3190" s="5" t="str">
        <f t="shared" si="60"/>
        <v>https://www.screener.in/company//consolidated/</v>
      </c>
      <c r="F3190" s="4">
        <v>443059</v>
      </c>
      <c r="G3190" s="4">
        <v>3832241897</v>
      </c>
      <c r="H3190" s="6" t="e">
        <f t="shared" ca="1" si="61"/>
        <v>#VALUE!</v>
      </c>
      <c r="I3190" s="7" t="str">
        <f ca="1">IFERROR(__xludf.DUMMYFUNCTION("IMPORTXML(E3190,""/html/body/main/div[3]/div[3]/div[2]/ul/li[5]/span[2]/span"")"),"Loading...")</f>
        <v>Loading...</v>
      </c>
      <c r="J3190" s="7" t="str">
        <f ca="1">IFERROR(__xludf.DUMMYFUNCTION("GOOGLEFINANCE(""NSE:""&amp;D3190,""marketcap"")"),"#N/A")</f>
        <v>#N/A</v>
      </c>
      <c r="K3190" s="7">
        <v>992.8</v>
      </c>
      <c r="L3190" s="8" t="str">
        <f ca="1">IFERROR(__xludf.DUMMYFUNCTION("GOOGLEFINANCE(""NSE:""&amp;D3190,""price"")"),"#N/A")</f>
        <v>#N/A</v>
      </c>
      <c r="M3190" s="9" t="e">
        <f t="shared" ca="1" si="62"/>
        <v>#VALUE!</v>
      </c>
      <c r="N3190" s="10" t="e">
        <f t="shared" ca="1" si="63"/>
        <v>#VALUE!</v>
      </c>
      <c r="O3190" s="7" t="str">
        <f ca="1">IFERROR(__xludf.DUMMYFUNCTION("GOOGLEFINANCE(""NSE:""&amp;D3190,""pe"")"),"#N/A")</f>
        <v>#N/A</v>
      </c>
      <c r="P3190" s="7" t="str">
        <f ca="1">IFERROR(__xludf.DUMMYFUNCTION("GOOGLEFINANCE(""NSE:""&amp;D3190,""EPS"")"),"#N/A")</f>
        <v>#N/A</v>
      </c>
      <c r="Q3190" s="7">
        <v>13.5</v>
      </c>
      <c r="R3190" s="7" t="str">
        <f ca="1">IFERROR(__xludf.DUMMYFUNCTION("IMPORTXML(E3190,""/html/body/main/div[3]/div[3]/div[2]/ul/li[7]/span[2]/span"")"),"Loading...")</f>
        <v>Loading...</v>
      </c>
      <c r="S3190" s="7" t="str">
        <f ca="1">IFERROR(__xludf.DUMMYFUNCTION("IMPORTXML(E3190,""/html/body/main/div[3]/div[3]/div[2]/ul/li[8]/span[2]/span"")"),"Loading...")</f>
        <v>Loading...</v>
      </c>
      <c r="T3190" s="4">
        <v>34.6</v>
      </c>
      <c r="U3190" s="4">
        <v>22.7</v>
      </c>
      <c r="V3190" s="4">
        <v>2.6</v>
      </c>
      <c r="W3190" s="4">
        <v>5.7</v>
      </c>
      <c r="X3190" s="4">
        <v>519.92999999999995</v>
      </c>
      <c r="Y3190" s="7" t="e">
        <f t="shared" ca="1" si="64"/>
        <v>#VALUE!</v>
      </c>
    </row>
    <row r="3191" spans="1:25" ht="15" x14ac:dyDescent="0.25">
      <c r="A3191" s="4">
        <v>3177</v>
      </c>
      <c r="C3191" s="41" t="s">
        <v>5520</v>
      </c>
      <c r="D3191" s="42"/>
      <c r="E3191" s="5" t="str">
        <f t="shared" si="60"/>
        <v>https://www.screener.in/company//consolidated/</v>
      </c>
      <c r="F3191" s="4">
        <v>443059</v>
      </c>
      <c r="G3191" s="4">
        <v>3832241897</v>
      </c>
      <c r="H3191" s="6" t="e">
        <f t="shared" ca="1" si="61"/>
        <v>#VALUE!</v>
      </c>
      <c r="I3191" s="7" t="str">
        <f ca="1">IFERROR(__xludf.DUMMYFUNCTION("IMPORTXML(E3191,""/html/body/main/div[3]/div[3]/div[2]/ul/li[5]/span[2]/span"")"),"Loading...")</f>
        <v>Loading...</v>
      </c>
      <c r="J3191" s="7" t="str">
        <f ca="1">IFERROR(__xludf.DUMMYFUNCTION("GOOGLEFINANCE(""NSE:""&amp;D3191,""marketcap"")"),"#N/A")</f>
        <v>#N/A</v>
      </c>
      <c r="K3191" s="7">
        <v>992.8</v>
      </c>
      <c r="L3191" s="8" t="str">
        <f ca="1">IFERROR(__xludf.DUMMYFUNCTION("GOOGLEFINANCE(""NSE:""&amp;D3191,""price"")"),"#N/A")</f>
        <v>#N/A</v>
      </c>
      <c r="M3191" s="9" t="e">
        <f t="shared" ca="1" si="62"/>
        <v>#VALUE!</v>
      </c>
      <c r="N3191" s="10" t="e">
        <f t="shared" ca="1" si="63"/>
        <v>#VALUE!</v>
      </c>
      <c r="O3191" s="7" t="str">
        <f ca="1">IFERROR(__xludf.DUMMYFUNCTION("GOOGLEFINANCE(""NSE:""&amp;D3191,""pe"")"),"#N/A")</f>
        <v>#N/A</v>
      </c>
      <c r="P3191" s="7" t="str">
        <f ca="1">IFERROR(__xludf.DUMMYFUNCTION("GOOGLEFINANCE(""NSE:""&amp;D3191,""EPS"")"),"#N/A")</f>
        <v>#N/A</v>
      </c>
      <c r="Q3191" s="7">
        <v>13.5</v>
      </c>
      <c r="R3191" s="7" t="str">
        <f ca="1">IFERROR(__xludf.DUMMYFUNCTION("IMPORTXML(E3191,""/html/body/main/div[3]/div[3]/div[2]/ul/li[7]/span[2]/span"")"),"Loading...")</f>
        <v>Loading...</v>
      </c>
      <c r="S3191" s="7" t="str">
        <f ca="1">IFERROR(__xludf.DUMMYFUNCTION("IMPORTXML(E3191,""/html/body/main/div[3]/div[3]/div[2]/ul/li[8]/span[2]/span"")"),"Loading...")</f>
        <v>Loading...</v>
      </c>
      <c r="T3191" s="4">
        <v>34.6</v>
      </c>
      <c r="U3191" s="4">
        <v>22.7</v>
      </c>
      <c r="V3191" s="4">
        <v>2.6</v>
      </c>
      <c r="W3191" s="4">
        <v>5.7</v>
      </c>
      <c r="X3191" s="4">
        <v>519.92999999999995</v>
      </c>
      <c r="Y3191" s="7" t="e">
        <f t="shared" ca="1" si="64"/>
        <v>#VALUE!</v>
      </c>
    </row>
    <row r="3192" spans="1:25" ht="15" x14ac:dyDescent="0.25">
      <c r="A3192" s="4">
        <v>3179</v>
      </c>
      <c r="C3192" s="12" t="s">
        <v>5521</v>
      </c>
      <c r="D3192" s="12" t="s">
        <v>5522</v>
      </c>
      <c r="E3192" s="5" t="str">
        <f t="shared" si="60"/>
        <v>https://www.screener.in/company/TIJARIA/consolidated/</v>
      </c>
      <c r="F3192" s="4">
        <v>443059</v>
      </c>
      <c r="G3192" s="4">
        <v>3832241897</v>
      </c>
      <c r="H3192" s="6">
        <f t="shared" ca="1" si="61"/>
        <v>2659.5758765179999</v>
      </c>
      <c r="I3192" s="7" t="str">
        <f ca="1">IFERROR(__xludf.DUMMYFUNCTION("IMPORTXML(E3192,""/html/body/main/div[3]/div[3]/div[2]/ul/li[5]/span[2]/span"")"),"Loading...")</f>
        <v>Loading...</v>
      </c>
      <c r="J3192" s="7">
        <f ca="1">IFERROR(__xludf.DUMMYFUNCTION("GOOGLEFINANCE(""NSE:""&amp;D3192,""marketcap"")"),198382200)</f>
        <v>198382200</v>
      </c>
      <c r="K3192" s="7">
        <v>992.8</v>
      </c>
      <c r="L3192" s="8">
        <f ca="1">IFERROR(__xludf.DUMMYFUNCTION("GOOGLEFINANCE(""NSE:""&amp;D3192,""price"")"),6.94)</f>
        <v>6.94</v>
      </c>
      <c r="M3192" s="9">
        <f t="shared" ca="1" si="62"/>
        <v>-985.8599999999999</v>
      </c>
      <c r="N3192" s="10">
        <f t="shared" ca="1" si="63"/>
        <v>-99.300966962127319</v>
      </c>
      <c r="O3192" s="7" t="str">
        <f ca="1">IFERROR(__xludf.DUMMYFUNCTION("GOOGLEFINANCE(""NSE:""&amp;D3192,""pe"")"),"#N/A")</f>
        <v>#N/A</v>
      </c>
      <c r="P3192" s="7">
        <f ca="1">IFERROR(__xludf.DUMMYFUNCTION("GOOGLEFINANCE(""NSE:""&amp;D3192,""EPS"")"),-1.77)</f>
        <v>-1.77</v>
      </c>
      <c r="Q3192" s="7">
        <v>13.5</v>
      </c>
      <c r="R3192" s="7" t="str">
        <f ca="1">IFERROR(__xludf.DUMMYFUNCTION("IMPORTXML(E3192,""/html/body/main/div[3]/div[3]/div[2]/ul/li[7]/span[2]/span"")"),"Loading...")</f>
        <v>Loading...</v>
      </c>
      <c r="S3192" s="7" t="str">
        <f ca="1">IFERROR(__xludf.DUMMYFUNCTION("IMPORTXML(E3192,""/html/body/main/div[3]/div[3]/div[2]/ul/li[8]/span[2]/span"")"),"Loading...")</f>
        <v>Loading...</v>
      </c>
      <c r="T3192" s="4">
        <v>34.6</v>
      </c>
      <c r="U3192" s="4">
        <v>22.7</v>
      </c>
      <c r="V3192" s="4">
        <v>2.6</v>
      </c>
      <c r="W3192" s="4">
        <v>5.7</v>
      </c>
      <c r="X3192" s="4">
        <v>519.92999999999995</v>
      </c>
      <c r="Y3192" s="7">
        <f t="shared" ca="1" si="64"/>
        <v>-512.9899999999999</v>
      </c>
    </row>
    <row r="3193" spans="1:25" ht="15" x14ac:dyDescent="0.25">
      <c r="A3193" s="4">
        <v>3180</v>
      </c>
      <c r="C3193" s="41" t="s">
        <v>5523</v>
      </c>
      <c r="D3193" s="42"/>
      <c r="E3193" s="5" t="str">
        <f t="shared" si="60"/>
        <v>https://www.screener.in/company//consolidated/</v>
      </c>
      <c r="F3193" s="4">
        <v>443059</v>
      </c>
      <c r="G3193" s="4">
        <v>3832241897</v>
      </c>
      <c r="H3193" s="6" t="e">
        <f t="shared" ca="1" si="61"/>
        <v>#VALUE!</v>
      </c>
      <c r="I3193" s="7" t="str">
        <f ca="1">IFERROR(__xludf.DUMMYFUNCTION("IMPORTXML(E3193,""/html/body/main/div[3]/div[3]/div[2]/ul/li[5]/span[2]/span"")"),"Loading...")</f>
        <v>Loading...</v>
      </c>
      <c r="J3193" s="7" t="str">
        <f ca="1">IFERROR(__xludf.DUMMYFUNCTION("GOOGLEFINANCE(""NSE:""&amp;D3193,""marketcap"")"),"#N/A")</f>
        <v>#N/A</v>
      </c>
      <c r="K3193" s="7">
        <v>992.8</v>
      </c>
      <c r="L3193" s="8" t="str">
        <f ca="1">IFERROR(__xludf.DUMMYFUNCTION("GOOGLEFINANCE(""NSE:""&amp;D3193,""price"")"),"#N/A")</f>
        <v>#N/A</v>
      </c>
      <c r="M3193" s="9" t="e">
        <f t="shared" ca="1" si="62"/>
        <v>#VALUE!</v>
      </c>
      <c r="N3193" s="10" t="e">
        <f t="shared" ca="1" si="63"/>
        <v>#VALUE!</v>
      </c>
      <c r="O3193" s="7" t="str">
        <f ca="1">IFERROR(__xludf.DUMMYFUNCTION("GOOGLEFINANCE(""NSE:""&amp;D3193,""pe"")"),"#N/A")</f>
        <v>#N/A</v>
      </c>
      <c r="P3193" s="7" t="str">
        <f ca="1">IFERROR(__xludf.DUMMYFUNCTION("GOOGLEFINANCE(""NSE:""&amp;D3193,""EPS"")"),"#N/A")</f>
        <v>#N/A</v>
      </c>
      <c r="Q3193" s="7">
        <v>13.5</v>
      </c>
      <c r="R3193" s="7" t="str">
        <f ca="1">IFERROR(__xludf.DUMMYFUNCTION("IMPORTXML(E3193,""/html/body/main/div[3]/div[3]/div[2]/ul/li[7]/span[2]/span"")"),"Loading...")</f>
        <v>Loading...</v>
      </c>
      <c r="S3193" s="7" t="str">
        <f ca="1">IFERROR(__xludf.DUMMYFUNCTION("IMPORTXML(E3193,""/html/body/main/div[3]/div[3]/div[2]/ul/li[8]/span[2]/span"")"),"Loading...")</f>
        <v>Loading...</v>
      </c>
      <c r="T3193" s="4">
        <v>34.6</v>
      </c>
      <c r="U3193" s="4">
        <v>22.7</v>
      </c>
      <c r="V3193" s="4">
        <v>2.6</v>
      </c>
      <c r="W3193" s="4">
        <v>5.7</v>
      </c>
      <c r="X3193" s="4">
        <v>519.92999999999995</v>
      </c>
      <c r="Y3193" s="7" t="e">
        <f t="shared" ca="1" si="64"/>
        <v>#VALUE!</v>
      </c>
    </row>
    <row r="3194" spans="1:25" ht="15" x14ac:dyDescent="0.25">
      <c r="A3194" s="4">
        <v>3181</v>
      </c>
      <c r="C3194" s="41" t="s">
        <v>5524</v>
      </c>
      <c r="D3194" s="42"/>
      <c r="E3194" s="5" t="str">
        <f t="shared" si="60"/>
        <v>https://www.screener.in/company//consolidated/</v>
      </c>
      <c r="F3194" s="4">
        <v>443059</v>
      </c>
      <c r="G3194" s="4">
        <v>3832241897</v>
      </c>
      <c r="H3194" s="6" t="e">
        <f t="shared" ca="1" si="61"/>
        <v>#VALUE!</v>
      </c>
      <c r="I3194" s="7" t="str">
        <f ca="1">IFERROR(__xludf.DUMMYFUNCTION("IMPORTXML(E3194,""/html/body/main/div[3]/div[3]/div[2]/ul/li[5]/span[2]/span"")"),"Loading...")</f>
        <v>Loading...</v>
      </c>
      <c r="J3194" s="7" t="str">
        <f ca="1">IFERROR(__xludf.DUMMYFUNCTION("GOOGLEFINANCE(""NSE:""&amp;D3194,""marketcap"")"),"#N/A")</f>
        <v>#N/A</v>
      </c>
      <c r="K3194" s="7">
        <v>992.8</v>
      </c>
      <c r="L3194" s="8" t="str">
        <f ca="1">IFERROR(__xludf.DUMMYFUNCTION("GOOGLEFINANCE(""NSE:""&amp;D3194,""price"")"),"#N/A")</f>
        <v>#N/A</v>
      </c>
      <c r="M3194" s="9" t="e">
        <f t="shared" ca="1" si="62"/>
        <v>#VALUE!</v>
      </c>
      <c r="N3194" s="10" t="e">
        <f t="shared" ca="1" si="63"/>
        <v>#VALUE!</v>
      </c>
      <c r="O3194" s="7" t="str">
        <f ca="1">IFERROR(__xludf.DUMMYFUNCTION("GOOGLEFINANCE(""NSE:""&amp;D3194,""pe"")"),"#N/A")</f>
        <v>#N/A</v>
      </c>
      <c r="P3194" s="7" t="str">
        <f ca="1">IFERROR(__xludf.DUMMYFUNCTION("GOOGLEFINANCE(""NSE:""&amp;D3194,""EPS"")"),"#N/A")</f>
        <v>#N/A</v>
      </c>
      <c r="Q3194" s="7">
        <v>13.5</v>
      </c>
      <c r="R3194" s="7" t="str">
        <f ca="1">IFERROR(__xludf.DUMMYFUNCTION("IMPORTXML(E3194,""/html/body/main/div[3]/div[3]/div[2]/ul/li[7]/span[2]/span"")"),"Loading...")</f>
        <v>Loading...</v>
      </c>
      <c r="S3194" s="7" t="str">
        <f ca="1">IFERROR(__xludf.DUMMYFUNCTION("IMPORTXML(E3194,""/html/body/main/div[3]/div[3]/div[2]/ul/li[8]/span[2]/span"")"),"Loading...")</f>
        <v>Loading...</v>
      </c>
      <c r="T3194" s="4">
        <v>34.6</v>
      </c>
      <c r="U3194" s="4">
        <v>22.7</v>
      </c>
      <c r="V3194" s="4">
        <v>2.6</v>
      </c>
      <c r="W3194" s="4">
        <v>5.7</v>
      </c>
      <c r="X3194" s="4">
        <v>519.92999999999995</v>
      </c>
      <c r="Y3194" s="7" t="e">
        <f t="shared" ca="1" si="64"/>
        <v>#VALUE!</v>
      </c>
    </row>
    <row r="3195" spans="1:25" ht="15" x14ac:dyDescent="0.25">
      <c r="A3195" s="4">
        <v>3182</v>
      </c>
      <c r="C3195" s="12" t="s">
        <v>5525</v>
      </c>
      <c r="D3195" s="12" t="s">
        <v>5526</v>
      </c>
      <c r="E3195" s="5" t="str">
        <f t="shared" si="60"/>
        <v>https://www.screener.in/company/BLUECHIP/consolidated/</v>
      </c>
      <c r="F3195" s="4">
        <v>443059</v>
      </c>
      <c r="G3195" s="4">
        <v>3832241897</v>
      </c>
      <c r="H3195" s="6">
        <f t="shared" ca="1" si="61"/>
        <v>1690.018676577</v>
      </c>
      <c r="I3195" s="7" t="str">
        <f ca="1">IFERROR(__xludf.DUMMYFUNCTION("IMPORTXML(E3195,""/html/body/main/div[3]/div[3]/div[2]/ul/li[5]/span[2]/span"")"),"Loading...")</f>
        <v>Loading...</v>
      </c>
      <c r="J3195" s="7">
        <f ca="1">IFERROR(__xludf.DUMMYFUNCTION("GOOGLEFINANCE(""NSE:""&amp;D3195,""marketcap"")"),243892100)</f>
        <v>243892100</v>
      </c>
      <c r="K3195" s="7">
        <v>992.8</v>
      </c>
      <c r="L3195" s="8">
        <f ca="1">IFERROR(__xludf.DUMMYFUNCTION("GOOGLEFINANCE(""NSE:""&amp;D3195,""price"")"),4.41)</f>
        <v>4.41</v>
      </c>
      <c r="M3195" s="9">
        <f t="shared" ca="1" si="62"/>
        <v>-988.39</v>
      </c>
      <c r="N3195" s="10">
        <f t="shared" ca="1" si="63"/>
        <v>-99.555801772763914</v>
      </c>
      <c r="O3195" s="7" t="str">
        <f ca="1">IFERROR(__xludf.DUMMYFUNCTION("GOOGLEFINANCE(""NSE:""&amp;D3195,""pe"")"),"#N/A")</f>
        <v>#N/A</v>
      </c>
      <c r="P3195" s="7">
        <f ca="1">IFERROR(__xludf.DUMMYFUNCTION("GOOGLEFINANCE(""NSE:""&amp;D3195,""EPS"")"),-0.48)</f>
        <v>-0.48</v>
      </c>
      <c r="Q3195" s="7">
        <v>13.5</v>
      </c>
      <c r="R3195" s="7" t="str">
        <f ca="1">IFERROR(__xludf.DUMMYFUNCTION("IMPORTXML(E3195,""/html/body/main/div[3]/div[3]/div[2]/ul/li[7]/span[2]/span"")"),"Loading...")</f>
        <v>Loading...</v>
      </c>
      <c r="S3195" s="7" t="str">
        <f ca="1">IFERROR(__xludf.DUMMYFUNCTION("IMPORTXML(E3195,""/html/body/main/div[3]/div[3]/div[2]/ul/li[8]/span[2]/span"")"),"Loading...")</f>
        <v>Loading...</v>
      </c>
      <c r="T3195" s="4">
        <v>34.6</v>
      </c>
      <c r="U3195" s="4">
        <v>22.7</v>
      </c>
      <c r="V3195" s="4">
        <v>2.6</v>
      </c>
      <c r="W3195" s="4">
        <v>5.7</v>
      </c>
      <c r="X3195" s="4">
        <v>519.92999999999995</v>
      </c>
      <c r="Y3195" s="7">
        <f t="shared" ca="1" si="64"/>
        <v>-515.52</v>
      </c>
    </row>
    <row r="3196" spans="1:25" ht="15" x14ac:dyDescent="0.25">
      <c r="A3196" s="4">
        <v>3183</v>
      </c>
      <c r="C3196" s="41" t="s">
        <v>5527</v>
      </c>
      <c r="D3196" s="42"/>
      <c r="E3196" s="5" t="str">
        <f t="shared" si="60"/>
        <v>https://www.screener.in/company//consolidated/</v>
      </c>
      <c r="F3196" s="4">
        <v>443059</v>
      </c>
      <c r="G3196" s="4">
        <v>3832241897</v>
      </c>
      <c r="H3196" s="6" t="e">
        <f t="shared" ca="1" si="61"/>
        <v>#VALUE!</v>
      </c>
      <c r="I3196" s="7" t="str">
        <f ca="1">IFERROR(__xludf.DUMMYFUNCTION("IMPORTXML(E3196,""/html/body/main/div[3]/div[3]/div[2]/ul/li[5]/span[2]/span"")"),"Loading...")</f>
        <v>Loading...</v>
      </c>
      <c r="J3196" s="7" t="str">
        <f ca="1">IFERROR(__xludf.DUMMYFUNCTION("GOOGLEFINANCE(""NSE:""&amp;D3196,""marketcap"")"),"#N/A")</f>
        <v>#N/A</v>
      </c>
      <c r="K3196" s="7">
        <v>992.8</v>
      </c>
      <c r="L3196" s="8" t="str">
        <f ca="1">IFERROR(__xludf.DUMMYFUNCTION("GOOGLEFINANCE(""NSE:""&amp;D3196,""price"")"),"#N/A")</f>
        <v>#N/A</v>
      </c>
      <c r="M3196" s="9" t="e">
        <f t="shared" ca="1" si="62"/>
        <v>#VALUE!</v>
      </c>
      <c r="N3196" s="10" t="e">
        <f t="shared" ca="1" si="63"/>
        <v>#VALUE!</v>
      </c>
      <c r="O3196" s="7" t="str">
        <f ca="1">IFERROR(__xludf.DUMMYFUNCTION("GOOGLEFINANCE(""NSE:""&amp;D3196,""pe"")"),"#N/A")</f>
        <v>#N/A</v>
      </c>
      <c r="P3196" s="7" t="str">
        <f ca="1">IFERROR(__xludf.DUMMYFUNCTION("GOOGLEFINANCE(""NSE:""&amp;D3196,""EPS"")"),"#N/A")</f>
        <v>#N/A</v>
      </c>
      <c r="Q3196" s="7">
        <v>13.5</v>
      </c>
      <c r="R3196" s="7" t="str">
        <f ca="1">IFERROR(__xludf.DUMMYFUNCTION("IMPORTXML(E3196,""/html/body/main/div[3]/div[3]/div[2]/ul/li[7]/span[2]/span"")"),"Loading...")</f>
        <v>Loading...</v>
      </c>
      <c r="S3196" s="7" t="str">
        <f ca="1">IFERROR(__xludf.DUMMYFUNCTION("IMPORTXML(E3196,""/html/body/main/div[3]/div[3]/div[2]/ul/li[8]/span[2]/span"")"),"Loading...")</f>
        <v>Loading...</v>
      </c>
      <c r="T3196" s="4">
        <v>34.6</v>
      </c>
      <c r="U3196" s="4">
        <v>22.7</v>
      </c>
      <c r="V3196" s="4">
        <v>2.6</v>
      </c>
      <c r="W3196" s="4">
        <v>5.7</v>
      </c>
      <c r="X3196" s="4">
        <v>519.92999999999995</v>
      </c>
      <c r="Y3196" s="7" t="e">
        <f t="shared" ca="1" si="64"/>
        <v>#VALUE!</v>
      </c>
    </row>
    <row r="3197" spans="1:25" ht="15" x14ac:dyDescent="0.25">
      <c r="A3197" s="4">
        <v>3184</v>
      </c>
      <c r="C3197" s="12" t="s">
        <v>5528</v>
      </c>
      <c r="D3197" s="12" t="s">
        <v>5529</v>
      </c>
      <c r="E3197" s="5" t="str">
        <f t="shared" si="60"/>
        <v>https://www.screener.in/company/GOENKA/consolidated/</v>
      </c>
      <c r="F3197" s="4">
        <v>443059</v>
      </c>
      <c r="G3197" s="4">
        <v>3832241897</v>
      </c>
      <c r="H3197" s="6">
        <f t="shared" ca="1" si="61"/>
        <v>352.56625452400004</v>
      </c>
      <c r="I3197" s="7" t="str">
        <f ca="1">IFERROR(__xludf.DUMMYFUNCTION("IMPORTXML(E3197,""/html/body/main/div[3]/div[3]/div[2]/ul/li[5]/span[2]/span"")"),"Loading...")</f>
        <v>Loading...</v>
      </c>
      <c r="J3197" s="7">
        <f ca="1">IFERROR(__xludf.DUMMYFUNCTION("GOOGLEFINANCE(""NSE:""&amp;D3197,""marketcap"")"),291640000)</f>
        <v>291640000</v>
      </c>
      <c r="K3197" s="7">
        <v>992.8</v>
      </c>
      <c r="L3197" s="8">
        <f ca="1">IFERROR(__xludf.DUMMYFUNCTION("GOOGLEFINANCE(""NSE:""&amp;D3197,""price"")"),0.92)</f>
        <v>0.92</v>
      </c>
      <c r="M3197" s="9">
        <f t="shared" ca="1" si="62"/>
        <v>-991.88</v>
      </c>
      <c r="N3197" s="10">
        <f t="shared" ca="1" si="63"/>
        <v>-99.907332796132152</v>
      </c>
      <c r="O3197" s="7" t="str">
        <f ca="1">IFERROR(__xludf.DUMMYFUNCTION("GOOGLEFINANCE(""NSE:""&amp;D3197,""pe"")"),"#N/A")</f>
        <v>#N/A</v>
      </c>
      <c r="P3197" s="7">
        <f ca="1">IFERROR(__xludf.DUMMYFUNCTION("GOOGLEFINANCE(""NSE:""&amp;D3197,""EPS"")"),-0.06)</f>
        <v>-0.06</v>
      </c>
      <c r="Q3197" s="7">
        <v>13.5</v>
      </c>
      <c r="R3197" s="7" t="str">
        <f ca="1">IFERROR(__xludf.DUMMYFUNCTION("IMPORTXML(E3197,""/html/body/main/div[3]/div[3]/div[2]/ul/li[7]/span[2]/span"")"),"Loading...")</f>
        <v>Loading...</v>
      </c>
      <c r="S3197" s="7" t="str">
        <f ca="1">IFERROR(__xludf.DUMMYFUNCTION("IMPORTXML(E3197,""/html/body/main/div[3]/div[3]/div[2]/ul/li[8]/span[2]/span"")"),"Loading...")</f>
        <v>Loading...</v>
      </c>
      <c r="T3197" s="4">
        <v>34.6</v>
      </c>
      <c r="U3197" s="4">
        <v>22.7</v>
      </c>
      <c r="V3197" s="4">
        <v>2.6</v>
      </c>
      <c r="W3197" s="4">
        <v>5.7</v>
      </c>
      <c r="X3197" s="4">
        <v>519.92999999999995</v>
      </c>
      <c r="Y3197" s="7">
        <f t="shared" ca="1" si="64"/>
        <v>-519.01</v>
      </c>
    </row>
    <row r="3198" spans="1:25" ht="15" x14ac:dyDescent="0.25">
      <c r="A3198" s="4">
        <v>3185</v>
      </c>
      <c r="C3198" s="41" t="s">
        <v>5530</v>
      </c>
      <c r="D3198" s="42"/>
      <c r="E3198" s="5" t="str">
        <f t="shared" si="60"/>
        <v>https://www.screener.in/company//consolidated/</v>
      </c>
      <c r="F3198" s="4">
        <v>443059</v>
      </c>
      <c r="G3198" s="4">
        <v>3832241897</v>
      </c>
      <c r="H3198" s="6" t="e">
        <f t="shared" ca="1" si="61"/>
        <v>#VALUE!</v>
      </c>
      <c r="I3198" s="7" t="str">
        <f ca="1">IFERROR(__xludf.DUMMYFUNCTION("IMPORTXML(E3198,""/html/body/main/div[3]/div[3]/div[2]/ul/li[5]/span[2]/span"")"),"Loading...")</f>
        <v>Loading...</v>
      </c>
      <c r="J3198" s="7" t="str">
        <f ca="1">IFERROR(__xludf.DUMMYFUNCTION("GOOGLEFINANCE(""NSE:""&amp;D3198,""marketcap"")"),"#N/A")</f>
        <v>#N/A</v>
      </c>
      <c r="K3198" s="7">
        <v>992.8</v>
      </c>
      <c r="L3198" s="8" t="str">
        <f ca="1">IFERROR(__xludf.DUMMYFUNCTION("GOOGLEFINANCE(""NSE:""&amp;D3198,""price"")"),"#N/A")</f>
        <v>#N/A</v>
      </c>
      <c r="M3198" s="9" t="e">
        <f t="shared" ca="1" si="62"/>
        <v>#VALUE!</v>
      </c>
      <c r="N3198" s="10" t="e">
        <f t="shared" ca="1" si="63"/>
        <v>#VALUE!</v>
      </c>
      <c r="O3198" s="7" t="str">
        <f ca="1">IFERROR(__xludf.DUMMYFUNCTION("GOOGLEFINANCE(""NSE:""&amp;D3198,""pe"")"),"#N/A")</f>
        <v>#N/A</v>
      </c>
      <c r="P3198" s="7" t="str">
        <f ca="1">IFERROR(__xludf.DUMMYFUNCTION("GOOGLEFINANCE(""NSE:""&amp;D3198,""EPS"")"),"#N/A")</f>
        <v>#N/A</v>
      </c>
      <c r="Q3198" s="7">
        <v>13.5</v>
      </c>
      <c r="R3198" s="7" t="str">
        <f ca="1">IFERROR(__xludf.DUMMYFUNCTION("IMPORTXML(E3198,""/html/body/main/div[3]/div[3]/div[2]/ul/li[7]/span[2]/span"")"),"Loading...")</f>
        <v>Loading...</v>
      </c>
      <c r="S3198" s="7" t="str">
        <f ca="1">IFERROR(__xludf.DUMMYFUNCTION("IMPORTXML(E3198,""/html/body/main/div[3]/div[3]/div[2]/ul/li[8]/span[2]/span"")"),"Loading...")</f>
        <v>Loading...</v>
      </c>
      <c r="T3198" s="4">
        <v>34.6</v>
      </c>
      <c r="U3198" s="4">
        <v>22.7</v>
      </c>
      <c r="V3198" s="4">
        <v>2.6</v>
      </c>
      <c r="W3198" s="4">
        <v>5.7</v>
      </c>
      <c r="X3198" s="4">
        <v>519.92999999999995</v>
      </c>
      <c r="Y3198" s="7" t="e">
        <f t="shared" ca="1" si="64"/>
        <v>#VALUE!</v>
      </c>
    </row>
    <row r="3199" spans="1:25" ht="15" x14ac:dyDescent="0.25">
      <c r="A3199" s="4">
        <v>3186</v>
      </c>
      <c r="C3199" s="12" t="s">
        <v>5531</v>
      </c>
      <c r="D3199" s="12" t="s">
        <v>5532</v>
      </c>
      <c r="E3199" s="5" t="str">
        <f t="shared" si="60"/>
        <v>https://www.screener.in/company/INFOMEDIA/consolidated/</v>
      </c>
      <c r="F3199" s="4">
        <v>443059</v>
      </c>
      <c r="G3199" s="4">
        <v>3832241897</v>
      </c>
      <c r="H3199" s="6">
        <f t="shared" ca="1" si="61"/>
        <v>2337.6675571699998</v>
      </c>
      <c r="I3199" s="7" t="str">
        <f ca="1">IFERROR(__xludf.DUMMYFUNCTION("IMPORTXML(E3199,""/html/body/main/div[3]/div[3]/div[2]/ul/li[5]/span[2]/span"")"),"Loading...")</f>
        <v>Loading...</v>
      </c>
      <c r="J3199" s="7">
        <f ca="1">IFERROR(__xludf.DUMMYFUNCTION("GOOGLEFINANCE(""NSE:""&amp;D3199,""marketcap"")"),306184400)</f>
        <v>306184400</v>
      </c>
      <c r="K3199" s="7">
        <v>992.8</v>
      </c>
      <c r="L3199" s="8">
        <f ca="1">IFERROR(__xludf.DUMMYFUNCTION("GOOGLEFINANCE(""NSE:""&amp;D3199,""price"")"),6.1)</f>
        <v>6.1</v>
      </c>
      <c r="M3199" s="9">
        <f t="shared" ca="1" si="62"/>
        <v>-986.69999999999993</v>
      </c>
      <c r="N3199" s="10">
        <f t="shared" ca="1" si="63"/>
        <v>-99.385576148267532</v>
      </c>
      <c r="O3199" s="7" t="str">
        <f ca="1">IFERROR(__xludf.DUMMYFUNCTION("GOOGLEFINANCE(""NSE:""&amp;D3199,""pe"")"),"#N/A")</f>
        <v>#N/A</v>
      </c>
      <c r="P3199" s="7" t="str">
        <f ca="1">IFERROR(__xludf.DUMMYFUNCTION("GOOGLEFINANCE(""NSE:""&amp;D3199,""EPS"")"),"#N/A")</f>
        <v>#N/A</v>
      </c>
      <c r="Q3199" s="7">
        <v>13.5</v>
      </c>
      <c r="R3199" s="7" t="str">
        <f ca="1">IFERROR(__xludf.DUMMYFUNCTION("IMPORTXML(E3199,""/html/body/main/div[3]/div[3]/div[2]/ul/li[7]/span[2]/span"")"),"Loading...")</f>
        <v>Loading...</v>
      </c>
      <c r="S3199" s="7" t="str">
        <f ca="1">IFERROR(__xludf.DUMMYFUNCTION("IMPORTXML(E3199,""/html/body/main/div[3]/div[3]/div[2]/ul/li[8]/span[2]/span"")"),"Loading...")</f>
        <v>Loading...</v>
      </c>
      <c r="T3199" s="4">
        <v>34.6</v>
      </c>
      <c r="U3199" s="4">
        <v>22.7</v>
      </c>
      <c r="V3199" s="4">
        <v>2.6</v>
      </c>
      <c r="W3199" s="4">
        <v>5.7</v>
      </c>
      <c r="X3199" s="4">
        <v>519.92999999999995</v>
      </c>
      <c r="Y3199" s="7">
        <f t="shared" ca="1" si="64"/>
        <v>-513.82999999999993</v>
      </c>
    </row>
    <row r="3200" spans="1:25" ht="15" x14ac:dyDescent="0.25">
      <c r="A3200" s="4">
        <v>3187</v>
      </c>
      <c r="C3200" s="41" t="s">
        <v>5533</v>
      </c>
      <c r="D3200" s="42"/>
      <c r="E3200" s="5" t="str">
        <f t="shared" si="60"/>
        <v>https://www.screener.in/company//consolidated/</v>
      </c>
      <c r="F3200" s="4">
        <v>443059</v>
      </c>
      <c r="G3200" s="4">
        <v>3832241897</v>
      </c>
      <c r="H3200" s="6" t="e">
        <f t="shared" ca="1" si="61"/>
        <v>#VALUE!</v>
      </c>
      <c r="I3200" s="7" t="str">
        <f ca="1">IFERROR(__xludf.DUMMYFUNCTION("IMPORTXML(E3200,""/html/body/main/div[3]/div[3]/div[2]/ul/li[5]/span[2]/span"")"),"Loading...")</f>
        <v>Loading...</v>
      </c>
      <c r="J3200" s="7" t="str">
        <f ca="1">IFERROR(__xludf.DUMMYFUNCTION("GOOGLEFINANCE(""NSE:""&amp;D3200,""marketcap"")"),"#N/A")</f>
        <v>#N/A</v>
      </c>
      <c r="K3200" s="7">
        <v>992.8</v>
      </c>
      <c r="L3200" s="8" t="str">
        <f ca="1">IFERROR(__xludf.DUMMYFUNCTION("GOOGLEFINANCE(""NSE:""&amp;D3200,""price"")"),"#N/A")</f>
        <v>#N/A</v>
      </c>
      <c r="M3200" s="9" t="e">
        <f t="shared" ca="1" si="62"/>
        <v>#VALUE!</v>
      </c>
      <c r="N3200" s="10" t="e">
        <f t="shared" ca="1" si="63"/>
        <v>#VALUE!</v>
      </c>
      <c r="O3200" s="7" t="str">
        <f ca="1">IFERROR(__xludf.DUMMYFUNCTION("GOOGLEFINANCE(""NSE:""&amp;D3200,""pe"")"),"#N/A")</f>
        <v>#N/A</v>
      </c>
      <c r="P3200" s="7" t="str">
        <f ca="1">IFERROR(__xludf.DUMMYFUNCTION("GOOGLEFINANCE(""NSE:""&amp;D3200,""EPS"")"),"#N/A")</f>
        <v>#N/A</v>
      </c>
      <c r="Q3200" s="7">
        <v>13.5</v>
      </c>
      <c r="R3200" s="7" t="str">
        <f ca="1">IFERROR(__xludf.DUMMYFUNCTION("IMPORTXML(E3200,""/html/body/main/div[3]/div[3]/div[2]/ul/li[7]/span[2]/span"")"),"Loading...")</f>
        <v>Loading...</v>
      </c>
      <c r="S3200" s="7" t="str">
        <f ca="1">IFERROR(__xludf.DUMMYFUNCTION("IMPORTXML(E3200,""/html/body/main/div[3]/div[3]/div[2]/ul/li[8]/span[2]/span"")"),"Loading...")</f>
        <v>Loading...</v>
      </c>
      <c r="T3200" s="4">
        <v>34.6</v>
      </c>
      <c r="U3200" s="4">
        <v>22.7</v>
      </c>
      <c r="V3200" s="4">
        <v>2.6</v>
      </c>
      <c r="W3200" s="4">
        <v>5.7</v>
      </c>
      <c r="X3200" s="4">
        <v>519.92999999999995</v>
      </c>
      <c r="Y3200" s="7" t="e">
        <f t="shared" ca="1" si="64"/>
        <v>#VALUE!</v>
      </c>
    </row>
    <row r="3201" spans="1:25" ht="15" x14ac:dyDescent="0.25">
      <c r="A3201" s="4">
        <v>3188</v>
      </c>
      <c r="C3201" s="41" t="s">
        <v>5534</v>
      </c>
      <c r="D3201" s="42"/>
      <c r="E3201" s="5" t="str">
        <f t="shared" si="60"/>
        <v>https://www.screener.in/company//consolidated/</v>
      </c>
      <c r="F3201" s="4">
        <v>443059</v>
      </c>
      <c r="G3201" s="4">
        <v>3832241897</v>
      </c>
      <c r="H3201" s="6" t="e">
        <f t="shared" ca="1" si="61"/>
        <v>#VALUE!</v>
      </c>
      <c r="I3201" s="7" t="str">
        <f ca="1">IFERROR(__xludf.DUMMYFUNCTION("IMPORTXML(E3201,""/html/body/main/div[3]/div[3]/div[2]/ul/li[5]/span[2]/span"")"),"Loading...")</f>
        <v>Loading...</v>
      </c>
      <c r="J3201" s="7" t="str">
        <f ca="1">IFERROR(__xludf.DUMMYFUNCTION("GOOGLEFINANCE(""NSE:""&amp;D3201,""marketcap"")"),"#N/A")</f>
        <v>#N/A</v>
      </c>
      <c r="K3201" s="7">
        <v>992.8</v>
      </c>
      <c r="L3201" s="8" t="str">
        <f ca="1">IFERROR(__xludf.DUMMYFUNCTION("GOOGLEFINANCE(""NSE:""&amp;D3201,""price"")"),"#N/A")</f>
        <v>#N/A</v>
      </c>
      <c r="M3201" s="9" t="e">
        <f t="shared" ca="1" si="62"/>
        <v>#VALUE!</v>
      </c>
      <c r="N3201" s="10" t="e">
        <f t="shared" ca="1" si="63"/>
        <v>#VALUE!</v>
      </c>
      <c r="O3201" s="7" t="str">
        <f ca="1">IFERROR(__xludf.DUMMYFUNCTION("GOOGLEFINANCE(""NSE:""&amp;D3201,""pe"")"),"#N/A")</f>
        <v>#N/A</v>
      </c>
      <c r="P3201" s="7" t="str">
        <f ca="1">IFERROR(__xludf.DUMMYFUNCTION("GOOGLEFINANCE(""NSE:""&amp;D3201,""EPS"")"),"#N/A")</f>
        <v>#N/A</v>
      </c>
      <c r="Q3201" s="7">
        <v>13.5</v>
      </c>
      <c r="R3201" s="7" t="str">
        <f ca="1">IFERROR(__xludf.DUMMYFUNCTION("IMPORTXML(E3201,""/html/body/main/div[3]/div[3]/div[2]/ul/li[7]/span[2]/span"")"),"Loading...")</f>
        <v>Loading...</v>
      </c>
      <c r="S3201" s="7" t="str">
        <f ca="1">IFERROR(__xludf.DUMMYFUNCTION("IMPORTXML(E3201,""/html/body/main/div[3]/div[3]/div[2]/ul/li[8]/span[2]/span"")"),"Loading...")</f>
        <v>Loading...</v>
      </c>
      <c r="T3201" s="4">
        <v>34.6</v>
      </c>
      <c r="U3201" s="4">
        <v>22.7</v>
      </c>
      <c r="V3201" s="4">
        <v>2.6</v>
      </c>
      <c r="W3201" s="4">
        <v>5.7</v>
      </c>
      <c r="X3201" s="4">
        <v>519.92999999999995</v>
      </c>
      <c r="Y3201" s="7" t="e">
        <f t="shared" ca="1" si="64"/>
        <v>#VALUE!</v>
      </c>
    </row>
    <row r="3202" spans="1:25" ht="15" x14ac:dyDescent="0.25">
      <c r="A3202" s="4">
        <v>3189</v>
      </c>
      <c r="C3202" s="41" t="s">
        <v>5535</v>
      </c>
      <c r="D3202" s="42"/>
      <c r="E3202" s="5" t="str">
        <f t="shared" si="60"/>
        <v>https://www.screener.in/company//consolidated/</v>
      </c>
      <c r="F3202" s="4">
        <v>443059</v>
      </c>
      <c r="G3202" s="4">
        <v>3832241897</v>
      </c>
      <c r="H3202" s="6" t="e">
        <f t="shared" ca="1" si="61"/>
        <v>#VALUE!</v>
      </c>
      <c r="I3202" s="7" t="str">
        <f ca="1">IFERROR(__xludf.DUMMYFUNCTION("IMPORTXML(E3202,""/html/body/main/div[3]/div[3]/div[2]/ul/li[5]/span[2]/span"")"),"Loading...")</f>
        <v>Loading...</v>
      </c>
      <c r="J3202" s="7" t="str">
        <f ca="1">IFERROR(__xludf.DUMMYFUNCTION("GOOGLEFINANCE(""NSE:""&amp;D3202,""marketcap"")"),"#N/A")</f>
        <v>#N/A</v>
      </c>
      <c r="K3202" s="7">
        <v>992.8</v>
      </c>
      <c r="L3202" s="8" t="str">
        <f ca="1">IFERROR(__xludf.DUMMYFUNCTION("GOOGLEFINANCE(""NSE:""&amp;D3202,""price"")"),"#N/A")</f>
        <v>#N/A</v>
      </c>
      <c r="M3202" s="9" t="e">
        <f t="shared" ca="1" si="62"/>
        <v>#VALUE!</v>
      </c>
      <c r="N3202" s="10" t="e">
        <f t="shared" ca="1" si="63"/>
        <v>#VALUE!</v>
      </c>
      <c r="O3202" s="7" t="str">
        <f ca="1">IFERROR(__xludf.DUMMYFUNCTION("GOOGLEFINANCE(""NSE:""&amp;D3202,""pe"")"),"#N/A")</f>
        <v>#N/A</v>
      </c>
      <c r="P3202" s="7" t="str">
        <f ca="1">IFERROR(__xludf.DUMMYFUNCTION("GOOGLEFINANCE(""NSE:""&amp;D3202,""EPS"")"),"#N/A")</f>
        <v>#N/A</v>
      </c>
      <c r="Q3202" s="7">
        <v>13.5</v>
      </c>
      <c r="R3202" s="7" t="str">
        <f ca="1">IFERROR(__xludf.DUMMYFUNCTION("IMPORTXML(E3202,""/html/body/main/div[3]/div[3]/div[2]/ul/li[7]/span[2]/span"")"),"Loading...")</f>
        <v>Loading...</v>
      </c>
      <c r="S3202" s="7" t="str">
        <f ca="1">IFERROR(__xludf.DUMMYFUNCTION("IMPORTXML(E3202,""/html/body/main/div[3]/div[3]/div[2]/ul/li[8]/span[2]/span"")"),"Loading...")</f>
        <v>Loading...</v>
      </c>
      <c r="T3202" s="4">
        <v>34.6</v>
      </c>
      <c r="U3202" s="4">
        <v>22.7</v>
      </c>
      <c r="V3202" s="4">
        <v>2.6</v>
      </c>
      <c r="W3202" s="4">
        <v>5.7</v>
      </c>
      <c r="X3202" s="4">
        <v>519.92999999999995</v>
      </c>
      <c r="Y3202" s="7" t="e">
        <f t="shared" ca="1" si="64"/>
        <v>#VALUE!</v>
      </c>
    </row>
    <row r="3203" spans="1:25" ht="15" x14ac:dyDescent="0.25">
      <c r="A3203" s="4">
        <v>3190</v>
      </c>
      <c r="C3203" s="12" t="s">
        <v>5536</v>
      </c>
      <c r="D3203" s="37"/>
      <c r="E3203" s="5" t="str">
        <f t="shared" si="60"/>
        <v>https://www.screener.in/company//consolidated/</v>
      </c>
      <c r="F3203" s="4">
        <v>443059</v>
      </c>
      <c r="G3203" s="4">
        <v>3832241897</v>
      </c>
      <c r="H3203" s="6" t="e">
        <f t="shared" ca="1" si="61"/>
        <v>#VALUE!</v>
      </c>
      <c r="I3203" s="7" t="str">
        <f ca="1">IFERROR(__xludf.DUMMYFUNCTION("IMPORTXML(E3203,""/html/body/main/div[3]/div[3]/div[2]/ul/li[5]/span[2]/span"")"),"Loading...")</f>
        <v>Loading...</v>
      </c>
      <c r="J3203" s="7" t="str">
        <f ca="1">IFERROR(__xludf.DUMMYFUNCTION("GOOGLEFINANCE(""NSE:""&amp;D3203,""marketcap"")"),"#N/A")</f>
        <v>#N/A</v>
      </c>
      <c r="K3203" s="7">
        <v>992.8</v>
      </c>
      <c r="L3203" s="8" t="str">
        <f ca="1">IFERROR(__xludf.DUMMYFUNCTION("GOOGLEFINANCE(""NSE:""&amp;D3203,""price"")"),"#N/A")</f>
        <v>#N/A</v>
      </c>
      <c r="M3203" s="9" t="e">
        <f t="shared" ca="1" si="62"/>
        <v>#VALUE!</v>
      </c>
      <c r="N3203" s="10" t="e">
        <f t="shared" ca="1" si="63"/>
        <v>#VALUE!</v>
      </c>
      <c r="O3203" s="7" t="str">
        <f ca="1">IFERROR(__xludf.DUMMYFUNCTION("GOOGLEFINANCE(""NSE:""&amp;D3203,""pe"")"),"#N/A")</f>
        <v>#N/A</v>
      </c>
      <c r="P3203" s="7" t="str">
        <f ca="1">IFERROR(__xludf.DUMMYFUNCTION("GOOGLEFINANCE(""NSE:""&amp;D3203,""EPS"")"),"#N/A")</f>
        <v>#N/A</v>
      </c>
      <c r="Q3203" s="7">
        <v>13.5</v>
      </c>
      <c r="R3203" s="7" t="str">
        <f ca="1">IFERROR(__xludf.DUMMYFUNCTION("IMPORTXML(E3203,""/html/body/main/div[3]/div[3]/div[2]/ul/li[7]/span[2]/span"")"),"Loading...")</f>
        <v>Loading...</v>
      </c>
      <c r="S3203" s="7" t="str">
        <f ca="1">IFERROR(__xludf.DUMMYFUNCTION("IMPORTXML(E3203,""/html/body/main/div[3]/div[3]/div[2]/ul/li[8]/span[2]/span"")"),"Loading...")</f>
        <v>Loading...</v>
      </c>
      <c r="T3203" s="4">
        <v>34.6</v>
      </c>
      <c r="U3203" s="4">
        <v>22.7</v>
      </c>
      <c r="V3203" s="4">
        <v>2.6</v>
      </c>
      <c r="W3203" s="4">
        <v>5.7</v>
      </c>
      <c r="X3203" s="4">
        <v>519.92999999999995</v>
      </c>
      <c r="Y3203" s="7" t="e">
        <f t="shared" ca="1" si="64"/>
        <v>#VALUE!</v>
      </c>
    </row>
    <row r="3204" spans="1:25" ht="15" x14ac:dyDescent="0.25">
      <c r="A3204" s="4">
        <v>3191</v>
      </c>
      <c r="C3204" s="41" t="s">
        <v>5537</v>
      </c>
      <c r="D3204" s="42"/>
      <c r="E3204" s="5" t="str">
        <f t="shared" si="60"/>
        <v>https://www.screener.in/company//consolidated/</v>
      </c>
      <c r="F3204" s="4">
        <v>443059</v>
      </c>
      <c r="G3204" s="4">
        <v>3832241897</v>
      </c>
      <c r="H3204" s="6" t="e">
        <f t="shared" ca="1" si="61"/>
        <v>#VALUE!</v>
      </c>
      <c r="I3204" s="7" t="str">
        <f ca="1">IFERROR(__xludf.DUMMYFUNCTION("IMPORTXML(E3204,""/html/body/main/div[3]/div[3]/div[2]/ul/li[5]/span[2]/span"")"),"Loading...")</f>
        <v>Loading...</v>
      </c>
      <c r="J3204" s="7" t="str">
        <f ca="1">IFERROR(__xludf.DUMMYFUNCTION("GOOGLEFINANCE(""NSE:""&amp;D3204,""marketcap"")"),"#N/A")</f>
        <v>#N/A</v>
      </c>
      <c r="K3204" s="7">
        <v>992.8</v>
      </c>
      <c r="L3204" s="8" t="str">
        <f ca="1">IFERROR(__xludf.DUMMYFUNCTION("GOOGLEFINANCE(""NSE:""&amp;D3204,""price"")"),"#N/A")</f>
        <v>#N/A</v>
      </c>
      <c r="M3204" s="9" t="e">
        <f t="shared" ca="1" si="62"/>
        <v>#VALUE!</v>
      </c>
      <c r="N3204" s="10" t="e">
        <f t="shared" ca="1" si="63"/>
        <v>#VALUE!</v>
      </c>
      <c r="O3204" s="7" t="str">
        <f ca="1">IFERROR(__xludf.DUMMYFUNCTION("GOOGLEFINANCE(""NSE:""&amp;D3204,""pe"")"),"#N/A")</f>
        <v>#N/A</v>
      </c>
      <c r="P3204" s="7" t="str">
        <f ca="1">IFERROR(__xludf.DUMMYFUNCTION("GOOGLEFINANCE(""NSE:""&amp;D3204,""EPS"")"),"#N/A")</f>
        <v>#N/A</v>
      </c>
      <c r="Q3204" s="7">
        <v>13.5</v>
      </c>
      <c r="R3204" s="7" t="str">
        <f ca="1">IFERROR(__xludf.DUMMYFUNCTION("IMPORTXML(E3204,""/html/body/main/div[3]/div[3]/div[2]/ul/li[7]/span[2]/span"")"),"Loading...")</f>
        <v>Loading...</v>
      </c>
      <c r="S3204" s="7" t="str">
        <f ca="1">IFERROR(__xludf.DUMMYFUNCTION("IMPORTXML(E3204,""/html/body/main/div[3]/div[3]/div[2]/ul/li[8]/span[2]/span"")"),"Loading...")</f>
        <v>Loading...</v>
      </c>
      <c r="T3204" s="4">
        <v>34.6</v>
      </c>
      <c r="U3204" s="4">
        <v>22.7</v>
      </c>
      <c r="V3204" s="4">
        <v>2.6</v>
      </c>
      <c r="W3204" s="4">
        <v>5.7</v>
      </c>
      <c r="X3204" s="4">
        <v>519.92999999999995</v>
      </c>
      <c r="Y3204" s="7" t="e">
        <f t="shared" ca="1" si="64"/>
        <v>#VALUE!</v>
      </c>
    </row>
    <row r="3205" spans="1:25" ht="15" x14ac:dyDescent="0.25">
      <c r="A3205" s="4">
        <v>3192</v>
      </c>
      <c r="C3205" s="41" t="s">
        <v>5538</v>
      </c>
      <c r="D3205" s="42"/>
      <c r="E3205" s="5" t="str">
        <f t="shared" si="60"/>
        <v>https://www.screener.in/company//consolidated/</v>
      </c>
      <c r="F3205" s="4">
        <v>443059</v>
      </c>
      <c r="G3205" s="4">
        <v>3832241897</v>
      </c>
      <c r="H3205" s="6" t="e">
        <f t="shared" ca="1" si="61"/>
        <v>#VALUE!</v>
      </c>
      <c r="I3205" s="7" t="str">
        <f ca="1">IFERROR(__xludf.DUMMYFUNCTION("IMPORTXML(E3205,""/html/body/main/div[3]/div[3]/div[2]/ul/li[5]/span[2]/span"")"),"Loading...")</f>
        <v>Loading...</v>
      </c>
      <c r="J3205" s="7" t="str">
        <f ca="1">IFERROR(__xludf.DUMMYFUNCTION("GOOGLEFINANCE(""NSE:""&amp;D3205,""marketcap"")"),"#N/A")</f>
        <v>#N/A</v>
      </c>
      <c r="K3205" s="7">
        <v>992.8</v>
      </c>
      <c r="L3205" s="8" t="str">
        <f ca="1">IFERROR(__xludf.DUMMYFUNCTION("GOOGLEFINANCE(""NSE:""&amp;D3205,""price"")"),"#N/A")</f>
        <v>#N/A</v>
      </c>
      <c r="M3205" s="9" t="e">
        <f t="shared" ca="1" si="62"/>
        <v>#VALUE!</v>
      </c>
      <c r="N3205" s="10" t="e">
        <f t="shared" ca="1" si="63"/>
        <v>#VALUE!</v>
      </c>
      <c r="O3205" s="7" t="str">
        <f ca="1">IFERROR(__xludf.DUMMYFUNCTION("GOOGLEFINANCE(""NSE:""&amp;D3205,""pe"")"),"#N/A")</f>
        <v>#N/A</v>
      </c>
      <c r="P3205" s="7" t="str">
        <f ca="1">IFERROR(__xludf.DUMMYFUNCTION("GOOGLEFINANCE(""NSE:""&amp;D3205,""EPS"")"),"#N/A")</f>
        <v>#N/A</v>
      </c>
      <c r="Q3205" s="7">
        <v>13.5</v>
      </c>
      <c r="R3205" s="7" t="str">
        <f ca="1">IFERROR(__xludf.DUMMYFUNCTION("IMPORTXML(E3205,""/html/body/main/div[3]/div[3]/div[2]/ul/li[7]/span[2]/span"")"),"Loading...")</f>
        <v>Loading...</v>
      </c>
      <c r="S3205" s="7" t="str">
        <f ca="1">IFERROR(__xludf.DUMMYFUNCTION("IMPORTXML(E3205,""/html/body/main/div[3]/div[3]/div[2]/ul/li[8]/span[2]/span"")"),"Loading...")</f>
        <v>Loading...</v>
      </c>
      <c r="T3205" s="4">
        <v>34.6</v>
      </c>
      <c r="U3205" s="4">
        <v>22.7</v>
      </c>
      <c r="V3205" s="4">
        <v>2.6</v>
      </c>
      <c r="W3205" s="4">
        <v>5.7</v>
      </c>
      <c r="X3205" s="4">
        <v>519.92999999999995</v>
      </c>
      <c r="Y3205" s="7" t="e">
        <f t="shared" ca="1" si="64"/>
        <v>#VALUE!</v>
      </c>
    </row>
    <row r="3206" spans="1:25" ht="15" x14ac:dyDescent="0.25">
      <c r="A3206" s="4">
        <v>3193</v>
      </c>
      <c r="C3206" s="41" t="s">
        <v>5539</v>
      </c>
      <c r="D3206" s="42"/>
      <c r="E3206" s="5" t="str">
        <f t="shared" si="60"/>
        <v>https://www.screener.in/company//consolidated/</v>
      </c>
      <c r="F3206" s="4">
        <v>443059</v>
      </c>
      <c r="G3206" s="4">
        <v>3832241897</v>
      </c>
      <c r="H3206" s="6" t="e">
        <f t="shared" ca="1" si="61"/>
        <v>#VALUE!</v>
      </c>
      <c r="I3206" s="7" t="str">
        <f ca="1">IFERROR(__xludf.DUMMYFUNCTION("IMPORTXML(E3206,""/html/body/main/div[3]/div[3]/div[2]/ul/li[5]/span[2]/span"")"),"Loading...")</f>
        <v>Loading...</v>
      </c>
      <c r="J3206" s="7" t="str">
        <f ca="1">IFERROR(__xludf.DUMMYFUNCTION("GOOGLEFINANCE(""NSE:""&amp;D3206,""marketcap"")"),"#N/A")</f>
        <v>#N/A</v>
      </c>
      <c r="K3206" s="7">
        <v>992.8</v>
      </c>
      <c r="L3206" s="8" t="str">
        <f ca="1">IFERROR(__xludf.DUMMYFUNCTION("GOOGLEFINANCE(""NSE:""&amp;D3206,""price"")"),"#N/A")</f>
        <v>#N/A</v>
      </c>
      <c r="M3206" s="9" t="e">
        <f t="shared" ca="1" si="62"/>
        <v>#VALUE!</v>
      </c>
      <c r="N3206" s="10" t="e">
        <f t="shared" ca="1" si="63"/>
        <v>#VALUE!</v>
      </c>
      <c r="O3206" s="7" t="str">
        <f ca="1">IFERROR(__xludf.DUMMYFUNCTION("GOOGLEFINANCE(""NSE:""&amp;D3206,""pe"")"),"#N/A")</f>
        <v>#N/A</v>
      </c>
      <c r="P3206" s="7" t="str">
        <f ca="1">IFERROR(__xludf.DUMMYFUNCTION("GOOGLEFINANCE(""NSE:""&amp;D3206,""EPS"")"),"#N/A")</f>
        <v>#N/A</v>
      </c>
      <c r="Q3206" s="7">
        <v>13.5</v>
      </c>
      <c r="R3206" s="7" t="str">
        <f ca="1">IFERROR(__xludf.DUMMYFUNCTION("IMPORTXML(E3206,""/html/body/main/div[3]/div[3]/div[2]/ul/li[7]/span[2]/span"")"),"Loading...")</f>
        <v>Loading...</v>
      </c>
      <c r="S3206" s="7" t="str">
        <f ca="1">IFERROR(__xludf.DUMMYFUNCTION("IMPORTXML(E3206,""/html/body/main/div[3]/div[3]/div[2]/ul/li[8]/span[2]/span"")"),"Loading...")</f>
        <v>Loading...</v>
      </c>
      <c r="T3206" s="4">
        <v>34.6</v>
      </c>
      <c r="U3206" s="4">
        <v>22.7</v>
      </c>
      <c r="V3206" s="4">
        <v>2.6</v>
      </c>
      <c r="W3206" s="4">
        <v>5.7</v>
      </c>
      <c r="X3206" s="4">
        <v>519.92999999999995</v>
      </c>
      <c r="Y3206" s="7" t="e">
        <f t="shared" ca="1" si="64"/>
        <v>#VALUE!</v>
      </c>
    </row>
    <row r="3207" spans="1:25" ht="15" x14ac:dyDescent="0.25">
      <c r="A3207" s="4">
        <v>3194</v>
      </c>
      <c r="C3207" s="41" t="s">
        <v>5540</v>
      </c>
      <c r="D3207" s="42"/>
      <c r="E3207" s="5" t="str">
        <f t="shared" si="60"/>
        <v>https://www.screener.in/company//consolidated/</v>
      </c>
      <c r="F3207" s="4">
        <v>443059</v>
      </c>
      <c r="G3207" s="4">
        <v>3832241897</v>
      </c>
      <c r="H3207" s="6" t="e">
        <f t="shared" ca="1" si="61"/>
        <v>#VALUE!</v>
      </c>
      <c r="I3207" s="7" t="str">
        <f ca="1">IFERROR(__xludf.DUMMYFUNCTION("IMPORTXML(E3207,""/html/body/main/div[3]/div[3]/div[2]/ul/li[5]/span[2]/span"")"),"Loading...")</f>
        <v>Loading...</v>
      </c>
      <c r="J3207" s="7" t="str">
        <f ca="1">IFERROR(__xludf.DUMMYFUNCTION("GOOGLEFINANCE(""NSE:""&amp;D3207,""marketcap"")"),"#N/A")</f>
        <v>#N/A</v>
      </c>
      <c r="K3207" s="7">
        <v>992.8</v>
      </c>
      <c r="L3207" s="8" t="str">
        <f ca="1">IFERROR(__xludf.DUMMYFUNCTION("GOOGLEFINANCE(""NSE:""&amp;D3207,""price"")"),"#N/A")</f>
        <v>#N/A</v>
      </c>
      <c r="M3207" s="9" t="e">
        <f t="shared" ca="1" si="62"/>
        <v>#VALUE!</v>
      </c>
      <c r="N3207" s="10" t="e">
        <f t="shared" ca="1" si="63"/>
        <v>#VALUE!</v>
      </c>
      <c r="O3207" s="7" t="str">
        <f ca="1">IFERROR(__xludf.DUMMYFUNCTION("GOOGLEFINANCE(""NSE:""&amp;D3207,""pe"")"),"#N/A")</f>
        <v>#N/A</v>
      </c>
      <c r="P3207" s="7" t="str">
        <f ca="1">IFERROR(__xludf.DUMMYFUNCTION("GOOGLEFINANCE(""NSE:""&amp;D3207,""EPS"")"),"#N/A")</f>
        <v>#N/A</v>
      </c>
      <c r="Q3207" s="7">
        <v>13.5</v>
      </c>
      <c r="R3207" s="7" t="str">
        <f ca="1">IFERROR(__xludf.DUMMYFUNCTION("IMPORTXML(E3207,""/html/body/main/div[3]/div[3]/div[2]/ul/li[7]/span[2]/span"")"),"Loading...")</f>
        <v>Loading...</v>
      </c>
      <c r="S3207" s="7" t="str">
        <f ca="1">IFERROR(__xludf.DUMMYFUNCTION("IMPORTXML(E3207,""/html/body/main/div[3]/div[3]/div[2]/ul/li[8]/span[2]/span"")"),"Loading...")</f>
        <v>Loading...</v>
      </c>
      <c r="T3207" s="4">
        <v>34.6</v>
      </c>
      <c r="U3207" s="4">
        <v>22.7</v>
      </c>
      <c r="V3207" s="4">
        <v>2.6</v>
      </c>
      <c r="W3207" s="4">
        <v>5.7</v>
      </c>
      <c r="X3207" s="4">
        <v>519.92999999999995</v>
      </c>
      <c r="Y3207" s="7" t="e">
        <f t="shared" ca="1" si="64"/>
        <v>#VALUE!</v>
      </c>
    </row>
    <row r="3208" spans="1:25" ht="15" x14ac:dyDescent="0.25">
      <c r="A3208" s="4">
        <v>3195</v>
      </c>
      <c r="C3208" s="41" t="s">
        <v>5541</v>
      </c>
      <c r="D3208" s="42"/>
      <c r="E3208" s="5" t="str">
        <f t="shared" si="60"/>
        <v>https://www.screener.in/company//consolidated/</v>
      </c>
      <c r="F3208" s="4">
        <v>443059</v>
      </c>
      <c r="G3208" s="4">
        <v>3832241897</v>
      </c>
      <c r="H3208" s="6" t="e">
        <f t="shared" ca="1" si="61"/>
        <v>#VALUE!</v>
      </c>
      <c r="I3208" s="7" t="str">
        <f ca="1">IFERROR(__xludf.DUMMYFUNCTION("IMPORTXML(E3208,""/html/body/main/div[3]/div[3]/div[2]/ul/li[5]/span[2]/span"")"),"Loading...")</f>
        <v>Loading...</v>
      </c>
      <c r="J3208" s="7" t="str">
        <f ca="1">IFERROR(__xludf.DUMMYFUNCTION("GOOGLEFINANCE(""NSE:""&amp;D3208,""marketcap"")"),"#N/A")</f>
        <v>#N/A</v>
      </c>
      <c r="K3208" s="7">
        <v>992.8</v>
      </c>
      <c r="L3208" s="8" t="str">
        <f ca="1">IFERROR(__xludf.DUMMYFUNCTION("GOOGLEFINANCE(""NSE:""&amp;D3208,""price"")"),"#N/A")</f>
        <v>#N/A</v>
      </c>
      <c r="M3208" s="9" t="e">
        <f t="shared" ca="1" si="62"/>
        <v>#VALUE!</v>
      </c>
      <c r="N3208" s="10" t="e">
        <f t="shared" ca="1" si="63"/>
        <v>#VALUE!</v>
      </c>
      <c r="O3208" s="7" t="str">
        <f ca="1">IFERROR(__xludf.DUMMYFUNCTION("GOOGLEFINANCE(""NSE:""&amp;D3208,""pe"")"),"#N/A")</f>
        <v>#N/A</v>
      </c>
      <c r="P3208" s="7" t="str">
        <f ca="1">IFERROR(__xludf.DUMMYFUNCTION("GOOGLEFINANCE(""NSE:""&amp;D3208,""EPS"")"),"#N/A")</f>
        <v>#N/A</v>
      </c>
      <c r="Q3208" s="7">
        <v>13.5</v>
      </c>
      <c r="R3208" s="7" t="str">
        <f ca="1">IFERROR(__xludf.DUMMYFUNCTION("IMPORTXML(E3208,""/html/body/main/div[3]/div[3]/div[2]/ul/li[7]/span[2]/span"")"),"Loading...")</f>
        <v>Loading...</v>
      </c>
      <c r="S3208" s="7" t="str">
        <f ca="1">IFERROR(__xludf.DUMMYFUNCTION("IMPORTXML(E3208,""/html/body/main/div[3]/div[3]/div[2]/ul/li[8]/span[2]/span"")"),"Loading...")</f>
        <v>Loading...</v>
      </c>
      <c r="T3208" s="4">
        <v>34.6</v>
      </c>
      <c r="U3208" s="4">
        <v>22.7</v>
      </c>
      <c r="V3208" s="4">
        <v>2.6</v>
      </c>
      <c r="W3208" s="4">
        <v>5.7</v>
      </c>
      <c r="X3208" s="4">
        <v>519.92999999999995</v>
      </c>
      <c r="Y3208" s="7" t="e">
        <f t="shared" ca="1" si="64"/>
        <v>#VALUE!</v>
      </c>
    </row>
    <row r="3209" spans="1:25" ht="15" x14ac:dyDescent="0.25">
      <c r="A3209" s="4">
        <v>3196</v>
      </c>
      <c r="C3209" s="41" t="s">
        <v>5542</v>
      </c>
      <c r="D3209" s="42"/>
      <c r="E3209" s="5" t="str">
        <f t="shared" si="60"/>
        <v>https://www.screener.in/company//consolidated/</v>
      </c>
      <c r="F3209" s="4">
        <v>443059</v>
      </c>
      <c r="G3209" s="4">
        <v>3832241897</v>
      </c>
      <c r="H3209" s="6" t="e">
        <f t="shared" ca="1" si="61"/>
        <v>#VALUE!</v>
      </c>
      <c r="I3209" s="7" t="str">
        <f ca="1">IFERROR(__xludf.DUMMYFUNCTION("IMPORTXML(E3209,""/html/body/main/div[3]/div[3]/div[2]/ul/li[5]/span[2]/span"")"),"Loading...")</f>
        <v>Loading...</v>
      </c>
      <c r="J3209" s="7" t="str">
        <f ca="1">IFERROR(__xludf.DUMMYFUNCTION("GOOGLEFINANCE(""NSE:""&amp;D3209,""marketcap"")"),"#N/A")</f>
        <v>#N/A</v>
      </c>
      <c r="K3209" s="7">
        <v>992.8</v>
      </c>
      <c r="L3209" s="8" t="str">
        <f ca="1">IFERROR(__xludf.DUMMYFUNCTION("GOOGLEFINANCE(""NSE:""&amp;D3209,""price"")"),"#N/A")</f>
        <v>#N/A</v>
      </c>
      <c r="M3209" s="9" t="e">
        <f t="shared" ca="1" si="62"/>
        <v>#VALUE!</v>
      </c>
      <c r="N3209" s="10" t="e">
        <f t="shared" ca="1" si="63"/>
        <v>#VALUE!</v>
      </c>
      <c r="O3209" s="7" t="str">
        <f ca="1">IFERROR(__xludf.DUMMYFUNCTION("GOOGLEFINANCE(""NSE:""&amp;D3209,""pe"")"),"#N/A")</f>
        <v>#N/A</v>
      </c>
      <c r="P3209" s="7" t="str">
        <f ca="1">IFERROR(__xludf.DUMMYFUNCTION("GOOGLEFINANCE(""NSE:""&amp;D3209,""EPS"")"),"#N/A")</f>
        <v>#N/A</v>
      </c>
      <c r="Q3209" s="7">
        <v>13.5</v>
      </c>
      <c r="R3209" s="7" t="str">
        <f ca="1">IFERROR(__xludf.DUMMYFUNCTION("IMPORTXML(E3209,""/html/body/main/div[3]/div[3]/div[2]/ul/li[7]/span[2]/span"")"),"Loading...")</f>
        <v>Loading...</v>
      </c>
      <c r="S3209" s="7" t="str">
        <f ca="1">IFERROR(__xludf.DUMMYFUNCTION("IMPORTXML(E3209,""/html/body/main/div[3]/div[3]/div[2]/ul/li[8]/span[2]/span"")"),"Loading...")</f>
        <v>Loading...</v>
      </c>
      <c r="T3209" s="4">
        <v>34.6</v>
      </c>
      <c r="U3209" s="4">
        <v>22.7</v>
      </c>
      <c r="V3209" s="4">
        <v>2.6</v>
      </c>
      <c r="W3209" s="4">
        <v>5.7</v>
      </c>
      <c r="X3209" s="4">
        <v>519.92999999999995</v>
      </c>
      <c r="Y3209" s="7" t="e">
        <f t="shared" ca="1" si="64"/>
        <v>#VALUE!</v>
      </c>
    </row>
    <row r="3210" spans="1:25" ht="15" x14ac:dyDescent="0.25">
      <c r="A3210" s="4">
        <v>3197</v>
      </c>
      <c r="C3210" s="41" t="s">
        <v>5543</v>
      </c>
      <c r="D3210" s="42"/>
      <c r="E3210" s="5" t="str">
        <f t="shared" si="60"/>
        <v>https://www.screener.in/company//consolidated/</v>
      </c>
      <c r="F3210" s="4">
        <v>443059</v>
      </c>
      <c r="G3210" s="4">
        <v>3832241897</v>
      </c>
      <c r="H3210" s="6" t="e">
        <f t="shared" ca="1" si="61"/>
        <v>#VALUE!</v>
      </c>
      <c r="I3210" s="7" t="str">
        <f ca="1">IFERROR(__xludf.DUMMYFUNCTION("IMPORTXML(E3210,""/html/body/main/div[3]/div[3]/div[2]/ul/li[5]/span[2]/span"")"),"Loading...")</f>
        <v>Loading...</v>
      </c>
      <c r="J3210" s="7" t="str">
        <f ca="1">IFERROR(__xludf.DUMMYFUNCTION("GOOGLEFINANCE(""NSE:""&amp;D3210,""marketcap"")"),"#N/A")</f>
        <v>#N/A</v>
      </c>
      <c r="K3210" s="7">
        <v>992.8</v>
      </c>
      <c r="L3210" s="8" t="str">
        <f ca="1">IFERROR(__xludf.DUMMYFUNCTION("GOOGLEFINANCE(""NSE:""&amp;D3210,""price"")"),"#N/A")</f>
        <v>#N/A</v>
      </c>
      <c r="M3210" s="9" t="e">
        <f t="shared" ca="1" si="62"/>
        <v>#VALUE!</v>
      </c>
      <c r="N3210" s="10" t="e">
        <f t="shared" ca="1" si="63"/>
        <v>#VALUE!</v>
      </c>
      <c r="O3210" s="7" t="str">
        <f ca="1">IFERROR(__xludf.DUMMYFUNCTION("GOOGLEFINANCE(""NSE:""&amp;D3210,""pe"")"),"#N/A")</f>
        <v>#N/A</v>
      </c>
      <c r="P3210" s="7" t="str">
        <f ca="1">IFERROR(__xludf.DUMMYFUNCTION("GOOGLEFINANCE(""NSE:""&amp;D3210,""EPS"")"),"#N/A")</f>
        <v>#N/A</v>
      </c>
      <c r="Q3210" s="7">
        <v>13.5</v>
      </c>
      <c r="R3210" s="7" t="str">
        <f ca="1">IFERROR(__xludf.DUMMYFUNCTION("IMPORTXML(E3210,""/html/body/main/div[3]/div[3]/div[2]/ul/li[7]/span[2]/span"")"),"Loading...")</f>
        <v>Loading...</v>
      </c>
      <c r="S3210" s="7" t="str">
        <f ca="1">IFERROR(__xludf.DUMMYFUNCTION("IMPORTXML(E3210,""/html/body/main/div[3]/div[3]/div[2]/ul/li[8]/span[2]/span"")"),"Loading...")</f>
        <v>Loading...</v>
      </c>
      <c r="T3210" s="4">
        <v>34.6</v>
      </c>
      <c r="U3210" s="4">
        <v>22.7</v>
      </c>
      <c r="V3210" s="4">
        <v>2.6</v>
      </c>
      <c r="W3210" s="4">
        <v>5.7</v>
      </c>
      <c r="X3210" s="4">
        <v>519.92999999999995</v>
      </c>
      <c r="Y3210" s="7" t="e">
        <f t="shared" ca="1" si="64"/>
        <v>#VALUE!</v>
      </c>
    </row>
    <row r="3211" spans="1:25" ht="15" x14ac:dyDescent="0.25">
      <c r="A3211" s="4">
        <v>3198</v>
      </c>
      <c r="C3211" s="41" t="s">
        <v>5544</v>
      </c>
      <c r="D3211" s="42"/>
      <c r="E3211" s="5" t="str">
        <f t="shared" si="60"/>
        <v>https://www.screener.in/company//consolidated/</v>
      </c>
      <c r="F3211" s="4">
        <v>443059</v>
      </c>
      <c r="G3211" s="4">
        <v>3832241897</v>
      </c>
      <c r="H3211" s="6" t="e">
        <f t="shared" ca="1" si="61"/>
        <v>#VALUE!</v>
      </c>
      <c r="I3211" s="7" t="str">
        <f ca="1">IFERROR(__xludf.DUMMYFUNCTION("IMPORTXML(E3211,""/html/body/main/div[3]/div[3]/div[2]/ul/li[5]/span[2]/span"")"),"Loading...")</f>
        <v>Loading...</v>
      </c>
      <c r="J3211" s="7" t="str">
        <f ca="1">IFERROR(__xludf.DUMMYFUNCTION("GOOGLEFINANCE(""NSE:""&amp;D3211,""marketcap"")"),"#N/A")</f>
        <v>#N/A</v>
      </c>
      <c r="K3211" s="7">
        <v>992.8</v>
      </c>
      <c r="L3211" s="8" t="str">
        <f ca="1">IFERROR(__xludf.DUMMYFUNCTION("GOOGLEFINANCE(""NSE:""&amp;D3211,""price"")"),"#N/A")</f>
        <v>#N/A</v>
      </c>
      <c r="M3211" s="9" t="e">
        <f t="shared" ca="1" si="62"/>
        <v>#VALUE!</v>
      </c>
      <c r="N3211" s="10" t="e">
        <f t="shared" ca="1" si="63"/>
        <v>#VALUE!</v>
      </c>
      <c r="O3211" s="7" t="str">
        <f ca="1">IFERROR(__xludf.DUMMYFUNCTION("GOOGLEFINANCE(""NSE:""&amp;D3211,""pe"")"),"#N/A")</f>
        <v>#N/A</v>
      </c>
      <c r="P3211" s="7" t="str">
        <f ca="1">IFERROR(__xludf.DUMMYFUNCTION("GOOGLEFINANCE(""NSE:""&amp;D3211,""EPS"")"),"#N/A")</f>
        <v>#N/A</v>
      </c>
      <c r="Q3211" s="7">
        <v>13.5</v>
      </c>
      <c r="R3211" s="7" t="str">
        <f ca="1">IFERROR(__xludf.DUMMYFUNCTION("IMPORTXML(E3211,""/html/body/main/div[3]/div[3]/div[2]/ul/li[7]/span[2]/span"")"),"Loading...")</f>
        <v>Loading...</v>
      </c>
      <c r="S3211" s="7" t="str">
        <f ca="1">IFERROR(__xludf.DUMMYFUNCTION("IMPORTXML(E3211,""/html/body/main/div[3]/div[3]/div[2]/ul/li[8]/span[2]/span"")"),"Loading...")</f>
        <v>Loading...</v>
      </c>
      <c r="T3211" s="4">
        <v>34.6</v>
      </c>
      <c r="U3211" s="4">
        <v>22.7</v>
      </c>
      <c r="V3211" s="4">
        <v>2.6</v>
      </c>
      <c r="W3211" s="4">
        <v>5.7</v>
      </c>
      <c r="X3211" s="4">
        <v>519.92999999999995</v>
      </c>
      <c r="Y3211" s="7" t="e">
        <f t="shared" ca="1" si="64"/>
        <v>#VALUE!</v>
      </c>
    </row>
    <row r="3212" spans="1:25" ht="15" x14ac:dyDescent="0.25">
      <c r="A3212" s="4">
        <v>3199</v>
      </c>
      <c r="C3212" s="12" t="s">
        <v>5545</v>
      </c>
      <c r="D3212" s="12" t="s">
        <v>5546</v>
      </c>
      <c r="E3212" s="5" t="str">
        <f t="shared" si="60"/>
        <v>https://www.screener.in/company/SANWARIA/consolidated/</v>
      </c>
      <c r="F3212" s="4">
        <v>443059</v>
      </c>
      <c r="G3212" s="4">
        <v>3832241897</v>
      </c>
      <c r="H3212" s="6">
        <f t="shared" ca="1" si="61"/>
        <v>145.62519208600003</v>
      </c>
      <c r="I3212" s="7" t="str">
        <f ca="1">IFERROR(__xludf.DUMMYFUNCTION("IMPORTXML(E3212,""/html/body/main/div[3]/div[3]/div[2]/ul/li[5]/span[2]/span"")"),"Loading...")</f>
        <v>Loading...</v>
      </c>
      <c r="J3212" s="7">
        <f ca="1">IFERROR(__xludf.DUMMYFUNCTION("GOOGLEFINANCE(""NSE:""&amp;D3212,""marketcap"")"),279717996)</f>
        <v>279717996</v>
      </c>
      <c r="K3212" s="7">
        <v>992.8</v>
      </c>
      <c r="L3212" s="8">
        <f ca="1">IFERROR(__xludf.DUMMYFUNCTION("GOOGLEFINANCE(""NSE:""&amp;D3212,""price"")"),0.38)</f>
        <v>0.38</v>
      </c>
      <c r="M3212" s="9">
        <f t="shared" ca="1" si="62"/>
        <v>-992.42</v>
      </c>
      <c r="N3212" s="10">
        <f t="shared" ca="1" si="63"/>
        <v>-99.961724415793725</v>
      </c>
      <c r="O3212" s="7" t="str">
        <f ca="1">IFERROR(__xludf.DUMMYFUNCTION("GOOGLEFINANCE(""NSE:""&amp;D3212,""pe"")"),"#N/A")</f>
        <v>#N/A</v>
      </c>
      <c r="P3212" s="7">
        <f ca="1">IFERROR(__xludf.DUMMYFUNCTION("GOOGLEFINANCE(""NSE:""&amp;D3212,""EPS"")"),-0.07)</f>
        <v>-7.0000000000000007E-2</v>
      </c>
      <c r="Q3212" s="7">
        <v>13.5</v>
      </c>
      <c r="R3212" s="7" t="str">
        <f ca="1">IFERROR(__xludf.DUMMYFUNCTION("IMPORTXML(E3212,""/html/body/main/div[3]/div[3]/div[2]/ul/li[7]/span[2]/span"")"),"Loading...")</f>
        <v>Loading...</v>
      </c>
      <c r="S3212" s="7" t="str">
        <f ca="1">IFERROR(__xludf.DUMMYFUNCTION("IMPORTXML(E3212,""/html/body/main/div[3]/div[3]/div[2]/ul/li[8]/span[2]/span"")"),"Loading...")</f>
        <v>Loading...</v>
      </c>
      <c r="T3212" s="4">
        <v>34.6</v>
      </c>
      <c r="U3212" s="4">
        <v>22.7</v>
      </c>
      <c r="V3212" s="4">
        <v>2.6</v>
      </c>
      <c r="W3212" s="4">
        <v>5.7</v>
      </c>
      <c r="X3212" s="4">
        <v>519.92999999999995</v>
      </c>
      <c r="Y3212" s="7">
        <f t="shared" ca="1" si="64"/>
        <v>-519.54999999999995</v>
      </c>
    </row>
    <row r="3213" spans="1:25" ht="15" x14ac:dyDescent="0.25">
      <c r="A3213" s="4">
        <v>3200</v>
      </c>
      <c r="C3213" s="41" t="s">
        <v>5547</v>
      </c>
      <c r="D3213" s="42"/>
      <c r="E3213" s="5" t="str">
        <f t="shared" si="60"/>
        <v>https://www.screener.in/company//consolidated/</v>
      </c>
      <c r="F3213" s="4">
        <v>443059</v>
      </c>
      <c r="G3213" s="4">
        <v>3832241897</v>
      </c>
      <c r="H3213" s="6" t="e">
        <f t="shared" ca="1" si="61"/>
        <v>#VALUE!</v>
      </c>
      <c r="I3213" s="7" t="str">
        <f ca="1">IFERROR(__xludf.DUMMYFUNCTION("IMPORTXML(E3213,""/html/body/main/div[3]/div[3]/div[2]/ul/li[5]/span[2]/span"")"),"Loading...")</f>
        <v>Loading...</v>
      </c>
      <c r="J3213" s="7" t="str">
        <f ca="1">IFERROR(__xludf.DUMMYFUNCTION("GOOGLEFINANCE(""NSE:""&amp;D3213,""marketcap"")"),"#N/A")</f>
        <v>#N/A</v>
      </c>
      <c r="K3213" s="7">
        <v>992.8</v>
      </c>
      <c r="L3213" s="8" t="str">
        <f ca="1">IFERROR(__xludf.DUMMYFUNCTION("GOOGLEFINANCE(""NSE:""&amp;D3213,""price"")"),"#N/A")</f>
        <v>#N/A</v>
      </c>
      <c r="M3213" s="9" t="e">
        <f t="shared" ca="1" si="62"/>
        <v>#VALUE!</v>
      </c>
      <c r="N3213" s="10" t="e">
        <f t="shared" ca="1" si="63"/>
        <v>#VALUE!</v>
      </c>
      <c r="O3213" s="7" t="str">
        <f ca="1">IFERROR(__xludf.DUMMYFUNCTION("GOOGLEFINANCE(""NSE:""&amp;D3213,""pe"")"),"#N/A")</f>
        <v>#N/A</v>
      </c>
      <c r="P3213" s="7" t="str">
        <f ca="1">IFERROR(__xludf.DUMMYFUNCTION("GOOGLEFINANCE(""NSE:""&amp;D3213,""EPS"")"),"#N/A")</f>
        <v>#N/A</v>
      </c>
      <c r="Q3213" s="7">
        <v>13.5</v>
      </c>
      <c r="R3213" s="7" t="str">
        <f ca="1">IFERROR(__xludf.DUMMYFUNCTION("IMPORTXML(E3213,""/html/body/main/div[3]/div[3]/div[2]/ul/li[7]/span[2]/span"")"),"Loading...")</f>
        <v>Loading...</v>
      </c>
      <c r="S3213" s="7" t="str">
        <f ca="1">IFERROR(__xludf.DUMMYFUNCTION("IMPORTXML(E3213,""/html/body/main/div[3]/div[3]/div[2]/ul/li[8]/span[2]/span"")"),"Loading...")</f>
        <v>Loading...</v>
      </c>
      <c r="T3213" s="4">
        <v>34.6</v>
      </c>
      <c r="U3213" s="4">
        <v>22.7</v>
      </c>
      <c r="V3213" s="4">
        <v>2.6</v>
      </c>
      <c r="W3213" s="4">
        <v>5.7</v>
      </c>
      <c r="X3213" s="4">
        <v>519.92999999999995</v>
      </c>
      <c r="Y3213" s="7" t="e">
        <f t="shared" ca="1" si="64"/>
        <v>#VALUE!</v>
      </c>
    </row>
    <row r="3214" spans="1:25" ht="15" x14ac:dyDescent="0.25">
      <c r="A3214" s="4">
        <v>3201</v>
      </c>
      <c r="C3214" s="41" t="s">
        <v>5548</v>
      </c>
      <c r="D3214" s="42"/>
      <c r="E3214" s="5" t="str">
        <f t="shared" si="60"/>
        <v>https://www.screener.in/company//consolidated/</v>
      </c>
      <c r="F3214" s="4">
        <v>443059</v>
      </c>
      <c r="G3214" s="4">
        <v>3832241897</v>
      </c>
      <c r="H3214" s="6" t="e">
        <f t="shared" ca="1" si="61"/>
        <v>#VALUE!</v>
      </c>
      <c r="I3214" s="7" t="str">
        <f ca="1">IFERROR(__xludf.DUMMYFUNCTION("IMPORTXML(E3214,""/html/body/main/div[3]/div[3]/div[2]/ul/li[5]/span[2]/span"")"),"Loading...")</f>
        <v>Loading...</v>
      </c>
      <c r="J3214" s="7" t="str">
        <f ca="1">IFERROR(__xludf.DUMMYFUNCTION("GOOGLEFINANCE(""NSE:""&amp;D3214,""marketcap"")"),"#N/A")</f>
        <v>#N/A</v>
      </c>
      <c r="K3214" s="7">
        <v>992.8</v>
      </c>
      <c r="L3214" s="8" t="str">
        <f ca="1">IFERROR(__xludf.DUMMYFUNCTION("GOOGLEFINANCE(""NSE:""&amp;D3214,""price"")"),"#N/A")</f>
        <v>#N/A</v>
      </c>
      <c r="M3214" s="9" t="e">
        <f t="shared" ca="1" si="62"/>
        <v>#VALUE!</v>
      </c>
      <c r="N3214" s="10" t="e">
        <f t="shared" ca="1" si="63"/>
        <v>#VALUE!</v>
      </c>
      <c r="O3214" s="7" t="str">
        <f ca="1">IFERROR(__xludf.DUMMYFUNCTION("GOOGLEFINANCE(""NSE:""&amp;D3214,""pe"")"),"#N/A")</f>
        <v>#N/A</v>
      </c>
      <c r="P3214" s="7" t="str">
        <f ca="1">IFERROR(__xludf.DUMMYFUNCTION("GOOGLEFINANCE(""NSE:""&amp;D3214,""EPS"")"),"#N/A")</f>
        <v>#N/A</v>
      </c>
      <c r="Q3214" s="7">
        <v>13.5</v>
      </c>
      <c r="R3214" s="7" t="str">
        <f ca="1">IFERROR(__xludf.DUMMYFUNCTION("IMPORTXML(E3214,""/html/body/main/div[3]/div[3]/div[2]/ul/li[7]/span[2]/span"")"),"Loading...")</f>
        <v>Loading...</v>
      </c>
      <c r="S3214" s="7" t="str">
        <f ca="1">IFERROR(__xludf.DUMMYFUNCTION("IMPORTXML(E3214,""/html/body/main/div[3]/div[3]/div[2]/ul/li[8]/span[2]/span"")"),"Loading...")</f>
        <v>Loading...</v>
      </c>
      <c r="T3214" s="4">
        <v>34.6</v>
      </c>
      <c r="U3214" s="4">
        <v>22.7</v>
      </c>
      <c r="V3214" s="4">
        <v>2.6</v>
      </c>
      <c r="W3214" s="4">
        <v>5.7</v>
      </c>
      <c r="X3214" s="4">
        <v>519.92999999999995</v>
      </c>
      <c r="Y3214" s="7" t="e">
        <f t="shared" ca="1" si="64"/>
        <v>#VALUE!</v>
      </c>
    </row>
    <row r="3215" spans="1:25" ht="15" x14ac:dyDescent="0.25">
      <c r="A3215" s="4">
        <v>3202</v>
      </c>
      <c r="C3215" s="41" t="s">
        <v>5549</v>
      </c>
      <c r="D3215" s="42"/>
      <c r="E3215" s="5" t="str">
        <f t="shared" si="60"/>
        <v>https://www.screener.in/company//consolidated/</v>
      </c>
      <c r="F3215" s="4">
        <v>443059</v>
      </c>
      <c r="G3215" s="4">
        <v>3832241897</v>
      </c>
      <c r="H3215" s="6" t="e">
        <f t="shared" ca="1" si="61"/>
        <v>#VALUE!</v>
      </c>
      <c r="I3215" s="7" t="str">
        <f ca="1">IFERROR(__xludf.DUMMYFUNCTION("IMPORTXML(E3215,""/html/body/main/div[3]/div[3]/div[2]/ul/li[5]/span[2]/span"")"),"Loading...")</f>
        <v>Loading...</v>
      </c>
      <c r="J3215" s="7" t="str">
        <f ca="1">IFERROR(__xludf.DUMMYFUNCTION("GOOGLEFINANCE(""NSE:""&amp;D3215,""marketcap"")"),"#N/A")</f>
        <v>#N/A</v>
      </c>
      <c r="K3215" s="7">
        <v>992.8</v>
      </c>
      <c r="L3215" s="8" t="str">
        <f ca="1">IFERROR(__xludf.DUMMYFUNCTION("GOOGLEFINANCE(""NSE:""&amp;D3215,""price"")"),"#N/A")</f>
        <v>#N/A</v>
      </c>
      <c r="M3215" s="9" t="e">
        <f t="shared" ca="1" si="62"/>
        <v>#VALUE!</v>
      </c>
      <c r="N3215" s="10" t="e">
        <f t="shared" ca="1" si="63"/>
        <v>#VALUE!</v>
      </c>
      <c r="O3215" s="7" t="str">
        <f ca="1">IFERROR(__xludf.DUMMYFUNCTION("GOOGLEFINANCE(""NSE:""&amp;D3215,""pe"")"),"#N/A")</f>
        <v>#N/A</v>
      </c>
      <c r="P3215" s="7" t="str">
        <f ca="1">IFERROR(__xludf.DUMMYFUNCTION("GOOGLEFINANCE(""NSE:""&amp;D3215,""EPS"")"),"#N/A")</f>
        <v>#N/A</v>
      </c>
      <c r="Q3215" s="7">
        <v>13.5</v>
      </c>
      <c r="R3215" s="7" t="str">
        <f ca="1">IFERROR(__xludf.DUMMYFUNCTION("IMPORTXML(E3215,""/html/body/main/div[3]/div[3]/div[2]/ul/li[7]/span[2]/span"")"),"Loading...")</f>
        <v>Loading...</v>
      </c>
      <c r="S3215" s="7" t="str">
        <f ca="1">IFERROR(__xludf.DUMMYFUNCTION("IMPORTXML(E3215,""/html/body/main/div[3]/div[3]/div[2]/ul/li[8]/span[2]/span"")"),"Loading...")</f>
        <v>Loading...</v>
      </c>
      <c r="T3215" s="4">
        <v>34.6</v>
      </c>
      <c r="U3215" s="4">
        <v>22.7</v>
      </c>
      <c r="V3215" s="4">
        <v>2.6</v>
      </c>
      <c r="W3215" s="4">
        <v>5.7</v>
      </c>
      <c r="X3215" s="4">
        <v>519.92999999999995</v>
      </c>
      <c r="Y3215" s="7" t="e">
        <f t="shared" ca="1" si="64"/>
        <v>#VALUE!</v>
      </c>
    </row>
    <row r="3216" spans="1:25" ht="15" x14ac:dyDescent="0.25">
      <c r="A3216" s="4">
        <v>3203</v>
      </c>
      <c r="C3216" s="41" t="s">
        <v>5550</v>
      </c>
      <c r="D3216" s="42"/>
      <c r="E3216" s="5" t="str">
        <f t="shared" si="60"/>
        <v>https://www.screener.in/company//consolidated/</v>
      </c>
      <c r="F3216" s="4">
        <v>443059</v>
      </c>
      <c r="G3216" s="4">
        <v>3832241897</v>
      </c>
      <c r="H3216" s="6" t="e">
        <f t="shared" ca="1" si="61"/>
        <v>#VALUE!</v>
      </c>
      <c r="I3216" s="7" t="str">
        <f ca="1">IFERROR(__xludf.DUMMYFUNCTION("IMPORTXML(E3216,""/html/body/main/div[3]/div[3]/div[2]/ul/li[5]/span[2]/span"")"),"Loading...")</f>
        <v>Loading...</v>
      </c>
      <c r="J3216" s="7" t="str">
        <f ca="1">IFERROR(__xludf.DUMMYFUNCTION("GOOGLEFINANCE(""NSE:""&amp;D3216,""marketcap"")"),"#N/A")</f>
        <v>#N/A</v>
      </c>
      <c r="K3216" s="7">
        <v>992.8</v>
      </c>
      <c r="L3216" s="8" t="str">
        <f ca="1">IFERROR(__xludf.DUMMYFUNCTION("GOOGLEFINANCE(""NSE:""&amp;D3216,""price"")"),"#N/A")</f>
        <v>#N/A</v>
      </c>
      <c r="M3216" s="9" t="e">
        <f t="shared" ca="1" si="62"/>
        <v>#VALUE!</v>
      </c>
      <c r="N3216" s="10" t="e">
        <f t="shared" ca="1" si="63"/>
        <v>#VALUE!</v>
      </c>
      <c r="O3216" s="7" t="str">
        <f ca="1">IFERROR(__xludf.DUMMYFUNCTION("GOOGLEFINANCE(""NSE:""&amp;D3216,""pe"")"),"#N/A")</f>
        <v>#N/A</v>
      </c>
      <c r="P3216" s="7" t="str">
        <f ca="1">IFERROR(__xludf.DUMMYFUNCTION("GOOGLEFINANCE(""NSE:""&amp;D3216,""EPS"")"),"#N/A")</f>
        <v>#N/A</v>
      </c>
      <c r="Q3216" s="7">
        <v>13.5</v>
      </c>
      <c r="R3216" s="7" t="str">
        <f ca="1">IFERROR(__xludf.DUMMYFUNCTION("IMPORTXML(E3216,""/html/body/main/div[3]/div[3]/div[2]/ul/li[7]/span[2]/span"")"),"Loading...")</f>
        <v>Loading...</v>
      </c>
      <c r="S3216" s="7" t="str">
        <f ca="1">IFERROR(__xludf.DUMMYFUNCTION("IMPORTXML(E3216,""/html/body/main/div[3]/div[3]/div[2]/ul/li[8]/span[2]/span"")"),"Loading...")</f>
        <v>Loading...</v>
      </c>
      <c r="T3216" s="4">
        <v>34.6</v>
      </c>
      <c r="U3216" s="4">
        <v>22.7</v>
      </c>
      <c r="V3216" s="4">
        <v>2.6</v>
      </c>
      <c r="W3216" s="4">
        <v>5.7</v>
      </c>
      <c r="X3216" s="4">
        <v>519.92999999999995</v>
      </c>
      <c r="Y3216" s="7" t="e">
        <f t="shared" ca="1" si="64"/>
        <v>#VALUE!</v>
      </c>
    </row>
    <row r="3217" spans="1:25" ht="15" x14ac:dyDescent="0.25">
      <c r="A3217" s="4">
        <v>3204</v>
      </c>
      <c r="C3217" s="41" t="s">
        <v>5551</v>
      </c>
      <c r="D3217" s="42"/>
      <c r="E3217" s="5" t="str">
        <f t="shared" si="60"/>
        <v>https://www.screener.in/company//consolidated/</v>
      </c>
      <c r="F3217" s="4">
        <v>443059</v>
      </c>
      <c r="G3217" s="4">
        <v>3832241897</v>
      </c>
      <c r="H3217" s="6" t="e">
        <f t="shared" ca="1" si="61"/>
        <v>#VALUE!</v>
      </c>
      <c r="I3217" s="7" t="str">
        <f ca="1">IFERROR(__xludf.DUMMYFUNCTION("IMPORTXML(E3217,""/html/body/main/div[3]/div[3]/div[2]/ul/li[5]/span[2]/span"")"),"Loading...")</f>
        <v>Loading...</v>
      </c>
      <c r="J3217" s="7" t="str">
        <f ca="1">IFERROR(__xludf.DUMMYFUNCTION("GOOGLEFINANCE(""NSE:""&amp;D3217,""marketcap"")"),"#N/A")</f>
        <v>#N/A</v>
      </c>
      <c r="K3217" s="7">
        <v>992.8</v>
      </c>
      <c r="L3217" s="8" t="str">
        <f ca="1">IFERROR(__xludf.DUMMYFUNCTION("GOOGLEFINANCE(""NSE:""&amp;D3217,""price"")"),"#N/A")</f>
        <v>#N/A</v>
      </c>
      <c r="M3217" s="9" t="e">
        <f t="shared" ca="1" si="62"/>
        <v>#VALUE!</v>
      </c>
      <c r="N3217" s="10" t="e">
        <f t="shared" ca="1" si="63"/>
        <v>#VALUE!</v>
      </c>
      <c r="O3217" s="7" t="str">
        <f ca="1">IFERROR(__xludf.DUMMYFUNCTION("GOOGLEFINANCE(""NSE:""&amp;D3217,""pe"")"),"#N/A")</f>
        <v>#N/A</v>
      </c>
      <c r="P3217" s="7" t="str">
        <f ca="1">IFERROR(__xludf.DUMMYFUNCTION("GOOGLEFINANCE(""NSE:""&amp;D3217,""EPS"")"),"#N/A")</f>
        <v>#N/A</v>
      </c>
      <c r="Q3217" s="7">
        <v>13.5</v>
      </c>
      <c r="R3217" s="7" t="str">
        <f ca="1">IFERROR(__xludf.DUMMYFUNCTION("IMPORTXML(E3217,""/html/body/main/div[3]/div[3]/div[2]/ul/li[7]/span[2]/span"")"),"Loading...")</f>
        <v>Loading...</v>
      </c>
      <c r="S3217" s="7" t="str">
        <f ca="1">IFERROR(__xludf.DUMMYFUNCTION("IMPORTXML(E3217,""/html/body/main/div[3]/div[3]/div[2]/ul/li[8]/span[2]/span"")"),"Loading...")</f>
        <v>Loading...</v>
      </c>
      <c r="T3217" s="4">
        <v>34.6</v>
      </c>
      <c r="U3217" s="4">
        <v>22.7</v>
      </c>
      <c r="V3217" s="4">
        <v>2.6</v>
      </c>
      <c r="W3217" s="4">
        <v>5.7</v>
      </c>
      <c r="X3217" s="4">
        <v>519.92999999999995</v>
      </c>
      <c r="Y3217" s="7" t="e">
        <f t="shared" ca="1" si="64"/>
        <v>#VALUE!</v>
      </c>
    </row>
    <row r="3218" spans="1:25" ht="15" x14ac:dyDescent="0.25">
      <c r="A3218" s="4">
        <v>3205</v>
      </c>
      <c r="C3218" s="41" t="s">
        <v>5552</v>
      </c>
      <c r="D3218" s="42"/>
      <c r="E3218" s="5" t="str">
        <f t="shared" si="60"/>
        <v>https://www.screener.in/company//consolidated/</v>
      </c>
      <c r="F3218" s="4">
        <v>443059</v>
      </c>
      <c r="G3218" s="4">
        <v>3832241897</v>
      </c>
      <c r="H3218" s="6" t="e">
        <f t="shared" ca="1" si="61"/>
        <v>#VALUE!</v>
      </c>
      <c r="I3218" s="7" t="str">
        <f ca="1">IFERROR(__xludf.DUMMYFUNCTION("IMPORTXML(E3218,""/html/body/main/div[3]/div[3]/div[2]/ul/li[5]/span[2]/span"")"),"Loading...")</f>
        <v>Loading...</v>
      </c>
      <c r="J3218" s="7" t="str">
        <f ca="1">IFERROR(__xludf.DUMMYFUNCTION("GOOGLEFINANCE(""NSE:""&amp;D3218,""marketcap"")"),"#N/A")</f>
        <v>#N/A</v>
      </c>
      <c r="K3218" s="7">
        <v>992.8</v>
      </c>
      <c r="L3218" s="8" t="str">
        <f ca="1">IFERROR(__xludf.DUMMYFUNCTION("GOOGLEFINANCE(""NSE:""&amp;D3218,""price"")"),"#N/A")</f>
        <v>#N/A</v>
      </c>
      <c r="M3218" s="9" t="e">
        <f t="shared" ca="1" si="62"/>
        <v>#VALUE!</v>
      </c>
      <c r="N3218" s="10" t="e">
        <f t="shared" ca="1" si="63"/>
        <v>#VALUE!</v>
      </c>
      <c r="O3218" s="7" t="str">
        <f ca="1">IFERROR(__xludf.DUMMYFUNCTION("GOOGLEFINANCE(""NSE:""&amp;D3218,""pe"")"),"#N/A")</f>
        <v>#N/A</v>
      </c>
      <c r="P3218" s="7" t="str">
        <f ca="1">IFERROR(__xludf.DUMMYFUNCTION("GOOGLEFINANCE(""NSE:""&amp;D3218,""EPS"")"),"#N/A")</f>
        <v>#N/A</v>
      </c>
      <c r="Q3218" s="7">
        <v>13.5</v>
      </c>
      <c r="R3218" s="7" t="str">
        <f ca="1">IFERROR(__xludf.DUMMYFUNCTION("IMPORTXML(E3218,""/html/body/main/div[3]/div[3]/div[2]/ul/li[7]/span[2]/span"")"),"Loading...")</f>
        <v>Loading...</v>
      </c>
      <c r="S3218" s="7" t="str">
        <f ca="1">IFERROR(__xludf.DUMMYFUNCTION("IMPORTXML(E3218,""/html/body/main/div[3]/div[3]/div[2]/ul/li[8]/span[2]/span"")"),"Loading...")</f>
        <v>Loading...</v>
      </c>
      <c r="T3218" s="4">
        <v>34.6</v>
      </c>
      <c r="U3218" s="4">
        <v>22.7</v>
      </c>
      <c r="V3218" s="4">
        <v>2.6</v>
      </c>
      <c r="W3218" s="4">
        <v>5.7</v>
      </c>
      <c r="X3218" s="4">
        <v>519.92999999999995</v>
      </c>
      <c r="Y3218" s="7" t="e">
        <f t="shared" ca="1" si="64"/>
        <v>#VALUE!</v>
      </c>
    </row>
    <row r="3219" spans="1:25" ht="15" x14ac:dyDescent="0.25">
      <c r="A3219" s="4">
        <v>3206</v>
      </c>
      <c r="C3219" s="41" t="s">
        <v>5553</v>
      </c>
      <c r="D3219" s="42"/>
      <c r="E3219" s="5" t="str">
        <f t="shared" si="60"/>
        <v>https://www.screener.in/company//consolidated/</v>
      </c>
      <c r="F3219" s="4">
        <v>443059</v>
      </c>
      <c r="G3219" s="4">
        <v>3832241897</v>
      </c>
      <c r="H3219" s="6" t="e">
        <f t="shared" ca="1" si="61"/>
        <v>#VALUE!</v>
      </c>
      <c r="I3219" s="7" t="str">
        <f ca="1">IFERROR(__xludf.DUMMYFUNCTION("IMPORTXML(E3219,""/html/body/main/div[3]/div[3]/div[2]/ul/li[5]/span[2]/span"")"),"Loading...")</f>
        <v>Loading...</v>
      </c>
      <c r="J3219" s="7" t="str">
        <f ca="1">IFERROR(__xludf.DUMMYFUNCTION("GOOGLEFINANCE(""NSE:""&amp;D3219,""marketcap"")"),"#N/A")</f>
        <v>#N/A</v>
      </c>
      <c r="K3219" s="7">
        <v>992.8</v>
      </c>
      <c r="L3219" s="8" t="str">
        <f ca="1">IFERROR(__xludf.DUMMYFUNCTION("GOOGLEFINANCE(""NSE:""&amp;D3219,""price"")"),"#N/A")</f>
        <v>#N/A</v>
      </c>
      <c r="M3219" s="9" t="e">
        <f t="shared" ca="1" si="62"/>
        <v>#VALUE!</v>
      </c>
      <c r="N3219" s="10" t="e">
        <f t="shared" ca="1" si="63"/>
        <v>#VALUE!</v>
      </c>
      <c r="O3219" s="7" t="str">
        <f ca="1">IFERROR(__xludf.DUMMYFUNCTION("GOOGLEFINANCE(""NSE:""&amp;D3219,""pe"")"),"#N/A")</f>
        <v>#N/A</v>
      </c>
      <c r="P3219" s="7" t="str">
        <f ca="1">IFERROR(__xludf.DUMMYFUNCTION("GOOGLEFINANCE(""NSE:""&amp;D3219,""EPS"")"),"#N/A")</f>
        <v>#N/A</v>
      </c>
      <c r="Q3219" s="7">
        <v>13.5</v>
      </c>
      <c r="R3219" s="7" t="str">
        <f ca="1">IFERROR(__xludf.DUMMYFUNCTION("IMPORTXML(E3219,""/html/body/main/div[3]/div[3]/div[2]/ul/li[7]/span[2]/span"")"),"Loading...")</f>
        <v>Loading...</v>
      </c>
      <c r="S3219" s="7" t="str">
        <f ca="1">IFERROR(__xludf.DUMMYFUNCTION("IMPORTXML(E3219,""/html/body/main/div[3]/div[3]/div[2]/ul/li[8]/span[2]/span"")"),"Loading...")</f>
        <v>Loading...</v>
      </c>
      <c r="T3219" s="4">
        <v>34.6</v>
      </c>
      <c r="U3219" s="4">
        <v>22.7</v>
      </c>
      <c r="V3219" s="4">
        <v>2.6</v>
      </c>
      <c r="W3219" s="4">
        <v>5.7</v>
      </c>
      <c r="X3219" s="4">
        <v>519.92999999999995</v>
      </c>
      <c r="Y3219" s="7" t="e">
        <f t="shared" ca="1" si="64"/>
        <v>#VALUE!</v>
      </c>
    </row>
    <row r="3220" spans="1:25" ht="15" x14ac:dyDescent="0.25">
      <c r="A3220" s="4">
        <v>3207</v>
      </c>
      <c r="C3220" s="41" t="s">
        <v>5554</v>
      </c>
      <c r="D3220" s="42"/>
      <c r="E3220" s="5" t="str">
        <f t="shared" si="60"/>
        <v>https://www.screener.in/company//consolidated/</v>
      </c>
      <c r="F3220" s="4">
        <v>443059</v>
      </c>
      <c r="G3220" s="4">
        <v>3832241897</v>
      </c>
      <c r="H3220" s="6" t="e">
        <f t="shared" ca="1" si="61"/>
        <v>#VALUE!</v>
      </c>
      <c r="I3220" s="7" t="str">
        <f ca="1">IFERROR(__xludf.DUMMYFUNCTION("IMPORTXML(E3220,""/html/body/main/div[3]/div[3]/div[2]/ul/li[5]/span[2]/span"")"),"Loading...")</f>
        <v>Loading...</v>
      </c>
      <c r="J3220" s="7" t="str">
        <f ca="1">IFERROR(__xludf.DUMMYFUNCTION("GOOGLEFINANCE(""NSE:""&amp;D3220,""marketcap"")"),"#N/A")</f>
        <v>#N/A</v>
      </c>
      <c r="K3220" s="7">
        <v>992.8</v>
      </c>
      <c r="L3220" s="8" t="str">
        <f ca="1">IFERROR(__xludf.DUMMYFUNCTION("GOOGLEFINANCE(""NSE:""&amp;D3220,""price"")"),"#N/A")</f>
        <v>#N/A</v>
      </c>
      <c r="M3220" s="9" t="e">
        <f t="shared" ca="1" si="62"/>
        <v>#VALUE!</v>
      </c>
      <c r="N3220" s="10" t="e">
        <f t="shared" ca="1" si="63"/>
        <v>#VALUE!</v>
      </c>
      <c r="O3220" s="7" t="str">
        <f ca="1">IFERROR(__xludf.DUMMYFUNCTION("GOOGLEFINANCE(""NSE:""&amp;D3220,""pe"")"),"#N/A")</f>
        <v>#N/A</v>
      </c>
      <c r="P3220" s="7" t="str">
        <f ca="1">IFERROR(__xludf.DUMMYFUNCTION("GOOGLEFINANCE(""NSE:""&amp;D3220,""EPS"")"),"#N/A")</f>
        <v>#N/A</v>
      </c>
      <c r="Q3220" s="7">
        <v>13.5</v>
      </c>
      <c r="R3220" s="7" t="str">
        <f ca="1">IFERROR(__xludf.DUMMYFUNCTION("IMPORTXML(E3220,""/html/body/main/div[3]/div[3]/div[2]/ul/li[7]/span[2]/span"")"),"Loading...")</f>
        <v>Loading...</v>
      </c>
      <c r="S3220" s="7" t="str">
        <f ca="1">IFERROR(__xludf.DUMMYFUNCTION("IMPORTXML(E3220,""/html/body/main/div[3]/div[3]/div[2]/ul/li[8]/span[2]/span"")"),"Loading...")</f>
        <v>Loading...</v>
      </c>
      <c r="T3220" s="4">
        <v>34.6</v>
      </c>
      <c r="U3220" s="4">
        <v>22.7</v>
      </c>
      <c r="V3220" s="4">
        <v>2.6</v>
      </c>
      <c r="W3220" s="4">
        <v>5.7</v>
      </c>
      <c r="X3220" s="4">
        <v>519.92999999999995</v>
      </c>
      <c r="Y3220" s="7" t="e">
        <f t="shared" ca="1" si="64"/>
        <v>#VALUE!</v>
      </c>
    </row>
    <row r="3221" spans="1:25" ht="15" x14ac:dyDescent="0.25">
      <c r="A3221" s="4">
        <v>3208</v>
      </c>
      <c r="C3221" s="41" t="s">
        <v>5555</v>
      </c>
      <c r="D3221" s="42"/>
      <c r="E3221" s="5" t="str">
        <f t="shared" si="60"/>
        <v>https://www.screener.in/company//consolidated/</v>
      </c>
      <c r="F3221" s="4">
        <v>443059</v>
      </c>
      <c r="G3221" s="4">
        <v>3832241897</v>
      </c>
      <c r="H3221" s="6" t="e">
        <f t="shared" ca="1" si="61"/>
        <v>#VALUE!</v>
      </c>
      <c r="I3221" s="7" t="str">
        <f ca="1">IFERROR(__xludf.DUMMYFUNCTION("IMPORTXML(E3221,""/html/body/main/div[3]/div[3]/div[2]/ul/li[5]/span[2]/span"")"),"Loading...")</f>
        <v>Loading...</v>
      </c>
      <c r="J3221" s="7" t="str">
        <f ca="1">IFERROR(__xludf.DUMMYFUNCTION("GOOGLEFINANCE(""NSE:""&amp;D3221,""marketcap"")"),"#N/A")</f>
        <v>#N/A</v>
      </c>
      <c r="K3221" s="7">
        <v>992.8</v>
      </c>
      <c r="L3221" s="8" t="str">
        <f ca="1">IFERROR(__xludf.DUMMYFUNCTION("GOOGLEFINANCE(""NSE:""&amp;D3221,""price"")"),"#N/A")</f>
        <v>#N/A</v>
      </c>
      <c r="M3221" s="9" t="e">
        <f t="shared" ca="1" si="62"/>
        <v>#VALUE!</v>
      </c>
      <c r="N3221" s="10" t="e">
        <f t="shared" ca="1" si="63"/>
        <v>#VALUE!</v>
      </c>
      <c r="O3221" s="7" t="str">
        <f ca="1">IFERROR(__xludf.DUMMYFUNCTION("GOOGLEFINANCE(""NSE:""&amp;D3221,""pe"")"),"#N/A")</f>
        <v>#N/A</v>
      </c>
      <c r="P3221" s="7" t="str">
        <f ca="1">IFERROR(__xludf.DUMMYFUNCTION("GOOGLEFINANCE(""NSE:""&amp;D3221,""EPS"")"),"#N/A")</f>
        <v>#N/A</v>
      </c>
      <c r="Q3221" s="7">
        <v>13.5</v>
      </c>
      <c r="R3221" s="7" t="str">
        <f ca="1">IFERROR(__xludf.DUMMYFUNCTION("IMPORTXML(E3221,""/html/body/main/div[3]/div[3]/div[2]/ul/li[7]/span[2]/span"")"),"Loading...")</f>
        <v>Loading...</v>
      </c>
      <c r="S3221" s="7" t="str">
        <f ca="1">IFERROR(__xludf.DUMMYFUNCTION("IMPORTXML(E3221,""/html/body/main/div[3]/div[3]/div[2]/ul/li[8]/span[2]/span"")"),"Loading...")</f>
        <v>Loading...</v>
      </c>
      <c r="T3221" s="4">
        <v>34.6</v>
      </c>
      <c r="U3221" s="4">
        <v>22.7</v>
      </c>
      <c r="V3221" s="4">
        <v>2.6</v>
      </c>
      <c r="W3221" s="4">
        <v>5.7</v>
      </c>
      <c r="X3221" s="4">
        <v>519.92999999999995</v>
      </c>
      <c r="Y3221" s="7" t="e">
        <f t="shared" ca="1" si="64"/>
        <v>#VALUE!</v>
      </c>
    </row>
    <row r="3222" spans="1:25" ht="15" x14ac:dyDescent="0.25">
      <c r="A3222" s="4">
        <v>3209</v>
      </c>
      <c r="C3222" s="41" t="s">
        <v>5556</v>
      </c>
      <c r="D3222" s="42"/>
      <c r="E3222" s="5" t="str">
        <f t="shared" si="60"/>
        <v>https://www.screener.in/company//consolidated/</v>
      </c>
      <c r="F3222" s="4">
        <v>443059</v>
      </c>
      <c r="G3222" s="4">
        <v>3832241897</v>
      </c>
      <c r="H3222" s="6" t="e">
        <f t="shared" ca="1" si="61"/>
        <v>#VALUE!</v>
      </c>
      <c r="I3222" s="7" t="str">
        <f ca="1">IFERROR(__xludf.DUMMYFUNCTION("IMPORTXML(E3222,""/html/body/main/div[3]/div[3]/div[2]/ul/li[5]/span[2]/span"")"),"Loading...")</f>
        <v>Loading...</v>
      </c>
      <c r="J3222" s="7" t="str">
        <f ca="1">IFERROR(__xludf.DUMMYFUNCTION("GOOGLEFINANCE(""NSE:""&amp;D3222,""marketcap"")"),"#N/A")</f>
        <v>#N/A</v>
      </c>
      <c r="K3222" s="7">
        <v>992.8</v>
      </c>
      <c r="L3222" s="8" t="str">
        <f ca="1">IFERROR(__xludf.DUMMYFUNCTION("GOOGLEFINANCE(""NSE:""&amp;D3222,""price"")"),"#N/A")</f>
        <v>#N/A</v>
      </c>
      <c r="M3222" s="9" t="e">
        <f t="shared" ca="1" si="62"/>
        <v>#VALUE!</v>
      </c>
      <c r="N3222" s="10" t="e">
        <f t="shared" ca="1" si="63"/>
        <v>#VALUE!</v>
      </c>
      <c r="O3222" s="7" t="str">
        <f ca="1">IFERROR(__xludf.DUMMYFUNCTION("GOOGLEFINANCE(""NSE:""&amp;D3222,""pe"")"),"#N/A")</f>
        <v>#N/A</v>
      </c>
      <c r="P3222" s="7" t="str">
        <f ca="1">IFERROR(__xludf.DUMMYFUNCTION("GOOGLEFINANCE(""NSE:""&amp;D3222,""EPS"")"),"#N/A")</f>
        <v>#N/A</v>
      </c>
      <c r="Q3222" s="7">
        <v>13.5</v>
      </c>
      <c r="R3222" s="7" t="str">
        <f ca="1">IFERROR(__xludf.DUMMYFUNCTION("IMPORTXML(E3222,""/html/body/main/div[3]/div[3]/div[2]/ul/li[7]/span[2]/span"")"),"Loading...")</f>
        <v>Loading...</v>
      </c>
      <c r="S3222" s="7" t="str">
        <f ca="1">IFERROR(__xludf.DUMMYFUNCTION("IMPORTXML(E3222,""/html/body/main/div[3]/div[3]/div[2]/ul/li[8]/span[2]/span"")"),"Loading...")</f>
        <v>Loading...</v>
      </c>
      <c r="T3222" s="4">
        <v>34.6</v>
      </c>
      <c r="U3222" s="4">
        <v>22.7</v>
      </c>
      <c r="V3222" s="4">
        <v>2.6</v>
      </c>
      <c r="W3222" s="4">
        <v>5.7</v>
      </c>
      <c r="X3222" s="4">
        <v>519.92999999999995</v>
      </c>
      <c r="Y3222" s="7" t="e">
        <f t="shared" ca="1" si="64"/>
        <v>#VALUE!</v>
      </c>
    </row>
    <row r="3223" spans="1:25" ht="15" x14ac:dyDescent="0.25">
      <c r="A3223" s="4">
        <v>3210</v>
      </c>
      <c r="C3223" s="41" t="s">
        <v>5557</v>
      </c>
      <c r="D3223" s="42"/>
      <c r="E3223" s="5" t="str">
        <f t="shared" ref="E3223:E3477" si="65">"https://www.screener.in/company/"&amp; D3223&amp;"/consolidated/"</f>
        <v>https://www.screener.in/company//consolidated/</v>
      </c>
      <c r="F3223" s="4">
        <v>443059</v>
      </c>
      <c r="G3223" s="4">
        <v>3832241897</v>
      </c>
      <c r="H3223" s="6" t="e">
        <f t="shared" ref="H3223:H3477" ca="1" si="66">(G3223*L3223)/10^7</f>
        <v>#VALUE!</v>
      </c>
      <c r="I3223" s="7" t="str">
        <f ca="1">IFERROR(__xludf.DUMMYFUNCTION("IMPORTXML(E3223,""/html/body/main/div[3]/div[3]/div[2]/ul/li[5]/span[2]/span"")"),"Loading...")</f>
        <v>Loading...</v>
      </c>
      <c r="J3223" s="7" t="str">
        <f ca="1">IFERROR(__xludf.DUMMYFUNCTION("GOOGLEFINANCE(""NSE:""&amp;D3223,""marketcap"")"),"#N/A")</f>
        <v>#N/A</v>
      </c>
      <c r="K3223" s="7">
        <v>992.8</v>
      </c>
      <c r="L3223" s="8" t="str">
        <f ca="1">IFERROR(__xludf.DUMMYFUNCTION("GOOGLEFINANCE(""NSE:""&amp;D3223,""price"")"),"#N/A")</f>
        <v>#N/A</v>
      </c>
      <c r="M3223" s="9" t="e">
        <f t="shared" ref="M3223:M3477" ca="1" si="67">L3223-K3223</f>
        <v>#VALUE!</v>
      </c>
      <c r="N3223" s="10" t="e">
        <f t="shared" ref="N3223:N3477" ca="1" si="68">(M3223/K3223)*100</f>
        <v>#VALUE!</v>
      </c>
      <c r="O3223" s="7" t="str">
        <f ca="1">IFERROR(__xludf.DUMMYFUNCTION("GOOGLEFINANCE(""NSE:""&amp;D3223,""pe"")"),"#N/A")</f>
        <v>#N/A</v>
      </c>
      <c r="P3223" s="7" t="str">
        <f ca="1">IFERROR(__xludf.DUMMYFUNCTION("GOOGLEFINANCE(""NSE:""&amp;D3223,""EPS"")"),"#N/A")</f>
        <v>#N/A</v>
      </c>
      <c r="Q3223" s="7">
        <v>13.5</v>
      </c>
      <c r="R3223" s="7" t="str">
        <f ca="1">IFERROR(__xludf.DUMMYFUNCTION("IMPORTXML(E3223,""/html/body/main/div[3]/div[3]/div[2]/ul/li[7]/span[2]/span"")"),"Loading...")</f>
        <v>Loading...</v>
      </c>
      <c r="S3223" s="7" t="str">
        <f ca="1">IFERROR(__xludf.DUMMYFUNCTION("IMPORTXML(E3223,""/html/body/main/div[3]/div[3]/div[2]/ul/li[8]/span[2]/span"")"),"Loading...")</f>
        <v>Loading...</v>
      </c>
      <c r="T3223" s="4">
        <v>34.6</v>
      </c>
      <c r="U3223" s="4">
        <v>22.7</v>
      </c>
      <c r="V3223" s="4">
        <v>2.6</v>
      </c>
      <c r="W3223" s="4">
        <v>5.7</v>
      </c>
      <c r="X3223" s="4">
        <v>519.92999999999995</v>
      </c>
      <c r="Y3223" s="7" t="e">
        <f t="shared" ref="Y3223:Y3477" ca="1" si="69">L3223-X3223</f>
        <v>#VALUE!</v>
      </c>
    </row>
    <row r="3224" spans="1:25" ht="15" x14ac:dyDescent="0.25">
      <c r="A3224" s="4">
        <v>3211</v>
      </c>
      <c r="C3224" s="41" t="s">
        <v>5558</v>
      </c>
      <c r="D3224" s="42"/>
      <c r="E3224" s="5" t="str">
        <f t="shared" si="65"/>
        <v>https://www.screener.in/company//consolidated/</v>
      </c>
      <c r="F3224" s="4">
        <v>443059</v>
      </c>
      <c r="G3224" s="4">
        <v>3832241897</v>
      </c>
      <c r="H3224" s="6" t="e">
        <f t="shared" ca="1" si="66"/>
        <v>#VALUE!</v>
      </c>
      <c r="I3224" s="7" t="str">
        <f ca="1">IFERROR(__xludf.DUMMYFUNCTION("IMPORTXML(E3224,""/html/body/main/div[3]/div[3]/div[2]/ul/li[5]/span[2]/span"")"),"Loading...")</f>
        <v>Loading...</v>
      </c>
      <c r="J3224" s="7" t="str">
        <f ca="1">IFERROR(__xludf.DUMMYFUNCTION("GOOGLEFINANCE(""NSE:""&amp;D3224,""marketcap"")"),"#N/A")</f>
        <v>#N/A</v>
      </c>
      <c r="K3224" s="7">
        <v>992.8</v>
      </c>
      <c r="L3224" s="8" t="str">
        <f ca="1">IFERROR(__xludf.DUMMYFUNCTION("GOOGLEFINANCE(""NSE:""&amp;D3224,""price"")"),"#N/A")</f>
        <v>#N/A</v>
      </c>
      <c r="M3224" s="9" t="e">
        <f t="shared" ca="1" si="67"/>
        <v>#VALUE!</v>
      </c>
      <c r="N3224" s="10" t="e">
        <f t="shared" ca="1" si="68"/>
        <v>#VALUE!</v>
      </c>
      <c r="O3224" s="7" t="str">
        <f ca="1">IFERROR(__xludf.DUMMYFUNCTION("GOOGLEFINANCE(""NSE:""&amp;D3224,""pe"")"),"#N/A")</f>
        <v>#N/A</v>
      </c>
      <c r="P3224" s="7" t="str">
        <f ca="1">IFERROR(__xludf.DUMMYFUNCTION("GOOGLEFINANCE(""NSE:""&amp;D3224,""EPS"")"),"#N/A")</f>
        <v>#N/A</v>
      </c>
      <c r="Q3224" s="7">
        <v>13.5</v>
      </c>
      <c r="R3224" s="7" t="str">
        <f ca="1">IFERROR(__xludf.DUMMYFUNCTION("IMPORTXML(E3224,""/html/body/main/div[3]/div[3]/div[2]/ul/li[7]/span[2]/span"")"),"Loading...")</f>
        <v>Loading...</v>
      </c>
      <c r="S3224" s="7" t="str">
        <f ca="1">IFERROR(__xludf.DUMMYFUNCTION("IMPORTXML(E3224,""/html/body/main/div[3]/div[3]/div[2]/ul/li[8]/span[2]/span"")"),"Loading...")</f>
        <v>Loading...</v>
      </c>
      <c r="T3224" s="4">
        <v>34.6</v>
      </c>
      <c r="U3224" s="4">
        <v>22.7</v>
      </c>
      <c r="V3224" s="4">
        <v>2.6</v>
      </c>
      <c r="W3224" s="4">
        <v>5.7</v>
      </c>
      <c r="X3224" s="4">
        <v>519.92999999999995</v>
      </c>
      <c r="Y3224" s="7" t="e">
        <f t="shared" ca="1" si="69"/>
        <v>#VALUE!</v>
      </c>
    </row>
    <row r="3225" spans="1:25" ht="15" x14ac:dyDescent="0.25">
      <c r="A3225" s="4">
        <v>3212</v>
      </c>
      <c r="C3225" s="41" t="s">
        <v>5559</v>
      </c>
      <c r="D3225" s="42"/>
      <c r="E3225" s="5" t="str">
        <f t="shared" si="65"/>
        <v>https://www.screener.in/company//consolidated/</v>
      </c>
      <c r="F3225" s="4">
        <v>443059</v>
      </c>
      <c r="G3225" s="4">
        <v>3832241897</v>
      </c>
      <c r="H3225" s="6" t="e">
        <f t="shared" ca="1" si="66"/>
        <v>#VALUE!</v>
      </c>
      <c r="I3225" s="7" t="str">
        <f ca="1">IFERROR(__xludf.DUMMYFUNCTION("IMPORTXML(E3225,""/html/body/main/div[3]/div[3]/div[2]/ul/li[5]/span[2]/span"")"),"Loading...")</f>
        <v>Loading...</v>
      </c>
      <c r="J3225" s="7" t="str">
        <f ca="1">IFERROR(__xludf.DUMMYFUNCTION("GOOGLEFINANCE(""NSE:""&amp;D3225,""marketcap"")"),"#N/A")</f>
        <v>#N/A</v>
      </c>
      <c r="K3225" s="7">
        <v>992.8</v>
      </c>
      <c r="L3225" s="8" t="str">
        <f ca="1">IFERROR(__xludf.DUMMYFUNCTION("GOOGLEFINANCE(""NSE:""&amp;D3225,""price"")"),"#N/A")</f>
        <v>#N/A</v>
      </c>
      <c r="M3225" s="9" t="e">
        <f t="shared" ca="1" si="67"/>
        <v>#VALUE!</v>
      </c>
      <c r="N3225" s="10" t="e">
        <f t="shared" ca="1" si="68"/>
        <v>#VALUE!</v>
      </c>
      <c r="O3225" s="7" t="str">
        <f ca="1">IFERROR(__xludf.DUMMYFUNCTION("GOOGLEFINANCE(""NSE:""&amp;D3225,""pe"")"),"#N/A")</f>
        <v>#N/A</v>
      </c>
      <c r="P3225" s="7" t="str">
        <f ca="1">IFERROR(__xludf.DUMMYFUNCTION("GOOGLEFINANCE(""NSE:""&amp;D3225,""EPS"")"),"#N/A")</f>
        <v>#N/A</v>
      </c>
      <c r="Q3225" s="7">
        <v>13.5</v>
      </c>
      <c r="R3225" s="7" t="str">
        <f ca="1">IFERROR(__xludf.DUMMYFUNCTION("IMPORTXML(E3225,""/html/body/main/div[3]/div[3]/div[2]/ul/li[7]/span[2]/span"")"),"Loading...")</f>
        <v>Loading...</v>
      </c>
      <c r="S3225" s="7" t="str">
        <f ca="1">IFERROR(__xludf.DUMMYFUNCTION("IMPORTXML(E3225,""/html/body/main/div[3]/div[3]/div[2]/ul/li[8]/span[2]/span"")"),"Loading...")</f>
        <v>Loading...</v>
      </c>
      <c r="T3225" s="4">
        <v>34.6</v>
      </c>
      <c r="U3225" s="4">
        <v>22.7</v>
      </c>
      <c r="V3225" s="4">
        <v>2.6</v>
      </c>
      <c r="W3225" s="4">
        <v>5.7</v>
      </c>
      <c r="X3225" s="4">
        <v>519.92999999999995</v>
      </c>
      <c r="Y3225" s="7" t="e">
        <f t="shared" ca="1" si="69"/>
        <v>#VALUE!</v>
      </c>
    </row>
    <row r="3226" spans="1:25" ht="15" x14ac:dyDescent="0.25">
      <c r="A3226" s="4">
        <v>3213</v>
      </c>
      <c r="C3226" s="41" t="s">
        <v>5560</v>
      </c>
      <c r="D3226" s="42"/>
      <c r="E3226" s="5" t="str">
        <f t="shared" si="65"/>
        <v>https://www.screener.in/company//consolidated/</v>
      </c>
      <c r="F3226" s="4">
        <v>443059</v>
      </c>
      <c r="G3226" s="4">
        <v>3832241897</v>
      </c>
      <c r="H3226" s="6" t="e">
        <f t="shared" ca="1" si="66"/>
        <v>#VALUE!</v>
      </c>
      <c r="I3226" s="7" t="str">
        <f ca="1">IFERROR(__xludf.DUMMYFUNCTION("IMPORTXML(E3226,""/html/body/main/div[3]/div[3]/div[2]/ul/li[5]/span[2]/span"")"),"Loading...")</f>
        <v>Loading...</v>
      </c>
      <c r="J3226" s="7" t="str">
        <f ca="1">IFERROR(__xludf.DUMMYFUNCTION("GOOGLEFINANCE(""NSE:""&amp;D3226,""marketcap"")"),"#N/A")</f>
        <v>#N/A</v>
      </c>
      <c r="K3226" s="7">
        <v>992.8</v>
      </c>
      <c r="L3226" s="8" t="str">
        <f ca="1">IFERROR(__xludf.DUMMYFUNCTION("GOOGLEFINANCE(""NSE:""&amp;D3226,""price"")"),"#N/A")</f>
        <v>#N/A</v>
      </c>
      <c r="M3226" s="9" t="e">
        <f t="shared" ca="1" si="67"/>
        <v>#VALUE!</v>
      </c>
      <c r="N3226" s="10" t="e">
        <f t="shared" ca="1" si="68"/>
        <v>#VALUE!</v>
      </c>
      <c r="O3226" s="7" t="str">
        <f ca="1">IFERROR(__xludf.DUMMYFUNCTION("GOOGLEFINANCE(""NSE:""&amp;D3226,""pe"")"),"#N/A")</f>
        <v>#N/A</v>
      </c>
      <c r="P3226" s="7" t="str">
        <f ca="1">IFERROR(__xludf.DUMMYFUNCTION("GOOGLEFINANCE(""NSE:""&amp;D3226,""EPS"")"),"#N/A")</f>
        <v>#N/A</v>
      </c>
      <c r="Q3226" s="7">
        <v>13.5</v>
      </c>
      <c r="R3226" s="7" t="str">
        <f ca="1">IFERROR(__xludf.DUMMYFUNCTION("IMPORTXML(E3226,""/html/body/main/div[3]/div[3]/div[2]/ul/li[7]/span[2]/span"")"),"Loading...")</f>
        <v>Loading...</v>
      </c>
      <c r="S3226" s="7" t="str">
        <f ca="1">IFERROR(__xludf.DUMMYFUNCTION("IMPORTXML(E3226,""/html/body/main/div[3]/div[3]/div[2]/ul/li[8]/span[2]/span"")"),"Loading...")</f>
        <v>Loading...</v>
      </c>
      <c r="T3226" s="4">
        <v>34.6</v>
      </c>
      <c r="U3226" s="4">
        <v>22.7</v>
      </c>
      <c r="V3226" s="4">
        <v>2.6</v>
      </c>
      <c r="W3226" s="4">
        <v>5.7</v>
      </c>
      <c r="X3226" s="4">
        <v>519.92999999999995</v>
      </c>
      <c r="Y3226" s="7" t="e">
        <f t="shared" ca="1" si="69"/>
        <v>#VALUE!</v>
      </c>
    </row>
    <row r="3227" spans="1:25" ht="15" x14ac:dyDescent="0.25">
      <c r="A3227" s="4">
        <v>3214</v>
      </c>
      <c r="C3227" s="41" t="s">
        <v>5561</v>
      </c>
      <c r="D3227" s="42"/>
      <c r="E3227" s="5" t="str">
        <f t="shared" si="65"/>
        <v>https://www.screener.in/company//consolidated/</v>
      </c>
      <c r="F3227" s="4">
        <v>443059</v>
      </c>
      <c r="G3227" s="4">
        <v>3832241897</v>
      </c>
      <c r="H3227" s="6" t="e">
        <f t="shared" ca="1" si="66"/>
        <v>#VALUE!</v>
      </c>
      <c r="I3227" s="7" t="str">
        <f ca="1">IFERROR(__xludf.DUMMYFUNCTION("IMPORTXML(E3227,""/html/body/main/div[3]/div[3]/div[2]/ul/li[5]/span[2]/span"")"),"Loading...")</f>
        <v>Loading...</v>
      </c>
      <c r="J3227" s="7" t="str">
        <f ca="1">IFERROR(__xludf.DUMMYFUNCTION("GOOGLEFINANCE(""NSE:""&amp;D3227,""marketcap"")"),"#N/A")</f>
        <v>#N/A</v>
      </c>
      <c r="K3227" s="7">
        <v>992.8</v>
      </c>
      <c r="L3227" s="8" t="str">
        <f ca="1">IFERROR(__xludf.DUMMYFUNCTION("GOOGLEFINANCE(""NSE:""&amp;D3227,""price"")"),"#N/A")</f>
        <v>#N/A</v>
      </c>
      <c r="M3227" s="9" t="e">
        <f t="shared" ca="1" si="67"/>
        <v>#VALUE!</v>
      </c>
      <c r="N3227" s="10" t="e">
        <f t="shared" ca="1" si="68"/>
        <v>#VALUE!</v>
      </c>
      <c r="O3227" s="7" t="str">
        <f ca="1">IFERROR(__xludf.DUMMYFUNCTION("GOOGLEFINANCE(""NSE:""&amp;D3227,""pe"")"),"#N/A")</f>
        <v>#N/A</v>
      </c>
      <c r="P3227" s="7" t="str">
        <f ca="1">IFERROR(__xludf.DUMMYFUNCTION("GOOGLEFINANCE(""NSE:""&amp;D3227,""EPS"")"),"#N/A")</f>
        <v>#N/A</v>
      </c>
      <c r="Q3227" s="7">
        <v>13.5</v>
      </c>
      <c r="R3227" s="7" t="str">
        <f ca="1">IFERROR(__xludf.DUMMYFUNCTION("IMPORTXML(E3227,""/html/body/main/div[3]/div[3]/div[2]/ul/li[7]/span[2]/span"")"),"Loading...")</f>
        <v>Loading...</v>
      </c>
      <c r="S3227" s="7" t="str">
        <f ca="1">IFERROR(__xludf.DUMMYFUNCTION("IMPORTXML(E3227,""/html/body/main/div[3]/div[3]/div[2]/ul/li[8]/span[2]/span"")"),"Loading...")</f>
        <v>Loading...</v>
      </c>
      <c r="T3227" s="4">
        <v>34.6</v>
      </c>
      <c r="U3227" s="4">
        <v>22.7</v>
      </c>
      <c r="V3227" s="4">
        <v>2.6</v>
      </c>
      <c r="W3227" s="4">
        <v>5.7</v>
      </c>
      <c r="X3227" s="4">
        <v>519.92999999999995</v>
      </c>
      <c r="Y3227" s="7" t="e">
        <f t="shared" ca="1" si="69"/>
        <v>#VALUE!</v>
      </c>
    </row>
    <row r="3228" spans="1:25" ht="15" x14ac:dyDescent="0.25">
      <c r="A3228" s="4">
        <v>3215</v>
      </c>
      <c r="C3228" s="41" t="s">
        <v>5562</v>
      </c>
      <c r="D3228" s="42"/>
      <c r="E3228" s="5" t="str">
        <f t="shared" si="65"/>
        <v>https://www.screener.in/company//consolidated/</v>
      </c>
      <c r="F3228" s="4">
        <v>443059</v>
      </c>
      <c r="G3228" s="4">
        <v>3832241897</v>
      </c>
      <c r="H3228" s="6" t="e">
        <f t="shared" ca="1" si="66"/>
        <v>#VALUE!</v>
      </c>
      <c r="I3228" s="7" t="str">
        <f ca="1">IFERROR(__xludf.DUMMYFUNCTION("IMPORTXML(E3228,""/html/body/main/div[3]/div[3]/div[2]/ul/li[5]/span[2]/span"")"),"Loading...")</f>
        <v>Loading...</v>
      </c>
      <c r="J3228" s="7" t="str">
        <f ca="1">IFERROR(__xludf.DUMMYFUNCTION("GOOGLEFINANCE(""NSE:""&amp;D3228,""marketcap"")"),"#N/A")</f>
        <v>#N/A</v>
      </c>
      <c r="K3228" s="7">
        <v>992.8</v>
      </c>
      <c r="L3228" s="8" t="str">
        <f ca="1">IFERROR(__xludf.DUMMYFUNCTION("GOOGLEFINANCE(""NSE:""&amp;D3228,""price"")"),"#N/A")</f>
        <v>#N/A</v>
      </c>
      <c r="M3228" s="9" t="e">
        <f t="shared" ca="1" si="67"/>
        <v>#VALUE!</v>
      </c>
      <c r="N3228" s="10" t="e">
        <f t="shared" ca="1" si="68"/>
        <v>#VALUE!</v>
      </c>
      <c r="O3228" s="7" t="str">
        <f ca="1">IFERROR(__xludf.DUMMYFUNCTION("GOOGLEFINANCE(""NSE:""&amp;D3228,""pe"")"),"#N/A")</f>
        <v>#N/A</v>
      </c>
      <c r="P3228" s="7" t="str">
        <f ca="1">IFERROR(__xludf.DUMMYFUNCTION("GOOGLEFINANCE(""NSE:""&amp;D3228,""EPS"")"),"#N/A")</f>
        <v>#N/A</v>
      </c>
      <c r="Q3228" s="7">
        <v>13.5</v>
      </c>
      <c r="R3228" s="7" t="str">
        <f ca="1">IFERROR(__xludf.DUMMYFUNCTION("IMPORTXML(E3228,""/html/body/main/div[3]/div[3]/div[2]/ul/li[7]/span[2]/span"")"),"Loading...")</f>
        <v>Loading...</v>
      </c>
      <c r="S3228" s="7" t="str">
        <f ca="1">IFERROR(__xludf.DUMMYFUNCTION("IMPORTXML(E3228,""/html/body/main/div[3]/div[3]/div[2]/ul/li[8]/span[2]/span"")"),"Loading...")</f>
        <v>Loading...</v>
      </c>
      <c r="T3228" s="4">
        <v>34.6</v>
      </c>
      <c r="U3228" s="4">
        <v>22.7</v>
      </c>
      <c r="V3228" s="4">
        <v>2.6</v>
      </c>
      <c r="W3228" s="4">
        <v>5.7</v>
      </c>
      <c r="X3228" s="4">
        <v>519.92999999999995</v>
      </c>
      <c r="Y3228" s="7" t="e">
        <f t="shared" ca="1" si="69"/>
        <v>#VALUE!</v>
      </c>
    </row>
    <row r="3229" spans="1:25" ht="15" x14ac:dyDescent="0.25">
      <c r="A3229" s="4">
        <v>3216</v>
      </c>
      <c r="C3229" s="41" t="s">
        <v>5563</v>
      </c>
      <c r="D3229" s="42"/>
      <c r="E3229" s="5" t="str">
        <f t="shared" si="65"/>
        <v>https://www.screener.in/company//consolidated/</v>
      </c>
      <c r="F3229" s="4">
        <v>443059</v>
      </c>
      <c r="G3229" s="4">
        <v>3832241897</v>
      </c>
      <c r="H3229" s="6" t="e">
        <f t="shared" ca="1" si="66"/>
        <v>#VALUE!</v>
      </c>
      <c r="I3229" s="7" t="str">
        <f ca="1">IFERROR(__xludf.DUMMYFUNCTION("IMPORTXML(E3229,""/html/body/main/div[3]/div[3]/div[2]/ul/li[5]/span[2]/span"")"),"Loading...")</f>
        <v>Loading...</v>
      </c>
      <c r="J3229" s="7" t="str">
        <f ca="1">IFERROR(__xludf.DUMMYFUNCTION("GOOGLEFINANCE(""NSE:""&amp;D3229,""marketcap"")"),"#N/A")</f>
        <v>#N/A</v>
      </c>
      <c r="K3229" s="7">
        <v>992.8</v>
      </c>
      <c r="L3229" s="8" t="str">
        <f ca="1">IFERROR(__xludf.DUMMYFUNCTION("GOOGLEFINANCE(""NSE:""&amp;D3229,""price"")"),"#N/A")</f>
        <v>#N/A</v>
      </c>
      <c r="M3229" s="9" t="e">
        <f t="shared" ca="1" si="67"/>
        <v>#VALUE!</v>
      </c>
      <c r="N3229" s="10" t="e">
        <f t="shared" ca="1" si="68"/>
        <v>#VALUE!</v>
      </c>
      <c r="O3229" s="7" t="str">
        <f ca="1">IFERROR(__xludf.DUMMYFUNCTION("GOOGLEFINANCE(""NSE:""&amp;D3229,""pe"")"),"#N/A")</f>
        <v>#N/A</v>
      </c>
      <c r="P3229" s="7" t="str">
        <f ca="1">IFERROR(__xludf.DUMMYFUNCTION("GOOGLEFINANCE(""NSE:""&amp;D3229,""EPS"")"),"#N/A")</f>
        <v>#N/A</v>
      </c>
      <c r="Q3229" s="7">
        <v>13.5</v>
      </c>
      <c r="R3229" s="7" t="str">
        <f ca="1">IFERROR(__xludf.DUMMYFUNCTION("IMPORTXML(E3229,""/html/body/main/div[3]/div[3]/div[2]/ul/li[7]/span[2]/span"")"),"Loading...")</f>
        <v>Loading...</v>
      </c>
      <c r="S3229" s="7" t="str">
        <f ca="1">IFERROR(__xludf.DUMMYFUNCTION("IMPORTXML(E3229,""/html/body/main/div[3]/div[3]/div[2]/ul/li[8]/span[2]/span"")"),"Loading...")</f>
        <v>Loading...</v>
      </c>
      <c r="T3229" s="4">
        <v>34.6</v>
      </c>
      <c r="U3229" s="4">
        <v>22.7</v>
      </c>
      <c r="V3229" s="4">
        <v>2.6</v>
      </c>
      <c r="W3229" s="4">
        <v>5.7</v>
      </c>
      <c r="X3229" s="4">
        <v>519.92999999999995</v>
      </c>
      <c r="Y3229" s="7" t="e">
        <f t="shared" ca="1" si="69"/>
        <v>#VALUE!</v>
      </c>
    </row>
    <row r="3230" spans="1:25" ht="15" x14ac:dyDescent="0.25">
      <c r="A3230" s="4">
        <v>3217</v>
      </c>
      <c r="C3230" s="41" t="s">
        <v>5564</v>
      </c>
      <c r="D3230" s="42"/>
      <c r="E3230" s="5" t="str">
        <f t="shared" si="65"/>
        <v>https://www.screener.in/company//consolidated/</v>
      </c>
      <c r="F3230" s="4">
        <v>443059</v>
      </c>
      <c r="G3230" s="4">
        <v>3832241897</v>
      </c>
      <c r="H3230" s="6" t="e">
        <f t="shared" ca="1" si="66"/>
        <v>#VALUE!</v>
      </c>
      <c r="I3230" s="7" t="str">
        <f ca="1">IFERROR(__xludf.DUMMYFUNCTION("IMPORTXML(E3230,""/html/body/main/div[3]/div[3]/div[2]/ul/li[5]/span[2]/span"")"),"Loading...")</f>
        <v>Loading...</v>
      </c>
      <c r="J3230" s="7" t="str">
        <f ca="1">IFERROR(__xludf.DUMMYFUNCTION("GOOGLEFINANCE(""NSE:""&amp;D3230,""marketcap"")"),"#N/A")</f>
        <v>#N/A</v>
      </c>
      <c r="K3230" s="7">
        <v>992.8</v>
      </c>
      <c r="L3230" s="8" t="str">
        <f ca="1">IFERROR(__xludf.DUMMYFUNCTION("GOOGLEFINANCE(""NSE:""&amp;D3230,""price"")"),"#N/A")</f>
        <v>#N/A</v>
      </c>
      <c r="M3230" s="9" t="e">
        <f t="shared" ca="1" si="67"/>
        <v>#VALUE!</v>
      </c>
      <c r="N3230" s="10" t="e">
        <f t="shared" ca="1" si="68"/>
        <v>#VALUE!</v>
      </c>
      <c r="O3230" s="7" t="str">
        <f ca="1">IFERROR(__xludf.DUMMYFUNCTION("GOOGLEFINANCE(""NSE:""&amp;D3230,""pe"")"),"#N/A")</f>
        <v>#N/A</v>
      </c>
      <c r="P3230" s="7" t="str">
        <f ca="1">IFERROR(__xludf.DUMMYFUNCTION("GOOGLEFINANCE(""NSE:""&amp;D3230,""EPS"")"),"#N/A")</f>
        <v>#N/A</v>
      </c>
      <c r="Q3230" s="7">
        <v>13.5</v>
      </c>
      <c r="R3230" s="7" t="str">
        <f ca="1">IFERROR(__xludf.DUMMYFUNCTION("IMPORTXML(E3230,""/html/body/main/div[3]/div[3]/div[2]/ul/li[7]/span[2]/span"")"),"Loading...")</f>
        <v>Loading...</v>
      </c>
      <c r="S3230" s="7" t="str">
        <f ca="1">IFERROR(__xludf.DUMMYFUNCTION("IMPORTXML(E3230,""/html/body/main/div[3]/div[3]/div[2]/ul/li[8]/span[2]/span"")"),"Loading...")</f>
        <v>Loading...</v>
      </c>
      <c r="T3230" s="4">
        <v>34.6</v>
      </c>
      <c r="U3230" s="4">
        <v>22.7</v>
      </c>
      <c r="V3230" s="4">
        <v>2.6</v>
      </c>
      <c r="W3230" s="4">
        <v>5.7</v>
      </c>
      <c r="X3230" s="4">
        <v>519.92999999999995</v>
      </c>
      <c r="Y3230" s="7" t="e">
        <f t="shared" ca="1" si="69"/>
        <v>#VALUE!</v>
      </c>
    </row>
    <row r="3231" spans="1:25" ht="15" x14ac:dyDescent="0.25">
      <c r="A3231" s="4">
        <v>3218</v>
      </c>
      <c r="C3231" s="41" t="s">
        <v>5565</v>
      </c>
      <c r="D3231" s="42"/>
      <c r="E3231" s="5" t="str">
        <f t="shared" si="65"/>
        <v>https://www.screener.in/company//consolidated/</v>
      </c>
      <c r="F3231" s="4">
        <v>443059</v>
      </c>
      <c r="G3231" s="4">
        <v>3832241897</v>
      </c>
      <c r="H3231" s="6" t="e">
        <f t="shared" ca="1" si="66"/>
        <v>#VALUE!</v>
      </c>
      <c r="I3231" s="7" t="str">
        <f ca="1">IFERROR(__xludf.DUMMYFUNCTION("IMPORTXML(E3231,""/html/body/main/div[3]/div[3]/div[2]/ul/li[5]/span[2]/span"")"),"Loading...")</f>
        <v>Loading...</v>
      </c>
      <c r="J3231" s="7" t="str">
        <f ca="1">IFERROR(__xludf.DUMMYFUNCTION("GOOGLEFINANCE(""NSE:""&amp;D3231,""marketcap"")"),"#N/A")</f>
        <v>#N/A</v>
      </c>
      <c r="K3231" s="7">
        <v>992.8</v>
      </c>
      <c r="L3231" s="8" t="str">
        <f ca="1">IFERROR(__xludf.DUMMYFUNCTION("GOOGLEFINANCE(""NSE:""&amp;D3231,""price"")"),"#N/A")</f>
        <v>#N/A</v>
      </c>
      <c r="M3231" s="9" t="e">
        <f t="shared" ca="1" si="67"/>
        <v>#VALUE!</v>
      </c>
      <c r="N3231" s="10" t="e">
        <f t="shared" ca="1" si="68"/>
        <v>#VALUE!</v>
      </c>
      <c r="O3231" s="7" t="str">
        <f ca="1">IFERROR(__xludf.DUMMYFUNCTION("GOOGLEFINANCE(""NSE:""&amp;D3231,""pe"")"),"#N/A")</f>
        <v>#N/A</v>
      </c>
      <c r="P3231" s="7" t="str">
        <f ca="1">IFERROR(__xludf.DUMMYFUNCTION("GOOGLEFINANCE(""NSE:""&amp;D3231,""EPS"")"),"#N/A")</f>
        <v>#N/A</v>
      </c>
      <c r="Q3231" s="7">
        <v>13.5</v>
      </c>
      <c r="R3231" s="7" t="str">
        <f ca="1">IFERROR(__xludf.DUMMYFUNCTION("IMPORTXML(E3231,""/html/body/main/div[3]/div[3]/div[2]/ul/li[7]/span[2]/span"")"),"Loading...")</f>
        <v>Loading...</v>
      </c>
      <c r="S3231" s="7" t="str">
        <f ca="1">IFERROR(__xludf.DUMMYFUNCTION("IMPORTXML(E3231,""/html/body/main/div[3]/div[3]/div[2]/ul/li[8]/span[2]/span"")"),"Loading...")</f>
        <v>Loading...</v>
      </c>
      <c r="T3231" s="4">
        <v>34.6</v>
      </c>
      <c r="U3231" s="4">
        <v>22.7</v>
      </c>
      <c r="V3231" s="4">
        <v>2.6</v>
      </c>
      <c r="W3231" s="4">
        <v>5.7</v>
      </c>
      <c r="X3231" s="4">
        <v>519.92999999999995</v>
      </c>
      <c r="Y3231" s="7" t="e">
        <f t="shared" ca="1" si="69"/>
        <v>#VALUE!</v>
      </c>
    </row>
    <row r="3232" spans="1:25" ht="15" x14ac:dyDescent="0.25">
      <c r="A3232" s="4">
        <v>3219</v>
      </c>
      <c r="C3232" s="41" t="s">
        <v>5566</v>
      </c>
      <c r="D3232" s="42"/>
      <c r="E3232" s="5" t="str">
        <f t="shared" si="65"/>
        <v>https://www.screener.in/company//consolidated/</v>
      </c>
      <c r="F3232" s="4">
        <v>443059</v>
      </c>
      <c r="G3232" s="4">
        <v>3832241897</v>
      </c>
      <c r="H3232" s="6" t="e">
        <f t="shared" ca="1" si="66"/>
        <v>#VALUE!</v>
      </c>
      <c r="I3232" s="7" t="str">
        <f ca="1">IFERROR(__xludf.DUMMYFUNCTION("IMPORTXML(E3232,""/html/body/main/div[3]/div[3]/div[2]/ul/li[5]/span[2]/span"")"),"Loading...")</f>
        <v>Loading...</v>
      </c>
      <c r="J3232" s="7" t="str">
        <f ca="1">IFERROR(__xludf.DUMMYFUNCTION("GOOGLEFINANCE(""NSE:""&amp;D3232,""marketcap"")"),"#N/A")</f>
        <v>#N/A</v>
      </c>
      <c r="K3232" s="7">
        <v>992.8</v>
      </c>
      <c r="L3232" s="8" t="str">
        <f ca="1">IFERROR(__xludf.DUMMYFUNCTION("GOOGLEFINANCE(""NSE:""&amp;D3232,""price"")"),"#N/A")</f>
        <v>#N/A</v>
      </c>
      <c r="M3232" s="9" t="e">
        <f t="shared" ca="1" si="67"/>
        <v>#VALUE!</v>
      </c>
      <c r="N3232" s="10" t="e">
        <f t="shared" ca="1" si="68"/>
        <v>#VALUE!</v>
      </c>
      <c r="O3232" s="7" t="str">
        <f ca="1">IFERROR(__xludf.DUMMYFUNCTION("GOOGLEFINANCE(""NSE:""&amp;D3232,""pe"")"),"#N/A")</f>
        <v>#N/A</v>
      </c>
      <c r="P3232" s="7" t="str">
        <f ca="1">IFERROR(__xludf.DUMMYFUNCTION("GOOGLEFINANCE(""NSE:""&amp;D3232,""EPS"")"),"#N/A")</f>
        <v>#N/A</v>
      </c>
      <c r="Q3232" s="7">
        <v>13.5</v>
      </c>
      <c r="R3232" s="7" t="str">
        <f ca="1">IFERROR(__xludf.DUMMYFUNCTION("IMPORTXML(E3232,""/html/body/main/div[3]/div[3]/div[2]/ul/li[7]/span[2]/span"")"),"Loading...")</f>
        <v>Loading...</v>
      </c>
      <c r="S3232" s="7" t="str">
        <f ca="1">IFERROR(__xludf.DUMMYFUNCTION("IMPORTXML(E3232,""/html/body/main/div[3]/div[3]/div[2]/ul/li[8]/span[2]/span"")"),"Loading...")</f>
        <v>Loading...</v>
      </c>
      <c r="T3232" s="4">
        <v>34.6</v>
      </c>
      <c r="U3232" s="4">
        <v>22.7</v>
      </c>
      <c r="V3232" s="4">
        <v>2.6</v>
      </c>
      <c r="W3232" s="4">
        <v>5.7</v>
      </c>
      <c r="X3232" s="4">
        <v>519.92999999999995</v>
      </c>
      <c r="Y3232" s="7" t="e">
        <f t="shared" ca="1" si="69"/>
        <v>#VALUE!</v>
      </c>
    </row>
    <row r="3233" spans="1:25" ht="15" x14ac:dyDescent="0.25">
      <c r="A3233" s="4">
        <v>3220</v>
      </c>
      <c r="C3233" s="41" t="s">
        <v>5567</v>
      </c>
      <c r="D3233" s="42"/>
      <c r="E3233" s="5" t="str">
        <f t="shared" si="65"/>
        <v>https://www.screener.in/company//consolidated/</v>
      </c>
      <c r="F3233" s="4">
        <v>443059</v>
      </c>
      <c r="G3233" s="4">
        <v>3832241897</v>
      </c>
      <c r="H3233" s="6" t="e">
        <f t="shared" ca="1" si="66"/>
        <v>#VALUE!</v>
      </c>
      <c r="I3233" s="7" t="str">
        <f ca="1">IFERROR(__xludf.DUMMYFUNCTION("IMPORTXML(E3233,""/html/body/main/div[3]/div[3]/div[2]/ul/li[5]/span[2]/span"")"),"Loading...")</f>
        <v>Loading...</v>
      </c>
      <c r="J3233" s="7" t="str">
        <f ca="1">IFERROR(__xludf.DUMMYFUNCTION("GOOGLEFINANCE(""NSE:""&amp;D3233,""marketcap"")"),"#N/A")</f>
        <v>#N/A</v>
      </c>
      <c r="K3233" s="7">
        <v>992.8</v>
      </c>
      <c r="L3233" s="8" t="str">
        <f ca="1">IFERROR(__xludf.DUMMYFUNCTION("GOOGLEFINANCE(""NSE:""&amp;D3233,""price"")"),"#N/A")</f>
        <v>#N/A</v>
      </c>
      <c r="M3233" s="9" t="e">
        <f t="shared" ca="1" si="67"/>
        <v>#VALUE!</v>
      </c>
      <c r="N3233" s="10" t="e">
        <f t="shared" ca="1" si="68"/>
        <v>#VALUE!</v>
      </c>
      <c r="O3233" s="7" t="str">
        <f ca="1">IFERROR(__xludf.DUMMYFUNCTION("GOOGLEFINANCE(""NSE:""&amp;D3233,""pe"")"),"#N/A")</f>
        <v>#N/A</v>
      </c>
      <c r="P3233" s="7" t="str">
        <f ca="1">IFERROR(__xludf.DUMMYFUNCTION("GOOGLEFINANCE(""NSE:""&amp;D3233,""EPS"")"),"#N/A")</f>
        <v>#N/A</v>
      </c>
      <c r="Q3233" s="7">
        <v>13.5</v>
      </c>
      <c r="R3233" s="7" t="str">
        <f ca="1">IFERROR(__xludf.DUMMYFUNCTION("IMPORTXML(E3233,""/html/body/main/div[3]/div[3]/div[2]/ul/li[7]/span[2]/span"")"),"Loading...")</f>
        <v>Loading...</v>
      </c>
      <c r="S3233" s="7" t="str">
        <f ca="1">IFERROR(__xludf.DUMMYFUNCTION("IMPORTXML(E3233,""/html/body/main/div[3]/div[3]/div[2]/ul/li[8]/span[2]/span"")"),"Loading...")</f>
        <v>Loading...</v>
      </c>
      <c r="T3233" s="4">
        <v>34.6</v>
      </c>
      <c r="U3233" s="4">
        <v>22.7</v>
      </c>
      <c r="V3233" s="4">
        <v>2.6</v>
      </c>
      <c r="W3233" s="4">
        <v>5.7</v>
      </c>
      <c r="X3233" s="4">
        <v>519.92999999999995</v>
      </c>
      <c r="Y3233" s="7" t="e">
        <f t="shared" ca="1" si="69"/>
        <v>#VALUE!</v>
      </c>
    </row>
    <row r="3234" spans="1:25" ht="15" x14ac:dyDescent="0.25">
      <c r="A3234" s="4">
        <v>3221</v>
      </c>
      <c r="C3234" s="41" t="s">
        <v>5568</v>
      </c>
      <c r="D3234" s="42"/>
      <c r="E3234" s="5" t="str">
        <f t="shared" si="65"/>
        <v>https://www.screener.in/company//consolidated/</v>
      </c>
      <c r="F3234" s="4">
        <v>443059</v>
      </c>
      <c r="G3234" s="4">
        <v>3832241897</v>
      </c>
      <c r="H3234" s="6" t="e">
        <f t="shared" ca="1" si="66"/>
        <v>#VALUE!</v>
      </c>
      <c r="I3234" s="7" t="str">
        <f ca="1">IFERROR(__xludf.DUMMYFUNCTION("IMPORTXML(E3234,""/html/body/main/div[3]/div[3]/div[2]/ul/li[5]/span[2]/span"")"),"Loading...")</f>
        <v>Loading...</v>
      </c>
      <c r="J3234" s="7" t="str">
        <f ca="1">IFERROR(__xludf.DUMMYFUNCTION("GOOGLEFINANCE(""NSE:""&amp;D3234,""marketcap"")"),"#N/A")</f>
        <v>#N/A</v>
      </c>
      <c r="K3234" s="7">
        <v>992.8</v>
      </c>
      <c r="L3234" s="8" t="str">
        <f ca="1">IFERROR(__xludf.DUMMYFUNCTION("GOOGLEFINANCE(""NSE:""&amp;D3234,""price"")"),"#N/A")</f>
        <v>#N/A</v>
      </c>
      <c r="M3234" s="9" t="e">
        <f t="shared" ca="1" si="67"/>
        <v>#VALUE!</v>
      </c>
      <c r="N3234" s="10" t="e">
        <f t="shared" ca="1" si="68"/>
        <v>#VALUE!</v>
      </c>
      <c r="O3234" s="7" t="str">
        <f ca="1">IFERROR(__xludf.DUMMYFUNCTION("GOOGLEFINANCE(""NSE:""&amp;D3234,""pe"")"),"#N/A")</f>
        <v>#N/A</v>
      </c>
      <c r="P3234" s="7" t="str">
        <f ca="1">IFERROR(__xludf.DUMMYFUNCTION("GOOGLEFINANCE(""NSE:""&amp;D3234,""EPS"")"),"#N/A")</f>
        <v>#N/A</v>
      </c>
      <c r="Q3234" s="7">
        <v>13.5</v>
      </c>
      <c r="R3234" s="7" t="str">
        <f ca="1">IFERROR(__xludf.DUMMYFUNCTION("IMPORTXML(E3234,""/html/body/main/div[3]/div[3]/div[2]/ul/li[7]/span[2]/span"")"),"Loading...")</f>
        <v>Loading...</v>
      </c>
      <c r="S3234" s="7" t="str">
        <f ca="1">IFERROR(__xludf.DUMMYFUNCTION("IMPORTXML(E3234,""/html/body/main/div[3]/div[3]/div[2]/ul/li[8]/span[2]/span"")"),"Loading...")</f>
        <v>Loading...</v>
      </c>
      <c r="T3234" s="4">
        <v>34.6</v>
      </c>
      <c r="U3234" s="4">
        <v>22.7</v>
      </c>
      <c r="V3234" s="4">
        <v>2.6</v>
      </c>
      <c r="W3234" s="4">
        <v>5.7</v>
      </c>
      <c r="X3234" s="4">
        <v>519.92999999999995</v>
      </c>
      <c r="Y3234" s="7" t="e">
        <f t="shared" ca="1" si="69"/>
        <v>#VALUE!</v>
      </c>
    </row>
    <row r="3235" spans="1:25" ht="15" x14ac:dyDescent="0.25">
      <c r="A3235" s="4">
        <v>3222</v>
      </c>
      <c r="C3235" s="41" t="s">
        <v>5569</v>
      </c>
      <c r="D3235" s="42"/>
      <c r="E3235" s="5" t="str">
        <f t="shared" si="65"/>
        <v>https://www.screener.in/company//consolidated/</v>
      </c>
      <c r="F3235" s="4">
        <v>443059</v>
      </c>
      <c r="G3235" s="4">
        <v>3832241897</v>
      </c>
      <c r="H3235" s="6" t="e">
        <f t="shared" ca="1" si="66"/>
        <v>#VALUE!</v>
      </c>
      <c r="I3235" s="7" t="str">
        <f ca="1">IFERROR(__xludf.DUMMYFUNCTION("IMPORTXML(E3235,""/html/body/main/div[3]/div[3]/div[2]/ul/li[5]/span[2]/span"")"),"Loading...")</f>
        <v>Loading...</v>
      </c>
      <c r="J3235" s="7" t="str">
        <f ca="1">IFERROR(__xludf.DUMMYFUNCTION("GOOGLEFINANCE(""NSE:""&amp;D3235,""marketcap"")"),"#N/A")</f>
        <v>#N/A</v>
      </c>
      <c r="K3235" s="7">
        <v>992.8</v>
      </c>
      <c r="L3235" s="8" t="str">
        <f ca="1">IFERROR(__xludf.DUMMYFUNCTION("GOOGLEFINANCE(""NSE:""&amp;D3235,""price"")"),"#N/A")</f>
        <v>#N/A</v>
      </c>
      <c r="M3235" s="9" t="e">
        <f t="shared" ca="1" si="67"/>
        <v>#VALUE!</v>
      </c>
      <c r="N3235" s="10" t="e">
        <f t="shared" ca="1" si="68"/>
        <v>#VALUE!</v>
      </c>
      <c r="O3235" s="7" t="str">
        <f ca="1">IFERROR(__xludf.DUMMYFUNCTION("GOOGLEFINANCE(""NSE:""&amp;D3235,""pe"")"),"#N/A")</f>
        <v>#N/A</v>
      </c>
      <c r="P3235" s="7" t="str">
        <f ca="1">IFERROR(__xludf.DUMMYFUNCTION("GOOGLEFINANCE(""NSE:""&amp;D3235,""EPS"")"),"#N/A")</f>
        <v>#N/A</v>
      </c>
      <c r="Q3235" s="7">
        <v>13.5</v>
      </c>
      <c r="R3235" s="7" t="str">
        <f ca="1">IFERROR(__xludf.DUMMYFUNCTION("IMPORTXML(E3235,""/html/body/main/div[3]/div[3]/div[2]/ul/li[7]/span[2]/span"")"),"Loading...")</f>
        <v>Loading...</v>
      </c>
      <c r="S3235" s="7" t="str">
        <f ca="1">IFERROR(__xludf.DUMMYFUNCTION("IMPORTXML(E3235,""/html/body/main/div[3]/div[3]/div[2]/ul/li[8]/span[2]/span"")"),"Loading...")</f>
        <v>Loading...</v>
      </c>
      <c r="T3235" s="4">
        <v>34.6</v>
      </c>
      <c r="U3235" s="4">
        <v>22.7</v>
      </c>
      <c r="V3235" s="4">
        <v>2.6</v>
      </c>
      <c r="W3235" s="4">
        <v>5.7</v>
      </c>
      <c r="X3235" s="4">
        <v>519.92999999999995</v>
      </c>
      <c r="Y3235" s="7" t="e">
        <f t="shared" ca="1" si="69"/>
        <v>#VALUE!</v>
      </c>
    </row>
    <row r="3236" spans="1:25" ht="15" x14ac:dyDescent="0.25">
      <c r="A3236" s="4">
        <v>3223</v>
      </c>
      <c r="C3236" s="41" t="s">
        <v>5570</v>
      </c>
      <c r="D3236" s="42"/>
      <c r="E3236" s="5" t="str">
        <f t="shared" si="65"/>
        <v>https://www.screener.in/company//consolidated/</v>
      </c>
      <c r="F3236" s="4">
        <v>443059</v>
      </c>
      <c r="G3236" s="4">
        <v>3832241897</v>
      </c>
      <c r="H3236" s="6" t="e">
        <f t="shared" ca="1" si="66"/>
        <v>#VALUE!</v>
      </c>
      <c r="I3236" s="7" t="str">
        <f ca="1">IFERROR(__xludf.DUMMYFUNCTION("IMPORTXML(E3236,""/html/body/main/div[3]/div[3]/div[2]/ul/li[5]/span[2]/span"")"),"Loading...")</f>
        <v>Loading...</v>
      </c>
      <c r="J3236" s="7" t="str">
        <f ca="1">IFERROR(__xludf.DUMMYFUNCTION("GOOGLEFINANCE(""NSE:""&amp;D3236,""marketcap"")"),"#N/A")</f>
        <v>#N/A</v>
      </c>
      <c r="K3236" s="7">
        <v>992.8</v>
      </c>
      <c r="L3236" s="8" t="str">
        <f ca="1">IFERROR(__xludf.DUMMYFUNCTION("GOOGLEFINANCE(""NSE:""&amp;D3236,""price"")"),"#N/A")</f>
        <v>#N/A</v>
      </c>
      <c r="M3236" s="9" t="e">
        <f t="shared" ca="1" si="67"/>
        <v>#VALUE!</v>
      </c>
      <c r="N3236" s="10" t="e">
        <f t="shared" ca="1" si="68"/>
        <v>#VALUE!</v>
      </c>
      <c r="O3236" s="7" t="str">
        <f ca="1">IFERROR(__xludf.DUMMYFUNCTION("GOOGLEFINANCE(""NSE:""&amp;D3236,""pe"")"),"#N/A")</f>
        <v>#N/A</v>
      </c>
      <c r="P3236" s="7" t="str">
        <f ca="1">IFERROR(__xludf.DUMMYFUNCTION("GOOGLEFINANCE(""NSE:""&amp;D3236,""EPS"")"),"#N/A")</f>
        <v>#N/A</v>
      </c>
      <c r="Q3236" s="7">
        <v>13.5</v>
      </c>
      <c r="R3236" s="7" t="str">
        <f ca="1">IFERROR(__xludf.DUMMYFUNCTION("IMPORTXML(E3236,""/html/body/main/div[3]/div[3]/div[2]/ul/li[7]/span[2]/span"")"),"Loading...")</f>
        <v>Loading...</v>
      </c>
      <c r="S3236" s="7" t="str">
        <f ca="1">IFERROR(__xludf.DUMMYFUNCTION("IMPORTXML(E3236,""/html/body/main/div[3]/div[3]/div[2]/ul/li[8]/span[2]/span"")"),"Loading...")</f>
        <v>Loading...</v>
      </c>
      <c r="T3236" s="4">
        <v>34.6</v>
      </c>
      <c r="U3236" s="4">
        <v>22.7</v>
      </c>
      <c r="V3236" s="4">
        <v>2.6</v>
      </c>
      <c r="W3236" s="4">
        <v>5.7</v>
      </c>
      <c r="X3236" s="4">
        <v>519.92999999999995</v>
      </c>
      <c r="Y3236" s="7" t="e">
        <f t="shared" ca="1" si="69"/>
        <v>#VALUE!</v>
      </c>
    </row>
    <row r="3237" spans="1:25" ht="15" x14ac:dyDescent="0.25">
      <c r="A3237" s="4">
        <v>3224</v>
      </c>
      <c r="C3237" s="41" t="s">
        <v>5571</v>
      </c>
      <c r="D3237" s="42"/>
      <c r="E3237" s="5" t="str">
        <f t="shared" si="65"/>
        <v>https://www.screener.in/company//consolidated/</v>
      </c>
      <c r="F3237" s="4">
        <v>443059</v>
      </c>
      <c r="G3237" s="4">
        <v>3832241897</v>
      </c>
      <c r="H3237" s="6" t="e">
        <f t="shared" ca="1" si="66"/>
        <v>#VALUE!</v>
      </c>
      <c r="I3237" s="7" t="str">
        <f ca="1">IFERROR(__xludf.DUMMYFUNCTION("IMPORTXML(E3237,""/html/body/main/div[3]/div[3]/div[2]/ul/li[5]/span[2]/span"")"),"Loading...")</f>
        <v>Loading...</v>
      </c>
      <c r="J3237" s="7" t="str">
        <f ca="1">IFERROR(__xludf.DUMMYFUNCTION("GOOGLEFINANCE(""NSE:""&amp;D3237,""marketcap"")"),"#N/A")</f>
        <v>#N/A</v>
      </c>
      <c r="K3237" s="7">
        <v>992.8</v>
      </c>
      <c r="L3237" s="8" t="str">
        <f ca="1">IFERROR(__xludf.DUMMYFUNCTION("GOOGLEFINANCE(""NSE:""&amp;D3237,""price"")"),"#N/A")</f>
        <v>#N/A</v>
      </c>
      <c r="M3237" s="9" t="e">
        <f t="shared" ca="1" si="67"/>
        <v>#VALUE!</v>
      </c>
      <c r="N3237" s="10" t="e">
        <f t="shared" ca="1" si="68"/>
        <v>#VALUE!</v>
      </c>
      <c r="O3237" s="7" t="str">
        <f ca="1">IFERROR(__xludf.DUMMYFUNCTION("GOOGLEFINANCE(""NSE:""&amp;D3237,""pe"")"),"#N/A")</f>
        <v>#N/A</v>
      </c>
      <c r="P3237" s="7" t="str">
        <f ca="1">IFERROR(__xludf.DUMMYFUNCTION("GOOGLEFINANCE(""NSE:""&amp;D3237,""EPS"")"),"#N/A")</f>
        <v>#N/A</v>
      </c>
      <c r="Q3237" s="7">
        <v>13.5</v>
      </c>
      <c r="R3237" s="7" t="str">
        <f ca="1">IFERROR(__xludf.DUMMYFUNCTION("IMPORTXML(E3237,""/html/body/main/div[3]/div[3]/div[2]/ul/li[7]/span[2]/span"")"),"Loading...")</f>
        <v>Loading...</v>
      </c>
      <c r="S3237" s="7" t="str">
        <f ca="1">IFERROR(__xludf.DUMMYFUNCTION("IMPORTXML(E3237,""/html/body/main/div[3]/div[3]/div[2]/ul/li[8]/span[2]/span"")"),"Loading...")</f>
        <v>Loading...</v>
      </c>
      <c r="T3237" s="4">
        <v>34.6</v>
      </c>
      <c r="U3237" s="4">
        <v>22.7</v>
      </c>
      <c r="V3237" s="4">
        <v>2.6</v>
      </c>
      <c r="W3237" s="4">
        <v>5.7</v>
      </c>
      <c r="X3237" s="4">
        <v>519.92999999999995</v>
      </c>
      <c r="Y3237" s="7" t="e">
        <f t="shared" ca="1" si="69"/>
        <v>#VALUE!</v>
      </c>
    </row>
    <row r="3238" spans="1:25" ht="15" x14ac:dyDescent="0.25">
      <c r="A3238" s="4">
        <v>3225</v>
      </c>
      <c r="C3238" s="41" t="s">
        <v>5572</v>
      </c>
      <c r="D3238" s="42"/>
      <c r="E3238" s="5" t="str">
        <f t="shared" si="65"/>
        <v>https://www.screener.in/company//consolidated/</v>
      </c>
      <c r="F3238" s="4">
        <v>443059</v>
      </c>
      <c r="G3238" s="4">
        <v>3832241897</v>
      </c>
      <c r="H3238" s="6" t="e">
        <f t="shared" ca="1" si="66"/>
        <v>#VALUE!</v>
      </c>
      <c r="I3238" s="7" t="str">
        <f ca="1">IFERROR(__xludf.DUMMYFUNCTION("IMPORTXML(E3238,""/html/body/main/div[3]/div[3]/div[2]/ul/li[5]/span[2]/span"")"),"Loading...")</f>
        <v>Loading...</v>
      </c>
      <c r="J3238" s="7" t="str">
        <f ca="1">IFERROR(__xludf.DUMMYFUNCTION("GOOGLEFINANCE(""NSE:""&amp;D3238,""marketcap"")"),"#N/A")</f>
        <v>#N/A</v>
      </c>
      <c r="K3238" s="7">
        <v>992.8</v>
      </c>
      <c r="L3238" s="8" t="str">
        <f ca="1">IFERROR(__xludf.DUMMYFUNCTION("GOOGLEFINANCE(""NSE:""&amp;D3238,""price"")"),"#N/A")</f>
        <v>#N/A</v>
      </c>
      <c r="M3238" s="9" t="e">
        <f t="shared" ca="1" si="67"/>
        <v>#VALUE!</v>
      </c>
      <c r="N3238" s="10" t="e">
        <f t="shared" ca="1" si="68"/>
        <v>#VALUE!</v>
      </c>
      <c r="O3238" s="7" t="str">
        <f ca="1">IFERROR(__xludf.DUMMYFUNCTION("GOOGLEFINANCE(""NSE:""&amp;D3238,""pe"")"),"#N/A")</f>
        <v>#N/A</v>
      </c>
      <c r="P3238" s="7" t="str">
        <f ca="1">IFERROR(__xludf.DUMMYFUNCTION("GOOGLEFINANCE(""NSE:""&amp;D3238,""EPS"")"),"#N/A")</f>
        <v>#N/A</v>
      </c>
      <c r="Q3238" s="7">
        <v>13.5</v>
      </c>
      <c r="R3238" s="7" t="str">
        <f ca="1">IFERROR(__xludf.DUMMYFUNCTION("IMPORTXML(E3238,""/html/body/main/div[3]/div[3]/div[2]/ul/li[7]/span[2]/span"")"),"Loading...")</f>
        <v>Loading...</v>
      </c>
      <c r="S3238" s="7" t="str">
        <f ca="1">IFERROR(__xludf.DUMMYFUNCTION("IMPORTXML(E3238,""/html/body/main/div[3]/div[3]/div[2]/ul/li[8]/span[2]/span"")"),"Loading...")</f>
        <v>Loading...</v>
      </c>
      <c r="T3238" s="4">
        <v>34.6</v>
      </c>
      <c r="U3238" s="4">
        <v>22.7</v>
      </c>
      <c r="V3238" s="4">
        <v>2.6</v>
      </c>
      <c r="W3238" s="4">
        <v>5.7</v>
      </c>
      <c r="X3238" s="4">
        <v>519.92999999999995</v>
      </c>
      <c r="Y3238" s="7" t="e">
        <f t="shared" ca="1" si="69"/>
        <v>#VALUE!</v>
      </c>
    </row>
    <row r="3239" spans="1:25" ht="15" x14ac:dyDescent="0.25">
      <c r="A3239" s="4">
        <v>3226</v>
      </c>
      <c r="C3239" s="41" t="s">
        <v>5573</v>
      </c>
      <c r="D3239" s="42"/>
      <c r="E3239" s="5" t="str">
        <f t="shared" si="65"/>
        <v>https://www.screener.in/company//consolidated/</v>
      </c>
      <c r="F3239" s="4">
        <v>443059</v>
      </c>
      <c r="G3239" s="4">
        <v>3832241897</v>
      </c>
      <c r="H3239" s="6" t="e">
        <f t="shared" ca="1" si="66"/>
        <v>#VALUE!</v>
      </c>
      <c r="I3239" s="7" t="str">
        <f ca="1">IFERROR(__xludf.DUMMYFUNCTION("IMPORTXML(E3239,""/html/body/main/div[3]/div[3]/div[2]/ul/li[5]/span[2]/span"")"),"Loading...")</f>
        <v>Loading...</v>
      </c>
      <c r="J3239" s="7" t="str">
        <f ca="1">IFERROR(__xludf.DUMMYFUNCTION("GOOGLEFINANCE(""NSE:""&amp;D3239,""marketcap"")"),"#N/A")</f>
        <v>#N/A</v>
      </c>
      <c r="K3239" s="7">
        <v>992.8</v>
      </c>
      <c r="L3239" s="8" t="str">
        <f ca="1">IFERROR(__xludf.DUMMYFUNCTION("GOOGLEFINANCE(""NSE:""&amp;D3239,""price"")"),"#N/A")</f>
        <v>#N/A</v>
      </c>
      <c r="M3239" s="9" t="e">
        <f t="shared" ca="1" si="67"/>
        <v>#VALUE!</v>
      </c>
      <c r="N3239" s="10" t="e">
        <f t="shared" ca="1" si="68"/>
        <v>#VALUE!</v>
      </c>
      <c r="O3239" s="7" t="str">
        <f ca="1">IFERROR(__xludf.DUMMYFUNCTION("GOOGLEFINANCE(""NSE:""&amp;D3239,""pe"")"),"#N/A")</f>
        <v>#N/A</v>
      </c>
      <c r="P3239" s="7" t="str">
        <f ca="1">IFERROR(__xludf.DUMMYFUNCTION("GOOGLEFINANCE(""NSE:""&amp;D3239,""EPS"")"),"#N/A")</f>
        <v>#N/A</v>
      </c>
      <c r="Q3239" s="7">
        <v>13.5</v>
      </c>
      <c r="R3239" s="7" t="str">
        <f ca="1">IFERROR(__xludf.DUMMYFUNCTION("IMPORTXML(E3239,""/html/body/main/div[3]/div[3]/div[2]/ul/li[7]/span[2]/span"")"),"Loading...")</f>
        <v>Loading...</v>
      </c>
      <c r="S3239" s="7" t="str">
        <f ca="1">IFERROR(__xludf.DUMMYFUNCTION("IMPORTXML(E3239,""/html/body/main/div[3]/div[3]/div[2]/ul/li[8]/span[2]/span"")"),"Loading...")</f>
        <v>Loading...</v>
      </c>
      <c r="T3239" s="4">
        <v>34.6</v>
      </c>
      <c r="U3239" s="4">
        <v>22.7</v>
      </c>
      <c r="V3239" s="4">
        <v>2.6</v>
      </c>
      <c r="W3239" s="4">
        <v>5.7</v>
      </c>
      <c r="X3239" s="4">
        <v>519.92999999999995</v>
      </c>
      <c r="Y3239" s="7" t="e">
        <f t="shared" ca="1" si="69"/>
        <v>#VALUE!</v>
      </c>
    </row>
    <row r="3240" spans="1:25" ht="15" x14ac:dyDescent="0.25">
      <c r="A3240" s="4">
        <v>3227</v>
      </c>
      <c r="C3240" s="41" t="s">
        <v>5574</v>
      </c>
      <c r="D3240" s="42"/>
      <c r="E3240" s="5" t="str">
        <f t="shared" si="65"/>
        <v>https://www.screener.in/company//consolidated/</v>
      </c>
      <c r="F3240" s="4">
        <v>443059</v>
      </c>
      <c r="G3240" s="4">
        <v>3832241897</v>
      </c>
      <c r="H3240" s="6" t="e">
        <f t="shared" ca="1" si="66"/>
        <v>#VALUE!</v>
      </c>
      <c r="I3240" s="7" t="str">
        <f ca="1">IFERROR(__xludf.DUMMYFUNCTION("IMPORTXML(E3240,""/html/body/main/div[3]/div[3]/div[2]/ul/li[5]/span[2]/span"")"),"Loading...")</f>
        <v>Loading...</v>
      </c>
      <c r="J3240" s="7" t="str">
        <f ca="1">IFERROR(__xludf.DUMMYFUNCTION("GOOGLEFINANCE(""NSE:""&amp;D3240,""marketcap"")"),"#N/A")</f>
        <v>#N/A</v>
      </c>
      <c r="K3240" s="7">
        <v>992.8</v>
      </c>
      <c r="L3240" s="8" t="str">
        <f ca="1">IFERROR(__xludf.DUMMYFUNCTION("GOOGLEFINANCE(""NSE:""&amp;D3240,""price"")"),"#N/A")</f>
        <v>#N/A</v>
      </c>
      <c r="M3240" s="9" t="e">
        <f t="shared" ca="1" si="67"/>
        <v>#VALUE!</v>
      </c>
      <c r="N3240" s="10" t="e">
        <f t="shared" ca="1" si="68"/>
        <v>#VALUE!</v>
      </c>
      <c r="O3240" s="7" t="str">
        <f ca="1">IFERROR(__xludf.DUMMYFUNCTION("GOOGLEFINANCE(""NSE:""&amp;D3240,""pe"")"),"#N/A")</f>
        <v>#N/A</v>
      </c>
      <c r="P3240" s="7" t="str">
        <f ca="1">IFERROR(__xludf.DUMMYFUNCTION("GOOGLEFINANCE(""NSE:""&amp;D3240,""EPS"")"),"#N/A")</f>
        <v>#N/A</v>
      </c>
      <c r="Q3240" s="7">
        <v>13.5</v>
      </c>
      <c r="R3240" s="7" t="str">
        <f ca="1">IFERROR(__xludf.DUMMYFUNCTION("IMPORTXML(E3240,""/html/body/main/div[3]/div[3]/div[2]/ul/li[7]/span[2]/span"")"),"Loading...")</f>
        <v>Loading...</v>
      </c>
      <c r="S3240" s="7" t="str">
        <f ca="1">IFERROR(__xludf.DUMMYFUNCTION("IMPORTXML(E3240,""/html/body/main/div[3]/div[3]/div[2]/ul/li[8]/span[2]/span"")"),"Loading...")</f>
        <v>Loading...</v>
      </c>
      <c r="T3240" s="4">
        <v>34.6</v>
      </c>
      <c r="U3240" s="4">
        <v>22.7</v>
      </c>
      <c r="V3240" s="4">
        <v>2.6</v>
      </c>
      <c r="W3240" s="4">
        <v>5.7</v>
      </c>
      <c r="X3240" s="4">
        <v>519.92999999999995</v>
      </c>
      <c r="Y3240" s="7" t="e">
        <f t="shared" ca="1" si="69"/>
        <v>#VALUE!</v>
      </c>
    </row>
    <row r="3241" spans="1:25" ht="15" x14ac:dyDescent="0.25">
      <c r="A3241" s="4">
        <v>3228</v>
      </c>
      <c r="C3241" s="41" t="s">
        <v>5575</v>
      </c>
      <c r="D3241" s="42"/>
      <c r="E3241" s="5" t="str">
        <f t="shared" si="65"/>
        <v>https://www.screener.in/company//consolidated/</v>
      </c>
      <c r="F3241" s="4">
        <v>443059</v>
      </c>
      <c r="G3241" s="4">
        <v>3832241897</v>
      </c>
      <c r="H3241" s="6" t="e">
        <f t="shared" ca="1" si="66"/>
        <v>#VALUE!</v>
      </c>
      <c r="I3241" s="7" t="str">
        <f ca="1">IFERROR(__xludf.DUMMYFUNCTION("IMPORTXML(E3241,""/html/body/main/div[3]/div[3]/div[2]/ul/li[5]/span[2]/span"")"),"Loading...")</f>
        <v>Loading...</v>
      </c>
      <c r="J3241" s="7" t="str">
        <f ca="1">IFERROR(__xludf.DUMMYFUNCTION("GOOGLEFINANCE(""NSE:""&amp;D3241,""marketcap"")"),"#N/A")</f>
        <v>#N/A</v>
      </c>
      <c r="K3241" s="7">
        <v>992.8</v>
      </c>
      <c r="L3241" s="8" t="str">
        <f ca="1">IFERROR(__xludf.DUMMYFUNCTION("GOOGLEFINANCE(""NSE:""&amp;D3241,""price"")"),"#N/A")</f>
        <v>#N/A</v>
      </c>
      <c r="M3241" s="9" t="e">
        <f t="shared" ca="1" si="67"/>
        <v>#VALUE!</v>
      </c>
      <c r="N3241" s="10" t="e">
        <f t="shared" ca="1" si="68"/>
        <v>#VALUE!</v>
      </c>
      <c r="O3241" s="7" t="str">
        <f ca="1">IFERROR(__xludf.DUMMYFUNCTION("GOOGLEFINANCE(""NSE:""&amp;D3241,""pe"")"),"#N/A")</f>
        <v>#N/A</v>
      </c>
      <c r="P3241" s="7" t="str">
        <f ca="1">IFERROR(__xludf.DUMMYFUNCTION("GOOGLEFINANCE(""NSE:""&amp;D3241,""EPS"")"),"#N/A")</f>
        <v>#N/A</v>
      </c>
      <c r="Q3241" s="7">
        <v>13.5</v>
      </c>
      <c r="R3241" s="7" t="str">
        <f ca="1">IFERROR(__xludf.DUMMYFUNCTION("IMPORTXML(E3241,""/html/body/main/div[3]/div[3]/div[2]/ul/li[7]/span[2]/span"")"),"Loading...")</f>
        <v>Loading...</v>
      </c>
      <c r="S3241" s="7" t="str">
        <f ca="1">IFERROR(__xludf.DUMMYFUNCTION("IMPORTXML(E3241,""/html/body/main/div[3]/div[3]/div[2]/ul/li[8]/span[2]/span"")"),"Loading...")</f>
        <v>Loading...</v>
      </c>
      <c r="T3241" s="4">
        <v>34.6</v>
      </c>
      <c r="U3241" s="4">
        <v>22.7</v>
      </c>
      <c r="V3241" s="4">
        <v>2.6</v>
      </c>
      <c r="W3241" s="4">
        <v>5.7</v>
      </c>
      <c r="X3241" s="4">
        <v>519.92999999999995</v>
      </c>
      <c r="Y3241" s="7" t="e">
        <f t="shared" ca="1" si="69"/>
        <v>#VALUE!</v>
      </c>
    </row>
    <row r="3242" spans="1:25" ht="15" x14ac:dyDescent="0.25">
      <c r="A3242" s="4">
        <v>3229</v>
      </c>
      <c r="C3242" s="41" t="s">
        <v>5576</v>
      </c>
      <c r="D3242" s="42"/>
      <c r="E3242" s="5" t="str">
        <f t="shared" si="65"/>
        <v>https://www.screener.in/company//consolidated/</v>
      </c>
      <c r="F3242" s="4">
        <v>443059</v>
      </c>
      <c r="G3242" s="4">
        <v>3832241897</v>
      </c>
      <c r="H3242" s="6" t="e">
        <f t="shared" ca="1" si="66"/>
        <v>#VALUE!</v>
      </c>
      <c r="I3242" s="7" t="str">
        <f ca="1">IFERROR(__xludf.DUMMYFUNCTION("IMPORTXML(E3242,""/html/body/main/div[3]/div[3]/div[2]/ul/li[5]/span[2]/span"")"),"Loading...")</f>
        <v>Loading...</v>
      </c>
      <c r="J3242" s="7" t="str">
        <f ca="1">IFERROR(__xludf.DUMMYFUNCTION("GOOGLEFINANCE(""NSE:""&amp;D3242,""marketcap"")"),"#N/A")</f>
        <v>#N/A</v>
      </c>
      <c r="K3242" s="7">
        <v>992.8</v>
      </c>
      <c r="L3242" s="8" t="str">
        <f ca="1">IFERROR(__xludf.DUMMYFUNCTION("GOOGLEFINANCE(""NSE:""&amp;D3242,""price"")"),"#N/A")</f>
        <v>#N/A</v>
      </c>
      <c r="M3242" s="9" t="e">
        <f t="shared" ca="1" si="67"/>
        <v>#VALUE!</v>
      </c>
      <c r="N3242" s="10" t="e">
        <f t="shared" ca="1" si="68"/>
        <v>#VALUE!</v>
      </c>
      <c r="O3242" s="7" t="str">
        <f ca="1">IFERROR(__xludf.DUMMYFUNCTION("GOOGLEFINANCE(""NSE:""&amp;D3242,""pe"")"),"#N/A")</f>
        <v>#N/A</v>
      </c>
      <c r="P3242" s="7" t="str">
        <f ca="1">IFERROR(__xludf.DUMMYFUNCTION("GOOGLEFINANCE(""NSE:""&amp;D3242,""EPS"")"),"#N/A")</f>
        <v>#N/A</v>
      </c>
      <c r="Q3242" s="7">
        <v>13.5</v>
      </c>
      <c r="R3242" s="7" t="str">
        <f ca="1">IFERROR(__xludf.DUMMYFUNCTION("IMPORTXML(E3242,""/html/body/main/div[3]/div[3]/div[2]/ul/li[7]/span[2]/span"")"),"Loading...")</f>
        <v>Loading...</v>
      </c>
      <c r="S3242" s="7" t="str">
        <f ca="1">IFERROR(__xludf.DUMMYFUNCTION("IMPORTXML(E3242,""/html/body/main/div[3]/div[3]/div[2]/ul/li[8]/span[2]/span"")"),"Loading...")</f>
        <v>Loading...</v>
      </c>
      <c r="T3242" s="4">
        <v>34.6</v>
      </c>
      <c r="U3242" s="4">
        <v>22.7</v>
      </c>
      <c r="V3242" s="4">
        <v>2.6</v>
      </c>
      <c r="W3242" s="4">
        <v>5.7</v>
      </c>
      <c r="X3242" s="4">
        <v>519.92999999999995</v>
      </c>
      <c r="Y3242" s="7" t="e">
        <f t="shared" ca="1" si="69"/>
        <v>#VALUE!</v>
      </c>
    </row>
    <row r="3243" spans="1:25" ht="15" x14ac:dyDescent="0.25">
      <c r="A3243" s="4">
        <v>3230</v>
      </c>
      <c r="C3243" s="41" t="s">
        <v>5577</v>
      </c>
      <c r="D3243" s="42"/>
      <c r="E3243" s="5" t="str">
        <f t="shared" si="65"/>
        <v>https://www.screener.in/company//consolidated/</v>
      </c>
      <c r="F3243" s="4">
        <v>443059</v>
      </c>
      <c r="G3243" s="4">
        <v>3832241897</v>
      </c>
      <c r="H3243" s="6" t="e">
        <f t="shared" ca="1" si="66"/>
        <v>#VALUE!</v>
      </c>
      <c r="I3243" s="7" t="str">
        <f ca="1">IFERROR(__xludf.DUMMYFUNCTION("IMPORTXML(E3243,""/html/body/main/div[3]/div[3]/div[2]/ul/li[5]/span[2]/span"")"),"Loading...")</f>
        <v>Loading...</v>
      </c>
      <c r="J3243" s="7" t="str">
        <f ca="1">IFERROR(__xludf.DUMMYFUNCTION("GOOGLEFINANCE(""NSE:""&amp;D3243,""marketcap"")"),"#N/A")</f>
        <v>#N/A</v>
      </c>
      <c r="K3243" s="7">
        <v>992.8</v>
      </c>
      <c r="L3243" s="8" t="str">
        <f ca="1">IFERROR(__xludf.DUMMYFUNCTION("GOOGLEFINANCE(""NSE:""&amp;D3243,""price"")"),"#N/A")</f>
        <v>#N/A</v>
      </c>
      <c r="M3243" s="9" t="e">
        <f t="shared" ca="1" si="67"/>
        <v>#VALUE!</v>
      </c>
      <c r="N3243" s="10" t="e">
        <f t="shared" ca="1" si="68"/>
        <v>#VALUE!</v>
      </c>
      <c r="O3243" s="7" t="str">
        <f ca="1">IFERROR(__xludf.DUMMYFUNCTION("GOOGLEFINANCE(""NSE:""&amp;D3243,""pe"")"),"#N/A")</f>
        <v>#N/A</v>
      </c>
      <c r="P3243" s="7" t="str">
        <f ca="1">IFERROR(__xludf.DUMMYFUNCTION("GOOGLEFINANCE(""NSE:""&amp;D3243,""EPS"")"),"#N/A")</f>
        <v>#N/A</v>
      </c>
      <c r="Q3243" s="7">
        <v>13.5</v>
      </c>
      <c r="R3243" s="7" t="str">
        <f ca="1">IFERROR(__xludf.DUMMYFUNCTION("IMPORTXML(E3243,""/html/body/main/div[3]/div[3]/div[2]/ul/li[7]/span[2]/span"")"),"Loading...")</f>
        <v>Loading...</v>
      </c>
      <c r="S3243" s="7" t="str">
        <f ca="1">IFERROR(__xludf.DUMMYFUNCTION("IMPORTXML(E3243,""/html/body/main/div[3]/div[3]/div[2]/ul/li[8]/span[2]/span"")"),"Loading...")</f>
        <v>Loading...</v>
      </c>
      <c r="T3243" s="4">
        <v>34.6</v>
      </c>
      <c r="U3243" s="4">
        <v>22.7</v>
      </c>
      <c r="V3243" s="4">
        <v>2.6</v>
      </c>
      <c r="W3243" s="4">
        <v>5.7</v>
      </c>
      <c r="X3243" s="4">
        <v>519.92999999999995</v>
      </c>
      <c r="Y3243" s="7" t="e">
        <f t="shared" ca="1" si="69"/>
        <v>#VALUE!</v>
      </c>
    </row>
    <row r="3244" spans="1:25" ht="15" x14ac:dyDescent="0.25">
      <c r="A3244" s="4">
        <v>3231</v>
      </c>
      <c r="C3244" s="41" t="s">
        <v>5578</v>
      </c>
      <c r="D3244" s="42"/>
      <c r="E3244" s="5" t="str">
        <f t="shared" si="65"/>
        <v>https://www.screener.in/company//consolidated/</v>
      </c>
      <c r="F3244" s="4">
        <v>443059</v>
      </c>
      <c r="G3244" s="4">
        <v>3832241897</v>
      </c>
      <c r="H3244" s="6" t="e">
        <f t="shared" ca="1" si="66"/>
        <v>#VALUE!</v>
      </c>
      <c r="I3244" s="7" t="str">
        <f ca="1">IFERROR(__xludf.DUMMYFUNCTION("IMPORTXML(E3244,""/html/body/main/div[3]/div[3]/div[2]/ul/li[5]/span[2]/span"")"),"Loading...")</f>
        <v>Loading...</v>
      </c>
      <c r="J3244" s="7" t="str">
        <f ca="1">IFERROR(__xludf.DUMMYFUNCTION("GOOGLEFINANCE(""NSE:""&amp;D3244,""marketcap"")"),"#N/A")</f>
        <v>#N/A</v>
      </c>
      <c r="K3244" s="7">
        <v>992.8</v>
      </c>
      <c r="L3244" s="8" t="str">
        <f ca="1">IFERROR(__xludf.DUMMYFUNCTION("GOOGLEFINANCE(""NSE:""&amp;D3244,""price"")"),"#N/A")</f>
        <v>#N/A</v>
      </c>
      <c r="M3244" s="9" t="e">
        <f t="shared" ca="1" si="67"/>
        <v>#VALUE!</v>
      </c>
      <c r="N3244" s="10" t="e">
        <f t="shared" ca="1" si="68"/>
        <v>#VALUE!</v>
      </c>
      <c r="O3244" s="7" t="str">
        <f ca="1">IFERROR(__xludf.DUMMYFUNCTION("GOOGLEFINANCE(""NSE:""&amp;D3244,""pe"")"),"#N/A")</f>
        <v>#N/A</v>
      </c>
      <c r="P3244" s="7" t="str">
        <f ca="1">IFERROR(__xludf.DUMMYFUNCTION("GOOGLEFINANCE(""NSE:""&amp;D3244,""EPS"")"),"#N/A")</f>
        <v>#N/A</v>
      </c>
      <c r="Q3244" s="7">
        <v>13.5</v>
      </c>
      <c r="R3244" s="7" t="str">
        <f ca="1">IFERROR(__xludf.DUMMYFUNCTION("IMPORTXML(E3244,""/html/body/main/div[3]/div[3]/div[2]/ul/li[7]/span[2]/span"")"),"Loading...")</f>
        <v>Loading...</v>
      </c>
      <c r="S3244" s="7" t="str">
        <f ca="1">IFERROR(__xludf.DUMMYFUNCTION("IMPORTXML(E3244,""/html/body/main/div[3]/div[3]/div[2]/ul/li[8]/span[2]/span"")"),"Loading...")</f>
        <v>Loading...</v>
      </c>
      <c r="T3244" s="4">
        <v>34.6</v>
      </c>
      <c r="U3244" s="4">
        <v>22.7</v>
      </c>
      <c r="V3244" s="4">
        <v>2.6</v>
      </c>
      <c r="W3244" s="4">
        <v>5.7</v>
      </c>
      <c r="X3244" s="4">
        <v>519.92999999999995</v>
      </c>
      <c r="Y3244" s="7" t="e">
        <f t="shared" ca="1" si="69"/>
        <v>#VALUE!</v>
      </c>
    </row>
    <row r="3245" spans="1:25" ht="15" x14ac:dyDescent="0.25">
      <c r="A3245" s="4">
        <v>3232</v>
      </c>
      <c r="C3245" s="41" t="s">
        <v>5579</v>
      </c>
      <c r="D3245" s="42"/>
      <c r="E3245" s="5" t="str">
        <f t="shared" si="65"/>
        <v>https://www.screener.in/company//consolidated/</v>
      </c>
      <c r="F3245" s="4">
        <v>443059</v>
      </c>
      <c r="G3245" s="4">
        <v>3832241897</v>
      </c>
      <c r="H3245" s="6" t="e">
        <f t="shared" ca="1" si="66"/>
        <v>#VALUE!</v>
      </c>
      <c r="I3245" s="7" t="str">
        <f ca="1">IFERROR(__xludf.DUMMYFUNCTION("IMPORTXML(E3245,""/html/body/main/div[3]/div[3]/div[2]/ul/li[5]/span[2]/span"")"),"Loading...")</f>
        <v>Loading...</v>
      </c>
      <c r="J3245" s="7" t="str">
        <f ca="1">IFERROR(__xludf.DUMMYFUNCTION("GOOGLEFINANCE(""NSE:""&amp;D3245,""marketcap"")"),"#N/A")</f>
        <v>#N/A</v>
      </c>
      <c r="K3245" s="7">
        <v>992.8</v>
      </c>
      <c r="L3245" s="8" t="str">
        <f ca="1">IFERROR(__xludf.DUMMYFUNCTION("GOOGLEFINANCE(""NSE:""&amp;D3245,""price"")"),"#N/A")</f>
        <v>#N/A</v>
      </c>
      <c r="M3245" s="9" t="e">
        <f t="shared" ca="1" si="67"/>
        <v>#VALUE!</v>
      </c>
      <c r="N3245" s="10" t="e">
        <f t="shared" ca="1" si="68"/>
        <v>#VALUE!</v>
      </c>
      <c r="O3245" s="7" t="str">
        <f ca="1">IFERROR(__xludf.DUMMYFUNCTION("GOOGLEFINANCE(""NSE:""&amp;D3245,""pe"")"),"#N/A")</f>
        <v>#N/A</v>
      </c>
      <c r="P3245" s="7" t="str">
        <f ca="1">IFERROR(__xludf.DUMMYFUNCTION("GOOGLEFINANCE(""NSE:""&amp;D3245,""EPS"")"),"#N/A")</f>
        <v>#N/A</v>
      </c>
      <c r="Q3245" s="7">
        <v>13.5</v>
      </c>
      <c r="R3245" s="7" t="str">
        <f ca="1">IFERROR(__xludf.DUMMYFUNCTION("IMPORTXML(E3245,""/html/body/main/div[3]/div[3]/div[2]/ul/li[7]/span[2]/span"")"),"Loading...")</f>
        <v>Loading...</v>
      </c>
      <c r="S3245" s="7" t="str">
        <f ca="1">IFERROR(__xludf.DUMMYFUNCTION("IMPORTXML(E3245,""/html/body/main/div[3]/div[3]/div[2]/ul/li[8]/span[2]/span"")"),"Loading...")</f>
        <v>Loading...</v>
      </c>
      <c r="T3245" s="4">
        <v>34.6</v>
      </c>
      <c r="U3245" s="4">
        <v>22.7</v>
      </c>
      <c r="V3245" s="4">
        <v>2.6</v>
      </c>
      <c r="W3245" s="4">
        <v>5.7</v>
      </c>
      <c r="X3245" s="4">
        <v>519.92999999999995</v>
      </c>
      <c r="Y3245" s="7" t="e">
        <f t="shared" ca="1" si="69"/>
        <v>#VALUE!</v>
      </c>
    </row>
    <row r="3246" spans="1:25" ht="15" x14ac:dyDescent="0.25">
      <c r="A3246" s="4">
        <v>3233</v>
      </c>
      <c r="C3246" s="41" t="s">
        <v>5580</v>
      </c>
      <c r="D3246" s="42"/>
      <c r="E3246" s="5" t="str">
        <f t="shared" si="65"/>
        <v>https://www.screener.in/company//consolidated/</v>
      </c>
      <c r="F3246" s="4">
        <v>443059</v>
      </c>
      <c r="G3246" s="4">
        <v>3832241897</v>
      </c>
      <c r="H3246" s="6" t="e">
        <f t="shared" ca="1" si="66"/>
        <v>#VALUE!</v>
      </c>
      <c r="I3246" s="7" t="str">
        <f ca="1">IFERROR(__xludf.DUMMYFUNCTION("IMPORTXML(E3246,""/html/body/main/div[3]/div[3]/div[2]/ul/li[5]/span[2]/span"")"),"Loading...")</f>
        <v>Loading...</v>
      </c>
      <c r="J3246" s="7" t="str">
        <f ca="1">IFERROR(__xludf.DUMMYFUNCTION("GOOGLEFINANCE(""NSE:""&amp;D3246,""marketcap"")"),"#N/A")</f>
        <v>#N/A</v>
      </c>
      <c r="K3246" s="7">
        <v>992.8</v>
      </c>
      <c r="L3246" s="8" t="str">
        <f ca="1">IFERROR(__xludf.DUMMYFUNCTION("GOOGLEFINANCE(""NSE:""&amp;D3246,""price"")"),"#N/A")</f>
        <v>#N/A</v>
      </c>
      <c r="M3246" s="9" t="e">
        <f t="shared" ca="1" si="67"/>
        <v>#VALUE!</v>
      </c>
      <c r="N3246" s="10" t="e">
        <f t="shared" ca="1" si="68"/>
        <v>#VALUE!</v>
      </c>
      <c r="O3246" s="7" t="str">
        <f ca="1">IFERROR(__xludf.DUMMYFUNCTION("GOOGLEFINANCE(""NSE:""&amp;D3246,""pe"")"),"#N/A")</f>
        <v>#N/A</v>
      </c>
      <c r="P3246" s="7" t="str">
        <f ca="1">IFERROR(__xludf.DUMMYFUNCTION("GOOGLEFINANCE(""NSE:""&amp;D3246,""EPS"")"),"#N/A")</f>
        <v>#N/A</v>
      </c>
      <c r="Q3246" s="7">
        <v>13.5</v>
      </c>
      <c r="R3246" s="7" t="str">
        <f ca="1">IFERROR(__xludf.DUMMYFUNCTION("IMPORTXML(E3246,""/html/body/main/div[3]/div[3]/div[2]/ul/li[7]/span[2]/span"")"),"Loading...")</f>
        <v>Loading...</v>
      </c>
      <c r="S3246" s="7" t="str">
        <f ca="1">IFERROR(__xludf.DUMMYFUNCTION("IMPORTXML(E3246,""/html/body/main/div[3]/div[3]/div[2]/ul/li[8]/span[2]/span"")"),"Loading...")</f>
        <v>Loading...</v>
      </c>
      <c r="T3246" s="4">
        <v>34.6</v>
      </c>
      <c r="U3246" s="4">
        <v>22.7</v>
      </c>
      <c r="V3246" s="4">
        <v>2.6</v>
      </c>
      <c r="W3246" s="4">
        <v>5.7</v>
      </c>
      <c r="X3246" s="4">
        <v>519.92999999999995</v>
      </c>
      <c r="Y3246" s="7" t="e">
        <f t="shared" ca="1" si="69"/>
        <v>#VALUE!</v>
      </c>
    </row>
    <row r="3247" spans="1:25" ht="15" x14ac:dyDescent="0.25">
      <c r="A3247" s="4">
        <v>3234</v>
      </c>
      <c r="C3247" s="41" t="s">
        <v>5581</v>
      </c>
      <c r="D3247" s="42"/>
      <c r="E3247" s="5" t="str">
        <f t="shared" si="65"/>
        <v>https://www.screener.in/company//consolidated/</v>
      </c>
      <c r="F3247" s="4">
        <v>443059</v>
      </c>
      <c r="G3247" s="4">
        <v>3832241897</v>
      </c>
      <c r="H3247" s="6" t="e">
        <f t="shared" ca="1" si="66"/>
        <v>#VALUE!</v>
      </c>
      <c r="I3247" s="7" t="str">
        <f ca="1">IFERROR(__xludf.DUMMYFUNCTION("IMPORTXML(E3247,""/html/body/main/div[3]/div[3]/div[2]/ul/li[5]/span[2]/span"")"),"Loading...")</f>
        <v>Loading...</v>
      </c>
      <c r="J3247" s="7" t="str">
        <f ca="1">IFERROR(__xludf.DUMMYFUNCTION("GOOGLEFINANCE(""NSE:""&amp;D3247,""marketcap"")"),"#N/A")</f>
        <v>#N/A</v>
      </c>
      <c r="K3247" s="7">
        <v>992.8</v>
      </c>
      <c r="L3247" s="8" t="str">
        <f ca="1">IFERROR(__xludf.DUMMYFUNCTION("GOOGLEFINANCE(""NSE:""&amp;D3247,""price"")"),"#N/A")</f>
        <v>#N/A</v>
      </c>
      <c r="M3247" s="9" t="e">
        <f t="shared" ca="1" si="67"/>
        <v>#VALUE!</v>
      </c>
      <c r="N3247" s="10" t="e">
        <f t="shared" ca="1" si="68"/>
        <v>#VALUE!</v>
      </c>
      <c r="O3247" s="7" t="str">
        <f ca="1">IFERROR(__xludf.DUMMYFUNCTION("GOOGLEFINANCE(""NSE:""&amp;D3247,""pe"")"),"#N/A")</f>
        <v>#N/A</v>
      </c>
      <c r="P3247" s="7" t="str">
        <f ca="1">IFERROR(__xludf.DUMMYFUNCTION("GOOGLEFINANCE(""NSE:""&amp;D3247,""EPS"")"),"#N/A")</f>
        <v>#N/A</v>
      </c>
      <c r="Q3247" s="7">
        <v>13.5</v>
      </c>
      <c r="R3247" s="7" t="str">
        <f ca="1">IFERROR(__xludf.DUMMYFUNCTION("IMPORTXML(E3247,""/html/body/main/div[3]/div[3]/div[2]/ul/li[7]/span[2]/span"")"),"Loading...")</f>
        <v>Loading...</v>
      </c>
      <c r="S3247" s="7" t="str">
        <f ca="1">IFERROR(__xludf.DUMMYFUNCTION("IMPORTXML(E3247,""/html/body/main/div[3]/div[3]/div[2]/ul/li[8]/span[2]/span"")"),"Loading...")</f>
        <v>Loading...</v>
      </c>
      <c r="T3247" s="4">
        <v>34.6</v>
      </c>
      <c r="U3247" s="4">
        <v>22.7</v>
      </c>
      <c r="V3247" s="4">
        <v>2.6</v>
      </c>
      <c r="W3247" s="4">
        <v>5.7</v>
      </c>
      <c r="X3247" s="4">
        <v>519.92999999999995</v>
      </c>
      <c r="Y3247" s="7" t="e">
        <f t="shared" ca="1" si="69"/>
        <v>#VALUE!</v>
      </c>
    </row>
    <row r="3248" spans="1:25" ht="15" x14ac:dyDescent="0.25">
      <c r="A3248" s="4">
        <v>3235</v>
      </c>
      <c r="C3248" s="41" t="s">
        <v>5582</v>
      </c>
      <c r="D3248" s="42"/>
      <c r="E3248" s="5" t="str">
        <f t="shared" si="65"/>
        <v>https://www.screener.in/company//consolidated/</v>
      </c>
      <c r="F3248" s="4">
        <v>443059</v>
      </c>
      <c r="G3248" s="4">
        <v>3832241897</v>
      </c>
      <c r="H3248" s="6" t="e">
        <f t="shared" ca="1" si="66"/>
        <v>#VALUE!</v>
      </c>
      <c r="I3248" s="7" t="str">
        <f ca="1">IFERROR(__xludf.DUMMYFUNCTION("IMPORTXML(E3248,""/html/body/main/div[3]/div[3]/div[2]/ul/li[5]/span[2]/span"")"),"Loading...")</f>
        <v>Loading...</v>
      </c>
      <c r="J3248" s="7" t="str">
        <f ca="1">IFERROR(__xludf.DUMMYFUNCTION("GOOGLEFINANCE(""NSE:""&amp;D3248,""marketcap"")"),"#N/A")</f>
        <v>#N/A</v>
      </c>
      <c r="K3248" s="7">
        <v>992.8</v>
      </c>
      <c r="L3248" s="8" t="str">
        <f ca="1">IFERROR(__xludf.DUMMYFUNCTION("GOOGLEFINANCE(""NSE:""&amp;D3248,""price"")"),"#N/A")</f>
        <v>#N/A</v>
      </c>
      <c r="M3248" s="9" t="e">
        <f t="shared" ca="1" si="67"/>
        <v>#VALUE!</v>
      </c>
      <c r="N3248" s="10" t="e">
        <f t="shared" ca="1" si="68"/>
        <v>#VALUE!</v>
      </c>
      <c r="O3248" s="7" t="str">
        <f ca="1">IFERROR(__xludf.DUMMYFUNCTION("GOOGLEFINANCE(""NSE:""&amp;D3248,""pe"")"),"#N/A")</f>
        <v>#N/A</v>
      </c>
      <c r="P3248" s="7" t="str">
        <f ca="1">IFERROR(__xludf.DUMMYFUNCTION("GOOGLEFINANCE(""NSE:""&amp;D3248,""EPS"")"),"#N/A")</f>
        <v>#N/A</v>
      </c>
      <c r="Q3248" s="7">
        <v>13.5</v>
      </c>
      <c r="R3248" s="7" t="str">
        <f ca="1">IFERROR(__xludf.DUMMYFUNCTION("IMPORTXML(E3248,""/html/body/main/div[3]/div[3]/div[2]/ul/li[7]/span[2]/span"")"),"Loading...")</f>
        <v>Loading...</v>
      </c>
      <c r="S3248" s="7" t="str">
        <f ca="1">IFERROR(__xludf.DUMMYFUNCTION("IMPORTXML(E3248,""/html/body/main/div[3]/div[3]/div[2]/ul/li[8]/span[2]/span"")"),"Loading...")</f>
        <v>Loading...</v>
      </c>
      <c r="T3248" s="4">
        <v>34.6</v>
      </c>
      <c r="U3248" s="4">
        <v>22.7</v>
      </c>
      <c r="V3248" s="4">
        <v>2.6</v>
      </c>
      <c r="W3248" s="4">
        <v>5.7</v>
      </c>
      <c r="X3248" s="4">
        <v>519.92999999999995</v>
      </c>
      <c r="Y3248" s="7" t="e">
        <f t="shared" ca="1" si="69"/>
        <v>#VALUE!</v>
      </c>
    </row>
    <row r="3249" spans="1:25" ht="15" x14ac:dyDescent="0.25">
      <c r="A3249" s="4">
        <v>3236</v>
      </c>
      <c r="C3249" s="41" t="s">
        <v>5583</v>
      </c>
      <c r="D3249" s="42"/>
      <c r="E3249" s="5" t="str">
        <f t="shared" si="65"/>
        <v>https://www.screener.in/company//consolidated/</v>
      </c>
      <c r="F3249" s="4">
        <v>443059</v>
      </c>
      <c r="G3249" s="4">
        <v>3832241897</v>
      </c>
      <c r="H3249" s="6" t="e">
        <f t="shared" ca="1" si="66"/>
        <v>#VALUE!</v>
      </c>
      <c r="I3249" s="7" t="str">
        <f ca="1">IFERROR(__xludf.DUMMYFUNCTION("IMPORTXML(E3249,""/html/body/main/div[3]/div[3]/div[2]/ul/li[5]/span[2]/span"")"),"Loading...")</f>
        <v>Loading...</v>
      </c>
      <c r="J3249" s="7" t="str">
        <f ca="1">IFERROR(__xludf.DUMMYFUNCTION("GOOGLEFINANCE(""NSE:""&amp;D3249,""marketcap"")"),"#N/A")</f>
        <v>#N/A</v>
      </c>
      <c r="K3249" s="7">
        <v>992.8</v>
      </c>
      <c r="L3249" s="8" t="str">
        <f ca="1">IFERROR(__xludf.DUMMYFUNCTION("GOOGLEFINANCE(""NSE:""&amp;D3249,""price"")"),"#N/A")</f>
        <v>#N/A</v>
      </c>
      <c r="M3249" s="9" t="e">
        <f t="shared" ca="1" si="67"/>
        <v>#VALUE!</v>
      </c>
      <c r="N3249" s="10" t="e">
        <f t="shared" ca="1" si="68"/>
        <v>#VALUE!</v>
      </c>
      <c r="O3249" s="7" t="str">
        <f ca="1">IFERROR(__xludf.DUMMYFUNCTION("GOOGLEFINANCE(""NSE:""&amp;D3249,""pe"")"),"#N/A")</f>
        <v>#N/A</v>
      </c>
      <c r="P3249" s="7" t="str">
        <f ca="1">IFERROR(__xludf.DUMMYFUNCTION("GOOGLEFINANCE(""NSE:""&amp;D3249,""EPS"")"),"#N/A")</f>
        <v>#N/A</v>
      </c>
      <c r="Q3249" s="7">
        <v>13.5</v>
      </c>
      <c r="R3249" s="7" t="str">
        <f ca="1">IFERROR(__xludf.DUMMYFUNCTION("IMPORTXML(E3249,""/html/body/main/div[3]/div[3]/div[2]/ul/li[7]/span[2]/span"")"),"Loading...")</f>
        <v>Loading...</v>
      </c>
      <c r="S3249" s="7" t="str">
        <f ca="1">IFERROR(__xludf.DUMMYFUNCTION("IMPORTXML(E3249,""/html/body/main/div[3]/div[3]/div[2]/ul/li[8]/span[2]/span"")"),"Loading...")</f>
        <v>Loading...</v>
      </c>
      <c r="T3249" s="4">
        <v>34.6</v>
      </c>
      <c r="U3249" s="4">
        <v>22.7</v>
      </c>
      <c r="V3249" s="4">
        <v>2.6</v>
      </c>
      <c r="W3249" s="4">
        <v>5.7</v>
      </c>
      <c r="X3249" s="4">
        <v>519.92999999999995</v>
      </c>
      <c r="Y3249" s="7" t="e">
        <f t="shared" ca="1" si="69"/>
        <v>#VALUE!</v>
      </c>
    </row>
    <row r="3250" spans="1:25" ht="15" x14ac:dyDescent="0.25">
      <c r="A3250" s="4">
        <v>3237</v>
      </c>
      <c r="C3250" s="41" t="s">
        <v>5584</v>
      </c>
      <c r="D3250" s="42"/>
      <c r="E3250" s="5" t="str">
        <f t="shared" si="65"/>
        <v>https://www.screener.in/company//consolidated/</v>
      </c>
      <c r="F3250" s="4">
        <v>443059</v>
      </c>
      <c r="G3250" s="4">
        <v>3832241897</v>
      </c>
      <c r="H3250" s="6" t="e">
        <f t="shared" ca="1" si="66"/>
        <v>#VALUE!</v>
      </c>
      <c r="I3250" s="7" t="str">
        <f ca="1">IFERROR(__xludf.DUMMYFUNCTION("IMPORTXML(E3250,""/html/body/main/div[3]/div[3]/div[2]/ul/li[5]/span[2]/span"")"),"Loading...")</f>
        <v>Loading...</v>
      </c>
      <c r="J3250" s="7" t="str">
        <f ca="1">IFERROR(__xludf.DUMMYFUNCTION("GOOGLEFINANCE(""NSE:""&amp;D3250,""marketcap"")"),"#N/A")</f>
        <v>#N/A</v>
      </c>
      <c r="K3250" s="7">
        <v>992.8</v>
      </c>
      <c r="L3250" s="8" t="str">
        <f ca="1">IFERROR(__xludf.DUMMYFUNCTION("GOOGLEFINANCE(""NSE:""&amp;D3250,""price"")"),"#N/A")</f>
        <v>#N/A</v>
      </c>
      <c r="M3250" s="9" t="e">
        <f t="shared" ca="1" si="67"/>
        <v>#VALUE!</v>
      </c>
      <c r="N3250" s="10" t="e">
        <f t="shared" ca="1" si="68"/>
        <v>#VALUE!</v>
      </c>
      <c r="O3250" s="7" t="str">
        <f ca="1">IFERROR(__xludf.DUMMYFUNCTION("GOOGLEFINANCE(""NSE:""&amp;D3250,""pe"")"),"#N/A")</f>
        <v>#N/A</v>
      </c>
      <c r="P3250" s="7" t="str">
        <f ca="1">IFERROR(__xludf.DUMMYFUNCTION("GOOGLEFINANCE(""NSE:""&amp;D3250,""EPS"")"),"#N/A")</f>
        <v>#N/A</v>
      </c>
      <c r="Q3250" s="7">
        <v>13.5</v>
      </c>
      <c r="R3250" s="7" t="str">
        <f ca="1">IFERROR(__xludf.DUMMYFUNCTION("IMPORTXML(E3250,""/html/body/main/div[3]/div[3]/div[2]/ul/li[7]/span[2]/span"")"),"Loading...")</f>
        <v>Loading...</v>
      </c>
      <c r="S3250" s="7" t="str">
        <f ca="1">IFERROR(__xludf.DUMMYFUNCTION("IMPORTXML(E3250,""/html/body/main/div[3]/div[3]/div[2]/ul/li[8]/span[2]/span"")"),"Loading...")</f>
        <v>Loading...</v>
      </c>
      <c r="T3250" s="4">
        <v>34.6</v>
      </c>
      <c r="U3250" s="4">
        <v>22.7</v>
      </c>
      <c r="V3250" s="4">
        <v>2.6</v>
      </c>
      <c r="W3250" s="4">
        <v>5.7</v>
      </c>
      <c r="X3250" s="4">
        <v>519.92999999999995</v>
      </c>
      <c r="Y3250" s="7" t="e">
        <f t="shared" ca="1" si="69"/>
        <v>#VALUE!</v>
      </c>
    </row>
    <row r="3251" spans="1:25" ht="15" x14ac:dyDescent="0.25">
      <c r="A3251" s="4">
        <v>3238</v>
      </c>
      <c r="C3251" s="41" t="s">
        <v>5585</v>
      </c>
      <c r="D3251" s="42"/>
      <c r="E3251" s="5" t="str">
        <f t="shared" si="65"/>
        <v>https://www.screener.in/company//consolidated/</v>
      </c>
      <c r="F3251" s="4">
        <v>443059</v>
      </c>
      <c r="G3251" s="4">
        <v>3832241897</v>
      </c>
      <c r="H3251" s="6" t="e">
        <f t="shared" ca="1" si="66"/>
        <v>#VALUE!</v>
      </c>
      <c r="I3251" s="7" t="str">
        <f ca="1">IFERROR(__xludf.DUMMYFUNCTION("IMPORTXML(E3251,""/html/body/main/div[3]/div[3]/div[2]/ul/li[5]/span[2]/span"")"),"Loading...")</f>
        <v>Loading...</v>
      </c>
      <c r="J3251" s="7" t="str">
        <f ca="1">IFERROR(__xludf.DUMMYFUNCTION("GOOGLEFINANCE(""NSE:""&amp;D3251,""marketcap"")"),"#N/A")</f>
        <v>#N/A</v>
      </c>
      <c r="K3251" s="7">
        <v>992.8</v>
      </c>
      <c r="L3251" s="8" t="str">
        <f ca="1">IFERROR(__xludf.DUMMYFUNCTION("GOOGLEFINANCE(""NSE:""&amp;D3251,""price"")"),"#N/A")</f>
        <v>#N/A</v>
      </c>
      <c r="M3251" s="9" t="e">
        <f t="shared" ca="1" si="67"/>
        <v>#VALUE!</v>
      </c>
      <c r="N3251" s="10" t="e">
        <f t="shared" ca="1" si="68"/>
        <v>#VALUE!</v>
      </c>
      <c r="O3251" s="7" t="str">
        <f ca="1">IFERROR(__xludf.DUMMYFUNCTION("GOOGLEFINANCE(""NSE:""&amp;D3251,""pe"")"),"#N/A")</f>
        <v>#N/A</v>
      </c>
      <c r="P3251" s="7" t="str">
        <f ca="1">IFERROR(__xludf.DUMMYFUNCTION("GOOGLEFINANCE(""NSE:""&amp;D3251,""EPS"")"),"#N/A")</f>
        <v>#N/A</v>
      </c>
      <c r="Q3251" s="7">
        <v>13.5</v>
      </c>
      <c r="R3251" s="7" t="str">
        <f ca="1">IFERROR(__xludf.DUMMYFUNCTION("IMPORTXML(E3251,""/html/body/main/div[3]/div[3]/div[2]/ul/li[7]/span[2]/span"")"),"Loading...")</f>
        <v>Loading...</v>
      </c>
      <c r="S3251" s="7" t="str">
        <f ca="1">IFERROR(__xludf.DUMMYFUNCTION("IMPORTXML(E3251,""/html/body/main/div[3]/div[3]/div[2]/ul/li[8]/span[2]/span"")"),"Loading...")</f>
        <v>Loading...</v>
      </c>
      <c r="T3251" s="4">
        <v>34.6</v>
      </c>
      <c r="U3251" s="4">
        <v>22.7</v>
      </c>
      <c r="V3251" s="4">
        <v>2.6</v>
      </c>
      <c r="W3251" s="4">
        <v>5.7</v>
      </c>
      <c r="X3251" s="4">
        <v>519.92999999999995</v>
      </c>
      <c r="Y3251" s="7" t="e">
        <f t="shared" ca="1" si="69"/>
        <v>#VALUE!</v>
      </c>
    </row>
    <row r="3252" spans="1:25" ht="15" x14ac:dyDescent="0.25">
      <c r="A3252" s="4">
        <v>3240</v>
      </c>
      <c r="C3252" s="41" t="s">
        <v>5586</v>
      </c>
      <c r="D3252" s="42"/>
      <c r="E3252" s="5" t="str">
        <f t="shared" si="65"/>
        <v>https://www.screener.in/company//consolidated/</v>
      </c>
      <c r="F3252" s="4">
        <v>443059</v>
      </c>
      <c r="G3252" s="4">
        <v>3832241897</v>
      </c>
      <c r="H3252" s="6" t="e">
        <f t="shared" ca="1" si="66"/>
        <v>#VALUE!</v>
      </c>
      <c r="I3252" s="7" t="str">
        <f ca="1">IFERROR(__xludf.DUMMYFUNCTION("IMPORTXML(E3252,""/html/body/main/div[3]/div[3]/div[2]/ul/li[5]/span[2]/span"")"),"Loading...")</f>
        <v>Loading...</v>
      </c>
      <c r="J3252" s="7" t="str">
        <f ca="1">IFERROR(__xludf.DUMMYFUNCTION("GOOGLEFINANCE(""NSE:""&amp;D3252,""marketcap"")"),"#N/A")</f>
        <v>#N/A</v>
      </c>
      <c r="K3252" s="7">
        <v>992.8</v>
      </c>
      <c r="L3252" s="8" t="str">
        <f ca="1">IFERROR(__xludf.DUMMYFUNCTION("GOOGLEFINANCE(""NSE:""&amp;D3252,""price"")"),"#N/A")</f>
        <v>#N/A</v>
      </c>
      <c r="M3252" s="9" t="e">
        <f t="shared" ca="1" si="67"/>
        <v>#VALUE!</v>
      </c>
      <c r="N3252" s="10" t="e">
        <f t="shared" ca="1" si="68"/>
        <v>#VALUE!</v>
      </c>
      <c r="O3252" s="7" t="str">
        <f ca="1">IFERROR(__xludf.DUMMYFUNCTION("GOOGLEFINANCE(""NSE:""&amp;D3252,""pe"")"),"#N/A")</f>
        <v>#N/A</v>
      </c>
      <c r="P3252" s="7" t="str">
        <f ca="1">IFERROR(__xludf.DUMMYFUNCTION("GOOGLEFINANCE(""NSE:""&amp;D3252,""EPS"")"),"#N/A")</f>
        <v>#N/A</v>
      </c>
      <c r="Q3252" s="7">
        <v>13.5</v>
      </c>
      <c r="R3252" s="7" t="str">
        <f ca="1">IFERROR(__xludf.DUMMYFUNCTION("IMPORTXML(E3252,""/html/body/main/div[3]/div[3]/div[2]/ul/li[7]/span[2]/span"")"),"Loading...")</f>
        <v>Loading...</v>
      </c>
      <c r="S3252" s="7" t="str">
        <f ca="1">IFERROR(__xludf.DUMMYFUNCTION("IMPORTXML(E3252,""/html/body/main/div[3]/div[3]/div[2]/ul/li[8]/span[2]/span"")"),"Loading...")</f>
        <v>Loading...</v>
      </c>
      <c r="T3252" s="4">
        <v>34.6</v>
      </c>
      <c r="U3252" s="4">
        <v>22.7</v>
      </c>
      <c r="V3252" s="4">
        <v>2.6</v>
      </c>
      <c r="W3252" s="4">
        <v>5.7</v>
      </c>
      <c r="X3252" s="4">
        <v>519.92999999999995</v>
      </c>
      <c r="Y3252" s="7" t="e">
        <f t="shared" ca="1" si="69"/>
        <v>#VALUE!</v>
      </c>
    </row>
    <row r="3253" spans="1:25" ht="15" x14ac:dyDescent="0.25">
      <c r="A3253" s="4">
        <v>3241</v>
      </c>
      <c r="C3253" s="41" t="s">
        <v>5587</v>
      </c>
      <c r="D3253" s="42"/>
      <c r="E3253" s="5" t="str">
        <f t="shared" si="65"/>
        <v>https://www.screener.in/company//consolidated/</v>
      </c>
      <c r="F3253" s="4">
        <v>443059</v>
      </c>
      <c r="G3253" s="4">
        <v>3832241897</v>
      </c>
      <c r="H3253" s="6" t="e">
        <f t="shared" ca="1" si="66"/>
        <v>#VALUE!</v>
      </c>
      <c r="I3253" s="7" t="str">
        <f ca="1">IFERROR(__xludf.DUMMYFUNCTION("IMPORTXML(E3253,""/html/body/main/div[3]/div[3]/div[2]/ul/li[5]/span[2]/span"")"),"Loading...")</f>
        <v>Loading...</v>
      </c>
      <c r="J3253" s="7" t="str">
        <f ca="1">IFERROR(__xludf.DUMMYFUNCTION("GOOGLEFINANCE(""NSE:""&amp;D3253,""marketcap"")"),"#N/A")</f>
        <v>#N/A</v>
      </c>
      <c r="K3253" s="7">
        <v>992.8</v>
      </c>
      <c r="L3253" s="8" t="str">
        <f ca="1">IFERROR(__xludf.DUMMYFUNCTION("GOOGLEFINANCE(""NSE:""&amp;D3253,""price"")"),"#N/A")</f>
        <v>#N/A</v>
      </c>
      <c r="M3253" s="9" t="e">
        <f t="shared" ca="1" si="67"/>
        <v>#VALUE!</v>
      </c>
      <c r="N3253" s="10" t="e">
        <f t="shared" ca="1" si="68"/>
        <v>#VALUE!</v>
      </c>
      <c r="O3253" s="7" t="str">
        <f ca="1">IFERROR(__xludf.DUMMYFUNCTION("GOOGLEFINANCE(""NSE:""&amp;D3253,""pe"")"),"#N/A")</f>
        <v>#N/A</v>
      </c>
      <c r="P3253" s="7" t="str">
        <f ca="1">IFERROR(__xludf.DUMMYFUNCTION("GOOGLEFINANCE(""NSE:""&amp;D3253,""EPS"")"),"#N/A")</f>
        <v>#N/A</v>
      </c>
      <c r="Q3253" s="7">
        <v>13.5</v>
      </c>
      <c r="R3253" s="7" t="str">
        <f ca="1">IFERROR(__xludf.DUMMYFUNCTION("IMPORTXML(E3253,""/html/body/main/div[3]/div[3]/div[2]/ul/li[7]/span[2]/span"")"),"Loading...")</f>
        <v>Loading...</v>
      </c>
      <c r="S3253" s="7" t="str">
        <f ca="1">IFERROR(__xludf.DUMMYFUNCTION("IMPORTXML(E3253,""/html/body/main/div[3]/div[3]/div[2]/ul/li[8]/span[2]/span"")"),"Loading...")</f>
        <v>Loading...</v>
      </c>
      <c r="T3253" s="4">
        <v>34.6</v>
      </c>
      <c r="U3253" s="4">
        <v>22.7</v>
      </c>
      <c r="V3253" s="4">
        <v>2.6</v>
      </c>
      <c r="W3253" s="4">
        <v>5.7</v>
      </c>
      <c r="X3253" s="4">
        <v>519.92999999999995</v>
      </c>
      <c r="Y3253" s="7" t="e">
        <f t="shared" ca="1" si="69"/>
        <v>#VALUE!</v>
      </c>
    </row>
    <row r="3254" spans="1:25" ht="15" x14ac:dyDescent="0.25">
      <c r="A3254" s="4">
        <v>3242</v>
      </c>
      <c r="C3254" s="41" t="s">
        <v>5588</v>
      </c>
      <c r="D3254" s="42"/>
      <c r="E3254" s="5" t="str">
        <f t="shared" si="65"/>
        <v>https://www.screener.in/company//consolidated/</v>
      </c>
      <c r="F3254" s="4">
        <v>443059</v>
      </c>
      <c r="G3254" s="4">
        <v>3832241897</v>
      </c>
      <c r="H3254" s="6" t="e">
        <f t="shared" ca="1" si="66"/>
        <v>#VALUE!</v>
      </c>
      <c r="I3254" s="7" t="str">
        <f ca="1">IFERROR(__xludf.DUMMYFUNCTION("IMPORTXML(E3254,""/html/body/main/div[3]/div[3]/div[2]/ul/li[5]/span[2]/span"")"),"Loading...")</f>
        <v>Loading...</v>
      </c>
      <c r="J3254" s="7" t="str">
        <f ca="1">IFERROR(__xludf.DUMMYFUNCTION("GOOGLEFINANCE(""NSE:""&amp;D3254,""marketcap"")"),"#N/A")</f>
        <v>#N/A</v>
      </c>
      <c r="K3254" s="7">
        <v>992.8</v>
      </c>
      <c r="L3254" s="8" t="str">
        <f ca="1">IFERROR(__xludf.DUMMYFUNCTION("GOOGLEFINANCE(""NSE:""&amp;D3254,""price"")"),"#N/A")</f>
        <v>#N/A</v>
      </c>
      <c r="M3254" s="9" t="e">
        <f t="shared" ca="1" si="67"/>
        <v>#VALUE!</v>
      </c>
      <c r="N3254" s="10" t="e">
        <f t="shared" ca="1" si="68"/>
        <v>#VALUE!</v>
      </c>
      <c r="O3254" s="7" t="str">
        <f ca="1">IFERROR(__xludf.DUMMYFUNCTION("GOOGLEFINANCE(""NSE:""&amp;D3254,""pe"")"),"#N/A")</f>
        <v>#N/A</v>
      </c>
      <c r="P3254" s="7" t="str">
        <f ca="1">IFERROR(__xludf.DUMMYFUNCTION("GOOGLEFINANCE(""NSE:""&amp;D3254,""EPS"")"),"#N/A")</f>
        <v>#N/A</v>
      </c>
      <c r="Q3254" s="7">
        <v>13.5</v>
      </c>
      <c r="R3254" s="7" t="str">
        <f ca="1">IFERROR(__xludf.DUMMYFUNCTION("IMPORTXML(E3254,""/html/body/main/div[3]/div[3]/div[2]/ul/li[7]/span[2]/span"")"),"Loading...")</f>
        <v>Loading...</v>
      </c>
      <c r="S3254" s="7" t="str">
        <f ca="1">IFERROR(__xludf.DUMMYFUNCTION("IMPORTXML(E3254,""/html/body/main/div[3]/div[3]/div[2]/ul/li[8]/span[2]/span"")"),"Loading...")</f>
        <v>Loading...</v>
      </c>
      <c r="T3254" s="4">
        <v>34.6</v>
      </c>
      <c r="U3254" s="4">
        <v>22.7</v>
      </c>
      <c r="V3254" s="4">
        <v>2.6</v>
      </c>
      <c r="W3254" s="4">
        <v>5.7</v>
      </c>
      <c r="X3254" s="4">
        <v>519.92999999999995</v>
      </c>
      <c r="Y3254" s="7" t="e">
        <f t="shared" ca="1" si="69"/>
        <v>#VALUE!</v>
      </c>
    </row>
    <row r="3255" spans="1:25" ht="15" x14ac:dyDescent="0.25">
      <c r="A3255" s="4">
        <v>3243</v>
      </c>
      <c r="C3255" s="41" t="s">
        <v>5589</v>
      </c>
      <c r="D3255" s="42"/>
      <c r="E3255" s="5" t="str">
        <f t="shared" si="65"/>
        <v>https://www.screener.in/company//consolidated/</v>
      </c>
      <c r="F3255" s="4">
        <v>443059</v>
      </c>
      <c r="G3255" s="4">
        <v>3832241897</v>
      </c>
      <c r="H3255" s="6" t="e">
        <f t="shared" ca="1" si="66"/>
        <v>#VALUE!</v>
      </c>
      <c r="I3255" s="7" t="str">
        <f ca="1">IFERROR(__xludf.DUMMYFUNCTION("IMPORTXML(E3255,""/html/body/main/div[3]/div[3]/div[2]/ul/li[5]/span[2]/span"")"),"Loading...")</f>
        <v>Loading...</v>
      </c>
      <c r="J3255" s="7" t="str">
        <f ca="1">IFERROR(__xludf.DUMMYFUNCTION("GOOGLEFINANCE(""NSE:""&amp;D3255,""marketcap"")"),"#N/A")</f>
        <v>#N/A</v>
      </c>
      <c r="K3255" s="7">
        <v>992.8</v>
      </c>
      <c r="L3255" s="8" t="str">
        <f ca="1">IFERROR(__xludf.DUMMYFUNCTION("GOOGLEFINANCE(""NSE:""&amp;D3255,""price"")"),"#N/A")</f>
        <v>#N/A</v>
      </c>
      <c r="M3255" s="9" t="e">
        <f t="shared" ca="1" si="67"/>
        <v>#VALUE!</v>
      </c>
      <c r="N3255" s="10" t="e">
        <f t="shared" ca="1" si="68"/>
        <v>#VALUE!</v>
      </c>
      <c r="O3255" s="7" t="str">
        <f ca="1">IFERROR(__xludf.DUMMYFUNCTION("GOOGLEFINANCE(""NSE:""&amp;D3255,""pe"")"),"#N/A")</f>
        <v>#N/A</v>
      </c>
      <c r="P3255" s="7" t="str">
        <f ca="1">IFERROR(__xludf.DUMMYFUNCTION("GOOGLEFINANCE(""NSE:""&amp;D3255,""EPS"")"),"#N/A")</f>
        <v>#N/A</v>
      </c>
      <c r="Q3255" s="7">
        <v>13.5</v>
      </c>
      <c r="R3255" s="7" t="str">
        <f ca="1">IFERROR(__xludf.DUMMYFUNCTION("IMPORTXML(E3255,""/html/body/main/div[3]/div[3]/div[2]/ul/li[7]/span[2]/span"")"),"Loading...")</f>
        <v>Loading...</v>
      </c>
      <c r="S3255" s="7" t="str">
        <f ca="1">IFERROR(__xludf.DUMMYFUNCTION("IMPORTXML(E3255,""/html/body/main/div[3]/div[3]/div[2]/ul/li[8]/span[2]/span"")"),"Loading...")</f>
        <v>Loading...</v>
      </c>
      <c r="T3255" s="4">
        <v>34.6</v>
      </c>
      <c r="U3255" s="4">
        <v>22.7</v>
      </c>
      <c r="V3255" s="4">
        <v>2.6</v>
      </c>
      <c r="W3255" s="4">
        <v>5.7</v>
      </c>
      <c r="X3255" s="4">
        <v>519.92999999999995</v>
      </c>
      <c r="Y3255" s="7" t="e">
        <f t="shared" ca="1" si="69"/>
        <v>#VALUE!</v>
      </c>
    </row>
    <row r="3256" spans="1:25" ht="15" x14ac:dyDescent="0.25">
      <c r="A3256" s="4">
        <v>3244</v>
      </c>
      <c r="C3256" s="41" t="s">
        <v>5590</v>
      </c>
      <c r="D3256" s="42"/>
      <c r="E3256" s="5" t="str">
        <f t="shared" si="65"/>
        <v>https://www.screener.in/company//consolidated/</v>
      </c>
      <c r="F3256" s="4">
        <v>443059</v>
      </c>
      <c r="G3256" s="4">
        <v>3832241897</v>
      </c>
      <c r="H3256" s="6" t="e">
        <f t="shared" ca="1" si="66"/>
        <v>#VALUE!</v>
      </c>
      <c r="I3256" s="7" t="str">
        <f ca="1">IFERROR(__xludf.DUMMYFUNCTION("IMPORTXML(E3256,""/html/body/main/div[3]/div[3]/div[2]/ul/li[5]/span[2]/span"")"),"Loading...")</f>
        <v>Loading...</v>
      </c>
      <c r="J3256" s="7" t="str">
        <f ca="1">IFERROR(__xludf.DUMMYFUNCTION("GOOGLEFINANCE(""NSE:""&amp;D3256,""marketcap"")"),"#N/A")</f>
        <v>#N/A</v>
      </c>
      <c r="K3256" s="7">
        <v>992.8</v>
      </c>
      <c r="L3256" s="8" t="str">
        <f ca="1">IFERROR(__xludf.DUMMYFUNCTION("GOOGLEFINANCE(""NSE:""&amp;D3256,""price"")"),"#N/A")</f>
        <v>#N/A</v>
      </c>
      <c r="M3256" s="9" t="e">
        <f t="shared" ca="1" si="67"/>
        <v>#VALUE!</v>
      </c>
      <c r="N3256" s="10" t="e">
        <f t="shared" ca="1" si="68"/>
        <v>#VALUE!</v>
      </c>
      <c r="O3256" s="7" t="str">
        <f ca="1">IFERROR(__xludf.DUMMYFUNCTION("GOOGLEFINANCE(""NSE:""&amp;D3256,""pe"")"),"#N/A")</f>
        <v>#N/A</v>
      </c>
      <c r="P3256" s="7" t="str">
        <f ca="1">IFERROR(__xludf.DUMMYFUNCTION("GOOGLEFINANCE(""NSE:""&amp;D3256,""EPS"")"),"#N/A")</f>
        <v>#N/A</v>
      </c>
      <c r="Q3256" s="7">
        <v>13.5</v>
      </c>
      <c r="R3256" s="7" t="str">
        <f ca="1">IFERROR(__xludf.DUMMYFUNCTION("IMPORTXML(E3256,""/html/body/main/div[3]/div[3]/div[2]/ul/li[7]/span[2]/span"")"),"Loading...")</f>
        <v>Loading...</v>
      </c>
      <c r="S3256" s="7" t="str">
        <f ca="1">IFERROR(__xludf.DUMMYFUNCTION("IMPORTXML(E3256,""/html/body/main/div[3]/div[3]/div[2]/ul/li[8]/span[2]/span"")"),"Loading...")</f>
        <v>Loading...</v>
      </c>
      <c r="T3256" s="4">
        <v>34.6</v>
      </c>
      <c r="U3256" s="4">
        <v>22.7</v>
      </c>
      <c r="V3256" s="4">
        <v>2.6</v>
      </c>
      <c r="W3256" s="4">
        <v>5.7</v>
      </c>
      <c r="X3256" s="4">
        <v>519.92999999999995</v>
      </c>
      <c r="Y3256" s="7" t="e">
        <f t="shared" ca="1" si="69"/>
        <v>#VALUE!</v>
      </c>
    </row>
    <row r="3257" spans="1:25" ht="15" x14ac:dyDescent="0.25">
      <c r="A3257" s="4">
        <v>3245</v>
      </c>
      <c r="C3257" s="12" t="s">
        <v>5591</v>
      </c>
      <c r="D3257" s="12" t="s">
        <v>5592</v>
      </c>
      <c r="E3257" s="5" t="str">
        <f t="shared" si="65"/>
        <v>https://www.screener.in/company/NKIND/consolidated/</v>
      </c>
      <c r="F3257" s="4">
        <v>443059</v>
      </c>
      <c r="G3257" s="4">
        <v>3832241897</v>
      </c>
      <c r="H3257" s="6">
        <f t="shared" ca="1" si="66"/>
        <v>27208.917468700001</v>
      </c>
      <c r="I3257" s="7" t="str">
        <f ca="1">IFERROR(__xludf.DUMMYFUNCTION("IMPORTXML(E3257,""/html/body/main/div[3]/div[3]/div[2]/ul/li[5]/span[2]/span"")"),"Loading...")</f>
        <v>Loading...</v>
      </c>
      <c r="J3257" s="7">
        <f ca="1">IFERROR(__xludf.DUMMYFUNCTION("GOOGLEFINANCE(""NSE:""&amp;D3257,""marketcap"")"),427784700)</f>
        <v>427784700</v>
      </c>
      <c r="K3257" s="7">
        <v>992.8</v>
      </c>
      <c r="L3257" s="8">
        <f ca="1">IFERROR(__xludf.DUMMYFUNCTION("GOOGLEFINANCE(""NSE:""&amp;D3257,""price"")"),71)</f>
        <v>71</v>
      </c>
      <c r="M3257" s="9">
        <f t="shared" ca="1" si="67"/>
        <v>-921.8</v>
      </c>
      <c r="N3257" s="10">
        <f t="shared" ca="1" si="68"/>
        <v>-92.848509266720384</v>
      </c>
      <c r="O3257" s="7" t="str">
        <f ca="1">IFERROR(__xludf.DUMMYFUNCTION("GOOGLEFINANCE(""NSE:""&amp;D3257,""pe"")"),"#N/A")</f>
        <v>#N/A</v>
      </c>
      <c r="P3257" s="7">
        <f ca="1">IFERROR(__xludf.DUMMYFUNCTION("GOOGLEFINANCE(""NSE:""&amp;D3257,""EPS"")"),-7.21)</f>
        <v>-7.21</v>
      </c>
      <c r="Q3257" s="7">
        <v>13.5</v>
      </c>
      <c r="R3257" s="7" t="str">
        <f ca="1">IFERROR(__xludf.DUMMYFUNCTION("IMPORTXML(E3257,""/html/body/main/div[3]/div[3]/div[2]/ul/li[7]/span[2]/span"")"),"Loading...")</f>
        <v>Loading...</v>
      </c>
      <c r="S3257" s="7" t="str">
        <f ca="1">IFERROR(__xludf.DUMMYFUNCTION("IMPORTXML(E3257,""/html/body/main/div[3]/div[3]/div[2]/ul/li[8]/span[2]/span"")"),"Loading...")</f>
        <v>Loading...</v>
      </c>
      <c r="T3257" s="4">
        <v>34.6</v>
      </c>
      <c r="U3257" s="4">
        <v>22.7</v>
      </c>
      <c r="V3257" s="4">
        <v>2.6</v>
      </c>
      <c r="W3257" s="4">
        <v>5.7</v>
      </c>
      <c r="X3257" s="4">
        <v>519.92999999999995</v>
      </c>
      <c r="Y3257" s="7">
        <f t="shared" ca="1" si="69"/>
        <v>-448.92999999999995</v>
      </c>
    </row>
    <row r="3258" spans="1:25" ht="15" x14ac:dyDescent="0.25">
      <c r="A3258" s="4">
        <v>3246</v>
      </c>
      <c r="C3258" s="41" t="s">
        <v>5593</v>
      </c>
      <c r="D3258" s="42"/>
      <c r="E3258" s="5" t="str">
        <f t="shared" si="65"/>
        <v>https://www.screener.in/company//consolidated/</v>
      </c>
      <c r="F3258" s="4">
        <v>443059</v>
      </c>
      <c r="G3258" s="4">
        <v>3832241897</v>
      </c>
      <c r="H3258" s="6" t="e">
        <f t="shared" ca="1" si="66"/>
        <v>#VALUE!</v>
      </c>
      <c r="I3258" s="7" t="str">
        <f ca="1">IFERROR(__xludf.DUMMYFUNCTION("IMPORTXML(E3258,""/html/body/main/div[3]/div[3]/div[2]/ul/li[5]/span[2]/span"")"),"Loading...")</f>
        <v>Loading...</v>
      </c>
      <c r="J3258" s="7" t="str">
        <f ca="1">IFERROR(__xludf.DUMMYFUNCTION("GOOGLEFINANCE(""NSE:""&amp;D3258,""marketcap"")"),"#N/A")</f>
        <v>#N/A</v>
      </c>
      <c r="K3258" s="7">
        <v>992.8</v>
      </c>
      <c r="L3258" s="8" t="str">
        <f ca="1">IFERROR(__xludf.DUMMYFUNCTION("GOOGLEFINANCE(""NSE:""&amp;D3258,""price"")"),"#N/A")</f>
        <v>#N/A</v>
      </c>
      <c r="M3258" s="9" t="e">
        <f t="shared" ca="1" si="67"/>
        <v>#VALUE!</v>
      </c>
      <c r="N3258" s="10" t="e">
        <f t="shared" ca="1" si="68"/>
        <v>#VALUE!</v>
      </c>
      <c r="O3258" s="7" t="str">
        <f ca="1">IFERROR(__xludf.DUMMYFUNCTION("GOOGLEFINANCE(""NSE:""&amp;D3258,""pe"")"),"#N/A")</f>
        <v>#N/A</v>
      </c>
      <c r="P3258" s="7" t="str">
        <f ca="1">IFERROR(__xludf.DUMMYFUNCTION("GOOGLEFINANCE(""NSE:""&amp;D3258,""EPS"")"),"#N/A")</f>
        <v>#N/A</v>
      </c>
      <c r="Q3258" s="7">
        <v>13.5</v>
      </c>
      <c r="R3258" s="7" t="str">
        <f ca="1">IFERROR(__xludf.DUMMYFUNCTION("IMPORTXML(E3258,""/html/body/main/div[3]/div[3]/div[2]/ul/li[7]/span[2]/span"")"),"Loading...")</f>
        <v>Loading...</v>
      </c>
      <c r="S3258" s="7" t="str">
        <f ca="1">IFERROR(__xludf.DUMMYFUNCTION("IMPORTXML(E3258,""/html/body/main/div[3]/div[3]/div[2]/ul/li[8]/span[2]/span"")"),"Loading...")</f>
        <v>Loading...</v>
      </c>
      <c r="T3258" s="4">
        <v>34.6</v>
      </c>
      <c r="U3258" s="4">
        <v>22.7</v>
      </c>
      <c r="V3258" s="4">
        <v>2.6</v>
      </c>
      <c r="W3258" s="4">
        <v>5.7</v>
      </c>
      <c r="X3258" s="4">
        <v>519.92999999999995</v>
      </c>
      <c r="Y3258" s="7" t="e">
        <f t="shared" ca="1" si="69"/>
        <v>#VALUE!</v>
      </c>
    </row>
    <row r="3259" spans="1:25" ht="15" x14ac:dyDescent="0.25">
      <c r="A3259" s="4">
        <v>3247</v>
      </c>
      <c r="C3259" s="41" t="s">
        <v>5594</v>
      </c>
      <c r="D3259" s="42"/>
      <c r="E3259" s="5" t="str">
        <f t="shared" si="65"/>
        <v>https://www.screener.in/company//consolidated/</v>
      </c>
      <c r="F3259" s="4">
        <v>443059</v>
      </c>
      <c r="G3259" s="4">
        <v>3832241897</v>
      </c>
      <c r="H3259" s="6" t="e">
        <f t="shared" ca="1" si="66"/>
        <v>#VALUE!</v>
      </c>
      <c r="I3259" s="7" t="str">
        <f ca="1">IFERROR(__xludf.DUMMYFUNCTION("IMPORTXML(E3259,""/html/body/main/div[3]/div[3]/div[2]/ul/li[5]/span[2]/span"")"),"Loading...")</f>
        <v>Loading...</v>
      </c>
      <c r="J3259" s="7" t="str">
        <f ca="1">IFERROR(__xludf.DUMMYFUNCTION("GOOGLEFINANCE(""NSE:""&amp;D3259,""marketcap"")"),"#N/A")</f>
        <v>#N/A</v>
      </c>
      <c r="K3259" s="7">
        <v>992.8</v>
      </c>
      <c r="L3259" s="8" t="str">
        <f ca="1">IFERROR(__xludf.DUMMYFUNCTION("GOOGLEFINANCE(""NSE:""&amp;D3259,""price"")"),"#N/A")</f>
        <v>#N/A</v>
      </c>
      <c r="M3259" s="9" t="e">
        <f t="shared" ca="1" si="67"/>
        <v>#VALUE!</v>
      </c>
      <c r="N3259" s="10" t="e">
        <f t="shared" ca="1" si="68"/>
        <v>#VALUE!</v>
      </c>
      <c r="O3259" s="7" t="str">
        <f ca="1">IFERROR(__xludf.DUMMYFUNCTION("GOOGLEFINANCE(""NSE:""&amp;D3259,""pe"")"),"#N/A")</f>
        <v>#N/A</v>
      </c>
      <c r="P3259" s="7" t="str">
        <f ca="1">IFERROR(__xludf.DUMMYFUNCTION("GOOGLEFINANCE(""NSE:""&amp;D3259,""EPS"")"),"#N/A")</f>
        <v>#N/A</v>
      </c>
      <c r="Q3259" s="7">
        <v>13.5</v>
      </c>
      <c r="R3259" s="7" t="str">
        <f ca="1">IFERROR(__xludf.DUMMYFUNCTION("IMPORTXML(E3259,""/html/body/main/div[3]/div[3]/div[2]/ul/li[7]/span[2]/span"")"),"Loading...")</f>
        <v>Loading...</v>
      </c>
      <c r="S3259" s="7" t="str">
        <f ca="1">IFERROR(__xludf.DUMMYFUNCTION("IMPORTXML(E3259,""/html/body/main/div[3]/div[3]/div[2]/ul/li[8]/span[2]/span"")"),"Loading...")</f>
        <v>Loading...</v>
      </c>
      <c r="T3259" s="4">
        <v>34.6</v>
      </c>
      <c r="U3259" s="4">
        <v>22.7</v>
      </c>
      <c r="V3259" s="4">
        <v>2.6</v>
      </c>
      <c r="W3259" s="4">
        <v>5.7</v>
      </c>
      <c r="X3259" s="4">
        <v>519.92999999999995</v>
      </c>
      <c r="Y3259" s="7" t="e">
        <f t="shared" ca="1" si="69"/>
        <v>#VALUE!</v>
      </c>
    </row>
    <row r="3260" spans="1:25" ht="15" x14ac:dyDescent="0.25">
      <c r="A3260" s="4">
        <v>3248</v>
      </c>
      <c r="C3260" s="41" t="s">
        <v>5595</v>
      </c>
      <c r="D3260" s="42"/>
      <c r="E3260" s="5" t="str">
        <f t="shared" si="65"/>
        <v>https://www.screener.in/company//consolidated/</v>
      </c>
      <c r="F3260" s="4">
        <v>443059</v>
      </c>
      <c r="G3260" s="4">
        <v>3832241897</v>
      </c>
      <c r="H3260" s="6" t="e">
        <f t="shared" ca="1" si="66"/>
        <v>#VALUE!</v>
      </c>
      <c r="I3260" s="7" t="str">
        <f ca="1">IFERROR(__xludf.DUMMYFUNCTION("IMPORTXML(E3260,""/html/body/main/div[3]/div[3]/div[2]/ul/li[5]/span[2]/span"")"),"Loading...")</f>
        <v>Loading...</v>
      </c>
      <c r="J3260" s="7" t="str">
        <f ca="1">IFERROR(__xludf.DUMMYFUNCTION("GOOGLEFINANCE(""NSE:""&amp;D3260,""marketcap"")"),"#N/A")</f>
        <v>#N/A</v>
      </c>
      <c r="K3260" s="7">
        <v>992.8</v>
      </c>
      <c r="L3260" s="8" t="str">
        <f ca="1">IFERROR(__xludf.DUMMYFUNCTION("GOOGLEFINANCE(""NSE:""&amp;D3260,""price"")"),"#N/A")</f>
        <v>#N/A</v>
      </c>
      <c r="M3260" s="9" t="e">
        <f t="shared" ca="1" si="67"/>
        <v>#VALUE!</v>
      </c>
      <c r="N3260" s="10" t="e">
        <f t="shared" ca="1" si="68"/>
        <v>#VALUE!</v>
      </c>
      <c r="O3260" s="7" t="str">
        <f ca="1">IFERROR(__xludf.DUMMYFUNCTION("GOOGLEFINANCE(""NSE:""&amp;D3260,""pe"")"),"#N/A")</f>
        <v>#N/A</v>
      </c>
      <c r="P3260" s="7" t="str">
        <f ca="1">IFERROR(__xludf.DUMMYFUNCTION("GOOGLEFINANCE(""NSE:""&amp;D3260,""EPS"")"),"#N/A")</f>
        <v>#N/A</v>
      </c>
      <c r="Q3260" s="7">
        <v>13.5</v>
      </c>
      <c r="R3260" s="7" t="str">
        <f ca="1">IFERROR(__xludf.DUMMYFUNCTION("IMPORTXML(E3260,""/html/body/main/div[3]/div[3]/div[2]/ul/li[7]/span[2]/span"")"),"Loading...")</f>
        <v>Loading...</v>
      </c>
      <c r="S3260" s="7" t="str">
        <f ca="1">IFERROR(__xludf.DUMMYFUNCTION("IMPORTXML(E3260,""/html/body/main/div[3]/div[3]/div[2]/ul/li[8]/span[2]/span"")"),"Loading...")</f>
        <v>Loading...</v>
      </c>
      <c r="T3260" s="4">
        <v>34.6</v>
      </c>
      <c r="U3260" s="4">
        <v>22.7</v>
      </c>
      <c r="V3260" s="4">
        <v>2.6</v>
      </c>
      <c r="W3260" s="4">
        <v>5.7</v>
      </c>
      <c r="X3260" s="4">
        <v>519.92999999999995</v>
      </c>
      <c r="Y3260" s="7" t="e">
        <f t="shared" ca="1" si="69"/>
        <v>#VALUE!</v>
      </c>
    </row>
    <row r="3261" spans="1:25" ht="15" x14ac:dyDescent="0.25">
      <c r="A3261" s="4">
        <v>3249</v>
      </c>
      <c r="C3261" s="41" t="s">
        <v>5596</v>
      </c>
      <c r="D3261" s="42"/>
      <c r="E3261" s="5" t="str">
        <f t="shared" si="65"/>
        <v>https://www.screener.in/company//consolidated/</v>
      </c>
      <c r="F3261" s="4">
        <v>443059</v>
      </c>
      <c r="G3261" s="4">
        <v>3832241897</v>
      </c>
      <c r="H3261" s="6" t="e">
        <f t="shared" ca="1" si="66"/>
        <v>#VALUE!</v>
      </c>
      <c r="I3261" s="7" t="str">
        <f ca="1">IFERROR(__xludf.DUMMYFUNCTION("IMPORTXML(E3261,""/html/body/main/div[3]/div[3]/div[2]/ul/li[5]/span[2]/span"")"),"Loading...")</f>
        <v>Loading...</v>
      </c>
      <c r="J3261" s="7" t="str">
        <f ca="1">IFERROR(__xludf.DUMMYFUNCTION("GOOGLEFINANCE(""NSE:""&amp;D3261,""marketcap"")"),"#N/A")</f>
        <v>#N/A</v>
      </c>
      <c r="K3261" s="7">
        <v>992.8</v>
      </c>
      <c r="L3261" s="8" t="str">
        <f ca="1">IFERROR(__xludf.DUMMYFUNCTION("GOOGLEFINANCE(""NSE:""&amp;D3261,""price"")"),"#N/A")</f>
        <v>#N/A</v>
      </c>
      <c r="M3261" s="9" t="e">
        <f t="shared" ca="1" si="67"/>
        <v>#VALUE!</v>
      </c>
      <c r="N3261" s="10" t="e">
        <f t="shared" ca="1" si="68"/>
        <v>#VALUE!</v>
      </c>
      <c r="O3261" s="7" t="str">
        <f ca="1">IFERROR(__xludf.DUMMYFUNCTION("GOOGLEFINANCE(""NSE:""&amp;D3261,""pe"")"),"#N/A")</f>
        <v>#N/A</v>
      </c>
      <c r="P3261" s="7" t="str">
        <f ca="1">IFERROR(__xludf.DUMMYFUNCTION("GOOGLEFINANCE(""NSE:""&amp;D3261,""EPS"")"),"#N/A")</f>
        <v>#N/A</v>
      </c>
      <c r="Q3261" s="7">
        <v>13.5</v>
      </c>
      <c r="R3261" s="7" t="str">
        <f ca="1">IFERROR(__xludf.DUMMYFUNCTION("IMPORTXML(E3261,""/html/body/main/div[3]/div[3]/div[2]/ul/li[7]/span[2]/span"")"),"Loading...")</f>
        <v>Loading...</v>
      </c>
      <c r="S3261" s="7" t="str">
        <f ca="1">IFERROR(__xludf.DUMMYFUNCTION("IMPORTXML(E3261,""/html/body/main/div[3]/div[3]/div[2]/ul/li[8]/span[2]/span"")"),"Loading...")</f>
        <v>Loading...</v>
      </c>
      <c r="T3261" s="4">
        <v>34.6</v>
      </c>
      <c r="U3261" s="4">
        <v>22.7</v>
      </c>
      <c r="V3261" s="4">
        <v>2.6</v>
      </c>
      <c r="W3261" s="4">
        <v>5.7</v>
      </c>
      <c r="X3261" s="4">
        <v>519.92999999999995</v>
      </c>
      <c r="Y3261" s="7" t="e">
        <f t="shared" ca="1" si="69"/>
        <v>#VALUE!</v>
      </c>
    </row>
    <row r="3262" spans="1:25" ht="15" x14ac:dyDescent="0.25">
      <c r="A3262" s="4">
        <v>3250</v>
      </c>
      <c r="C3262" s="41" t="s">
        <v>5597</v>
      </c>
      <c r="D3262" s="42"/>
      <c r="E3262" s="5" t="str">
        <f t="shared" si="65"/>
        <v>https://www.screener.in/company//consolidated/</v>
      </c>
      <c r="F3262" s="4">
        <v>443059</v>
      </c>
      <c r="G3262" s="4">
        <v>3832241897</v>
      </c>
      <c r="H3262" s="6" t="e">
        <f t="shared" ca="1" si="66"/>
        <v>#VALUE!</v>
      </c>
      <c r="I3262" s="7" t="str">
        <f ca="1">IFERROR(__xludf.DUMMYFUNCTION("IMPORTXML(E3262,""/html/body/main/div[3]/div[3]/div[2]/ul/li[5]/span[2]/span"")"),"Loading...")</f>
        <v>Loading...</v>
      </c>
      <c r="J3262" s="7" t="str">
        <f ca="1">IFERROR(__xludf.DUMMYFUNCTION("GOOGLEFINANCE(""NSE:""&amp;D3262,""marketcap"")"),"#N/A")</f>
        <v>#N/A</v>
      </c>
      <c r="K3262" s="7">
        <v>992.8</v>
      </c>
      <c r="L3262" s="8" t="str">
        <f ca="1">IFERROR(__xludf.DUMMYFUNCTION("GOOGLEFINANCE(""NSE:""&amp;D3262,""price"")"),"#N/A")</f>
        <v>#N/A</v>
      </c>
      <c r="M3262" s="9" t="e">
        <f t="shared" ca="1" si="67"/>
        <v>#VALUE!</v>
      </c>
      <c r="N3262" s="10" t="e">
        <f t="shared" ca="1" si="68"/>
        <v>#VALUE!</v>
      </c>
      <c r="O3262" s="7" t="str">
        <f ca="1">IFERROR(__xludf.DUMMYFUNCTION("GOOGLEFINANCE(""NSE:""&amp;D3262,""pe"")"),"#N/A")</f>
        <v>#N/A</v>
      </c>
      <c r="P3262" s="7" t="str">
        <f ca="1">IFERROR(__xludf.DUMMYFUNCTION("GOOGLEFINANCE(""NSE:""&amp;D3262,""EPS"")"),"#N/A")</f>
        <v>#N/A</v>
      </c>
      <c r="Q3262" s="7">
        <v>13.5</v>
      </c>
      <c r="R3262" s="7" t="str">
        <f ca="1">IFERROR(__xludf.DUMMYFUNCTION("IMPORTXML(E3262,""/html/body/main/div[3]/div[3]/div[2]/ul/li[7]/span[2]/span"")"),"Loading...")</f>
        <v>Loading...</v>
      </c>
      <c r="S3262" s="7" t="str">
        <f ca="1">IFERROR(__xludf.DUMMYFUNCTION("IMPORTXML(E3262,""/html/body/main/div[3]/div[3]/div[2]/ul/li[8]/span[2]/span"")"),"Loading...")</f>
        <v>Loading...</v>
      </c>
      <c r="T3262" s="4">
        <v>34.6</v>
      </c>
      <c r="U3262" s="4">
        <v>22.7</v>
      </c>
      <c r="V3262" s="4">
        <v>2.6</v>
      </c>
      <c r="W3262" s="4">
        <v>5.7</v>
      </c>
      <c r="X3262" s="4">
        <v>519.92999999999995</v>
      </c>
      <c r="Y3262" s="7" t="e">
        <f t="shared" ca="1" si="69"/>
        <v>#VALUE!</v>
      </c>
    </row>
    <row r="3263" spans="1:25" ht="15" x14ac:dyDescent="0.25">
      <c r="A3263" s="4">
        <v>3251</v>
      </c>
      <c r="C3263" s="41" t="s">
        <v>5598</v>
      </c>
      <c r="D3263" s="42"/>
      <c r="E3263" s="5" t="str">
        <f t="shared" si="65"/>
        <v>https://www.screener.in/company//consolidated/</v>
      </c>
      <c r="F3263" s="4">
        <v>443059</v>
      </c>
      <c r="G3263" s="4">
        <v>3832241897</v>
      </c>
      <c r="H3263" s="6" t="e">
        <f t="shared" ca="1" si="66"/>
        <v>#VALUE!</v>
      </c>
      <c r="I3263" s="7" t="str">
        <f ca="1">IFERROR(__xludf.DUMMYFUNCTION("IMPORTXML(E3263,""/html/body/main/div[3]/div[3]/div[2]/ul/li[5]/span[2]/span"")"),"Loading...")</f>
        <v>Loading...</v>
      </c>
      <c r="J3263" s="7" t="str">
        <f ca="1">IFERROR(__xludf.DUMMYFUNCTION("GOOGLEFINANCE(""NSE:""&amp;D3263,""marketcap"")"),"#N/A")</f>
        <v>#N/A</v>
      </c>
      <c r="K3263" s="7">
        <v>992.8</v>
      </c>
      <c r="L3263" s="8" t="str">
        <f ca="1">IFERROR(__xludf.DUMMYFUNCTION("GOOGLEFINANCE(""NSE:""&amp;D3263,""price"")"),"#N/A")</f>
        <v>#N/A</v>
      </c>
      <c r="M3263" s="9" t="e">
        <f t="shared" ca="1" si="67"/>
        <v>#VALUE!</v>
      </c>
      <c r="N3263" s="10" t="e">
        <f t="shared" ca="1" si="68"/>
        <v>#VALUE!</v>
      </c>
      <c r="O3263" s="7" t="str">
        <f ca="1">IFERROR(__xludf.DUMMYFUNCTION("GOOGLEFINANCE(""NSE:""&amp;D3263,""pe"")"),"#N/A")</f>
        <v>#N/A</v>
      </c>
      <c r="P3263" s="7" t="str">
        <f ca="1">IFERROR(__xludf.DUMMYFUNCTION("GOOGLEFINANCE(""NSE:""&amp;D3263,""EPS"")"),"#N/A")</f>
        <v>#N/A</v>
      </c>
      <c r="Q3263" s="7">
        <v>13.5</v>
      </c>
      <c r="R3263" s="7" t="str">
        <f ca="1">IFERROR(__xludf.DUMMYFUNCTION("IMPORTXML(E3263,""/html/body/main/div[3]/div[3]/div[2]/ul/li[7]/span[2]/span"")"),"Loading...")</f>
        <v>Loading...</v>
      </c>
      <c r="S3263" s="7" t="str">
        <f ca="1">IFERROR(__xludf.DUMMYFUNCTION("IMPORTXML(E3263,""/html/body/main/div[3]/div[3]/div[2]/ul/li[8]/span[2]/span"")"),"Loading...")</f>
        <v>Loading...</v>
      </c>
      <c r="T3263" s="4">
        <v>34.6</v>
      </c>
      <c r="U3263" s="4">
        <v>22.7</v>
      </c>
      <c r="V3263" s="4">
        <v>2.6</v>
      </c>
      <c r="W3263" s="4">
        <v>5.7</v>
      </c>
      <c r="X3263" s="4">
        <v>519.92999999999995</v>
      </c>
      <c r="Y3263" s="7" t="e">
        <f t="shared" ca="1" si="69"/>
        <v>#VALUE!</v>
      </c>
    </row>
    <row r="3264" spans="1:25" ht="15" x14ac:dyDescent="0.25">
      <c r="A3264" s="4">
        <v>3252</v>
      </c>
      <c r="C3264" s="41" t="s">
        <v>5599</v>
      </c>
      <c r="D3264" s="42"/>
      <c r="E3264" s="5" t="str">
        <f t="shared" si="65"/>
        <v>https://www.screener.in/company//consolidated/</v>
      </c>
      <c r="F3264" s="4">
        <v>443059</v>
      </c>
      <c r="G3264" s="4">
        <v>3832241897</v>
      </c>
      <c r="H3264" s="6" t="e">
        <f t="shared" ca="1" si="66"/>
        <v>#VALUE!</v>
      </c>
      <c r="I3264" s="7" t="str">
        <f ca="1">IFERROR(__xludf.DUMMYFUNCTION("IMPORTXML(E3264,""/html/body/main/div[3]/div[3]/div[2]/ul/li[5]/span[2]/span"")"),"Loading...")</f>
        <v>Loading...</v>
      </c>
      <c r="J3264" s="7" t="str">
        <f ca="1">IFERROR(__xludf.DUMMYFUNCTION("GOOGLEFINANCE(""NSE:""&amp;D3264,""marketcap"")"),"#N/A")</f>
        <v>#N/A</v>
      </c>
      <c r="K3264" s="7">
        <v>992.8</v>
      </c>
      <c r="L3264" s="8" t="str">
        <f ca="1">IFERROR(__xludf.DUMMYFUNCTION("GOOGLEFINANCE(""NSE:""&amp;D3264,""price"")"),"#N/A")</f>
        <v>#N/A</v>
      </c>
      <c r="M3264" s="9" t="e">
        <f t="shared" ca="1" si="67"/>
        <v>#VALUE!</v>
      </c>
      <c r="N3264" s="10" t="e">
        <f t="shared" ca="1" si="68"/>
        <v>#VALUE!</v>
      </c>
      <c r="O3264" s="7" t="str">
        <f ca="1">IFERROR(__xludf.DUMMYFUNCTION("GOOGLEFINANCE(""NSE:""&amp;D3264,""pe"")"),"#N/A")</f>
        <v>#N/A</v>
      </c>
      <c r="P3264" s="7" t="str">
        <f ca="1">IFERROR(__xludf.DUMMYFUNCTION("GOOGLEFINANCE(""NSE:""&amp;D3264,""EPS"")"),"#N/A")</f>
        <v>#N/A</v>
      </c>
      <c r="Q3264" s="7">
        <v>13.5</v>
      </c>
      <c r="R3264" s="7" t="str">
        <f ca="1">IFERROR(__xludf.DUMMYFUNCTION("IMPORTXML(E3264,""/html/body/main/div[3]/div[3]/div[2]/ul/li[7]/span[2]/span"")"),"Loading...")</f>
        <v>Loading...</v>
      </c>
      <c r="S3264" s="7" t="str">
        <f ca="1">IFERROR(__xludf.DUMMYFUNCTION("IMPORTXML(E3264,""/html/body/main/div[3]/div[3]/div[2]/ul/li[8]/span[2]/span"")"),"Loading...")</f>
        <v>Loading...</v>
      </c>
      <c r="T3264" s="4">
        <v>34.6</v>
      </c>
      <c r="U3264" s="4">
        <v>22.7</v>
      </c>
      <c r="V3264" s="4">
        <v>2.6</v>
      </c>
      <c r="W3264" s="4">
        <v>5.7</v>
      </c>
      <c r="X3264" s="4">
        <v>519.92999999999995</v>
      </c>
      <c r="Y3264" s="7" t="e">
        <f t="shared" ca="1" si="69"/>
        <v>#VALUE!</v>
      </c>
    </row>
    <row r="3265" spans="1:25" ht="15" x14ac:dyDescent="0.25">
      <c r="A3265" s="4">
        <v>3253</v>
      </c>
      <c r="C3265" s="41" t="s">
        <v>5600</v>
      </c>
      <c r="D3265" s="42"/>
      <c r="E3265" s="5" t="str">
        <f t="shared" si="65"/>
        <v>https://www.screener.in/company//consolidated/</v>
      </c>
      <c r="F3265" s="4">
        <v>443059</v>
      </c>
      <c r="G3265" s="4">
        <v>3832241897</v>
      </c>
      <c r="H3265" s="6" t="e">
        <f t="shared" ca="1" si="66"/>
        <v>#VALUE!</v>
      </c>
      <c r="I3265" s="7" t="str">
        <f ca="1">IFERROR(__xludf.DUMMYFUNCTION("IMPORTXML(E3265,""/html/body/main/div[3]/div[3]/div[2]/ul/li[5]/span[2]/span"")"),"Loading...")</f>
        <v>Loading...</v>
      </c>
      <c r="J3265" s="7" t="str">
        <f ca="1">IFERROR(__xludf.DUMMYFUNCTION("GOOGLEFINANCE(""NSE:""&amp;D3265,""marketcap"")"),"#N/A")</f>
        <v>#N/A</v>
      </c>
      <c r="K3265" s="7">
        <v>992.8</v>
      </c>
      <c r="L3265" s="8" t="str">
        <f ca="1">IFERROR(__xludf.DUMMYFUNCTION("GOOGLEFINANCE(""NSE:""&amp;D3265,""price"")"),"#N/A")</f>
        <v>#N/A</v>
      </c>
      <c r="M3265" s="9" t="e">
        <f t="shared" ca="1" si="67"/>
        <v>#VALUE!</v>
      </c>
      <c r="N3265" s="10" t="e">
        <f t="shared" ca="1" si="68"/>
        <v>#VALUE!</v>
      </c>
      <c r="O3265" s="7" t="str">
        <f ca="1">IFERROR(__xludf.DUMMYFUNCTION("GOOGLEFINANCE(""NSE:""&amp;D3265,""pe"")"),"#N/A")</f>
        <v>#N/A</v>
      </c>
      <c r="P3265" s="7" t="str">
        <f ca="1">IFERROR(__xludf.DUMMYFUNCTION("GOOGLEFINANCE(""NSE:""&amp;D3265,""EPS"")"),"#N/A")</f>
        <v>#N/A</v>
      </c>
      <c r="Q3265" s="7">
        <v>13.5</v>
      </c>
      <c r="R3265" s="7" t="str">
        <f ca="1">IFERROR(__xludf.DUMMYFUNCTION("IMPORTXML(E3265,""/html/body/main/div[3]/div[3]/div[2]/ul/li[7]/span[2]/span"")"),"Loading...")</f>
        <v>Loading...</v>
      </c>
      <c r="S3265" s="7" t="str">
        <f ca="1">IFERROR(__xludf.DUMMYFUNCTION("IMPORTXML(E3265,""/html/body/main/div[3]/div[3]/div[2]/ul/li[8]/span[2]/span"")"),"Loading...")</f>
        <v>Loading...</v>
      </c>
      <c r="T3265" s="4">
        <v>34.6</v>
      </c>
      <c r="U3265" s="4">
        <v>22.7</v>
      </c>
      <c r="V3265" s="4">
        <v>2.6</v>
      </c>
      <c r="W3265" s="4">
        <v>5.7</v>
      </c>
      <c r="X3265" s="4">
        <v>519.92999999999995</v>
      </c>
      <c r="Y3265" s="7" t="e">
        <f t="shared" ca="1" si="69"/>
        <v>#VALUE!</v>
      </c>
    </row>
    <row r="3266" spans="1:25" ht="15" x14ac:dyDescent="0.25">
      <c r="A3266" s="4">
        <v>3254</v>
      </c>
      <c r="C3266" s="41" t="s">
        <v>5601</v>
      </c>
      <c r="D3266" s="42"/>
      <c r="E3266" s="5" t="str">
        <f t="shared" si="65"/>
        <v>https://www.screener.in/company//consolidated/</v>
      </c>
      <c r="F3266" s="4">
        <v>443059</v>
      </c>
      <c r="G3266" s="4">
        <v>3832241897</v>
      </c>
      <c r="H3266" s="6" t="e">
        <f t="shared" ca="1" si="66"/>
        <v>#VALUE!</v>
      </c>
      <c r="I3266" s="7" t="str">
        <f ca="1">IFERROR(__xludf.DUMMYFUNCTION("IMPORTXML(E3266,""/html/body/main/div[3]/div[3]/div[2]/ul/li[5]/span[2]/span"")"),"Loading...")</f>
        <v>Loading...</v>
      </c>
      <c r="J3266" s="7" t="str">
        <f ca="1">IFERROR(__xludf.DUMMYFUNCTION("GOOGLEFINANCE(""NSE:""&amp;D3266,""marketcap"")"),"#N/A")</f>
        <v>#N/A</v>
      </c>
      <c r="K3266" s="7">
        <v>992.8</v>
      </c>
      <c r="L3266" s="8" t="str">
        <f ca="1">IFERROR(__xludf.DUMMYFUNCTION("GOOGLEFINANCE(""NSE:""&amp;D3266,""price"")"),"#N/A")</f>
        <v>#N/A</v>
      </c>
      <c r="M3266" s="9" t="e">
        <f t="shared" ca="1" si="67"/>
        <v>#VALUE!</v>
      </c>
      <c r="N3266" s="10" t="e">
        <f t="shared" ca="1" si="68"/>
        <v>#VALUE!</v>
      </c>
      <c r="O3266" s="7" t="str">
        <f ca="1">IFERROR(__xludf.DUMMYFUNCTION("GOOGLEFINANCE(""NSE:""&amp;D3266,""pe"")"),"#N/A")</f>
        <v>#N/A</v>
      </c>
      <c r="P3266" s="7" t="str">
        <f ca="1">IFERROR(__xludf.DUMMYFUNCTION("GOOGLEFINANCE(""NSE:""&amp;D3266,""EPS"")"),"#N/A")</f>
        <v>#N/A</v>
      </c>
      <c r="Q3266" s="7">
        <v>13.5</v>
      </c>
      <c r="R3266" s="7" t="str">
        <f ca="1">IFERROR(__xludf.DUMMYFUNCTION("IMPORTXML(E3266,""/html/body/main/div[3]/div[3]/div[2]/ul/li[7]/span[2]/span"")"),"Loading...")</f>
        <v>Loading...</v>
      </c>
      <c r="S3266" s="7" t="str">
        <f ca="1">IFERROR(__xludf.DUMMYFUNCTION("IMPORTXML(E3266,""/html/body/main/div[3]/div[3]/div[2]/ul/li[8]/span[2]/span"")"),"Loading...")</f>
        <v>Loading...</v>
      </c>
      <c r="T3266" s="4">
        <v>34.6</v>
      </c>
      <c r="U3266" s="4">
        <v>22.7</v>
      </c>
      <c r="V3266" s="4">
        <v>2.6</v>
      </c>
      <c r="W3266" s="4">
        <v>5.7</v>
      </c>
      <c r="X3266" s="4">
        <v>519.92999999999995</v>
      </c>
      <c r="Y3266" s="7" t="e">
        <f t="shared" ca="1" si="69"/>
        <v>#VALUE!</v>
      </c>
    </row>
    <row r="3267" spans="1:25" ht="15" x14ac:dyDescent="0.25">
      <c r="A3267" s="4">
        <v>3255</v>
      </c>
      <c r="C3267" s="12" t="s">
        <v>5602</v>
      </c>
      <c r="D3267" s="12" t="s">
        <v>5603</v>
      </c>
      <c r="E3267" s="5" t="str">
        <f t="shared" si="65"/>
        <v>https://www.screener.in/company/SUULD/consolidated/</v>
      </c>
      <c r="F3267" s="4">
        <v>443059</v>
      </c>
      <c r="G3267" s="4">
        <v>3832241897</v>
      </c>
      <c r="H3267" s="6">
        <f t="shared" ca="1" si="66"/>
        <v>785.60958888499999</v>
      </c>
      <c r="I3267" s="7" t="str">
        <f ca="1">IFERROR(__xludf.DUMMYFUNCTION("IMPORTXML(E3267,""/html/body/main/div[3]/div[3]/div[2]/ul/li[5]/span[2]/span"")"),"Loading...")</f>
        <v>Loading...</v>
      </c>
      <c r="J3267" s="7">
        <f ca="1">IFERROR(__xludf.DUMMYFUNCTION("GOOGLEFINANCE(""NSE:""&amp;D3267,""marketcap"")"),137381000)</f>
        <v>137381000</v>
      </c>
      <c r="K3267" s="7">
        <v>992.8</v>
      </c>
      <c r="L3267" s="8">
        <f ca="1">IFERROR(__xludf.DUMMYFUNCTION("GOOGLEFINANCE(""NSE:""&amp;D3267,""price"")"),2.05)</f>
        <v>2.0499999999999998</v>
      </c>
      <c r="M3267" s="9">
        <f t="shared" ca="1" si="67"/>
        <v>-990.75</v>
      </c>
      <c r="N3267" s="10">
        <f t="shared" ca="1" si="68"/>
        <v>-99.793513295729255</v>
      </c>
      <c r="O3267" s="7" t="str">
        <f ca="1">IFERROR(__xludf.DUMMYFUNCTION("GOOGLEFINANCE(""NSE:""&amp;D3267,""pe"")"),"#N/A")</f>
        <v>#N/A</v>
      </c>
      <c r="P3267" s="7" t="str">
        <f ca="1">IFERROR(__xludf.DUMMYFUNCTION("GOOGLEFINANCE(""NSE:""&amp;D3267,""EPS"")"),"#N/A")</f>
        <v>#N/A</v>
      </c>
      <c r="Q3267" s="7">
        <v>13.5</v>
      </c>
      <c r="R3267" s="7" t="str">
        <f ca="1">IFERROR(__xludf.DUMMYFUNCTION("IMPORTXML(E3267,""/html/body/main/div[3]/div[3]/div[2]/ul/li[7]/span[2]/span"")"),"Loading...")</f>
        <v>Loading...</v>
      </c>
      <c r="S3267" s="7" t="str">
        <f ca="1">IFERROR(__xludf.DUMMYFUNCTION("IMPORTXML(E3267,""/html/body/main/div[3]/div[3]/div[2]/ul/li[8]/span[2]/span"")"),"Loading...")</f>
        <v>Loading...</v>
      </c>
      <c r="T3267" s="4">
        <v>34.6</v>
      </c>
      <c r="U3267" s="4">
        <v>22.7</v>
      </c>
      <c r="V3267" s="4">
        <v>2.6</v>
      </c>
      <c r="W3267" s="4">
        <v>5.7</v>
      </c>
      <c r="X3267" s="4">
        <v>519.92999999999995</v>
      </c>
      <c r="Y3267" s="7">
        <f t="shared" ca="1" si="69"/>
        <v>-517.88</v>
      </c>
    </row>
    <row r="3268" spans="1:25" ht="15" x14ac:dyDescent="0.25">
      <c r="A3268" s="4">
        <v>3256</v>
      </c>
      <c r="C3268" s="41" t="s">
        <v>5604</v>
      </c>
      <c r="D3268" s="42"/>
      <c r="E3268" s="5" t="str">
        <f t="shared" si="65"/>
        <v>https://www.screener.in/company//consolidated/</v>
      </c>
      <c r="F3268" s="4">
        <v>443059</v>
      </c>
      <c r="G3268" s="4">
        <v>3832241897</v>
      </c>
      <c r="H3268" s="6" t="e">
        <f t="shared" ca="1" si="66"/>
        <v>#VALUE!</v>
      </c>
      <c r="I3268" s="7" t="str">
        <f ca="1">IFERROR(__xludf.DUMMYFUNCTION("IMPORTXML(E3268,""/html/body/main/div[3]/div[3]/div[2]/ul/li[5]/span[2]/span"")"),"Loading...")</f>
        <v>Loading...</v>
      </c>
      <c r="J3268" s="7" t="str">
        <f ca="1">IFERROR(__xludf.DUMMYFUNCTION("GOOGLEFINANCE(""NSE:""&amp;D3268,""marketcap"")"),"#N/A")</f>
        <v>#N/A</v>
      </c>
      <c r="K3268" s="7">
        <v>992.8</v>
      </c>
      <c r="L3268" s="8" t="str">
        <f ca="1">IFERROR(__xludf.DUMMYFUNCTION("GOOGLEFINANCE(""NSE:""&amp;D3268,""price"")"),"#N/A")</f>
        <v>#N/A</v>
      </c>
      <c r="M3268" s="9" t="e">
        <f t="shared" ca="1" si="67"/>
        <v>#VALUE!</v>
      </c>
      <c r="N3268" s="10" t="e">
        <f t="shared" ca="1" si="68"/>
        <v>#VALUE!</v>
      </c>
      <c r="O3268" s="7" t="str">
        <f ca="1">IFERROR(__xludf.DUMMYFUNCTION("GOOGLEFINANCE(""NSE:""&amp;D3268,""pe"")"),"#N/A")</f>
        <v>#N/A</v>
      </c>
      <c r="P3268" s="7" t="str">
        <f ca="1">IFERROR(__xludf.DUMMYFUNCTION("GOOGLEFINANCE(""NSE:""&amp;D3268,""EPS"")"),"#N/A")</f>
        <v>#N/A</v>
      </c>
      <c r="Q3268" s="7">
        <v>13.5</v>
      </c>
      <c r="R3268" s="7" t="str">
        <f ca="1">IFERROR(__xludf.DUMMYFUNCTION("IMPORTXML(E3268,""/html/body/main/div[3]/div[3]/div[2]/ul/li[7]/span[2]/span"")"),"Loading...")</f>
        <v>Loading...</v>
      </c>
      <c r="S3268" s="7" t="str">
        <f ca="1">IFERROR(__xludf.DUMMYFUNCTION("IMPORTXML(E3268,""/html/body/main/div[3]/div[3]/div[2]/ul/li[8]/span[2]/span"")"),"Loading...")</f>
        <v>Loading...</v>
      </c>
      <c r="T3268" s="4">
        <v>34.6</v>
      </c>
      <c r="U3268" s="4">
        <v>22.7</v>
      </c>
      <c r="V3268" s="4">
        <v>2.6</v>
      </c>
      <c r="W3268" s="4">
        <v>5.7</v>
      </c>
      <c r="X3268" s="4">
        <v>519.92999999999995</v>
      </c>
      <c r="Y3268" s="7" t="e">
        <f t="shared" ca="1" si="69"/>
        <v>#VALUE!</v>
      </c>
    </row>
    <row r="3269" spans="1:25" ht="15" x14ac:dyDescent="0.25">
      <c r="A3269" s="4">
        <v>3257</v>
      </c>
      <c r="C3269" s="12" t="s">
        <v>5605</v>
      </c>
      <c r="D3269" s="12" t="s">
        <v>5606</v>
      </c>
      <c r="E3269" s="5" t="str">
        <f t="shared" si="65"/>
        <v>https://www.screener.in/company/GAYAHWS/consolidated/</v>
      </c>
      <c r="F3269" s="4">
        <v>443059</v>
      </c>
      <c r="G3269" s="4">
        <v>3832241897</v>
      </c>
      <c r="H3269" s="6">
        <f t="shared" ca="1" si="66"/>
        <v>804.77079837000008</v>
      </c>
      <c r="I3269" s="7" t="str">
        <f ca="1">IFERROR(__xludf.DUMMYFUNCTION("IMPORTXML(E3269,""/html/body/main/div[3]/div[3]/div[2]/ul/li[5]/span[2]/span"")"),"Loading...")</f>
        <v>Loading...</v>
      </c>
      <c r="J3269" s="7">
        <f ca="1">IFERROR(__xludf.DUMMYFUNCTION("GOOGLEFINANCE(""NSE:""&amp;D3269,""marketcap"")"),503269000)</f>
        <v>503269000</v>
      </c>
      <c r="K3269" s="7">
        <v>992.8</v>
      </c>
      <c r="L3269" s="8">
        <f ca="1">IFERROR(__xludf.DUMMYFUNCTION("GOOGLEFINANCE(""NSE:""&amp;D3269,""price"")"),2.1)</f>
        <v>2.1</v>
      </c>
      <c r="M3269" s="9">
        <f t="shared" ca="1" si="67"/>
        <v>-990.69999999999993</v>
      </c>
      <c r="N3269" s="10">
        <f t="shared" ca="1" si="68"/>
        <v>-99.788477034649475</v>
      </c>
      <c r="O3269" s="7">
        <f ca="1">IFERROR(__xludf.DUMMYFUNCTION("GOOGLEFINANCE(""NSE:""&amp;D3269,""pe"")"),0.04)</f>
        <v>0.04</v>
      </c>
      <c r="P3269" s="7">
        <f ca="1">IFERROR(__xludf.DUMMYFUNCTION("GOOGLEFINANCE(""NSE:""&amp;D3269,""EPS"")"),50.13)</f>
        <v>50.13</v>
      </c>
      <c r="Q3269" s="7">
        <v>13.5</v>
      </c>
      <c r="R3269" s="7" t="str">
        <f ca="1">IFERROR(__xludf.DUMMYFUNCTION("IMPORTXML(E3269,""/html/body/main/div[3]/div[3]/div[2]/ul/li[7]/span[2]/span"")"),"Loading...")</f>
        <v>Loading...</v>
      </c>
      <c r="S3269" s="7" t="str">
        <f ca="1">IFERROR(__xludf.DUMMYFUNCTION("IMPORTXML(E3269,""/html/body/main/div[3]/div[3]/div[2]/ul/li[8]/span[2]/span"")"),"Loading...")</f>
        <v>Loading...</v>
      </c>
      <c r="T3269" s="4">
        <v>34.6</v>
      </c>
      <c r="U3269" s="4">
        <v>22.7</v>
      </c>
      <c r="V3269" s="4">
        <v>2.6</v>
      </c>
      <c r="W3269" s="4">
        <v>5.7</v>
      </c>
      <c r="X3269" s="4">
        <v>519.92999999999995</v>
      </c>
      <c r="Y3269" s="7">
        <f t="shared" ca="1" si="69"/>
        <v>-517.82999999999993</v>
      </c>
    </row>
    <row r="3270" spans="1:25" ht="15" x14ac:dyDescent="0.25">
      <c r="A3270" s="4">
        <v>3258</v>
      </c>
      <c r="C3270" s="41" t="s">
        <v>5607</v>
      </c>
      <c r="D3270" s="42"/>
      <c r="E3270" s="5" t="str">
        <f t="shared" si="65"/>
        <v>https://www.screener.in/company//consolidated/</v>
      </c>
      <c r="F3270" s="4">
        <v>443059</v>
      </c>
      <c r="G3270" s="4">
        <v>3832241897</v>
      </c>
      <c r="H3270" s="6" t="e">
        <f t="shared" ca="1" si="66"/>
        <v>#VALUE!</v>
      </c>
      <c r="I3270" s="7" t="str">
        <f ca="1">IFERROR(__xludf.DUMMYFUNCTION("IMPORTXML(E3270,""/html/body/main/div[3]/div[3]/div[2]/ul/li[5]/span[2]/span"")"),"Loading...")</f>
        <v>Loading...</v>
      </c>
      <c r="J3270" s="7" t="str">
        <f ca="1">IFERROR(__xludf.DUMMYFUNCTION("GOOGLEFINANCE(""NSE:""&amp;D3270,""marketcap"")"),"#N/A")</f>
        <v>#N/A</v>
      </c>
      <c r="K3270" s="7">
        <v>992.8</v>
      </c>
      <c r="L3270" s="8" t="str">
        <f ca="1">IFERROR(__xludf.DUMMYFUNCTION("GOOGLEFINANCE(""NSE:""&amp;D3270,""price"")"),"#N/A")</f>
        <v>#N/A</v>
      </c>
      <c r="M3270" s="9" t="e">
        <f t="shared" ca="1" si="67"/>
        <v>#VALUE!</v>
      </c>
      <c r="N3270" s="10" t="e">
        <f t="shared" ca="1" si="68"/>
        <v>#VALUE!</v>
      </c>
      <c r="O3270" s="7" t="str">
        <f ca="1">IFERROR(__xludf.DUMMYFUNCTION("GOOGLEFINANCE(""NSE:""&amp;D3270,""pe"")"),"#N/A")</f>
        <v>#N/A</v>
      </c>
      <c r="P3270" s="7" t="str">
        <f ca="1">IFERROR(__xludf.DUMMYFUNCTION("GOOGLEFINANCE(""NSE:""&amp;D3270,""EPS"")"),"#N/A")</f>
        <v>#N/A</v>
      </c>
      <c r="Q3270" s="7">
        <v>13.5</v>
      </c>
      <c r="R3270" s="7" t="str">
        <f ca="1">IFERROR(__xludf.DUMMYFUNCTION("IMPORTXML(E3270,""/html/body/main/div[3]/div[3]/div[2]/ul/li[7]/span[2]/span"")"),"Loading...")</f>
        <v>Loading...</v>
      </c>
      <c r="S3270" s="7" t="str">
        <f ca="1">IFERROR(__xludf.DUMMYFUNCTION("IMPORTXML(E3270,""/html/body/main/div[3]/div[3]/div[2]/ul/li[8]/span[2]/span"")"),"Loading...")</f>
        <v>Loading...</v>
      </c>
      <c r="T3270" s="4">
        <v>34.6</v>
      </c>
      <c r="U3270" s="4">
        <v>22.7</v>
      </c>
      <c r="V3270" s="4">
        <v>2.6</v>
      </c>
      <c r="W3270" s="4">
        <v>5.7</v>
      </c>
      <c r="X3270" s="4">
        <v>519.92999999999995</v>
      </c>
      <c r="Y3270" s="7" t="e">
        <f t="shared" ca="1" si="69"/>
        <v>#VALUE!</v>
      </c>
    </row>
    <row r="3271" spans="1:25" ht="15" x14ac:dyDescent="0.25">
      <c r="A3271" s="4">
        <v>3260</v>
      </c>
      <c r="C3271" s="41" t="s">
        <v>5608</v>
      </c>
      <c r="D3271" s="42"/>
      <c r="E3271" s="5" t="str">
        <f t="shared" si="65"/>
        <v>https://www.screener.in/company//consolidated/</v>
      </c>
      <c r="F3271" s="4">
        <v>443059</v>
      </c>
      <c r="G3271" s="4">
        <v>3832241897</v>
      </c>
      <c r="H3271" s="6" t="e">
        <f t="shared" ca="1" si="66"/>
        <v>#VALUE!</v>
      </c>
      <c r="I3271" s="7" t="str">
        <f ca="1">IFERROR(__xludf.DUMMYFUNCTION("IMPORTXML(E3271,""/html/body/main/div[3]/div[3]/div[2]/ul/li[5]/span[2]/span"")"),"Loading...")</f>
        <v>Loading...</v>
      </c>
      <c r="J3271" s="7" t="str">
        <f ca="1">IFERROR(__xludf.DUMMYFUNCTION("GOOGLEFINANCE(""NSE:""&amp;D3271,""marketcap"")"),"#N/A")</f>
        <v>#N/A</v>
      </c>
      <c r="K3271" s="7">
        <v>992.8</v>
      </c>
      <c r="L3271" s="8" t="str">
        <f ca="1">IFERROR(__xludf.DUMMYFUNCTION("GOOGLEFINANCE(""NSE:""&amp;D3271,""price"")"),"#N/A")</f>
        <v>#N/A</v>
      </c>
      <c r="M3271" s="9" t="e">
        <f t="shared" ca="1" si="67"/>
        <v>#VALUE!</v>
      </c>
      <c r="N3271" s="10" t="e">
        <f t="shared" ca="1" si="68"/>
        <v>#VALUE!</v>
      </c>
      <c r="O3271" s="7" t="str">
        <f ca="1">IFERROR(__xludf.DUMMYFUNCTION("GOOGLEFINANCE(""NSE:""&amp;D3271,""pe"")"),"#N/A")</f>
        <v>#N/A</v>
      </c>
      <c r="P3271" s="7" t="str">
        <f ca="1">IFERROR(__xludf.DUMMYFUNCTION("GOOGLEFINANCE(""NSE:""&amp;D3271,""EPS"")"),"#N/A")</f>
        <v>#N/A</v>
      </c>
      <c r="Q3271" s="7">
        <v>13.5</v>
      </c>
      <c r="R3271" s="7" t="str">
        <f ca="1">IFERROR(__xludf.DUMMYFUNCTION("IMPORTXML(E3271,""/html/body/main/div[3]/div[3]/div[2]/ul/li[7]/span[2]/span"")"),"Loading...")</f>
        <v>Loading...</v>
      </c>
      <c r="S3271" s="7" t="str">
        <f ca="1">IFERROR(__xludf.DUMMYFUNCTION("IMPORTXML(E3271,""/html/body/main/div[3]/div[3]/div[2]/ul/li[8]/span[2]/span"")"),"Loading...")</f>
        <v>Loading...</v>
      </c>
      <c r="T3271" s="4">
        <v>34.6</v>
      </c>
      <c r="U3271" s="4">
        <v>22.7</v>
      </c>
      <c r="V3271" s="4">
        <v>2.6</v>
      </c>
      <c r="W3271" s="4">
        <v>5.7</v>
      </c>
      <c r="X3271" s="4">
        <v>519.92999999999995</v>
      </c>
      <c r="Y3271" s="7" t="e">
        <f t="shared" ca="1" si="69"/>
        <v>#VALUE!</v>
      </c>
    </row>
    <row r="3272" spans="1:25" ht="15" x14ac:dyDescent="0.25">
      <c r="A3272" s="4">
        <v>3261</v>
      </c>
      <c r="C3272" s="41" t="s">
        <v>5609</v>
      </c>
      <c r="D3272" s="42"/>
      <c r="E3272" s="5" t="str">
        <f t="shared" si="65"/>
        <v>https://www.screener.in/company//consolidated/</v>
      </c>
      <c r="F3272" s="4">
        <v>443059</v>
      </c>
      <c r="G3272" s="4">
        <v>3832241897</v>
      </c>
      <c r="H3272" s="6" t="e">
        <f t="shared" ca="1" si="66"/>
        <v>#VALUE!</v>
      </c>
      <c r="I3272" s="7" t="str">
        <f ca="1">IFERROR(__xludf.DUMMYFUNCTION("IMPORTXML(E3272,""/html/body/main/div[3]/div[3]/div[2]/ul/li[5]/span[2]/span"")"),"Loading...")</f>
        <v>Loading...</v>
      </c>
      <c r="J3272" s="7" t="str">
        <f ca="1">IFERROR(__xludf.DUMMYFUNCTION("GOOGLEFINANCE(""NSE:""&amp;D3272,""marketcap"")"),"#N/A")</f>
        <v>#N/A</v>
      </c>
      <c r="K3272" s="7">
        <v>992.8</v>
      </c>
      <c r="L3272" s="8" t="str">
        <f ca="1">IFERROR(__xludf.DUMMYFUNCTION("GOOGLEFINANCE(""NSE:""&amp;D3272,""price"")"),"#N/A")</f>
        <v>#N/A</v>
      </c>
      <c r="M3272" s="9" t="e">
        <f t="shared" ca="1" si="67"/>
        <v>#VALUE!</v>
      </c>
      <c r="N3272" s="10" t="e">
        <f t="shared" ca="1" si="68"/>
        <v>#VALUE!</v>
      </c>
      <c r="O3272" s="7" t="str">
        <f ca="1">IFERROR(__xludf.DUMMYFUNCTION("GOOGLEFINANCE(""NSE:""&amp;D3272,""pe"")"),"#N/A")</f>
        <v>#N/A</v>
      </c>
      <c r="P3272" s="7" t="str">
        <f ca="1">IFERROR(__xludf.DUMMYFUNCTION("GOOGLEFINANCE(""NSE:""&amp;D3272,""EPS"")"),"#N/A")</f>
        <v>#N/A</v>
      </c>
      <c r="Q3272" s="7">
        <v>13.5</v>
      </c>
      <c r="R3272" s="7" t="str">
        <f ca="1">IFERROR(__xludf.DUMMYFUNCTION("IMPORTXML(E3272,""/html/body/main/div[3]/div[3]/div[2]/ul/li[7]/span[2]/span"")"),"Loading...")</f>
        <v>Loading...</v>
      </c>
      <c r="S3272" s="7" t="str">
        <f ca="1">IFERROR(__xludf.DUMMYFUNCTION("IMPORTXML(E3272,""/html/body/main/div[3]/div[3]/div[2]/ul/li[8]/span[2]/span"")"),"Loading...")</f>
        <v>Loading...</v>
      </c>
      <c r="T3272" s="4">
        <v>34.6</v>
      </c>
      <c r="U3272" s="4">
        <v>22.7</v>
      </c>
      <c r="V3272" s="4">
        <v>2.6</v>
      </c>
      <c r="W3272" s="4">
        <v>5.7</v>
      </c>
      <c r="X3272" s="4">
        <v>519.92999999999995</v>
      </c>
      <c r="Y3272" s="7" t="e">
        <f t="shared" ca="1" si="69"/>
        <v>#VALUE!</v>
      </c>
    </row>
    <row r="3273" spans="1:25" ht="15" x14ac:dyDescent="0.25">
      <c r="A3273" s="4">
        <v>3262</v>
      </c>
      <c r="C3273" s="41" t="s">
        <v>5610</v>
      </c>
      <c r="D3273" s="42"/>
      <c r="E3273" s="5" t="str">
        <f t="shared" si="65"/>
        <v>https://www.screener.in/company//consolidated/</v>
      </c>
      <c r="F3273" s="4">
        <v>443059</v>
      </c>
      <c r="G3273" s="4">
        <v>3832241897</v>
      </c>
      <c r="H3273" s="6" t="e">
        <f t="shared" ca="1" si="66"/>
        <v>#VALUE!</v>
      </c>
      <c r="I3273" s="7" t="str">
        <f ca="1">IFERROR(__xludf.DUMMYFUNCTION("IMPORTXML(E3273,""/html/body/main/div[3]/div[3]/div[2]/ul/li[5]/span[2]/span"")"),"Loading...")</f>
        <v>Loading...</v>
      </c>
      <c r="J3273" s="7" t="str">
        <f ca="1">IFERROR(__xludf.DUMMYFUNCTION("GOOGLEFINANCE(""NSE:""&amp;D3273,""marketcap"")"),"#N/A")</f>
        <v>#N/A</v>
      </c>
      <c r="K3273" s="7">
        <v>992.8</v>
      </c>
      <c r="L3273" s="8" t="str">
        <f ca="1">IFERROR(__xludf.DUMMYFUNCTION("GOOGLEFINANCE(""NSE:""&amp;D3273,""price"")"),"#N/A")</f>
        <v>#N/A</v>
      </c>
      <c r="M3273" s="9" t="e">
        <f t="shared" ca="1" si="67"/>
        <v>#VALUE!</v>
      </c>
      <c r="N3273" s="10" t="e">
        <f t="shared" ca="1" si="68"/>
        <v>#VALUE!</v>
      </c>
      <c r="O3273" s="7" t="str">
        <f ca="1">IFERROR(__xludf.DUMMYFUNCTION("GOOGLEFINANCE(""NSE:""&amp;D3273,""pe"")"),"#N/A")</f>
        <v>#N/A</v>
      </c>
      <c r="P3273" s="7" t="str">
        <f ca="1">IFERROR(__xludf.DUMMYFUNCTION("GOOGLEFINANCE(""NSE:""&amp;D3273,""EPS"")"),"#N/A")</f>
        <v>#N/A</v>
      </c>
      <c r="Q3273" s="7">
        <v>13.5</v>
      </c>
      <c r="R3273" s="7" t="str">
        <f ca="1">IFERROR(__xludf.DUMMYFUNCTION("IMPORTXML(E3273,""/html/body/main/div[3]/div[3]/div[2]/ul/li[7]/span[2]/span"")"),"Loading...")</f>
        <v>Loading...</v>
      </c>
      <c r="S3273" s="7" t="str">
        <f ca="1">IFERROR(__xludf.DUMMYFUNCTION("IMPORTXML(E3273,""/html/body/main/div[3]/div[3]/div[2]/ul/li[8]/span[2]/span"")"),"Loading...")</f>
        <v>Loading...</v>
      </c>
      <c r="T3273" s="4">
        <v>34.6</v>
      </c>
      <c r="U3273" s="4">
        <v>22.7</v>
      </c>
      <c r="V3273" s="4">
        <v>2.6</v>
      </c>
      <c r="W3273" s="4">
        <v>5.7</v>
      </c>
      <c r="X3273" s="4">
        <v>519.92999999999995</v>
      </c>
      <c r="Y3273" s="7" t="e">
        <f t="shared" ca="1" si="69"/>
        <v>#VALUE!</v>
      </c>
    </row>
    <row r="3274" spans="1:25" ht="15" x14ac:dyDescent="0.25">
      <c r="A3274" s="4">
        <v>3263</v>
      </c>
      <c r="C3274" s="41" t="s">
        <v>5611</v>
      </c>
      <c r="D3274" s="42"/>
      <c r="E3274" s="5" t="str">
        <f t="shared" si="65"/>
        <v>https://www.screener.in/company//consolidated/</v>
      </c>
      <c r="F3274" s="4">
        <v>443059</v>
      </c>
      <c r="G3274" s="4">
        <v>3832241897</v>
      </c>
      <c r="H3274" s="6" t="e">
        <f t="shared" ca="1" si="66"/>
        <v>#VALUE!</v>
      </c>
      <c r="I3274" s="7" t="str">
        <f ca="1">IFERROR(__xludf.DUMMYFUNCTION("IMPORTXML(E3274,""/html/body/main/div[3]/div[3]/div[2]/ul/li[5]/span[2]/span"")"),"Loading...")</f>
        <v>Loading...</v>
      </c>
      <c r="J3274" s="7" t="str">
        <f ca="1">IFERROR(__xludf.DUMMYFUNCTION("GOOGLEFINANCE(""NSE:""&amp;D3274,""marketcap"")"),"#N/A")</f>
        <v>#N/A</v>
      </c>
      <c r="K3274" s="7">
        <v>992.8</v>
      </c>
      <c r="L3274" s="8" t="str">
        <f ca="1">IFERROR(__xludf.DUMMYFUNCTION("GOOGLEFINANCE(""NSE:""&amp;D3274,""price"")"),"#N/A")</f>
        <v>#N/A</v>
      </c>
      <c r="M3274" s="9" t="e">
        <f t="shared" ca="1" si="67"/>
        <v>#VALUE!</v>
      </c>
      <c r="N3274" s="10" t="e">
        <f t="shared" ca="1" si="68"/>
        <v>#VALUE!</v>
      </c>
      <c r="O3274" s="7" t="str">
        <f ca="1">IFERROR(__xludf.DUMMYFUNCTION("GOOGLEFINANCE(""NSE:""&amp;D3274,""pe"")"),"#N/A")</f>
        <v>#N/A</v>
      </c>
      <c r="P3274" s="7" t="str">
        <f ca="1">IFERROR(__xludf.DUMMYFUNCTION("GOOGLEFINANCE(""NSE:""&amp;D3274,""EPS"")"),"#N/A")</f>
        <v>#N/A</v>
      </c>
      <c r="Q3274" s="7">
        <v>13.5</v>
      </c>
      <c r="R3274" s="7" t="str">
        <f ca="1">IFERROR(__xludf.DUMMYFUNCTION("IMPORTXML(E3274,""/html/body/main/div[3]/div[3]/div[2]/ul/li[7]/span[2]/span"")"),"Loading...")</f>
        <v>Loading...</v>
      </c>
      <c r="S3274" s="7" t="str">
        <f ca="1">IFERROR(__xludf.DUMMYFUNCTION("IMPORTXML(E3274,""/html/body/main/div[3]/div[3]/div[2]/ul/li[8]/span[2]/span"")"),"Loading...")</f>
        <v>Loading...</v>
      </c>
      <c r="T3274" s="4">
        <v>34.6</v>
      </c>
      <c r="U3274" s="4">
        <v>22.7</v>
      </c>
      <c r="V3274" s="4">
        <v>2.6</v>
      </c>
      <c r="W3274" s="4">
        <v>5.7</v>
      </c>
      <c r="X3274" s="4">
        <v>519.92999999999995</v>
      </c>
      <c r="Y3274" s="7" t="e">
        <f t="shared" ca="1" si="69"/>
        <v>#VALUE!</v>
      </c>
    </row>
    <row r="3275" spans="1:25" ht="15" x14ac:dyDescent="0.25">
      <c r="A3275" s="4">
        <v>3264</v>
      </c>
      <c r="C3275" s="41" t="s">
        <v>5612</v>
      </c>
      <c r="D3275" s="42"/>
      <c r="E3275" s="5" t="str">
        <f t="shared" si="65"/>
        <v>https://www.screener.in/company//consolidated/</v>
      </c>
      <c r="F3275" s="4">
        <v>443059</v>
      </c>
      <c r="G3275" s="4">
        <v>3832241897</v>
      </c>
      <c r="H3275" s="6" t="e">
        <f t="shared" ca="1" si="66"/>
        <v>#VALUE!</v>
      </c>
      <c r="I3275" s="7" t="str">
        <f ca="1">IFERROR(__xludf.DUMMYFUNCTION("IMPORTXML(E3275,""/html/body/main/div[3]/div[3]/div[2]/ul/li[5]/span[2]/span"")"),"Loading...")</f>
        <v>Loading...</v>
      </c>
      <c r="J3275" s="7" t="str">
        <f ca="1">IFERROR(__xludf.DUMMYFUNCTION("GOOGLEFINANCE(""NSE:""&amp;D3275,""marketcap"")"),"#N/A")</f>
        <v>#N/A</v>
      </c>
      <c r="K3275" s="7">
        <v>992.8</v>
      </c>
      <c r="L3275" s="8" t="str">
        <f ca="1">IFERROR(__xludf.DUMMYFUNCTION("GOOGLEFINANCE(""NSE:""&amp;D3275,""price"")"),"#N/A")</f>
        <v>#N/A</v>
      </c>
      <c r="M3275" s="9" t="e">
        <f t="shared" ca="1" si="67"/>
        <v>#VALUE!</v>
      </c>
      <c r="N3275" s="10" t="e">
        <f t="shared" ca="1" si="68"/>
        <v>#VALUE!</v>
      </c>
      <c r="O3275" s="7" t="str">
        <f ca="1">IFERROR(__xludf.DUMMYFUNCTION("GOOGLEFINANCE(""NSE:""&amp;D3275,""pe"")"),"#N/A")</f>
        <v>#N/A</v>
      </c>
      <c r="P3275" s="7" t="str">
        <f ca="1">IFERROR(__xludf.DUMMYFUNCTION("GOOGLEFINANCE(""NSE:""&amp;D3275,""EPS"")"),"#N/A")</f>
        <v>#N/A</v>
      </c>
      <c r="Q3275" s="7">
        <v>13.5</v>
      </c>
      <c r="R3275" s="7" t="str">
        <f ca="1">IFERROR(__xludf.DUMMYFUNCTION("IMPORTXML(E3275,""/html/body/main/div[3]/div[3]/div[2]/ul/li[7]/span[2]/span"")"),"Loading...")</f>
        <v>Loading...</v>
      </c>
      <c r="S3275" s="7" t="str">
        <f ca="1">IFERROR(__xludf.DUMMYFUNCTION("IMPORTXML(E3275,""/html/body/main/div[3]/div[3]/div[2]/ul/li[8]/span[2]/span"")"),"Loading...")</f>
        <v>Loading...</v>
      </c>
      <c r="T3275" s="4">
        <v>34.6</v>
      </c>
      <c r="U3275" s="4">
        <v>22.7</v>
      </c>
      <c r="V3275" s="4">
        <v>2.6</v>
      </c>
      <c r="W3275" s="4">
        <v>5.7</v>
      </c>
      <c r="X3275" s="4">
        <v>519.92999999999995</v>
      </c>
      <c r="Y3275" s="7" t="e">
        <f t="shared" ca="1" si="69"/>
        <v>#VALUE!</v>
      </c>
    </row>
    <row r="3276" spans="1:25" ht="15" x14ac:dyDescent="0.25">
      <c r="A3276" s="4">
        <v>3265</v>
      </c>
      <c r="C3276" s="41" t="s">
        <v>5613</v>
      </c>
      <c r="D3276" s="42"/>
      <c r="E3276" s="5" t="str">
        <f t="shared" si="65"/>
        <v>https://www.screener.in/company//consolidated/</v>
      </c>
      <c r="F3276" s="4">
        <v>443059</v>
      </c>
      <c r="G3276" s="4">
        <v>3832241897</v>
      </c>
      <c r="H3276" s="6" t="e">
        <f t="shared" ca="1" si="66"/>
        <v>#VALUE!</v>
      </c>
      <c r="I3276" s="7" t="str">
        <f ca="1">IFERROR(__xludf.DUMMYFUNCTION("IMPORTXML(E3276,""/html/body/main/div[3]/div[3]/div[2]/ul/li[5]/span[2]/span"")"),"Loading...")</f>
        <v>Loading...</v>
      </c>
      <c r="J3276" s="7" t="str">
        <f ca="1">IFERROR(__xludf.DUMMYFUNCTION("GOOGLEFINANCE(""NSE:""&amp;D3276,""marketcap"")"),"#N/A")</f>
        <v>#N/A</v>
      </c>
      <c r="K3276" s="7">
        <v>992.8</v>
      </c>
      <c r="L3276" s="8" t="str">
        <f ca="1">IFERROR(__xludf.DUMMYFUNCTION("GOOGLEFINANCE(""NSE:""&amp;D3276,""price"")"),"#N/A")</f>
        <v>#N/A</v>
      </c>
      <c r="M3276" s="9" t="e">
        <f t="shared" ca="1" si="67"/>
        <v>#VALUE!</v>
      </c>
      <c r="N3276" s="10" t="e">
        <f t="shared" ca="1" si="68"/>
        <v>#VALUE!</v>
      </c>
      <c r="O3276" s="7" t="str">
        <f ca="1">IFERROR(__xludf.DUMMYFUNCTION("GOOGLEFINANCE(""NSE:""&amp;D3276,""pe"")"),"#N/A")</f>
        <v>#N/A</v>
      </c>
      <c r="P3276" s="7" t="str">
        <f ca="1">IFERROR(__xludf.DUMMYFUNCTION("GOOGLEFINANCE(""NSE:""&amp;D3276,""EPS"")"),"#N/A")</f>
        <v>#N/A</v>
      </c>
      <c r="Q3276" s="7">
        <v>13.5</v>
      </c>
      <c r="R3276" s="7" t="str">
        <f ca="1">IFERROR(__xludf.DUMMYFUNCTION("IMPORTXML(E3276,""/html/body/main/div[3]/div[3]/div[2]/ul/li[7]/span[2]/span"")"),"Loading...")</f>
        <v>Loading...</v>
      </c>
      <c r="S3276" s="7" t="str">
        <f ca="1">IFERROR(__xludf.DUMMYFUNCTION("IMPORTXML(E3276,""/html/body/main/div[3]/div[3]/div[2]/ul/li[8]/span[2]/span"")"),"Loading...")</f>
        <v>Loading...</v>
      </c>
      <c r="T3276" s="4">
        <v>34.6</v>
      </c>
      <c r="U3276" s="4">
        <v>22.7</v>
      </c>
      <c r="V3276" s="4">
        <v>2.6</v>
      </c>
      <c r="W3276" s="4">
        <v>5.7</v>
      </c>
      <c r="X3276" s="4">
        <v>519.92999999999995</v>
      </c>
      <c r="Y3276" s="7" t="e">
        <f t="shared" ca="1" si="69"/>
        <v>#VALUE!</v>
      </c>
    </row>
    <row r="3277" spans="1:25" ht="15" x14ac:dyDescent="0.25">
      <c r="A3277" s="4">
        <v>3266</v>
      </c>
      <c r="C3277" s="41" t="s">
        <v>5614</v>
      </c>
      <c r="D3277" s="42"/>
      <c r="E3277" s="5" t="str">
        <f t="shared" si="65"/>
        <v>https://www.screener.in/company//consolidated/</v>
      </c>
      <c r="F3277" s="4">
        <v>443059</v>
      </c>
      <c r="G3277" s="4">
        <v>3832241897</v>
      </c>
      <c r="H3277" s="6" t="e">
        <f t="shared" ca="1" si="66"/>
        <v>#VALUE!</v>
      </c>
      <c r="I3277" s="7" t="str">
        <f ca="1">IFERROR(__xludf.DUMMYFUNCTION("IMPORTXML(E3277,""/html/body/main/div[3]/div[3]/div[2]/ul/li[5]/span[2]/span"")"),"Loading...")</f>
        <v>Loading...</v>
      </c>
      <c r="J3277" s="7" t="str">
        <f ca="1">IFERROR(__xludf.DUMMYFUNCTION("GOOGLEFINANCE(""NSE:""&amp;D3277,""marketcap"")"),"#N/A")</f>
        <v>#N/A</v>
      </c>
      <c r="K3277" s="7">
        <v>992.8</v>
      </c>
      <c r="L3277" s="8" t="str">
        <f ca="1">IFERROR(__xludf.DUMMYFUNCTION("GOOGLEFINANCE(""NSE:""&amp;D3277,""price"")"),"#N/A")</f>
        <v>#N/A</v>
      </c>
      <c r="M3277" s="9" t="e">
        <f t="shared" ca="1" si="67"/>
        <v>#VALUE!</v>
      </c>
      <c r="N3277" s="10" t="e">
        <f t="shared" ca="1" si="68"/>
        <v>#VALUE!</v>
      </c>
      <c r="O3277" s="7" t="str">
        <f ca="1">IFERROR(__xludf.DUMMYFUNCTION("GOOGLEFINANCE(""NSE:""&amp;D3277,""pe"")"),"#N/A")</f>
        <v>#N/A</v>
      </c>
      <c r="P3277" s="7" t="str">
        <f ca="1">IFERROR(__xludf.DUMMYFUNCTION("GOOGLEFINANCE(""NSE:""&amp;D3277,""EPS"")"),"#N/A")</f>
        <v>#N/A</v>
      </c>
      <c r="Q3277" s="7">
        <v>13.5</v>
      </c>
      <c r="R3277" s="7" t="str">
        <f ca="1">IFERROR(__xludf.DUMMYFUNCTION("IMPORTXML(E3277,""/html/body/main/div[3]/div[3]/div[2]/ul/li[7]/span[2]/span"")"),"Loading...")</f>
        <v>Loading...</v>
      </c>
      <c r="S3277" s="7" t="str">
        <f ca="1">IFERROR(__xludf.DUMMYFUNCTION("IMPORTXML(E3277,""/html/body/main/div[3]/div[3]/div[2]/ul/li[8]/span[2]/span"")"),"Loading...")</f>
        <v>Loading...</v>
      </c>
      <c r="T3277" s="4">
        <v>34.6</v>
      </c>
      <c r="U3277" s="4">
        <v>22.7</v>
      </c>
      <c r="V3277" s="4">
        <v>2.6</v>
      </c>
      <c r="W3277" s="4">
        <v>5.7</v>
      </c>
      <c r="X3277" s="4">
        <v>519.92999999999995</v>
      </c>
      <c r="Y3277" s="7" t="e">
        <f t="shared" ca="1" si="69"/>
        <v>#VALUE!</v>
      </c>
    </row>
    <row r="3278" spans="1:25" ht="15" x14ac:dyDescent="0.25">
      <c r="A3278" s="4">
        <v>3267</v>
      </c>
      <c r="C3278" s="41" t="s">
        <v>5615</v>
      </c>
      <c r="D3278" s="42"/>
      <c r="E3278" s="5" t="str">
        <f t="shared" si="65"/>
        <v>https://www.screener.in/company//consolidated/</v>
      </c>
      <c r="F3278" s="4">
        <v>443059</v>
      </c>
      <c r="G3278" s="4">
        <v>3832241897</v>
      </c>
      <c r="H3278" s="6" t="e">
        <f t="shared" ca="1" si="66"/>
        <v>#VALUE!</v>
      </c>
      <c r="I3278" s="7" t="str">
        <f ca="1">IFERROR(__xludf.DUMMYFUNCTION("IMPORTXML(E3278,""/html/body/main/div[3]/div[3]/div[2]/ul/li[5]/span[2]/span"")"),"Loading...")</f>
        <v>Loading...</v>
      </c>
      <c r="J3278" s="7" t="str">
        <f ca="1">IFERROR(__xludf.DUMMYFUNCTION("GOOGLEFINANCE(""NSE:""&amp;D3278,""marketcap"")"),"#N/A")</f>
        <v>#N/A</v>
      </c>
      <c r="K3278" s="7">
        <v>992.8</v>
      </c>
      <c r="L3278" s="8" t="str">
        <f ca="1">IFERROR(__xludf.DUMMYFUNCTION("GOOGLEFINANCE(""NSE:""&amp;D3278,""price"")"),"#N/A")</f>
        <v>#N/A</v>
      </c>
      <c r="M3278" s="9" t="e">
        <f t="shared" ca="1" si="67"/>
        <v>#VALUE!</v>
      </c>
      <c r="N3278" s="10" t="e">
        <f t="shared" ca="1" si="68"/>
        <v>#VALUE!</v>
      </c>
      <c r="O3278" s="7" t="str">
        <f ca="1">IFERROR(__xludf.DUMMYFUNCTION("GOOGLEFINANCE(""NSE:""&amp;D3278,""pe"")"),"#N/A")</f>
        <v>#N/A</v>
      </c>
      <c r="P3278" s="7" t="str">
        <f ca="1">IFERROR(__xludf.DUMMYFUNCTION("GOOGLEFINANCE(""NSE:""&amp;D3278,""EPS"")"),"#N/A")</f>
        <v>#N/A</v>
      </c>
      <c r="Q3278" s="7">
        <v>13.5</v>
      </c>
      <c r="R3278" s="7" t="str">
        <f ca="1">IFERROR(__xludf.DUMMYFUNCTION("IMPORTXML(E3278,""/html/body/main/div[3]/div[3]/div[2]/ul/li[7]/span[2]/span"")"),"Loading...")</f>
        <v>Loading...</v>
      </c>
      <c r="S3278" s="7" t="str">
        <f ca="1">IFERROR(__xludf.DUMMYFUNCTION("IMPORTXML(E3278,""/html/body/main/div[3]/div[3]/div[2]/ul/li[8]/span[2]/span"")"),"Loading...")</f>
        <v>Loading...</v>
      </c>
      <c r="T3278" s="4">
        <v>34.6</v>
      </c>
      <c r="U3278" s="4">
        <v>22.7</v>
      </c>
      <c r="V3278" s="4">
        <v>2.6</v>
      </c>
      <c r="W3278" s="4">
        <v>5.7</v>
      </c>
      <c r="X3278" s="4">
        <v>519.92999999999995</v>
      </c>
      <c r="Y3278" s="7" t="e">
        <f t="shared" ca="1" si="69"/>
        <v>#VALUE!</v>
      </c>
    </row>
    <row r="3279" spans="1:25" ht="15" x14ac:dyDescent="0.25">
      <c r="A3279" s="4">
        <v>3268</v>
      </c>
      <c r="C3279" s="41" t="s">
        <v>5616</v>
      </c>
      <c r="D3279" s="42"/>
      <c r="E3279" s="5" t="str">
        <f t="shared" si="65"/>
        <v>https://www.screener.in/company//consolidated/</v>
      </c>
      <c r="F3279" s="4">
        <v>443059</v>
      </c>
      <c r="G3279" s="4">
        <v>3832241897</v>
      </c>
      <c r="H3279" s="6" t="e">
        <f t="shared" ca="1" si="66"/>
        <v>#VALUE!</v>
      </c>
      <c r="I3279" s="7" t="str">
        <f ca="1">IFERROR(__xludf.DUMMYFUNCTION("IMPORTXML(E3279,""/html/body/main/div[3]/div[3]/div[2]/ul/li[5]/span[2]/span"")"),"Loading...")</f>
        <v>Loading...</v>
      </c>
      <c r="J3279" s="7" t="str">
        <f ca="1">IFERROR(__xludf.DUMMYFUNCTION("GOOGLEFINANCE(""NSE:""&amp;D3279,""marketcap"")"),"#N/A")</f>
        <v>#N/A</v>
      </c>
      <c r="K3279" s="7">
        <v>992.8</v>
      </c>
      <c r="L3279" s="8" t="str">
        <f ca="1">IFERROR(__xludf.DUMMYFUNCTION("GOOGLEFINANCE(""NSE:""&amp;D3279,""price"")"),"#N/A")</f>
        <v>#N/A</v>
      </c>
      <c r="M3279" s="9" t="e">
        <f t="shared" ca="1" si="67"/>
        <v>#VALUE!</v>
      </c>
      <c r="N3279" s="10" t="e">
        <f t="shared" ca="1" si="68"/>
        <v>#VALUE!</v>
      </c>
      <c r="O3279" s="7" t="str">
        <f ca="1">IFERROR(__xludf.DUMMYFUNCTION("GOOGLEFINANCE(""NSE:""&amp;D3279,""pe"")"),"#N/A")</f>
        <v>#N/A</v>
      </c>
      <c r="P3279" s="7" t="str">
        <f ca="1">IFERROR(__xludf.DUMMYFUNCTION("GOOGLEFINANCE(""NSE:""&amp;D3279,""EPS"")"),"#N/A")</f>
        <v>#N/A</v>
      </c>
      <c r="Q3279" s="7">
        <v>13.5</v>
      </c>
      <c r="R3279" s="7" t="str">
        <f ca="1">IFERROR(__xludf.DUMMYFUNCTION("IMPORTXML(E3279,""/html/body/main/div[3]/div[3]/div[2]/ul/li[7]/span[2]/span"")"),"Loading...")</f>
        <v>Loading...</v>
      </c>
      <c r="S3279" s="7" t="str">
        <f ca="1">IFERROR(__xludf.DUMMYFUNCTION("IMPORTXML(E3279,""/html/body/main/div[3]/div[3]/div[2]/ul/li[8]/span[2]/span"")"),"Loading...")</f>
        <v>Loading...</v>
      </c>
      <c r="T3279" s="4">
        <v>34.6</v>
      </c>
      <c r="U3279" s="4">
        <v>22.7</v>
      </c>
      <c r="V3279" s="4">
        <v>2.6</v>
      </c>
      <c r="W3279" s="4">
        <v>5.7</v>
      </c>
      <c r="X3279" s="4">
        <v>519.92999999999995</v>
      </c>
      <c r="Y3279" s="7" t="e">
        <f t="shared" ca="1" si="69"/>
        <v>#VALUE!</v>
      </c>
    </row>
    <row r="3280" spans="1:25" ht="15" x14ac:dyDescent="0.25">
      <c r="A3280" s="4">
        <v>3270</v>
      </c>
      <c r="C3280" s="41" t="s">
        <v>5617</v>
      </c>
      <c r="D3280" s="42"/>
      <c r="E3280" s="5" t="str">
        <f t="shared" si="65"/>
        <v>https://www.screener.in/company//consolidated/</v>
      </c>
      <c r="F3280" s="4">
        <v>443059</v>
      </c>
      <c r="G3280" s="4">
        <v>3832241897</v>
      </c>
      <c r="H3280" s="6" t="e">
        <f t="shared" ca="1" si="66"/>
        <v>#VALUE!</v>
      </c>
      <c r="I3280" s="7" t="str">
        <f ca="1">IFERROR(__xludf.DUMMYFUNCTION("IMPORTXML(E3280,""/html/body/main/div[3]/div[3]/div[2]/ul/li[5]/span[2]/span"")"),"Loading...")</f>
        <v>Loading...</v>
      </c>
      <c r="J3280" s="7" t="str">
        <f ca="1">IFERROR(__xludf.DUMMYFUNCTION("GOOGLEFINANCE(""NSE:""&amp;D3280,""marketcap"")"),"#N/A")</f>
        <v>#N/A</v>
      </c>
      <c r="K3280" s="7">
        <v>992.8</v>
      </c>
      <c r="L3280" s="8" t="str">
        <f ca="1">IFERROR(__xludf.DUMMYFUNCTION("GOOGLEFINANCE(""NSE:""&amp;D3280,""price"")"),"#N/A")</f>
        <v>#N/A</v>
      </c>
      <c r="M3280" s="9" t="e">
        <f t="shared" ca="1" si="67"/>
        <v>#VALUE!</v>
      </c>
      <c r="N3280" s="10" t="e">
        <f t="shared" ca="1" si="68"/>
        <v>#VALUE!</v>
      </c>
      <c r="O3280" s="7" t="str">
        <f ca="1">IFERROR(__xludf.DUMMYFUNCTION("GOOGLEFINANCE(""NSE:""&amp;D3280,""pe"")"),"#N/A")</f>
        <v>#N/A</v>
      </c>
      <c r="P3280" s="7" t="str">
        <f ca="1">IFERROR(__xludf.DUMMYFUNCTION("GOOGLEFINANCE(""NSE:""&amp;D3280,""EPS"")"),"#N/A")</f>
        <v>#N/A</v>
      </c>
      <c r="Q3280" s="7">
        <v>13.5</v>
      </c>
      <c r="R3280" s="7" t="str">
        <f ca="1">IFERROR(__xludf.DUMMYFUNCTION("IMPORTXML(E3280,""/html/body/main/div[3]/div[3]/div[2]/ul/li[7]/span[2]/span"")"),"Loading...")</f>
        <v>Loading...</v>
      </c>
      <c r="S3280" s="7" t="str">
        <f ca="1">IFERROR(__xludf.DUMMYFUNCTION("IMPORTXML(E3280,""/html/body/main/div[3]/div[3]/div[2]/ul/li[8]/span[2]/span"")"),"Loading...")</f>
        <v>Loading...</v>
      </c>
      <c r="T3280" s="4">
        <v>34.6</v>
      </c>
      <c r="U3280" s="4">
        <v>22.7</v>
      </c>
      <c r="V3280" s="4">
        <v>2.6</v>
      </c>
      <c r="W3280" s="4">
        <v>5.7</v>
      </c>
      <c r="X3280" s="4">
        <v>519.92999999999995</v>
      </c>
      <c r="Y3280" s="7" t="e">
        <f t="shared" ca="1" si="69"/>
        <v>#VALUE!</v>
      </c>
    </row>
    <row r="3281" spans="1:25" ht="15" x14ac:dyDescent="0.25">
      <c r="A3281" s="4">
        <v>3271</v>
      </c>
      <c r="C3281" s="41" t="s">
        <v>5618</v>
      </c>
      <c r="D3281" s="42"/>
      <c r="E3281" s="5" t="str">
        <f t="shared" si="65"/>
        <v>https://www.screener.in/company//consolidated/</v>
      </c>
      <c r="F3281" s="4">
        <v>443059</v>
      </c>
      <c r="G3281" s="4">
        <v>3832241897</v>
      </c>
      <c r="H3281" s="6" t="e">
        <f t="shared" ca="1" si="66"/>
        <v>#VALUE!</v>
      </c>
      <c r="I3281" s="7" t="str">
        <f ca="1">IFERROR(__xludf.DUMMYFUNCTION("IMPORTXML(E3281,""/html/body/main/div[3]/div[3]/div[2]/ul/li[5]/span[2]/span"")"),"Loading...")</f>
        <v>Loading...</v>
      </c>
      <c r="J3281" s="7" t="str">
        <f ca="1">IFERROR(__xludf.DUMMYFUNCTION("GOOGLEFINANCE(""NSE:""&amp;D3281,""marketcap"")"),"#N/A")</f>
        <v>#N/A</v>
      </c>
      <c r="K3281" s="7">
        <v>992.8</v>
      </c>
      <c r="L3281" s="8" t="str">
        <f ca="1">IFERROR(__xludf.DUMMYFUNCTION("GOOGLEFINANCE(""NSE:""&amp;D3281,""price"")"),"#N/A")</f>
        <v>#N/A</v>
      </c>
      <c r="M3281" s="9" t="e">
        <f t="shared" ca="1" si="67"/>
        <v>#VALUE!</v>
      </c>
      <c r="N3281" s="10" t="e">
        <f t="shared" ca="1" si="68"/>
        <v>#VALUE!</v>
      </c>
      <c r="O3281" s="7" t="str">
        <f ca="1">IFERROR(__xludf.DUMMYFUNCTION("GOOGLEFINANCE(""NSE:""&amp;D3281,""pe"")"),"#N/A")</f>
        <v>#N/A</v>
      </c>
      <c r="P3281" s="7" t="str">
        <f ca="1">IFERROR(__xludf.DUMMYFUNCTION("GOOGLEFINANCE(""NSE:""&amp;D3281,""EPS"")"),"#N/A")</f>
        <v>#N/A</v>
      </c>
      <c r="Q3281" s="7">
        <v>13.5</v>
      </c>
      <c r="R3281" s="7" t="str">
        <f ca="1">IFERROR(__xludf.DUMMYFUNCTION("IMPORTXML(E3281,""/html/body/main/div[3]/div[3]/div[2]/ul/li[7]/span[2]/span"")"),"Loading...")</f>
        <v>Loading...</v>
      </c>
      <c r="S3281" s="7" t="str">
        <f ca="1">IFERROR(__xludf.DUMMYFUNCTION("IMPORTXML(E3281,""/html/body/main/div[3]/div[3]/div[2]/ul/li[8]/span[2]/span"")"),"Loading...")</f>
        <v>Loading...</v>
      </c>
      <c r="T3281" s="4">
        <v>34.6</v>
      </c>
      <c r="U3281" s="4">
        <v>22.7</v>
      </c>
      <c r="V3281" s="4">
        <v>2.6</v>
      </c>
      <c r="W3281" s="4">
        <v>5.7</v>
      </c>
      <c r="X3281" s="4">
        <v>519.92999999999995</v>
      </c>
      <c r="Y3281" s="7" t="e">
        <f t="shared" ca="1" si="69"/>
        <v>#VALUE!</v>
      </c>
    </row>
    <row r="3282" spans="1:25" ht="15" x14ac:dyDescent="0.25">
      <c r="A3282" s="4">
        <v>3272</v>
      </c>
      <c r="C3282" s="41" t="s">
        <v>5619</v>
      </c>
      <c r="D3282" s="42"/>
      <c r="E3282" s="5" t="str">
        <f t="shared" si="65"/>
        <v>https://www.screener.in/company//consolidated/</v>
      </c>
      <c r="F3282" s="4">
        <v>443059</v>
      </c>
      <c r="G3282" s="4">
        <v>3832241897</v>
      </c>
      <c r="H3282" s="6" t="e">
        <f t="shared" ca="1" si="66"/>
        <v>#VALUE!</v>
      </c>
      <c r="I3282" s="7" t="str">
        <f ca="1">IFERROR(__xludf.DUMMYFUNCTION("IMPORTXML(E3282,""/html/body/main/div[3]/div[3]/div[2]/ul/li[5]/span[2]/span"")"),"Loading...")</f>
        <v>Loading...</v>
      </c>
      <c r="J3282" s="7" t="str">
        <f ca="1">IFERROR(__xludf.DUMMYFUNCTION("GOOGLEFINANCE(""NSE:""&amp;D3282,""marketcap"")"),"#N/A")</f>
        <v>#N/A</v>
      </c>
      <c r="K3282" s="7">
        <v>992.8</v>
      </c>
      <c r="L3282" s="8" t="str">
        <f ca="1">IFERROR(__xludf.DUMMYFUNCTION("GOOGLEFINANCE(""NSE:""&amp;D3282,""price"")"),"#N/A")</f>
        <v>#N/A</v>
      </c>
      <c r="M3282" s="9" t="e">
        <f t="shared" ca="1" si="67"/>
        <v>#VALUE!</v>
      </c>
      <c r="N3282" s="10" t="e">
        <f t="shared" ca="1" si="68"/>
        <v>#VALUE!</v>
      </c>
      <c r="O3282" s="7" t="str">
        <f ca="1">IFERROR(__xludf.DUMMYFUNCTION("GOOGLEFINANCE(""NSE:""&amp;D3282,""pe"")"),"#N/A")</f>
        <v>#N/A</v>
      </c>
      <c r="P3282" s="7" t="str">
        <f ca="1">IFERROR(__xludf.DUMMYFUNCTION("GOOGLEFINANCE(""NSE:""&amp;D3282,""EPS"")"),"#N/A")</f>
        <v>#N/A</v>
      </c>
      <c r="Q3282" s="7">
        <v>13.5</v>
      </c>
      <c r="R3282" s="7" t="str">
        <f ca="1">IFERROR(__xludf.DUMMYFUNCTION("IMPORTXML(E3282,""/html/body/main/div[3]/div[3]/div[2]/ul/li[7]/span[2]/span"")"),"Loading...")</f>
        <v>Loading...</v>
      </c>
      <c r="S3282" s="7" t="str">
        <f ca="1">IFERROR(__xludf.DUMMYFUNCTION("IMPORTXML(E3282,""/html/body/main/div[3]/div[3]/div[2]/ul/li[8]/span[2]/span"")"),"Loading...")</f>
        <v>Loading...</v>
      </c>
      <c r="T3282" s="4">
        <v>34.6</v>
      </c>
      <c r="U3282" s="4">
        <v>22.7</v>
      </c>
      <c r="V3282" s="4">
        <v>2.6</v>
      </c>
      <c r="W3282" s="4">
        <v>5.7</v>
      </c>
      <c r="X3282" s="4">
        <v>519.92999999999995</v>
      </c>
      <c r="Y3282" s="7" t="e">
        <f t="shared" ca="1" si="69"/>
        <v>#VALUE!</v>
      </c>
    </row>
    <row r="3283" spans="1:25" ht="15" x14ac:dyDescent="0.25">
      <c r="A3283" s="4">
        <v>3273</v>
      </c>
      <c r="C3283" s="41" t="s">
        <v>5620</v>
      </c>
      <c r="D3283" s="42"/>
      <c r="E3283" s="5" t="str">
        <f t="shared" si="65"/>
        <v>https://www.screener.in/company//consolidated/</v>
      </c>
      <c r="F3283" s="4">
        <v>443059</v>
      </c>
      <c r="G3283" s="4">
        <v>3832241897</v>
      </c>
      <c r="H3283" s="6" t="e">
        <f t="shared" ca="1" si="66"/>
        <v>#VALUE!</v>
      </c>
      <c r="I3283" s="7" t="str">
        <f ca="1">IFERROR(__xludf.DUMMYFUNCTION("IMPORTXML(E3283,""/html/body/main/div[3]/div[3]/div[2]/ul/li[5]/span[2]/span"")"),"Loading...")</f>
        <v>Loading...</v>
      </c>
      <c r="J3283" s="7" t="str">
        <f ca="1">IFERROR(__xludf.DUMMYFUNCTION("GOOGLEFINANCE(""NSE:""&amp;D3283,""marketcap"")"),"#N/A")</f>
        <v>#N/A</v>
      </c>
      <c r="K3283" s="7">
        <v>992.8</v>
      </c>
      <c r="L3283" s="8" t="str">
        <f ca="1">IFERROR(__xludf.DUMMYFUNCTION("GOOGLEFINANCE(""NSE:""&amp;D3283,""price"")"),"#N/A")</f>
        <v>#N/A</v>
      </c>
      <c r="M3283" s="9" t="e">
        <f t="shared" ca="1" si="67"/>
        <v>#VALUE!</v>
      </c>
      <c r="N3283" s="10" t="e">
        <f t="shared" ca="1" si="68"/>
        <v>#VALUE!</v>
      </c>
      <c r="O3283" s="7" t="str">
        <f ca="1">IFERROR(__xludf.DUMMYFUNCTION("GOOGLEFINANCE(""NSE:""&amp;D3283,""pe"")"),"#N/A")</f>
        <v>#N/A</v>
      </c>
      <c r="P3283" s="7" t="str">
        <f ca="1">IFERROR(__xludf.DUMMYFUNCTION("GOOGLEFINANCE(""NSE:""&amp;D3283,""EPS"")"),"#N/A")</f>
        <v>#N/A</v>
      </c>
      <c r="Q3283" s="7">
        <v>13.5</v>
      </c>
      <c r="R3283" s="7" t="str">
        <f ca="1">IFERROR(__xludf.DUMMYFUNCTION("IMPORTXML(E3283,""/html/body/main/div[3]/div[3]/div[2]/ul/li[7]/span[2]/span"")"),"Loading...")</f>
        <v>Loading...</v>
      </c>
      <c r="S3283" s="7" t="str">
        <f ca="1">IFERROR(__xludf.DUMMYFUNCTION("IMPORTXML(E3283,""/html/body/main/div[3]/div[3]/div[2]/ul/li[8]/span[2]/span"")"),"Loading...")</f>
        <v>Loading...</v>
      </c>
      <c r="T3283" s="4">
        <v>34.6</v>
      </c>
      <c r="U3283" s="4">
        <v>22.7</v>
      </c>
      <c r="V3283" s="4">
        <v>2.6</v>
      </c>
      <c r="W3283" s="4">
        <v>5.7</v>
      </c>
      <c r="X3283" s="4">
        <v>519.92999999999995</v>
      </c>
      <c r="Y3283" s="7" t="e">
        <f t="shared" ca="1" si="69"/>
        <v>#VALUE!</v>
      </c>
    </row>
    <row r="3284" spans="1:25" ht="15" x14ac:dyDescent="0.25">
      <c r="A3284" s="4">
        <v>3274</v>
      </c>
      <c r="C3284" s="41" t="s">
        <v>5621</v>
      </c>
      <c r="D3284" s="42"/>
      <c r="E3284" s="5" t="str">
        <f t="shared" si="65"/>
        <v>https://www.screener.in/company//consolidated/</v>
      </c>
      <c r="F3284" s="4">
        <v>443059</v>
      </c>
      <c r="G3284" s="4">
        <v>3832241897</v>
      </c>
      <c r="H3284" s="6" t="e">
        <f t="shared" ca="1" si="66"/>
        <v>#VALUE!</v>
      </c>
      <c r="I3284" s="7" t="str">
        <f ca="1">IFERROR(__xludf.DUMMYFUNCTION("IMPORTXML(E3284,""/html/body/main/div[3]/div[3]/div[2]/ul/li[5]/span[2]/span"")"),"Loading...")</f>
        <v>Loading...</v>
      </c>
      <c r="J3284" s="7" t="str">
        <f ca="1">IFERROR(__xludf.DUMMYFUNCTION("GOOGLEFINANCE(""NSE:""&amp;D3284,""marketcap"")"),"#N/A")</f>
        <v>#N/A</v>
      </c>
      <c r="K3284" s="7">
        <v>992.8</v>
      </c>
      <c r="L3284" s="8" t="str">
        <f ca="1">IFERROR(__xludf.DUMMYFUNCTION("GOOGLEFINANCE(""NSE:""&amp;D3284,""price"")"),"#N/A")</f>
        <v>#N/A</v>
      </c>
      <c r="M3284" s="9" t="e">
        <f t="shared" ca="1" si="67"/>
        <v>#VALUE!</v>
      </c>
      <c r="N3284" s="10" t="e">
        <f t="shared" ca="1" si="68"/>
        <v>#VALUE!</v>
      </c>
      <c r="O3284" s="7" t="str">
        <f ca="1">IFERROR(__xludf.DUMMYFUNCTION("GOOGLEFINANCE(""NSE:""&amp;D3284,""pe"")"),"#N/A")</f>
        <v>#N/A</v>
      </c>
      <c r="P3284" s="7" t="str">
        <f ca="1">IFERROR(__xludf.DUMMYFUNCTION("GOOGLEFINANCE(""NSE:""&amp;D3284,""EPS"")"),"#N/A")</f>
        <v>#N/A</v>
      </c>
      <c r="Q3284" s="7">
        <v>13.5</v>
      </c>
      <c r="R3284" s="7" t="str">
        <f ca="1">IFERROR(__xludf.DUMMYFUNCTION("IMPORTXML(E3284,""/html/body/main/div[3]/div[3]/div[2]/ul/li[7]/span[2]/span"")"),"Loading...")</f>
        <v>Loading...</v>
      </c>
      <c r="S3284" s="7" t="str">
        <f ca="1">IFERROR(__xludf.DUMMYFUNCTION("IMPORTXML(E3284,""/html/body/main/div[3]/div[3]/div[2]/ul/li[8]/span[2]/span"")"),"Loading...")</f>
        <v>Loading...</v>
      </c>
      <c r="T3284" s="4">
        <v>34.6</v>
      </c>
      <c r="U3284" s="4">
        <v>22.7</v>
      </c>
      <c r="V3284" s="4">
        <v>2.6</v>
      </c>
      <c r="W3284" s="4">
        <v>5.7</v>
      </c>
      <c r="X3284" s="4">
        <v>519.92999999999995</v>
      </c>
      <c r="Y3284" s="7" t="e">
        <f t="shared" ca="1" si="69"/>
        <v>#VALUE!</v>
      </c>
    </row>
    <row r="3285" spans="1:25" ht="15" x14ac:dyDescent="0.25">
      <c r="A3285" s="4">
        <v>3275</v>
      </c>
      <c r="C3285" s="41" t="s">
        <v>5622</v>
      </c>
      <c r="D3285" s="42"/>
      <c r="E3285" s="5" t="str">
        <f t="shared" si="65"/>
        <v>https://www.screener.in/company//consolidated/</v>
      </c>
      <c r="F3285" s="4">
        <v>443059</v>
      </c>
      <c r="G3285" s="4">
        <v>3832241897</v>
      </c>
      <c r="H3285" s="6" t="e">
        <f t="shared" ca="1" si="66"/>
        <v>#VALUE!</v>
      </c>
      <c r="I3285" s="7" t="str">
        <f ca="1">IFERROR(__xludf.DUMMYFUNCTION("IMPORTXML(E3285,""/html/body/main/div[3]/div[3]/div[2]/ul/li[5]/span[2]/span"")"),"Loading...")</f>
        <v>Loading...</v>
      </c>
      <c r="J3285" s="7" t="str">
        <f ca="1">IFERROR(__xludf.DUMMYFUNCTION("GOOGLEFINANCE(""NSE:""&amp;D3285,""marketcap"")"),"#N/A")</f>
        <v>#N/A</v>
      </c>
      <c r="K3285" s="7">
        <v>992.8</v>
      </c>
      <c r="L3285" s="8" t="str">
        <f ca="1">IFERROR(__xludf.DUMMYFUNCTION("GOOGLEFINANCE(""NSE:""&amp;D3285,""price"")"),"#N/A")</f>
        <v>#N/A</v>
      </c>
      <c r="M3285" s="9" t="e">
        <f t="shared" ca="1" si="67"/>
        <v>#VALUE!</v>
      </c>
      <c r="N3285" s="10" t="e">
        <f t="shared" ca="1" si="68"/>
        <v>#VALUE!</v>
      </c>
      <c r="O3285" s="7" t="str">
        <f ca="1">IFERROR(__xludf.DUMMYFUNCTION("GOOGLEFINANCE(""NSE:""&amp;D3285,""pe"")"),"#N/A")</f>
        <v>#N/A</v>
      </c>
      <c r="P3285" s="7" t="str">
        <f ca="1">IFERROR(__xludf.DUMMYFUNCTION("GOOGLEFINANCE(""NSE:""&amp;D3285,""EPS"")"),"#N/A")</f>
        <v>#N/A</v>
      </c>
      <c r="Q3285" s="7">
        <v>13.5</v>
      </c>
      <c r="R3285" s="7" t="str">
        <f ca="1">IFERROR(__xludf.DUMMYFUNCTION("IMPORTXML(E3285,""/html/body/main/div[3]/div[3]/div[2]/ul/li[7]/span[2]/span"")"),"Loading...")</f>
        <v>Loading...</v>
      </c>
      <c r="S3285" s="7" t="str">
        <f ca="1">IFERROR(__xludf.DUMMYFUNCTION("IMPORTXML(E3285,""/html/body/main/div[3]/div[3]/div[2]/ul/li[8]/span[2]/span"")"),"Loading...")</f>
        <v>Loading...</v>
      </c>
      <c r="T3285" s="4">
        <v>34.6</v>
      </c>
      <c r="U3285" s="4">
        <v>22.7</v>
      </c>
      <c r="V3285" s="4">
        <v>2.6</v>
      </c>
      <c r="W3285" s="4">
        <v>5.7</v>
      </c>
      <c r="X3285" s="4">
        <v>519.92999999999995</v>
      </c>
      <c r="Y3285" s="7" t="e">
        <f t="shared" ca="1" si="69"/>
        <v>#VALUE!</v>
      </c>
    </row>
    <row r="3286" spans="1:25" ht="15" x14ac:dyDescent="0.25">
      <c r="A3286" s="4">
        <v>3276</v>
      </c>
      <c r="C3286" s="41" t="s">
        <v>5623</v>
      </c>
      <c r="D3286" s="42"/>
      <c r="E3286" s="5" t="str">
        <f t="shared" si="65"/>
        <v>https://www.screener.in/company//consolidated/</v>
      </c>
      <c r="F3286" s="4">
        <v>443059</v>
      </c>
      <c r="G3286" s="4">
        <v>3832241897</v>
      </c>
      <c r="H3286" s="6" t="e">
        <f t="shared" ca="1" si="66"/>
        <v>#VALUE!</v>
      </c>
      <c r="I3286" s="7" t="str">
        <f ca="1">IFERROR(__xludf.DUMMYFUNCTION("IMPORTXML(E3286,""/html/body/main/div[3]/div[3]/div[2]/ul/li[5]/span[2]/span"")"),"Loading...")</f>
        <v>Loading...</v>
      </c>
      <c r="J3286" s="7" t="str">
        <f ca="1">IFERROR(__xludf.DUMMYFUNCTION("GOOGLEFINANCE(""NSE:""&amp;D3286,""marketcap"")"),"#N/A")</f>
        <v>#N/A</v>
      </c>
      <c r="K3286" s="7">
        <v>992.8</v>
      </c>
      <c r="L3286" s="8" t="str">
        <f ca="1">IFERROR(__xludf.DUMMYFUNCTION("GOOGLEFINANCE(""NSE:""&amp;D3286,""price"")"),"#N/A")</f>
        <v>#N/A</v>
      </c>
      <c r="M3286" s="9" t="e">
        <f t="shared" ca="1" si="67"/>
        <v>#VALUE!</v>
      </c>
      <c r="N3286" s="10" t="e">
        <f t="shared" ca="1" si="68"/>
        <v>#VALUE!</v>
      </c>
      <c r="O3286" s="7" t="str">
        <f ca="1">IFERROR(__xludf.DUMMYFUNCTION("GOOGLEFINANCE(""NSE:""&amp;D3286,""pe"")"),"#N/A")</f>
        <v>#N/A</v>
      </c>
      <c r="P3286" s="7" t="str">
        <f ca="1">IFERROR(__xludf.DUMMYFUNCTION("GOOGLEFINANCE(""NSE:""&amp;D3286,""EPS"")"),"#N/A")</f>
        <v>#N/A</v>
      </c>
      <c r="Q3286" s="7">
        <v>13.5</v>
      </c>
      <c r="R3286" s="7" t="str">
        <f ca="1">IFERROR(__xludf.DUMMYFUNCTION("IMPORTXML(E3286,""/html/body/main/div[3]/div[3]/div[2]/ul/li[7]/span[2]/span"")"),"Loading...")</f>
        <v>Loading...</v>
      </c>
      <c r="S3286" s="7" t="str">
        <f ca="1">IFERROR(__xludf.DUMMYFUNCTION("IMPORTXML(E3286,""/html/body/main/div[3]/div[3]/div[2]/ul/li[8]/span[2]/span"")"),"Loading...")</f>
        <v>Loading...</v>
      </c>
      <c r="T3286" s="4">
        <v>34.6</v>
      </c>
      <c r="U3286" s="4">
        <v>22.7</v>
      </c>
      <c r="V3286" s="4">
        <v>2.6</v>
      </c>
      <c r="W3286" s="4">
        <v>5.7</v>
      </c>
      <c r="X3286" s="4">
        <v>519.92999999999995</v>
      </c>
      <c r="Y3286" s="7" t="e">
        <f t="shared" ca="1" si="69"/>
        <v>#VALUE!</v>
      </c>
    </row>
    <row r="3287" spans="1:25" ht="15" x14ac:dyDescent="0.25">
      <c r="A3287" s="4">
        <v>3277</v>
      </c>
      <c r="C3287" s="41" t="s">
        <v>5624</v>
      </c>
      <c r="D3287" s="42"/>
      <c r="E3287" s="5" t="str">
        <f t="shared" si="65"/>
        <v>https://www.screener.in/company//consolidated/</v>
      </c>
      <c r="F3287" s="4">
        <v>443059</v>
      </c>
      <c r="G3287" s="4">
        <v>3832241897</v>
      </c>
      <c r="H3287" s="6" t="e">
        <f t="shared" ca="1" si="66"/>
        <v>#VALUE!</v>
      </c>
      <c r="I3287" s="7" t="str">
        <f ca="1">IFERROR(__xludf.DUMMYFUNCTION("IMPORTXML(E3287,""/html/body/main/div[3]/div[3]/div[2]/ul/li[5]/span[2]/span"")"),"Loading...")</f>
        <v>Loading...</v>
      </c>
      <c r="J3287" s="7" t="str">
        <f ca="1">IFERROR(__xludf.DUMMYFUNCTION("GOOGLEFINANCE(""NSE:""&amp;D3287,""marketcap"")"),"#N/A")</f>
        <v>#N/A</v>
      </c>
      <c r="K3287" s="7">
        <v>992.8</v>
      </c>
      <c r="L3287" s="8" t="str">
        <f ca="1">IFERROR(__xludf.DUMMYFUNCTION("GOOGLEFINANCE(""NSE:""&amp;D3287,""price"")"),"#N/A")</f>
        <v>#N/A</v>
      </c>
      <c r="M3287" s="9" t="e">
        <f t="shared" ca="1" si="67"/>
        <v>#VALUE!</v>
      </c>
      <c r="N3287" s="10" t="e">
        <f t="shared" ca="1" si="68"/>
        <v>#VALUE!</v>
      </c>
      <c r="O3287" s="7" t="str">
        <f ca="1">IFERROR(__xludf.DUMMYFUNCTION("GOOGLEFINANCE(""NSE:""&amp;D3287,""pe"")"),"#N/A")</f>
        <v>#N/A</v>
      </c>
      <c r="P3287" s="7" t="str">
        <f ca="1">IFERROR(__xludf.DUMMYFUNCTION("GOOGLEFINANCE(""NSE:""&amp;D3287,""EPS"")"),"#N/A")</f>
        <v>#N/A</v>
      </c>
      <c r="Q3287" s="7">
        <v>13.5</v>
      </c>
      <c r="R3287" s="7" t="str">
        <f ca="1">IFERROR(__xludf.DUMMYFUNCTION("IMPORTXML(E3287,""/html/body/main/div[3]/div[3]/div[2]/ul/li[7]/span[2]/span"")"),"Loading...")</f>
        <v>Loading...</v>
      </c>
      <c r="S3287" s="7" t="str">
        <f ca="1">IFERROR(__xludf.DUMMYFUNCTION("IMPORTXML(E3287,""/html/body/main/div[3]/div[3]/div[2]/ul/li[8]/span[2]/span"")"),"Loading...")</f>
        <v>Loading...</v>
      </c>
      <c r="T3287" s="4">
        <v>34.6</v>
      </c>
      <c r="U3287" s="4">
        <v>22.7</v>
      </c>
      <c r="V3287" s="4">
        <v>2.6</v>
      </c>
      <c r="W3287" s="4">
        <v>5.7</v>
      </c>
      <c r="X3287" s="4">
        <v>519.92999999999995</v>
      </c>
      <c r="Y3287" s="7" t="e">
        <f t="shared" ca="1" si="69"/>
        <v>#VALUE!</v>
      </c>
    </row>
    <row r="3288" spans="1:25" ht="15" x14ac:dyDescent="0.25">
      <c r="A3288" s="4">
        <v>3278</v>
      </c>
      <c r="C3288" s="41" t="s">
        <v>5625</v>
      </c>
      <c r="D3288" s="42"/>
      <c r="E3288" s="5" t="str">
        <f t="shared" si="65"/>
        <v>https://www.screener.in/company//consolidated/</v>
      </c>
      <c r="F3288" s="4">
        <v>443059</v>
      </c>
      <c r="G3288" s="4">
        <v>3832241897</v>
      </c>
      <c r="H3288" s="6" t="e">
        <f t="shared" ca="1" si="66"/>
        <v>#VALUE!</v>
      </c>
      <c r="I3288" s="7" t="str">
        <f ca="1">IFERROR(__xludf.DUMMYFUNCTION("IMPORTXML(E3288,""/html/body/main/div[3]/div[3]/div[2]/ul/li[5]/span[2]/span"")"),"Loading...")</f>
        <v>Loading...</v>
      </c>
      <c r="J3288" s="7" t="str">
        <f ca="1">IFERROR(__xludf.DUMMYFUNCTION("GOOGLEFINANCE(""NSE:""&amp;D3288,""marketcap"")"),"#N/A")</f>
        <v>#N/A</v>
      </c>
      <c r="K3288" s="7">
        <v>992.8</v>
      </c>
      <c r="L3288" s="8" t="str">
        <f ca="1">IFERROR(__xludf.DUMMYFUNCTION("GOOGLEFINANCE(""NSE:""&amp;D3288,""price"")"),"#N/A")</f>
        <v>#N/A</v>
      </c>
      <c r="M3288" s="9" t="e">
        <f t="shared" ca="1" si="67"/>
        <v>#VALUE!</v>
      </c>
      <c r="N3288" s="10" t="e">
        <f t="shared" ca="1" si="68"/>
        <v>#VALUE!</v>
      </c>
      <c r="O3288" s="7" t="str">
        <f ca="1">IFERROR(__xludf.DUMMYFUNCTION("GOOGLEFINANCE(""NSE:""&amp;D3288,""pe"")"),"#N/A")</f>
        <v>#N/A</v>
      </c>
      <c r="P3288" s="7" t="str">
        <f ca="1">IFERROR(__xludf.DUMMYFUNCTION("GOOGLEFINANCE(""NSE:""&amp;D3288,""EPS"")"),"#N/A")</f>
        <v>#N/A</v>
      </c>
      <c r="Q3288" s="7">
        <v>13.5</v>
      </c>
      <c r="R3288" s="7" t="str">
        <f ca="1">IFERROR(__xludf.DUMMYFUNCTION("IMPORTXML(E3288,""/html/body/main/div[3]/div[3]/div[2]/ul/li[7]/span[2]/span"")"),"Loading...")</f>
        <v>Loading...</v>
      </c>
      <c r="S3288" s="7" t="str">
        <f ca="1">IFERROR(__xludf.DUMMYFUNCTION("IMPORTXML(E3288,""/html/body/main/div[3]/div[3]/div[2]/ul/li[8]/span[2]/span"")"),"Loading...")</f>
        <v>Loading...</v>
      </c>
      <c r="T3288" s="4">
        <v>34.6</v>
      </c>
      <c r="U3288" s="4">
        <v>22.7</v>
      </c>
      <c r="V3288" s="4">
        <v>2.6</v>
      </c>
      <c r="W3288" s="4">
        <v>5.7</v>
      </c>
      <c r="X3288" s="4">
        <v>519.92999999999995</v>
      </c>
      <c r="Y3288" s="7" t="e">
        <f t="shared" ca="1" si="69"/>
        <v>#VALUE!</v>
      </c>
    </row>
    <row r="3289" spans="1:25" ht="15" x14ac:dyDescent="0.25">
      <c r="A3289" s="4">
        <v>3279</v>
      </c>
      <c r="C3289" s="41" t="s">
        <v>5626</v>
      </c>
      <c r="D3289" s="42"/>
      <c r="E3289" s="5" t="str">
        <f t="shared" si="65"/>
        <v>https://www.screener.in/company//consolidated/</v>
      </c>
      <c r="F3289" s="4">
        <v>443059</v>
      </c>
      <c r="G3289" s="4">
        <v>3832241897</v>
      </c>
      <c r="H3289" s="6" t="e">
        <f t="shared" ca="1" si="66"/>
        <v>#VALUE!</v>
      </c>
      <c r="I3289" s="7" t="str">
        <f ca="1">IFERROR(__xludf.DUMMYFUNCTION("IMPORTXML(E3289,""/html/body/main/div[3]/div[3]/div[2]/ul/li[5]/span[2]/span"")"),"Loading...")</f>
        <v>Loading...</v>
      </c>
      <c r="J3289" s="7" t="str">
        <f ca="1">IFERROR(__xludf.DUMMYFUNCTION("GOOGLEFINANCE(""NSE:""&amp;D3289,""marketcap"")"),"#N/A")</f>
        <v>#N/A</v>
      </c>
      <c r="K3289" s="7">
        <v>992.8</v>
      </c>
      <c r="L3289" s="8" t="str">
        <f ca="1">IFERROR(__xludf.DUMMYFUNCTION("GOOGLEFINANCE(""NSE:""&amp;D3289,""price"")"),"#N/A")</f>
        <v>#N/A</v>
      </c>
      <c r="M3289" s="9" t="e">
        <f t="shared" ca="1" si="67"/>
        <v>#VALUE!</v>
      </c>
      <c r="N3289" s="10" t="e">
        <f t="shared" ca="1" si="68"/>
        <v>#VALUE!</v>
      </c>
      <c r="O3289" s="7" t="str">
        <f ca="1">IFERROR(__xludf.DUMMYFUNCTION("GOOGLEFINANCE(""NSE:""&amp;D3289,""pe"")"),"#N/A")</f>
        <v>#N/A</v>
      </c>
      <c r="P3289" s="7" t="str">
        <f ca="1">IFERROR(__xludf.DUMMYFUNCTION("GOOGLEFINANCE(""NSE:""&amp;D3289,""EPS"")"),"#N/A")</f>
        <v>#N/A</v>
      </c>
      <c r="Q3289" s="7">
        <v>13.5</v>
      </c>
      <c r="R3289" s="7" t="str">
        <f ca="1">IFERROR(__xludf.DUMMYFUNCTION("IMPORTXML(E3289,""/html/body/main/div[3]/div[3]/div[2]/ul/li[7]/span[2]/span"")"),"Loading...")</f>
        <v>Loading...</v>
      </c>
      <c r="S3289" s="7" t="str">
        <f ca="1">IFERROR(__xludf.DUMMYFUNCTION("IMPORTXML(E3289,""/html/body/main/div[3]/div[3]/div[2]/ul/li[8]/span[2]/span"")"),"Loading...")</f>
        <v>Loading...</v>
      </c>
      <c r="T3289" s="4">
        <v>34.6</v>
      </c>
      <c r="U3289" s="4">
        <v>22.7</v>
      </c>
      <c r="V3289" s="4">
        <v>2.6</v>
      </c>
      <c r="W3289" s="4">
        <v>5.7</v>
      </c>
      <c r="X3289" s="4">
        <v>519.92999999999995</v>
      </c>
      <c r="Y3289" s="7" t="e">
        <f t="shared" ca="1" si="69"/>
        <v>#VALUE!</v>
      </c>
    </row>
    <row r="3290" spans="1:25" ht="15" x14ac:dyDescent="0.25">
      <c r="A3290" s="4">
        <v>3280</v>
      </c>
      <c r="C3290" s="41" t="s">
        <v>5627</v>
      </c>
      <c r="D3290" s="42"/>
      <c r="E3290" s="5" t="str">
        <f t="shared" si="65"/>
        <v>https://www.screener.in/company//consolidated/</v>
      </c>
      <c r="F3290" s="4">
        <v>443059</v>
      </c>
      <c r="G3290" s="4">
        <v>3832241897</v>
      </c>
      <c r="H3290" s="6" t="e">
        <f t="shared" ca="1" si="66"/>
        <v>#VALUE!</v>
      </c>
      <c r="I3290" s="7" t="str">
        <f ca="1">IFERROR(__xludf.DUMMYFUNCTION("IMPORTXML(E3290,""/html/body/main/div[3]/div[3]/div[2]/ul/li[5]/span[2]/span"")"),"Loading...")</f>
        <v>Loading...</v>
      </c>
      <c r="J3290" s="7" t="str">
        <f ca="1">IFERROR(__xludf.DUMMYFUNCTION("GOOGLEFINANCE(""NSE:""&amp;D3290,""marketcap"")"),"#N/A")</f>
        <v>#N/A</v>
      </c>
      <c r="K3290" s="7">
        <v>992.8</v>
      </c>
      <c r="L3290" s="8" t="str">
        <f ca="1">IFERROR(__xludf.DUMMYFUNCTION("GOOGLEFINANCE(""NSE:""&amp;D3290,""price"")"),"#N/A")</f>
        <v>#N/A</v>
      </c>
      <c r="M3290" s="9" t="e">
        <f t="shared" ca="1" si="67"/>
        <v>#VALUE!</v>
      </c>
      <c r="N3290" s="10" t="e">
        <f t="shared" ca="1" si="68"/>
        <v>#VALUE!</v>
      </c>
      <c r="O3290" s="7" t="str">
        <f ca="1">IFERROR(__xludf.DUMMYFUNCTION("GOOGLEFINANCE(""NSE:""&amp;D3290,""pe"")"),"#N/A")</f>
        <v>#N/A</v>
      </c>
      <c r="P3290" s="7" t="str">
        <f ca="1">IFERROR(__xludf.DUMMYFUNCTION("GOOGLEFINANCE(""NSE:""&amp;D3290,""EPS"")"),"#N/A")</f>
        <v>#N/A</v>
      </c>
      <c r="Q3290" s="7">
        <v>13.5</v>
      </c>
      <c r="R3290" s="7" t="str">
        <f ca="1">IFERROR(__xludf.DUMMYFUNCTION("IMPORTXML(E3290,""/html/body/main/div[3]/div[3]/div[2]/ul/li[7]/span[2]/span"")"),"Loading...")</f>
        <v>Loading...</v>
      </c>
      <c r="S3290" s="7" t="str">
        <f ca="1">IFERROR(__xludf.DUMMYFUNCTION("IMPORTXML(E3290,""/html/body/main/div[3]/div[3]/div[2]/ul/li[8]/span[2]/span"")"),"Loading...")</f>
        <v>Loading...</v>
      </c>
      <c r="T3290" s="4">
        <v>34.6</v>
      </c>
      <c r="U3290" s="4">
        <v>22.7</v>
      </c>
      <c r="V3290" s="4">
        <v>2.6</v>
      </c>
      <c r="W3290" s="4">
        <v>5.7</v>
      </c>
      <c r="X3290" s="4">
        <v>519.92999999999995</v>
      </c>
      <c r="Y3290" s="7" t="e">
        <f t="shared" ca="1" si="69"/>
        <v>#VALUE!</v>
      </c>
    </row>
    <row r="3291" spans="1:25" ht="15" x14ac:dyDescent="0.25">
      <c r="A3291" s="4">
        <v>3281</v>
      </c>
      <c r="C3291" s="12" t="s">
        <v>5628</v>
      </c>
      <c r="D3291" s="12" t="s">
        <v>5629</v>
      </c>
      <c r="E3291" s="5" t="str">
        <f t="shared" si="65"/>
        <v>https://www.screener.in/company/VIVIDHA/consolidated/</v>
      </c>
      <c r="F3291" s="4">
        <v>443059</v>
      </c>
      <c r="G3291" s="4">
        <v>3832241897</v>
      </c>
      <c r="H3291" s="6">
        <f t="shared" ca="1" si="66"/>
        <v>302.74710986299999</v>
      </c>
      <c r="I3291" s="7" t="str">
        <f ca="1">IFERROR(__xludf.DUMMYFUNCTION("IMPORTXML(E3291,""/html/body/main/div[3]/div[3]/div[2]/ul/li[5]/span[2]/span"")"),"Loading...")</f>
        <v>Loading...</v>
      </c>
      <c r="J3291" s="7">
        <f ca="1">IFERROR(__xludf.DUMMYFUNCTION("GOOGLEFINANCE(""NSE:""&amp;D3291,""marketcap"")"),228306400)</f>
        <v>228306400</v>
      </c>
      <c r="K3291" s="7">
        <v>992.8</v>
      </c>
      <c r="L3291" s="8">
        <f ca="1">IFERROR(__xludf.DUMMYFUNCTION("GOOGLEFINANCE(""NSE:""&amp;D3291,""price"")"),0.79)</f>
        <v>0.79</v>
      </c>
      <c r="M3291" s="9">
        <f t="shared" ca="1" si="67"/>
        <v>-992.01</v>
      </c>
      <c r="N3291" s="10">
        <f t="shared" ca="1" si="68"/>
        <v>-99.920427074939568</v>
      </c>
      <c r="O3291" s="7" t="str">
        <f ca="1">IFERROR(__xludf.DUMMYFUNCTION("GOOGLEFINANCE(""NSE:""&amp;D3291,""pe"")"),"#N/A")</f>
        <v>#N/A</v>
      </c>
      <c r="P3291" s="7">
        <f ca="1">IFERROR(__xludf.DUMMYFUNCTION("GOOGLEFINANCE(""NSE:""&amp;D3291,""EPS"")"),-0.06)</f>
        <v>-0.06</v>
      </c>
      <c r="Q3291" s="7">
        <v>13.5</v>
      </c>
      <c r="R3291" s="7" t="str">
        <f ca="1">IFERROR(__xludf.DUMMYFUNCTION("IMPORTXML(E3291,""/html/body/main/div[3]/div[3]/div[2]/ul/li[7]/span[2]/span"")"),"Loading...")</f>
        <v>Loading...</v>
      </c>
      <c r="S3291" s="7" t="str">
        <f ca="1">IFERROR(__xludf.DUMMYFUNCTION("IMPORTXML(E3291,""/html/body/main/div[3]/div[3]/div[2]/ul/li[8]/span[2]/span"")"),"Loading...")</f>
        <v>Loading...</v>
      </c>
      <c r="T3291" s="4">
        <v>34.6</v>
      </c>
      <c r="U3291" s="4">
        <v>22.7</v>
      </c>
      <c r="V3291" s="4">
        <v>2.6</v>
      </c>
      <c r="W3291" s="4">
        <v>5.7</v>
      </c>
      <c r="X3291" s="4">
        <v>519.92999999999995</v>
      </c>
      <c r="Y3291" s="7">
        <f t="shared" ca="1" si="69"/>
        <v>-519.14</v>
      </c>
    </row>
    <row r="3292" spans="1:25" ht="15" x14ac:dyDescent="0.25">
      <c r="A3292" s="4">
        <v>3282</v>
      </c>
      <c r="C3292" s="41" t="s">
        <v>5630</v>
      </c>
      <c r="D3292" s="42"/>
      <c r="E3292" s="5" t="str">
        <f t="shared" si="65"/>
        <v>https://www.screener.in/company//consolidated/</v>
      </c>
      <c r="F3292" s="4">
        <v>443059</v>
      </c>
      <c r="G3292" s="4">
        <v>3832241897</v>
      </c>
      <c r="H3292" s="6" t="e">
        <f t="shared" ca="1" si="66"/>
        <v>#VALUE!</v>
      </c>
      <c r="I3292" s="7" t="str">
        <f ca="1">IFERROR(__xludf.DUMMYFUNCTION("IMPORTXML(E3292,""/html/body/main/div[3]/div[3]/div[2]/ul/li[5]/span[2]/span"")"),"Loading...")</f>
        <v>Loading...</v>
      </c>
      <c r="J3292" s="7" t="str">
        <f ca="1">IFERROR(__xludf.DUMMYFUNCTION("GOOGLEFINANCE(""NSE:""&amp;D3292,""marketcap"")"),"#N/A")</f>
        <v>#N/A</v>
      </c>
      <c r="K3292" s="7">
        <v>992.8</v>
      </c>
      <c r="L3292" s="8" t="str">
        <f ca="1">IFERROR(__xludf.DUMMYFUNCTION("GOOGLEFINANCE(""NSE:""&amp;D3292,""price"")"),"#N/A")</f>
        <v>#N/A</v>
      </c>
      <c r="M3292" s="9" t="e">
        <f t="shared" ca="1" si="67"/>
        <v>#VALUE!</v>
      </c>
      <c r="N3292" s="10" t="e">
        <f t="shared" ca="1" si="68"/>
        <v>#VALUE!</v>
      </c>
      <c r="O3292" s="7" t="str">
        <f ca="1">IFERROR(__xludf.DUMMYFUNCTION("GOOGLEFINANCE(""NSE:""&amp;D3292,""pe"")"),"#N/A")</f>
        <v>#N/A</v>
      </c>
      <c r="P3292" s="7" t="str">
        <f ca="1">IFERROR(__xludf.DUMMYFUNCTION("GOOGLEFINANCE(""NSE:""&amp;D3292,""EPS"")"),"#N/A")</f>
        <v>#N/A</v>
      </c>
      <c r="Q3292" s="7">
        <v>13.5</v>
      </c>
      <c r="R3292" s="7" t="str">
        <f ca="1">IFERROR(__xludf.DUMMYFUNCTION("IMPORTXML(E3292,""/html/body/main/div[3]/div[3]/div[2]/ul/li[7]/span[2]/span"")"),"Loading...")</f>
        <v>Loading...</v>
      </c>
      <c r="S3292" s="7" t="str">
        <f ca="1">IFERROR(__xludf.DUMMYFUNCTION("IMPORTXML(E3292,""/html/body/main/div[3]/div[3]/div[2]/ul/li[8]/span[2]/span"")"),"Loading...")</f>
        <v>Loading...</v>
      </c>
      <c r="T3292" s="4">
        <v>34.6</v>
      </c>
      <c r="U3292" s="4">
        <v>22.7</v>
      </c>
      <c r="V3292" s="4">
        <v>2.6</v>
      </c>
      <c r="W3292" s="4">
        <v>5.7</v>
      </c>
      <c r="X3292" s="4">
        <v>519.92999999999995</v>
      </c>
      <c r="Y3292" s="7" t="e">
        <f t="shared" ca="1" si="69"/>
        <v>#VALUE!</v>
      </c>
    </row>
    <row r="3293" spans="1:25" ht="15" x14ac:dyDescent="0.25">
      <c r="A3293" s="4">
        <v>3283</v>
      </c>
      <c r="C3293" s="41" t="s">
        <v>5631</v>
      </c>
      <c r="D3293" s="42"/>
      <c r="E3293" s="5" t="str">
        <f t="shared" si="65"/>
        <v>https://www.screener.in/company//consolidated/</v>
      </c>
      <c r="F3293" s="4">
        <v>443059</v>
      </c>
      <c r="G3293" s="4">
        <v>3832241897</v>
      </c>
      <c r="H3293" s="6" t="e">
        <f t="shared" ca="1" si="66"/>
        <v>#VALUE!</v>
      </c>
      <c r="I3293" s="7" t="str">
        <f ca="1">IFERROR(__xludf.DUMMYFUNCTION("IMPORTXML(E3293,""/html/body/main/div[3]/div[3]/div[2]/ul/li[5]/span[2]/span"")"),"Loading...")</f>
        <v>Loading...</v>
      </c>
      <c r="J3293" s="7" t="str">
        <f ca="1">IFERROR(__xludf.DUMMYFUNCTION("GOOGLEFINANCE(""NSE:""&amp;D3293,""marketcap"")"),"#N/A")</f>
        <v>#N/A</v>
      </c>
      <c r="K3293" s="7">
        <v>992.8</v>
      </c>
      <c r="L3293" s="8" t="str">
        <f ca="1">IFERROR(__xludf.DUMMYFUNCTION("GOOGLEFINANCE(""NSE:""&amp;D3293,""price"")"),"#N/A")</f>
        <v>#N/A</v>
      </c>
      <c r="M3293" s="9" t="e">
        <f t="shared" ca="1" si="67"/>
        <v>#VALUE!</v>
      </c>
      <c r="N3293" s="10" t="e">
        <f t="shared" ca="1" si="68"/>
        <v>#VALUE!</v>
      </c>
      <c r="O3293" s="7" t="str">
        <f ca="1">IFERROR(__xludf.DUMMYFUNCTION("GOOGLEFINANCE(""NSE:""&amp;D3293,""pe"")"),"#N/A")</f>
        <v>#N/A</v>
      </c>
      <c r="P3293" s="7" t="str">
        <f ca="1">IFERROR(__xludf.DUMMYFUNCTION("GOOGLEFINANCE(""NSE:""&amp;D3293,""EPS"")"),"#N/A")</f>
        <v>#N/A</v>
      </c>
      <c r="Q3293" s="7">
        <v>13.5</v>
      </c>
      <c r="R3293" s="7" t="str">
        <f ca="1">IFERROR(__xludf.DUMMYFUNCTION("IMPORTXML(E3293,""/html/body/main/div[3]/div[3]/div[2]/ul/li[7]/span[2]/span"")"),"Loading...")</f>
        <v>Loading...</v>
      </c>
      <c r="S3293" s="7" t="str">
        <f ca="1">IFERROR(__xludf.DUMMYFUNCTION("IMPORTXML(E3293,""/html/body/main/div[3]/div[3]/div[2]/ul/li[8]/span[2]/span"")"),"Loading...")</f>
        <v>Loading...</v>
      </c>
      <c r="T3293" s="4">
        <v>34.6</v>
      </c>
      <c r="U3293" s="4">
        <v>22.7</v>
      </c>
      <c r="V3293" s="4">
        <v>2.6</v>
      </c>
      <c r="W3293" s="4">
        <v>5.7</v>
      </c>
      <c r="X3293" s="4">
        <v>519.92999999999995</v>
      </c>
      <c r="Y3293" s="7" t="e">
        <f t="shared" ca="1" si="69"/>
        <v>#VALUE!</v>
      </c>
    </row>
    <row r="3294" spans="1:25" ht="15" x14ac:dyDescent="0.25">
      <c r="A3294" s="4">
        <v>3284</v>
      </c>
      <c r="C3294" s="41" t="s">
        <v>5632</v>
      </c>
      <c r="D3294" s="42"/>
      <c r="E3294" s="5" t="str">
        <f t="shared" si="65"/>
        <v>https://www.screener.in/company//consolidated/</v>
      </c>
      <c r="F3294" s="4">
        <v>443059</v>
      </c>
      <c r="G3294" s="4">
        <v>3832241897</v>
      </c>
      <c r="H3294" s="6" t="e">
        <f t="shared" ca="1" si="66"/>
        <v>#VALUE!</v>
      </c>
      <c r="I3294" s="7" t="str">
        <f ca="1">IFERROR(__xludf.DUMMYFUNCTION("IMPORTXML(E3294,""/html/body/main/div[3]/div[3]/div[2]/ul/li[5]/span[2]/span"")"),"Loading...")</f>
        <v>Loading...</v>
      </c>
      <c r="J3294" s="7" t="str">
        <f ca="1">IFERROR(__xludf.DUMMYFUNCTION("GOOGLEFINANCE(""NSE:""&amp;D3294,""marketcap"")"),"#N/A")</f>
        <v>#N/A</v>
      </c>
      <c r="K3294" s="7">
        <v>992.8</v>
      </c>
      <c r="L3294" s="8" t="str">
        <f ca="1">IFERROR(__xludf.DUMMYFUNCTION("GOOGLEFINANCE(""NSE:""&amp;D3294,""price"")"),"#N/A")</f>
        <v>#N/A</v>
      </c>
      <c r="M3294" s="9" t="e">
        <f t="shared" ca="1" si="67"/>
        <v>#VALUE!</v>
      </c>
      <c r="N3294" s="10" t="e">
        <f t="shared" ca="1" si="68"/>
        <v>#VALUE!</v>
      </c>
      <c r="O3294" s="7" t="str">
        <f ca="1">IFERROR(__xludf.DUMMYFUNCTION("GOOGLEFINANCE(""NSE:""&amp;D3294,""pe"")"),"#N/A")</f>
        <v>#N/A</v>
      </c>
      <c r="P3294" s="7" t="str">
        <f ca="1">IFERROR(__xludf.DUMMYFUNCTION("GOOGLEFINANCE(""NSE:""&amp;D3294,""EPS"")"),"#N/A")</f>
        <v>#N/A</v>
      </c>
      <c r="Q3294" s="7">
        <v>13.5</v>
      </c>
      <c r="R3294" s="7" t="str">
        <f ca="1">IFERROR(__xludf.DUMMYFUNCTION("IMPORTXML(E3294,""/html/body/main/div[3]/div[3]/div[2]/ul/li[7]/span[2]/span"")"),"Loading...")</f>
        <v>Loading...</v>
      </c>
      <c r="S3294" s="7" t="str">
        <f ca="1">IFERROR(__xludf.DUMMYFUNCTION("IMPORTXML(E3294,""/html/body/main/div[3]/div[3]/div[2]/ul/li[8]/span[2]/span"")"),"Loading...")</f>
        <v>Loading...</v>
      </c>
      <c r="T3294" s="4">
        <v>34.6</v>
      </c>
      <c r="U3294" s="4">
        <v>22.7</v>
      </c>
      <c r="V3294" s="4">
        <v>2.6</v>
      </c>
      <c r="W3294" s="4">
        <v>5.7</v>
      </c>
      <c r="X3294" s="4">
        <v>519.92999999999995</v>
      </c>
      <c r="Y3294" s="7" t="e">
        <f t="shared" ca="1" si="69"/>
        <v>#VALUE!</v>
      </c>
    </row>
    <row r="3295" spans="1:25" ht="15" x14ac:dyDescent="0.25">
      <c r="A3295" s="4">
        <v>3285</v>
      </c>
      <c r="C3295" s="41" t="s">
        <v>5633</v>
      </c>
      <c r="D3295" s="42"/>
      <c r="E3295" s="5" t="str">
        <f t="shared" si="65"/>
        <v>https://www.screener.in/company//consolidated/</v>
      </c>
      <c r="F3295" s="4">
        <v>443059</v>
      </c>
      <c r="G3295" s="4">
        <v>3832241897</v>
      </c>
      <c r="H3295" s="6" t="e">
        <f t="shared" ca="1" si="66"/>
        <v>#VALUE!</v>
      </c>
      <c r="I3295" s="7" t="str">
        <f ca="1">IFERROR(__xludf.DUMMYFUNCTION("IMPORTXML(E3295,""/html/body/main/div[3]/div[3]/div[2]/ul/li[5]/span[2]/span"")"),"Loading...")</f>
        <v>Loading...</v>
      </c>
      <c r="J3295" s="7" t="str">
        <f ca="1">IFERROR(__xludf.DUMMYFUNCTION("GOOGLEFINANCE(""NSE:""&amp;D3295,""marketcap"")"),"#N/A")</f>
        <v>#N/A</v>
      </c>
      <c r="K3295" s="7">
        <v>992.8</v>
      </c>
      <c r="L3295" s="8" t="str">
        <f ca="1">IFERROR(__xludf.DUMMYFUNCTION("GOOGLEFINANCE(""NSE:""&amp;D3295,""price"")"),"#N/A")</f>
        <v>#N/A</v>
      </c>
      <c r="M3295" s="9" t="e">
        <f t="shared" ca="1" si="67"/>
        <v>#VALUE!</v>
      </c>
      <c r="N3295" s="10" t="e">
        <f t="shared" ca="1" si="68"/>
        <v>#VALUE!</v>
      </c>
      <c r="O3295" s="7" t="str">
        <f ca="1">IFERROR(__xludf.DUMMYFUNCTION("GOOGLEFINANCE(""NSE:""&amp;D3295,""pe"")"),"#N/A")</f>
        <v>#N/A</v>
      </c>
      <c r="P3295" s="7" t="str">
        <f ca="1">IFERROR(__xludf.DUMMYFUNCTION("GOOGLEFINANCE(""NSE:""&amp;D3295,""EPS"")"),"#N/A")</f>
        <v>#N/A</v>
      </c>
      <c r="Q3295" s="7">
        <v>13.5</v>
      </c>
      <c r="R3295" s="7" t="str">
        <f ca="1">IFERROR(__xludf.DUMMYFUNCTION("IMPORTXML(E3295,""/html/body/main/div[3]/div[3]/div[2]/ul/li[7]/span[2]/span"")"),"Loading...")</f>
        <v>Loading...</v>
      </c>
      <c r="S3295" s="7" t="str">
        <f ca="1">IFERROR(__xludf.DUMMYFUNCTION("IMPORTXML(E3295,""/html/body/main/div[3]/div[3]/div[2]/ul/li[8]/span[2]/span"")"),"Loading...")</f>
        <v>Loading...</v>
      </c>
      <c r="T3295" s="4">
        <v>34.6</v>
      </c>
      <c r="U3295" s="4">
        <v>22.7</v>
      </c>
      <c r="V3295" s="4">
        <v>2.6</v>
      </c>
      <c r="W3295" s="4">
        <v>5.7</v>
      </c>
      <c r="X3295" s="4">
        <v>519.92999999999995</v>
      </c>
      <c r="Y3295" s="7" t="e">
        <f t="shared" ca="1" si="69"/>
        <v>#VALUE!</v>
      </c>
    </row>
    <row r="3296" spans="1:25" ht="15" x14ac:dyDescent="0.25">
      <c r="A3296" s="4">
        <v>3286</v>
      </c>
      <c r="C3296" s="41" t="s">
        <v>5634</v>
      </c>
      <c r="D3296" s="42"/>
      <c r="E3296" s="5" t="str">
        <f t="shared" si="65"/>
        <v>https://www.screener.in/company//consolidated/</v>
      </c>
      <c r="F3296" s="4">
        <v>443059</v>
      </c>
      <c r="G3296" s="4">
        <v>3832241897</v>
      </c>
      <c r="H3296" s="6" t="e">
        <f t="shared" ca="1" si="66"/>
        <v>#VALUE!</v>
      </c>
      <c r="I3296" s="7" t="str">
        <f ca="1">IFERROR(__xludf.DUMMYFUNCTION("IMPORTXML(E3296,""/html/body/main/div[3]/div[3]/div[2]/ul/li[5]/span[2]/span"")"),"Loading...")</f>
        <v>Loading...</v>
      </c>
      <c r="J3296" s="7" t="str">
        <f ca="1">IFERROR(__xludf.DUMMYFUNCTION("GOOGLEFINANCE(""NSE:""&amp;D3296,""marketcap"")"),"#N/A")</f>
        <v>#N/A</v>
      </c>
      <c r="K3296" s="7">
        <v>992.8</v>
      </c>
      <c r="L3296" s="8" t="str">
        <f ca="1">IFERROR(__xludf.DUMMYFUNCTION("GOOGLEFINANCE(""NSE:""&amp;D3296,""price"")"),"#N/A")</f>
        <v>#N/A</v>
      </c>
      <c r="M3296" s="9" t="e">
        <f t="shared" ca="1" si="67"/>
        <v>#VALUE!</v>
      </c>
      <c r="N3296" s="10" t="e">
        <f t="shared" ca="1" si="68"/>
        <v>#VALUE!</v>
      </c>
      <c r="O3296" s="7" t="str">
        <f ca="1">IFERROR(__xludf.DUMMYFUNCTION("GOOGLEFINANCE(""NSE:""&amp;D3296,""pe"")"),"#N/A")</f>
        <v>#N/A</v>
      </c>
      <c r="P3296" s="7" t="str">
        <f ca="1">IFERROR(__xludf.DUMMYFUNCTION("GOOGLEFINANCE(""NSE:""&amp;D3296,""EPS"")"),"#N/A")</f>
        <v>#N/A</v>
      </c>
      <c r="Q3296" s="7">
        <v>13.5</v>
      </c>
      <c r="R3296" s="7" t="str">
        <f ca="1">IFERROR(__xludf.DUMMYFUNCTION("IMPORTXML(E3296,""/html/body/main/div[3]/div[3]/div[2]/ul/li[7]/span[2]/span"")"),"Loading...")</f>
        <v>Loading...</v>
      </c>
      <c r="S3296" s="7" t="str">
        <f ca="1">IFERROR(__xludf.DUMMYFUNCTION("IMPORTXML(E3296,""/html/body/main/div[3]/div[3]/div[2]/ul/li[8]/span[2]/span"")"),"Loading...")</f>
        <v>Loading...</v>
      </c>
      <c r="T3296" s="4">
        <v>34.6</v>
      </c>
      <c r="U3296" s="4">
        <v>22.7</v>
      </c>
      <c r="V3296" s="4">
        <v>2.6</v>
      </c>
      <c r="W3296" s="4">
        <v>5.7</v>
      </c>
      <c r="X3296" s="4">
        <v>519.92999999999995</v>
      </c>
      <c r="Y3296" s="7" t="e">
        <f t="shared" ca="1" si="69"/>
        <v>#VALUE!</v>
      </c>
    </row>
    <row r="3297" spans="1:25" ht="15" x14ac:dyDescent="0.25">
      <c r="A3297" s="4">
        <v>3287</v>
      </c>
      <c r="C3297" s="41" t="s">
        <v>5635</v>
      </c>
      <c r="D3297" s="42"/>
      <c r="E3297" s="5" t="str">
        <f t="shared" si="65"/>
        <v>https://www.screener.in/company//consolidated/</v>
      </c>
      <c r="F3297" s="4">
        <v>443059</v>
      </c>
      <c r="G3297" s="4">
        <v>3832241897</v>
      </c>
      <c r="H3297" s="6" t="e">
        <f t="shared" ca="1" si="66"/>
        <v>#VALUE!</v>
      </c>
      <c r="I3297" s="7" t="str">
        <f ca="1">IFERROR(__xludf.DUMMYFUNCTION("IMPORTXML(E3297,""/html/body/main/div[3]/div[3]/div[2]/ul/li[5]/span[2]/span"")"),"Loading...")</f>
        <v>Loading...</v>
      </c>
      <c r="J3297" s="7" t="str">
        <f ca="1">IFERROR(__xludf.DUMMYFUNCTION("GOOGLEFINANCE(""NSE:""&amp;D3297,""marketcap"")"),"#N/A")</f>
        <v>#N/A</v>
      </c>
      <c r="K3297" s="7">
        <v>992.8</v>
      </c>
      <c r="L3297" s="8" t="str">
        <f ca="1">IFERROR(__xludf.DUMMYFUNCTION("GOOGLEFINANCE(""NSE:""&amp;D3297,""price"")"),"#N/A")</f>
        <v>#N/A</v>
      </c>
      <c r="M3297" s="9" t="e">
        <f t="shared" ca="1" si="67"/>
        <v>#VALUE!</v>
      </c>
      <c r="N3297" s="10" t="e">
        <f t="shared" ca="1" si="68"/>
        <v>#VALUE!</v>
      </c>
      <c r="O3297" s="7" t="str">
        <f ca="1">IFERROR(__xludf.DUMMYFUNCTION("GOOGLEFINANCE(""NSE:""&amp;D3297,""pe"")"),"#N/A")</f>
        <v>#N/A</v>
      </c>
      <c r="P3297" s="7" t="str">
        <f ca="1">IFERROR(__xludf.DUMMYFUNCTION("GOOGLEFINANCE(""NSE:""&amp;D3297,""EPS"")"),"#N/A")</f>
        <v>#N/A</v>
      </c>
      <c r="Q3297" s="7">
        <v>13.5</v>
      </c>
      <c r="R3297" s="7" t="str">
        <f ca="1">IFERROR(__xludf.DUMMYFUNCTION("IMPORTXML(E3297,""/html/body/main/div[3]/div[3]/div[2]/ul/li[7]/span[2]/span"")"),"Loading...")</f>
        <v>Loading...</v>
      </c>
      <c r="S3297" s="7" t="str">
        <f ca="1">IFERROR(__xludf.DUMMYFUNCTION("IMPORTXML(E3297,""/html/body/main/div[3]/div[3]/div[2]/ul/li[8]/span[2]/span"")"),"Loading...")</f>
        <v>Loading...</v>
      </c>
      <c r="T3297" s="4">
        <v>34.6</v>
      </c>
      <c r="U3297" s="4">
        <v>22.7</v>
      </c>
      <c r="V3297" s="4">
        <v>2.6</v>
      </c>
      <c r="W3297" s="4">
        <v>5.7</v>
      </c>
      <c r="X3297" s="4">
        <v>519.92999999999995</v>
      </c>
      <c r="Y3297" s="7" t="e">
        <f t="shared" ca="1" si="69"/>
        <v>#VALUE!</v>
      </c>
    </row>
    <row r="3298" spans="1:25" ht="15" x14ac:dyDescent="0.25">
      <c r="A3298" s="4">
        <v>3288</v>
      </c>
      <c r="C3298" s="41" t="s">
        <v>5636</v>
      </c>
      <c r="D3298" s="42"/>
      <c r="E3298" s="5" t="str">
        <f t="shared" si="65"/>
        <v>https://www.screener.in/company//consolidated/</v>
      </c>
      <c r="F3298" s="4">
        <v>443059</v>
      </c>
      <c r="G3298" s="4">
        <v>3832241897</v>
      </c>
      <c r="H3298" s="6" t="e">
        <f t="shared" ca="1" si="66"/>
        <v>#VALUE!</v>
      </c>
      <c r="I3298" s="7" t="str">
        <f ca="1">IFERROR(__xludf.DUMMYFUNCTION("IMPORTXML(E3298,""/html/body/main/div[3]/div[3]/div[2]/ul/li[5]/span[2]/span"")"),"Loading...")</f>
        <v>Loading...</v>
      </c>
      <c r="J3298" s="7" t="str">
        <f ca="1">IFERROR(__xludf.DUMMYFUNCTION("GOOGLEFINANCE(""NSE:""&amp;D3298,""marketcap"")"),"#N/A")</f>
        <v>#N/A</v>
      </c>
      <c r="K3298" s="7">
        <v>992.8</v>
      </c>
      <c r="L3298" s="8" t="str">
        <f ca="1">IFERROR(__xludf.DUMMYFUNCTION("GOOGLEFINANCE(""NSE:""&amp;D3298,""price"")"),"#N/A")</f>
        <v>#N/A</v>
      </c>
      <c r="M3298" s="9" t="e">
        <f t="shared" ca="1" si="67"/>
        <v>#VALUE!</v>
      </c>
      <c r="N3298" s="10" t="e">
        <f t="shared" ca="1" si="68"/>
        <v>#VALUE!</v>
      </c>
      <c r="O3298" s="7" t="str">
        <f ca="1">IFERROR(__xludf.DUMMYFUNCTION("GOOGLEFINANCE(""NSE:""&amp;D3298,""pe"")"),"#N/A")</f>
        <v>#N/A</v>
      </c>
      <c r="P3298" s="7" t="str">
        <f ca="1">IFERROR(__xludf.DUMMYFUNCTION("GOOGLEFINANCE(""NSE:""&amp;D3298,""EPS"")"),"#N/A")</f>
        <v>#N/A</v>
      </c>
      <c r="Q3298" s="7">
        <v>13.5</v>
      </c>
      <c r="R3298" s="7" t="str">
        <f ca="1">IFERROR(__xludf.DUMMYFUNCTION("IMPORTXML(E3298,""/html/body/main/div[3]/div[3]/div[2]/ul/li[7]/span[2]/span"")"),"Loading...")</f>
        <v>Loading...</v>
      </c>
      <c r="S3298" s="7" t="str">
        <f ca="1">IFERROR(__xludf.DUMMYFUNCTION("IMPORTXML(E3298,""/html/body/main/div[3]/div[3]/div[2]/ul/li[8]/span[2]/span"")"),"Loading...")</f>
        <v>Loading...</v>
      </c>
      <c r="T3298" s="4">
        <v>34.6</v>
      </c>
      <c r="U3298" s="4">
        <v>22.7</v>
      </c>
      <c r="V3298" s="4">
        <v>2.6</v>
      </c>
      <c r="W3298" s="4">
        <v>5.7</v>
      </c>
      <c r="X3298" s="4">
        <v>519.92999999999995</v>
      </c>
      <c r="Y3298" s="7" t="e">
        <f t="shared" ca="1" si="69"/>
        <v>#VALUE!</v>
      </c>
    </row>
    <row r="3299" spans="1:25" ht="15" x14ac:dyDescent="0.25">
      <c r="A3299" s="4">
        <v>3289</v>
      </c>
      <c r="C3299" s="41" t="s">
        <v>5637</v>
      </c>
      <c r="D3299" s="42"/>
      <c r="E3299" s="5" t="str">
        <f t="shared" si="65"/>
        <v>https://www.screener.in/company//consolidated/</v>
      </c>
      <c r="F3299" s="4">
        <v>443059</v>
      </c>
      <c r="G3299" s="4">
        <v>3832241897</v>
      </c>
      <c r="H3299" s="6" t="e">
        <f t="shared" ca="1" si="66"/>
        <v>#VALUE!</v>
      </c>
      <c r="I3299" s="7" t="str">
        <f ca="1">IFERROR(__xludf.DUMMYFUNCTION("IMPORTXML(E3299,""/html/body/main/div[3]/div[3]/div[2]/ul/li[5]/span[2]/span"")"),"Loading...")</f>
        <v>Loading...</v>
      </c>
      <c r="J3299" s="7" t="str">
        <f ca="1">IFERROR(__xludf.DUMMYFUNCTION("GOOGLEFINANCE(""NSE:""&amp;D3299,""marketcap"")"),"#N/A")</f>
        <v>#N/A</v>
      </c>
      <c r="K3299" s="7">
        <v>992.8</v>
      </c>
      <c r="L3299" s="8" t="str">
        <f ca="1">IFERROR(__xludf.DUMMYFUNCTION("GOOGLEFINANCE(""NSE:""&amp;D3299,""price"")"),"#N/A")</f>
        <v>#N/A</v>
      </c>
      <c r="M3299" s="9" t="e">
        <f t="shared" ca="1" si="67"/>
        <v>#VALUE!</v>
      </c>
      <c r="N3299" s="10" t="e">
        <f t="shared" ca="1" si="68"/>
        <v>#VALUE!</v>
      </c>
      <c r="O3299" s="7" t="str">
        <f ca="1">IFERROR(__xludf.DUMMYFUNCTION("GOOGLEFINANCE(""NSE:""&amp;D3299,""pe"")"),"#N/A")</f>
        <v>#N/A</v>
      </c>
      <c r="P3299" s="7" t="str">
        <f ca="1">IFERROR(__xludf.DUMMYFUNCTION("GOOGLEFINANCE(""NSE:""&amp;D3299,""EPS"")"),"#N/A")</f>
        <v>#N/A</v>
      </c>
      <c r="Q3299" s="7">
        <v>13.5</v>
      </c>
      <c r="R3299" s="7" t="str">
        <f ca="1">IFERROR(__xludf.DUMMYFUNCTION("IMPORTXML(E3299,""/html/body/main/div[3]/div[3]/div[2]/ul/li[7]/span[2]/span"")"),"Loading...")</f>
        <v>Loading...</v>
      </c>
      <c r="S3299" s="7" t="str">
        <f ca="1">IFERROR(__xludf.DUMMYFUNCTION("IMPORTXML(E3299,""/html/body/main/div[3]/div[3]/div[2]/ul/li[8]/span[2]/span"")"),"Loading...")</f>
        <v>Loading...</v>
      </c>
      <c r="T3299" s="4">
        <v>34.6</v>
      </c>
      <c r="U3299" s="4">
        <v>22.7</v>
      </c>
      <c r="V3299" s="4">
        <v>2.6</v>
      </c>
      <c r="W3299" s="4">
        <v>5.7</v>
      </c>
      <c r="X3299" s="4">
        <v>519.92999999999995</v>
      </c>
      <c r="Y3299" s="7" t="e">
        <f t="shared" ca="1" si="69"/>
        <v>#VALUE!</v>
      </c>
    </row>
    <row r="3300" spans="1:25" ht="15" x14ac:dyDescent="0.25">
      <c r="A3300" s="4">
        <v>3290</v>
      </c>
      <c r="C3300" s="41" t="s">
        <v>5638</v>
      </c>
      <c r="D3300" s="42"/>
      <c r="E3300" s="5" t="str">
        <f t="shared" si="65"/>
        <v>https://www.screener.in/company//consolidated/</v>
      </c>
      <c r="F3300" s="4">
        <v>443059</v>
      </c>
      <c r="G3300" s="4">
        <v>3832241897</v>
      </c>
      <c r="H3300" s="6" t="e">
        <f t="shared" ca="1" si="66"/>
        <v>#VALUE!</v>
      </c>
      <c r="I3300" s="7" t="str">
        <f ca="1">IFERROR(__xludf.DUMMYFUNCTION("IMPORTXML(E3300,""/html/body/main/div[3]/div[3]/div[2]/ul/li[5]/span[2]/span"")"),"Loading...")</f>
        <v>Loading...</v>
      </c>
      <c r="J3300" s="7" t="str">
        <f ca="1">IFERROR(__xludf.DUMMYFUNCTION("GOOGLEFINANCE(""NSE:""&amp;D3300,""marketcap"")"),"#N/A")</f>
        <v>#N/A</v>
      </c>
      <c r="K3300" s="7">
        <v>992.8</v>
      </c>
      <c r="L3300" s="8" t="str">
        <f ca="1">IFERROR(__xludf.DUMMYFUNCTION("GOOGLEFINANCE(""NSE:""&amp;D3300,""price"")"),"#N/A")</f>
        <v>#N/A</v>
      </c>
      <c r="M3300" s="9" t="e">
        <f t="shared" ca="1" si="67"/>
        <v>#VALUE!</v>
      </c>
      <c r="N3300" s="10" t="e">
        <f t="shared" ca="1" si="68"/>
        <v>#VALUE!</v>
      </c>
      <c r="O3300" s="7" t="str">
        <f ca="1">IFERROR(__xludf.DUMMYFUNCTION("GOOGLEFINANCE(""NSE:""&amp;D3300,""pe"")"),"#N/A")</f>
        <v>#N/A</v>
      </c>
      <c r="P3300" s="7" t="str">
        <f ca="1">IFERROR(__xludf.DUMMYFUNCTION("GOOGLEFINANCE(""NSE:""&amp;D3300,""EPS"")"),"#N/A")</f>
        <v>#N/A</v>
      </c>
      <c r="Q3300" s="7">
        <v>13.5</v>
      </c>
      <c r="R3300" s="7" t="str">
        <f ca="1">IFERROR(__xludf.DUMMYFUNCTION("IMPORTXML(E3300,""/html/body/main/div[3]/div[3]/div[2]/ul/li[7]/span[2]/span"")"),"Loading...")</f>
        <v>Loading...</v>
      </c>
      <c r="S3300" s="7" t="str">
        <f ca="1">IFERROR(__xludf.DUMMYFUNCTION("IMPORTXML(E3300,""/html/body/main/div[3]/div[3]/div[2]/ul/li[8]/span[2]/span"")"),"Loading...")</f>
        <v>Loading...</v>
      </c>
      <c r="T3300" s="4">
        <v>34.6</v>
      </c>
      <c r="U3300" s="4">
        <v>22.7</v>
      </c>
      <c r="V3300" s="4">
        <v>2.6</v>
      </c>
      <c r="W3300" s="4">
        <v>5.7</v>
      </c>
      <c r="X3300" s="4">
        <v>519.92999999999995</v>
      </c>
      <c r="Y3300" s="7" t="e">
        <f t="shared" ca="1" si="69"/>
        <v>#VALUE!</v>
      </c>
    </row>
    <row r="3301" spans="1:25" ht="15" x14ac:dyDescent="0.25">
      <c r="A3301" s="4">
        <v>3291</v>
      </c>
      <c r="C3301" s="41" t="s">
        <v>5639</v>
      </c>
      <c r="D3301" s="42"/>
      <c r="E3301" s="5" t="str">
        <f t="shared" si="65"/>
        <v>https://www.screener.in/company//consolidated/</v>
      </c>
      <c r="F3301" s="4">
        <v>443059</v>
      </c>
      <c r="G3301" s="4">
        <v>3832241897</v>
      </c>
      <c r="H3301" s="6" t="e">
        <f t="shared" ca="1" si="66"/>
        <v>#VALUE!</v>
      </c>
      <c r="I3301" s="7" t="str">
        <f ca="1">IFERROR(__xludf.DUMMYFUNCTION("IMPORTXML(E3301,""/html/body/main/div[3]/div[3]/div[2]/ul/li[5]/span[2]/span"")"),"Loading...")</f>
        <v>Loading...</v>
      </c>
      <c r="J3301" s="7" t="str">
        <f ca="1">IFERROR(__xludf.DUMMYFUNCTION("GOOGLEFINANCE(""NSE:""&amp;D3301,""marketcap"")"),"#N/A")</f>
        <v>#N/A</v>
      </c>
      <c r="K3301" s="7">
        <v>992.8</v>
      </c>
      <c r="L3301" s="8" t="str">
        <f ca="1">IFERROR(__xludf.DUMMYFUNCTION("GOOGLEFINANCE(""NSE:""&amp;D3301,""price"")"),"#N/A")</f>
        <v>#N/A</v>
      </c>
      <c r="M3301" s="9" t="e">
        <f t="shared" ca="1" si="67"/>
        <v>#VALUE!</v>
      </c>
      <c r="N3301" s="10" t="e">
        <f t="shared" ca="1" si="68"/>
        <v>#VALUE!</v>
      </c>
      <c r="O3301" s="7" t="str">
        <f ca="1">IFERROR(__xludf.DUMMYFUNCTION("GOOGLEFINANCE(""NSE:""&amp;D3301,""pe"")"),"#N/A")</f>
        <v>#N/A</v>
      </c>
      <c r="P3301" s="7" t="str">
        <f ca="1">IFERROR(__xludf.DUMMYFUNCTION("GOOGLEFINANCE(""NSE:""&amp;D3301,""EPS"")"),"#N/A")</f>
        <v>#N/A</v>
      </c>
      <c r="Q3301" s="7">
        <v>13.5</v>
      </c>
      <c r="R3301" s="7" t="str">
        <f ca="1">IFERROR(__xludf.DUMMYFUNCTION("IMPORTXML(E3301,""/html/body/main/div[3]/div[3]/div[2]/ul/li[7]/span[2]/span"")"),"Loading...")</f>
        <v>Loading...</v>
      </c>
      <c r="S3301" s="7" t="str">
        <f ca="1">IFERROR(__xludf.DUMMYFUNCTION("IMPORTXML(E3301,""/html/body/main/div[3]/div[3]/div[2]/ul/li[8]/span[2]/span"")"),"Loading...")</f>
        <v>Loading...</v>
      </c>
      <c r="T3301" s="4">
        <v>34.6</v>
      </c>
      <c r="U3301" s="4">
        <v>22.7</v>
      </c>
      <c r="V3301" s="4">
        <v>2.6</v>
      </c>
      <c r="W3301" s="4">
        <v>5.7</v>
      </c>
      <c r="X3301" s="4">
        <v>519.92999999999995</v>
      </c>
      <c r="Y3301" s="7" t="e">
        <f t="shared" ca="1" si="69"/>
        <v>#VALUE!</v>
      </c>
    </row>
    <row r="3302" spans="1:25" ht="15" x14ac:dyDescent="0.25">
      <c r="A3302" s="4">
        <v>3292</v>
      </c>
      <c r="C3302" s="41" t="s">
        <v>5640</v>
      </c>
      <c r="D3302" s="42"/>
      <c r="E3302" s="5" t="str">
        <f t="shared" si="65"/>
        <v>https://www.screener.in/company//consolidated/</v>
      </c>
      <c r="F3302" s="4">
        <v>443059</v>
      </c>
      <c r="G3302" s="4">
        <v>3832241897</v>
      </c>
      <c r="H3302" s="6" t="e">
        <f t="shared" ca="1" si="66"/>
        <v>#VALUE!</v>
      </c>
      <c r="I3302" s="7" t="str">
        <f ca="1">IFERROR(__xludf.DUMMYFUNCTION("IMPORTXML(E3302,""/html/body/main/div[3]/div[3]/div[2]/ul/li[5]/span[2]/span"")"),"Loading...")</f>
        <v>Loading...</v>
      </c>
      <c r="J3302" s="7" t="str">
        <f ca="1">IFERROR(__xludf.DUMMYFUNCTION("GOOGLEFINANCE(""NSE:""&amp;D3302,""marketcap"")"),"#N/A")</f>
        <v>#N/A</v>
      </c>
      <c r="K3302" s="7">
        <v>992.8</v>
      </c>
      <c r="L3302" s="8" t="str">
        <f ca="1">IFERROR(__xludf.DUMMYFUNCTION("GOOGLEFINANCE(""NSE:""&amp;D3302,""price"")"),"#N/A")</f>
        <v>#N/A</v>
      </c>
      <c r="M3302" s="9" t="e">
        <f t="shared" ca="1" si="67"/>
        <v>#VALUE!</v>
      </c>
      <c r="N3302" s="10" t="e">
        <f t="shared" ca="1" si="68"/>
        <v>#VALUE!</v>
      </c>
      <c r="O3302" s="7" t="str">
        <f ca="1">IFERROR(__xludf.DUMMYFUNCTION("GOOGLEFINANCE(""NSE:""&amp;D3302,""pe"")"),"#N/A")</f>
        <v>#N/A</v>
      </c>
      <c r="P3302" s="7" t="str">
        <f ca="1">IFERROR(__xludf.DUMMYFUNCTION("GOOGLEFINANCE(""NSE:""&amp;D3302,""EPS"")"),"#N/A")</f>
        <v>#N/A</v>
      </c>
      <c r="Q3302" s="7">
        <v>13.5</v>
      </c>
      <c r="R3302" s="7" t="str">
        <f ca="1">IFERROR(__xludf.DUMMYFUNCTION("IMPORTXML(E3302,""/html/body/main/div[3]/div[3]/div[2]/ul/li[7]/span[2]/span"")"),"Loading...")</f>
        <v>Loading...</v>
      </c>
      <c r="S3302" s="7" t="str">
        <f ca="1">IFERROR(__xludf.DUMMYFUNCTION("IMPORTXML(E3302,""/html/body/main/div[3]/div[3]/div[2]/ul/li[8]/span[2]/span"")"),"Loading...")</f>
        <v>Loading...</v>
      </c>
      <c r="T3302" s="4">
        <v>34.6</v>
      </c>
      <c r="U3302" s="4">
        <v>22.7</v>
      </c>
      <c r="V3302" s="4">
        <v>2.6</v>
      </c>
      <c r="W3302" s="4">
        <v>5.7</v>
      </c>
      <c r="X3302" s="4">
        <v>519.92999999999995</v>
      </c>
      <c r="Y3302" s="7" t="e">
        <f t="shared" ca="1" si="69"/>
        <v>#VALUE!</v>
      </c>
    </row>
    <row r="3303" spans="1:25" ht="15" x14ac:dyDescent="0.25">
      <c r="A3303" s="4">
        <v>3293</v>
      </c>
      <c r="C3303" s="41" t="s">
        <v>5641</v>
      </c>
      <c r="D3303" s="42"/>
      <c r="E3303" s="5" t="str">
        <f t="shared" si="65"/>
        <v>https://www.screener.in/company//consolidated/</v>
      </c>
      <c r="F3303" s="4">
        <v>443059</v>
      </c>
      <c r="G3303" s="4">
        <v>3832241897</v>
      </c>
      <c r="H3303" s="6" t="e">
        <f t="shared" ca="1" si="66"/>
        <v>#VALUE!</v>
      </c>
      <c r="I3303" s="7" t="str">
        <f ca="1">IFERROR(__xludf.DUMMYFUNCTION("IMPORTXML(E3303,""/html/body/main/div[3]/div[3]/div[2]/ul/li[5]/span[2]/span"")"),"Loading...")</f>
        <v>Loading...</v>
      </c>
      <c r="J3303" s="7" t="str">
        <f ca="1">IFERROR(__xludf.DUMMYFUNCTION("GOOGLEFINANCE(""NSE:""&amp;D3303,""marketcap"")"),"#N/A")</f>
        <v>#N/A</v>
      </c>
      <c r="K3303" s="7">
        <v>992.8</v>
      </c>
      <c r="L3303" s="8" t="str">
        <f ca="1">IFERROR(__xludf.DUMMYFUNCTION("GOOGLEFINANCE(""NSE:""&amp;D3303,""price"")"),"#N/A")</f>
        <v>#N/A</v>
      </c>
      <c r="M3303" s="9" t="e">
        <f t="shared" ca="1" si="67"/>
        <v>#VALUE!</v>
      </c>
      <c r="N3303" s="10" t="e">
        <f t="shared" ca="1" si="68"/>
        <v>#VALUE!</v>
      </c>
      <c r="O3303" s="7" t="str">
        <f ca="1">IFERROR(__xludf.DUMMYFUNCTION("GOOGLEFINANCE(""NSE:""&amp;D3303,""pe"")"),"#N/A")</f>
        <v>#N/A</v>
      </c>
      <c r="P3303" s="7" t="str">
        <f ca="1">IFERROR(__xludf.DUMMYFUNCTION("GOOGLEFINANCE(""NSE:""&amp;D3303,""EPS"")"),"#N/A")</f>
        <v>#N/A</v>
      </c>
      <c r="Q3303" s="7">
        <v>13.5</v>
      </c>
      <c r="R3303" s="7" t="str">
        <f ca="1">IFERROR(__xludf.DUMMYFUNCTION("IMPORTXML(E3303,""/html/body/main/div[3]/div[3]/div[2]/ul/li[7]/span[2]/span"")"),"Loading...")</f>
        <v>Loading...</v>
      </c>
      <c r="S3303" s="7" t="str">
        <f ca="1">IFERROR(__xludf.DUMMYFUNCTION("IMPORTXML(E3303,""/html/body/main/div[3]/div[3]/div[2]/ul/li[8]/span[2]/span"")"),"Loading...")</f>
        <v>Loading...</v>
      </c>
      <c r="T3303" s="4">
        <v>34.6</v>
      </c>
      <c r="U3303" s="4">
        <v>22.7</v>
      </c>
      <c r="V3303" s="4">
        <v>2.6</v>
      </c>
      <c r="W3303" s="4">
        <v>5.7</v>
      </c>
      <c r="X3303" s="4">
        <v>519.92999999999995</v>
      </c>
      <c r="Y3303" s="7" t="e">
        <f t="shared" ca="1" si="69"/>
        <v>#VALUE!</v>
      </c>
    </row>
    <row r="3304" spans="1:25" ht="15" x14ac:dyDescent="0.25">
      <c r="A3304" s="4">
        <v>3294</v>
      </c>
      <c r="C3304" s="41" t="s">
        <v>5642</v>
      </c>
      <c r="D3304" s="42"/>
      <c r="E3304" s="5" t="str">
        <f t="shared" si="65"/>
        <v>https://www.screener.in/company//consolidated/</v>
      </c>
      <c r="F3304" s="4">
        <v>443059</v>
      </c>
      <c r="G3304" s="4">
        <v>3832241897</v>
      </c>
      <c r="H3304" s="6" t="e">
        <f t="shared" ca="1" si="66"/>
        <v>#VALUE!</v>
      </c>
      <c r="I3304" s="7" t="str">
        <f ca="1">IFERROR(__xludf.DUMMYFUNCTION("IMPORTXML(E3304,""/html/body/main/div[3]/div[3]/div[2]/ul/li[5]/span[2]/span"")"),"Loading...")</f>
        <v>Loading...</v>
      </c>
      <c r="J3304" s="7" t="str">
        <f ca="1">IFERROR(__xludf.DUMMYFUNCTION("GOOGLEFINANCE(""NSE:""&amp;D3304,""marketcap"")"),"#N/A")</f>
        <v>#N/A</v>
      </c>
      <c r="K3304" s="7">
        <v>992.8</v>
      </c>
      <c r="L3304" s="8" t="str">
        <f ca="1">IFERROR(__xludf.DUMMYFUNCTION("GOOGLEFINANCE(""NSE:""&amp;D3304,""price"")"),"#N/A")</f>
        <v>#N/A</v>
      </c>
      <c r="M3304" s="9" t="e">
        <f t="shared" ca="1" si="67"/>
        <v>#VALUE!</v>
      </c>
      <c r="N3304" s="10" t="e">
        <f t="shared" ca="1" si="68"/>
        <v>#VALUE!</v>
      </c>
      <c r="O3304" s="7" t="str">
        <f ca="1">IFERROR(__xludf.DUMMYFUNCTION("GOOGLEFINANCE(""NSE:""&amp;D3304,""pe"")"),"#N/A")</f>
        <v>#N/A</v>
      </c>
      <c r="P3304" s="7" t="str">
        <f ca="1">IFERROR(__xludf.DUMMYFUNCTION("GOOGLEFINANCE(""NSE:""&amp;D3304,""EPS"")"),"#N/A")</f>
        <v>#N/A</v>
      </c>
      <c r="Q3304" s="7">
        <v>13.5</v>
      </c>
      <c r="R3304" s="7" t="str">
        <f ca="1">IFERROR(__xludf.DUMMYFUNCTION("IMPORTXML(E3304,""/html/body/main/div[3]/div[3]/div[2]/ul/li[7]/span[2]/span"")"),"Loading...")</f>
        <v>Loading...</v>
      </c>
      <c r="S3304" s="7" t="str">
        <f ca="1">IFERROR(__xludf.DUMMYFUNCTION("IMPORTXML(E3304,""/html/body/main/div[3]/div[3]/div[2]/ul/li[8]/span[2]/span"")"),"Loading...")</f>
        <v>Loading...</v>
      </c>
      <c r="T3304" s="4">
        <v>34.6</v>
      </c>
      <c r="U3304" s="4">
        <v>22.7</v>
      </c>
      <c r="V3304" s="4">
        <v>2.6</v>
      </c>
      <c r="W3304" s="4">
        <v>5.7</v>
      </c>
      <c r="X3304" s="4">
        <v>519.92999999999995</v>
      </c>
      <c r="Y3304" s="7" t="e">
        <f t="shared" ca="1" si="69"/>
        <v>#VALUE!</v>
      </c>
    </row>
    <row r="3305" spans="1:25" ht="15" x14ac:dyDescent="0.25">
      <c r="A3305" s="4">
        <v>3295</v>
      </c>
      <c r="C3305" s="41" t="s">
        <v>5643</v>
      </c>
      <c r="D3305" s="42"/>
      <c r="E3305" s="5" t="str">
        <f t="shared" si="65"/>
        <v>https://www.screener.in/company//consolidated/</v>
      </c>
      <c r="F3305" s="4">
        <v>443059</v>
      </c>
      <c r="G3305" s="4">
        <v>3832241897</v>
      </c>
      <c r="H3305" s="6" t="e">
        <f t="shared" ca="1" si="66"/>
        <v>#VALUE!</v>
      </c>
      <c r="I3305" s="7" t="str">
        <f ca="1">IFERROR(__xludf.DUMMYFUNCTION("IMPORTXML(E3305,""/html/body/main/div[3]/div[3]/div[2]/ul/li[5]/span[2]/span"")"),"Loading...")</f>
        <v>Loading...</v>
      </c>
      <c r="J3305" s="7" t="str">
        <f ca="1">IFERROR(__xludf.DUMMYFUNCTION("GOOGLEFINANCE(""NSE:""&amp;D3305,""marketcap"")"),"#N/A")</f>
        <v>#N/A</v>
      </c>
      <c r="K3305" s="7">
        <v>992.8</v>
      </c>
      <c r="L3305" s="8" t="str">
        <f ca="1">IFERROR(__xludf.DUMMYFUNCTION("GOOGLEFINANCE(""NSE:""&amp;D3305,""price"")"),"#N/A")</f>
        <v>#N/A</v>
      </c>
      <c r="M3305" s="9" t="e">
        <f t="shared" ca="1" si="67"/>
        <v>#VALUE!</v>
      </c>
      <c r="N3305" s="10" t="e">
        <f t="shared" ca="1" si="68"/>
        <v>#VALUE!</v>
      </c>
      <c r="O3305" s="7" t="str">
        <f ca="1">IFERROR(__xludf.DUMMYFUNCTION("GOOGLEFINANCE(""NSE:""&amp;D3305,""pe"")"),"#N/A")</f>
        <v>#N/A</v>
      </c>
      <c r="P3305" s="7" t="str">
        <f ca="1">IFERROR(__xludf.DUMMYFUNCTION("GOOGLEFINANCE(""NSE:""&amp;D3305,""EPS"")"),"#N/A")</f>
        <v>#N/A</v>
      </c>
      <c r="Q3305" s="7">
        <v>13.5</v>
      </c>
      <c r="R3305" s="7" t="str">
        <f ca="1">IFERROR(__xludf.DUMMYFUNCTION("IMPORTXML(E3305,""/html/body/main/div[3]/div[3]/div[2]/ul/li[7]/span[2]/span"")"),"Loading...")</f>
        <v>Loading...</v>
      </c>
      <c r="S3305" s="7" t="str">
        <f ca="1">IFERROR(__xludf.DUMMYFUNCTION("IMPORTXML(E3305,""/html/body/main/div[3]/div[3]/div[2]/ul/li[8]/span[2]/span"")"),"Loading...")</f>
        <v>Loading...</v>
      </c>
      <c r="T3305" s="4">
        <v>34.6</v>
      </c>
      <c r="U3305" s="4">
        <v>22.7</v>
      </c>
      <c r="V3305" s="4">
        <v>2.6</v>
      </c>
      <c r="W3305" s="4">
        <v>5.7</v>
      </c>
      <c r="X3305" s="4">
        <v>519.92999999999995</v>
      </c>
      <c r="Y3305" s="7" t="e">
        <f t="shared" ca="1" si="69"/>
        <v>#VALUE!</v>
      </c>
    </row>
    <row r="3306" spans="1:25" ht="15" x14ac:dyDescent="0.25">
      <c r="A3306" s="4">
        <v>3296</v>
      </c>
      <c r="C3306" s="41" t="s">
        <v>5644</v>
      </c>
      <c r="D3306" s="42"/>
      <c r="E3306" s="5" t="str">
        <f t="shared" si="65"/>
        <v>https://www.screener.in/company//consolidated/</v>
      </c>
      <c r="F3306" s="4">
        <v>443059</v>
      </c>
      <c r="G3306" s="4">
        <v>3832241897</v>
      </c>
      <c r="H3306" s="6" t="e">
        <f t="shared" ca="1" si="66"/>
        <v>#VALUE!</v>
      </c>
      <c r="I3306" s="7" t="str">
        <f ca="1">IFERROR(__xludf.DUMMYFUNCTION("IMPORTXML(E3306,""/html/body/main/div[3]/div[3]/div[2]/ul/li[5]/span[2]/span"")"),"Loading...")</f>
        <v>Loading...</v>
      </c>
      <c r="J3306" s="7" t="str">
        <f ca="1">IFERROR(__xludf.DUMMYFUNCTION("GOOGLEFINANCE(""NSE:""&amp;D3306,""marketcap"")"),"#N/A")</f>
        <v>#N/A</v>
      </c>
      <c r="K3306" s="7">
        <v>992.8</v>
      </c>
      <c r="L3306" s="8" t="str">
        <f ca="1">IFERROR(__xludf.DUMMYFUNCTION("GOOGLEFINANCE(""NSE:""&amp;D3306,""price"")"),"#N/A")</f>
        <v>#N/A</v>
      </c>
      <c r="M3306" s="9" t="e">
        <f t="shared" ca="1" si="67"/>
        <v>#VALUE!</v>
      </c>
      <c r="N3306" s="10" t="e">
        <f t="shared" ca="1" si="68"/>
        <v>#VALUE!</v>
      </c>
      <c r="O3306" s="7" t="str">
        <f ca="1">IFERROR(__xludf.DUMMYFUNCTION("GOOGLEFINANCE(""NSE:""&amp;D3306,""pe"")"),"#N/A")</f>
        <v>#N/A</v>
      </c>
      <c r="P3306" s="7" t="str">
        <f ca="1">IFERROR(__xludf.DUMMYFUNCTION("GOOGLEFINANCE(""NSE:""&amp;D3306,""EPS"")"),"#N/A")</f>
        <v>#N/A</v>
      </c>
      <c r="Q3306" s="7">
        <v>13.5</v>
      </c>
      <c r="R3306" s="7" t="str">
        <f ca="1">IFERROR(__xludf.DUMMYFUNCTION("IMPORTXML(E3306,""/html/body/main/div[3]/div[3]/div[2]/ul/li[7]/span[2]/span"")"),"Loading...")</f>
        <v>Loading...</v>
      </c>
      <c r="S3306" s="7" t="str">
        <f ca="1">IFERROR(__xludf.DUMMYFUNCTION("IMPORTXML(E3306,""/html/body/main/div[3]/div[3]/div[2]/ul/li[8]/span[2]/span"")"),"Loading...")</f>
        <v>Loading...</v>
      </c>
      <c r="T3306" s="4">
        <v>34.6</v>
      </c>
      <c r="U3306" s="4">
        <v>22.7</v>
      </c>
      <c r="V3306" s="4">
        <v>2.6</v>
      </c>
      <c r="W3306" s="4">
        <v>5.7</v>
      </c>
      <c r="X3306" s="4">
        <v>519.92999999999995</v>
      </c>
      <c r="Y3306" s="7" t="e">
        <f t="shared" ca="1" si="69"/>
        <v>#VALUE!</v>
      </c>
    </row>
    <row r="3307" spans="1:25" ht="15" x14ac:dyDescent="0.25">
      <c r="A3307" s="4">
        <v>3297</v>
      </c>
      <c r="C3307" s="41" t="s">
        <v>5645</v>
      </c>
      <c r="D3307" s="42"/>
      <c r="E3307" s="5" t="str">
        <f t="shared" si="65"/>
        <v>https://www.screener.in/company//consolidated/</v>
      </c>
      <c r="F3307" s="4">
        <v>443059</v>
      </c>
      <c r="G3307" s="4">
        <v>3832241897</v>
      </c>
      <c r="H3307" s="6" t="e">
        <f t="shared" ca="1" si="66"/>
        <v>#VALUE!</v>
      </c>
      <c r="I3307" s="7" t="str">
        <f ca="1">IFERROR(__xludf.DUMMYFUNCTION("IMPORTXML(E3307,""/html/body/main/div[3]/div[3]/div[2]/ul/li[5]/span[2]/span"")"),"Loading...")</f>
        <v>Loading...</v>
      </c>
      <c r="J3307" s="7" t="str">
        <f ca="1">IFERROR(__xludf.DUMMYFUNCTION("GOOGLEFINANCE(""NSE:""&amp;D3307,""marketcap"")"),"#N/A")</f>
        <v>#N/A</v>
      </c>
      <c r="K3307" s="7">
        <v>992.8</v>
      </c>
      <c r="L3307" s="8" t="str">
        <f ca="1">IFERROR(__xludf.DUMMYFUNCTION("GOOGLEFINANCE(""NSE:""&amp;D3307,""price"")"),"#N/A")</f>
        <v>#N/A</v>
      </c>
      <c r="M3307" s="9" t="e">
        <f t="shared" ca="1" si="67"/>
        <v>#VALUE!</v>
      </c>
      <c r="N3307" s="10" t="e">
        <f t="shared" ca="1" si="68"/>
        <v>#VALUE!</v>
      </c>
      <c r="O3307" s="7" t="str">
        <f ca="1">IFERROR(__xludf.DUMMYFUNCTION("GOOGLEFINANCE(""NSE:""&amp;D3307,""pe"")"),"#N/A")</f>
        <v>#N/A</v>
      </c>
      <c r="P3307" s="7" t="str">
        <f ca="1">IFERROR(__xludf.DUMMYFUNCTION("GOOGLEFINANCE(""NSE:""&amp;D3307,""EPS"")"),"#N/A")</f>
        <v>#N/A</v>
      </c>
      <c r="Q3307" s="7">
        <v>13.5</v>
      </c>
      <c r="R3307" s="7" t="str">
        <f ca="1">IFERROR(__xludf.DUMMYFUNCTION("IMPORTXML(E3307,""/html/body/main/div[3]/div[3]/div[2]/ul/li[7]/span[2]/span"")"),"Loading...")</f>
        <v>Loading...</v>
      </c>
      <c r="S3307" s="7" t="str">
        <f ca="1">IFERROR(__xludf.DUMMYFUNCTION("IMPORTXML(E3307,""/html/body/main/div[3]/div[3]/div[2]/ul/li[8]/span[2]/span"")"),"Loading...")</f>
        <v>Loading...</v>
      </c>
      <c r="T3307" s="4">
        <v>34.6</v>
      </c>
      <c r="U3307" s="4">
        <v>22.7</v>
      </c>
      <c r="V3307" s="4">
        <v>2.6</v>
      </c>
      <c r="W3307" s="4">
        <v>5.7</v>
      </c>
      <c r="X3307" s="4">
        <v>519.92999999999995</v>
      </c>
      <c r="Y3307" s="7" t="e">
        <f t="shared" ca="1" si="69"/>
        <v>#VALUE!</v>
      </c>
    </row>
    <row r="3308" spans="1:25" ht="15" x14ac:dyDescent="0.25">
      <c r="A3308" s="4">
        <v>3298</v>
      </c>
      <c r="C3308" s="41" t="s">
        <v>5646</v>
      </c>
      <c r="D3308" s="42"/>
      <c r="E3308" s="5" t="str">
        <f t="shared" si="65"/>
        <v>https://www.screener.in/company//consolidated/</v>
      </c>
      <c r="F3308" s="4">
        <v>443059</v>
      </c>
      <c r="G3308" s="4">
        <v>3832241897</v>
      </c>
      <c r="H3308" s="6" t="e">
        <f t="shared" ca="1" si="66"/>
        <v>#VALUE!</v>
      </c>
      <c r="I3308" s="7" t="str">
        <f ca="1">IFERROR(__xludf.DUMMYFUNCTION("IMPORTXML(E3308,""/html/body/main/div[3]/div[3]/div[2]/ul/li[5]/span[2]/span"")"),"Loading...")</f>
        <v>Loading...</v>
      </c>
      <c r="J3308" s="7" t="str">
        <f ca="1">IFERROR(__xludf.DUMMYFUNCTION("GOOGLEFINANCE(""NSE:""&amp;D3308,""marketcap"")"),"#N/A")</f>
        <v>#N/A</v>
      </c>
      <c r="K3308" s="7">
        <v>992.8</v>
      </c>
      <c r="L3308" s="8" t="str">
        <f ca="1">IFERROR(__xludf.DUMMYFUNCTION("GOOGLEFINANCE(""NSE:""&amp;D3308,""price"")"),"#N/A")</f>
        <v>#N/A</v>
      </c>
      <c r="M3308" s="9" t="e">
        <f t="shared" ca="1" si="67"/>
        <v>#VALUE!</v>
      </c>
      <c r="N3308" s="10" t="e">
        <f t="shared" ca="1" si="68"/>
        <v>#VALUE!</v>
      </c>
      <c r="O3308" s="7" t="str">
        <f ca="1">IFERROR(__xludf.DUMMYFUNCTION("GOOGLEFINANCE(""NSE:""&amp;D3308,""pe"")"),"#N/A")</f>
        <v>#N/A</v>
      </c>
      <c r="P3308" s="7" t="str">
        <f ca="1">IFERROR(__xludf.DUMMYFUNCTION("GOOGLEFINANCE(""NSE:""&amp;D3308,""EPS"")"),"#N/A")</f>
        <v>#N/A</v>
      </c>
      <c r="Q3308" s="7">
        <v>13.5</v>
      </c>
      <c r="R3308" s="7" t="str">
        <f ca="1">IFERROR(__xludf.DUMMYFUNCTION("IMPORTXML(E3308,""/html/body/main/div[3]/div[3]/div[2]/ul/li[7]/span[2]/span"")"),"Loading...")</f>
        <v>Loading...</v>
      </c>
      <c r="S3308" s="7" t="str">
        <f ca="1">IFERROR(__xludf.DUMMYFUNCTION("IMPORTXML(E3308,""/html/body/main/div[3]/div[3]/div[2]/ul/li[8]/span[2]/span"")"),"Loading...")</f>
        <v>Loading...</v>
      </c>
      <c r="T3308" s="4">
        <v>34.6</v>
      </c>
      <c r="U3308" s="4">
        <v>22.7</v>
      </c>
      <c r="V3308" s="4">
        <v>2.6</v>
      </c>
      <c r="W3308" s="4">
        <v>5.7</v>
      </c>
      <c r="X3308" s="4">
        <v>519.92999999999995</v>
      </c>
      <c r="Y3308" s="7" t="e">
        <f t="shared" ca="1" si="69"/>
        <v>#VALUE!</v>
      </c>
    </row>
    <row r="3309" spans="1:25" ht="15" x14ac:dyDescent="0.25">
      <c r="A3309" s="4">
        <v>3299</v>
      </c>
      <c r="C3309" s="41" t="s">
        <v>5647</v>
      </c>
      <c r="D3309" s="42"/>
      <c r="E3309" s="5" t="str">
        <f t="shared" si="65"/>
        <v>https://www.screener.in/company//consolidated/</v>
      </c>
      <c r="F3309" s="4">
        <v>443059</v>
      </c>
      <c r="G3309" s="4">
        <v>3832241897</v>
      </c>
      <c r="H3309" s="6" t="e">
        <f t="shared" ca="1" si="66"/>
        <v>#VALUE!</v>
      </c>
      <c r="I3309" s="7" t="str">
        <f ca="1">IFERROR(__xludf.DUMMYFUNCTION("IMPORTXML(E3309,""/html/body/main/div[3]/div[3]/div[2]/ul/li[5]/span[2]/span"")"),"Loading...")</f>
        <v>Loading...</v>
      </c>
      <c r="J3309" s="7" t="str">
        <f ca="1">IFERROR(__xludf.DUMMYFUNCTION("GOOGLEFINANCE(""NSE:""&amp;D3309,""marketcap"")"),"#N/A")</f>
        <v>#N/A</v>
      </c>
      <c r="K3309" s="7">
        <v>992.8</v>
      </c>
      <c r="L3309" s="8" t="str">
        <f ca="1">IFERROR(__xludf.DUMMYFUNCTION("GOOGLEFINANCE(""NSE:""&amp;D3309,""price"")"),"#N/A")</f>
        <v>#N/A</v>
      </c>
      <c r="M3309" s="9" t="e">
        <f t="shared" ca="1" si="67"/>
        <v>#VALUE!</v>
      </c>
      <c r="N3309" s="10" t="e">
        <f t="shared" ca="1" si="68"/>
        <v>#VALUE!</v>
      </c>
      <c r="O3309" s="7" t="str">
        <f ca="1">IFERROR(__xludf.DUMMYFUNCTION("GOOGLEFINANCE(""NSE:""&amp;D3309,""pe"")"),"#N/A")</f>
        <v>#N/A</v>
      </c>
      <c r="P3309" s="7" t="str">
        <f ca="1">IFERROR(__xludf.DUMMYFUNCTION("GOOGLEFINANCE(""NSE:""&amp;D3309,""EPS"")"),"#N/A")</f>
        <v>#N/A</v>
      </c>
      <c r="Q3309" s="7">
        <v>13.5</v>
      </c>
      <c r="R3309" s="7" t="str">
        <f ca="1">IFERROR(__xludf.DUMMYFUNCTION("IMPORTXML(E3309,""/html/body/main/div[3]/div[3]/div[2]/ul/li[7]/span[2]/span"")"),"Loading...")</f>
        <v>Loading...</v>
      </c>
      <c r="S3309" s="7" t="str">
        <f ca="1">IFERROR(__xludf.DUMMYFUNCTION("IMPORTXML(E3309,""/html/body/main/div[3]/div[3]/div[2]/ul/li[8]/span[2]/span"")"),"Loading...")</f>
        <v>Loading...</v>
      </c>
      <c r="T3309" s="4">
        <v>34.6</v>
      </c>
      <c r="U3309" s="4">
        <v>22.7</v>
      </c>
      <c r="V3309" s="4">
        <v>2.6</v>
      </c>
      <c r="W3309" s="4">
        <v>5.7</v>
      </c>
      <c r="X3309" s="4">
        <v>519.92999999999995</v>
      </c>
      <c r="Y3309" s="7" t="e">
        <f t="shared" ca="1" si="69"/>
        <v>#VALUE!</v>
      </c>
    </row>
    <row r="3310" spans="1:25" ht="15" x14ac:dyDescent="0.25">
      <c r="A3310" s="4">
        <v>3300</v>
      </c>
      <c r="C3310" s="41" t="s">
        <v>5648</v>
      </c>
      <c r="D3310" s="42"/>
      <c r="E3310" s="5" t="str">
        <f t="shared" si="65"/>
        <v>https://www.screener.in/company//consolidated/</v>
      </c>
      <c r="F3310" s="4">
        <v>443059</v>
      </c>
      <c r="G3310" s="4">
        <v>3832241897</v>
      </c>
      <c r="H3310" s="6" t="e">
        <f t="shared" ca="1" si="66"/>
        <v>#VALUE!</v>
      </c>
      <c r="I3310" s="7" t="str">
        <f ca="1">IFERROR(__xludf.DUMMYFUNCTION("IMPORTXML(E3310,""/html/body/main/div[3]/div[3]/div[2]/ul/li[5]/span[2]/span"")"),"Loading...")</f>
        <v>Loading...</v>
      </c>
      <c r="J3310" s="7" t="str">
        <f ca="1">IFERROR(__xludf.DUMMYFUNCTION("GOOGLEFINANCE(""NSE:""&amp;D3310,""marketcap"")"),"#N/A")</f>
        <v>#N/A</v>
      </c>
      <c r="K3310" s="7">
        <v>992.8</v>
      </c>
      <c r="L3310" s="8" t="str">
        <f ca="1">IFERROR(__xludf.DUMMYFUNCTION("GOOGLEFINANCE(""NSE:""&amp;D3310,""price"")"),"#N/A")</f>
        <v>#N/A</v>
      </c>
      <c r="M3310" s="9" t="e">
        <f t="shared" ca="1" si="67"/>
        <v>#VALUE!</v>
      </c>
      <c r="N3310" s="10" t="e">
        <f t="shared" ca="1" si="68"/>
        <v>#VALUE!</v>
      </c>
      <c r="O3310" s="7" t="str">
        <f ca="1">IFERROR(__xludf.DUMMYFUNCTION("GOOGLEFINANCE(""NSE:""&amp;D3310,""pe"")"),"#N/A")</f>
        <v>#N/A</v>
      </c>
      <c r="P3310" s="7" t="str">
        <f ca="1">IFERROR(__xludf.DUMMYFUNCTION("GOOGLEFINANCE(""NSE:""&amp;D3310,""EPS"")"),"#N/A")</f>
        <v>#N/A</v>
      </c>
      <c r="Q3310" s="7">
        <v>13.5</v>
      </c>
      <c r="R3310" s="7" t="str">
        <f ca="1">IFERROR(__xludf.DUMMYFUNCTION("IMPORTXML(E3310,""/html/body/main/div[3]/div[3]/div[2]/ul/li[7]/span[2]/span"")"),"Loading...")</f>
        <v>Loading...</v>
      </c>
      <c r="S3310" s="7" t="str">
        <f ca="1">IFERROR(__xludf.DUMMYFUNCTION("IMPORTXML(E3310,""/html/body/main/div[3]/div[3]/div[2]/ul/li[8]/span[2]/span"")"),"Loading...")</f>
        <v>Loading...</v>
      </c>
      <c r="T3310" s="4">
        <v>34.6</v>
      </c>
      <c r="U3310" s="4">
        <v>22.7</v>
      </c>
      <c r="V3310" s="4">
        <v>2.6</v>
      </c>
      <c r="W3310" s="4">
        <v>5.7</v>
      </c>
      <c r="X3310" s="4">
        <v>519.92999999999995</v>
      </c>
      <c r="Y3310" s="7" t="e">
        <f t="shared" ca="1" si="69"/>
        <v>#VALUE!</v>
      </c>
    </row>
    <row r="3311" spans="1:25" ht="15" x14ac:dyDescent="0.25">
      <c r="A3311" s="4">
        <v>3301</v>
      </c>
      <c r="C3311" s="41" t="s">
        <v>5649</v>
      </c>
      <c r="D3311" s="42"/>
      <c r="E3311" s="5" t="str">
        <f t="shared" si="65"/>
        <v>https://www.screener.in/company//consolidated/</v>
      </c>
      <c r="F3311" s="4">
        <v>443059</v>
      </c>
      <c r="G3311" s="4">
        <v>3832241897</v>
      </c>
      <c r="H3311" s="6" t="e">
        <f t="shared" ca="1" si="66"/>
        <v>#VALUE!</v>
      </c>
      <c r="I3311" s="7" t="str">
        <f ca="1">IFERROR(__xludf.DUMMYFUNCTION("IMPORTXML(E3311,""/html/body/main/div[3]/div[3]/div[2]/ul/li[5]/span[2]/span"")"),"Loading...")</f>
        <v>Loading...</v>
      </c>
      <c r="J3311" s="7" t="str">
        <f ca="1">IFERROR(__xludf.DUMMYFUNCTION("GOOGLEFINANCE(""NSE:""&amp;D3311,""marketcap"")"),"#N/A")</f>
        <v>#N/A</v>
      </c>
      <c r="K3311" s="7">
        <v>992.8</v>
      </c>
      <c r="L3311" s="8" t="str">
        <f ca="1">IFERROR(__xludf.DUMMYFUNCTION("GOOGLEFINANCE(""NSE:""&amp;D3311,""price"")"),"#N/A")</f>
        <v>#N/A</v>
      </c>
      <c r="M3311" s="9" t="e">
        <f t="shared" ca="1" si="67"/>
        <v>#VALUE!</v>
      </c>
      <c r="N3311" s="10" t="e">
        <f t="shared" ca="1" si="68"/>
        <v>#VALUE!</v>
      </c>
      <c r="O3311" s="7" t="str">
        <f ca="1">IFERROR(__xludf.DUMMYFUNCTION("GOOGLEFINANCE(""NSE:""&amp;D3311,""pe"")"),"#N/A")</f>
        <v>#N/A</v>
      </c>
      <c r="P3311" s="7" t="str">
        <f ca="1">IFERROR(__xludf.DUMMYFUNCTION("GOOGLEFINANCE(""NSE:""&amp;D3311,""EPS"")"),"#N/A")</f>
        <v>#N/A</v>
      </c>
      <c r="Q3311" s="7">
        <v>13.5</v>
      </c>
      <c r="R3311" s="7" t="str">
        <f ca="1">IFERROR(__xludf.DUMMYFUNCTION("IMPORTXML(E3311,""/html/body/main/div[3]/div[3]/div[2]/ul/li[7]/span[2]/span"")"),"Loading...")</f>
        <v>Loading...</v>
      </c>
      <c r="S3311" s="7" t="str">
        <f ca="1">IFERROR(__xludf.DUMMYFUNCTION("IMPORTXML(E3311,""/html/body/main/div[3]/div[3]/div[2]/ul/li[8]/span[2]/span"")"),"Loading...")</f>
        <v>Loading...</v>
      </c>
      <c r="T3311" s="4">
        <v>34.6</v>
      </c>
      <c r="U3311" s="4">
        <v>22.7</v>
      </c>
      <c r="V3311" s="4">
        <v>2.6</v>
      </c>
      <c r="W3311" s="4">
        <v>5.7</v>
      </c>
      <c r="X3311" s="4">
        <v>519.92999999999995</v>
      </c>
      <c r="Y3311" s="7" t="e">
        <f t="shared" ca="1" si="69"/>
        <v>#VALUE!</v>
      </c>
    </row>
    <row r="3312" spans="1:25" ht="15" x14ac:dyDescent="0.25">
      <c r="A3312" s="4">
        <v>3302</v>
      </c>
      <c r="C3312" s="41" t="s">
        <v>5650</v>
      </c>
      <c r="D3312" s="42"/>
      <c r="E3312" s="5" t="str">
        <f t="shared" si="65"/>
        <v>https://www.screener.in/company//consolidated/</v>
      </c>
      <c r="F3312" s="4">
        <v>443059</v>
      </c>
      <c r="G3312" s="4">
        <v>3832241897</v>
      </c>
      <c r="H3312" s="6" t="e">
        <f t="shared" ca="1" si="66"/>
        <v>#VALUE!</v>
      </c>
      <c r="I3312" s="7" t="str">
        <f ca="1">IFERROR(__xludf.DUMMYFUNCTION("IMPORTXML(E3312,""/html/body/main/div[3]/div[3]/div[2]/ul/li[5]/span[2]/span"")"),"Loading...")</f>
        <v>Loading...</v>
      </c>
      <c r="J3312" s="7" t="str">
        <f ca="1">IFERROR(__xludf.DUMMYFUNCTION("GOOGLEFINANCE(""NSE:""&amp;D3312,""marketcap"")"),"#N/A")</f>
        <v>#N/A</v>
      </c>
      <c r="K3312" s="7">
        <v>992.8</v>
      </c>
      <c r="L3312" s="8" t="str">
        <f ca="1">IFERROR(__xludf.DUMMYFUNCTION("GOOGLEFINANCE(""NSE:""&amp;D3312,""price"")"),"#N/A")</f>
        <v>#N/A</v>
      </c>
      <c r="M3312" s="9" t="e">
        <f t="shared" ca="1" si="67"/>
        <v>#VALUE!</v>
      </c>
      <c r="N3312" s="10" t="e">
        <f t="shared" ca="1" si="68"/>
        <v>#VALUE!</v>
      </c>
      <c r="O3312" s="7" t="str">
        <f ca="1">IFERROR(__xludf.DUMMYFUNCTION("GOOGLEFINANCE(""NSE:""&amp;D3312,""pe"")"),"#N/A")</f>
        <v>#N/A</v>
      </c>
      <c r="P3312" s="7" t="str">
        <f ca="1">IFERROR(__xludf.DUMMYFUNCTION("GOOGLEFINANCE(""NSE:""&amp;D3312,""EPS"")"),"#N/A")</f>
        <v>#N/A</v>
      </c>
      <c r="Q3312" s="7">
        <v>13.5</v>
      </c>
      <c r="R3312" s="7" t="str">
        <f ca="1">IFERROR(__xludf.DUMMYFUNCTION("IMPORTXML(E3312,""/html/body/main/div[3]/div[3]/div[2]/ul/li[7]/span[2]/span"")"),"Loading...")</f>
        <v>Loading...</v>
      </c>
      <c r="S3312" s="7" t="str">
        <f ca="1">IFERROR(__xludf.DUMMYFUNCTION("IMPORTXML(E3312,""/html/body/main/div[3]/div[3]/div[2]/ul/li[8]/span[2]/span"")"),"Loading...")</f>
        <v>Loading...</v>
      </c>
      <c r="T3312" s="4">
        <v>34.6</v>
      </c>
      <c r="U3312" s="4">
        <v>22.7</v>
      </c>
      <c r="V3312" s="4">
        <v>2.6</v>
      </c>
      <c r="W3312" s="4">
        <v>5.7</v>
      </c>
      <c r="X3312" s="4">
        <v>519.92999999999995</v>
      </c>
      <c r="Y3312" s="7" t="e">
        <f t="shared" ca="1" si="69"/>
        <v>#VALUE!</v>
      </c>
    </row>
    <row r="3313" spans="1:25" ht="15" x14ac:dyDescent="0.25">
      <c r="A3313" s="4">
        <v>3303</v>
      </c>
      <c r="C3313" s="41" t="s">
        <v>5651</v>
      </c>
      <c r="D3313" s="42"/>
      <c r="E3313" s="5" t="str">
        <f t="shared" si="65"/>
        <v>https://www.screener.in/company//consolidated/</v>
      </c>
      <c r="F3313" s="4">
        <v>443059</v>
      </c>
      <c r="G3313" s="4">
        <v>3832241897</v>
      </c>
      <c r="H3313" s="6" t="e">
        <f t="shared" ca="1" si="66"/>
        <v>#VALUE!</v>
      </c>
      <c r="I3313" s="7" t="str">
        <f ca="1">IFERROR(__xludf.DUMMYFUNCTION("IMPORTXML(E3313,""/html/body/main/div[3]/div[3]/div[2]/ul/li[5]/span[2]/span"")"),"Loading...")</f>
        <v>Loading...</v>
      </c>
      <c r="J3313" s="7" t="str">
        <f ca="1">IFERROR(__xludf.DUMMYFUNCTION("GOOGLEFINANCE(""NSE:""&amp;D3313,""marketcap"")"),"#N/A")</f>
        <v>#N/A</v>
      </c>
      <c r="K3313" s="7">
        <v>992.8</v>
      </c>
      <c r="L3313" s="8" t="str">
        <f ca="1">IFERROR(__xludf.DUMMYFUNCTION("GOOGLEFINANCE(""NSE:""&amp;D3313,""price"")"),"#N/A")</f>
        <v>#N/A</v>
      </c>
      <c r="M3313" s="9" t="e">
        <f t="shared" ca="1" si="67"/>
        <v>#VALUE!</v>
      </c>
      <c r="N3313" s="10" t="e">
        <f t="shared" ca="1" si="68"/>
        <v>#VALUE!</v>
      </c>
      <c r="O3313" s="7" t="str">
        <f ca="1">IFERROR(__xludf.DUMMYFUNCTION("GOOGLEFINANCE(""NSE:""&amp;D3313,""pe"")"),"#N/A")</f>
        <v>#N/A</v>
      </c>
      <c r="P3313" s="7" t="str">
        <f ca="1">IFERROR(__xludf.DUMMYFUNCTION("GOOGLEFINANCE(""NSE:""&amp;D3313,""EPS"")"),"#N/A")</f>
        <v>#N/A</v>
      </c>
      <c r="Q3313" s="7">
        <v>13.5</v>
      </c>
      <c r="R3313" s="7" t="str">
        <f ca="1">IFERROR(__xludf.DUMMYFUNCTION("IMPORTXML(E3313,""/html/body/main/div[3]/div[3]/div[2]/ul/li[7]/span[2]/span"")"),"Loading...")</f>
        <v>Loading...</v>
      </c>
      <c r="S3313" s="7" t="str">
        <f ca="1">IFERROR(__xludf.DUMMYFUNCTION("IMPORTXML(E3313,""/html/body/main/div[3]/div[3]/div[2]/ul/li[8]/span[2]/span"")"),"Loading...")</f>
        <v>Loading...</v>
      </c>
      <c r="T3313" s="4">
        <v>34.6</v>
      </c>
      <c r="U3313" s="4">
        <v>22.7</v>
      </c>
      <c r="V3313" s="4">
        <v>2.6</v>
      </c>
      <c r="W3313" s="4">
        <v>5.7</v>
      </c>
      <c r="X3313" s="4">
        <v>519.92999999999995</v>
      </c>
      <c r="Y3313" s="7" t="e">
        <f t="shared" ca="1" si="69"/>
        <v>#VALUE!</v>
      </c>
    </row>
    <row r="3314" spans="1:25" ht="15" x14ac:dyDescent="0.25">
      <c r="A3314" s="4">
        <v>3304</v>
      </c>
      <c r="C3314" s="41" t="s">
        <v>5652</v>
      </c>
      <c r="D3314" s="42"/>
      <c r="E3314" s="5" t="str">
        <f t="shared" si="65"/>
        <v>https://www.screener.in/company//consolidated/</v>
      </c>
      <c r="F3314" s="4">
        <v>443059</v>
      </c>
      <c r="G3314" s="4">
        <v>3832241897</v>
      </c>
      <c r="H3314" s="6" t="e">
        <f t="shared" ca="1" si="66"/>
        <v>#VALUE!</v>
      </c>
      <c r="I3314" s="7" t="str">
        <f ca="1">IFERROR(__xludf.DUMMYFUNCTION("IMPORTXML(E3314,""/html/body/main/div[3]/div[3]/div[2]/ul/li[5]/span[2]/span"")"),"Loading...")</f>
        <v>Loading...</v>
      </c>
      <c r="J3314" s="7" t="str">
        <f ca="1">IFERROR(__xludf.DUMMYFUNCTION("GOOGLEFINANCE(""NSE:""&amp;D3314,""marketcap"")"),"#N/A")</f>
        <v>#N/A</v>
      </c>
      <c r="K3314" s="7">
        <v>992.8</v>
      </c>
      <c r="L3314" s="8" t="str">
        <f ca="1">IFERROR(__xludf.DUMMYFUNCTION("GOOGLEFINANCE(""NSE:""&amp;D3314,""price"")"),"#N/A")</f>
        <v>#N/A</v>
      </c>
      <c r="M3314" s="9" t="e">
        <f t="shared" ca="1" si="67"/>
        <v>#VALUE!</v>
      </c>
      <c r="N3314" s="10" t="e">
        <f t="shared" ca="1" si="68"/>
        <v>#VALUE!</v>
      </c>
      <c r="O3314" s="7" t="str">
        <f ca="1">IFERROR(__xludf.DUMMYFUNCTION("GOOGLEFINANCE(""NSE:""&amp;D3314,""pe"")"),"#N/A")</f>
        <v>#N/A</v>
      </c>
      <c r="P3314" s="7" t="str">
        <f ca="1">IFERROR(__xludf.DUMMYFUNCTION("GOOGLEFINANCE(""NSE:""&amp;D3314,""EPS"")"),"#N/A")</f>
        <v>#N/A</v>
      </c>
      <c r="Q3314" s="7">
        <v>13.5</v>
      </c>
      <c r="R3314" s="7" t="str">
        <f ca="1">IFERROR(__xludf.DUMMYFUNCTION("IMPORTXML(E3314,""/html/body/main/div[3]/div[3]/div[2]/ul/li[7]/span[2]/span"")"),"Loading...")</f>
        <v>Loading...</v>
      </c>
      <c r="S3314" s="7" t="str">
        <f ca="1">IFERROR(__xludf.DUMMYFUNCTION("IMPORTXML(E3314,""/html/body/main/div[3]/div[3]/div[2]/ul/li[8]/span[2]/span"")"),"Loading...")</f>
        <v>Loading...</v>
      </c>
      <c r="T3314" s="4">
        <v>34.6</v>
      </c>
      <c r="U3314" s="4">
        <v>22.7</v>
      </c>
      <c r="V3314" s="4">
        <v>2.6</v>
      </c>
      <c r="W3314" s="4">
        <v>5.7</v>
      </c>
      <c r="X3314" s="4">
        <v>519.92999999999995</v>
      </c>
      <c r="Y3314" s="7" t="e">
        <f t="shared" ca="1" si="69"/>
        <v>#VALUE!</v>
      </c>
    </row>
    <row r="3315" spans="1:25" ht="15" x14ac:dyDescent="0.25">
      <c r="A3315" s="4">
        <v>3305</v>
      </c>
      <c r="C3315" s="41" t="s">
        <v>5653</v>
      </c>
      <c r="D3315" s="42"/>
      <c r="E3315" s="5" t="str">
        <f t="shared" si="65"/>
        <v>https://www.screener.in/company//consolidated/</v>
      </c>
      <c r="F3315" s="4">
        <v>443059</v>
      </c>
      <c r="G3315" s="4">
        <v>3832241897</v>
      </c>
      <c r="H3315" s="6" t="e">
        <f t="shared" ca="1" si="66"/>
        <v>#VALUE!</v>
      </c>
      <c r="I3315" s="7" t="str">
        <f ca="1">IFERROR(__xludf.DUMMYFUNCTION("IMPORTXML(E3315,""/html/body/main/div[3]/div[3]/div[2]/ul/li[5]/span[2]/span"")"),"Loading...")</f>
        <v>Loading...</v>
      </c>
      <c r="J3315" s="7" t="str">
        <f ca="1">IFERROR(__xludf.DUMMYFUNCTION("GOOGLEFINANCE(""NSE:""&amp;D3315,""marketcap"")"),"#N/A")</f>
        <v>#N/A</v>
      </c>
      <c r="K3315" s="7">
        <v>992.8</v>
      </c>
      <c r="L3315" s="8" t="str">
        <f ca="1">IFERROR(__xludf.DUMMYFUNCTION("GOOGLEFINANCE(""NSE:""&amp;D3315,""price"")"),"#N/A")</f>
        <v>#N/A</v>
      </c>
      <c r="M3315" s="9" t="e">
        <f t="shared" ca="1" si="67"/>
        <v>#VALUE!</v>
      </c>
      <c r="N3315" s="10" t="e">
        <f t="shared" ca="1" si="68"/>
        <v>#VALUE!</v>
      </c>
      <c r="O3315" s="7" t="str">
        <f ca="1">IFERROR(__xludf.DUMMYFUNCTION("GOOGLEFINANCE(""NSE:""&amp;D3315,""pe"")"),"#N/A")</f>
        <v>#N/A</v>
      </c>
      <c r="P3315" s="7" t="str">
        <f ca="1">IFERROR(__xludf.DUMMYFUNCTION("GOOGLEFINANCE(""NSE:""&amp;D3315,""EPS"")"),"#N/A")</f>
        <v>#N/A</v>
      </c>
      <c r="Q3315" s="7">
        <v>13.5</v>
      </c>
      <c r="R3315" s="7" t="str">
        <f ca="1">IFERROR(__xludf.DUMMYFUNCTION("IMPORTXML(E3315,""/html/body/main/div[3]/div[3]/div[2]/ul/li[7]/span[2]/span"")"),"Loading...")</f>
        <v>Loading...</v>
      </c>
      <c r="S3315" s="7" t="str">
        <f ca="1">IFERROR(__xludf.DUMMYFUNCTION("IMPORTXML(E3315,""/html/body/main/div[3]/div[3]/div[2]/ul/li[8]/span[2]/span"")"),"Loading...")</f>
        <v>Loading...</v>
      </c>
      <c r="T3315" s="4">
        <v>34.6</v>
      </c>
      <c r="U3315" s="4">
        <v>22.7</v>
      </c>
      <c r="V3315" s="4">
        <v>2.6</v>
      </c>
      <c r="W3315" s="4">
        <v>5.7</v>
      </c>
      <c r="X3315" s="4">
        <v>519.92999999999995</v>
      </c>
      <c r="Y3315" s="7" t="e">
        <f t="shared" ca="1" si="69"/>
        <v>#VALUE!</v>
      </c>
    </row>
    <row r="3316" spans="1:25" ht="15" x14ac:dyDescent="0.25">
      <c r="A3316" s="4">
        <v>3306</v>
      </c>
      <c r="C3316" s="41" t="s">
        <v>5654</v>
      </c>
      <c r="D3316" s="42"/>
      <c r="E3316" s="5" t="str">
        <f t="shared" si="65"/>
        <v>https://www.screener.in/company//consolidated/</v>
      </c>
      <c r="F3316" s="4">
        <v>443059</v>
      </c>
      <c r="G3316" s="4">
        <v>3832241897</v>
      </c>
      <c r="H3316" s="6" t="e">
        <f t="shared" ca="1" si="66"/>
        <v>#VALUE!</v>
      </c>
      <c r="I3316" s="7" t="str">
        <f ca="1">IFERROR(__xludf.DUMMYFUNCTION("IMPORTXML(E3316,""/html/body/main/div[3]/div[3]/div[2]/ul/li[5]/span[2]/span"")"),"Loading...")</f>
        <v>Loading...</v>
      </c>
      <c r="J3316" s="7" t="str">
        <f ca="1">IFERROR(__xludf.DUMMYFUNCTION("GOOGLEFINANCE(""NSE:""&amp;D3316,""marketcap"")"),"#N/A")</f>
        <v>#N/A</v>
      </c>
      <c r="K3316" s="7">
        <v>992.8</v>
      </c>
      <c r="L3316" s="8" t="str">
        <f ca="1">IFERROR(__xludf.DUMMYFUNCTION("GOOGLEFINANCE(""NSE:""&amp;D3316,""price"")"),"#N/A")</f>
        <v>#N/A</v>
      </c>
      <c r="M3316" s="9" t="e">
        <f t="shared" ca="1" si="67"/>
        <v>#VALUE!</v>
      </c>
      <c r="N3316" s="10" t="e">
        <f t="shared" ca="1" si="68"/>
        <v>#VALUE!</v>
      </c>
      <c r="O3316" s="7" t="str">
        <f ca="1">IFERROR(__xludf.DUMMYFUNCTION("GOOGLEFINANCE(""NSE:""&amp;D3316,""pe"")"),"#N/A")</f>
        <v>#N/A</v>
      </c>
      <c r="P3316" s="7" t="str">
        <f ca="1">IFERROR(__xludf.DUMMYFUNCTION("GOOGLEFINANCE(""NSE:""&amp;D3316,""EPS"")"),"#N/A")</f>
        <v>#N/A</v>
      </c>
      <c r="Q3316" s="7">
        <v>13.5</v>
      </c>
      <c r="R3316" s="7" t="str">
        <f ca="1">IFERROR(__xludf.DUMMYFUNCTION("IMPORTXML(E3316,""/html/body/main/div[3]/div[3]/div[2]/ul/li[7]/span[2]/span"")"),"Loading...")</f>
        <v>Loading...</v>
      </c>
      <c r="S3316" s="7" t="str">
        <f ca="1">IFERROR(__xludf.DUMMYFUNCTION("IMPORTXML(E3316,""/html/body/main/div[3]/div[3]/div[2]/ul/li[8]/span[2]/span"")"),"Loading...")</f>
        <v>Loading...</v>
      </c>
      <c r="T3316" s="4">
        <v>34.6</v>
      </c>
      <c r="U3316" s="4">
        <v>22.7</v>
      </c>
      <c r="V3316" s="4">
        <v>2.6</v>
      </c>
      <c r="W3316" s="4">
        <v>5.7</v>
      </c>
      <c r="X3316" s="4">
        <v>519.92999999999995</v>
      </c>
      <c r="Y3316" s="7" t="e">
        <f t="shared" ca="1" si="69"/>
        <v>#VALUE!</v>
      </c>
    </row>
    <row r="3317" spans="1:25" ht="15" x14ac:dyDescent="0.25">
      <c r="A3317" s="4">
        <v>3307</v>
      </c>
      <c r="C3317" s="41" t="s">
        <v>5655</v>
      </c>
      <c r="D3317" s="42"/>
      <c r="E3317" s="5" t="str">
        <f t="shared" si="65"/>
        <v>https://www.screener.in/company//consolidated/</v>
      </c>
      <c r="F3317" s="4">
        <v>443059</v>
      </c>
      <c r="G3317" s="4">
        <v>3832241897</v>
      </c>
      <c r="H3317" s="6" t="e">
        <f t="shared" ca="1" si="66"/>
        <v>#VALUE!</v>
      </c>
      <c r="I3317" s="7" t="str">
        <f ca="1">IFERROR(__xludf.DUMMYFUNCTION("IMPORTXML(E3317,""/html/body/main/div[3]/div[3]/div[2]/ul/li[5]/span[2]/span"")"),"Loading...")</f>
        <v>Loading...</v>
      </c>
      <c r="J3317" s="7" t="str">
        <f ca="1">IFERROR(__xludf.DUMMYFUNCTION("GOOGLEFINANCE(""NSE:""&amp;D3317,""marketcap"")"),"#N/A")</f>
        <v>#N/A</v>
      </c>
      <c r="K3317" s="7">
        <v>992.8</v>
      </c>
      <c r="L3317" s="8" t="str">
        <f ca="1">IFERROR(__xludf.DUMMYFUNCTION("GOOGLEFINANCE(""NSE:""&amp;D3317,""price"")"),"#N/A")</f>
        <v>#N/A</v>
      </c>
      <c r="M3317" s="9" t="e">
        <f t="shared" ca="1" si="67"/>
        <v>#VALUE!</v>
      </c>
      <c r="N3317" s="10" t="e">
        <f t="shared" ca="1" si="68"/>
        <v>#VALUE!</v>
      </c>
      <c r="O3317" s="7" t="str">
        <f ca="1">IFERROR(__xludf.DUMMYFUNCTION("GOOGLEFINANCE(""NSE:""&amp;D3317,""pe"")"),"#N/A")</f>
        <v>#N/A</v>
      </c>
      <c r="P3317" s="7" t="str">
        <f ca="1">IFERROR(__xludf.DUMMYFUNCTION("GOOGLEFINANCE(""NSE:""&amp;D3317,""EPS"")"),"#N/A")</f>
        <v>#N/A</v>
      </c>
      <c r="Q3317" s="7">
        <v>13.5</v>
      </c>
      <c r="R3317" s="7" t="str">
        <f ca="1">IFERROR(__xludf.DUMMYFUNCTION("IMPORTXML(E3317,""/html/body/main/div[3]/div[3]/div[2]/ul/li[7]/span[2]/span"")"),"Loading...")</f>
        <v>Loading...</v>
      </c>
      <c r="S3317" s="7" t="str">
        <f ca="1">IFERROR(__xludf.DUMMYFUNCTION("IMPORTXML(E3317,""/html/body/main/div[3]/div[3]/div[2]/ul/li[8]/span[2]/span"")"),"Loading...")</f>
        <v>Loading...</v>
      </c>
      <c r="T3317" s="4">
        <v>34.6</v>
      </c>
      <c r="U3317" s="4">
        <v>22.7</v>
      </c>
      <c r="V3317" s="4">
        <v>2.6</v>
      </c>
      <c r="W3317" s="4">
        <v>5.7</v>
      </c>
      <c r="X3317" s="4">
        <v>519.92999999999995</v>
      </c>
      <c r="Y3317" s="7" t="e">
        <f t="shared" ca="1" si="69"/>
        <v>#VALUE!</v>
      </c>
    </row>
    <row r="3318" spans="1:25" ht="15" x14ac:dyDescent="0.25">
      <c r="A3318" s="4">
        <v>3308</v>
      </c>
      <c r="C3318" s="41" t="s">
        <v>5656</v>
      </c>
      <c r="D3318" s="42"/>
      <c r="E3318" s="5" t="str">
        <f t="shared" si="65"/>
        <v>https://www.screener.in/company//consolidated/</v>
      </c>
      <c r="F3318" s="4">
        <v>443059</v>
      </c>
      <c r="G3318" s="4">
        <v>3832241897</v>
      </c>
      <c r="H3318" s="6" t="e">
        <f t="shared" ca="1" si="66"/>
        <v>#VALUE!</v>
      </c>
      <c r="I3318" s="7" t="str">
        <f ca="1">IFERROR(__xludf.DUMMYFUNCTION("IMPORTXML(E3318,""/html/body/main/div[3]/div[3]/div[2]/ul/li[5]/span[2]/span"")"),"Loading...")</f>
        <v>Loading...</v>
      </c>
      <c r="J3318" s="7" t="str">
        <f ca="1">IFERROR(__xludf.DUMMYFUNCTION("GOOGLEFINANCE(""NSE:""&amp;D3318,""marketcap"")"),"#N/A")</f>
        <v>#N/A</v>
      </c>
      <c r="K3318" s="7">
        <v>992.8</v>
      </c>
      <c r="L3318" s="8" t="str">
        <f ca="1">IFERROR(__xludf.DUMMYFUNCTION("GOOGLEFINANCE(""NSE:""&amp;D3318,""price"")"),"#N/A")</f>
        <v>#N/A</v>
      </c>
      <c r="M3318" s="9" t="e">
        <f t="shared" ca="1" si="67"/>
        <v>#VALUE!</v>
      </c>
      <c r="N3318" s="10" t="e">
        <f t="shared" ca="1" si="68"/>
        <v>#VALUE!</v>
      </c>
      <c r="O3318" s="7" t="str">
        <f ca="1">IFERROR(__xludf.DUMMYFUNCTION("GOOGLEFINANCE(""NSE:""&amp;D3318,""pe"")"),"#N/A")</f>
        <v>#N/A</v>
      </c>
      <c r="P3318" s="7" t="str">
        <f ca="1">IFERROR(__xludf.DUMMYFUNCTION("GOOGLEFINANCE(""NSE:""&amp;D3318,""EPS"")"),"#N/A")</f>
        <v>#N/A</v>
      </c>
      <c r="Q3318" s="7">
        <v>13.5</v>
      </c>
      <c r="R3318" s="7" t="str">
        <f ca="1">IFERROR(__xludf.DUMMYFUNCTION("IMPORTXML(E3318,""/html/body/main/div[3]/div[3]/div[2]/ul/li[7]/span[2]/span"")"),"Loading...")</f>
        <v>Loading...</v>
      </c>
      <c r="S3318" s="7" t="str">
        <f ca="1">IFERROR(__xludf.DUMMYFUNCTION("IMPORTXML(E3318,""/html/body/main/div[3]/div[3]/div[2]/ul/li[8]/span[2]/span"")"),"Loading...")</f>
        <v>Loading...</v>
      </c>
      <c r="T3318" s="4">
        <v>34.6</v>
      </c>
      <c r="U3318" s="4">
        <v>22.7</v>
      </c>
      <c r="V3318" s="4">
        <v>2.6</v>
      </c>
      <c r="W3318" s="4">
        <v>5.7</v>
      </c>
      <c r="X3318" s="4">
        <v>519.92999999999995</v>
      </c>
      <c r="Y3318" s="7" t="e">
        <f t="shared" ca="1" si="69"/>
        <v>#VALUE!</v>
      </c>
    </row>
    <row r="3319" spans="1:25" ht="15" x14ac:dyDescent="0.25">
      <c r="A3319" s="4">
        <v>3309</v>
      </c>
      <c r="C3319" s="41" t="s">
        <v>5657</v>
      </c>
      <c r="D3319" s="42"/>
      <c r="E3319" s="5" t="str">
        <f t="shared" si="65"/>
        <v>https://www.screener.in/company//consolidated/</v>
      </c>
      <c r="F3319" s="4">
        <v>443059</v>
      </c>
      <c r="G3319" s="4">
        <v>3832241897</v>
      </c>
      <c r="H3319" s="6" t="e">
        <f t="shared" ca="1" si="66"/>
        <v>#VALUE!</v>
      </c>
      <c r="I3319" s="7" t="str">
        <f ca="1">IFERROR(__xludf.DUMMYFUNCTION("IMPORTXML(E3319,""/html/body/main/div[3]/div[3]/div[2]/ul/li[5]/span[2]/span"")"),"Loading...")</f>
        <v>Loading...</v>
      </c>
      <c r="J3319" s="7" t="str">
        <f ca="1">IFERROR(__xludf.DUMMYFUNCTION("GOOGLEFINANCE(""NSE:""&amp;D3319,""marketcap"")"),"#N/A")</f>
        <v>#N/A</v>
      </c>
      <c r="K3319" s="7">
        <v>992.8</v>
      </c>
      <c r="L3319" s="8" t="str">
        <f ca="1">IFERROR(__xludf.DUMMYFUNCTION("GOOGLEFINANCE(""NSE:""&amp;D3319,""price"")"),"#N/A")</f>
        <v>#N/A</v>
      </c>
      <c r="M3319" s="9" t="e">
        <f t="shared" ca="1" si="67"/>
        <v>#VALUE!</v>
      </c>
      <c r="N3319" s="10" t="e">
        <f t="shared" ca="1" si="68"/>
        <v>#VALUE!</v>
      </c>
      <c r="O3319" s="7" t="str">
        <f ca="1">IFERROR(__xludf.DUMMYFUNCTION("GOOGLEFINANCE(""NSE:""&amp;D3319,""pe"")"),"#N/A")</f>
        <v>#N/A</v>
      </c>
      <c r="P3319" s="7" t="str">
        <f ca="1">IFERROR(__xludf.DUMMYFUNCTION("GOOGLEFINANCE(""NSE:""&amp;D3319,""EPS"")"),"#N/A")</f>
        <v>#N/A</v>
      </c>
      <c r="Q3319" s="7">
        <v>13.5</v>
      </c>
      <c r="R3319" s="7" t="str">
        <f ca="1">IFERROR(__xludf.DUMMYFUNCTION("IMPORTXML(E3319,""/html/body/main/div[3]/div[3]/div[2]/ul/li[7]/span[2]/span"")"),"Loading...")</f>
        <v>Loading...</v>
      </c>
      <c r="S3319" s="7" t="str">
        <f ca="1">IFERROR(__xludf.DUMMYFUNCTION("IMPORTXML(E3319,""/html/body/main/div[3]/div[3]/div[2]/ul/li[8]/span[2]/span"")"),"Loading...")</f>
        <v>Loading...</v>
      </c>
      <c r="T3319" s="4">
        <v>34.6</v>
      </c>
      <c r="U3319" s="4">
        <v>22.7</v>
      </c>
      <c r="V3319" s="4">
        <v>2.6</v>
      </c>
      <c r="W3319" s="4">
        <v>5.7</v>
      </c>
      <c r="X3319" s="4">
        <v>519.92999999999995</v>
      </c>
      <c r="Y3319" s="7" t="e">
        <f t="shared" ca="1" si="69"/>
        <v>#VALUE!</v>
      </c>
    </row>
    <row r="3320" spans="1:25" ht="15" x14ac:dyDescent="0.25">
      <c r="A3320" s="4">
        <v>3310</v>
      </c>
      <c r="C3320" s="41" t="s">
        <v>5658</v>
      </c>
      <c r="D3320" s="42"/>
      <c r="E3320" s="5" t="str">
        <f t="shared" si="65"/>
        <v>https://www.screener.in/company//consolidated/</v>
      </c>
      <c r="F3320" s="4">
        <v>443059</v>
      </c>
      <c r="G3320" s="4">
        <v>3832241897</v>
      </c>
      <c r="H3320" s="6" t="e">
        <f t="shared" ca="1" si="66"/>
        <v>#VALUE!</v>
      </c>
      <c r="I3320" s="7" t="str">
        <f ca="1">IFERROR(__xludf.DUMMYFUNCTION("IMPORTXML(E3320,""/html/body/main/div[3]/div[3]/div[2]/ul/li[5]/span[2]/span"")"),"Loading...")</f>
        <v>Loading...</v>
      </c>
      <c r="J3320" s="7" t="str">
        <f ca="1">IFERROR(__xludf.DUMMYFUNCTION("GOOGLEFINANCE(""NSE:""&amp;D3320,""marketcap"")"),"#N/A")</f>
        <v>#N/A</v>
      </c>
      <c r="K3320" s="7">
        <v>992.8</v>
      </c>
      <c r="L3320" s="8" t="str">
        <f ca="1">IFERROR(__xludf.DUMMYFUNCTION("GOOGLEFINANCE(""NSE:""&amp;D3320,""price"")"),"#N/A")</f>
        <v>#N/A</v>
      </c>
      <c r="M3320" s="9" t="e">
        <f t="shared" ca="1" si="67"/>
        <v>#VALUE!</v>
      </c>
      <c r="N3320" s="10" t="e">
        <f t="shared" ca="1" si="68"/>
        <v>#VALUE!</v>
      </c>
      <c r="O3320" s="7" t="str">
        <f ca="1">IFERROR(__xludf.DUMMYFUNCTION("GOOGLEFINANCE(""NSE:""&amp;D3320,""pe"")"),"#N/A")</f>
        <v>#N/A</v>
      </c>
      <c r="P3320" s="7" t="str">
        <f ca="1">IFERROR(__xludf.DUMMYFUNCTION("GOOGLEFINANCE(""NSE:""&amp;D3320,""EPS"")"),"#N/A")</f>
        <v>#N/A</v>
      </c>
      <c r="Q3320" s="7">
        <v>13.5</v>
      </c>
      <c r="R3320" s="7" t="str">
        <f ca="1">IFERROR(__xludf.DUMMYFUNCTION("IMPORTXML(E3320,""/html/body/main/div[3]/div[3]/div[2]/ul/li[7]/span[2]/span"")"),"Loading...")</f>
        <v>Loading...</v>
      </c>
      <c r="S3320" s="7" t="str">
        <f ca="1">IFERROR(__xludf.DUMMYFUNCTION("IMPORTXML(E3320,""/html/body/main/div[3]/div[3]/div[2]/ul/li[8]/span[2]/span"")"),"Loading...")</f>
        <v>Loading...</v>
      </c>
      <c r="T3320" s="4">
        <v>34.6</v>
      </c>
      <c r="U3320" s="4">
        <v>22.7</v>
      </c>
      <c r="V3320" s="4">
        <v>2.6</v>
      </c>
      <c r="W3320" s="4">
        <v>5.7</v>
      </c>
      <c r="X3320" s="4">
        <v>519.92999999999995</v>
      </c>
      <c r="Y3320" s="7" t="e">
        <f t="shared" ca="1" si="69"/>
        <v>#VALUE!</v>
      </c>
    </row>
    <row r="3321" spans="1:25" ht="15" x14ac:dyDescent="0.25">
      <c r="A3321" s="4">
        <v>3311</v>
      </c>
      <c r="C3321" s="12" t="s">
        <v>5659</v>
      </c>
      <c r="D3321" s="37"/>
      <c r="E3321" s="5" t="str">
        <f t="shared" si="65"/>
        <v>https://www.screener.in/company//consolidated/</v>
      </c>
      <c r="F3321" s="4">
        <v>443059</v>
      </c>
      <c r="G3321" s="4">
        <v>3832241897</v>
      </c>
      <c r="H3321" s="6" t="e">
        <f t="shared" ca="1" si="66"/>
        <v>#VALUE!</v>
      </c>
      <c r="I3321" s="7" t="str">
        <f ca="1">IFERROR(__xludf.DUMMYFUNCTION("IMPORTXML(E3321,""/html/body/main/div[3]/div[3]/div[2]/ul/li[5]/span[2]/span"")"),"Loading...")</f>
        <v>Loading...</v>
      </c>
      <c r="J3321" s="7" t="str">
        <f ca="1">IFERROR(__xludf.DUMMYFUNCTION("GOOGLEFINANCE(""NSE:""&amp;D3321,""marketcap"")"),"#N/A")</f>
        <v>#N/A</v>
      </c>
      <c r="K3321" s="7">
        <v>992.8</v>
      </c>
      <c r="L3321" s="8" t="str">
        <f ca="1">IFERROR(__xludf.DUMMYFUNCTION("GOOGLEFINANCE(""NSE:""&amp;D3321,""price"")"),"#N/A")</f>
        <v>#N/A</v>
      </c>
      <c r="M3321" s="9" t="e">
        <f t="shared" ca="1" si="67"/>
        <v>#VALUE!</v>
      </c>
      <c r="N3321" s="10" t="e">
        <f t="shared" ca="1" si="68"/>
        <v>#VALUE!</v>
      </c>
      <c r="O3321" s="7" t="str">
        <f ca="1">IFERROR(__xludf.DUMMYFUNCTION("GOOGLEFINANCE(""NSE:""&amp;D3321,""pe"")"),"#N/A")</f>
        <v>#N/A</v>
      </c>
      <c r="P3321" s="7" t="str">
        <f ca="1">IFERROR(__xludf.DUMMYFUNCTION("GOOGLEFINANCE(""NSE:""&amp;D3321,""EPS"")"),"#N/A")</f>
        <v>#N/A</v>
      </c>
      <c r="Q3321" s="7">
        <v>13.5</v>
      </c>
      <c r="R3321" s="7" t="str">
        <f ca="1">IFERROR(__xludf.DUMMYFUNCTION("IMPORTXML(E3321,""/html/body/main/div[3]/div[3]/div[2]/ul/li[7]/span[2]/span"")"),"Loading...")</f>
        <v>Loading...</v>
      </c>
      <c r="S3321" s="7" t="str">
        <f ca="1">IFERROR(__xludf.DUMMYFUNCTION("IMPORTXML(E3321,""/html/body/main/div[3]/div[3]/div[2]/ul/li[8]/span[2]/span"")"),"Loading...")</f>
        <v>Loading...</v>
      </c>
      <c r="T3321" s="4">
        <v>34.6</v>
      </c>
      <c r="U3321" s="4">
        <v>22.7</v>
      </c>
      <c r="V3321" s="4">
        <v>2.6</v>
      </c>
      <c r="W3321" s="4">
        <v>5.7</v>
      </c>
      <c r="X3321" s="4">
        <v>519.92999999999995</v>
      </c>
      <c r="Y3321" s="7" t="e">
        <f t="shared" ca="1" si="69"/>
        <v>#VALUE!</v>
      </c>
    </row>
    <row r="3322" spans="1:25" ht="15" x14ac:dyDescent="0.25">
      <c r="A3322" s="4">
        <v>3312</v>
      </c>
      <c r="C3322" s="41" t="s">
        <v>5660</v>
      </c>
      <c r="D3322" s="42"/>
      <c r="E3322" s="5" t="str">
        <f t="shared" si="65"/>
        <v>https://www.screener.in/company//consolidated/</v>
      </c>
      <c r="F3322" s="4">
        <v>443059</v>
      </c>
      <c r="G3322" s="4">
        <v>3832241897</v>
      </c>
      <c r="H3322" s="6" t="e">
        <f t="shared" ca="1" si="66"/>
        <v>#VALUE!</v>
      </c>
      <c r="I3322" s="7" t="str">
        <f ca="1">IFERROR(__xludf.DUMMYFUNCTION("IMPORTXML(E3322,""/html/body/main/div[3]/div[3]/div[2]/ul/li[5]/span[2]/span"")"),"Loading...")</f>
        <v>Loading...</v>
      </c>
      <c r="J3322" s="7" t="str">
        <f ca="1">IFERROR(__xludf.DUMMYFUNCTION("GOOGLEFINANCE(""NSE:""&amp;D3322,""marketcap"")"),"#N/A")</f>
        <v>#N/A</v>
      </c>
      <c r="K3322" s="7">
        <v>992.8</v>
      </c>
      <c r="L3322" s="8" t="str">
        <f ca="1">IFERROR(__xludf.DUMMYFUNCTION("GOOGLEFINANCE(""NSE:""&amp;D3322,""price"")"),"#N/A")</f>
        <v>#N/A</v>
      </c>
      <c r="M3322" s="9" t="e">
        <f t="shared" ca="1" si="67"/>
        <v>#VALUE!</v>
      </c>
      <c r="N3322" s="10" t="e">
        <f t="shared" ca="1" si="68"/>
        <v>#VALUE!</v>
      </c>
      <c r="O3322" s="7" t="str">
        <f ca="1">IFERROR(__xludf.DUMMYFUNCTION("GOOGLEFINANCE(""NSE:""&amp;D3322,""pe"")"),"#N/A")</f>
        <v>#N/A</v>
      </c>
      <c r="P3322" s="7" t="str">
        <f ca="1">IFERROR(__xludf.DUMMYFUNCTION("GOOGLEFINANCE(""NSE:""&amp;D3322,""EPS"")"),"#N/A")</f>
        <v>#N/A</v>
      </c>
      <c r="Q3322" s="7">
        <v>13.5</v>
      </c>
      <c r="R3322" s="7" t="str">
        <f ca="1">IFERROR(__xludf.DUMMYFUNCTION("IMPORTXML(E3322,""/html/body/main/div[3]/div[3]/div[2]/ul/li[7]/span[2]/span"")"),"Loading...")</f>
        <v>Loading...</v>
      </c>
      <c r="S3322" s="7" t="str">
        <f ca="1">IFERROR(__xludf.DUMMYFUNCTION("IMPORTXML(E3322,""/html/body/main/div[3]/div[3]/div[2]/ul/li[8]/span[2]/span"")"),"Loading...")</f>
        <v>Loading...</v>
      </c>
      <c r="T3322" s="4">
        <v>34.6</v>
      </c>
      <c r="U3322" s="4">
        <v>22.7</v>
      </c>
      <c r="V3322" s="4">
        <v>2.6</v>
      </c>
      <c r="W3322" s="4">
        <v>5.7</v>
      </c>
      <c r="X3322" s="4">
        <v>519.92999999999995</v>
      </c>
      <c r="Y3322" s="7" t="e">
        <f t="shared" ca="1" si="69"/>
        <v>#VALUE!</v>
      </c>
    </row>
    <row r="3323" spans="1:25" ht="15" x14ac:dyDescent="0.25">
      <c r="A3323" s="4">
        <v>3313</v>
      </c>
      <c r="C3323" s="41" t="s">
        <v>5661</v>
      </c>
      <c r="D3323" s="42"/>
      <c r="E3323" s="5" t="str">
        <f t="shared" si="65"/>
        <v>https://www.screener.in/company//consolidated/</v>
      </c>
      <c r="F3323" s="4">
        <v>443059</v>
      </c>
      <c r="G3323" s="4">
        <v>3832241897</v>
      </c>
      <c r="H3323" s="6" t="e">
        <f t="shared" ca="1" si="66"/>
        <v>#VALUE!</v>
      </c>
      <c r="I3323" s="7" t="str">
        <f ca="1">IFERROR(__xludf.DUMMYFUNCTION("IMPORTXML(E3323,""/html/body/main/div[3]/div[3]/div[2]/ul/li[5]/span[2]/span"")"),"Loading...")</f>
        <v>Loading...</v>
      </c>
      <c r="J3323" s="7" t="str">
        <f ca="1">IFERROR(__xludf.DUMMYFUNCTION("GOOGLEFINANCE(""NSE:""&amp;D3323,""marketcap"")"),"#N/A")</f>
        <v>#N/A</v>
      </c>
      <c r="K3323" s="7">
        <v>992.8</v>
      </c>
      <c r="L3323" s="8" t="str">
        <f ca="1">IFERROR(__xludf.DUMMYFUNCTION("GOOGLEFINANCE(""NSE:""&amp;D3323,""price"")"),"#N/A")</f>
        <v>#N/A</v>
      </c>
      <c r="M3323" s="9" t="e">
        <f t="shared" ca="1" si="67"/>
        <v>#VALUE!</v>
      </c>
      <c r="N3323" s="10" t="e">
        <f t="shared" ca="1" si="68"/>
        <v>#VALUE!</v>
      </c>
      <c r="O3323" s="7" t="str">
        <f ca="1">IFERROR(__xludf.DUMMYFUNCTION("GOOGLEFINANCE(""NSE:""&amp;D3323,""pe"")"),"#N/A")</f>
        <v>#N/A</v>
      </c>
      <c r="P3323" s="7" t="str">
        <f ca="1">IFERROR(__xludf.DUMMYFUNCTION("GOOGLEFINANCE(""NSE:""&amp;D3323,""EPS"")"),"#N/A")</f>
        <v>#N/A</v>
      </c>
      <c r="Q3323" s="7">
        <v>13.5</v>
      </c>
      <c r="R3323" s="7" t="str">
        <f ca="1">IFERROR(__xludf.DUMMYFUNCTION("IMPORTXML(E3323,""/html/body/main/div[3]/div[3]/div[2]/ul/li[7]/span[2]/span"")"),"Loading...")</f>
        <v>Loading...</v>
      </c>
      <c r="S3323" s="7" t="str">
        <f ca="1">IFERROR(__xludf.DUMMYFUNCTION("IMPORTXML(E3323,""/html/body/main/div[3]/div[3]/div[2]/ul/li[8]/span[2]/span"")"),"Loading...")</f>
        <v>Loading...</v>
      </c>
      <c r="T3323" s="4">
        <v>34.6</v>
      </c>
      <c r="U3323" s="4">
        <v>22.7</v>
      </c>
      <c r="V3323" s="4">
        <v>2.6</v>
      </c>
      <c r="W3323" s="4">
        <v>5.7</v>
      </c>
      <c r="X3323" s="4">
        <v>519.92999999999995</v>
      </c>
      <c r="Y3323" s="7" t="e">
        <f t="shared" ca="1" si="69"/>
        <v>#VALUE!</v>
      </c>
    </row>
    <row r="3324" spans="1:25" ht="15" x14ac:dyDescent="0.25">
      <c r="A3324" s="4">
        <v>3314</v>
      </c>
      <c r="C3324" s="41" t="s">
        <v>5662</v>
      </c>
      <c r="D3324" s="42"/>
      <c r="E3324" s="5" t="str">
        <f t="shared" si="65"/>
        <v>https://www.screener.in/company//consolidated/</v>
      </c>
      <c r="F3324" s="4">
        <v>443059</v>
      </c>
      <c r="G3324" s="4">
        <v>3832241897</v>
      </c>
      <c r="H3324" s="6" t="e">
        <f t="shared" ca="1" si="66"/>
        <v>#VALUE!</v>
      </c>
      <c r="I3324" s="7" t="str">
        <f ca="1">IFERROR(__xludf.DUMMYFUNCTION("IMPORTXML(E3324,""/html/body/main/div[3]/div[3]/div[2]/ul/li[5]/span[2]/span"")"),"Loading...")</f>
        <v>Loading...</v>
      </c>
      <c r="J3324" s="7" t="str">
        <f ca="1">IFERROR(__xludf.DUMMYFUNCTION("GOOGLEFINANCE(""NSE:""&amp;D3324,""marketcap"")"),"#N/A")</f>
        <v>#N/A</v>
      </c>
      <c r="K3324" s="7">
        <v>992.8</v>
      </c>
      <c r="L3324" s="8" t="str">
        <f ca="1">IFERROR(__xludf.DUMMYFUNCTION("GOOGLEFINANCE(""NSE:""&amp;D3324,""price"")"),"#N/A")</f>
        <v>#N/A</v>
      </c>
      <c r="M3324" s="9" t="e">
        <f t="shared" ca="1" si="67"/>
        <v>#VALUE!</v>
      </c>
      <c r="N3324" s="10" t="e">
        <f t="shared" ca="1" si="68"/>
        <v>#VALUE!</v>
      </c>
      <c r="O3324" s="7" t="str">
        <f ca="1">IFERROR(__xludf.DUMMYFUNCTION("GOOGLEFINANCE(""NSE:""&amp;D3324,""pe"")"),"#N/A")</f>
        <v>#N/A</v>
      </c>
      <c r="P3324" s="7" t="str">
        <f ca="1">IFERROR(__xludf.DUMMYFUNCTION("GOOGLEFINANCE(""NSE:""&amp;D3324,""EPS"")"),"#N/A")</f>
        <v>#N/A</v>
      </c>
      <c r="Q3324" s="7">
        <v>13.5</v>
      </c>
      <c r="R3324" s="7" t="str">
        <f ca="1">IFERROR(__xludf.DUMMYFUNCTION("IMPORTXML(E3324,""/html/body/main/div[3]/div[3]/div[2]/ul/li[7]/span[2]/span"")"),"Loading...")</f>
        <v>Loading...</v>
      </c>
      <c r="S3324" s="7" t="str">
        <f ca="1">IFERROR(__xludf.DUMMYFUNCTION("IMPORTXML(E3324,""/html/body/main/div[3]/div[3]/div[2]/ul/li[8]/span[2]/span"")"),"Loading...")</f>
        <v>Loading...</v>
      </c>
      <c r="T3324" s="4">
        <v>34.6</v>
      </c>
      <c r="U3324" s="4">
        <v>22.7</v>
      </c>
      <c r="V3324" s="4">
        <v>2.6</v>
      </c>
      <c r="W3324" s="4">
        <v>5.7</v>
      </c>
      <c r="X3324" s="4">
        <v>519.92999999999995</v>
      </c>
      <c r="Y3324" s="7" t="e">
        <f t="shared" ca="1" si="69"/>
        <v>#VALUE!</v>
      </c>
    </row>
    <row r="3325" spans="1:25" ht="15" x14ac:dyDescent="0.25">
      <c r="A3325" s="4">
        <v>3315</v>
      </c>
      <c r="C3325" s="41" t="s">
        <v>5663</v>
      </c>
      <c r="D3325" s="42"/>
      <c r="E3325" s="5" t="str">
        <f t="shared" si="65"/>
        <v>https://www.screener.in/company//consolidated/</v>
      </c>
      <c r="F3325" s="4">
        <v>443059</v>
      </c>
      <c r="G3325" s="4">
        <v>3832241897</v>
      </c>
      <c r="H3325" s="6" t="e">
        <f t="shared" ca="1" si="66"/>
        <v>#VALUE!</v>
      </c>
      <c r="I3325" s="7" t="str">
        <f ca="1">IFERROR(__xludf.DUMMYFUNCTION("IMPORTXML(E3325,""/html/body/main/div[3]/div[3]/div[2]/ul/li[5]/span[2]/span"")"),"Loading...")</f>
        <v>Loading...</v>
      </c>
      <c r="J3325" s="7" t="str">
        <f ca="1">IFERROR(__xludf.DUMMYFUNCTION("GOOGLEFINANCE(""NSE:""&amp;D3325,""marketcap"")"),"#N/A")</f>
        <v>#N/A</v>
      </c>
      <c r="K3325" s="7">
        <v>992.8</v>
      </c>
      <c r="L3325" s="8" t="str">
        <f ca="1">IFERROR(__xludf.DUMMYFUNCTION("GOOGLEFINANCE(""NSE:""&amp;D3325,""price"")"),"#N/A")</f>
        <v>#N/A</v>
      </c>
      <c r="M3325" s="9" t="e">
        <f t="shared" ca="1" si="67"/>
        <v>#VALUE!</v>
      </c>
      <c r="N3325" s="10" t="e">
        <f t="shared" ca="1" si="68"/>
        <v>#VALUE!</v>
      </c>
      <c r="O3325" s="7" t="str">
        <f ca="1">IFERROR(__xludf.DUMMYFUNCTION("GOOGLEFINANCE(""NSE:""&amp;D3325,""pe"")"),"#N/A")</f>
        <v>#N/A</v>
      </c>
      <c r="P3325" s="7" t="str">
        <f ca="1">IFERROR(__xludf.DUMMYFUNCTION("GOOGLEFINANCE(""NSE:""&amp;D3325,""EPS"")"),"#N/A")</f>
        <v>#N/A</v>
      </c>
      <c r="Q3325" s="7">
        <v>13.5</v>
      </c>
      <c r="R3325" s="7" t="str">
        <f ca="1">IFERROR(__xludf.DUMMYFUNCTION("IMPORTXML(E3325,""/html/body/main/div[3]/div[3]/div[2]/ul/li[7]/span[2]/span"")"),"Loading...")</f>
        <v>Loading...</v>
      </c>
      <c r="S3325" s="7" t="str">
        <f ca="1">IFERROR(__xludf.DUMMYFUNCTION("IMPORTXML(E3325,""/html/body/main/div[3]/div[3]/div[2]/ul/li[8]/span[2]/span"")"),"Loading...")</f>
        <v>Loading...</v>
      </c>
      <c r="T3325" s="4">
        <v>34.6</v>
      </c>
      <c r="U3325" s="4">
        <v>22.7</v>
      </c>
      <c r="V3325" s="4">
        <v>2.6</v>
      </c>
      <c r="W3325" s="4">
        <v>5.7</v>
      </c>
      <c r="X3325" s="4">
        <v>519.92999999999995</v>
      </c>
      <c r="Y3325" s="7" t="e">
        <f t="shared" ca="1" si="69"/>
        <v>#VALUE!</v>
      </c>
    </row>
    <row r="3326" spans="1:25" ht="15" x14ac:dyDescent="0.25">
      <c r="A3326" s="4">
        <v>3316</v>
      </c>
      <c r="C3326" s="41" t="s">
        <v>5664</v>
      </c>
      <c r="D3326" s="42"/>
      <c r="E3326" s="5" t="str">
        <f t="shared" si="65"/>
        <v>https://www.screener.in/company//consolidated/</v>
      </c>
      <c r="F3326" s="4">
        <v>443059</v>
      </c>
      <c r="G3326" s="4">
        <v>3832241897</v>
      </c>
      <c r="H3326" s="6" t="e">
        <f t="shared" ca="1" si="66"/>
        <v>#VALUE!</v>
      </c>
      <c r="I3326" s="7" t="str">
        <f ca="1">IFERROR(__xludf.DUMMYFUNCTION("IMPORTXML(E3326,""/html/body/main/div[3]/div[3]/div[2]/ul/li[5]/span[2]/span"")"),"Loading...")</f>
        <v>Loading...</v>
      </c>
      <c r="J3326" s="7" t="str">
        <f ca="1">IFERROR(__xludf.DUMMYFUNCTION("GOOGLEFINANCE(""NSE:""&amp;D3326,""marketcap"")"),"#N/A")</f>
        <v>#N/A</v>
      </c>
      <c r="K3326" s="7">
        <v>992.8</v>
      </c>
      <c r="L3326" s="8" t="str">
        <f ca="1">IFERROR(__xludf.DUMMYFUNCTION("GOOGLEFINANCE(""NSE:""&amp;D3326,""price"")"),"#N/A")</f>
        <v>#N/A</v>
      </c>
      <c r="M3326" s="9" t="e">
        <f t="shared" ca="1" si="67"/>
        <v>#VALUE!</v>
      </c>
      <c r="N3326" s="10" t="e">
        <f t="shared" ca="1" si="68"/>
        <v>#VALUE!</v>
      </c>
      <c r="O3326" s="7" t="str">
        <f ca="1">IFERROR(__xludf.DUMMYFUNCTION("GOOGLEFINANCE(""NSE:""&amp;D3326,""pe"")"),"#N/A")</f>
        <v>#N/A</v>
      </c>
      <c r="P3326" s="7" t="str">
        <f ca="1">IFERROR(__xludf.DUMMYFUNCTION("GOOGLEFINANCE(""NSE:""&amp;D3326,""EPS"")"),"#N/A")</f>
        <v>#N/A</v>
      </c>
      <c r="Q3326" s="7">
        <v>13.5</v>
      </c>
      <c r="R3326" s="7" t="str">
        <f ca="1">IFERROR(__xludf.DUMMYFUNCTION("IMPORTXML(E3326,""/html/body/main/div[3]/div[3]/div[2]/ul/li[7]/span[2]/span"")"),"Loading...")</f>
        <v>Loading...</v>
      </c>
      <c r="S3326" s="7" t="str">
        <f ca="1">IFERROR(__xludf.DUMMYFUNCTION("IMPORTXML(E3326,""/html/body/main/div[3]/div[3]/div[2]/ul/li[8]/span[2]/span"")"),"Loading...")</f>
        <v>Loading...</v>
      </c>
      <c r="T3326" s="4">
        <v>34.6</v>
      </c>
      <c r="U3326" s="4">
        <v>22.7</v>
      </c>
      <c r="V3326" s="4">
        <v>2.6</v>
      </c>
      <c r="W3326" s="4">
        <v>5.7</v>
      </c>
      <c r="X3326" s="4">
        <v>519.92999999999995</v>
      </c>
      <c r="Y3326" s="7" t="e">
        <f t="shared" ca="1" si="69"/>
        <v>#VALUE!</v>
      </c>
    </row>
    <row r="3327" spans="1:25" ht="15" x14ac:dyDescent="0.25">
      <c r="A3327" s="4">
        <v>3317</v>
      </c>
      <c r="C3327" s="41" t="s">
        <v>5665</v>
      </c>
      <c r="D3327" s="42"/>
      <c r="E3327" s="5" t="str">
        <f t="shared" si="65"/>
        <v>https://www.screener.in/company//consolidated/</v>
      </c>
      <c r="F3327" s="4">
        <v>443059</v>
      </c>
      <c r="G3327" s="4">
        <v>3832241897</v>
      </c>
      <c r="H3327" s="6" t="e">
        <f t="shared" ca="1" si="66"/>
        <v>#VALUE!</v>
      </c>
      <c r="I3327" s="7" t="str">
        <f ca="1">IFERROR(__xludf.DUMMYFUNCTION("IMPORTXML(E3327,""/html/body/main/div[3]/div[3]/div[2]/ul/li[5]/span[2]/span"")"),"Loading...")</f>
        <v>Loading...</v>
      </c>
      <c r="J3327" s="7" t="str">
        <f ca="1">IFERROR(__xludf.DUMMYFUNCTION("GOOGLEFINANCE(""NSE:""&amp;D3327,""marketcap"")"),"#N/A")</f>
        <v>#N/A</v>
      </c>
      <c r="K3327" s="7">
        <v>992.8</v>
      </c>
      <c r="L3327" s="8" t="str">
        <f ca="1">IFERROR(__xludf.DUMMYFUNCTION("GOOGLEFINANCE(""NSE:""&amp;D3327,""price"")"),"#N/A")</f>
        <v>#N/A</v>
      </c>
      <c r="M3327" s="9" t="e">
        <f t="shared" ca="1" si="67"/>
        <v>#VALUE!</v>
      </c>
      <c r="N3327" s="10" t="e">
        <f t="shared" ca="1" si="68"/>
        <v>#VALUE!</v>
      </c>
      <c r="O3327" s="7" t="str">
        <f ca="1">IFERROR(__xludf.DUMMYFUNCTION("GOOGLEFINANCE(""NSE:""&amp;D3327,""pe"")"),"#N/A")</f>
        <v>#N/A</v>
      </c>
      <c r="P3327" s="7" t="str">
        <f ca="1">IFERROR(__xludf.DUMMYFUNCTION("GOOGLEFINANCE(""NSE:""&amp;D3327,""EPS"")"),"#N/A")</f>
        <v>#N/A</v>
      </c>
      <c r="Q3327" s="7">
        <v>13.5</v>
      </c>
      <c r="R3327" s="7" t="str">
        <f ca="1">IFERROR(__xludf.DUMMYFUNCTION("IMPORTXML(E3327,""/html/body/main/div[3]/div[3]/div[2]/ul/li[7]/span[2]/span"")"),"Loading...")</f>
        <v>Loading...</v>
      </c>
      <c r="S3327" s="7" t="str">
        <f ca="1">IFERROR(__xludf.DUMMYFUNCTION("IMPORTXML(E3327,""/html/body/main/div[3]/div[3]/div[2]/ul/li[8]/span[2]/span"")"),"Loading...")</f>
        <v>Loading...</v>
      </c>
      <c r="T3327" s="4">
        <v>34.6</v>
      </c>
      <c r="U3327" s="4">
        <v>22.7</v>
      </c>
      <c r="V3327" s="4">
        <v>2.6</v>
      </c>
      <c r="W3327" s="4">
        <v>5.7</v>
      </c>
      <c r="X3327" s="4">
        <v>519.92999999999995</v>
      </c>
      <c r="Y3327" s="7" t="e">
        <f t="shared" ca="1" si="69"/>
        <v>#VALUE!</v>
      </c>
    </row>
    <row r="3328" spans="1:25" ht="15" x14ac:dyDescent="0.25">
      <c r="A3328" s="4">
        <v>3318</v>
      </c>
      <c r="C3328" s="41" t="s">
        <v>5666</v>
      </c>
      <c r="D3328" s="42"/>
      <c r="E3328" s="5" t="str">
        <f t="shared" si="65"/>
        <v>https://www.screener.in/company//consolidated/</v>
      </c>
      <c r="F3328" s="4">
        <v>443059</v>
      </c>
      <c r="G3328" s="4">
        <v>3832241897</v>
      </c>
      <c r="H3328" s="6" t="e">
        <f t="shared" ca="1" si="66"/>
        <v>#VALUE!</v>
      </c>
      <c r="I3328" s="7" t="str">
        <f ca="1">IFERROR(__xludf.DUMMYFUNCTION("IMPORTXML(E3328,""/html/body/main/div[3]/div[3]/div[2]/ul/li[5]/span[2]/span"")"),"Loading...")</f>
        <v>Loading...</v>
      </c>
      <c r="J3328" s="7" t="str">
        <f ca="1">IFERROR(__xludf.DUMMYFUNCTION("GOOGLEFINANCE(""NSE:""&amp;D3328,""marketcap"")"),"#N/A")</f>
        <v>#N/A</v>
      </c>
      <c r="K3328" s="7">
        <v>992.8</v>
      </c>
      <c r="L3328" s="8" t="str">
        <f ca="1">IFERROR(__xludf.DUMMYFUNCTION("GOOGLEFINANCE(""NSE:""&amp;D3328,""price"")"),"#N/A")</f>
        <v>#N/A</v>
      </c>
      <c r="M3328" s="9" t="e">
        <f t="shared" ca="1" si="67"/>
        <v>#VALUE!</v>
      </c>
      <c r="N3328" s="10" t="e">
        <f t="shared" ca="1" si="68"/>
        <v>#VALUE!</v>
      </c>
      <c r="O3328" s="7" t="str">
        <f ca="1">IFERROR(__xludf.DUMMYFUNCTION("GOOGLEFINANCE(""NSE:""&amp;D3328,""pe"")"),"#N/A")</f>
        <v>#N/A</v>
      </c>
      <c r="P3328" s="7" t="str">
        <f ca="1">IFERROR(__xludf.DUMMYFUNCTION("GOOGLEFINANCE(""NSE:""&amp;D3328,""EPS"")"),"#N/A")</f>
        <v>#N/A</v>
      </c>
      <c r="Q3328" s="7">
        <v>13.5</v>
      </c>
      <c r="R3328" s="7" t="str">
        <f ca="1">IFERROR(__xludf.DUMMYFUNCTION("IMPORTXML(E3328,""/html/body/main/div[3]/div[3]/div[2]/ul/li[7]/span[2]/span"")"),"Loading...")</f>
        <v>Loading...</v>
      </c>
      <c r="S3328" s="7" t="str">
        <f ca="1">IFERROR(__xludf.DUMMYFUNCTION("IMPORTXML(E3328,""/html/body/main/div[3]/div[3]/div[2]/ul/li[8]/span[2]/span"")"),"Loading...")</f>
        <v>Loading...</v>
      </c>
      <c r="T3328" s="4">
        <v>34.6</v>
      </c>
      <c r="U3328" s="4">
        <v>22.7</v>
      </c>
      <c r="V3328" s="4">
        <v>2.6</v>
      </c>
      <c r="W3328" s="4">
        <v>5.7</v>
      </c>
      <c r="X3328" s="4">
        <v>519.92999999999995</v>
      </c>
      <c r="Y3328" s="7" t="e">
        <f t="shared" ca="1" si="69"/>
        <v>#VALUE!</v>
      </c>
    </row>
    <row r="3329" spans="1:25" ht="15" x14ac:dyDescent="0.25">
      <c r="A3329" s="4">
        <v>3319</v>
      </c>
      <c r="C3329" s="41" t="s">
        <v>5667</v>
      </c>
      <c r="D3329" s="42"/>
      <c r="E3329" s="5" t="str">
        <f t="shared" si="65"/>
        <v>https://www.screener.in/company//consolidated/</v>
      </c>
      <c r="F3329" s="4">
        <v>443059</v>
      </c>
      <c r="G3329" s="4">
        <v>3832241897</v>
      </c>
      <c r="H3329" s="6" t="e">
        <f t="shared" ca="1" si="66"/>
        <v>#VALUE!</v>
      </c>
      <c r="I3329" s="7" t="str">
        <f ca="1">IFERROR(__xludf.DUMMYFUNCTION("IMPORTXML(E3329,""/html/body/main/div[3]/div[3]/div[2]/ul/li[5]/span[2]/span"")"),"Loading...")</f>
        <v>Loading...</v>
      </c>
      <c r="J3329" s="7" t="str">
        <f ca="1">IFERROR(__xludf.DUMMYFUNCTION("GOOGLEFINANCE(""NSE:""&amp;D3329,""marketcap"")"),"#N/A")</f>
        <v>#N/A</v>
      </c>
      <c r="K3329" s="7">
        <v>992.8</v>
      </c>
      <c r="L3329" s="8" t="str">
        <f ca="1">IFERROR(__xludf.DUMMYFUNCTION("GOOGLEFINANCE(""NSE:""&amp;D3329,""price"")"),"#N/A")</f>
        <v>#N/A</v>
      </c>
      <c r="M3329" s="9" t="e">
        <f t="shared" ca="1" si="67"/>
        <v>#VALUE!</v>
      </c>
      <c r="N3329" s="10" t="e">
        <f t="shared" ca="1" si="68"/>
        <v>#VALUE!</v>
      </c>
      <c r="O3329" s="7" t="str">
        <f ca="1">IFERROR(__xludf.DUMMYFUNCTION("GOOGLEFINANCE(""NSE:""&amp;D3329,""pe"")"),"#N/A")</f>
        <v>#N/A</v>
      </c>
      <c r="P3329" s="7" t="str">
        <f ca="1">IFERROR(__xludf.DUMMYFUNCTION("GOOGLEFINANCE(""NSE:""&amp;D3329,""EPS"")"),"#N/A")</f>
        <v>#N/A</v>
      </c>
      <c r="Q3329" s="7">
        <v>13.5</v>
      </c>
      <c r="R3329" s="7" t="str">
        <f ca="1">IFERROR(__xludf.DUMMYFUNCTION("IMPORTXML(E3329,""/html/body/main/div[3]/div[3]/div[2]/ul/li[7]/span[2]/span"")"),"Loading...")</f>
        <v>Loading...</v>
      </c>
      <c r="S3329" s="7" t="str">
        <f ca="1">IFERROR(__xludf.DUMMYFUNCTION("IMPORTXML(E3329,""/html/body/main/div[3]/div[3]/div[2]/ul/li[8]/span[2]/span"")"),"Loading...")</f>
        <v>Loading...</v>
      </c>
      <c r="T3329" s="4">
        <v>34.6</v>
      </c>
      <c r="U3329" s="4">
        <v>22.7</v>
      </c>
      <c r="V3329" s="4">
        <v>2.6</v>
      </c>
      <c r="W3329" s="4">
        <v>5.7</v>
      </c>
      <c r="X3329" s="4">
        <v>519.92999999999995</v>
      </c>
      <c r="Y3329" s="7" t="e">
        <f t="shared" ca="1" si="69"/>
        <v>#VALUE!</v>
      </c>
    </row>
    <row r="3330" spans="1:25" ht="15" x14ac:dyDescent="0.25">
      <c r="A3330" s="4">
        <v>3320</v>
      </c>
      <c r="C3330" s="41" t="s">
        <v>5668</v>
      </c>
      <c r="D3330" s="42"/>
      <c r="E3330" s="5" t="str">
        <f t="shared" si="65"/>
        <v>https://www.screener.in/company//consolidated/</v>
      </c>
      <c r="F3330" s="4">
        <v>443059</v>
      </c>
      <c r="G3330" s="4">
        <v>3832241897</v>
      </c>
      <c r="H3330" s="6" t="e">
        <f t="shared" ca="1" si="66"/>
        <v>#VALUE!</v>
      </c>
      <c r="I3330" s="7" t="str">
        <f ca="1">IFERROR(__xludf.DUMMYFUNCTION("IMPORTXML(E3330,""/html/body/main/div[3]/div[3]/div[2]/ul/li[5]/span[2]/span"")"),"Loading...")</f>
        <v>Loading...</v>
      </c>
      <c r="J3330" s="7" t="str">
        <f ca="1">IFERROR(__xludf.DUMMYFUNCTION("GOOGLEFINANCE(""NSE:""&amp;D3330,""marketcap"")"),"#N/A")</f>
        <v>#N/A</v>
      </c>
      <c r="K3330" s="7">
        <v>992.8</v>
      </c>
      <c r="L3330" s="8" t="str">
        <f ca="1">IFERROR(__xludf.DUMMYFUNCTION("GOOGLEFINANCE(""NSE:""&amp;D3330,""price"")"),"#N/A")</f>
        <v>#N/A</v>
      </c>
      <c r="M3330" s="9" t="e">
        <f t="shared" ca="1" si="67"/>
        <v>#VALUE!</v>
      </c>
      <c r="N3330" s="10" t="e">
        <f t="shared" ca="1" si="68"/>
        <v>#VALUE!</v>
      </c>
      <c r="O3330" s="7" t="str">
        <f ca="1">IFERROR(__xludf.DUMMYFUNCTION("GOOGLEFINANCE(""NSE:""&amp;D3330,""pe"")"),"#N/A")</f>
        <v>#N/A</v>
      </c>
      <c r="P3330" s="7" t="str">
        <f ca="1">IFERROR(__xludf.DUMMYFUNCTION("GOOGLEFINANCE(""NSE:""&amp;D3330,""EPS"")"),"#N/A")</f>
        <v>#N/A</v>
      </c>
      <c r="Q3330" s="7">
        <v>13.5</v>
      </c>
      <c r="R3330" s="7" t="str">
        <f ca="1">IFERROR(__xludf.DUMMYFUNCTION("IMPORTXML(E3330,""/html/body/main/div[3]/div[3]/div[2]/ul/li[7]/span[2]/span"")"),"Loading...")</f>
        <v>Loading...</v>
      </c>
      <c r="S3330" s="7" t="str">
        <f ca="1">IFERROR(__xludf.DUMMYFUNCTION("IMPORTXML(E3330,""/html/body/main/div[3]/div[3]/div[2]/ul/li[8]/span[2]/span"")"),"Loading...")</f>
        <v>Loading...</v>
      </c>
      <c r="T3330" s="4">
        <v>34.6</v>
      </c>
      <c r="U3330" s="4">
        <v>22.7</v>
      </c>
      <c r="V3330" s="4">
        <v>2.6</v>
      </c>
      <c r="W3330" s="4">
        <v>5.7</v>
      </c>
      <c r="X3330" s="4">
        <v>519.92999999999995</v>
      </c>
      <c r="Y3330" s="7" t="e">
        <f t="shared" ca="1" si="69"/>
        <v>#VALUE!</v>
      </c>
    </row>
    <row r="3331" spans="1:25" ht="15" x14ac:dyDescent="0.25">
      <c r="A3331" s="4">
        <v>3321</v>
      </c>
      <c r="C3331" s="41" t="s">
        <v>5669</v>
      </c>
      <c r="D3331" s="42"/>
      <c r="E3331" s="5" t="str">
        <f t="shared" si="65"/>
        <v>https://www.screener.in/company//consolidated/</v>
      </c>
      <c r="F3331" s="4">
        <v>443059</v>
      </c>
      <c r="G3331" s="4">
        <v>3832241897</v>
      </c>
      <c r="H3331" s="6" t="e">
        <f t="shared" ca="1" si="66"/>
        <v>#VALUE!</v>
      </c>
      <c r="I3331" s="7" t="str">
        <f ca="1">IFERROR(__xludf.DUMMYFUNCTION("IMPORTXML(E3331,""/html/body/main/div[3]/div[3]/div[2]/ul/li[5]/span[2]/span"")"),"Loading...")</f>
        <v>Loading...</v>
      </c>
      <c r="J3331" s="7" t="str">
        <f ca="1">IFERROR(__xludf.DUMMYFUNCTION("GOOGLEFINANCE(""NSE:""&amp;D3331,""marketcap"")"),"#N/A")</f>
        <v>#N/A</v>
      </c>
      <c r="K3331" s="7">
        <v>992.8</v>
      </c>
      <c r="L3331" s="8" t="str">
        <f ca="1">IFERROR(__xludf.DUMMYFUNCTION("GOOGLEFINANCE(""NSE:""&amp;D3331,""price"")"),"#N/A")</f>
        <v>#N/A</v>
      </c>
      <c r="M3331" s="9" t="e">
        <f t="shared" ca="1" si="67"/>
        <v>#VALUE!</v>
      </c>
      <c r="N3331" s="10" t="e">
        <f t="shared" ca="1" si="68"/>
        <v>#VALUE!</v>
      </c>
      <c r="O3331" s="7" t="str">
        <f ca="1">IFERROR(__xludf.DUMMYFUNCTION("GOOGLEFINANCE(""NSE:""&amp;D3331,""pe"")"),"#N/A")</f>
        <v>#N/A</v>
      </c>
      <c r="P3331" s="7" t="str">
        <f ca="1">IFERROR(__xludf.DUMMYFUNCTION("GOOGLEFINANCE(""NSE:""&amp;D3331,""EPS"")"),"#N/A")</f>
        <v>#N/A</v>
      </c>
      <c r="Q3331" s="7">
        <v>13.5</v>
      </c>
      <c r="R3331" s="7" t="str">
        <f ca="1">IFERROR(__xludf.DUMMYFUNCTION("IMPORTXML(E3331,""/html/body/main/div[3]/div[3]/div[2]/ul/li[7]/span[2]/span"")"),"Loading...")</f>
        <v>Loading...</v>
      </c>
      <c r="S3331" s="7" t="str">
        <f ca="1">IFERROR(__xludf.DUMMYFUNCTION("IMPORTXML(E3331,""/html/body/main/div[3]/div[3]/div[2]/ul/li[8]/span[2]/span"")"),"Loading...")</f>
        <v>Loading...</v>
      </c>
      <c r="T3331" s="4">
        <v>34.6</v>
      </c>
      <c r="U3331" s="4">
        <v>22.7</v>
      </c>
      <c r="V3331" s="4">
        <v>2.6</v>
      </c>
      <c r="W3331" s="4">
        <v>5.7</v>
      </c>
      <c r="X3331" s="4">
        <v>519.92999999999995</v>
      </c>
      <c r="Y3331" s="7" t="e">
        <f t="shared" ca="1" si="69"/>
        <v>#VALUE!</v>
      </c>
    </row>
    <row r="3332" spans="1:25" ht="15" x14ac:dyDescent="0.25">
      <c r="A3332" s="4">
        <v>3322</v>
      </c>
      <c r="C3332" s="41" t="s">
        <v>5670</v>
      </c>
      <c r="D3332" s="42"/>
      <c r="E3332" s="5" t="str">
        <f t="shared" si="65"/>
        <v>https://www.screener.in/company//consolidated/</v>
      </c>
      <c r="F3332" s="4">
        <v>443059</v>
      </c>
      <c r="G3332" s="4">
        <v>3832241897</v>
      </c>
      <c r="H3332" s="6" t="e">
        <f t="shared" ca="1" si="66"/>
        <v>#VALUE!</v>
      </c>
      <c r="I3332" s="7" t="str">
        <f ca="1">IFERROR(__xludf.DUMMYFUNCTION("IMPORTXML(E3332,""/html/body/main/div[3]/div[3]/div[2]/ul/li[5]/span[2]/span"")"),"Loading...")</f>
        <v>Loading...</v>
      </c>
      <c r="J3332" s="7" t="str">
        <f ca="1">IFERROR(__xludf.DUMMYFUNCTION("GOOGLEFINANCE(""NSE:""&amp;D3332,""marketcap"")"),"#N/A")</f>
        <v>#N/A</v>
      </c>
      <c r="K3332" s="7">
        <v>992.8</v>
      </c>
      <c r="L3332" s="8" t="str">
        <f ca="1">IFERROR(__xludf.DUMMYFUNCTION("GOOGLEFINANCE(""NSE:""&amp;D3332,""price"")"),"#N/A")</f>
        <v>#N/A</v>
      </c>
      <c r="M3332" s="9" t="e">
        <f t="shared" ca="1" si="67"/>
        <v>#VALUE!</v>
      </c>
      <c r="N3332" s="10" t="e">
        <f t="shared" ca="1" si="68"/>
        <v>#VALUE!</v>
      </c>
      <c r="O3332" s="7" t="str">
        <f ca="1">IFERROR(__xludf.DUMMYFUNCTION("GOOGLEFINANCE(""NSE:""&amp;D3332,""pe"")"),"#N/A")</f>
        <v>#N/A</v>
      </c>
      <c r="P3332" s="7" t="str">
        <f ca="1">IFERROR(__xludf.DUMMYFUNCTION("GOOGLEFINANCE(""NSE:""&amp;D3332,""EPS"")"),"#N/A")</f>
        <v>#N/A</v>
      </c>
      <c r="Q3332" s="7">
        <v>13.5</v>
      </c>
      <c r="R3332" s="7" t="str">
        <f ca="1">IFERROR(__xludf.DUMMYFUNCTION("IMPORTXML(E3332,""/html/body/main/div[3]/div[3]/div[2]/ul/li[7]/span[2]/span"")"),"Loading...")</f>
        <v>Loading...</v>
      </c>
      <c r="S3332" s="7" t="str">
        <f ca="1">IFERROR(__xludf.DUMMYFUNCTION("IMPORTXML(E3332,""/html/body/main/div[3]/div[3]/div[2]/ul/li[8]/span[2]/span"")"),"Loading...")</f>
        <v>Loading...</v>
      </c>
      <c r="T3332" s="4">
        <v>34.6</v>
      </c>
      <c r="U3332" s="4">
        <v>22.7</v>
      </c>
      <c r="V3332" s="4">
        <v>2.6</v>
      </c>
      <c r="W3332" s="4">
        <v>5.7</v>
      </c>
      <c r="X3332" s="4">
        <v>519.92999999999995</v>
      </c>
      <c r="Y3332" s="7" t="e">
        <f t="shared" ca="1" si="69"/>
        <v>#VALUE!</v>
      </c>
    </row>
    <row r="3333" spans="1:25" ht="15" x14ac:dyDescent="0.25">
      <c r="A3333" s="4">
        <v>3323</v>
      </c>
      <c r="C3333" s="41" t="s">
        <v>5671</v>
      </c>
      <c r="D3333" s="42"/>
      <c r="E3333" s="5" t="str">
        <f t="shared" si="65"/>
        <v>https://www.screener.in/company//consolidated/</v>
      </c>
      <c r="F3333" s="4">
        <v>443059</v>
      </c>
      <c r="G3333" s="4">
        <v>3832241897</v>
      </c>
      <c r="H3333" s="6" t="e">
        <f t="shared" ca="1" si="66"/>
        <v>#VALUE!</v>
      </c>
      <c r="I3333" s="7" t="str">
        <f ca="1">IFERROR(__xludf.DUMMYFUNCTION("IMPORTXML(E3333,""/html/body/main/div[3]/div[3]/div[2]/ul/li[5]/span[2]/span"")"),"Loading...")</f>
        <v>Loading...</v>
      </c>
      <c r="J3333" s="7" t="str">
        <f ca="1">IFERROR(__xludf.DUMMYFUNCTION("GOOGLEFINANCE(""NSE:""&amp;D3333,""marketcap"")"),"#N/A")</f>
        <v>#N/A</v>
      </c>
      <c r="K3333" s="7">
        <v>992.8</v>
      </c>
      <c r="L3333" s="8" t="str">
        <f ca="1">IFERROR(__xludf.DUMMYFUNCTION("GOOGLEFINANCE(""NSE:""&amp;D3333,""price"")"),"#N/A")</f>
        <v>#N/A</v>
      </c>
      <c r="M3333" s="9" t="e">
        <f t="shared" ca="1" si="67"/>
        <v>#VALUE!</v>
      </c>
      <c r="N3333" s="10" t="e">
        <f t="shared" ca="1" si="68"/>
        <v>#VALUE!</v>
      </c>
      <c r="O3333" s="7" t="str">
        <f ca="1">IFERROR(__xludf.DUMMYFUNCTION("GOOGLEFINANCE(""NSE:""&amp;D3333,""pe"")"),"#N/A")</f>
        <v>#N/A</v>
      </c>
      <c r="P3333" s="7" t="str">
        <f ca="1">IFERROR(__xludf.DUMMYFUNCTION("GOOGLEFINANCE(""NSE:""&amp;D3333,""EPS"")"),"#N/A")</f>
        <v>#N/A</v>
      </c>
      <c r="Q3333" s="7">
        <v>13.5</v>
      </c>
      <c r="R3333" s="7" t="str">
        <f ca="1">IFERROR(__xludf.DUMMYFUNCTION("IMPORTXML(E3333,""/html/body/main/div[3]/div[3]/div[2]/ul/li[7]/span[2]/span"")"),"Loading...")</f>
        <v>Loading...</v>
      </c>
      <c r="S3333" s="7" t="str">
        <f ca="1">IFERROR(__xludf.DUMMYFUNCTION("IMPORTXML(E3333,""/html/body/main/div[3]/div[3]/div[2]/ul/li[8]/span[2]/span"")"),"Loading...")</f>
        <v>Loading...</v>
      </c>
      <c r="T3333" s="4">
        <v>34.6</v>
      </c>
      <c r="U3333" s="4">
        <v>22.7</v>
      </c>
      <c r="V3333" s="4">
        <v>2.6</v>
      </c>
      <c r="W3333" s="4">
        <v>5.7</v>
      </c>
      <c r="X3333" s="4">
        <v>519.92999999999995</v>
      </c>
      <c r="Y3333" s="7" t="e">
        <f t="shared" ca="1" si="69"/>
        <v>#VALUE!</v>
      </c>
    </row>
    <row r="3334" spans="1:25" ht="15" x14ac:dyDescent="0.25">
      <c r="A3334" s="4">
        <v>3324</v>
      </c>
      <c r="C3334" s="41" t="s">
        <v>5672</v>
      </c>
      <c r="D3334" s="42"/>
      <c r="E3334" s="5" t="str">
        <f t="shared" si="65"/>
        <v>https://www.screener.in/company//consolidated/</v>
      </c>
      <c r="F3334" s="4">
        <v>443059</v>
      </c>
      <c r="G3334" s="4">
        <v>3832241897</v>
      </c>
      <c r="H3334" s="6" t="e">
        <f t="shared" ca="1" si="66"/>
        <v>#VALUE!</v>
      </c>
      <c r="I3334" s="7" t="str">
        <f ca="1">IFERROR(__xludf.DUMMYFUNCTION("IMPORTXML(E3334,""/html/body/main/div[3]/div[3]/div[2]/ul/li[5]/span[2]/span"")"),"Loading...")</f>
        <v>Loading...</v>
      </c>
      <c r="J3334" s="7" t="str">
        <f ca="1">IFERROR(__xludf.DUMMYFUNCTION("GOOGLEFINANCE(""NSE:""&amp;D3334,""marketcap"")"),"#N/A")</f>
        <v>#N/A</v>
      </c>
      <c r="K3334" s="7">
        <v>992.8</v>
      </c>
      <c r="L3334" s="8" t="str">
        <f ca="1">IFERROR(__xludf.DUMMYFUNCTION("GOOGLEFINANCE(""NSE:""&amp;D3334,""price"")"),"#N/A")</f>
        <v>#N/A</v>
      </c>
      <c r="M3334" s="9" t="e">
        <f t="shared" ca="1" si="67"/>
        <v>#VALUE!</v>
      </c>
      <c r="N3334" s="10" t="e">
        <f t="shared" ca="1" si="68"/>
        <v>#VALUE!</v>
      </c>
      <c r="O3334" s="7" t="str">
        <f ca="1">IFERROR(__xludf.DUMMYFUNCTION("GOOGLEFINANCE(""NSE:""&amp;D3334,""pe"")"),"#N/A")</f>
        <v>#N/A</v>
      </c>
      <c r="P3334" s="7" t="str">
        <f ca="1">IFERROR(__xludf.DUMMYFUNCTION("GOOGLEFINANCE(""NSE:""&amp;D3334,""EPS"")"),"#N/A")</f>
        <v>#N/A</v>
      </c>
      <c r="Q3334" s="7">
        <v>13.5</v>
      </c>
      <c r="R3334" s="7" t="str">
        <f ca="1">IFERROR(__xludf.DUMMYFUNCTION("IMPORTXML(E3334,""/html/body/main/div[3]/div[3]/div[2]/ul/li[7]/span[2]/span"")"),"Loading...")</f>
        <v>Loading...</v>
      </c>
      <c r="S3334" s="7" t="str">
        <f ca="1">IFERROR(__xludf.DUMMYFUNCTION("IMPORTXML(E3334,""/html/body/main/div[3]/div[3]/div[2]/ul/li[8]/span[2]/span"")"),"Loading...")</f>
        <v>Loading...</v>
      </c>
      <c r="T3334" s="4">
        <v>34.6</v>
      </c>
      <c r="U3334" s="4">
        <v>22.7</v>
      </c>
      <c r="V3334" s="4">
        <v>2.6</v>
      </c>
      <c r="W3334" s="4">
        <v>5.7</v>
      </c>
      <c r="X3334" s="4">
        <v>519.92999999999995</v>
      </c>
      <c r="Y3334" s="7" t="e">
        <f t="shared" ca="1" si="69"/>
        <v>#VALUE!</v>
      </c>
    </row>
    <row r="3335" spans="1:25" ht="15" x14ac:dyDescent="0.25">
      <c r="A3335" s="4">
        <v>3325</v>
      </c>
      <c r="C3335" s="41" t="s">
        <v>5673</v>
      </c>
      <c r="D3335" s="42"/>
      <c r="E3335" s="5" t="str">
        <f t="shared" si="65"/>
        <v>https://www.screener.in/company//consolidated/</v>
      </c>
      <c r="F3335" s="4">
        <v>443059</v>
      </c>
      <c r="G3335" s="4">
        <v>3832241897</v>
      </c>
      <c r="H3335" s="6" t="e">
        <f t="shared" ca="1" si="66"/>
        <v>#VALUE!</v>
      </c>
      <c r="I3335" s="7" t="str">
        <f ca="1">IFERROR(__xludf.DUMMYFUNCTION("IMPORTXML(E3335,""/html/body/main/div[3]/div[3]/div[2]/ul/li[5]/span[2]/span"")"),"Loading...")</f>
        <v>Loading...</v>
      </c>
      <c r="J3335" s="7" t="str">
        <f ca="1">IFERROR(__xludf.DUMMYFUNCTION("GOOGLEFINANCE(""NSE:""&amp;D3335,""marketcap"")"),"#N/A")</f>
        <v>#N/A</v>
      </c>
      <c r="K3335" s="7">
        <v>992.8</v>
      </c>
      <c r="L3335" s="8" t="str">
        <f ca="1">IFERROR(__xludf.DUMMYFUNCTION("GOOGLEFINANCE(""NSE:""&amp;D3335,""price"")"),"#N/A")</f>
        <v>#N/A</v>
      </c>
      <c r="M3335" s="9" t="e">
        <f t="shared" ca="1" si="67"/>
        <v>#VALUE!</v>
      </c>
      <c r="N3335" s="10" t="e">
        <f t="shared" ca="1" si="68"/>
        <v>#VALUE!</v>
      </c>
      <c r="O3335" s="7" t="str">
        <f ca="1">IFERROR(__xludf.DUMMYFUNCTION("GOOGLEFINANCE(""NSE:""&amp;D3335,""pe"")"),"#N/A")</f>
        <v>#N/A</v>
      </c>
      <c r="P3335" s="7" t="str">
        <f ca="1">IFERROR(__xludf.DUMMYFUNCTION("GOOGLEFINANCE(""NSE:""&amp;D3335,""EPS"")"),"#N/A")</f>
        <v>#N/A</v>
      </c>
      <c r="Q3335" s="7">
        <v>13.5</v>
      </c>
      <c r="R3335" s="7" t="str">
        <f ca="1">IFERROR(__xludf.DUMMYFUNCTION("IMPORTXML(E3335,""/html/body/main/div[3]/div[3]/div[2]/ul/li[7]/span[2]/span"")"),"Loading...")</f>
        <v>Loading...</v>
      </c>
      <c r="S3335" s="7" t="str">
        <f ca="1">IFERROR(__xludf.DUMMYFUNCTION("IMPORTXML(E3335,""/html/body/main/div[3]/div[3]/div[2]/ul/li[8]/span[2]/span"")"),"Loading...")</f>
        <v>Loading...</v>
      </c>
      <c r="T3335" s="4">
        <v>34.6</v>
      </c>
      <c r="U3335" s="4">
        <v>22.7</v>
      </c>
      <c r="V3335" s="4">
        <v>2.6</v>
      </c>
      <c r="W3335" s="4">
        <v>5.7</v>
      </c>
      <c r="X3335" s="4">
        <v>519.92999999999995</v>
      </c>
      <c r="Y3335" s="7" t="e">
        <f t="shared" ca="1" si="69"/>
        <v>#VALUE!</v>
      </c>
    </row>
    <row r="3336" spans="1:25" ht="15" x14ac:dyDescent="0.25">
      <c r="A3336" s="4">
        <v>3326</v>
      </c>
      <c r="C3336" s="41" t="s">
        <v>5674</v>
      </c>
      <c r="D3336" s="42"/>
      <c r="E3336" s="5" t="str">
        <f t="shared" si="65"/>
        <v>https://www.screener.in/company//consolidated/</v>
      </c>
      <c r="F3336" s="4">
        <v>443059</v>
      </c>
      <c r="G3336" s="4">
        <v>3832241897</v>
      </c>
      <c r="H3336" s="6" t="e">
        <f t="shared" ca="1" si="66"/>
        <v>#VALUE!</v>
      </c>
      <c r="I3336" s="7" t="str">
        <f ca="1">IFERROR(__xludf.DUMMYFUNCTION("IMPORTXML(E3336,""/html/body/main/div[3]/div[3]/div[2]/ul/li[5]/span[2]/span"")"),"Loading...")</f>
        <v>Loading...</v>
      </c>
      <c r="J3336" s="7" t="str">
        <f ca="1">IFERROR(__xludf.DUMMYFUNCTION("GOOGLEFINANCE(""NSE:""&amp;D3336,""marketcap"")"),"#N/A")</f>
        <v>#N/A</v>
      </c>
      <c r="K3336" s="7">
        <v>992.8</v>
      </c>
      <c r="L3336" s="8" t="str">
        <f ca="1">IFERROR(__xludf.DUMMYFUNCTION("GOOGLEFINANCE(""NSE:""&amp;D3336,""price"")"),"#N/A")</f>
        <v>#N/A</v>
      </c>
      <c r="M3336" s="9" t="e">
        <f t="shared" ca="1" si="67"/>
        <v>#VALUE!</v>
      </c>
      <c r="N3336" s="10" t="e">
        <f t="shared" ca="1" si="68"/>
        <v>#VALUE!</v>
      </c>
      <c r="O3336" s="7" t="str">
        <f ca="1">IFERROR(__xludf.DUMMYFUNCTION("GOOGLEFINANCE(""NSE:""&amp;D3336,""pe"")"),"#N/A")</f>
        <v>#N/A</v>
      </c>
      <c r="P3336" s="7" t="str">
        <f ca="1">IFERROR(__xludf.DUMMYFUNCTION("GOOGLEFINANCE(""NSE:""&amp;D3336,""EPS"")"),"#N/A")</f>
        <v>#N/A</v>
      </c>
      <c r="Q3336" s="7">
        <v>13.5</v>
      </c>
      <c r="R3336" s="7" t="str">
        <f ca="1">IFERROR(__xludf.DUMMYFUNCTION("IMPORTXML(E3336,""/html/body/main/div[3]/div[3]/div[2]/ul/li[7]/span[2]/span"")"),"Loading...")</f>
        <v>Loading...</v>
      </c>
      <c r="S3336" s="7" t="str">
        <f ca="1">IFERROR(__xludf.DUMMYFUNCTION("IMPORTXML(E3336,""/html/body/main/div[3]/div[3]/div[2]/ul/li[8]/span[2]/span"")"),"Loading...")</f>
        <v>Loading...</v>
      </c>
      <c r="T3336" s="4">
        <v>34.6</v>
      </c>
      <c r="U3336" s="4">
        <v>22.7</v>
      </c>
      <c r="V3336" s="4">
        <v>2.6</v>
      </c>
      <c r="W3336" s="4">
        <v>5.7</v>
      </c>
      <c r="X3336" s="4">
        <v>519.92999999999995</v>
      </c>
      <c r="Y3336" s="7" t="e">
        <f t="shared" ca="1" si="69"/>
        <v>#VALUE!</v>
      </c>
    </row>
    <row r="3337" spans="1:25" ht="15" x14ac:dyDescent="0.25">
      <c r="A3337" s="4">
        <v>3328</v>
      </c>
      <c r="C3337" s="41" t="s">
        <v>5675</v>
      </c>
      <c r="D3337" s="42"/>
      <c r="E3337" s="5" t="str">
        <f t="shared" si="65"/>
        <v>https://www.screener.in/company//consolidated/</v>
      </c>
      <c r="F3337" s="4">
        <v>443059</v>
      </c>
      <c r="G3337" s="4">
        <v>3832241897</v>
      </c>
      <c r="H3337" s="6" t="e">
        <f t="shared" ca="1" si="66"/>
        <v>#VALUE!</v>
      </c>
      <c r="I3337" s="7" t="str">
        <f ca="1">IFERROR(__xludf.DUMMYFUNCTION("IMPORTXML(E3337,""/html/body/main/div[3]/div[3]/div[2]/ul/li[5]/span[2]/span"")"),"Loading...")</f>
        <v>Loading...</v>
      </c>
      <c r="J3337" s="7" t="str">
        <f ca="1">IFERROR(__xludf.DUMMYFUNCTION("GOOGLEFINANCE(""NSE:""&amp;D3337,""marketcap"")"),"#N/A")</f>
        <v>#N/A</v>
      </c>
      <c r="K3337" s="7">
        <v>992.8</v>
      </c>
      <c r="L3337" s="8" t="str">
        <f ca="1">IFERROR(__xludf.DUMMYFUNCTION("GOOGLEFINANCE(""NSE:""&amp;D3337,""price"")"),"#N/A")</f>
        <v>#N/A</v>
      </c>
      <c r="M3337" s="9" t="e">
        <f t="shared" ca="1" si="67"/>
        <v>#VALUE!</v>
      </c>
      <c r="N3337" s="10" t="e">
        <f t="shared" ca="1" si="68"/>
        <v>#VALUE!</v>
      </c>
      <c r="O3337" s="7" t="str">
        <f ca="1">IFERROR(__xludf.DUMMYFUNCTION("GOOGLEFINANCE(""NSE:""&amp;D3337,""pe"")"),"#N/A")</f>
        <v>#N/A</v>
      </c>
      <c r="P3337" s="7" t="str">
        <f ca="1">IFERROR(__xludf.DUMMYFUNCTION("GOOGLEFINANCE(""NSE:""&amp;D3337,""EPS"")"),"#N/A")</f>
        <v>#N/A</v>
      </c>
      <c r="Q3337" s="7">
        <v>13.5</v>
      </c>
      <c r="R3337" s="7" t="str">
        <f ca="1">IFERROR(__xludf.DUMMYFUNCTION("IMPORTXML(E3337,""/html/body/main/div[3]/div[3]/div[2]/ul/li[7]/span[2]/span"")"),"Loading...")</f>
        <v>Loading...</v>
      </c>
      <c r="S3337" s="7" t="str">
        <f ca="1">IFERROR(__xludf.DUMMYFUNCTION("IMPORTXML(E3337,""/html/body/main/div[3]/div[3]/div[2]/ul/li[8]/span[2]/span"")"),"Loading...")</f>
        <v>Loading...</v>
      </c>
      <c r="T3337" s="4">
        <v>34.6</v>
      </c>
      <c r="U3337" s="4">
        <v>22.7</v>
      </c>
      <c r="V3337" s="4">
        <v>2.6</v>
      </c>
      <c r="W3337" s="4">
        <v>5.7</v>
      </c>
      <c r="X3337" s="4">
        <v>519.92999999999995</v>
      </c>
      <c r="Y3337" s="7" t="e">
        <f t="shared" ca="1" si="69"/>
        <v>#VALUE!</v>
      </c>
    </row>
    <row r="3338" spans="1:25" ht="15" x14ac:dyDescent="0.25">
      <c r="A3338" s="4">
        <v>3329</v>
      </c>
      <c r="C3338" s="12" t="s">
        <v>5676</v>
      </c>
      <c r="D3338" s="12" t="s">
        <v>5677</v>
      </c>
      <c r="E3338" s="5" t="str">
        <f t="shared" si="65"/>
        <v>https://www.screener.in/company/IMPEXFERRO/consolidated/</v>
      </c>
      <c r="F3338" s="4">
        <v>443059</v>
      </c>
      <c r="G3338" s="4">
        <v>3832241897</v>
      </c>
      <c r="H3338" s="6">
        <f t="shared" ca="1" si="66"/>
        <v>827.76424975200007</v>
      </c>
      <c r="I3338" s="7" t="str">
        <f ca="1">IFERROR(__xludf.DUMMYFUNCTION("IMPORTXML(E3338,""/html/body/main/div[3]/div[3]/div[2]/ul/li[5]/span[2]/span"")"),"Loading...")</f>
        <v>Loading...</v>
      </c>
      <c r="J3338" s="7">
        <f ca="1">IFERROR(__xludf.DUMMYFUNCTION("GOOGLEFINANCE(""NSE:""&amp;D3338,""marketcap"")"),189932300)</f>
        <v>189932300</v>
      </c>
      <c r="K3338" s="7">
        <v>992.8</v>
      </c>
      <c r="L3338" s="8">
        <f ca="1">IFERROR(__xludf.DUMMYFUNCTION("GOOGLEFINANCE(""NSE:""&amp;D3338,""price"")"),2.16)</f>
        <v>2.16</v>
      </c>
      <c r="M3338" s="9">
        <f t="shared" ca="1" si="67"/>
        <v>-990.64</v>
      </c>
      <c r="N3338" s="10">
        <f t="shared" ca="1" si="68"/>
        <v>-99.782433521353752</v>
      </c>
      <c r="O3338" s="7" t="str">
        <f ca="1">IFERROR(__xludf.DUMMYFUNCTION("GOOGLEFINANCE(""NSE:""&amp;D3338,""pe"")"),"#N/A")</f>
        <v>#N/A</v>
      </c>
      <c r="P3338" s="7" t="str">
        <f ca="1">IFERROR(__xludf.DUMMYFUNCTION("GOOGLEFINANCE(""NSE:""&amp;D3338,""EPS"")"),"#N/A")</f>
        <v>#N/A</v>
      </c>
      <c r="Q3338" s="7">
        <v>13.5</v>
      </c>
      <c r="R3338" s="7" t="str">
        <f ca="1">IFERROR(__xludf.DUMMYFUNCTION("IMPORTXML(E3338,""/html/body/main/div[3]/div[3]/div[2]/ul/li[7]/span[2]/span"")"),"Loading...")</f>
        <v>Loading...</v>
      </c>
      <c r="S3338" s="7" t="str">
        <f ca="1">IFERROR(__xludf.DUMMYFUNCTION("IMPORTXML(E3338,""/html/body/main/div[3]/div[3]/div[2]/ul/li[8]/span[2]/span"")"),"Loading...")</f>
        <v>Loading...</v>
      </c>
      <c r="T3338" s="4">
        <v>34.6</v>
      </c>
      <c r="U3338" s="4">
        <v>22.7</v>
      </c>
      <c r="V3338" s="4">
        <v>2.6</v>
      </c>
      <c r="W3338" s="4">
        <v>5.7</v>
      </c>
      <c r="X3338" s="4">
        <v>519.92999999999995</v>
      </c>
      <c r="Y3338" s="7">
        <f t="shared" ca="1" si="69"/>
        <v>-517.77</v>
      </c>
    </row>
    <row r="3339" spans="1:25" ht="15" x14ac:dyDescent="0.25">
      <c r="A3339" s="4">
        <v>3330</v>
      </c>
      <c r="C3339" s="41" t="s">
        <v>5678</v>
      </c>
      <c r="D3339" s="42"/>
      <c r="E3339" s="5" t="str">
        <f t="shared" si="65"/>
        <v>https://www.screener.in/company//consolidated/</v>
      </c>
      <c r="F3339" s="4">
        <v>443059</v>
      </c>
      <c r="G3339" s="4">
        <v>3832241897</v>
      </c>
      <c r="H3339" s="6" t="e">
        <f t="shared" ca="1" si="66"/>
        <v>#VALUE!</v>
      </c>
      <c r="I3339" s="7" t="str">
        <f ca="1">IFERROR(__xludf.DUMMYFUNCTION("IMPORTXML(E3339,""/html/body/main/div[3]/div[3]/div[2]/ul/li[5]/span[2]/span"")"),"Loading...")</f>
        <v>Loading...</v>
      </c>
      <c r="J3339" s="7" t="str">
        <f ca="1">IFERROR(__xludf.DUMMYFUNCTION("GOOGLEFINANCE(""NSE:""&amp;D3339,""marketcap"")"),"#N/A")</f>
        <v>#N/A</v>
      </c>
      <c r="K3339" s="7">
        <v>992.8</v>
      </c>
      <c r="L3339" s="8" t="str">
        <f ca="1">IFERROR(__xludf.DUMMYFUNCTION("GOOGLEFINANCE(""NSE:""&amp;D3339,""price"")"),"#N/A")</f>
        <v>#N/A</v>
      </c>
      <c r="M3339" s="9" t="e">
        <f t="shared" ca="1" si="67"/>
        <v>#VALUE!</v>
      </c>
      <c r="N3339" s="10" t="e">
        <f t="shared" ca="1" si="68"/>
        <v>#VALUE!</v>
      </c>
      <c r="O3339" s="7" t="str">
        <f ca="1">IFERROR(__xludf.DUMMYFUNCTION("GOOGLEFINANCE(""NSE:""&amp;D3339,""pe"")"),"#N/A")</f>
        <v>#N/A</v>
      </c>
      <c r="P3339" s="7" t="str">
        <f ca="1">IFERROR(__xludf.DUMMYFUNCTION("GOOGLEFINANCE(""NSE:""&amp;D3339,""EPS"")"),"#N/A")</f>
        <v>#N/A</v>
      </c>
      <c r="Q3339" s="7">
        <v>13.5</v>
      </c>
      <c r="R3339" s="7" t="str">
        <f ca="1">IFERROR(__xludf.DUMMYFUNCTION("IMPORTXML(E3339,""/html/body/main/div[3]/div[3]/div[2]/ul/li[7]/span[2]/span"")"),"Loading...")</f>
        <v>Loading...</v>
      </c>
      <c r="S3339" s="7" t="str">
        <f ca="1">IFERROR(__xludf.DUMMYFUNCTION("IMPORTXML(E3339,""/html/body/main/div[3]/div[3]/div[2]/ul/li[8]/span[2]/span"")"),"Loading...")</f>
        <v>Loading...</v>
      </c>
      <c r="T3339" s="4">
        <v>34.6</v>
      </c>
      <c r="U3339" s="4">
        <v>22.7</v>
      </c>
      <c r="V3339" s="4">
        <v>2.6</v>
      </c>
      <c r="W3339" s="4">
        <v>5.7</v>
      </c>
      <c r="X3339" s="4">
        <v>519.92999999999995</v>
      </c>
      <c r="Y3339" s="7" t="e">
        <f t="shared" ca="1" si="69"/>
        <v>#VALUE!</v>
      </c>
    </row>
    <row r="3340" spans="1:25" ht="15" x14ac:dyDescent="0.25">
      <c r="A3340" s="4">
        <v>3331</v>
      </c>
      <c r="C3340" s="41" t="s">
        <v>5679</v>
      </c>
      <c r="D3340" s="42"/>
      <c r="E3340" s="5" t="str">
        <f t="shared" si="65"/>
        <v>https://www.screener.in/company//consolidated/</v>
      </c>
      <c r="F3340" s="4">
        <v>443059</v>
      </c>
      <c r="G3340" s="4">
        <v>3832241897</v>
      </c>
      <c r="H3340" s="6" t="e">
        <f t="shared" ca="1" si="66"/>
        <v>#VALUE!</v>
      </c>
      <c r="I3340" s="7" t="str">
        <f ca="1">IFERROR(__xludf.DUMMYFUNCTION("IMPORTXML(E3340,""/html/body/main/div[3]/div[3]/div[2]/ul/li[5]/span[2]/span"")"),"Loading...")</f>
        <v>Loading...</v>
      </c>
      <c r="J3340" s="7" t="str">
        <f ca="1">IFERROR(__xludf.DUMMYFUNCTION("GOOGLEFINANCE(""NSE:""&amp;D3340,""marketcap"")"),"#N/A")</f>
        <v>#N/A</v>
      </c>
      <c r="K3340" s="7">
        <v>992.8</v>
      </c>
      <c r="L3340" s="8" t="str">
        <f ca="1">IFERROR(__xludf.DUMMYFUNCTION("GOOGLEFINANCE(""NSE:""&amp;D3340,""price"")"),"#N/A")</f>
        <v>#N/A</v>
      </c>
      <c r="M3340" s="9" t="e">
        <f t="shared" ca="1" si="67"/>
        <v>#VALUE!</v>
      </c>
      <c r="N3340" s="10" t="e">
        <f t="shared" ca="1" si="68"/>
        <v>#VALUE!</v>
      </c>
      <c r="O3340" s="7" t="str">
        <f ca="1">IFERROR(__xludf.DUMMYFUNCTION("GOOGLEFINANCE(""NSE:""&amp;D3340,""pe"")"),"#N/A")</f>
        <v>#N/A</v>
      </c>
      <c r="P3340" s="7" t="str">
        <f ca="1">IFERROR(__xludf.DUMMYFUNCTION("GOOGLEFINANCE(""NSE:""&amp;D3340,""EPS"")"),"#N/A")</f>
        <v>#N/A</v>
      </c>
      <c r="Q3340" s="7">
        <v>13.5</v>
      </c>
      <c r="R3340" s="7" t="str">
        <f ca="1">IFERROR(__xludf.DUMMYFUNCTION("IMPORTXML(E3340,""/html/body/main/div[3]/div[3]/div[2]/ul/li[7]/span[2]/span"")"),"Loading...")</f>
        <v>Loading...</v>
      </c>
      <c r="S3340" s="7" t="str">
        <f ca="1">IFERROR(__xludf.DUMMYFUNCTION("IMPORTXML(E3340,""/html/body/main/div[3]/div[3]/div[2]/ul/li[8]/span[2]/span"")"),"Loading...")</f>
        <v>Loading...</v>
      </c>
      <c r="T3340" s="4">
        <v>34.6</v>
      </c>
      <c r="U3340" s="4">
        <v>22.7</v>
      </c>
      <c r="V3340" s="4">
        <v>2.6</v>
      </c>
      <c r="W3340" s="4">
        <v>5.7</v>
      </c>
      <c r="X3340" s="4">
        <v>519.92999999999995</v>
      </c>
      <c r="Y3340" s="7" t="e">
        <f t="shared" ca="1" si="69"/>
        <v>#VALUE!</v>
      </c>
    </row>
    <row r="3341" spans="1:25" ht="15" x14ac:dyDescent="0.25">
      <c r="A3341" s="4">
        <v>3332</v>
      </c>
      <c r="C3341" s="41" t="s">
        <v>5680</v>
      </c>
      <c r="D3341" s="42"/>
      <c r="E3341" s="5" t="str">
        <f t="shared" si="65"/>
        <v>https://www.screener.in/company//consolidated/</v>
      </c>
      <c r="F3341" s="4">
        <v>443059</v>
      </c>
      <c r="G3341" s="4">
        <v>3832241897</v>
      </c>
      <c r="H3341" s="6" t="e">
        <f t="shared" ca="1" si="66"/>
        <v>#VALUE!</v>
      </c>
      <c r="I3341" s="7" t="str">
        <f ca="1">IFERROR(__xludf.DUMMYFUNCTION("IMPORTXML(E3341,""/html/body/main/div[3]/div[3]/div[2]/ul/li[5]/span[2]/span"")"),"Loading...")</f>
        <v>Loading...</v>
      </c>
      <c r="J3341" s="7" t="str">
        <f ca="1">IFERROR(__xludf.DUMMYFUNCTION("GOOGLEFINANCE(""NSE:""&amp;D3341,""marketcap"")"),"#N/A")</f>
        <v>#N/A</v>
      </c>
      <c r="K3341" s="7">
        <v>992.8</v>
      </c>
      <c r="L3341" s="8" t="str">
        <f ca="1">IFERROR(__xludf.DUMMYFUNCTION("GOOGLEFINANCE(""NSE:""&amp;D3341,""price"")"),"#N/A")</f>
        <v>#N/A</v>
      </c>
      <c r="M3341" s="9" t="e">
        <f t="shared" ca="1" si="67"/>
        <v>#VALUE!</v>
      </c>
      <c r="N3341" s="10" t="e">
        <f t="shared" ca="1" si="68"/>
        <v>#VALUE!</v>
      </c>
      <c r="O3341" s="7" t="str">
        <f ca="1">IFERROR(__xludf.DUMMYFUNCTION("GOOGLEFINANCE(""NSE:""&amp;D3341,""pe"")"),"#N/A")</f>
        <v>#N/A</v>
      </c>
      <c r="P3341" s="7" t="str">
        <f ca="1">IFERROR(__xludf.DUMMYFUNCTION("GOOGLEFINANCE(""NSE:""&amp;D3341,""EPS"")"),"#N/A")</f>
        <v>#N/A</v>
      </c>
      <c r="Q3341" s="7">
        <v>13.5</v>
      </c>
      <c r="R3341" s="7" t="str">
        <f ca="1">IFERROR(__xludf.DUMMYFUNCTION("IMPORTXML(E3341,""/html/body/main/div[3]/div[3]/div[2]/ul/li[7]/span[2]/span"")"),"Loading...")</f>
        <v>Loading...</v>
      </c>
      <c r="S3341" s="7" t="str">
        <f ca="1">IFERROR(__xludf.DUMMYFUNCTION("IMPORTXML(E3341,""/html/body/main/div[3]/div[3]/div[2]/ul/li[8]/span[2]/span"")"),"Loading...")</f>
        <v>Loading...</v>
      </c>
      <c r="T3341" s="4">
        <v>34.6</v>
      </c>
      <c r="U3341" s="4">
        <v>22.7</v>
      </c>
      <c r="V3341" s="4">
        <v>2.6</v>
      </c>
      <c r="W3341" s="4">
        <v>5.7</v>
      </c>
      <c r="X3341" s="4">
        <v>519.92999999999995</v>
      </c>
      <c r="Y3341" s="7" t="e">
        <f t="shared" ca="1" si="69"/>
        <v>#VALUE!</v>
      </c>
    </row>
    <row r="3342" spans="1:25" ht="15" x14ac:dyDescent="0.25">
      <c r="A3342" s="4">
        <v>3333</v>
      </c>
      <c r="C3342" s="41" t="s">
        <v>5681</v>
      </c>
      <c r="D3342" s="42"/>
      <c r="E3342" s="5" t="str">
        <f t="shared" si="65"/>
        <v>https://www.screener.in/company//consolidated/</v>
      </c>
      <c r="F3342" s="4">
        <v>443059</v>
      </c>
      <c r="G3342" s="4">
        <v>3832241897</v>
      </c>
      <c r="H3342" s="6" t="e">
        <f t="shared" ca="1" si="66"/>
        <v>#VALUE!</v>
      </c>
      <c r="I3342" s="7" t="str">
        <f ca="1">IFERROR(__xludf.DUMMYFUNCTION("IMPORTXML(E3342,""/html/body/main/div[3]/div[3]/div[2]/ul/li[5]/span[2]/span"")"),"Loading...")</f>
        <v>Loading...</v>
      </c>
      <c r="J3342" s="7" t="str">
        <f ca="1">IFERROR(__xludf.DUMMYFUNCTION("GOOGLEFINANCE(""NSE:""&amp;D3342,""marketcap"")"),"#N/A")</f>
        <v>#N/A</v>
      </c>
      <c r="K3342" s="7">
        <v>992.8</v>
      </c>
      <c r="L3342" s="8" t="str">
        <f ca="1">IFERROR(__xludf.DUMMYFUNCTION("GOOGLEFINANCE(""NSE:""&amp;D3342,""price"")"),"#N/A")</f>
        <v>#N/A</v>
      </c>
      <c r="M3342" s="9" t="e">
        <f t="shared" ca="1" si="67"/>
        <v>#VALUE!</v>
      </c>
      <c r="N3342" s="10" t="e">
        <f t="shared" ca="1" si="68"/>
        <v>#VALUE!</v>
      </c>
      <c r="O3342" s="7" t="str">
        <f ca="1">IFERROR(__xludf.DUMMYFUNCTION("GOOGLEFINANCE(""NSE:""&amp;D3342,""pe"")"),"#N/A")</f>
        <v>#N/A</v>
      </c>
      <c r="P3342" s="7" t="str">
        <f ca="1">IFERROR(__xludf.DUMMYFUNCTION("GOOGLEFINANCE(""NSE:""&amp;D3342,""EPS"")"),"#N/A")</f>
        <v>#N/A</v>
      </c>
      <c r="Q3342" s="7">
        <v>13.5</v>
      </c>
      <c r="R3342" s="7" t="str">
        <f ca="1">IFERROR(__xludf.DUMMYFUNCTION("IMPORTXML(E3342,""/html/body/main/div[3]/div[3]/div[2]/ul/li[7]/span[2]/span"")"),"Loading...")</f>
        <v>Loading...</v>
      </c>
      <c r="S3342" s="7" t="str">
        <f ca="1">IFERROR(__xludf.DUMMYFUNCTION("IMPORTXML(E3342,""/html/body/main/div[3]/div[3]/div[2]/ul/li[8]/span[2]/span"")"),"Loading...")</f>
        <v>Loading...</v>
      </c>
      <c r="T3342" s="4">
        <v>34.6</v>
      </c>
      <c r="U3342" s="4">
        <v>22.7</v>
      </c>
      <c r="V3342" s="4">
        <v>2.6</v>
      </c>
      <c r="W3342" s="4">
        <v>5.7</v>
      </c>
      <c r="X3342" s="4">
        <v>519.92999999999995</v>
      </c>
      <c r="Y3342" s="7" t="e">
        <f t="shared" ca="1" si="69"/>
        <v>#VALUE!</v>
      </c>
    </row>
    <row r="3343" spans="1:25" ht="15" x14ac:dyDescent="0.25">
      <c r="A3343" s="4">
        <v>3334</v>
      </c>
      <c r="C3343" s="41" t="s">
        <v>5682</v>
      </c>
      <c r="D3343" s="42"/>
      <c r="E3343" s="5" t="str">
        <f t="shared" si="65"/>
        <v>https://www.screener.in/company//consolidated/</v>
      </c>
      <c r="F3343" s="4">
        <v>443059</v>
      </c>
      <c r="G3343" s="4">
        <v>3832241897</v>
      </c>
      <c r="H3343" s="6" t="e">
        <f t="shared" ca="1" si="66"/>
        <v>#VALUE!</v>
      </c>
      <c r="I3343" s="7" t="str">
        <f ca="1">IFERROR(__xludf.DUMMYFUNCTION("IMPORTXML(E3343,""/html/body/main/div[3]/div[3]/div[2]/ul/li[5]/span[2]/span"")"),"Loading...")</f>
        <v>Loading...</v>
      </c>
      <c r="J3343" s="7" t="str">
        <f ca="1">IFERROR(__xludf.DUMMYFUNCTION("GOOGLEFINANCE(""NSE:""&amp;D3343,""marketcap"")"),"#N/A")</f>
        <v>#N/A</v>
      </c>
      <c r="K3343" s="7">
        <v>992.8</v>
      </c>
      <c r="L3343" s="8" t="str">
        <f ca="1">IFERROR(__xludf.DUMMYFUNCTION("GOOGLEFINANCE(""NSE:""&amp;D3343,""price"")"),"#N/A")</f>
        <v>#N/A</v>
      </c>
      <c r="M3343" s="9" t="e">
        <f t="shared" ca="1" si="67"/>
        <v>#VALUE!</v>
      </c>
      <c r="N3343" s="10" t="e">
        <f t="shared" ca="1" si="68"/>
        <v>#VALUE!</v>
      </c>
      <c r="O3343" s="7" t="str">
        <f ca="1">IFERROR(__xludf.DUMMYFUNCTION("GOOGLEFINANCE(""NSE:""&amp;D3343,""pe"")"),"#N/A")</f>
        <v>#N/A</v>
      </c>
      <c r="P3343" s="7" t="str">
        <f ca="1">IFERROR(__xludf.DUMMYFUNCTION("GOOGLEFINANCE(""NSE:""&amp;D3343,""EPS"")"),"#N/A")</f>
        <v>#N/A</v>
      </c>
      <c r="Q3343" s="7">
        <v>13.5</v>
      </c>
      <c r="R3343" s="7" t="str">
        <f ca="1">IFERROR(__xludf.DUMMYFUNCTION("IMPORTXML(E3343,""/html/body/main/div[3]/div[3]/div[2]/ul/li[7]/span[2]/span"")"),"Loading...")</f>
        <v>Loading...</v>
      </c>
      <c r="S3343" s="7" t="str">
        <f ca="1">IFERROR(__xludf.DUMMYFUNCTION("IMPORTXML(E3343,""/html/body/main/div[3]/div[3]/div[2]/ul/li[8]/span[2]/span"")"),"Loading...")</f>
        <v>Loading...</v>
      </c>
      <c r="T3343" s="4">
        <v>34.6</v>
      </c>
      <c r="U3343" s="4">
        <v>22.7</v>
      </c>
      <c r="V3343" s="4">
        <v>2.6</v>
      </c>
      <c r="W3343" s="4">
        <v>5.7</v>
      </c>
      <c r="X3343" s="4">
        <v>519.92999999999995</v>
      </c>
      <c r="Y3343" s="7" t="e">
        <f t="shared" ca="1" si="69"/>
        <v>#VALUE!</v>
      </c>
    </row>
    <row r="3344" spans="1:25" ht="15" x14ac:dyDescent="0.25">
      <c r="A3344" s="4">
        <v>3335</v>
      </c>
      <c r="C3344" s="41" t="s">
        <v>5683</v>
      </c>
      <c r="D3344" s="42"/>
      <c r="E3344" s="5" t="str">
        <f t="shared" si="65"/>
        <v>https://www.screener.in/company//consolidated/</v>
      </c>
      <c r="F3344" s="4">
        <v>443059</v>
      </c>
      <c r="G3344" s="4">
        <v>3832241897</v>
      </c>
      <c r="H3344" s="6" t="e">
        <f t="shared" ca="1" si="66"/>
        <v>#VALUE!</v>
      </c>
      <c r="I3344" s="7" t="str">
        <f ca="1">IFERROR(__xludf.DUMMYFUNCTION("IMPORTXML(E3344,""/html/body/main/div[3]/div[3]/div[2]/ul/li[5]/span[2]/span"")"),"Loading...")</f>
        <v>Loading...</v>
      </c>
      <c r="J3344" s="7" t="str">
        <f ca="1">IFERROR(__xludf.DUMMYFUNCTION("GOOGLEFINANCE(""NSE:""&amp;D3344,""marketcap"")"),"#N/A")</f>
        <v>#N/A</v>
      </c>
      <c r="K3344" s="7">
        <v>992.8</v>
      </c>
      <c r="L3344" s="8" t="str">
        <f ca="1">IFERROR(__xludf.DUMMYFUNCTION("GOOGLEFINANCE(""NSE:""&amp;D3344,""price"")"),"#N/A")</f>
        <v>#N/A</v>
      </c>
      <c r="M3344" s="9" t="e">
        <f t="shared" ca="1" si="67"/>
        <v>#VALUE!</v>
      </c>
      <c r="N3344" s="10" t="e">
        <f t="shared" ca="1" si="68"/>
        <v>#VALUE!</v>
      </c>
      <c r="O3344" s="7" t="str">
        <f ca="1">IFERROR(__xludf.DUMMYFUNCTION("GOOGLEFINANCE(""NSE:""&amp;D3344,""pe"")"),"#N/A")</f>
        <v>#N/A</v>
      </c>
      <c r="P3344" s="7" t="str">
        <f ca="1">IFERROR(__xludf.DUMMYFUNCTION("GOOGLEFINANCE(""NSE:""&amp;D3344,""EPS"")"),"#N/A")</f>
        <v>#N/A</v>
      </c>
      <c r="Q3344" s="7">
        <v>13.5</v>
      </c>
      <c r="R3344" s="7" t="str">
        <f ca="1">IFERROR(__xludf.DUMMYFUNCTION("IMPORTXML(E3344,""/html/body/main/div[3]/div[3]/div[2]/ul/li[7]/span[2]/span"")"),"Loading...")</f>
        <v>Loading...</v>
      </c>
      <c r="S3344" s="7" t="str">
        <f ca="1">IFERROR(__xludf.DUMMYFUNCTION("IMPORTXML(E3344,""/html/body/main/div[3]/div[3]/div[2]/ul/li[8]/span[2]/span"")"),"Loading...")</f>
        <v>Loading...</v>
      </c>
      <c r="T3344" s="4">
        <v>34.6</v>
      </c>
      <c r="U3344" s="4">
        <v>22.7</v>
      </c>
      <c r="V3344" s="4">
        <v>2.6</v>
      </c>
      <c r="W3344" s="4">
        <v>5.7</v>
      </c>
      <c r="X3344" s="4">
        <v>519.92999999999995</v>
      </c>
      <c r="Y3344" s="7" t="e">
        <f t="shared" ca="1" si="69"/>
        <v>#VALUE!</v>
      </c>
    </row>
    <row r="3345" spans="1:25" ht="15" x14ac:dyDescent="0.25">
      <c r="A3345" s="4">
        <v>3336</v>
      </c>
      <c r="C3345" s="41" t="s">
        <v>5684</v>
      </c>
      <c r="D3345" s="42"/>
      <c r="E3345" s="5" t="str">
        <f t="shared" si="65"/>
        <v>https://www.screener.in/company//consolidated/</v>
      </c>
      <c r="F3345" s="4">
        <v>443059</v>
      </c>
      <c r="G3345" s="4">
        <v>3832241897</v>
      </c>
      <c r="H3345" s="6" t="e">
        <f t="shared" ca="1" si="66"/>
        <v>#VALUE!</v>
      </c>
      <c r="I3345" s="7" t="str">
        <f ca="1">IFERROR(__xludf.DUMMYFUNCTION("IMPORTXML(E3345,""/html/body/main/div[3]/div[3]/div[2]/ul/li[5]/span[2]/span"")"),"Loading...")</f>
        <v>Loading...</v>
      </c>
      <c r="J3345" s="7" t="str">
        <f ca="1">IFERROR(__xludf.DUMMYFUNCTION("GOOGLEFINANCE(""NSE:""&amp;D3345,""marketcap"")"),"#N/A")</f>
        <v>#N/A</v>
      </c>
      <c r="K3345" s="7">
        <v>992.8</v>
      </c>
      <c r="L3345" s="8" t="str">
        <f ca="1">IFERROR(__xludf.DUMMYFUNCTION("GOOGLEFINANCE(""NSE:""&amp;D3345,""price"")"),"#N/A")</f>
        <v>#N/A</v>
      </c>
      <c r="M3345" s="9" t="e">
        <f t="shared" ca="1" si="67"/>
        <v>#VALUE!</v>
      </c>
      <c r="N3345" s="10" t="e">
        <f t="shared" ca="1" si="68"/>
        <v>#VALUE!</v>
      </c>
      <c r="O3345" s="7" t="str">
        <f ca="1">IFERROR(__xludf.DUMMYFUNCTION("GOOGLEFINANCE(""NSE:""&amp;D3345,""pe"")"),"#N/A")</f>
        <v>#N/A</v>
      </c>
      <c r="P3345" s="7" t="str">
        <f ca="1">IFERROR(__xludf.DUMMYFUNCTION("GOOGLEFINANCE(""NSE:""&amp;D3345,""EPS"")"),"#N/A")</f>
        <v>#N/A</v>
      </c>
      <c r="Q3345" s="7">
        <v>13.5</v>
      </c>
      <c r="R3345" s="7" t="str">
        <f ca="1">IFERROR(__xludf.DUMMYFUNCTION("IMPORTXML(E3345,""/html/body/main/div[3]/div[3]/div[2]/ul/li[7]/span[2]/span"")"),"Loading...")</f>
        <v>Loading...</v>
      </c>
      <c r="S3345" s="7" t="str">
        <f ca="1">IFERROR(__xludf.DUMMYFUNCTION("IMPORTXML(E3345,""/html/body/main/div[3]/div[3]/div[2]/ul/li[8]/span[2]/span"")"),"Loading...")</f>
        <v>Loading...</v>
      </c>
      <c r="T3345" s="4">
        <v>34.6</v>
      </c>
      <c r="U3345" s="4">
        <v>22.7</v>
      </c>
      <c r="V3345" s="4">
        <v>2.6</v>
      </c>
      <c r="W3345" s="4">
        <v>5.7</v>
      </c>
      <c r="X3345" s="4">
        <v>519.92999999999995</v>
      </c>
      <c r="Y3345" s="7" t="e">
        <f t="shared" ca="1" si="69"/>
        <v>#VALUE!</v>
      </c>
    </row>
    <row r="3346" spans="1:25" ht="15" x14ac:dyDescent="0.25">
      <c r="A3346" s="4">
        <v>3337</v>
      </c>
      <c r="C3346" s="41" t="s">
        <v>5685</v>
      </c>
      <c r="D3346" s="42"/>
      <c r="E3346" s="5" t="str">
        <f t="shared" si="65"/>
        <v>https://www.screener.in/company//consolidated/</v>
      </c>
      <c r="F3346" s="4">
        <v>443059</v>
      </c>
      <c r="G3346" s="4">
        <v>3832241897</v>
      </c>
      <c r="H3346" s="6" t="e">
        <f t="shared" ca="1" si="66"/>
        <v>#VALUE!</v>
      </c>
      <c r="I3346" s="7" t="str">
        <f ca="1">IFERROR(__xludf.DUMMYFUNCTION("IMPORTXML(E3346,""/html/body/main/div[3]/div[3]/div[2]/ul/li[5]/span[2]/span"")"),"Loading...")</f>
        <v>Loading...</v>
      </c>
      <c r="J3346" s="7" t="str">
        <f ca="1">IFERROR(__xludf.DUMMYFUNCTION("GOOGLEFINANCE(""NSE:""&amp;D3346,""marketcap"")"),"#N/A")</f>
        <v>#N/A</v>
      </c>
      <c r="K3346" s="7">
        <v>992.8</v>
      </c>
      <c r="L3346" s="8" t="str">
        <f ca="1">IFERROR(__xludf.DUMMYFUNCTION("GOOGLEFINANCE(""NSE:""&amp;D3346,""price"")"),"#N/A")</f>
        <v>#N/A</v>
      </c>
      <c r="M3346" s="9" t="e">
        <f t="shared" ca="1" si="67"/>
        <v>#VALUE!</v>
      </c>
      <c r="N3346" s="10" t="e">
        <f t="shared" ca="1" si="68"/>
        <v>#VALUE!</v>
      </c>
      <c r="O3346" s="7" t="str">
        <f ca="1">IFERROR(__xludf.DUMMYFUNCTION("GOOGLEFINANCE(""NSE:""&amp;D3346,""pe"")"),"#N/A")</f>
        <v>#N/A</v>
      </c>
      <c r="P3346" s="7" t="str">
        <f ca="1">IFERROR(__xludf.DUMMYFUNCTION("GOOGLEFINANCE(""NSE:""&amp;D3346,""EPS"")"),"#N/A")</f>
        <v>#N/A</v>
      </c>
      <c r="Q3346" s="7">
        <v>13.5</v>
      </c>
      <c r="R3346" s="7" t="str">
        <f ca="1">IFERROR(__xludf.DUMMYFUNCTION("IMPORTXML(E3346,""/html/body/main/div[3]/div[3]/div[2]/ul/li[7]/span[2]/span"")"),"Loading...")</f>
        <v>Loading...</v>
      </c>
      <c r="S3346" s="7" t="str">
        <f ca="1">IFERROR(__xludf.DUMMYFUNCTION("IMPORTXML(E3346,""/html/body/main/div[3]/div[3]/div[2]/ul/li[8]/span[2]/span"")"),"Loading...")</f>
        <v>Loading...</v>
      </c>
      <c r="T3346" s="4">
        <v>34.6</v>
      </c>
      <c r="U3346" s="4">
        <v>22.7</v>
      </c>
      <c r="V3346" s="4">
        <v>2.6</v>
      </c>
      <c r="W3346" s="4">
        <v>5.7</v>
      </c>
      <c r="X3346" s="4">
        <v>519.92999999999995</v>
      </c>
      <c r="Y3346" s="7" t="e">
        <f t="shared" ca="1" si="69"/>
        <v>#VALUE!</v>
      </c>
    </row>
    <row r="3347" spans="1:25" ht="15" x14ac:dyDescent="0.25">
      <c r="A3347" s="4">
        <v>3338</v>
      </c>
      <c r="C3347" s="41" t="s">
        <v>5686</v>
      </c>
      <c r="D3347" s="42"/>
      <c r="E3347" s="5" t="str">
        <f t="shared" si="65"/>
        <v>https://www.screener.in/company//consolidated/</v>
      </c>
      <c r="F3347" s="4">
        <v>443059</v>
      </c>
      <c r="G3347" s="4">
        <v>3832241897</v>
      </c>
      <c r="H3347" s="6" t="e">
        <f t="shared" ca="1" si="66"/>
        <v>#VALUE!</v>
      </c>
      <c r="I3347" s="7" t="str">
        <f ca="1">IFERROR(__xludf.DUMMYFUNCTION("IMPORTXML(E3347,""/html/body/main/div[3]/div[3]/div[2]/ul/li[5]/span[2]/span"")"),"Loading...")</f>
        <v>Loading...</v>
      </c>
      <c r="J3347" s="7" t="str">
        <f ca="1">IFERROR(__xludf.DUMMYFUNCTION("GOOGLEFINANCE(""NSE:""&amp;D3347,""marketcap"")"),"#N/A")</f>
        <v>#N/A</v>
      </c>
      <c r="K3347" s="7">
        <v>992.8</v>
      </c>
      <c r="L3347" s="8" t="str">
        <f ca="1">IFERROR(__xludf.DUMMYFUNCTION("GOOGLEFINANCE(""NSE:""&amp;D3347,""price"")"),"#N/A")</f>
        <v>#N/A</v>
      </c>
      <c r="M3347" s="9" t="e">
        <f t="shared" ca="1" si="67"/>
        <v>#VALUE!</v>
      </c>
      <c r="N3347" s="10" t="e">
        <f t="shared" ca="1" si="68"/>
        <v>#VALUE!</v>
      </c>
      <c r="O3347" s="7" t="str">
        <f ca="1">IFERROR(__xludf.DUMMYFUNCTION("GOOGLEFINANCE(""NSE:""&amp;D3347,""pe"")"),"#N/A")</f>
        <v>#N/A</v>
      </c>
      <c r="P3347" s="7" t="str">
        <f ca="1">IFERROR(__xludf.DUMMYFUNCTION("GOOGLEFINANCE(""NSE:""&amp;D3347,""EPS"")"),"#N/A")</f>
        <v>#N/A</v>
      </c>
      <c r="Q3347" s="7">
        <v>13.5</v>
      </c>
      <c r="R3347" s="7" t="str">
        <f ca="1">IFERROR(__xludf.DUMMYFUNCTION("IMPORTXML(E3347,""/html/body/main/div[3]/div[3]/div[2]/ul/li[7]/span[2]/span"")"),"Loading...")</f>
        <v>Loading...</v>
      </c>
      <c r="S3347" s="7" t="str">
        <f ca="1">IFERROR(__xludf.DUMMYFUNCTION("IMPORTXML(E3347,""/html/body/main/div[3]/div[3]/div[2]/ul/li[8]/span[2]/span"")"),"Loading...")</f>
        <v>Loading...</v>
      </c>
      <c r="T3347" s="4">
        <v>34.6</v>
      </c>
      <c r="U3347" s="4">
        <v>22.7</v>
      </c>
      <c r="V3347" s="4">
        <v>2.6</v>
      </c>
      <c r="W3347" s="4">
        <v>5.7</v>
      </c>
      <c r="X3347" s="4">
        <v>519.92999999999995</v>
      </c>
      <c r="Y3347" s="7" t="e">
        <f t="shared" ca="1" si="69"/>
        <v>#VALUE!</v>
      </c>
    </row>
    <row r="3348" spans="1:25" ht="15" x14ac:dyDescent="0.25">
      <c r="A3348" s="4">
        <v>3339</v>
      </c>
      <c r="C3348" s="41" t="s">
        <v>5687</v>
      </c>
      <c r="D3348" s="42"/>
      <c r="E3348" s="5" t="str">
        <f t="shared" si="65"/>
        <v>https://www.screener.in/company//consolidated/</v>
      </c>
      <c r="F3348" s="4">
        <v>443059</v>
      </c>
      <c r="G3348" s="4">
        <v>3832241897</v>
      </c>
      <c r="H3348" s="6" t="e">
        <f t="shared" ca="1" si="66"/>
        <v>#VALUE!</v>
      </c>
      <c r="I3348" s="7" t="str">
        <f ca="1">IFERROR(__xludf.DUMMYFUNCTION("IMPORTXML(E3348,""/html/body/main/div[3]/div[3]/div[2]/ul/li[5]/span[2]/span"")"),"Loading...")</f>
        <v>Loading...</v>
      </c>
      <c r="J3348" s="7" t="str">
        <f ca="1">IFERROR(__xludf.DUMMYFUNCTION("GOOGLEFINANCE(""NSE:""&amp;D3348,""marketcap"")"),"#N/A")</f>
        <v>#N/A</v>
      </c>
      <c r="K3348" s="7">
        <v>992.8</v>
      </c>
      <c r="L3348" s="8" t="str">
        <f ca="1">IFERROR(__xludf.DUMMYFUNCTION("GOOGLEFINANCE(""NSE:""&amp;D3348,""price"")"),"#N/A")</f>
        <v>#N/A</v>
      </c>
      <c r="M3348" s="9" t="e">
        <f t="shared" ca="1" si="67"/>
        <v>#VALUE!</v>
      </c>
      <c r="N3348" s="10" t="e">
        <f t="shared" ca="1" si="68"/>
        <v>#VALUE!</v>
      </c>
      <c r="O3348" s="7" t="str">
        <f ca="1">IFERROR(__xludf.DUMMYFUNCTION("GOOGLEFINANCE(""NSE:""&amp;D3348,""pe"")"),"#N/A")</f>
        <v>#N/A</v>
      </c>
      <c r="P3348" s="7" t="str">
        <f ca="1">IFERROR(__xludf.DUMMYFUNCTION("GOOGLEFINANCE(""NSE:""&amp;D3348,""EPS"")"),"#N/A")</f>
        <v>#N/A</v>
      </c>
      <c r="Q3348" s="7">
        <v>13.5</v>
      </c>
      <c r="R3348" s="7" t="str">
        <f ca="1">IFERROR(__xludf.DUMMYFUNCTION("IMPORTXML(E3348,""/html/body/main/div[3]/div[3]/div[2]/ul/li[7]/span[2]/span"")"),"Loading...")</f>
        <v>Loading...</v>
      </c>
      <c r="S3348" s="7" t="str">
        <f ca="1">IFERROR(__xludf.DUMMYFUNCTION("IMPORTXML(E3348,""/html/body/main/div[3]/div[3]/div[2]/ul/li[8]/span[2]/span"")"),"Loading...")</f>
        <v>Loading...</v>
      </c>
      <c r="T3348" s="4">
        <v>34.6</v>
      </c>
      <c r="U3348" s="4">
        <v>22.7</v>
      </c>
      <c r="V3348" s="4">
        <v>2.6</v>
      </c>
      <c r="W3348" s="4">
        <v>5.7</v>
      </c>
      <c r="X3348" s="4">
        <v>519.92999999999995</v>
      </c>
      <c r="Y3348" s="7" t="e">
        <f t="shared" ca="1" si="69"/>
        <v>#VALUE!</v>
      </c>
    </row>
    <row r="3349" spans="1:25" ht="15" x14ac:dyDescent="0.25">
      <c r="A3349" s="4">
        <v>3340</v>
      </c>
      <c r="C3349" s="41" t="s">
        <v>5688</v>
      </c>
      <c r="D3349" s="42"/>
      <c r="E3349" s="5" t="str">
        <f t="shared" si="65"/>
        <v>https://www.screener.in/company//consolidated/</v>
      </c>
      <c r="F3349" s="4">
        <v>443059</v>
      </c>
      <c r="G3349" s="4">
        <v>3832241897</v>
      </c>
      <c r="H3349" s="6" t="e">
        <f t="shared" ca="1" si="66"/>
        <v>#VALUE!</v>
      </c>
      <c r="I3349" s="7" t="str">
        <f ca="1">IFERROR(__xludf.DUMMYFUNCTION("IMPORTXML(E3349,""/html/body/main/div[3]/div[3]/div[2]/ul/li[5]/span[2]/span"")"),"Loading...")</f>
        <v>Loading...</v>
      </c>
      <c r="J3349" s="7" t="str">
        <f ca="1">IFERROR(__xludf.DUMMYFUNCTION("GOOGLEFINANCE(""NSE:""&amp;D3349,""marketcap"")"),"#N/A")</f>
        <v>#N/A</v>
      </c>
      <c r="K3349" s="7">
        <v>992.8</v>
      </c>
      <c r="L3349" s="8" t="str">
        <f ca="1">IFERROR(__xludf.DUMMYFUNCTION("GOOGLEFINANCE(""NSE:""&amp;D3349,""price"")"),"#N/A")</f>
        <v>#N/A</v>
      </c>
      <c r="M3349" s="9" t="e">
        <f t="shared" ca="1" si="67"/>
        <v>#VALUE!</v>
      </c>
      <c r="N3349" s="10" t="e">
        <f t="shared" ca="1" si="68"/>
        <v>#VALUE!</v>
      </c>
      <c r="O3349" s="7" t="str">
        <f ca="1">IFERROR(__xludf.DUMMYFUNCTION("GOOGLEFINANCE(""NSE:""&amp;D3349,""pe"")"),"#N/A")</f>
        <v>#N/A</v>
      </c>
      <c r="P3349" s="7" t="str">
        <f ca="1">IFERROR(__xludf.DUMMYFUNCTION("GOOGLEFINANCE(""NSE:""&amp;D3349,""EPS"")"),"#N/A")</f>
        <v>#N/A</v>
      </c>
      <c r="Q3349" s="7">
        <v>13.5</v>
      </c>
      <c r="R3349" s="7" t="str">
        <f ca="1">IFERROR(__xludf.DUMMYFUNCTION("IMPORTXML(E3349,""/html/body/main/div[3]/div[3]/div[2]/ul/li[7]/span[2]/span"")"),"Loading...")</f>
        <v>Loading...</v>
      </c>
      <c r="S3349" s="7" t="str">
        <f ca="1">IFERROR(__xludf.DUMMYFUNCTION("IMPORTXML(E3349,""/html/body/main/div[3]/div[3]/div[2]/ul/li[8]/span[2]/span"")"),"Loading...")</f>
        <v>Loading...</v>
      </c>
      <c r="T3349" s="4">
        <v>34.6</v>
      </c>
      <c r="U3349" s="4">
        <v>22.7</v>
      </c>
      <c r="V3349" s="4">
        <v>2.6</v>
      </c>
      <c r="W3349" s="4">
        <v>5.7</v>
      </c>
      <c r="X3349" s="4">
        <v>519.92999999999995</v>
      </c>
      <c r="Y3349" s="7" t="e">
        <f t="shared" ca="1" si="69"/>
        <v>#VALUE!</v>
      </c>
    </row>
    <row r="3350" spans="1:25" ht="15" x14ac:dyDescent="0.25">
      <c r="A3350" s="4">
        <v>3341</v>
      </c>
      <c r="C3350" s="41" t="s">
        <v>5689</v>
      </c>
      <c r="D3350" s="42"/>
      <c r="E3350" s="5" t="str">
        <f t="shared" si="65"/>
        <v>https://www.screener.in/company//consolidated/</v>
      </c>
      <c r="F3350" s="4">
        <v>443059</v>
      </c>
      <c r="G3350" s="4">
        <v>3832241897</v>
      </c>
      <c r="H3350" s="6" t="e">
        <f t="shared" ca="1" si="66"/>
        <v>#VALUE!</v>
      </c>
      <c r="I3350" s="7" t="str">
        <f ca="1">IFERROR(__xludf.DUMMYFUNCTION("IMPORTXML(E3350,""/html/body/main/div[3]/div[3]/div[2]/ul/li[5]/span[2]/span"")"),"Loading...")</f>
        <v>Loading...</v>
      </c>
      <c r="J3350" s="7" t="str">
        <f ca="1">IFERROR(__xludf.DUMMYFUNCTION("GOOGLEFINANCE(""NSE:""&amp;D3350,""marketcap"")"),"#N/A")</f>
        <v>#N/A</v>
      </c>
      <c r="K3350" s="7">
        <v>992.8</v>
      </c>
      <c r="L3350" s="8" t="str">
        <f ca="1">IFERROR(__xludf.DUMMYFUNCTION("GOOGLEFINANCE(""NSE:""&amp;D3350,""price"")"),"#N/A")</f>
        <v>#N/A</v>
      </c>
      <c r="M3350" s="9" t="e">
        <f t="shared" ca="1" si="67"/>
        <v>#VALUE!</v>
      </c>
      <c r="N3350" s="10" t="e">
        <f t="shared" ca="1" si="68"/>
        <v>#VALUE!</v>
      </c>
      <c r="O3350" s="7" t="str">
        <f ca="1">IFERROR(__xludf.DUMMYFUNCTION("GOOGLEFINANCE(""NSE:""&amp;D3350,""pe"")"),"#N/A")</f>
        <v>#N/A</v>
      </c>
      <c r="P3350" s="7" t="str">
        <f ca="1">IFERROR(__xludf.DUMMYFUNCTION("GOOGLEFINANCE(""NSE:""&amp;D3350,""EPS"")"),"#N/A")</f>
        <v>#N/A</v>
      </c>
      <c r="Q3350" s="7">
        <v>13.5</v>
      </c>
      <c r="R3350" s="7" t="str">
        <f ca="1">IFERROR(__xludf.DUMMYFUNCTION("IMPORTXML(E3350,""/html/body/main/div[3]/div[3]/div[2]/ul/li[7]/span[2]/span"")"),"Loading...")</f>
        <v>Loading...</v>
      </c>
      <c r="S3350" s="7" t="str">
        <f ca="1">IFERROR(__xludf.DUMMYFUNCTION("IMPORTXML(E3350,""/html/body/main/div[3]/div[3]/div[2]/ul/li[8]/span[2]/span"")"),"Loading...")</f>
        <v>Loading...</v>
      </c>
      <c r="T3350" s="4">
        <v>34.6</v>
      </c>
      <c r="U3350" s="4">
        <v>22.7</v>
      </c>
      <c r="V3350" s="4">
        <v>2.6</v>
      </c>
      <c r="W3350" s="4">
        <v>5.7</v>
      </c>
      <c r="X3350" s="4">
        <v>519.92999999999995</v>
      </c>
      <c r="Y3350" s="7" t="e">
        <f t="shared" ca="1" si="69"/>
        <v>#VALUE!</v>
      </c>
    </row>
    <row r="3351" spans="1:25" ht="15" x14ac:dyDescent="0.25">
      <c r="A3351" s="4">
        <v>3342</v>
      </c>
      <c r="C3351" s="41" t="s">
        <v>5690</v>
      </c>
      <c r="D3351" s="42"/>
      <c r="E3351" s="5" t="str">
        <f t="shared" si="65"/>
        <v>https://www.screener.in/company//consolidated/</v>
      </c>
      <c r="F3351" s="4">
        <v>443059</v>
      </c>
      <c r="G3351" s="4">
        <v>3832241897</v>
      </c>
      <c r="H3351" s="6" t="e">
        <f t="shared" ca="1" si="66"/>
        <v>#VALUE!</v>
      </c>
      <c r="I3351" s="7" t="str">
        <f ca="1">IFERROR(__xludf.DUMMYFUNCTION("IMPORTXML(E3351,""/html/body/main/div[3]/div[3]/div[2]/ul/li[5]/span[2]/span"")"),"Loading...")</f>
        <v>Loading...</v>
      </c>
      <c r="J3351" s="7" t="str">
        <f ca="1">IFERROR(__xludf.DUMMYFUNCTION("GOOGLEFINANCE(""NSE:""&amp;D3351,""marketcap"")"),"#N/A")</f>
        <v>#N/A</v>
      </c>
      <c r="K3351" s="7">
        <v>992.8</v>
      </c>
      <c r="L3351" s="8" t="str">
        <f ca="1">IFERROR(__xludf.DUMMYFUNCTION("GOOGLEFINANCE(""NSE:""&amp;D3351,""price"")"),"#N/A")</f>
        <v>#N/A</v>
      </c>
      <c r="M3351" s="9" t="e">
        <f t="shared" ca="1" si="67"/>
        <v>#VALUE!</v>
      </c>
      <c r="N3351" s="10" t="e">
        <f t="shared" ca="1" si="68"/>
        <v>#VALUE!</v>
      </c>
      <c r="O3351" s="7" t="str">
        <f ca="1">IFERROR(__xludf.DUMMYFUNCTION("GOOGLEFINANCE(""NSE:""&amp;D3351,""pe"")"),"#N/A")</f>
        <v>#N/A</v>
      </c>
      <c r="P3351" s="7" t="str">
        <f ca="1">IFERROR(__xludf.DUMMYFUNCTION("GOOGLEFINANCE(""NSE:""&amp;D3351,""EPS"")"),"#N/A")</f>
        <v>#N/A</v>
      </c>
      <c r="Q3351" s="7">
        <v>13.5</v>
      </c>
      <c r="R3351" s="7" t="str">
        <f ca="1">IFERROR(__xludf.DUMMYFUNCTION("IMPORTXML(E3351,""/html/body/main/div[3]/div[3]/div[2]/ul/li[7]/span[2]/span"")"),"Loading...")</f>
        <v>Loading...</v>
      </c>
      <c r="S3351" s="7" t="str">
        <f ca="1">IFERROR(__xludf.DUMMYFUNCTION("IMPORTXML(E3351,""/html/body/main/div[3]/div[3]/div[2]/ul/li[8]/span[2]/span"")"),"Loading...")</f>
        <v>Loading...</v>
      </c>
      <c r="T3351" s="4">
        <v>34.6</v>
      </c>
      <c r="U3351" s="4">
        <v>22.7</v>
      </c>
      <c r="V3351" s="4">
        <v>2.6</v>
      </c>
      <c r="W3351" s="4">
        <v>5.7</v>
      </c>
      <c r="X3351" s="4">
        <v>519.92999999999995</v>
      </c>
      <c r="Y3351" s="7" t="e">
        <f t="shared" ca="1" si="69"/>
        <v>#VALUE!</v>
      </c>
    </row>
    <row r="3352" spans="1:25" ht="15" x14ac:dyDescent="0.25">
      <c r="A3352" s="4">
        <v>3343</v>
      </c>
      <c r="C3352" s="41" t="s">
        <v>5691</v>
      </c>
      <c r="D3352" s="42"/>
      <c r="E3352" s="5" t="str">
        <f t="shared" si="65"/>
        <v>https://www.screener.in/company//consolidated/</v>
      </c>
      <c r="F3352" s="4">
        <v>443059</v>
      </c>
      <c r="G3352" s="4">
        <v>3832241897</v>
      </c>
      <c r="H3352" s="6" t="e">
        <f t="shared" ca="1" si="66"/>
        <v>#VALUE!</v>
      </c>
      <c r="I3352" s="7" t="str">
        <f ca="1">IFERROR(__xludf.DUMMYFUNCTION("IMPORTXML(E3352,""/html/body/main/div[3]/div[3]/div[2]/ul/li[5]/span[2]/span"")"),"Loading...")</f>
        <v>Loading...</v>
      </c>
      <c r="J3352" s="7" t="str">
        <f ca="1">IFERROR(__xludf.DUMMYFUNCTION("GOOGLEFINANCE(""NSE:""&amp;D3352,""marketcap"")"),"#N/A")</f>
        <v>#N/A</v>
      </c>
      <c r="K3352" s="7">
        <v>992.8</v>
      </c>
      <c r="L3352" s="8" t="str">
        <f ca="1">IFERROR(__xludf.DUMMYFUNCTION("GOOGLEFINANCE(""NSE:""&amp;D3352,""price"")"),"#N/A")</f>
        <v>#N/A</v>
      </c>
      <c r="M3352" s="9" t="e">
        <f t="shared" ca="1" si="67"/>
        <v>#VALUE!</v>
      </c>
      <c r="N3352" s="10" t="e">
        <f t="shared" ca="1" si="68"/>
        <v>#VALUE!</v>
      </c>
      <c r="O3352" s="7" t="str">
        <f ca="1">IFERROR(__xludf.DUMMYFUNCTION("GOOGLEFINANCE(""NSE:""&amp;D3352,""pe"")"),"#N/A")</f>
        <v>#N/A</v>
      </c>
      <c r="P3352" s="7" t="str">
        <f ca="1">IFERROR(__xludf.DUMMYFUNCTION("GOOGLEFINANCE(""NSE:""&amp;D3352,""EPS"")"),"#N/A")</f>
        <v>#N/A</v>
      </c>
      <c r="Q3352" s="7">
        <v>13.5</v>
      </c>
      <c r="R3352" s="7" t="str">
        <f ca="1">IFERROR(__xludf.DUMMYFUNCTION("IMPORTXML(E3352,""/html/body/main/div[3]/div[3]/div[2]/ul/li[7]/span[2]/span"")"),"Loading...")</f>
        <v>Loading...</v>
      </c>
      <c r="S3352" s="7" t="str">
        <f ca="1">IFERROR(__xludf.DUMMYFUNCTION("IMPORTXML(E3352,""/html/body/main/div[3]/div[3]/div[2]/ul/li[8]/span[2]/span"")"),"Loading...")</f>
        <v>Loading...</v>
      </c>
      <c r="T3352" s="4">
        <v>34.6</v>
      </c>
      <c r="U3352" s="4">
        <v>22.7</v>
      </c>
      <c r="V3352" s="4">
        <v>2.6</v>
      </c>
      <c r="W3352" s="4">
        <v>5.7</v>
      </c>
      <c r="X3352" s="4">
        <v>519.92999999999995</v>
      </c>
      <c r="Y3352" s="7" t="e">
        <f t="shared" ca="1" si="69"/>
        <v>#VALUE!</v>
      </c>
    </row>
    <row r="3353" spans="1:25" ht="15" x14ac:dyDescent="0.25">
      <c r="A3353" s="4">
        <v>3344</v>
      </c>
      <c r="C3353" s="41" t="s">
        <v>5692</v>
      </c>
      <c r="D3353" s="42"/>
      <c r="E3353" s="5" t="str">
        <f t="shared" si="65"/>
        <v>https://www.screener.in/company//consolidated/</v>
      </c>
      <c r="F3353" s="4">
        <v>443059</v>
      </c>
      <c r="G3353" s="4">
        <v>3832241897</v>
      </c>
      <c r="H3353" s="6" t="e">
        <f t="shared" ca="1" si="66"/>
        <v>#VALUE!</v>
      </c>
      <c r="I3353" s="7" t="str">
        <f ca="1">IFERROR(__xludf.DUMMYFUNCTION("IMPORTXML(E3353,""/html/body/main/div[3]/div[3]/div[2]/ul/li[5]/span[2]/span"")"),"Loading...")</f>
        <v>Loading...</v>
      </c>
      <c r="J3353" s="7" t="str">
        <f ca="1">IFERROR(__xludf.DUMMYFUNCTION("GOOGLEFINANCE(""NSE:""&amp;D3353,""marketcap"")"),"#N/A")</f>
        <v>#N/A</v>
      </c>
      <c r="K3353" s="7">
        <v>992.8</v>
      </c>
      <c r="L3353" s="8" t="str">
        <f ca="1">IFERROR(__xludf.DUMMYFUNCTION("GOOGLEFINANCE(""NSE:""&amp;D3353,""price"")"),"#N/A")</f>
        <v>#N/A</v>
      </c>
      <c r="M3353" s="9" t="e">
        <f t="shared" ca="1" si="67"/>
        <v>#VALUE!</v>
      </c>
      <c r="N3353" s="10" t="e">
        <f t="shared" ca="1" si="68"/>
        <v>#VALUE!</v>
      </c>
      <c r="O3353" s="7" t="str">
        <f ca="1">IFERROR(__xludf.DUMMYFUNCTION("GOOGLEFINANCE(""NSE:""&amp;D3353,""pe"")"),"#N/A")</f>
        <v>#N/A</v>
      </c>
      <c r="P3353" s="7" t="str">
        <f ca="1">IFERROR(__xludf.DUMMYFUNCTION("GOOGLEFINANCE(""NSE:""&amp;D3353,""EPS"")"),"#N/A")</f>
        <v>#N/A</v>
      </c>
      <c r="Q3353" s="7">
        <v>13.5</v>
      </c>
      <c r="R3353" s="7" t="str">
        <f ca="1">IFERROR(__xludf.DUMMYFUNCTION("IMPORTXML(E3353,""/html/body/main/div[3]/div[3]/div[2]/ul/li[7]/span[2]/span"")"),"Loading...")</f>
        <v>Loading...</v>
      </c>
      <c r="S3353" s="7" t="str">
        <f ca="1">IFERROR(__xludf.DUMMYFUNCTION("IMPORTXML(E3353,""/html/body/main/div[3]/div[3]/div[2]/ul/li[8]/span[2]/span"")"),"Loading...")</f>
        <v>Loading...</v>
      </c>
      <c r="T3353" s="4">
        <v>34.6</v>
      </c>
      <c r="U3353" s="4">
        <v>22.7</v>
      </c>
      <c r="V3353" s="4">
        <v>2.6</v>
      </c>
      <c r="W3353" s="4">
        <v>5.7</v>
      </c>
      <c r="X3353" s="4">
        <v>519.92999999999995</v>
      </c>
      <c r="Y3353" s="7" t="e">
        <f t="shared" ca="1" si="69"/>
        <v>#VALUE!</v>
      </c>
    </row>
    <row r="3354" spans="1:25" ht="15" x14ac:dyDescent="0.25">
      <c r="A3354" s="4">
        <v>3345</v>
      </c>
      <c r="C3354" s="41" t="s">
        <v>5693</v>
      </c>
      <c r="D3354" s="42"/>
      <c r="E3354" s="5" t="str">
        <f t="shared" si="65"/>
        <v>https://www.screener.in/company//consolidated/</v>
      </c>
      <c r="F3354" s="4">
        <v>443059</v>
      </c>
      <c r="G3354" s="4">
        <v>3832241897</v>
      </c>
      <c r="H3354" s="6" t="e">
        <f t="shared" ca="1" si="66"/>
        <v>#VALUE!</v>
      </c>
      <c r="I3354" s="7" t="str">
        <f ca="1">IFERROR(__xludf.DUMMYFUNCTION("IMPORTXML(E3354,""/html/body/main/div[3]/div[3]/div[2]/ul/li[5]/span[2]/span"")"),"Loading...")</f>
        <v>Loading...</v>
      </c>
      <c r="J3354" s="7" t="str">
        <f ca="1">IFERROR(__xludf.DUMMYFUNCTION("GOOGLEFINANCE(""NSE:""&amp;D3354,""marketcap"")"),"#N/A")</f>
        <v>#N/A</v>
      </c>
      <c r="K3354" s="7">
        <v>992.8</v>
      </c>
      <c r="L3354" s="8" t="str">
        <f ca="1">IFERROR(__xludf.DUMMYFUNCTION("GOOGLEFINANCE(""NSE:""&amp;D3354,""price"")"),"#N/A")</f>
        <v>#N/A</v>
      </c>
      <c r="M3354" s="9" t="e">
        <f t="shared" ca="1" si="67"/>
        <v>#VALUE!</v>
      </c>
      <c r="N3354" s="10" t="e">
        <f t="shared" ca="1" si="68"/>
        <v>#VALUE!</v>
      </c>
      <c r="O3354" s="7" t="str">
        <f ca="1">IFERROR(__xludf.DUMMYFUNCTION("GOOGLEFINANCE(""NSE:""&amp;D3354,""pe"")"),"#N/A")</f>
        <v>#N/A</v>
      </c>
      <c r="P3354" s="7" t="str">
        <f ca="1">IFERROR(__xludf.DUMMYFUNCTION("GOOGLEFINANCE(""NSE:""&amp;D3354,""EPS"")"),"#N/A")</f>
        <v>#N/A</v>
      </c>
      <c r="Q3354" s="7">
        <v>13.5</v>
      </c>
      <c r="R3354" s="7" t="str">
        <f ca="1">IFERROR(__xludf.DUMMYFUNCTION("IMPORTXML(E3354,""/html/body/main/div[3]/div[3]/div[2]/ul/li[7]/span[2]/span"")"),"Loading...")</f>
        <v>Loading...</v>
      </c>
      <c r="S3354" s="7" t="str">
        <f ca="1">IFERROR(__xludf.DUMMYFUNCTION("IMPORTXML(E3354,""/html/body/main/div[3]/div[3]/div[2]/ul/li[8]/span[2]/span"")"),"Loading...")</f>
        <v>Loading...</v>
      </c>
      <c r="T3354" s="4">
        <v>34.6</v>
      </c>
      <c r="U3354" s="4">
        <v>22.7</v>
      </c>
      <c r="V3354" s="4">
        <v>2.6</v>
      </c>
      <c r="W3354" s="4">
        <v>5.7</v>
      </c>
      <c r="X3354" s="4">
        <v>519.92999999999995</v>
      </c>
      <c r="Y3354" s="7" t="e">
        <f t="shared" ca="1" si="69"/>
        <v>#VALUE!</v>
      </c>
    </row>
    <row r="3355" spans="1:25" ht="15" x14ac:dyDescent="0.25">
      <c r="A3355" s="4">
        <v>3346</v>
      </c>
      <c r="C3355" s="41" t="s">
        <v>5694</v>
      </c>
      <c r="D3355" s="42"/>
      <c r="E3355" s="5" t="str">
        <f t="shared" si="65"/>
        <v>https://www.screener.in/company//consolidated/</v>
      </c>
      <c r="F3355" s="4">
        <v>443059</v>
      </c>
      <c r="G3355" s="4">
        <v>3832241897</v>
      </c>
      <c r="H3355" s="6" t="e">
        <f t="shared" ca="1" si="66"/>
        <v>#VALUE!</v>
      </c>
      <c r="I3355" s="7" t="str">
        <f ca="1">IFERROR(__xludf.DUMMYFUNCTION("IMPORTXML(E3355,""/html/body/main/div[3]/div[3]/div[2]/ul/li[5]/span[2]/span"")"),"Loading...")</f>
        <v>Loading...</v>
      </c>
      <c r="J3355" s="7" t="str">
        <f ca="1">IFERROR(__xludf.DUMMYFUNCTION("GOOGLEFINANCE(""NSE:""&amp;D3355,""marketcap"")"),"#N/A")</f>
        <v>#N/A</v>
      </c>
      <c r="K3355" s="7">
        <v>992.8</v>
      </c>
      <c r="L3355" s="8" t="str">
        <f ca="1">IFERROR(__xludf.DUMMYFUNCTION("GOOGLEFINANCE(""NSE:""&amp;D3355,""price"")"),"#N/A")</f>
        <v>#N/A</v>
      </c>
      <c r="M3355" s="9" t="e">
        <f t="shared" ca="1" si="67"/>
        <v>#VALUE!</v>
      </c>
      <c r="N3355" s="10" t="e">
        <f t="shared" ca="1" si="68"/>
        <v>#VALUE!</v>
      </c>
      <c r="O3355" s="7" t="str">
        <f ca="1">IFERROR(__xludf.DUMMYFUNCTION("GOOGLEFINANCE(""NSE:""&amp;D3355,""pe"")"),"#N/A")</f>
        <v>#N/A</v>
      </c>
      <c r="P3355" s="7" t="str">
        <f ca="1">IFERROR(__xludf.DUMMYFUNCTION("GOOGLEFINANCE(""NSE:""&amp;D3355,""EPS"")"),"#N/A")</f>
        <v>#N/A</v>
      </c>
      <c r="Q3355" s="7">
        <v>13.5</v>
      </c>
      <c r="R3355" s="7" t="str">
        <f ca="1">IFERROR(__xludf.DUMMYFUNCTION("IMPORTXML(E3355,""/html/body/main/div[3]/div[3]/div[2]/ul/li[7]/span[2]/span"")"),"Loading...")</f>
        <v>Loading...</v>
      </c>
      <c r="S3355" s="7" t="str">
        <f ca="1">IFERROR(__xludf.DUMMYFUNCTION("IMPORTXML(E3355,""/html/body/main/div[3]/div[3]/div[2]/ul/li[8]/span[2]/span"")"),"Loading...")</f>
        <v>Loading...</v>
      </c>
      <c r="T3355" s="4">
        <v>34.6</v>
      </c>
      <c r="U3355" s="4">
        <v>22.7</v>
      </c>
      <c r="V3355" s="4">
        <v>2.6</v>
      </c>
      <c r="W3355" s="4">
        <v>5.7</v>
      </c>
      <c r="X3355" s="4">
        <v>519.92999999999995</v>
      </c>
      <c r="Y3355" s="7" t="e">
        <f t="shared" ca="1" si="69"/>
        <v>#VALUE!</v>
      </c>
    </row>
    <row r="3356" spans="1:25" ht="15" x14ac:dyDescent="0.25">
      <c r="A3356" s="4">
        <v>3347</v>
      </c>
      <c r="C3356" s="41" t="s">
        <v>5695</v>
      </c>
      <c r="D3356" s="42"/>
      <c r="E3356" s="5" t="str">
        <f t="shared" si="65"/>
        <v>https://www.screener.in/company//consolidated/</v>
      </c>
      <c r="F3356" s="4">
        <v>443059</v>
      </c>
      <c r="G3356" s="4">
        <v>3832241897</v>
      </c>
      <c r="H3356" s="6" t="e">
        <f t="shared" ca="1" si="66"/>
        <v>#VALUE!</v>
      </c>
      <c r="I3356" s="7" t="str">
        <f ca="1">IFERROR(__xludf.DUMMYFUNCTION("IMPORTXML(E3356,""/html/body/main/div[3]/div[3]/div[2]/ul/li[5]/span[2]/span"")"),"Loading...")</f>
        <v>Loading...</v>
      </c>
      <c r="J3356" s="7" t="str">
        <f ca="1">IFERROR(__xludf.DUMMYFUNCTION("GOOGLEFINANCE(""NSE:""&amp;D3356,""marketcap"")"),"#N/A")</f>
        <v>#N/A</v>
      </c>
      <c r="K3356" s="7">
        <v>992.8</v>
      </c>
      <c r="L3356" s="8" t="str">
        <f ca="1">IFERROR(__xludf.DUMMYFUNCTION("GOOGLEFINANCE(""NSE:""&amp;D3356,""price"")"),"#N/A")</f>
        <v>#N/A</v>
      </c>
      <c r="M3356" s="9" t="e">
        <f t="shared" ca="1" si="67"/>
        <v>#VALUE!</v>
      </c>
      <c r="N3356" s="10" t="e">
        <f t="shared" ca="1" si="68"/>
        <v>#VALUE!</v>
      </c>
      <c r="O3356" s="7" t="str">
        <f ca="1">IFERROR(__xludf.DUMMYFUNCTION("GOOGLEFINANCE(""NSE:""&amp;D3356,""pe"")"),"#N/A")</f>
        <v>#N/A</v>
      </c>
      <c r="P3356" s="7" t="str">
        <f ca="1">IFERROR(__xludf.DUMMYFUNCTION("GOOGLEFINANCE(""NSE:""&amp;D3356,""EPS"")"),"#N/A")</f>
        <v>#N/A</v>
      </c>
      <c r="Q3356" s="7">
        <v>13.5</v>
      </c>
      <c r="R3356" s="7" t="str">
        <f ca="1">IFERROR(__xludf.DUMMYFUNCTION("IMPORTXML(E3356,""/html/body/main/div[3]/div[3]/div[2]/ul/li[7]/span[2]/span"")"),"Loading...")</f>
        <v>Loading...</v>
      </c>
      <c r="S3356" s="7" t="str">
        <f ca="1">IFERROR(__xludf.DUMMYFUNCTION("IMPORTXML(E3356,""/html/body/main/div[3]/div[3]/div[2]/ul/li[8]/span[2]/span"")"),"Loading...")</f>
        <v>Loading...</v>
      </c>
      <c r="T3356" s="4">
        <v>34.6</v>
      </c>
      <c r="U3356" s="4">
        <v>22.7</v>
      </c>
      <c r="V3356" s="4">
        <v>2.6</v>
      </c>
      <c r="W3356" s="4">
        <v>5.7</v>
      </c>
      <c r="X3356" s="4">
        <v>519.92999999999995</v>
      </c>
      <c r="Y3356" s="7" t="e">
        <f t="shared" ca="1" si="69"/>
        <v>#VALUE!</v>
      </c>
    </row>
    <row r="3357" spans="1:25" ht="15" x14ac:dyDescent="0.25">
      <c r="A3357" s="4">
        <v>3348</v>
      </c>
      <c r="C3357" s="41" t="s">
        <v>5696</v>
      </c>
      <c r="D3357" s="42"/>
      <c r="E3357" s="5" t="str">
        <f t="shared" si="65"/>
        <v>https://www.screener.in/company//consolidated/</v>
      </c>
      <c r="F3357" s="4">
        <v>443059</v>
      </c>
      <c r="G3357" s="4">
        <v>3832241897</v>
      </c>
      <c r="H3357" s="6" t="e">
        <f t="shared" ca="1" si="66"/>
        <v>#VALUE!</v>
      </c>
      <c r="I3357" s="7" t="str">
        <f ca="1">IFERROR(__xludf.DUMMYFUNCTION("IMPORTXML(E3357,""/html/body/main/div[3]/div[3]/div[2]/ul/li[5]/span[2]/span"")"),"Loading...")</f>
        <v>Loading...</v>
      </c>
      <c r="J3357" s="7" t="str">
        <f ca="1">IFERROR(__xludf.DUMMYFUNCTION("GOOGLEFINANCE(""NSE:""&amp;D3357,""marketcap"")"),"#N/A")</f>
        <v>#N/A</v>
      </c>
      <c r="K3357" s="7">
        <v>992.8</v>
      </c>
      <c r="L3357" s="8" t="str">
        <f ca="1">IFERROR(__xludf.DUMMYFUNCTION("GOOGLEFINANCE(""NSE:""&amp;D3357,""price"")"),"#N/A")</f>
        <v>#N/A</v>
      </c>
      <c r="M3357" s="9" t="e">
        <f t="shared" ca="1" si="67"/>
        <v>#VALUE!</v>
      </c>
      <c r="N3357" s="10" t="e">
        <f t="shared" ca="1" si="68"/>
        <v>#VALUE!</v>
      </c>
      <c r="O3357" s="7" t="str">
        <f ca="1">IFERROR(__xludf.DUMMYFUNCTION("GOOGLEFINANCE(""NSE:""&amp;D3357,""pe"")"),"#N/A")</f>
        <v>#N/A</v>
      </c>
      <c r="P3357" s="7" t="str">
        <f ca="1">IFERROR(__xludf.DUMMYFUNCTION("GOOGLEFINANCE(""NSE:""&amp;D3357,""EPS"")"),"#N/A")</f>
        <v>#N/A</v>
      </c>
      <c r="Q3357" s="7">
        <v>13.5</v>
      </c>
      <c r="R3357" s="7" t="str">
        <f ca="1">IFERROR(__xludf.DUMMYFUNCTION("IMPORTXML(E3357,""/html/body/main/div[3]/div[3]/div[2]/ul/li[7]/span[2]/span"")"),"Loading...")</f>
        <v>Loading...</v>
      </c>
      <c r="S3357" s="7" t="str">
        <f ca="1">IFERROR(__xludf.DUMMYFUNCTION("IMPORTXML(E3357,""/html/body/main/div[3]/div[3]/div[2]/ul/li[8]/span[2]/span"")"),"Loading...")</f>
        <v>Loading...</v>
      </c>
      <c r="T3357" s="4">
        <v>34.6</v>
      </c>
      <c r="U3357" s="4">
        <v>22.7</v>
      </c>
      <c r="V3357" s="4">
        <v>2.6</v>
      </c>
      <c r="W3357" s="4">
        <v>5.7</v>
      </c>
      <c r="X3357" s="4">
        <v>519.92999999999995</v>
      </c>
      <c r="Y3357" s="7" t="e">
        <f t="shared" ca="1" si="69"/>
        <v>#VALUE!</v>
      </c>
    </row>
    <row r="3358" spans="1:25" ht="15" x14ac:dyDescent="0.25">
      <c r="A3358" s="4">
        <v>3349</v>
      </c>
      <c r="C3358" s="41" t="s">
        <v>5697</v>
      </c>
      <c r="D3358" s="42"/>
      <c r="E3358" s="5" t="str">
        <f t="shared" si="65"/>
        <v>https://www.screener.in/company//consolidated/</v>
      </c>
      <c r="F3358" s="4">
        <v>443059</v>
      </c>
      <c r="G3358" s="4">
        <v>3832241897</v>
      </c>
      <c r="H3358" s="6" t="e">
        <f t="shared" ca="1" si="66"/>
        <v>#VALUE!</v>
      </c>
      <c r="I3358" s="7" t="str">
        <f ca="1">IFERROR(__xludf.DUMMYFUNCTION("IMPORTXML(E3358,""/html/body/main/div[3]/div[3]/div[2]/ul/li[5]/span[2]/span"")"),"Loading...")</f>
        <v>Loading...</v>
      </c>
      <c r="J3358" s="7" t="str">
        <f ca="1">IFERROR(__xludf.DUMMYFUNCTION("GOOGLEFINANCE(""NSE:""&amp;D3358,""marketcap"")"),"#N/A")</f>
        <v>#N/A</v>
      </c>
      <c r="K3358" s="7">
        <v>992.8</v>
      </c>
      <c r="L3358" s="8" t="str">
        <f ca="1">IFERROR(__xludf.DUMMYFUNCTION("GOOGLEFINANCE(""NSE:""&amp;D3358,""price"")"),"#N/A")</f>
        <v>#N/A</v>
      </c>
      <c r="M3358" s="9" t="e">
        <f t="shared" ca="1" si="67"/>
        <v>#VALUE!</v>
      </c>
      <c r="N3358" s="10" t="e">
        <f t="shared" ca="1" si="68"/>
        <v>#VALUE!</v>
      </c>
      <c r="O3358" s="7" t="str">
        <f ca="1">IFERROR(__xludf.DUMMYFUNCTION("GOOGLEFINANCE(""NSE:""&amp;D3358,""pe"")"),"#N/A")</f>
        <v>#N/A</v>
      </c>
      <c r="P3358" s="7" t="str">
        <f ca="1">IFERROR(__xludf.DUMMYFUNCTION("GOOGLEFINANCE(""NSE:""&amp;D3358,""EPS"")"),"#N/A")</f>
        <v>#N/A</v>
      </c>
      <c r="Q3358" s="7">
        <v>13.5</v>
      </c>
      <c r="R3358" s="7" t="str">
        <f ca="1">IFERROR(__xludf.DUMMYFUNCTION("IMPORTXML(E3358,""/html/body/main/div[3]/div[3]/div[2]/ul/li[7]/span[2]/span"")"),"Loading...")</f>
        <v>Loading...</v>
      </c>
      <c r="S3358" s="7" t="str">
        <f ca="1">IFERROR(__xludf.DUMMYFUNCTION("IMPORTXML(E3358,""/html/body/main/div[3]/div[3]/div[2]/ul/li[8]/span[2]/span"")"),"Loading...")</f>
        <v>Loading...</v>
      </c>
      <c r="T3358" s="4">
        <v>34.6</v>
      </c>
      <c r="U3358" s="4">
        <v>22.7</v>
      </c>
      <c r="V3358" s="4">
        <v>2.6</v>
      </c>
      <c r="W3358" s="4">
        <v>5.7</v>
      </c>
      <c r="X3358" s="4">
        <v>519.92999999999995</v>
      </c>
      <c r="Y3358" s="7" t="e">
        <f t="shared" ca="1" si="69"/>
        <v>#VALUE!</v>
      </c>
    </row>
    <row r="3359" spans="1:25" ht="15" x14ac:dyDescent="0.25">
      <c r="A3359" s="4">
        <v>3350</v>
      </c>
      <c r="C3359" s="41" t="s">
        <v>5698</v>
      </c>
      <c r="D3359" s="42"/>
      <c r="E3359" s="5" t="str">
        <f t="shared" si="65"/>
        <v>https://www.screener.in/company//consolidated/</v>
      </c>
      <c r="F3359" s="4">
        <v>443059</v>
      </c>
      <c r="G3359" s="4">
        <v>3832241897</v>
      </c>
      <c r="H3359" s="6" t="e">
        <f t="shared" ca="1" si="66"/>
        <v>#VALUE!</v>
      </c>
      <c r="I3359" s="7" t="str">
        <f ca="1">IFERROR(__xludf.DUMMYFUNCTION("IMPORTXML(E3359,""/html/body/main/div[3]/div[3]/div[2]/ul/li[5]/span[2]/span"")"),"Loading...")</f>
        <v>Loading...</v>
      </c>
      <c r="J3359" s="7" t="str">
        <f ca="1">IFERROR(__xludf.DUMMYFUNCTION("GOOGLEFINANCE(""NSE:""&amp;D3359,""marketcap"")"),"#N/A")</f>
        <v>#N/A</v>
      </c>
      <c r="K3359" s="7">
        <v>992.8</v>
      </c>
      <c r="L3359" s="8" t="str">
        <f ca="1">IFERROR(__xludf.DUMMYFUNCTION("GOOGLEFINANCE(""NSE:""&amp;D3359,""price"")"),"#N/A")</f>
        <v>#N/A</v>
      </c>
      <c r="M3359" s="9" t="e">
        <f t="shared" ca="1" si="67"/>
        <v>#VALUE!</v>
      </c>
      <c r="N3359" s="10" t="e">
        <f t="shared" ca="1" si="68"/>
        <v>#VALUE!</v>
      </c>
      <c r="O3359" s="7" t="str">
        <f ca="1">IFERROR(__xludf.DUMMYFUNCTION("GOOGLEFINANCE(""NSE:""&amp;D3359,""pe"")"),"#N/A")</f>
        <v>#N/A</v>
      </c>
      <c r="P3359" s="7" t="str">
        <f ca="1">IFERROR(__xludf.DUMMYFUNCTION("GOOGLEFINANCE(""NSE:""&amp;D3359,""EPS"")"),"#N/A")</f>
        <v>#N/A</v>
      </c>
      <c r="Q3359" s="7">
        <v>13.5</v>
      </c>
      <c r="R3359" s="7" t="str">
        <f ca="1">IFERROR(__xludf.DUMMYFUNCTION("IMPORTXML(E3359,""/html/body/main/div[3]/div[3]/div[2]/ul/li[7]/span[2]/span"")"),"Loading...")</f>
        <v>Loading...</v>
      </c>
      <c r="S3359" s="7" t="str">
        <f ca="1">IFERROR(__xludf.DUMMYFUNCTION("IMPORTXML(E3359,""/html/body/main/div[3]/div[3]/div[2]/ul/li[8]/span[2]/span"")"),"Loading...")</f>
        <v>Loading...</v>
      </c>
      <c r="T3359" s="4">
        <v>34.6</v>
      </c>
      <c r="U3359" s="4">
        <v>22.7</v>
      </c>
      <c r="V3359" s="4">
        <v>2.6</v>
      </c>
      <c r="W3359" s="4">
        <v>5.7</v>
      </c>
      <c r="X3359" s="4">
        <v>519.92999999999995</v>
      </c>
      <c r="Y3359" s="7" t="e">
        <f t="shared" ca="1" si="69"/>
        <v>#VALUE!</v>
      </c>
    </row>
    <row r="3360" spans="1:25" ht="15" x14ac:dyDescent="0.25">
      <c r="A3360" s="4">
        <v>3351</v>
      </c>
      <c r="C3360" s="41" t="s">
        <v>5699</v>
      </c>
      <c r="D3360" s="42"/>
      <c r="E3360" s="5" t="str">
        <f t="shared" si="65"/>
        <v>https://www.screener.in/company//consolidated/</v>
      </c>
      <c r="F3360" s="4">
        <v>443059</v>
      </c>
      <c r="G3360" s="4">
        <v>3832241897</v>
      </c>
      <c r="H3360" s="6" t="e">
        <f t="shared" ca="1" si="66"/>
        <v>#VALUE!</v>
      </c>
      <c r="I3360" s="7" t="str">
        <f ca="1">IFERROR(__xludf.DUMMYFUNCTION("IMPORTXML(E3360,""/html/body/main/div[3]/div[3]/div[2]/ul/li[5]/span[2]/span"")"),"Loading...")</f>
        <v>Loading...</v>
      </c>
      <c r="J3360" s="7" t="str">
        <f ca="1">IFERROR(__xludf.DUMMYFUNCTION("GOOGLEFINANCE(""NSE:""&amp;D3360,""marketcap"")"),"#N/A")</f>
        <v>#N/A</v>
      </c>
      <c r="K3360" s="7">
        <v>992.8</v>
      </c>
      <c r="L3360" s="8" t="str">
        <f ca="1">IFERROR(__xludf.DUMMYFUNCTION("GOOGLEFINANCE(""NSE:""&amp;D3360,""price"")"),"#N/A")</f>
        <v>#N/A</v>
      </c>
      <c r="M3360" s="9" t="e">
        <f t="shared" ca="1" si="67"/>
        <v>#VALUE!</v>
      </c>
      <c r="N3360" s="10" t="e">
        <f t="shared" ca="1" si="68"/>
        <v>#VALUE!</v>
      </c>
      <c r="O3360" s="7" t="str">
        <f ca="1">IFERROR(__xludf.DUMMYFUNCTION("GOOGLEFINANCE(""NSE:""&amp;D3360,""pe"")"),"#N/A")</f>
        <v>#N/A</v>
      </c>
      <c r="P3360" s="7" t="str">
        <f ca="1">IFERROR(__xludf.DUMMYFUNCTION("GOOGLEFINANCE(""NSE:""&amp;D3360,""EPS"")"),"#N/A")</f>
        <v>#N/A</v>
      </c>
      <c r="Q3360" s="7">
        <v>13.5</v>
      </c>
      <c r="R3360" s="7" t="str">
        <f ca="1">IFERROR(__xludf.DUMMYFUNCTION("IMPORTXML(E3360,""/html/body/main/div[3]/div[3]/div[2]/ul/li[7]/span[2]/span"")"),"Loading...")</f>
        <v>Loading...</v>
      </c>
      <c r="S3360" s="7" t="str">
        <f ca="1">IFERROR(__xludf.DUMMYFUNCTION("IMPORTXML(E3360,""/html/body/main/div[3]/div[3]/div[2]/ul/li[8]/span[2]/span"")"),"Loading...")</f>
        <v>Loading...</v>
      </c>
      <c r="T3360" s="4">
        <v>34.6</v>
      </c>
      <c r="U3360" s="4">
        <v>22.7</v>
      </c>
      <c r="V3360" s="4">
        <v>2.6</v>
      </c>
      <c r="W3360" s="4">
        <v>5.7</v>
      </c>
      <c r="X3360" s="4">
        <v>519.92999999999995</v>
      </c>
      <c r="Y3360" s="7" t="e">
        <f t="shared" ca="1" si="69"/>
        <v>#VALUE!</v>
      </c>
    </row>
    <row r="3361" spans="1:25" ht="15" x14ac:dyDescent="0.25">
      <c r="A3361" s="4">
        <v>3352</v>
      </c>
      <c r="C3361" s="41" t="s">
        <v>5700</v>
      </c>
      <c r="D3361" s="42"/>
      <c r="E3361" s="5" t="str">
        <f t="shared" si="65"/>
        <v>https://www.screener.in/company//consolidated/</v>
      </c>
      <c r="F3361" s="4">
        <v>443059</v>
      </c>
      <c r="G3361" s="4">
        <v>3832241897</v>
      </c>
      <c r="H3361" s="6" t="e">
        <f t="shared" ca="1" si="66"/>
        <v>#VALUE!</v>
      </c>
      <c r="I3361" s="7" t="str">
        <f ca="1">IFERROR(__xludf.DUMMYFUNCTION("IMPORTXML(E3361,""/html/body/main/div[3]/div[3]/div[2]/ul/li[5]/span[2]/span"")"),"Loading...")</f>
        <v>Loading...</v>
      </c>
      <c r="J3361" s="7" t="str">
        <f ca="1">IFERROR(__xludf.DUMMYFUNCTION("GOOGLEFINANCE(""NSE:""&amp;D3361,""marketcap"")"),"#N/A")</f>
        <v>#N/A</v>
      </c>
      <c r="K3361" s="7">
        <v>992.8</v>
      </c>
      <c r="L3361" s="8" t="str">
        <f ca="1">IFERROR(__xludf.DUMMYFUNCTION("GOOGLEFINANCE(""NSE:""&amp;D3361,""price"")"),"#N/A")</f>
        <v>#N/A</v>
      </c>
      <c r="M3361" s="9" t="e">
        <f t="shared" ca="1" si="67"/>
        <v>#VALUE!</v>
      </c>
      <c r="N3361" s="10" t="e">
        <f t="shared" ca="1" si="68"/>
        <v>#VALUE!</v>
      </c>
      <c r="O3361" s="7" t="str">
        <f ca="1">IFERROR(__xludf.DUMMYFUNCTION("GOOGLEFINANCE(""NSE:""&amp;D3361,""pe"")"),"#N/A")</f>
        <v>#N/A</v>
      </c>
      <c r="P3361" s="7" t="str">
        <f ca="1">IFERROR(__xludf.DUMMYFUNCTION("GOOGLEFINANCE(""NSE:""&amp;D3361,""EPS"")"),"#N/A")</f>
        <v>#N/A</v>
      </c>
      <c r="Q3361" s="7">
        <v>13.5</v>
      </c>
      <c r="R3361" s="7" t="str">
        <f ca="1">IFERROR(__xludf.DUMMYFUNCTION("IMPORTXML(E3361,""/html/body/main/div[3]/div[3]/div[2]/ul/li[7]/span[2]/span"")"),"Loading...")</f>
        <v>Loading...</v>
      </c>
      <c r="S3361" s="7" t="str">
        <f ca="1">IFERROR(__xludf.DUMMYFUNCTION("IMPORTXML(E3361,""/html/body/main/div[3]/div[3]/div[2]/ul/li[8]/span[2]/span"")"),"Loading...")</f>
        <v>Loading...</v>
      </c>
      <c r="T3361" s="4">
        <v>34.6</v>
      </c>
      <c r="U3361" s="4">
        <v>22.7</v>
      </c>
      <c r="V3361" s="4">
        <v>2.6</v>
      </c>
      <c r="W3361" s="4">
        <v>5.7</v>
      </c>
      <c r="X3361" s="4">
        <v>519.92999999999995</v>
      </c>
      <c r="Y3361" s="7" t="e">
        <f t="shared" ca="1" si="69"/>
        <v>#VALUE!</v>
      </c>
    </row>
    <row r="3362" spans="1:25" ht="15" x14ac:dyDescent="0.25">
      <c r="A3362" s="4">
        <v>3353</v>
      </c>
      <c r="C3362" s="41" t="s">
        <v>5701</v>
      </c>
      <c r="D3362" s="42"/>
      <c r="E3362" s="5" t="str">
        <f t="shared" si="65"/>
        <v>https://www.screener.in/company//consolidated/</v>
      </c>
      <c r="F3362" s="4">
        <v>443059</v>
      </c>
      <c r="G3362" s="4">
        <v>3832241897</v>
      </c>
      <c r="H3362" s="6" t="e">
        <f t="shared" ca="1" si="66"/>
        <v>#VALUE!</v>
      </c>
      <c r="I3362" s="7" t="str">
        <f ca="1">IFERROR(__xludf.DUMMYFUNCTION("IMPORTXML(E3362,""/html/body/main/div[3]/div[3]/div[2]/ul/li[5]/span[2]/span"")"),"Loading...")</f>
        <v>Loading...</v>
      </c>
      <c r="J3362" s="7" t="str">
        <f ca="1">IFERROR(__xludf.DUMMYFUNCTION("GOOGLEFINANCE(""NSE:""&amp;D3362,""marketcap"")"),"#N/A")</f>
        <v>#N/A</v>
      </c>
      <c r="K3362" s="7">
        <v>992.8</v>
      </c>
      <c r="L3362" s="8" t="str">
        <f ca="1">IFERROR(__xludf.DUMMYFUNCTION("GOOGLEFINANCE(""NSE:""&amp;D3362,""price"")"),"#N/A")</f>
        <v>#N/A</v>
      </c>
      <c r="M3362" s="9" t="e">
        <f t="shared" ca="1" si="67"/>
        <v>#VALUE!</v>
      </c>
      <c r="N3362" s="10" t="e">
        <f t="shared" ca="1" si="68"/>
        <v>#VALUE!</v>
      </c>
      <c r="O3362" s="7" t="str">
        <f ca="1">IFERROR(__xludf.DUMMYFUNCTION("GOOGLEFINANCE(""NSE:""&amp;D3362,""pe"")"),"#N/A")</f>
        <v>#N/A</v>
      </c>
      <c r="P3362" s="7" t="str">
        <f ca="1">IFERROR(__xludf.DUMMYFUNCTION("GOOGLEFINANCE(""NSE:""&amp;D3362,""EPS"")"),"#N/A")</f>
        <v>#N/A</v>
      </c>
      <c r="Q3362" s="7">
        <v>13.5</v>
      </c>
      <c r="R3362" s="7" t="str">
        <f ca="1">IFERROR(__xludf.DUMMYFUNCTION("IMPORTXML(E3362,""/html/body/main/div[3]/div[3]/div[2]/ul/li[7]/span[2]/span"")"),"Loading...")</f>
        <v>Loading...</v>
      </c>
      <c r="S3362" s="7" t="str">
        <f ca="1">IFERROR(__xludf.DUMMYFUNCTION("IMPORTXML(E3362,""/html/body/main/div[3]/div[3]/div[2]/ul/li[8]/span[2]/span"")"),"Loading...")</f>
        <v>Loading...</v>
      </c>
      <c r="T3362" s="4">
        <v>34.6</v>
      </c>
      <c r="U3362" s="4">
        <v>22.7</v>
      </c>
      <c r="V3362" s="4">
        <v>2.6</v>
      </c>
      <c r="W3362" s="4">
        <v>5.7</v>
      </c>
      <c r="X3362" s="4">
        <v>519.92999999999995</v>
      </c>
      <c r="Y3362" s="7" t="e">
        <f t="shared" ca="1" si="69"/>
        <v>#VALUE!</v>
      </c>
    </row>
    <row r="3363" spans="1:25" ht="15" x14ac:dyDescent="0.25">
      <c r="A3363" s="4">
        <v>3354</v>
      </c>
      <c r="C3363" s="12" t="s">
        <v>5702</v>
      </c>
      <c r="D3363" s="12" t="s">
        <v>5703</v>
      </c>
      <c r="E3363" s="5" t="str">
        <f t="shared" si="65"/>
        <v>https://www.screener.in/company/RETAIL/consolidated/</v>
      </c>
      <c r="F3363" s="4">
        <v>443059</v>
      </c>
      <c r="G3363" s="4">
        <v>3832241897</v>
      </c>
      <c r="H3363" s="6">
        <f t="shared" ca="1" si="66"/>
        <v>14750.299061553</v>
      </c>
      <c r="I3363" s="7" t="str">
        <f ca="1">IFERROR(__xludf.DUMMYFUNCTION("IMPORTXML(E3363,""/html/body/main/div[3]/div[3]/div[2]/ul/li[5]/span[2]/span"")"),"Loading...")</f>
        <v>Loading...</v>
      </c>
      <c r="J3363" s="7">
        <f ca="1">IFERROR(__xludf.DUMMYFUNCTION("GOOGLEFINANCE(""NSE:""&amp;D3363,""marketcap"")"),315795067)</f>
        <v>315795067</v>
      </c>
      <c r="K3363" s="7">
        <v>992.8</v>
      </c>
      <c r="L3363" s="8">
        <f ca="1">IFERROR(__xludf.DUMMYFUNCTION("GOOGLEFINANCE(""NSE:""&amp;D3363,""price"")"),38.49)</f>
        <v>38.49</v>
      </c>
      <c r="M3363" s="9">
        <f t="shared" ca="1" si="67"/>
        <v>-954.31</v>
      </c>
      <c r="N3363" s="10">
        <f t="shared" ca="1" si="68"/>
        <v>-96.123086220789688</v>
      </c>
      <c r="O3363" s="7" t="str">
        <f ca="1">IFERROR(__xludf.DUMMYFUNCTION("GOOGLEFINANCE(""NSE:""&amp;D3363,""pe"")"),"#N/A")</f>
        <v>#N/A</v>
      </c>
      <c r="P3363" s="7">
        <f ca="1">IFERROR(__xludf.DUMMYFUNCTION("GOOGLEFINANCE(""NSE:""&amp;D3363,""EPS"")"),-0.06)</f>
        <v>-0.06</v>
      </c>
      <c r="Q3363" s="7">
        <v>13.5</v>
      </c>
      <c r="R3363" s="7" t="str">
        <f ca="1">IFERROR(__xludf.DUMMYFUNCTION("IMPORTXML(E3363,""/html/body/main/div[3]/div[3]/div[2]/ul/li[7]/span[2]/span"")"),"Loading...")</f>
        <v>Loading...</v>
      </c>
      <c r="S3363" s="7" t="str">
        <f ca="1">IFERROR(__xludf.DUMMYFUNCTION("IMPORTXML(E3363,""/html/body/main/div[3]/div[3]/div[2]/ul/li[8]/span[2]/span"")"),"Loading...")</f>
        <v>Loading...</v>
      </c>
      <c r="T3363" s="4">
        <v>34.6</v>
      </c>
      <c r="U3363" s="4">
        <v>22.7</v>
      </c>
      <c r="V3363" s="4">
        <v>2.6</v>
      </c>
      <c r="W3363" s="4">
        <v>5.7</v>
      </c>
      <c r="X3363" s="4">
        <v>519.92999999999995</v>
      </c>
      <c r="Y3363" s="7">
        <f t="shared" ca="1" si="69"/>
        <v>-481.43999999999994</v>
      </c>
    </row>
    <row r="3364" spans="1:25" ht="15" x14ac:dyDescent="0.25">
      <c r="A3364" s="4">
        <v>3355</v>
      </c>
      <c r="C3364" s="41" t="s">
        <v>5704</v>
      </c>
      <c r="D3364" s="42"/>
      <c r="E3364" s="5" t="str">
        <f t="shared" si="65"/>
        <v>https://www.screener.in/company//consolidated/</v>
      </c>
      <c r="F3364" s="4">
        <v>443059</v>
      </c>
      <c r="G3364" s="4">
        <v>3832241897</v>
      </c>
      <c r="H3364" s="6" t="e">
        <f t="shared" ca="1" si="66"/>
        <v>#VALUE!</v>
      </c>
      <c r="I3364" s="7" t="str">
        <f ca="1">IFERROR(__xludf.DUMMYFUNCTION("IMPORTXML(E3364,""/html/body/main/div[3]/div[3]/div[2]/ul/li[5]/span[2]/span"")"),"Loading...")</f>
        <v>Loading...</v>
      </c>
      <c r="J3364" s="7" t="str">
        <f ca="1">IFERROR(__xludf.DUMMYFUNCTION("GOOGLEFINANCE(""NSE:""&amp;D3364,""marketcap"")"),"#N/A")</f>
        <v>#N/A</v>
      </c>
      <c r="K3364" s="7">
        <v>992.8</v>
      </c>
      <c r="L3364" s="8" t="str">
        <f ca="1">IFERROR(__xludf.DUMMYFUNCTION("GOOGLEFINANCE(""NSE:""&amp;D3364,""price"")"),"#N/A")</f>
        <v>#N/A</v>
      </c>
      <c r="M3364" s="9" t="e">
        <f t="shared" ca="1" si="67"/>
        <v>#VALUE!</v>
      </c>
      <c r="N3364" s="10" t="e">
        <f t="shared" ca="1" si="68"/>
        <v>#VALUE!</v>
      </c>
      <c r="O3364" s="7" t="str">
        <f ca="1">IFERROR(__xludf.DUMMYFUNCTION("GOOGLEFINANCE(""NSE:""&amp;D3364,""pe"")"),"#N/A")</f>
        <v>#N/A</v>
      </c>
      <c r="P3364" s="7" t="str">
        <f ca="1">IFERROR(__xludf.DUMMYFUNCTION("GOOGLEFINANCE(""NSE:""&amp;D3364,""EPS"")"),"#N/A")</f>
        <v>#N/A</v>
      </c>
      <c r="Q3364" s="7">
        <v>13.5</v>
      </c>
      <c r="R3364" s="7" t="str">
        <f ca="1">IFERROR(__xludf.DUMMYFUNCTION("IMPORTXML(E3364,""/html/body/main/div[3]/div[3]/div[2]/ul/li[7]/span[2]/span"")"),"Loading...")</f>
        <v>Loading...</v>
      </c>
      <c r="S3364" s="7" t="str">
        <f ca="1">IFERROR(__xludf.DUMMYFUNCTION("IMPORTXML(E3364,""/html/body/main/div[3]/div[3]/div[2]/ul/li[8]/span[2]/span"")"),"Loading...")</f>
        <v>Loading...</v>
      </c>
      <c r="T3364" s="4">
        <v>34.6</v>
      </c>
      <c r="U3364" s="4">
        <v>22.7</v>
      </c>
      <c r="V3364" s="4">
        <v>2.6</v>
      </c>
      <c r="W3364" s="4">
        <v>5.7</v>
      </c>
      <c r="X3364" s="4">
        <v>519.92999999999995</v>
      </c>
      <c r="Y3364" s="7" t="e">
        <f t="shared" ca="1" si="69"/>
        <v>#VALUE!</v>
      </c>
    </row>
    <row r="3365" spans="1:25" ht="15" x14ac:dyDescent="0.25">
      <c r="A3365" s="4">
        <v>3356</v>
      </c>
      <c r="C3365" s="41" t="s">
        <v>5705</v>
      </c>
      <c r="D3365" s="42"/>
      <c r="E3365" s="5" t="str">
        <f t="shared" si="65"/>
        <v>https://www.screener.in/company//consolidated/</v>
      </c>
      <c r="F3365" s="4">
        <v>443059</v>
      </c>
      <c r="G3365" s="4">
        <v>3832241897</v>
      </c>
      <c r="H3365" s="6" t="e">
        <f t="shared" ca="1" si="66"/>
        <v>#VALUE!</v>
      </c>
      <c r="I3365" s="7" t="str">
        <f ca="1">IFERROR(__xludf.DUMMYFUNCTION("IMPORTXML(E3365,""/html/body/main/div[3]/div[3]/div[2]/ul/li[5]/span[2]/span"")"),"Loading...")</f>
        <v>Loading...</v>
      </c>
      <c r="J3365" s="7" t="str">
        <f ca="1">IFERROR(__xludf.DUMMYFUNCTION("GOOGLEFINANCE(""NSE:""&amp;D3365,""marketcap"")"),"#N/A")</f>
        <v>#N/A</v>
      </c>
      <c r="K3365" s="7">
        <v>992.8</v>
      </c>
      <c r="L3365" s="8" t="str">
        <f ca="1">IFERROR(__xludf.DUMMYFUNCTION("GOOGLEFINANCE(""NSE:""&amp;D3365,""price"")"),"#N/A")</f>
        <v>#N/A</v>
      </c>
      <c r="M3365" s="9" t="e">
        <f t="shared" ca="1" si="67"/>
        <v>#VALUE!</v>
      </c>
      <c r="N3365" s="10" t="e">
        <f t="shared" ca="1" si="68"/>
        <v>#VALUE!</v>
      </c>
      <c r="O3365" s="7" t="str">
        <f ca="1">IFERROR(__xludf.DUMMYFUNCTION("GOOGLEFINANCE(""NSE:""&amp;D3365,""pe"")"),"#N/A")</f>
        <v>#N/A</v>
      </c>
      <c r="P3365" s="7" t="str">
        <f ca="1">IFERROR(__xludf.DUMMYFUNCTION("GOOGLEFINANCE(""NSE:""&amp;D3365,""EPS"")"),"#N/A")</f>
        <v>#N/A</v>
      </c>
      <c r="Q3365" s="7">
        <v>13.5</v>
      </c>
      <c r="R3365" s="7" t="str">
        <f ca="1">IFERROR(__xludf.DUMMYFUNCTION("IMPORTXML(E3365,""/html/body/main/div[3]/div[3]/div[2]/ul/li[7]/span[2]/span"")"),"Loading...")</f>
        <v>Loading...</v>
      </c>
      <c r="S3365" s="7" t="str">
        <f ca="1">IFERROR(__xludf.DUMMYFUNCTION("IMPORTXML(E3365,""/html/body/main/div[3]/div[3]/div[2]/ul/li[8]/span[2]/span"")"),"Loading...")</f>
        <v>Loading...</v>
      </c>
      <c r="T3365" s="4">
        <v>34.6</v>
      </c>
      <c r="U3365" s="4">
        <v>22.7</v>
      </c>
      <c r="V3365" s="4">
        <v>2.6</v>
      </c>
      <c r="W3365" s="4">
        <v>5.7</v>
      </c>
      <c r="X3365" s="4">
        <v>519.92999999999995</v>
      </c>
      <c r="Y3365" s="7" t="e">
        <f t="shared" ca="1" si="69"/>
        <v>#VALUE!</v>
      </c>
    </row>
    <row r="3366" spans="1:25" ht="15" x14ac:dyDescent="0.25">
      <c r="A3366" s="4">
        <v>3357</v>
      </c>
      <c r="C3366" s="41" t="s">
        <v>5706</v>
      </c>
      <c r="D3366" s="42"/>
      <c r="E3366" s="5" t="str">
        <f t="shared" si="65"/>
        <v>https://www.screener.in/company//consolidated/</v>
      </c>
      <c r="F3366" s="4">
        <v>443059</v>
      </c>
      <c r="G3366" s="4">
        <v>3832241897</v>
      </c>
      <c r="H3366" s="6" t="e">
        <f t="shared" ca="1" si="66"/>
        <v>#VALUE!</v>
      </c>
      <c r="I3366" s="7" t="str">
        <f ca="1">IFERROR(__xludf.DUMMYFUNCTION("IMPORTXML(E3366,""/html/body/main/div[3]/div[3]/div[2]/ul/li[5]/span[2]/span"")"),"Loading...")</f>
        <v>Loading...</v>
      </c>
      <c r="J3366" s="7" t="str">
        <f ca="1">IFERROR(__xludf.DUMMYFUNCTION("GOOGLEFINANCE(""NSE:""&amp;D3366,""marketcap"")"),"#N/A")</f>
        <v>#N/A</v>
      </c>
      <c r="K3366" s="7">
        <v>992.8</v>
      </c>
      <c r="L3366" s="8" t="str">
        <f ca="1">IFERROR(__xludf.DUMMYFUNCTION("GOOGLEFINANCE(""NSE:""&amp;D3366,""price"")"),"#N/A")</f>
        <v>#N/A</v>
      </c>
      <c r="M3366" s="9" t="e">
        <f t="shared" ca="1" si="67"/>
        <v>#VALUE!</v>
      </c>
      <c r="N3366" s="10" t="e">
        <f t="shared" ca="1" si="68"/>
        <v>#VALUE!</v>
      </c>
      <c r="O3366" s="7" t="str">
        <f ca="1">IFERROR(__xludf.DUMMYFUNCTION("GOOGLEFINANCE(""NSE:""&amp;D3366,""pe"")"),"#N/A")</f>
        <v>#N/A</v>
      </c>
      <c r="P3366" s="7" t="str">
        <f ca="1">IFERROR(__xludf.DUMMYFUNCTION("GOOGLEFINANCE(""NSE:""&amp;D3366,""EPS"")"),"#N/A")</f>
        <v>#N/A</v>
      </c>
      <c r="Q3366" s="7">
        <v>13.5</v>
      </c>
      <c r="R3366" s="7" t="str">
        <f ca="1">IFERROR(__xludf.DUMMYFUNCTION("IMPORTXML(E3366,""/html/body/main/div[3]/div[3]/div[2]/ul/li[7]/span[2]/span"")"),"Loading...")</f>
        <v>Loading...</v>
      </c>
      <c r="S3366" s="7" t="str">
        <f ca="1">IFERROR(__xludf.DUMMYFUNCTION("IMPORTXML(E3366,""/html/body/main/div[3]/div[3]/div[2]/ul/li[8]/span[2]/span"")"),"Loading...")</f>
        <v>Loading...</v>
      </c>
      <c r="T3366" s="4">
        <v>34.6</v>
      </c>
      <c r="U3366" s="4">
        <v>22.7</v>
      </c>
      <c r="V3366" s="4">
        <v>2.6</v>
      </c>
      <c r="W3366" s="4">
        <v>5.7</v>
      </c>
      <c r="X3366" s="4">
        <v>519.92999999999995</v>
      </c>
      <c r="Y3366" s="7" t="e">
        <f t="shared" ca="1" si="69"/>
        <v>#VALUE!</v>
      </c>
    </row>
    <row r="3367" spans="1:25" ht="15" x14ac:dyDescent="0.25">
      <c r="A3367" s="4">
        <v>3358</v>
      </c>
      <c r="C3367" s="41" t="s">
        <v>5707</v>
      </c>
      <c r="D3367" s="42"/>
      <c r="E3367" s="5" t="str">
        <f t="shared" si="65"/>
        <v>https://www.screener.in/company//consolidated/</v>
      </c>
      <c r="F3367" s="4">
        <v>443059</v>
      </c>
      <c r="G3367" s="4">
        <v>3832241897</v>
      </c>
      <c r="H3367" s="6" t="e">
        <f t="shared" ca="1" si="66"/>
        <v>#VALUE!</v>
      </c>
      <c r="I3367" s="7" t="str">
        <f ca="1">IFERROR(__xludf.DUMMYFUNCTION("IMPORTXML(E3367,""/html/body/main/div[3]/div[3]/div[2]/ul/li[5]/span[2]/span"")"),"Loading...")</f>
        <v>Loading...</v>
      </c>
      <c r="J3367" s="7" t="str">
        <f ca="1">IFERROR(__xludf.DUMMYFUNCTION("GOOGLEFINANCE(""NSE:""&amp;D3367,""marketcap"")"),"#N/A")</f>
        <v>#N/A</v>
      </c>
      <c r="K3367" s="7">
        <v>992.8</v>
      </c>
      <c r="L3367" s="8" t="str">
        <f ca="1">IFERROR(__xludf.DUMMYFUNCTION("GOOGLEFINANCE(""NSE:""&amp;D3367,""price"")"),"#N/A")</f>
        <v>#N/A</v>
      </c>
      <c r="M3367" s="9" t="e">
        <f t="shared" ca="1" si="67"/>
        <v>#VALUE!</v>
      </c>
      <c r="N3367" s="10" t="e">
        <f t="shared" ca="1" si="68"/>
        <v>#VALUE!</v>
      </c>
      <c r="O3367" s="7" t="str">
        <f ca="1">IFERROR(__xludf.DUMMYFUNCTION("GOOGLEFINANCE(""NSE:""&amp;D3367,""pe"")"),"#N/A")</f>
        <v>#N/A</v>
      </c>
      <c r="P3367" s="7" t="str">
        <f ca="1">IFERROR(__xludf.DUMMYFUNCTION("GOOGLEFINANCE(""NSE:""&amp;D3367,""EPS"")"),"#N/A")</f>
        <v>#N/A</v>
      </c>
      <c r="Q3367" s="7">
        <v>13.5</v>
      </c>
      <c r="R3367" s="7" t="str">
        <f ca="1">IFERROR(__xludf.DUMMYFUNCTION("IMPORTXML(E3367,""/html/body/main/div[3]/div[3]/div[2]/ul/li[7]/span[2]/span"")"),"Loading...")</f>
        <v>Loading...</v>
      </c>
      <c r="S3367" s="7" t="str">
        <f ca="1">IFERROR(__xludf.DUMMYFUNCTION("IMPORTXML(E3367,""/html/body/main/div[3]/div[3]/div[2]/ul/li[8]/span[2]/span"")"),"Loading...")</f>
        <v>Loading...</v>
      </c>
      <c r="T3367" s="4">
        <v>34.6</v>
      </c>
      <c r="U3367" s="4">
        <v>22.7</v>
      </c>
      <c r="V3367" s="4">
        <v>2.6</v>
      </c>
      <c r="W3367" s="4">
        <v>5.7</v>
      </c>
      <c r="X3367" s="4">
        <v>519.92999999999995</v>
      </c>
      <c r="Y3367" s="7" t="e">
        <f t="shared" ca="1" si="69"/>
        <v>#VALUE!</v>
      </c>
    </row>
    <row r="3368" spans="1:25" ht="15" x14ac:dyDescent="0.25">
      <c r="A3368" s="4">
        <v>3359</v>
      </c>
      <c r="C3368" s="41" t="s">
        <v>5708</v>
      </c>
      <c r="D3368" s="42"/>
      <c r="E3368" s="5" t="str">
        <f t="shared" si="65"/>
        <v>https://www.screener.in/company//consolidated/</v>
      </c>
      <c r="F3368" s="4">
        <v>443059</v>
      </c>
      <c r="G3368" s="4">
        <v>3832241897</v>
      </c>
      <c r="H3368" s="6" t="e">
        <f t="shared" ca="1" si="66"/>
        <v>#VALUE!</v>
      </c>
      <c r="I3368" s="7" t="str">
        <f ca="1">IFERROR(__xludf.DUMMYFUNCTION("IMPORTXML(E3368,""/html/body/main/div[3]/div[3]/div[2]/ul/li[5]/span[2]/span"")"),"Loading...")</f>
        <v>Loading...</v>
      </c>
      <c r="J3368" s="7" t="str">
        <f ca="1">IFERROR(__xludf.DUMMYFUNCTION("GOOGLEFINANCE(""NSE:""&amp;D3368,""marketcap"")"),"#N/A")</f>
        <v>#N/A</v>
      </c>
      <c r="K3368" s="7">
        <v>992.8</v>
      </c>
      <c r="L3368" s="8" t="str">
        <f ca="1">IFERROR(__xludf.DUMMYFUNCTION("GOOGLEFINANCE(""NSE:""&amp;D3368,""price"")"),"#N/A")</f>
        <v>#N/A</v>
      </c>
      <c r="M3368" s="9" t="e">
        <f t="shared" ca="1" si="67"/>
        <v>#VALUE!</v>
      </c>
      <c r="N3368" s="10" t="e">
        <f t="shared" ca="1" si="68"/>
        <v>#VALUE!</v>
      </c>
      <c r="O3368" s="7" t="str">
        <f ca="1">IFERROR(__xludf.DUMMYFUNCTION("GOOGLEFINANCE(""NSE:""&amp;D3368,""pe"")"),"#N/A")</f>
        <v>#N/A</v>
      </c>
      <c r="P3368" s="7" t="str">
        <f ca="1">IFERROR(__xludf.DUMMYFUNCTION("GOOGLEFINANCE(""NSE:""&amp;D3368,""EPS"")"),"#N/A")</f>
        <v>#N/A</v>
      </c>
      <c r="Q3368" s="7">
        <v>13.5</v>
      </c>
      <c r="R3368" s="7" t="str">
        <f ca="1">IFERROR(__xludf.DUMMYFUNCTION("IMPORTXML(E3368,""/html/body/main/div[3]/div[3]/div[2]/ul/li[7]/span[2]/span"")"),"Loading...")</f>
        <v>Loading...</v>
      </c>
      <c r="S3368" s="7" t="str">
        <f ca="1">IFERROR(__xludf.DUMMYFUNCTION("IMPORTXML(E3368,""/html/body/main/div[3]/div[3]/div[2]/ul/li[8]/span[2]/span"")"),"Loading...")</f>
        <v>Loading...</v>
      </c>
      <c r="T3368" s="4">
        <v>34.6</v>
      </c>
      <c r="U3368" s="4">
        <v>22.7</v>
      </c>
      <c r="V3368" s="4">
        <v>2.6</v>
      </c>
      <c r="W3368" s="4">
        <v>5.7</v>
      </c>
      <c r="X3368" s="4">
        <v>519.92999999999995</v>
      </c>
      <c r="Y3368" s="7" t="e">
        <f t="shared" ca="1" si="69"/>
        <v>#VALUE!</v>
      </c>
    </row>
    <row r="3369" spans="1:25" ht="15" x14ac:dyDescent="0.25">
      <c r="A3369" s="4">
        <v>3360</v>
      </c>
      <c r="C3369" s="41" t="s">
        <v>5709</v>
      </c>
      <c r="D3369" s="42"/>
      <c r="E3369" s="5" t="str">
        <f t="shared" si="65"/>
        <v>https://www.screener.in/company//consolidated/</v>
      </c>
      <c r="F3369" s="4">
        <v>443059</v>
      </c>
      <c r="G3369" s="4">
        <v>3832241897</v>
      </c>
      <c r="H3369" s="6" t="e">
        <f t="shared" ca="1" si="66"/>
        <v>#VALUE!</v>
      </c>
      <c r="I3369" s="7" t="str">
        <f ca="1">IFERROR(__xludf.DUMMYFUNCTION("IMPORTXML(E3369,""/html/body/main/div[3]/div[3]/div[2]/ul/li[5]/span[2]/span"")"),"Loading...")</f>
        <v>Loading...</v>
      </c>
      <c r="J3369" s="7" t="str">
        <f ca="1">IFERROR(__xludf.DUMMYFUNCTION("GOOGLEFINANCE(""NSE:""&amp;D3369,""marketcap"")"),"#N/A")</f>
        <v>#N/A</v>
      </c>
      <c r="K3369" s="7">
        <v>992.8</v>
      </c>
      <c r="L3369" s="8" t="str">
        <f ca="1">IFERROR(__xludf.DUMMYFUNCTION("GOOGLEFINANCE(""NSE:""&amp;D3369,""price"")"),"#N/A")</f>
        <v>#N/A</v>
      </c>
      <c r="M3369" s="9" t="e">
        <f t="shared" ca="1" si="67"/>
        <v>#VALUE!</v>
      </c>
      <c r="N3369" s="10" t="e">
        <f t="shared" ca="1" si="68"/>
        <v>#VALUE!</v>
      </c>
      <c r="O3369" s="7" t="str">
        <f ca="1">IFERROR(__xludf.DUMMYFUNCTION("GOOGLEFINANCE(""NSE:""&amp;D3369,""pe"")"),"#N/A")</f>
        <v>#N/A</v>
      </c>
      <c r="P3369" s="7" t="str">
        <f ca="1">IFERROR(__xludf.DUMMYFUNCTION("GOOGLEFINANCE(""NSE:""&amp;D3369,""EPS"")"),"#N/A")</f>
        <v>#N/A</v>
      </c>
      <c r="Q3369" s="7">
        <v>13.5</v>
      </c>
      <c r="R3369" s="7" t="str">
        <f ca="1">IFERROR(__xludf.DUMMYFUNCTION("IMPORTXML(E3369,""/html/body/main/div[3]/div[3]/div[2]/ul/li[7]/span[2]/span"")"),"Loading...")</f>
        <v>Loading...</v>
      </c>
      <c r="S3369" s="7" t="str">
        <f ca="1">IFERROR(__xludf.DUMMYFUNCTION("IMPORTXML(E3369,""/html/body/main/div[3]/div[3]/div[2]/ul/li[8]/span[2]/span"")"),"Loading...")</f>
        <v>Loading...</v>
      </c>
      <c r="T3369" s="4">
        <v>34.6</v>
      </c>
      <c r="U3369" s="4">
        <v>22.7</v>
      </c>
      <c r="V3369" s="4">
        <v>2.6</v>
      </c>
      <c r="W3369" s="4">
        <v>5.7</v>
      </c>
      <c r="X3369" s="4">
        <v>519.92999999999995</v>
      </c>
      <c r="Y3369" s="7" t="e">
        <f t="shared" ca="1" si="69"/>
        <v>#VALUE!</v>
      </c>
    </row>
    <row r="3370" spans="1:25" ht="15" x14ac:dyDescent="0.25">
      <c r="A3370" s="4">
        <v>3361</v>
      </c>
      <c r="C3370" s="41" t="s">
        <v>5710</v>
      </c>
      <c r="D3370" s="42"/>
      <c r="E3370" s="5" t="str">
        <f t="shared" si="65"/>
        <v>https://www.screener.in/company//consolidated/</v>
      </c>
      <c r="F3370" s="4">
        <v>443059</v>
      </c>
      <c r="G3370" s="4">
        <v>3832241897</v>
      </c>
      <c r="H3370" s="6" t="e">
        <f t="shared" ca="1" si="66"/>
        <v>#VALUE!</v>
      </c>
      <c r="I3370" s="7" t="str">
        <f ca="1">IFERROR(__xludf.DUMMYFUNCTION("IMPORTXML(E3370,""/html/body/main/div[3]/div[3]/div[2]/ul/li[5]/span[2]/span"")"),"Loading...")</f>
        <v>Loading...</v>
      </c>
      <c r="J3370" s="7" t="str">
        <f ca="1">IFERROR(__xludf.DUMMYFUNCTION("GOOGLEFINANCE(""NSE:""&amp;D3370,""marketcap"")"),"#N/A")</f>
        <v>#N/A</v>
      </c>
      <c r="K3370" s="7">
        <v>992.8</v>
      </c>
      <c r="L3370" s="8" t="str">
        <f ca="1">IFERROR(__xludf.DUMMYFUNCTION("GOOGLEFINANCE(""NSE:""&amp;D3370,""price"")"),"#N/A")</f>
        <v>#N/A</v>
      </c>
      <c r="M3370" s="9" t="e">
        <f t="shared" ca="1" si="67"/>
        <v>#VALUE!</v>
      </c>
      <c r="N3370" s="10" t="e">
        <f t="shared" ca="1" si="68"/>
        <v>#VALUE!</v>
      </c>
      <c r="O3370" s="7" t="str">
        <f ca="1">IFERROR(__xludf.DUMMYFUNCTION("GOOGLEFINANCE(""NSE:""&amp;D3370,""pe"")"),"#N/A")</f>
        <v>#N/A</v>
      </c>
      <c r="P3370" s="7" t="str">
        <f ca="1">IFERROR(__xludf.DUMMYFUNCTION("GOOGLEFINANCE(""NSE:""&amp;D3370,""EPS"")"),"#N/A")</f>
        <v>#N/A</v>
      </c>
      <c r="Q3370" s="7">
        <v>13.5</v>
      </c>
      <c r="R3370" s="7" t="str">
        <f ca="1">IFERROR(__xludf.DUMMYFUNCTION("IMPORTXML(E3370,""/html/body/main/div[3]/div[3]/div[2]/ul/li[7]/span[2]/span"")"),"Loading...")</f>
        <v>Loading...</v>
      </c>
      <c r="S3370" s="7" t="str">
        <f ca="1">IFERROR(__xludf.DUMMYFUNCTION("IMPORTXML(E3370,""/html/body/main/div[3]/div[3]/div[2]/ul/li[8]/span[2]/span"")"),"Loading...")</f>
        <v>Loading...</v>
      </c>
      <c r="T3370" s="4">
        <v>34.6</v>
      </c>
      <c r="U3370" s="4">
        <v>22.7</v>
      </c>
      <c r="V3370" s="4">
        <v>2.6</v>
      </c>
      <c r="W3370" s="4">
        <v>5.7</v>
      </c>
      <c r="X3370" s="4">
        <v>519.92999999999995</v>
      </c>
      <c r="Y3370" s="7" t="e">
        <f t="shared" ca="1" si="69"/>
        <v>#VALUE!</v>
      </c>
    </row>
    <row r="3371" spans="1:25" ht="15" x14ac:dyDescent="0.25">
      <c r="A3371" s="4">
        <v>3362</v>
      </c>
      <c r="C3371" s="41" t="s">
        <v>5711</v>
      </c>
      <c r="D3371" s="42"/>
      <c r="E3371" s="5" t="str">
        <f t="shared" si="65"/>
        <v>https://www.screener.in/company//consolidated/</v>
      </c>
      <c r="F3371" s="4">
        <v>443059</v>
      </c>
      <c r="G3371" s="4">
        <v>3832241897</v>
      </c>
      <c r="H3371" s="6" t="e">
        <f t="shared" ca="1" si="66"/>
        <v>#VALUE!</v>
      </c>
      <c r="I3371" s="7" t="str">
        <f ca="1">IFERROR(__xludf.DUMMYFUNCTION("IMPORTXML(E3371,""/html/body/main/div[3]/div[3]/div[2]/ul/li[5]/span[2]/span"")"),"Loading...")</f>
        <v>Loading...</v>
      </c>
      <c r="J3371" s="7" t="str">
        <f ca="1">IFERROR(__xludf.DUMMYFUNCTION("GOOGLEFINANCE(""NSE:""&amp;D3371,""marketcap"")"),"#N/A")</f>
        <v>#N/A</v>
      </c>
      <c r="K3371" s="7">
        <v>992.8</v>
      </c>
      <c r="L3371" s="8" t="str">
        <f ca="1">IFERROR(__xludf.DUMMYFUNCTION("GOOGLEFINANCE(""NSE:""&amp;D3371,""price"")"),"#N/A")</f>
        <v>#N/A</v>
      </c>
      <c r="M3371" s="9" t="e">
        <f t="shared" ca="1" si="67"/>
        <v>#VALUE!</v>
      </c>
      <c r="N3371" s="10" t="e">
        <f t="shared" ca="1" si="68"/>
        <v>#VALUE!</v>
      </c>
      <c r="O3371" s="7" t="str">
        <f ca="1">IFERROR(__xludf.DUMMYFUNCTION("GOOGLEFINANCE(""NSE:""&amp;D3371,""pe"")"),"#N/A")</f>
        <v>#N/A</v>
      </c>
      <c r="P3371" s="7" t="str">
        <f ca="1">IFERROR(__xludf.DUMMYFUNCTION("GOOGLEFINANCE(""NSE:""&amp;D3371,""EPS"")"),"#N/A")</f>
        <v>#N/A</v>
      </c>
      <c r="Q3371" s="7">
        <v>13.5</v>
      </c>
      <c r="R3371" s="7" t="str">
        <f ca="1">IFERROR(__xludf.DUMMYFUNCTION("IMPORTXML(E3371,""/html/body/main/div[3]/div[3]/div[2]/ul/li[7]/span[2]/span"")"),"Loading...")</f>
        <v>Loading...</v>
      </c>
      <c r="S3371" s="7" t="str">
        <f ca="1">IFERROR(__xludf.DUMMYFUNCTION("IMPORTXML(E3371,""/html/body/main/div[3]/div[3]/div[2]/ul/li[8]/span[2]/span"")"),"Loading...")</f>
        <v>Loading...</v>
      </c>
      <c r="T3371" s="4">
        <v>34.6</v>
      </c>
      <c r="U3371" s="4">
        <v>22.7</v>
      </c>
      <c r="V3371" s="4">
        <v>2.6</v>
      </c>
      <c r="W3371" s="4">
        <v>5.7</v>
      </c>
      <c r="X3371" s="4">
        <v>519.92999999999995</v>
      </c>
      <c r="Y3371" s="7" t="e">
        <f t="shared" ca="1" si="69"/>
        <v>#VALUE!</v>
      </c>
    </row>
    <row r="3372" spans="1:25" ht="15" x14ac:dyDescent="0.25">
      <c r="A3372" s="4">
        <v>3363</v>
      </c>
      <c r="C3372" s="41" t="s">
        <v>5712</v>
      </c>
      <c r="D3372" s="42"/>
      <c r="E3372" s="5" t="str">
        <f t="shared" si="65"/>
        <v>https://www.screener.in/company//consolidated/</v>
      </c>
      <c r="F3372" s="4">
        <v>443059</v>
      </c>
      <c r="G3372" s="4">
        <v>3832241897</v>
      </c>
      <c r="H3372" s="6" t="e">
        <f t="shared" ca="1" si="66"/>
        <v>#VALUE!</v>
      </c>
      <c r="I3372" s="7" t="str">
        <f ca="1">IFERROR(__xludf.DUMMYFUNCTION("IMPORTXML(E3372,""/html/body/main/div[3]/div[3]/div[2]/ul/li[5]/span[2]/span"")"),"Loading...")</f>
        <v>Loading...</v>
      </c>
      <c r="J3372" s="7" t="str">
        <f ca="1">IFERROR(__xludf.DUMMYFUNCTION("GOOGLEFINANCE(""NSE:""&amp;D3372,""marketcap"")"),"#N/A")</f>
        <v>#N/A</v>
      </c>
      <c r="K3372" s="7">
        <v>992.8</v>
      </c>
      <c r="L3372" s="8" t="str">
        <f ca="1">IFERROR(__xludf.DUMMYFUNCTION("GOOGLEFINANCE(""NSE:""&amp;D3372,""price"")"),"#N/A")</f>
        <v>#N/A</v>
      </c>
      <c r="M3372" s="9" t="e">
        <f t="shared" ca="1" si="67"/>
        <v>#VALUE!</v>
      </c>
      <c r="N3372" s="10" t="e">
        <f t="shared" ca="1" si="68"/>
        <v>#VALUE!</v>
      </c>
      <c r="O3372" s="7" t="str">
        <f ca="1">IFERROR(__xludf.DUMMYFUNCTION("GOOGLEFINANCE(""NSE:""&amp;D3372,""pe"")"),"#N/A")</f>
        <v>#N/A</v>
      </c>
      <c r="P3372" s="7" t="str">
        <f ca="1">IFERROR(__xludf.DUMMYFUNCTION("GOOGLEFINANCE(""NSE:""&amp;D3372,""EPS"")"),"#N/A")</f>
        <v>#N/A</v>
      </c>
      <c r="Q3372" s="7">
        <v>13.5</v>
      </c>
      <c r="R3372" s="7" t="str">
        <f ca="1">IFERROR(__xludf.DUMMYFUNCTION("IMPORTXML(E3372,""/html/body/main/div[3]/div[3]/div[2]/ul/li[7]/span[2]/span"")"),"Loading...")</f>
        <v>Loading...</v>
      </c>
      <c r="S3372" s="7" t="str">
        <f ca="1">IFERROR(__xludf.DUMMYFUNCTION("IMPORTXML(E3372,""/html/body/main/div[3]/div[3]/div[2]/ul/li[8]/span[2]/span"")"),"Loading...")</f>
        <v>Loading...</v>
      </c>
      <c r="T3372" s="4">
        <v>34.6</v>
      </c>
      <c r="U3372" s="4">
        <v>22.7</v>
      </c>
      <c r="V3372" s="4">
        <v>2.6</v>
      </c>
      <c r="W3372" s="4">
        <v>5.7</v>
      </c>
      <c r="X3372" s="4">
        <v>519.92999999999995</v>
      </c>
      <c r="Y3372" s="7" t="e">
        <f t="shared" ca="1" si="69"/>
        <v>#VALUE!</v>
      </c>
    </row>
    <row r="3373" spans="1:25" ht="15" x14ac:dyDescent="0.25">
      <c r="A3373" s="4">
        <v>3364</v>
      </c>
      <c r="C3373" s="41" t="s">
        <v>5713</v>
      </c>
      <c r="D3373" s="42"/>
      <c r="E3373" s="5" t="str">
        <f t="shared" si="65"/>
        <v>https://www.screener.in/company//consolidated/</v>
      </c>
      <c r="F3373" s="4">
        <v>443059</v>
      </c>
      <c r="G3373" s="4">
        <v>3832241897</v>
      </c>
      <c r="H3373" s="6" t="e">
        <f t="shared" ca="1" si="66"/>
        <v>#VALUE!</v>
      </c>
      <c r="I3373" s="7" t="str">
        <f ca="1">IFERROR(__xludf.DUMMYFUNCTION("IMPORTXML(E3373,""/html/body/main/div[3]/div[3]/div[2]/ul/li[5]/span[2]/span"")"),"Loading...")</f>
        <v>Loading...</v>
      </c>
      <c r="J3373" s="7" t="str">
        <f ca="1">IFERROR(__xludf.DUMMYFUNCTION("GOOGLEFINANCE(""NSE:""&amp;D3373,""marketcap"")"),"#N/A")</f>
        <v>#N/A</v>
      </c>
      <c r="K3373" s="7">
        <v>992.8</v>
      </c>
      <c r="L3373" s="8" t="str">
        <f ca="1">IFERROR(__xludf.DUMMYFUNCTION("GOOGLEFINANCE(""NSE:""&amp;D3373,""price"")"),"#N/A")</f>
        <v>#N/A</v>
      </c>
      <c r="M3373" s="9" t="e">
        <f t="shared" ca="1" si="67"/>
        <v>#VALUE!</v>
      </c>
      <c r="N3373" s="10" t="e">
        <f t="shared" ca="1" si="68"/>
        <v>#VALUE!</v>
      </c>
      <c r="O3373" s="7" t="str">
        <f ca="1">IFERROR(__xludf.DUMMYFUNCTION("GOOGLEFINANCE(""NSE:""&amp;D3373,""pe"")"),"#N/A")</f>
        <v>#N/A</v>
      </c>
      <c r="P3373" s="7" t="str">
        <f ca="1">IFERROR(__xludf.DUMMYFUNCTION("GOOGLEFINANCE(""NSE:""&amp;D3373,""EPS"")"),"#N/A")</f>
        <v>#N/A</v>
      </c>
      <c r="Q3373" s="7">
        <v>13.5</v>
      </c>
      <c r="R3373" s="7" t="str">
        <f ca="1">IFERROR(__xludf.DUMMYFUNCTION("IMPORTXML(E3373,""/html/body/main/div[3]/div[3]/div[2]/ul/li[7]/span[2]/span"")"),"Loading...")</f>
        <v>Loading...</v>
      </c>
      <c r="S3373" s="7" t="str">
        <f ca="1">IFERROR(__xludf.DUMMYFUNCTION("IMPORTXML(E3373,""/html/body/main/div[3]/div[3]/div[2]/ul/li[8]/span[2]/span"")"),"Loading...")</f>
        <v>Loading...</v>
      </c>
      <c r="T3373" s="4">
        <v>34.6</v>
      </c>
      <c r="U3373" s="4">
        <v>22.7</v>
      </c>
      <c r="V3373" s="4">
        <v>2.6</v>
      </c>
      <c r="W3373" s="4">
        <v>5.7</v>
      </c>
      <c r="X3373" s="4">
        <v>519.92999999999995</v>
      </c>
      <c r="Y3373" s="7" t="e">
        <f t="shared" ca="1" si="69"/>
        <v>#VALUE!</v>
      </c>
    </row>
    <row r="3374" spans="1:25" ht="15" x14ac:dyDescent="0.25">
      <c r="A3374" s="4">
        <v>3365</v>
      </c>
      <c r="C3374" s="41" t="s">
        <v>5714</v>
      </c>
      <c r="D3374" s="42"/>
      <c r="E3374" s="5" t="str">
        <f t="shared" si="65"/>
        <v>https://www.screener.in/company//consolidated/</v>
      </c>
      <c r="F3374" s="4">
        <v>443059</v>
      </c>
      <c r="G3374" s="4">
        <v>3832241897</v>
      </c>
      <c r="H3374" s="6" t="e">
        <f t="shared" ca="1" si="66"/>
        <v>#VALUE!</v>
      </c>
      <c r="I3374" s="7" t="str">
        <f ca="1">IFERROR(__xludf.DUMMYFUNCTION("IMPORTXML(E3374,""/html/body/main/div[3]/div[3]/div[2]/ul/li[5]/span[2]/span"")"),"Loading...")</f>
        <v>Loading...</v>
      </c>
      <c r="J3374" s="7" t="str">
        <f ca="1">IFERROR(__xludf.DUMMYFUNCTION("GOOGLEFINANCE(""NSE:""&amp;D3374,""marketcap"")"),"#N/A")</f>
        <v>#N/A</v>
      </c>
      <c r="K3374" s="7">
        <v>992.8</v>
      </c>
      <c r="L3374" s="8" t="str">
        <f ca="1">IFERROR(__xludf.DUMMYFUNCTION("GOOGLEFINANCE(""NSE:""&amp;D3374,""price"")"),"#N/A")</f>
        <v>#N/A</v>
      </c>
      <c r="M3374" s="9" t="e">
        <f t="shared" ca="1" si="67"/>
        <v>#VALUE!</v>
      </c>
      <c r="N3374" s="10" t="e">
        <f t="shared" ca="1" si="68"/>
        <v>#VALUE!</v>
      </c>
      <c r="O3374" s="7" t="str">
        <f ca="1">IFERROR(__xludf.DUMMYFUNCTION("GOOGLEFINANCE(""NSE:""&amp;D3374,""pe"")"),"#N/A")</f>
        <v>#N/A</v>
      </c>
      <c r="P3374" s="7" t="str">
        <f ca="1">IFERROR(__xludf.DUMMYFUNCTION("GOOGLEFINANCE(""NSE:""&amp;D3374,""EPS"")"),"#N/A")</f>
        <v>#N/A</v>
      </c>
      <c r="Q3374" s="7">
        <v>13.5</v>
      </c>
      <c r="R3374" s="7" t="str">
        <f ca="1">IFERROR(__xludf.DUMMYFUNCTION("IMPORTXML(E3374,""/html/body/main/div[3]/div[3]/div[2]/ul/li[7]/span[2]/span"")"),"Loading...")</f>
        <v>Loading...</v>
      </c>
      <c r="S3374" s="7" t="str">
        <f ca="1">IFERROR(__xludf.DUMMYFUNCTION("IMPORTXML(E3374,""/html/body/main/div[3]/div[3]/div[2]/ul/li[8]/span[2]/span"")"),"Loading...")</f>
        <v>Loading...</v>
      </c>
      <c r="T3374" s="4">
        <v>34.6</v>
      </c>
      <c r="U3374" s="4">
        <v>22.7</v>
      </c>
      <c r="V3374" s="4">
        <v>2.6</v>
      </c>
      <c r="W3374" s="4">
        <v>5.7</v>
      </c>
      <c r="X3374" s="4">
        <v>519.92999999999995</v>
      </c>
      <c r="Y3374" s="7" t="e">
        <f t="shared" ca="1" si="69"/>
        <v>#VALUE!</v>
      </c>
    </row>
    <row r="3375" spans="1:25" ht="15" x14ac:dyDescent="0.25">
      <c r="A3375" s="4">
        <v>3366</v>
      </c>
      <c r="C3375" s="41" t="s">
        <v>5715</v>
      </c>
      <c r="D3375" s="42"/>
      <c r="E3375" s="5" t="str">
        <f t="shared" si="65"/>
        <v>https://www.screener.in/company//consolidated/</v>
      </c>
      <c r="F3375" s="4">
        <v>443059</v>
      </c>
      <c r="G3375" s="4">
        <v>3832241897</v>
      </c>
      <c r="H3375" s="6" t="e">
        <f t="shared" ca="1" si="66"/>
        <v>#VALUE!</v>
      </c>
      <c r="I3375" s="7" t="str">
        <f ca="1">IFERROR(__xludf.DUMMYFUNCTION("IMPORTXML(E3375,""/html/body/main/div[3]/div[3]/div[2]/ul/li[5]/span[2]/span"")"),"Loading...")</f>
        <v>Loading...</v>
      </c>
      <c r="J3375" s="7" t="str">
        <f ca="1">IFERROR(__xludf.DUMMYFUNCTION("GOOGLEFINANCE(""NSE:""&amp;D3375,""marketcap"")"),"#N/A")</f>
        <v>#N/A</v>
      </c>
      <c r="K3375" s="7">
        <v>992.8</v>
      </c>
      <c r="L3375" s="8" t="str">
        <f ca="1">IFERROR(__xludf.DUMMYFUNCTION("GOOGLEFINANCE(""NSE:""&amp;D3375,""price"")"),"#N/A")</f>
        <v>#N/A</v>
      </c>
      <c r="M3375" s="9" t="e">
        <f t="shared" ca="1" si="67"/>
        <v>#VALUE!</v>
      </c>
      <c r="N3375" s="10" t="e">
        <f t="shared" ca="1" si="68"/>
        <v>#VALUE!</v>
      </c>
      <c r="O3375" s="7" t="str">
        <f ca="1">IFERROR(__xludf.DUMMYFUNCTION("GOOGLEFINANCE(""NSE:""&amp;D3375,""pe"")"),"#N/A")</f>
        <v>#N/A</v>
      </c>
      <c r="P3375" s="7" t="str">
        <f ca="1">IFERROR(__xludf.DUMMYFUNCTION("GOOGLEFINANCE(""NSE:""&amp;D3375,""EPS"")"),"#N/A")</f>
        <v>#N/A</v>
      </c>
      <c r="Q3375" s="7">
        <v>13.5</v>
      </c>
      <c r="R3375" s="7" t="str">
        <f ca="1">IFERROR(__xludf.DUMMYFUNCTION("IMPORTXML(E3375,""/html/body/main/div[3]/div[3]/div[2]/ul/li[7]/span[2]/span"")"),"Loading...")</f>
        <v>Loading...</v>
      </c>
      <c r="S3375" s="7" t="str">
        <f ca="1">IFERROR(__xludf.DUMMYFUNCTION("IMPORTXML(E3375,""/html/body/main/div[3]/div[3]/div[2]/ul/li[8]/span[2]/span"")"),"Loading...")</f>
        <v>Loading...</v>
      </c>
      <c r="T3375" s="4">
        <v>34.6</v>
      </c>
      <c r="U3375" s="4">
        <v>22.7</v>
      </c>
      <c r="V3375" s="4">
        <v>2.6</v>
      </c>
      <c r="W3375" s="4">
        <v>5.7</v>
      </c>
      <c r="X3375" s="4">
        <v>519.92999999999995</v>
      </c>
      <c r="Y3375" s="7" t="e">
        <f t="shared" ca="1" si="69"/>
        <v>#VALUE!</v>
      </c>
    </row>
    <row r="3376" spans="1:25" ht="15" x14ac:dyDescent="0.25">
      <c r="A3376" s="4">
        <v>3367</v>
      </c>
      <c r="C3376" s="41" t="s">
        <v>5716</v>
      </c>
      <c r="D3376" s="42"/>
      <c r="E3376" s="5" t="str">
        <f t="shared" si="65"/>
        <v>https://www.screener.in/company//consolidated/</v>
      </c>
      <c r="F3376" s="4">
        <v>443059</v>
      </c>
      <c r="G3376" s="4">
        <v>3832241897</v>
      </c>
      <c r="H3376" s="6" t="e">
        <f t="shared" ca="1" si="66"/>
        <v>#VALUE!</v>
      </c>
      <c r="I3376" s="7" t="str">
        <f ca="1">IFERROR(__xludf.DUMMYFUNCTION("IMPORTXML(E3376,""/html/body/main/div[3]/div[3]/div[2]/ul/li[5]/span[2]/span"")"),"Loading...")</f>
        <v>Loading...</v>
      </c>
      <c r="J3376" s="7" t="str">
        <f ca="1">IFERROR(__xludf.DUMMYFUNCTION("GOOGLEFINANCE(""NSE:""&amp;D3376,""marketcap"")"),"#N/A")</f>
        <v>#N/A</v>
      </c>
      <c r="K3376" s="7">
        <v>992.8</v>
      </c>
      <c r="L3376" s="8" t="str">
        <f ca="1">IFERROR(__xludf.DUMMYFUNCTION("GOOGLEFINANCE(""NSE:""&amp;D3376,""price"")"),"#N/A")</f>
        <v>#N/A</v>
      </c>
      <c r="M3376" s="9" t="e">
        <f t="shared" ca="1" si="67"/>
        <v>#VALUE!</v>
      </c>
      <c r="N3376" s="10" t="e">
        <f t="shared" ca="1" si="68"/>
        <v>#VALUE!</v>
      </c>
      <c r="O3376" s="7" t="str">
        <f ca="1">IFERROR(__xludf.DUMMYFUNCTION("GOOGLEFINANCE(""NSE:""&amp;D3376,""pe"")"),"#N/A")</f>
        <v>#N/A</v>
      </c>
      <c r="P3376" s="7" t="str">
        <f ca="1">IFERROR(__xludf.DUMMYFUNCTION("GOOGLEFINANCE(""NSE:""&amp;D3376,""EPS"")"),"#N/A")</f>
        <v>#N/A</v>
      </c>
      <c r="Q3376" s="7">
        <v>13.5</v>
      </c>
      <c r="R3376" s="7" t="str">
        <f ca="1">IFERROR(__xludf.DUMMYFUNCTION("IMPORTXML(E3376,""/html/body/main/div[3]/div[3]/div[2]/ul/li[7]/span[2]/span"")"),"Loading...")</f>
        <v>Loading...</v>
      </c>
      <c r="S3376" s="7" t="str">
        <f ca="1">IFERROR(__xludf.DUMMYFUNCTION("IMPORTXML(E3376,""/html/body/main/div[3]/div[3]/div[2]/ul/li[8]/span[2]/span"")"),"Loading...")</f>
        <v>Loading...</v>
      </c>
      <c r="T3376" s="4">
        <v>34.6</v>
      </c>
      <c r="U3376" s="4">
        <v>22.7</v>
      </c>
      <c r="V3376" s="4">
        <v>2.6</v>
      </c>
      <c r="W3376" s="4">
        <v>5.7</v>
      </c>
      <c r="X3376" s="4">
        <v>519.92999999999995</v>
      </c>
      <c r="Y3376" s="7" t="e">
        <f t="shared" ca="1" si="69"/>
        <v>#VALUE!</v>
      </c>
    </row>
    <row r="3377" spans="1:25" ht="15" x14ac:dyDescent="0.25">
      <c r="A3377" s="4">
        <v>3368</v>
      </c>
      <c r="C3377" s="41" t="s">
        <v>5717</v>
      </c>
      <c r="D3377" s="42"/>
      <c r="E3377" s="5" t="str">
        <f t="shared" si="65"/>
        <v>https://www.screener.in/company//consolidated/</v>
      </c>
      <c r="F3377" s="4">
        <v>443059</v>
      </c>
      <c r="G3377" s="4">
        <v>3832241897</v>
      </c>
      <c r="H3377" s="6" t="e">
        <f t="shared" ca="1" si="66"/>
        <v>#VALUE!</v>
      </c>
      <c r="I3377" s="7" t="str">
        <f ca="1">IFERROR(__xludf.DUMMYFUNCTION("IMPORTXML(E3377,""/html/body/main/div[3]/div[3]/div[2]/ul/li[5]/span[2]/span"")"),"Loading...")</f>
        <v>Loading...</v>
      </c>
      <c r="J3377" s="7" t="str">
        <f ca="1">IFERROR(__xludf.DUMMYFUNCTION("GOOGLEFINANCE(""NSE:""&amp;D3377,""marketcap"")"),"#N/A")</f>
        <v>#N/A</v>
      </c>
      <c r="K3377" s="7">
        <v>992.8</v>
      </c>
      <c r="L3377" s="8" t="str">
        <f ca="1">IFERROR(__xludf.DUMMYFUNCTION("GOOGLEFINANCE(""NSE:""&amp;D3377,""price"")"),"#N/A")</f>
        <v>#N/A</v>
      </c>
      <c r="M3377" s="9" t="e">
        <f t="shared" ca="1" si="67"/>
        <v>#VALUE!</v>
      </c>
      <c r="N3377" s="10" t="e">
        <f t="shared" ca="1" si="68"/>
        <v>#VALUE!</v>
      </c>
      <c r="O3377" s="7" t="str">
        <f ca="1">IFERROR(__xludf.DUMMYFUNCTION("GOOGLEFINANCE(""NSE:""&amp;D3377,""pe"")"),"#N/A")</f>
        <v>#N/A</v>
      </c>
      <c r="P3377" s="7" t="str">
        <f ca="1">IFERROR(__xludf.DUMMYFUNCTION("GOOGLEFINANCE(""NSE:""&amp;D3377,""EPS"")"),"#N/A")</f>
        <v>#N/A</v>
      </c>
      <c r="Q3377" s="7">
        <v>13.5</v>
      </c>
      <c r="R3377" s="7" t="str">
        <f ca="1">IFERROR(__xludf.DUMMYFUNCTION("IMPORTXML(E3377,""/html/body/main/div[3]/div[3]/div[2]/ul/li[7]/span[2]/span"")"),"Loading...")</f>
        <v>Loading...</v>
      </c>
      <c r="S3377" s="7" t="str">
        <f ca="1">IFERROR(__xludf.DUMMYFUNCTION("IMPORTXML(E3377,""/html/body/main/div[3]/div[3]/div[2]/ul/li[8]/span[2]/span"")"),"Loading...")</f>
        <v>Loading...</v>
      </c>
      <c r="T3377" s="4">
        <v>34.6</v>
      </c>
      <c r="U3377" s="4">
        <v>22.7</v>
      </c>
      <c r="V3377" s="4">
        <v>2.6</v>
      </c>
      <c r="W3377" s="4">
        <v>5.7</v>
      </c>
      <c r="X3377" s="4">
        <v>519.92999999999995</v>
      </c>
      <c r="Y3377" s="7" t="e">
        <f t="shared" ca="1" si="69"/>
        <v>#VALUE!</v>
      </c>
    </row>
    <row r="3378" spans="1:25" ht="15" x14ac:dyDescent="0.25">
      <c r="A3378" s="4">
        <v>3369</v>
      </c>
      <c r="C3378" s="41" t="s">
        <v>5718</v>
      </c>
      <c r="D3378" s="42"/>
      <c r="E3378" s="5" t="str">
        <f t="shared" si="65"/>
        <v>https://www.screener.in/company//consolidated/</v>
      </c>
      <c r="F3378" s="4">
        <v>443059</v>
      </c>
      <c r="G3378" s="4">
        <v>3832241897</v>
      </c>
      <c r="H3378" s="6" t="e">
        <f t="shared" ca="1" si="66"/>
        <v>#VALUE!</v>
      </c>
      <c r="I3378" s="7" t="str">
        <f ca="1">IFERROR(__xludf.DUMMYFUNCTION("IMPORTXML(E3378,""/html/body/main/div[3]/div[3]/div[2]/ul/li[5]/span[2]/span"")"),"Loading...")</f>
        <v>Loading...</v>
      </c>
      <c r="J3378" s="7" t="str">
        <f ca="1">IFERROR(__xludf.DUMMYFUNCTION("GOOGLEFINANCE(""NSE:""&amp;D3378,""marketcap"")"),"#N/A")</f>
        <v>#N/A</v>
      </c>
      <c r="K3378" s="7">
        <v>992.8</v>
      </c>
      <c r="L3378" s="8" t="str">
        <f ca="1">IFERROR(__xludf.DUMMYFUNCTION("GOOGLEFINANCE(""NSE:""&amp;D3378,""price"")"),"#N/A")</f>
        <v>#N/A</v>
      </c>
      <c r="M3378" s="9" t="e">
        <f t="shared" ca="1" si="67"/>
        <v>#VALUE!</v>
      </c>
      <c r="N3378" s="10" t="e">
        <f t="shared" ca="1" si="68"/>
        <v>#VALUE!</v>
      </c>
      <c r="O3378" s="7" t="str">
        <f ca="1">IFERROR(__xludf.DUMMYFUNCTION("GOOGLEFINANCE(""NSE:""&amp;D3378,""pe"")"),"#N/A")</f>
        <v>#N/A</v>
      </c>
      <c r="P3378" s="7" t="str">
        <f ca="1">IFERROR(__xludf.DUMMYFUNCTION("GOOGLEFINANCE(""NSE:""&amp;D3378,""EPS"")"),"#N/A")</f>
        <v>#N/A</v>
      </c>
      <c r="Q3378" s="7">
        <v>13.5</v>
      </c>
      <c r="R3378" s="7" t="str">
        <f ca="1">IFERROR(__xludf.DUMMYFUNCTION("IMPORTXML(E3378,""/html/body/main/div[3]/div[3]/div[2]/ul/li[7]/span[2]/span"")"),"Loading...")</f>
        <v>Loading...</v>
      </c>
      <c r="S3378" s="7" t="str">
        <f ca="1">IFERROR(__xludf.DUMMYFUNCTION("IMPORTXML(E3378,""/html/body/main/div[3]/div[3]/div[2]/ul/li[8]/span[2]/span"")"),"Loading...")</f>
        <v>Loading...</v>
      </c>
      <c r="T3378" s="4">
        <v>34.6</v>
      </c>
      <c r="U3378" s="4">
        <v>22.7</v>
      </c>
      <c r="V3378" s="4">
        <v>2.6</v>
      </c>
      <c r="W3378" s="4">
        <v>5.7</v>
      </c>
      <c r="X3378" s="4">
        <v>519.92999999999995</v>
      </c>
      <c r="Y3378" s="7" t="e">
        <f t="shared" ca="1" si="69"/>
        <v>#VALUE!</v>
      </c>
    </row>
    <row r="3379" spans="1:25" ht="15" x14ac:dyDescent="0.25">
      <c r="A3379" s="4">
        <v>3370</v>
      </c>
      <c r="C3379" s="12" t="s">
        <v>5719</v>
      </c>
      <c r="D3379" s="12" t="s">
        <v>5720</v>
      </c>
      <c r="E3379" s="5" t="str">
        <f t="shared" si="65"/>
        <v>https://www.screener.in/company/HEADSUP/consolidated/</v>
      </c>
      <c r="F3379" s="4">
        <v>443059</v>
      </c>
      <c r="G3379" s="4">
        <v>3832241897</v>
      </c>
      <c r="H3379" s="6">
        <f t="shared" ca="1" si="66"/>
        <v>4100.498829789999</v>
      </c>
      <c r="I3379" s="7" t="str">
        <f ca="1">IFERROR(__xludf.DUMMYFUNCTION("IMPORTXML(E3379,""/html/body/main/div[3]/div[3]/div[2]/ul/li[5]/span[2]/span"")"),"Loading...")</f>
        <v>Loading...</v>
      </c>
      <c r="J3379" s="7">
        <f ca="1">IFERROR(__xludf.DUMMYFUNCTION("GOOGLEFINANCE(""NSE:""&amp;D3379,""marketcap"")"),236275345)</f>
        <v>236275345</v>
      </c>
      <c r="K3379" s="7">
        <v>992.8</v>
      </c>
      <c r="L3379" s="8">
        <f ca="1">IFERROR(__xludf.DUMMYFUNCTION("GOOGLEFINANCE(""NSE:""&amp;D3379,""price"")"),10.7)</f>
        <v>10.7</v>
      </c>
      <c r="M3379" s="9">
        <f t="shared" ca="1" si="67"/>
        <v>-982.09999999999991</v>
      </c>
      <c r="N3379" s="10">
        <f t="shared" ca="1" si="68"/>
        <v>-98.92224012892828</v>
      </c>
      <c r="O3379" s="7" t="str">
        <f ca="1">IFERROR(__xludf.DUMMYFUNCTION("GOOGLEFINANCE(""NSE:""&amp;D3379,""pe"")"),"#N/A")</f>
        <v>#N/A</v>
      </c>
      <c r="P3379" s="7" t="str">
        <f ca="1">IFERROR(__xludf.DUMMYFUNCTION("GOOGLEFINANCE(""NSE:""&amp;D3379,""EPS"")"),"#N/A")</f>
        <v>#N/A</v>
      </c>
      <c r="Q3379" s="7">
        <v>13.5</v>
      </c>
      <c r="R3379" s="7" t="str">
        <f ca="1">IFERROR(__xludf.DUMMYFUNCTION("IMPORTXML(E3379,""/html/body/main/div[3]/div[3]/div[2]/ul/li[7]/span[2]/span"")"),"Loading...")</f>
        <v>Loading...</v>
      </c>
      <c r="S3379" s="7" t="str">
        <f ca="1">IFERROR(__xludf.DUMMYFUNCTION("IMPORTXML(E3379,""/html/body/main/div[3]/div[3]/div[2]/ul/li[8]/span[2]/span"")"),"Loading...")</f>
        <v>Loading...</v>
      </c>
      <c r="T3379" s="4">
        <v>34.6</v>
      </c>
      <c r="U3379" s="4">
        <v>22.7</v>
      </c>
      <c r="V3379" s="4">
        <v>2.6</v>
      </c>
      <c r="W3379" s="4">
        <v>5.7</v>
      </c>
      <c r="X3379" s="4">
        <v>519.92999999999995</v>
      </c>
      <c r="Y3379" s="7">
        <f t="shared" ca="1" si="69"/>
        <v>-509.22999999999996</v>
      </c>
    </row>
    <row r="3380" spans="1:25" ht="15" x14ac:dyDescent="0.25">
      <c r="A3380" s="4">
        <v>3371</v>
      </c>
      <c r="C3380" s="41" t="s">
        <v>5721</v>
      </c>
      <c r="D3380" s="42"/>
      <c r="E3380" s="5" t="str">
        <f t="shared" si="65"/>
        <v>https://www.screener.in/company//consolidated/</v>
      </c>
      <c r="F3380" s="4">
        <v>443059</v>
      </c>
      <c r="G3380" s="4">
        <v>3832241897</v>
      </c>
      <c r="H3380" s="6" t="e">
        <f t="shared" ca="1" si="66"/>
        <v>#VALUE!</v>
      </c>
      <c r="I3380" s="7" t="str">
        <f ca="1">IFERROR(__xludf.DUMMYFUNCTION("IMPORTXML(E3380,""/html/body/main/div[3]/div[3]/div[2]/ul/li[5]/span[2]/span"")"),"Loading...")</f>
        <v>Loading...</v>
      </c>
      <c r="J3380" s="7" t="str">
        <f ca="1">IFERROR(__xludf.DUMMYFUNCTION("GOOGLEFINANCE(""NSE:""&amp;D3380,""marketcap"")"),"#N/A")</f>
        <v>#N/A</v>
      </c>
      <c r="K3380" s="7">
        <v>992.8</v>
      </c>
      <c r="L3380" s="8" t="str">
        <f ca="1">IFERROR(__xludf.DUMMYFUNCTION("GOOGLEFINANCE(""NSE:""&amp;D3380,""price"")"),"#N/A")</f>
        <v>#N/A</v>
      </c>
      <c r="M3380" s="9" t="e">
        <f t="shared" ca="1" si="67"/>
        <v>#VALUE!</v>
      </c>
      <c r="N3380" s="10" t="e">
        <f t="shared" ca="1" si="68"/>
        <v>#VALUE!</v>
      </c>
      <c r="O3380" s="7" t="str">
        <f ca="1">IFERROR(__xludf.DUMMYFUNCTION("GOOGLEFINANCE(""NSE:""&amp;D3380,""pe"")"),"#N/A")</f>
        <v>#N/A</v>
      </c>
      <c r="P3380" s="7" t="str">
        <f ca="1">IFERROR(__xludf.DUMMYFUNCTION("GOOGLEFINANCE(""NSE:""&amp;D3380,""EPS"")"),"#N/A")</f>
        <v>#N/A</v>
      </c>
      <c r="Q3380" s="7">
        <v>13.5</v>
      </c>
      <c r="R3380" s="7" t="str">
        <f ca="1">IFERROR(__xludf.DUMMYFUNCTION("IMPORTXML(E3380,""/html/body/main/div[3]/div[3]/div[2]/ul/li[7]/span[2]/span"")"),"Loading...")</f>
        <v>Loading...</v>
      </c>
      <c r="S3380" s="7" t="str">
        <f ca="1">IFERROR(__xludf.DUMMYFUNCTION("IMPORTXML(E3380,""/html/body/main/div[3]/div[3]/div[2]/ul/li[8]/span[2]/span"")"),"Loading...")</f>
        <v>Loading...</v>
      </c>
      <c r="T3380" s="4">
        <v>34.6</v>
      </c>
      <c r="U3380" s="4">
        <v>22.7</v>
      </c>
      <c r="V3380" s="4">
        <v>2.6</v>
      </c>
      <c r="W3380" s="4">
        <v>5.7</v>
      </c>
      <c r="X3380" s="4">
        <v>519.92999999999995</v>
      </c>
      <c r="Y3380" s="7" t="e">
        <f t="shared" ca="1" si="69"/>
        <v>#VALUE!</v>
      </c>
    </row>
    <row r="3381" spans="1:25" ht="15" x14ac:dyDescent="0.25">
      <c r="A3381" s="4">
        <v>3372</v>
      </c>
      <c r="C3381" s="41" t="s">
        <v>5722</v>
      </c>
      <c r="D3381" s="42"/>
      <c r="E3381" s="5" t="str">
        <f t="shared" si="65"/>
        <v>https://www.screener.in/company//consolidated/</v>
      </c>
      <c r="F3381" s="4">
        <v>443059</v>
      </c>
      <c r="G3381" s="4">
        <v>3832241897</v>
      </c>
      <c r="H3381" s="6" t="e">
        <f t="shared" ca="1" si="66"/>
        <v>#VALUE!</v>
      </c>
      <c r="I3381" s="7" t="str">
        <f ca="1">IFERROR(__xludf.DUMMYFUNCTION("IMPORTXML(E3381,""/html/body/main/div[3]/div[3]/div[2]/ul/li[5]/span[2]/span"")"),"Loading...")</f>
        <v>Loading...</v>
      </c>
      <c r="J3381" s="7" t="str">
        <f ca="1">IFERROR(__xludf.DUMMYFUNCTION("GOOGLEFINANCE(""NSE:""&amp;D3381,""marketcap"")"),"#N/A")</f>
        <v>#N/A</v>
      </c>
      <c r="K3381" s="7">
        <v>992.8</v>
      </c>
      <c r="L3381" s="8" t="str">
        <f ca="1">IFERROR(__xludf.DUMMYFUNCTION("GOOGLEFINANCE(""NSE:""&amp;D3381,""price"")"),"#N/A")</f>
        <v>#N/A</v>
      </c>
      <c r="M3381" s="9" t="e">
        <f t="shared" ca="1" si="67"/>
        <v>#VALUE!</v>
      </c>
      <c r="N3381" s="10" t="e">
        <f t="shared" ca="1" si="68"/>
        <v>#VALUE!</v>
      </c>
      <c r="O3381" s="7" t="str">
        <f ca="1">IFERROR(__xludf.DUMMYFUNCTION("GOOGLEFINANCE(""NSE:""&amp;D3381,""pe"")"),"#N/A")</f>
        <v>#N/A</v>
      </c>
      <c r="P3381" s="7" t="str">
        <f ca="1">IFERROR(__xludf.DUMMYFUNCTION("GOOGLEFINANCE(""NSE:""&amp;D3381,""EPS"")"),"#N/A")</f>
        <v>#N/A</v>
      </c>
      <c r="Q3381" s="7">
        <v>13.5</v>
      </c>
      <c r="R3381" s="7" t="str">
        <f ca="1">IFERROR(__xludf.DUMMYFUNCTION("IMPORTXML(E3381,""/html/body/main/div[3]/div[3]/div[2]/ul/li[7]/span[2]/span"")"),"Loading...")</f>
        <v>Loading...</v>
      </c>
      <c r="S3381" s="7" t="str">
        <f ca="1">IFERROR(__xludf.DUMMYFUNCTION("IMPORTXML(E3381,""/html/body/main/div[3]/div[3]/div[2]/ul/li[8]/span[2]/span"")"),"Loading...")</f>
        <v>Loading...</v>
      </c>
      <c r="T3381" s="4">
        <v>34.6</v>
      </c>
      <c r="U3381" s="4">
        <v>22.7</v>
      </c>
      <c r="V3381" s="4">
        <v>2.6</v>
      </c>
      <c r="W3381" s="4">
        <v>5.7</v>
      </c>
      <c r="X3381" s="4">
        <v>519.92999999999995</v>
      </c>
      <c r="Y3381" s="7" t="e">
        <f t="shared" ca="1" si="69"/>
        <v>#VALUE!</v>
      </c>
    </row>
    <row r="3382" spans="1:25" ht="15" x14ac:dyDescent="0.25">
      <c r="A3382" s="4">
        <v>3373</v>
      </c>
      <c r="C3382" s="41" t="s">
        <v>5723</v>
      </c>
      <c r="D3382" s="42"/>
      <c r="E3382" s="5" t="str">
        <f t="shared" si="65"/>
        <v>https://www.screener.in/company//consolidated/</v>
      </c>
      <c r="F3382" s="4">
        <v>443059</v>
      </c>
      <c r="G3382" s="4">
        <v>3832241897</v>
      </c>
      <c r="H3382" s="6" t="e">
        <f t="shared" ca="1" si="66"/>
        <v>#VALUE!</v>
      </c>
      <c r="I3382" s="7" t="str">
        <f ca="1">IFERROR(__xludf.DUMMYFUNCTION("IMPORTXML(E3382,""/html/body/main/div[3]/div[3]/div[2]/ul/li[5]/span[2]/span"")"),"Loading...")</f>
        <v>Loading...</v>
      </c>
      <c r="J3382" s="7" t="str">
        <f ca="1">IFERROR(__xludf.DUMMYFUNCTION("GOOGLEFINANCE(""NSE:""&amp;D3382,""marketcap"")"),"#N/A")</f>
        <v>#N/A</v>
      </c>
      <c r="K3382" s="7">
        <v>992.8</v>
      </c>
      <c r="L3382" s="8" t="str">
        <f ca="1">IFERROR(__xludf.DUMMYFUNCTION("GOOGLEFINANCE(""NSE:""&amp;D3382,""price"")"),"#N/A")</f>
        <v>#N/A</v>
      </c>
      <c r="M3382" s="9" t="e">
        <f t="shared" ca="1" si="67"/>
        <v>#VALUE!</v>
      </c>
      <c r="N3382" s="10" t="e">
        <f t="shared" ca="1" si="68"/>
        <v>#VALUE!</v>
      </c>
      <c r="O3382" s="7" t="str">
        <f ca="1">IFERROR(__xludf.DUMMYFUNCTION("GOOGLEFINANCE(""NSE:""&amp;D3382,""pe"")"),"#N/A")</f>
        <v>#N/A</v>
      </c>
      <c r="P3382" s="7" t="str">
        <f ca="1">IFERROR(__xludf.DUMMYFUNCTION("GOOGLEFINANCE(""NSE:""&amp;D3382,""EPS"")"),"#N/A")</f>
        <v>#N/A</v>
      </c>
      <c r="Q3382" s="7">
        <v>13.5</v>
      </c>
      <c r="R3382" s="7" t="str">
        <f ca="1">IFERROR(__xludf.DUMMYFUNCTION("IMPORTXML(E3382,""/html/body/main/div[3]/div[3]/div[2]/ul/li[7]/span[2]/span"")"),"Loading...")</f>
        <v>Loading...</v>
      </c>
      <c r="S3382" s="7" t="str">
        <f ca="1">IFERROR(__xludf.DUMMYFUNCTION("IMPORTXML(E3382,""/html/body/main/div[3]/div[3]/div[2]/ul/li[8]/span[2]/span"")"),"Loading...")</f>
        <v>Loading...</v>
      </c>
      <c r="T3382" s="4">
        <v>34.6</v>
      </c>
      <c r="U3382" s="4">
        <v>22.7</v>
      </c>
      <c r="V3382" s="4">
        <v>2.6</v>
      </c>
      <c r="W3382" s="4">
        <v>5.7</v>
      </c>
      <c r="X3382" s="4">
        <v>519.92999999999995</v>
      </c>
      <c r="Y3382" s="7" t="e">
        <f t="shared" ca="1" si="69"/>
        <v>#VALUE!</v>
      </c>
    </row>
    <row r="3383" spans="1:25" ht="15" x14ac:dyDescent="0.25">
      <c r="A3383" s="4">
        <v>3374</v>
      </c>
      <c r="C3383" s="41" t="s">
        <v>5724</v>
      </c>
      <c r="D3383" s="42"/>
      <c r="E3383" s="5" t="str">
        <f t="shared" si="65"/>
        <v>https://www.screener.in/company//consolidated/</v>
      </c>
      <c r="F3383" s="4">
        <v>443059</v>
      </c>
      <c r="G3383" s="4">
        <v>3832241897</v>
      </c>
      <c r="H3383" s="6" t="e">
        <f t="shared" ca="1" si="66"/>
        <v>#VALUE!</v>
      </c>
      <c r="I3383" s="7" t="str">
        <f ca="1">IFERROR(__xludf.DUMMYFUNCTION("IMPORTXML(E3383,""/html/body/main/div[3]/div[3]/div[2]/ul/li[5]/span[2]/span"")"),"Loading...")</f>
        <v>Loading...</v>
      </c>
      <c r="J3383" s="7" t="str">
        <f ca="1">IFERROR(__xludf.DUMMYFUNCTION("GOOGLEFINANCE(""NSE:""&amp;D3383,""marketcap"")"),"#N/A")</f>
        <v>#N/A</v>
      </c>
      <c r="K3383" s="7">
        <v>992.8</v>
      </c>
      <c r="L3383" s="8" t="str">
        <f ca="1">IFERROR(__xludf.DUMMYFUNCTION("GOOGLEFINANCE(""NSE:""&amp;D3383,""price"")"),"#N/A")</f>
        <v>#N/A</v>
      </c>
      <c r="M3383" s="9" t="e">
        <f t="shared" ca="1" si="67"/>
        <v>#VALUE!</v>
      </c>
      <c r="N3383" s="10" t="e">
        <f t="shared" ca="1" si="68"/>
        <v>#VALUE!</v>
      </c>
      <c r="O3383" s="7" t="str">
        <f ca="1">IFERROR(__xludf.DUMMYFUNCTION("GOOGLEFINANCE(""NSE:""&amp;D3383,""pe"")"),"#N/A")</f>
        <v>#N/A</v>
      </c>
      <c r="P3383" s="7" t="str">
        <f ca="1">IFERROR(__xludf.DUMMYFUNCTION("GOOGLEFINANCE(""NSE:""&amp;D3383,""EPS"")"),"#N/A")</f>
        <v>#N/A</v>
      </c>
      <c r="Q3383" s="7">
        <v>13.5</v>
      </c>
      <c r="R3383" s="7" t="str">
        <f ca="1">IFERROR(__xludf.DUMMYFUNCTION("IMPORTXML(E3383,""/html/body/main/div[3]/div[3]/div[2]/ul/li[7]/span[2]/span"")"),"Loading...")</f>
        <v>Loading...</v>
      </c>
      <c r="S3383" s="7" t="str">
        <f ca="1">IFERROR(__xludf.DUMMYFUNCTION("IMPORTXML(E3383,""/html/body/main/div[3]/div[3]/div[2]/ul/li[8]/span[2]/span"")"),"Loading...")</f>
        <v>Loading...</v>
      </c>
      <c r="T3383" s="4">
        <v>34.6</v>
      </c>
      <c r="U3383" s="4">
        <v>22.7</v>
      </c>
      <c r="V3383" s="4">
        <v>2.6</v>
      </c>
      <c r="W3383" s="4">
        <v>5.7</v>
      </c>
      <c r="X3383" s="4">
        <v>519.92999999999995</v>
      </c>
      <c r="Y3383" s="7" t="e">
        <f t="shared" ca="1" si="69"/>
        <v>#VALUE!</v>
      </c>
    </row>
    <row r="3384" spans="1:25" ht="15" x14ac:dyDescent="0.25">
      <c r="A3384" s="4">
        <v>3375</v>
      </c>
      <c r="C3384" s="41" t="s">
        <v>5725</v>
      </c>
      <c r="D3384" s="42"/>
      <c r="E3384" s="5" t="str">
        <f t="shared" si="65"/>
        <v>https://www.screener.in/company//consolidated/</v>
      </c>
      <c r="F3384" s="4">
        <v>443059</v>
      </c>
      <c r="G3384" s="4">
        <v>3832241897</v>
      </c>
      <c r="H3384" s="6" t="e">
        <f t="shared" ca="1" si="66"/>
        <v>#VALUE!</v>
      </c>
      <c r="I3384" s="7" t="str">
        <f ca="1">IFERROR(__xludf.DUMMYFUNCTION("IMPORTXML(E3384,""/html/body/main/div[3]/div[3]/div[2]/ul/li[5]/span[2]/span"")"),"Loading...")</f>
        <v>Loading...</v>
      </c>
      <c r="J3384" s="7" t="str">
        <f ca="1">IFERROR(__xludf.DUMMYFUNCTION("GOOGLEFINANCE(""NSE:""&amp;D3384,""marketcap"")"),"#N/A")</f>
        <v>#N/A</v>
      </c>
      <c r="K3384" s="7">
        <v>992.8</v>
      </c>
      <c r="L3384" s="8" t="str">
        <f ca="1">IFERROR(__xludf.DUMMYFUNCTION("GOOGLEFINANCE(""NSE:""&amp;D3384,""price"")"),"#N/A")</f>
        <v>#N/A</v>
      </c>
      <c r="M3384" s="9" t="e">
        <f t="shared" ca="1" si="67"/>
        <v>#VALUE!</v>
      </c>
      <c r="N3384" s="10" t="e">
        <f t="shared" ca="1" si="68"/>
        <v>#VALUE!</v>
      </c>
      <c r="O3384" s="7" t="str">
        <f ca="1">IFERROR(__xludf.DUMMYFUNCTION("GOOGLEFINANCE(""NSE:""&amp;D3384,""pe"")"),"#N/A")</f>
        <v>#N/A</v>
      </c>
      <c r="P3384" s="7" t="str">
        <f ca="1">IFERROR(__xludf.DUMMYFUNCTION("GOOGLEFINANCE(""NSE:""&amp;D3384,""EPS"")"),"#N/A")</f>
        <v>#N/A</v>
      </c>
      <c r="Q3384" s="7">
        <v>13.5</v>
      </c>
      <c r="R3384" s="7" t="str">
        <f ca="1">IFERROR(__xludf.DUMMYFUNCTION("IMPORTXML(E3384,""/html/body/main/div[3]/div[3]/div[2]/ul/li[7]/span[2]/span"")"),"Loading...")</f>
        <v>Loading...</v>
      </c>
      <c r="S3384" s="7" t="str">
        <f ca="1">IFERROR(__xludf.DUMMYFUNCTION("IMPORTXML(E3384,""/html/body/main/div[3]/div[3]/div[2]/ul/li[8]/span[2]/span"")"),"Loading...")</f>
        <v>Loading...</v>
      </c>
      <c r="T3384" s="4">
        <v>34.6</v>
      </c>
      <c r="U3384" s="4">
        <v>22.7</v>
      </c>
      <c r="V3384" s="4">
        <v>2.6</v>
      </c>
      <c r="W3384" s="4">
        <v>5.7</v>
      </c>
      <c r="X3384" s="4">
        <v>519.92999999999995</v>
      </c>
      <c r="Y3384" s="7" t="e">
        <f t="shared" ca="1" si="69"/>
        <v>#VALUE!</v>
      </c>
    </row>
    <row r="3385" spans="1:25" ht="15" x14ac:dyDescent="0.25">
      <c r="A3385" s="4">
        <v>3376</v>
      </c>
      <c r="C3385" s="12" t="s">
        <v>5726</v>
      </c>
      <c r="D3385" s="12" t="s">
        <v>5727</v>
      </c>
      <c r="E3385" s="5" t="str">
        <f t="shared" si="65"/>
        <v>https://www.screener.in/company/EDUCOMP/consolidated/</v>
      </c>
      <c r="F3385" s="4">
        <v>443059</v>
      </c>
      <c r="G3385" s="4">
        <v>3832241897</v>
      </c>
      <c r="H3385" s="6">
        <f t="shared" ca="1" si="66"/>
        <v>609.326461623</v>
      </c>
      <c r="I3385" s="7" t="str">
        <f ca="1">IFERROR(__xludf.DUMMYFUNCTION("IMPORTXML(E3385,""/html/body/main/div[3]/div[3]/div[2]/ul/li[5]/span[2]/span"")"),"Loading...")</f>
        <v>Loading...</v>
      </c>
      <c r="J3385" s="7">
        <f ca="1">IFERROR(__xludf.DUMMYFUNCTION("GOOGLEFINANCE(""NSE:""&amp;D3385,""marketcap"")"),197140981)</f>
        <v>197140981</v>
      </c>
      <c r="K3385" s="7">
        <v>992.8</v>
      </c>
      <c r="L3385" s="8">
        <f ca="1">IFERROR(__xludf.DUMMYFUNCTION("GOOGLEFINANCE(""NSE:""&amp;D3385,""price"")"),1.59)</f>
        <v>1.59</v>
      </c>
      <c r="M3385" s="9">
        <f t="shared" ca="1" si="67"/>
        <v>-991.20999999999992</v>
      </c>
      <c r="N3385" s="10">
        <f t="shared" ca="1" si="68"/>
        <v>-99.839846897663179</v>
      </c>
      <c r="O3385" s="7" t="str">
        <f ca="1">IFERROR(__xludf.DUMMYFUNCTION("GOOGLEFINANCE(""NSE:""&amp;D3385,""pe"")"),"#N/A")</f>
        <v>#N/A</v>
      </c>
      <c r="P3385" s="7" t="str">
        <f ca="1">IFERROR(__xludf.DUMMYFUNCTION("GOOGLEFINANCE(""NSE:""&amp;D3385,""EPS"")"),"#N/A")</f>
        <v>#N/A</v>
      </c>
      <c r="Q3385" s="7">
        <v>13.5</v>
      </c>
      <c r="R3385" s="7" t="str">
        <f ca="1">IFERROR(__xludf.DUMMYFUNCTION("IMPORTXML(E3385,""/html/body/main/div[3]/div[3]/div[2]/ul/li[7]/span[2]/span"")"),"Loading...")</f>
        <v>Loading...</v>
      </c>
      <c r="S3385" s="7" t="str">
        <f ca="1">IFERROR(__xludf.DUMMYFUNCTION("IMPORTXML(E3385,""/html/body/main/div[3]/div[3]/div[2]/ul/li[8]/span[2]/span"")"),"Loading...")</f>
        <v>Loading...</v>
      </c>
      <c r="T3385" s="4">
        <v>34.6</v>
      </c>
      <c r="U3385" s="4">
        <v>22.7</v>
      </c>
      <c r="V3385" s="4">
        <v>2.6</v>
      </c>
      <c r="W3385" s="4">
        <v>5.7</v>
      </c>
      <c r="X3385" s="4">
        <v>519.92999999999995</v>
      </c>
      <c r="Y3385" s="7">
        <f t="shared" ca="1" si="69"/>
        <v>-518.33999999999992</v>
      </c>
    </row>
    <row r="3386" spans="1:25" ht="15" x14ac:dyDescent="0.25">
      <c r="A3386" s="4">
        <v>3377</v>
      </c>
      <c r="C3386" s="41" t="s">
        <v>5728</v>
      </c>
      <c r="D3386" s="42"/>
      <c r="E3386" s="5" t="str">
        <f t="shared" si="65"/>
        <v>https://www.screener.in/company//consolidated/</v>
      </c>
      <c r="F3386" s="4">
        <v>443059</v>
      </c>
      <c r="G3386" s="4">
        <v>3832241897</v>
      </c>
      <c r="H3386" s="6" t="e">
        <f t="shared" ca="1" si="66"/>
        <v>#VALUE!</v>
      </c>
      <c r="I3386" s="7" t="str">
        <f ca="1">IFERROR(__xludf.DUMMYFUNCTION("IMPORTXML(E3386,""/html/body/main/div[3]/div[3]/div[2]/ul/li[5]/span[2]/span"")"),"Loading...")</f>
        <v>Loading...</v>
      </c>
      <c r="J3386" s="7" t="str">
        <f ca="1">IFERROR(__xludf.DUMMYFUNCTION("GOOGLEFINANCE(""NSE:""&amp;D3386,""marketcap"")"),"#N/A")</f>
        <v>#N/A</v>
      </c>
      <c r="K3386" s="7">
        <v>992.8</v>
      </c>
      <c r="L3386" s="8" t="str">
        <f ca="1">IFERROR(__xludf.DUMMYFUNCTION("GOOGLEFINANCE(""NSE:""&amp;D3386,""price"")"),"#N/A")</f>
        <v>#N/A</v>
      </c>
      <c r="M3386" s="9" t="e">
        <f t="shared" ca="1" si="67"/>
        <v>#VALUE!</v>
      </c>
      <c r="N3386" s="10" t="e">
        <f t="shared" ca="1" si="68"/>
        <v>#VALUE!</v>
      </c>
      <c r="O3386" s="7" t="str">
        <f ca="1">IFERROR(__xludf.DUMMYFUNCTION("GOOGLEFINANCE(""NSE:""&amp;D3386,""pe"")"),"#N/A")</f>
        <v>#N/A</v>
      </c>
      <c r="P3386" s="7" t="str">
        <f ca="1">IFERROR(__xludf.DUMMYFUNCTION("GOOGLEFINANCE(""NSE:""&amp;D3386,""EPS"")"),"#N/A")</f>
        <v>#N/A</v>
      </c>
      <c r="Q3386" s="7">
        <v>13.5</v>
      </c>
      <c r="R3386" s="7" t="str">
        <f ca="1">IFERROR(__xludf.DUMMYFUNCTION("IMPORTXML(E3386,""/html/body/main/div[3]/div[3]/div[2]/ul/li[7]/span[2]/span"")"),"Loading...")</f>
        <v>Loading...</v>
      </c>
      <c r="S3386" s="7" t="str">
        <f ca="1">IFERROR(__xludf.DUMMYFUNCTION("IMPORTXML(E3386,""/html/body/main/div[3]/div[3]/div[2]/ul/li[8]/span[2]/span"")"),"Loading...")</f>
        <v>Loading...</v>
      </c>
      <c r="T3386" s="4">
        <v>34.6</v>
      </c>
      <c r="U3386" s="4">
        <v>22.7</v>
      </c>
      <c r="V3386" s="4">
        <v>2.6</v>
      </c>
      <c r="W3386" s="4">
        <v>5.7</v>
      </c>
      <c r="X3386" s="4">
        <v>519.92999999999995</v>
      </c>
      <c r="Y3386" s="7" t="e">
        <f t="shared" ca="1" si="69"/>
        <v>#VALUE!</v>
      </c>
    </row>
    <row r="3387" spans="1:25" ht="15" x14ac:dyDescent="0.25">
      <c r="A3387" s="4">
        <v>3378</v>
      </c>
      <c r="C3387" s="12" t="s">
        <v>5729</v>
      </c>
      <c r="D3387" s="37"/>
      <c r="E3387" s="5" t="str">
        <f t="shared" si="65"/>
        <v>https://www.screener.in/company//consolidated/</v>
      </c>
      <c r="F3387" s="4">
        <v>443059</v>
      </c>
      <c r="G3387" s="4">
        <v>3832241897</v>
      </c>
      <c r="H3387" s="6" t="e">
        <f t="shared" ca="1" si="66"/>
        <v>#VALUE!</v>
      </c>
      <c r="I3387" s="7" t="str">
        <f ca="1">IFERROR(__xludf.DUMMYFUNCTION("IMPORTXML(E3387,""/html/body/main/div[3]/div[3]/div[2]/ul/li[5]/span[2]/span"")"),"Loading...")</f>
        <v>Loading...</v>
      </c>
      <c r="J3387" s="7" t="str">
        <f ca="1">IFERROR(__xludf.DUMMYFUNCTION("GOOGLEFINANCE(""NSE:""&amp;D3387,""marketcap"")"),"#N/A")</f>
        <v>#N/A</v>
      </c>
      <c r="K3387" s="7">
        <v>992.8</v>
      </c>
      <c r="L3387" s="8" t="str">
        <f ca="1">IFERROR(__xludf.DUMMYFUNCTION("GOOGLEFINANCE(""NSE:""&amp;D3387,""price"")"),"#N/A")</f>
        <v>#N/A</v>
      </c>
      <c r="M3387" s="9" t="e">
        <f t="shared" ca="1" si="67"/>
        <v>#VALUE!</v>
      </c>
      <c r="N3387" s="10" t="e">
        <f t="shared" ca="1" si="68"/>
        <v>#VALUE!</v>
      </c>
      <c r="O3387" s="7" t="str">
        <f ca="1">IFERROR(__xludf.DUMMYFUNCTION("GOOGLEFINANCE(""NSE:""&amp;D3387,""pe"")"),"#N/A")</f>
        <v>#N/A</v>
      </c>
      <c r="P3387" s="7" t="str">
        <f ca="1">IFERROR(__xludf.DUMMYFUNCTION("GOOGLEFINANCE(""NSE:""&amp;D3387,""EPS"")"),"#N/A")</f>
        <v>#N/A</v>
      </c>
      <c r="Q3387" s="7">
        <v>13.5</v>
      </c>
      <c r="R3387" s="7" t="str">
        <f ca="1">IFERROR(__xludf.DUMMYFUNCTION("IMPORTXML(E3387,""/html/body/main/div[3]/div[3]/div[2]/ul/li[7]/span[2]/span"")"),"Loading...")</f>
        <v>Loading...</v>
      </c>
      <c r="S3387" s="7" t="str">
        <f ca="1">IFERROR(__xludf.DUMMYFUNCTION("IMPORTXML(E3387,""/html/body/main/div[3]/div[3]/div[2]/ul/li[8]/span[2]/span"")"),"Loading...")</f>
        <v>Loading...</v>
      </c>
      <c r="T3387" s="4">
        <v>34.6</v>
      </c>
      <c r="U3387" s="4">
        <v>22.7</v>
      </c>
      <c r="V3387" s="4">
        <v>2.6</v>
      </c>
      <c r="W3387" s="4">
        <v>5.7</v>
      </c>
      <c r="X3387" s="4">
        <v>519.92999999999995</v>
      </c>
      <c r="Y3387" s="7" t="e">
        <f t="shared" ca="1" si="69"/>
        <v>#VALUE!</v>
      </c>
    </row>
    <row r="3388" spans="1:25" ht="15" x14ac:dyDescent="0.25">
      <c r="A3388" s="4">
        <v>3379</v>
      </c>
      <c r="C3388" s="41" t="s">
        <v>5730</v>
      </c>
      <c r="D3388" s="42"/>
      <c r="E3388" s="5" t="str">
        <f t="shared" si="65"/>
        <v>https://www.screener.in/company//consolidated/</v>
      </c>
      <c r="F3388" s="4">
        <v>443059</v>
      </c>
      <c r="G3388" s="4">
        <v>3832241897</v>
      </c>
      <c r="H3388" s="6" t="e">
        <f t="shared" ca="1" si="66"/>
        <v>#VALUE!</v>
      </c>
      <c r="I3388" s="7" t="str">
        <f ca="1">IFERROR(__xludf.DUMMYFUNCTION("IMPORTXML(E3388,""/html/body/main/div[3]/div[3]/div[2]/ul/li[5]/span[2]/span"")"),"Loading...")</f>
        <v>Loading...</v>
      </c>
      <c r="J3388" s="7" t="str">
        <f ca="1">IFERROR(__xludf.DUMMYFUNCTION("GOOGLEFINANCE(""NSE:""&amp;D3388,""marketcap"")"),"#N/A")</f>
        <v>#N/A</v>
      </c>
      <c r="K3388" s="7">
        <v>992.8</v>
      </c>
      <c r="L3388" s="8" t="str">
        <f ca="1">IFERROR(__xludf.DUMMYFUNCTION("GOOGLEFINANCE(""NSE:""&amp;D3388,""price"")"),"#N/A")</f>
        <v>#N/A</v>
      </c>
      <c r="M3388" s="9" t="e">
        <f t="shared" ca="1" si="67"/>
        <v>#VALUE!</v>
      </c>
      <c r="N3388" s="10" t="e">
        <f t="shared" ca="1" si="68"/>
        <v>#VALUE!</v>
      </c>
      <c r="O3388" s="7" t="str">
        <f ca="1">IFERROR(__xludf.DUMMYFUNCTION("GOOGLEFINANCE(""NSE:""&amp;D3388,""pe"")"),"#N/A")</f>
        <v>#N/A</v>
      </c>
      <c r="P3388" s="7" t="str">
        <f ca="1">IFERROR(__xludf.DUMMYFUNCTION("GOOGLEFINANCE(""NSE:""&amp;D3388,""EPS"")"),"#N/A")</f>
        <v>#N/A</v>
      </c>
      <c r="Q3388" s="7">
        <v>13.5</v>
      </c>
      <c r="R3388" s="7" t="str">
        <f ca="1">IFERROR(__xludf.DUMMYFUNCTION("IMPORTXML(E3388,""/html/body/main/div[3]/div[3]/div[2]/ul/li[7]/span[2]/span"")"),"Loading...")</f>
        <v>Loading...</v>
      </c>
      <c r="S3388" s="7" t="str">
        <f ca="1">IFERROR(__xludf.DUMMYFUNCTION("IMPORTXML(E3388,""/html/body/main/div[3]/div[3]/div[2]/ul/li[8]/span[2]/span"")"),"Loading...")</f>
        <v>Loading...</v>
      </c>
      <c r="T3388" s="4">
        <v>34.6</v>
      </c>
      <c r="U3388" s="4">
        <v>22.7</v>
      </c>
      <c r="V3388" s="4">
        <v>2.6</v>
      </c>
      <c r="W3388" s="4">
        <v>5.7</v>
      </c>
      <c r="X3388" s="4">
        <v>519.92999999999995</v>
      </c>
      <c r="Y3388" s="7" t="e">
        <f t="shared" ca="1" si="69"/>
        <v>#VALUE!</v>
      </c>
    </row>
    <row r="3389" spans="1:25" ht="15" x14ac:dyDescent="0.25">
      <c r="A3389" s="4">
        <v>3380</v>
      </c>
      <c r="C3389" s="41" t="s">
        <v>5731</v>
      </c>
      <c r="D3389" s="42"/>
      <c r="E3389" s="5" t="str">
        <f t="shared" si="65"/>
        <v>https://www.screener.in/company//consolidated/</v>
      </c>
      <c r="F3389" s="4">
        <v>443059</v>
      </c>
      <c r="G3389" s="4">
        <v>3832241897</v>
      </c>
      <c r="H3389" s="6" t="e">
        <f t="shared" ca="1" si="66"/>
        <v>#VALUE!</v>
      </c>
      <c r="I3389" s="7" t="str">
        <f ca="1">IFERROR(__xludf.DUMMYFUNCTION("IMPORTXML(E3389,""/html/body/main/div[3]/div[3]/div[2]/ul/li[5]/span[2]/span"")"),"Loading...")</f>
        <v>Loading...</v>
      </c>
      <c r="J3389" s="7" t="str">
        <f ca="1">IFERROR(__xludf.DUMMYFUNCTION("GOOGLEFINANCE(""NSE:""&amp;D3389,""marketcap"")"),"#N/A")</f>
        <v>#N/A</v>
      </c>
      <c r="K3389" s="7">
        <v>992.8</v>
      </c>
      <c r="L3389" s="8" t="str">
        <f ca="1">IFERROR(__xludf.DUMMYFUNCTION("GOOGLEFINANCE(""NSE:""&amp;D3389,""price"")"),"#N/A")</f>
        <v>#N/A</v>
      </c>
      <c r="M3389" s="9" t="e">
        <f t="shared" ca="1" si="67"/>
        <v>#VALUE!</v>
      </c>
      <c r="N3389" s="10" t="e">
        <f t="shared" ca="1" si="68"/>
        <v>#VALUE!</v>
      </c>
      <c r="O3389" s="7" t="str">
        <f ca="1">IFERROR(__xludf.DUMMYFUNCTION("GOOGLEFINANCE(""NSE:""&amp;D3389,""pe"")"),"#N/A")</f>
        <v>#N/A</v>
      </c>
      <c r="P3389" s="7" t="str">
        <f ca="1">IFERROR(__xludf.DUMMYFUNCTION("GOOGLEFINANCE(""NSE:""&amp;D3389,""EPS"")"),"#N/A")</f>
        <v>#N/A</v>
      </c>
      <c r="Q3389" s="7">
        <v>13.5</v>
      </c>
      <c r="R3389" s="7" t="str">
        <f ca="1">IFERROR(__xludf.DUMMYFUNCTION("IMPORTXML(E3389,""/html/body/main/div[3]/div[3]/div[2]/ul/li[7]/span[2]/span"")"),"Loading...")</f>
        <v>Loading...</v>
      </c>
      <c r="S3389" s="7" t="str">
        <f ca="1">IFERROR(__xludf.DUMMYFUNCTION("IMPORTXML(E3389,""/html/body/main/div[3]/div[3]/div[2]/ul/li[8]/span[2]/span"")"),"Loading...")</f>
        <v>Loading...</v>
      </c>
      <c r="T3389" s="4">
        <v>34.6</v>
      </c>
      <c r="U3389" s="4">
        <v>22.7</v>
      </c>
      <c r="V3389" s="4">
        <v>2.6</v>
      </c>
      <c r="W3389" s="4">
        <v>5.7</v>
      </c>
      <c r="X3389" s="4">
        <v>519.92999999999995</v>
      </c>
      <c r="Y3389" s="7" t="e">
        <f t="shared" ca="1" si="69"/>
        <v>#VALUE!</v>
      </c>
    </row>
    <row r="3390" spans="1:25" ht="15" x14ac:dyDescent="0.25">
      <c r="A3390" s="4">
        <v>3381</v>
      </c>
      <c r="C3390" s="41" t="s">
        <v>5732</v>
      </c>
      <c r="D3390" s="42"/>
      <c r="E3390" s="5" t="str">
        <f t="shared" si="65"/>
        <v>https://www.screener.in/company//consolidated/</v>
      </c>
      <c r="F3390" s="4">
        <v>443059</v>
      </c>
      <c r="G3390" s="4">
        <v>3832241897</v>
      </c>
      <c r="H3390" s="6" t="e">
        <f t="shared" ca="1" si="66"/>
        <v>#VALUE!</v>
      </c>
      <c r="I3390" s="7" t="str">
        <f ca="1">IFERROR(__xludf.DUMMYFUNCTION("IMPORTXML(E3390,""/html/body/main/div[3]/div[3]/div[2]/ul/li[5]/span[2]/span"")"),"Loading...")</f>
        <v>Loading...</v>
      </c>
      <c r="J3390" s="7" t="str">
        <f ca="1">IFERROR(__xludf.DUMMYFUNCTION("GOOGLEFINANCE(""NSE:""&amp;D3390,""marketcap"")"),"#N/A")</f>
        <v>#N/A</v>
      </c>
      <c r="K3390" s="7">
        <v>992.8</v>
      </c>
      <c r="L3390" s="8" t="str">
        <f ca="1">IFERROR(__xludf.DUMMYFUNCTION("GOOGLEFINANCE(""NSE:""&amp;D3390,""price"")"),"#N/A")</f>
        <v>#N/A</v>
      </c>
      <c r="M3390" s="9" t="e">
        <f t="shared" ca="1" si="67"/>
        <v>#VALUE!</v>
      </c>
      <c r="N3390" s="10" t="e">
        <f t="shared" ca="1" si="68"/>
        <v>#VALUE!</v>
      </c>
      <c r="O3390" s="7" t="str">
        <f ca="1">IFERROR(__xludf.DUMMYFUNCTION("GOOGLEFINANCE(""NSE:""&amp;D3390,""pe"")"),"#N/A")</f>
        <v>#N/A</v>
      </c>
      <c r="P3390" s="7" t="str">
        <f ca="1">IFERROR(__xludf.DUMMYFUNCTION("GOOGLEFINANCE(""NSE:""&amp;D3390,""EPS"")"),"#N/A")</f>
        <v>#N/A</v>
      </c>
      <c r="Q3390" s="7">
        <v>13.5</v>
      </c>
      <c r="R3390" s="7" t="str">
        <f ca="1">IFERROR(__xludf.DUMMYFUNCTION("IMPORTXML(E3390,""/html/body/main/div[3]/div[3]/div[2]/ul/li[7]/span[2]/span"")"),"Loading...")</f>
        <v>Loading...</v>
      </c>
      <c r="S3390" s="7" t="str">
        <f ca="1">IFERROR(__xludf.DUMMYFUNCTION("IMPORTXML(E3390,""/html/body/main/div[3]/div[3]/div[2]/ul/li[8]/span[2]/span"")"),"Loading...")</f>
        <v>Loading...</v>
      </c>
      <c r="T3390" s="4">
        <v>34.6</v>
      </c>
      <c r="U3390" s="4">
        <v>22.7</v>
      </c>
      <c r="V3390" s="4">
        <v>2.6</v>
      </c>
      <c r="W3390" s="4">
        <v>5.7</v>
      </c>
      <c r="X3390" s="4">
        <v>519.92999999999995</v>
      </c>
      <c r="Y3390" s="7" t="e">
        <f t="shared" ca="1" si="69"/>
        <v>#VALUE!</v>
      </c>
    </row>
    <row r="3391" spans="1:25" ht="15" x14ac:dyDescent="0.25">
      <c r="A3391" s="4">
        <v>3383</v>
      </c>
      <c r="C3391" s="41" t="s">
        <v>5733</v>
      </c>
      <c r="D3391" s="42"/>
      <c r="E3391" s="5" t="str">
        <f t="shared" si="65"/>
        <v>https://www.screener.in/company//consolidated/</v>
      </c>
      <c r="F3391" s="4">
        <v>443059</v>
      </c>
      <c r="G3391" s="4">
        <v>3832241897</v>
      </c>
      <c r="H3391" s="6" t="e">
        <f t="shared" ca="1" si="66"/>
        <v>#VALUE!</v>
      </c>
      <c r="I3391" s="7" t="str">
        <f ca="1">IFERROR(__xludf.DUMMYFUNCTION("IMPORTXML(E3391,""/html/body/main/div[3]/div[3]/div[2]/ul/li[5]/span[2]/span"")"),"Loading...")</f>
        <v>Loading...</v>
      </c>
      <c r="J3391" s="7" t="str">
        <f ca="1">IFERROR(__xludf.DUMMYFUNCTION("GOOGLEFINANCE(""NSE:""&amp;D3391,""marketcap"")"),"#N/A")</f>
        <v>#N/A</v>
      </c>
      <c r="K3391" s="7">
        <v>992.8</v>
      </c>
      <c r="L3391" s="8" t="str">
        <f ca="1">IFERROR(__xludf.DUMMYFUNCTION("GOOGLEFINANCE(""NSE:""&amp;D3391,""price"")"),"#N/A")</f>
        <v>#N/A</v>
      </c>
      <c r="M3391" s="9" t="e">
        <f t="shared" ca="1" si="67"/>
        <v>#VALUE!</v>
      </c>
      <c r="N3391" s="10" t="e">
        <f t="shared" ca="1" si="68"/>
        <v>#VALUE!</v>
      </c>
      <c r="O3391" s="7" t="str">
        <f ca="1">IFERROR(__xludf.DUMMYFUNCTION("GOOGLEFINANCE(""NSE:""&amp;D3391,""pe"")"),"#N/A")</f>
        <v>#N/A</v>
      </c>
      <c r="P3391" s="7" t="str">
        <f ca="1">IFERROR(__xludf.DUMMYFUNCTION("GOOGLEFINANCE(""NSE:""&amp;D3391,""EPS"")"),"#N/A")</f>
        <v>#N/A</v>
      </c>
      <c r="Q3391" s="7">
        <v>13.5</v>
      </c>
      <c r="R3391" s="7" t="str">
        <f ca="1">IFERROR(__xludf.DUMMYFUNCTION("IMPORTXML(E3391,""/html/body/main/div[3]/div[3]/div[2]/ul/li[7]/span[2]/span"")"),"Loading...")</f>
        <v>Loading...</v>
      </c>
      <c r="S3391" s="7" t="str">
        <f ca="1">IFERROR(__xludf.DUMMYFUNCTION("IMPORTXML(E3391,""/html/body/main/div[3]/div[3]/div[2]/ul/li[8]/span[2]/span"")"),"Loading...")</f>
        <v>Loading...</v>
      </c>
      <c r="T3391" s="4">
        <v>34.6</v>
      </c>
      <c r="U3391" s="4">
        <v>22.7</v>
      </c>
      <c r="V3391" s="4">
        <v>2.6</v>
      </c>
      <c r="W3391" s="4">
        <v>5.7</v>
      </c>
      <c r="X3391" s="4">
        <v>519.92999999999995</v>
      </c>
      <c r="Y3391" s="7" t="e">
        <f t="shared" ca="1" si="69"/>
        <v>#VALUE!</v>
      </c>
    </row>
    <row r="3392" spans="1:25" ht="15" x14ac:dyDescent="0.25">
      <c r="A3392" s="4">
        <v>3384</v>
      </c>
      <c r="C3392" s="41" t="s">
        <v>5734</v>
      </c>
      <c r="D3392" s="42"/>
      <c r="E3392" s="5" t="str">
        <f t="shared" si="65"/>
        <v>https://www.screener.in/company//consolidated/</v>
      </c>
      <c r="F3392" s="4">
        <v>443059</v>
      </c>
      <c r="G3392" s="4">
        <v>3832241897</v>
      </c>
      <c r="H3392" s="6" t="e">
        <f t="shared" ca="1" si="66"/>
        <v>#VALUE!</v>
      </c>
      <c r="I3392" s="7" t="str">
        <f ca="1">IFERROR(__xludf.DUMMYFUNCTION("IMPORTXML(E3392,""/html/body/main/div[3]/div[3]/div[2]/ul/li[5]/span[2]/span"")"),"Loading...")</f>
        <v>Loading...</v>
      </c>
      <c r="J3392" s="7" t="str">
        <f ca="1">IFERROR(__xludf.DUMMYFUNCTION("GOOGLEFINANCE(""NSE:""&amp;D3392,""marketcap"")"),"#N/A")</f>
        <v>#N/A</v>
      </c>
      <c r="K3392" s="7">
        <v>992.8</v>
      </c>
      <c r="L3392" s="8" t="str">
        <f ca="1">IFERROR(__xludf.DUMMYFUNCTION("GOOGLEFINANCE(""NSE:""&amp;D3392,""price"")"),"#N/A")</f>
        <v>#N/A</v>
      </c>
      <c r="M3392" s="9" t="e">
        <f t="shared" ca="1" si="67"/>
        <v>#VALUE!</v>
      </c>
      <c r="N3392" s="10" t="e">
        <f t="shared" ca="1" si="68"/>
        <v>#VALUE!</v>
      </c>
      <c r="O3392" s="7" t="str">
        <f ca="1">IFERROR(__xludf.DUMMYFUNCTION("GOOGLEFINANCE(""NSE:""&amp;D3392,""pe"")"),"#N/A")</f>
        <v>#N/A</v>
      </c>
      <c r="P3392" s="7" t="str">
        <f ca="1">IFERROR(__xludf.DUMMYFUNCTION("GOOGLEFINANCE(""NSE:""&amp;D3392,""EPS"")"),"#N/A")</f>
        <v>#N/A</v>
      </c>
      <c r="Q3392" s="7">
        <v>13.5</v>
      </c>
      <c r="R3392" s="7" t="str">
        <f ca="1">IFERROR(__xludf.DUMMYFUNCTION("IMPORTXML(E3392,""/html/body/main/div[3]/div[3]/div[2]/ul/li[7]/span[2]/span"")"),"Loading...")</f>
        <v>Loading...</v>
      </c>
      <c r="S3392" s="7" t="str">
        <f ca="1">IFERROR(__xludf.DUMMYFUNCTION("IMPORTXML(E3392,""/html/body/main/div[3]/div[3]/div[2]/ul/li[8]/span[2]/span"")"),"Loading...")</f>
        <v>Loading...</v>
      </c>
      <c r="T3392" s="4">
        <v>34.6</v>
      </c>
      <c r="U3392" s="4">
        <v>22.7</v>
      </c>
      <c r="V3392" s="4">
        <v>2.6</v>
      </c>
      <c r="W3392" s="4">
        <v>5.7</v>
      </c>
      <c r="X3392" s="4">
        <v>519.92999999999995</v>
      </c>
      <c r="Y3392" s="7" t="e">
        <f t="shared" ca="1" si="69"/>
        <v>#VALUE!</v>
      </c>
    </row>
    <row r="3393" spans="1:25" ht="15" x14ac:dyDescent="0.25">
      <c r="A3393" s="4">
        <v>3385</v>
      </c>
      <c r="C3393" s="41" t="s">
        <v>5735</v>
      </c>
      <c r="D3393" s="42"/>
      <c r="E3393" s="5" t="str">
        <f t="shared" si="65"/>
        <v>https://www.screener.in/company//consolidated/</v>
      </c>
      <c r="F3393" s="4">
        <v>443059</v>
      </c>
      <c r="G3393" s="4">
        <v>3832241897</v>
      </c>
      <c r="H3393" s="6" t="e">
        <f t="shared" ca="1" si="66"/>
        <v>#VALUE!</v>
      </c>
      <c r="I3393" s="7" t="str">
        <f ca="1">IFERROR(__xludf.DUMMYFUNCTION("IMPORTXML(E3393,""/html/body/main/div[3]/div[3]/div[2]/ul/li[5]/span[2]/span"")"),"Loading...")</f>
        <v>Loading...</v>
      </c>
      <c r="J3393" s="7" t="str">
        <f ca="1">IFERROR(__xludf.DUMMYFUNCTION("GOOGLEFINANCE(""NSE:""&amp;D3393,""marketcap"")"),"#N/A")</f>
        <v>#N/A</v>
      </c>
      <c r="K3393" s="7">
        <v>992.8</v>
      </c>
      <c r="L3393" s="8" t="str">
        <f ca="1">IFERROR(__xludf.DUMMYFUNCTION("GOOGLEFINANCE(""NSE:""&amp;D3393,""price"")"),"#N/A")</f>
        <v>#N/A</v>
      </c>
      <c r="M3393" s="9" t="e">
        <f t="shared" ca="1" si="67"/>
        <v>#VALUE!</v>
      </c>
      <c r="N3393" s="10" t="e">
        <f t="shared" ca="1" si="68"/>
        <v>#VALUE!</v>
      </c>
      <c r="O3393" s="7" t="str">
        <f ca="1">IFERROR(__xludf.DUMMYFUNCTION("GOOGLEFINANCE(""NSE:""&amp;D3393,""pe"")"),"#N/A")</f>
        <v>#N/A</v>
      </c>
      <c r="P3393" s="7" t="str">
        <f ca="1">IFERROR(__xludf.DUMMYFUNCTION("GOOGLEFINANCE(""NSE:""&amp;D3393,""EPS"")"),"#N/A")</f>
        <v>#N/A</v>
      </c>
      <c r="Q3393" s="7">
        <v>13.5</v>
      </c>
      <c r="R3393" s="7" t="str">
        <f ca="1">IFERROR(__xludf.DUMMYFUNCTION("IMPORTXML(E3393,""/html/body/main/div[3]/div[3]/div[2]/ul/li[7]/span[2]/span"")"),"Loading...")</f>
        <v>Loading...</v>
      </c>
      <c r="S3393" s="7" t="str">
        <f ca="1">IFERROR(__xludf.DUMMYFUNCTION("IMPORTXML(E3393,""/html/body/main/div[3]/div[3]/div[2]/ul/li[8]/span[2]/span"")"),"Loading...")</f>
        <v>Loading...</v>
      </c>
      <c r="T3393" s="4">
        <v>34.6</v>
      </c>
      <c r="U3393" s="4">
        <v>22.7</v>
      </c>
      <c r="V3393" s="4">
        <v>2.6</v>
      </c>
      <c r="W3393" s="4">
        <v>5.7</v>
      </c>
      <c r="X3393" s="4">
        <v>519.92999999999995</v>
      </c>
      <c r="Y3393" s="7" t="e">
        <f t="shared" ca="1" si="69"/>
        <v>#VALUE!</v>
      </c>
    </row>
    <row r="3394" spans="1:25" ht="15" x14ac:dyDescent="0.25">
      <c r="A3394" s="4">
        <v>3386</v>
      </c>
      <c r="C3394" s="41" t="s">
        <v>5736</v>
      </c>
      <c r="D3394" s="42"/>
      <c r="E3394" s="5" t="str">
        <f t="shared" si="65"/>
        <v>https://www.screener.in/company//consolidated/</v>
      </c>
      <c r="F3394" s="4">
        <v>443059</v>
      </c>
      <c r="G3394" s="4">
        <v>3832241897</v>
      </c>
      <c r="H3394" s="6" t="e">
        <f t="shared" ca="1" si="66"/>
        <v>#VALUE!</v>
      </c>
      <c r="I3394" s="7" t="str">
        <f ca="1">IFERROR(__xludf.DUMMYFUNCTION("IMPORTXML(E3394,""/html/body/main/div[3]/div[3]/div[2]/ul/li[5]/span[2]/span"")"),"Loading...")</f>
        <v>Loading...</v>
      </c>
      <c r="J3394" s="7" t="str">
        <f ca="1">IFERROR(__xludf.DUMMYFUNCTION("GOOGLEFINANCE(""NSE:""&amp;D3394,""marketcap"")"),"#N/A")</f>
        <v>#N/A</v>
      </c>
      <c r="K3394" s="7">
        <v>992.8</v>
      </c>
      <c r="L3394" s="8" t="str">
        <f ca="1">IFERROR(__xludf.DUMMYFUNCTION("GOOGLEFINANCE(""NSE:""&amp;D3394,""price"")"),"#N/A")</f>
        <v>#N/A</v>
      </c>
      <c r="M3394" s="9" t="e">
        <f t="shared" ca="1" si="67"/>
        <v>#VALUE!</v>
      </c>
      <c r="N3394" s="10" t="e">
        <f t="shared" ca="1" si="68"/>
        <v>#VALUE!</v>
      </c>
      <c r="O3394" s="7" t="str">
        <f ca="1">IFERROR(__xludf.DUMMYFUNCTION("GOOGLEFINANCE(""NSE:""&amp;D3394,""pe"")"),"#N/A")</f>
        <v>#N/A</v>
      </c>
      <c r="P3394" s="7" t="str">
        <f ca="1">IFERROR(__xludf.DUMMYFUNCTION("GOOGLEFINANCE(""NSE:""&amp;D3394,""EPS"")"),"#N/A")</f>
        <v>#N/A</v>
      </c>
      <c r="Q3394" s="7">
        <v>13.5</v>
      </c>
      <c r="R3394" s="7" t="str">
        <f ca="1">IFERROR(__xludf.DUMMYFUNCTION("IMPORTXML(E3394,""/html/body/main/div[3]/div[3]/div[2]/ul/li[7]/span[2]/span"")"),"Loading...")</f>
        <v>Loading...</v>
      </c>
      <c r="S3394" s="7" t="str">
        <f ca="1">IFERROR(__xludf.DUMMYFUNCTION("IMPORTXML(E3394,""/html/body/main/div[3]/div[3]/div[2]/ul/li[8]/span[2]/span"")"),"Loading...")</f>
        <v>Loading...</v>
      </c>
      <c r="T3394" s="4">
        <v>34.6</v>
      </c>
      <c r="U3394" s="4">
        <v>22.7</v>
      </c>
      <c r="V3394" s="4">
        <v>2.6</v>
      </c>
      <c r="W3394" s="4">
        <v>5.7</v>
      </c>
      <c r="X3394" s="4">
        <v>519.92999999999995</v>
      </c>
      <c r="Y3394" s="7" t="e">
        <f t="shared" ca="1" si="69"/>
        <v>#VALUE!</v>
      </c>
    </row>
    <row r="3395" spans="1:25" ht="15" x14ac:dyDescent="0.25">
      <c r="A3395" s="4">
        <v>3387</v>
      </c>
      <c r="C3395" s="41" t="s">
        <v>5737</v>
      </c>
      <c r="D3395" s="42"/>
      <c r="E3395" s="5" t="str">
        <f t="shared" si="65"/>
        <v>https://www.screener.in/company//consolidated/</v>
      </c>
      <c r="F3395" s="4">
        <v>443059</v>
      </c>
      <c r="G3395" s="4">
        <v>3832241897</v>
      </c>
      <c r="H3395" s="6" t="e">
        <f t="shared" ca="1" si="66"/>
        <v>#VALUE!</v>
      </c>
      <c r="I3395" s="7" t="str">
        <f ca="1">IFERROR(__xludf.DUMMYFUNCTION("IMPORTXML(E3395,""/html/body/main/div[3]/div[3]/div[2]/ul/li[5]/span[2]/span"")"),"Loading...")</f>
        <v>Loading...</v>
      </c>
      <c r="J3395" s="7" t="str">
        <f ca="1">IFERROR(__xludf.DUMMYFUNCTION("GOOGLEFINANCE(""NSE:""&amp;D3395,""marketcap"")"),"#N/A")</f>
        <v>#N/A</v>
      </c>
      <c r="K3395" s="7">
        <v>992.8</v>
      </c>
      <c r="L3395" s="8" t="str">
        <f ca="1">IFERROR(__xludf.DUMMYFUNCTION("GOOGLEFINANCE(""NSE:""&amp;D3395,""price"")"),"#N/A")</f>
        <v>#N/A</v>
      </c>
      <c r="M3395" s="9" t="e">
        <f t="shared" ca="1" si="67"/>
        <v>#VALUE!</v>
      </c>
      <c r="N3395" s="10" t="e">
        <f t="shared" ca="1" si="68"/>
        <v>#VALUE!</v>
      </c>
      <c r="O3395" s="7" t="str">
        <f ca="1">IFERROR(__xludf.DUMMYFUNCTION("GOOGLEFINANCE(""NSE:""&amp;D3395,""pe"")"),"#N/A")</f>
        <v>#N/A</v>
      </c>
      <c r="P3395" s="7" t="str">
        <f ca="1">IFERROR(__xludf.DUMMYFUNCTION("GOOGLEFINANCE(""NSE:""&amp;D3395,""EPS"")"),"#N/A")</f>
        <v>#N/A</v>
      </c>
      <c r="Q3395" s="7">
        <v>13.5</v>
      </c>
      <c r="R3395" s="7" t="str">
        <f ca="1">IFERROR(__xludf.DUMMYFUNCTION("IMPORTXML(E3395,""/html/body/main/div[3]/div[3]/div[2]/ul/li[7]/span[2]/span"")"),"Loading...")</f>
        <v>Loading...</v>
      </c>
      <c r="S3395" s="7" t="str">
        <f ca="1">IFERROR(__xludf.DUMMYFUNCTION("IMPORTXML(E3395,""/html/body/main/div[3]/div[3]/div[2]/ul/li[8]/span[2]/span"")"),"Loading...")</f>
        <v>Loading...</v>
      </c>
      <c r="T3395" s="4">
        <v>34.6</v>
      </c>
      <c r="U3395" s="4">
        <v>22.7</v>
      </c>
      <c r="V3395" s="4">
        <v>2.6</v>
      </c>
      <c r="W3395" s="4">
        <v>5.7</v>
      </c>
      <c r="X3395" s="4">
        <v>519.92999999999995</v>
      </c>
      <c r="Y3395" s="7" t="e">
        <f t="shared" ca="1" si="69"/>
        <v>#VALUE!</v>
      </c>
    </row>
    <row r="3396" spans="1:25" ht="15" x14ac:dyDescent="0.25">
      <c r="A3396" s="4">
        <v>3388</v>
      </c>
      <c r="C3396" s="41" t="s">
        <v>5738</v>
      </c>
      <c r="D3396" s="42"/>
      <c r="E3396" s="5" t="str">
        <f t="shared" si="65"/>
        <v>https://www.screener.in/company//consolidated/</v>
      </c>
      <c r="F3396" s="4">
        <v>443059</v>
      </c>
      <c r="G3396" s="4">
        <v>3832241897</v>
      </c>
      <c r="H3396" s="6" t="e">
        <f t="shared" ca="1" si="66"/>
        <v>#VALUE!</v>
      </c>
      <c r="I3396" s="7" t="str">
        <f ca="1">IFERROR(__xludf.DUMMYFUNCTION("IMPORTXML(E3396,""/html/body/main/div[3]/div[3]/div[2]/ul/li[5]/span[2]/span"")"),"Loading...")</f>
        <v>Loading...</v>
      </c>
      <c r="J3396" s="7" t="str">
        <f ca="1">IFERROR(__xludf.DUMMYFUNCTION("GOOGLEFINANCE(""NSE:""&amp;D3396,""marketcap"")"),"#N/A")</f>
        <v>#N/A</v>
      </c>
      <c r="K3396" s="7">
        <v>992.8</v>
      </c>
      <c r="L3396" s="8" t="str">
        <f ca="1">IFERROR(__xludf.DUMMYFUNCTION("GOOGLEFINANCE(""NSE:""&amp;D3396,""price"")"),"#N/A")</f>
        <v>#N/A</v>
      </c>
      <c r="M3396" s="9" t="e">
        <f t="shared" ca="1" si="67"/>
        <v>#VALUE!</v>
      </c>
      <c r="N3396" s="10" t="e">
        <f t="shared" ca="1" si="68"/>
        <v>#VALUE!</v>
      </c>
      <c r="O3396" s="7" t="str">
        <f ca="1">IFERROR(__xludf.DUMMYFUNCTION("GOOGLEFINANCE(""NSE:""&amp;D3396,""pe"")"),"#N/A")</f>
        <v>#N/A</v>
      </c>
      <c r="P3396" s="7" t="str">
        <f ca="1">IFERROR(__xludf.DUMMYFUNCTION("GOOGLEFINANCE(""NSE:""&amp;D3396,""EPS"")"),"#N/A")</f>
        <v>#N/A</v>
      </c>
      <c r="Q3396" s="7">
        <v>13.5</v>
      </c>
      <c r="R3396" s="7" t="str">
        <f ca="1">IFERROR(__xludf.DUMMYFUNCTION("IMPORTXML(E3396,""/html/body/main/div[3]/div[3]/div[2]/ul/li[7]/span[2]/span"")"),"Loading...")</f>
        <v>Loading...</v>
      </c>
      <c r="S3396" s="7" t="str">
        <f ca="1">IFERROR(__xludf.DUMMYFUNCTION("IMPORTXML(E3396,""/html/body/main/div[3]/div[3]/div[2]/ul/li[8]/span[2]/span"")"),"Loading...")</f>
        <v>Loading...</v>
      </c>
      <c r="T3396" s="4">
        <v>34.6</v>
      </c>
      <c r="U3396" s="4">
        <v>22.7</v>
      </c>
      <c r="V3396" s="4">
        <v>2.6</v>
      </c>
      <c r="W3396" s="4">
        <v>5.7</v>
      </c>
      <c r="X3396" s="4">
        <v>519.92999999999995</v>
      </c>
      <c r="Y3396" s="7" t="e">
        <f t="shared" ca="1" si="69"/>
        <v>#VALUE!</v>
      </c>
    </row>
    <row r="3397" spans="1:25" ht="15" x14ac:dyDescent="0.25">
      <c r="A3397" s="4">
        <v>3389</v>
      </c>
      <c r="C3397" s="41" t="s">
        <v>5739</v>
      </c>
      <c r="D3397" s="42"/>
      <c r="E3397" s="5" t="str">
        <f t="shared" si="65"/>
        <v>https://www.screener.in/company//consolidated/</v>
      </c>
      <c r="F3397" s="4">
        <v>443059</v>
      </c>
      <c r="G3397" s="4">
        <v>3832241897</v>
      </c>
      <c r="H3397" s="6" t="e">
        <f t="shared" ca="1" si="66"/>
        <v>#VALUE!</v>
      </c>
      <c r="I3397" s="7" t="str">
        <f ca="1">IFERROR(__xludf.DUMMYFUNCTION("IMPORTXML(E3397,""/html/body/main/div[3]/div[3]/div[2]/ul/li[5]/span[2]/span"")"),"Loading...")</f>
        <v>Loading...</v>
      </c>
      <c r="J3397" s="7" t="str">
        <f ca="1">IFERROR(__xludf.DUMMYFUNCTION("GOOGLEFINANCE(""NSE:""&amp;D3397,""marketcap"")"),"#N/A")</f>
        <v>#N/A</v>
      </c>
      <c r="K3397" s="7">
        <v>992.8</v>
      </c>
      <c r="L3397" s="8" t="str">
        <f ca="1">IFERROR(__xludf.DUMMYFUNCTION("GOOGLEFINANCE(""NSE:""&amp;D3397,""price"")"),"#N/A")</f>
        <v>#N/A</v>
      </c>
      <c r="M3397" s="9" t="e">
        <f t="shared" ca="1" si="67"/>
        <v>#VALUE!</v>
      </c>
      <c r="N3397" s="10" t="e">
        <f t="shared" ca="1" si="68"/>
        <v>#VALUE!</v>
      </c>
      <c r="O3397" s="7" t="str">
        <f ca="1">IFERROR(__xludf.DUMMYFUNCTION("GOOGLEFINANCE(""NSE:""&amp;D3397,""pe"")"),"#N/A")</f>
        <v>#N/A</v>
      </c>
      <c r="P3397" s="7" t="str">
        <f ca="1">IFERROR(__xludf.DUMMYFUNCTION("GOOGLEFINANCE(""NSE:""&amp;D3397,""EPS"")"),"#N/A")</f>
        <v>#N/A</v>
      </c>
      <c r="Q3397" s="7">
        <v>13.5</v>
      </c>
      <c r="R3397" s="7" t="str">
        <f ca="1">IFERROR(__xludf.DUMMYFUNCTION("IMPORTXML(E3397,""/html/body/main/div[3]/div[3]/div[2]/ul/li[7]/span[2]/span"")"),"Loading...")</f>
        <v>Loading...</v>
      </c>
      <c r="S3397" s="7" t="str">
        <f ca="1">IFERROR(__xludf.DUMMYFUNCTION("IMPORTXML(E3397,""/html/body/main/div[3]/div[3]/div[2]/ul/li[8]/span[2]/span"")"),"Loading...")</f>
        <v>Loading...</v>
      </c>
      <c r="T3397" s="4">
        <v>34.6</v>
      </c>
      <c r="U3397" s="4">
        <v>22.7</v>
      </c>
      <c r="V3397" s="4">
        <v>2.6</v>
      </c>
      <c r="W3397" s="4">
        <v>5.7</v>
      </c>
      <c r="X3397" s="4">
        <v>519.92999999999995</v>
      </c>
      <c r="Y3397" s="7" t="e">
        <f t="shared" ca="1" si="69"/>
        <v>#VALUE!</v>
      </c>
    </row>
    <row r="3398" spans="1:25" ht="15" x14ac:dyDescent="0.25">
      <c r="A3398" s="4">
        <v>3390</v>
      </c>
      <c r="C3398" s="41" t="s">
        <v>5740</v>
      </c>
      <c r="D3398" s="42"/>
      <c r="E3398" s="5" t="str">
        <f t="shared" si="65"/>
        <v>https://www.screener.in/company//consolidated/</v>
      </c>
      <c r="F3398" s="4">
        <v>443059</v>
      </c>
      <c r="G3398" s="4">
        <v>3832241897</v>
      </c>
      <c r="H3398" s="6" t="e">
        <f t="shared" ca="1" si="66"/>
        <v>#VALUE!</v>
      </c>
      <c r="I3398" s="7" t="str">
        <f ca="1">IFERROR(__xludf.DUMMYFUNCTION("IMPORTXML(E3398,""/html/body/main/div[3]/div[3]/div[2]/ul/li[5]/span[2]/span"")"),"Loading...")</f>
        <v>Loading...</v>
      </c>
      <c r="J3398" s="7" t="str">
        <f ca="1">IFERROR(__xludf.DUMMYFUNCTION("GOOGLEFINANCE(""NSE:""&amp;D3398,""marketcap"")"),"#N/A")</f>
        <v>#N/A</v>
      </c>
      <c r="K3398" s="7">
        <v>992.8</v>
      </c>
      <c r="L3398" s="8" t="str">
        <f ca="1">IFERROR(__xludf.DUMMYFUNCTION("GOOGLEFINANCE(""NSE:""&amp;D3398,""price"")"),"#N/A")</f>
        <v>#N/A</v>
      </c>
      <c r="M3398" s="9" t="e">
        <f t="shared" ca="1" si="67"/>
        <v>#VALUE!</v>
      </c>
      <c r="N3398" s="10" t="e">
        <f t="shared" ca="1" si="68"/>
        <v>#VALUE!</v>
      </c>
      <c r="O3398" s="7" t="str">
        <f ca="1">IFERROR(__xludf.DUMMYFUNCTION("GOOGLEFINANCE(""NSE:""&amp;D3398,""pe"")"),"#N/A")</f>
        <v>#N/A</v>
      </c>
      <c r="P3398" s="7" t="str">
        <f ca="1">IFERROR(__xludf.DUMMYFUNCTION("GOOGLEFINANCE(""NSE:""&amp;D3398,""EPS"")"),"#N/A")</f>
        <v>#N/A</v>
      </c>
      <c r="Q3398" s="7">
        <v>13.5</v>
      </c>
      <c r="R3398" s="7" t="str">
        <f ca="1">IFERROR(__xludf.DUMMYFUNCTION("IMPORTXML(E3398,""/html/body/main/div[3]/div[3]/div[2]/ul/li[7]/span[2]/span"")"),"Loading...")</f>
        <v>Loading...</v>
      </c>
      <c r="S3398" s="7" t="str">
        <f ca="1">IFERROR(__xludf.DUMMYFUNCTION("IMPORTXML(E3398,""/html/body/main/div[3]/div[3]/div[2]/ul/li[8]/span[2]/span"")"),"Loading...")</f>
        <v>Loading...</v>
      </c>
      <c r="T3398" s="4">
        <v>34.6</v>
      </c>
      <c r="U3398" s="4">
        <v>22.7</v>
      </c>
      <c r="V3398" s="4">
        <v>2.6</v>
      </c>
      <c r="W3398" s="4">
        <v>5.7</v>
      </c>
      <c r="X3398" s="4">
        <v>519.92999999999995</v>
      </c>
      <c r="Y3398" s="7" t="e">
        <f t="shared" ca="1" si="69"/>
        <v>#VALUE!</v>
      </c>
    </row>
    <row r="3399" spans="1:25" ht="15" x14ac:dyDescent="0.25">
      <c r="A3399" s="4">
        <v>3391</v>
      </c>
      <c r="C3399" s="41" t="s">
        <v>5741</v>
      </c>
      <c r="D3399" s="42"/>
      <c r="E3399" s="5" t="str">
        <f t="shared" si="65"/>
        <v>https://www.screener.in/company//consolidated/</v>
      </c>
      <c r="F3399" s="4">
        <v>443059</v>
      </c>
      <c r="G3399" s="4">
        <v>3832241897</v>
      </c>
      <c r="H3399" s="6" t="e">
        <f t="shared" ca="1" si="66"/>
        <v>#VALUE!</v>
      </c>
      <c r="I3399" s="7" t="str">
        <f ca="1">IFERROR(__xludf.DUMMYFUNCTION("IMPORTXML(E3399,""/html/body/main/div[3]/div[3]/div[2]/ul/li[5]/span[2]/span"")"),"Loading...")</f>
        <v>Loading...</v>
      </c>
      <c r="J3399" s="7" t="str">
        <f ca="1">IFERROR(__xludf.DUMMYFUNCTION("GOOGLEFINANCE(""NSE:""&amp;D3399,""marketcap"")"),"#N/A")</f>
        <v>#N/A</v>
      </c>
      <c r="K3399" s="7">
        <v>992.8</v>
      </c>
      <c r="L3399" s="8" t="str">
        <f ca="1">IFERROR(__xludf.DUMMYFUNCTION("GOOGLEFINANCE(""NSE:""&amp;D3399,""price"")"),"#N/A")</f>
        <v>#N/A</v>
      </c>
      <c r="M3399" s="9" t="e">
        <f t="shared" ca="1" si="67"/>
        <v>#VALUE!</v>
      </c>
      <c r="N3399" s="10" t="e">
        <f t="shared" ca="1" si="68"/>
        <v>#VALUE!</v>
      </c>
      <c r="O3399" s="7" t="str">
        <f ca="1">IFERROR(__xludf.DUMMYFUNCTION("GOOGLEFINANCE(""NSE:""&amp;D3399,""pe"")"),"#N/A")</f>
        <v>#N/A</v>
      </c>
      <c r="P3399" s="7" t="str">
        <f ca="1">IFERROR(__xludf.DUMMYFUNCTION("GOOGLEFINANCE(""NSE:""&amp;D3399,""EPS"")"),"#N/A")</f>
        <v>#N/A</v>
      </c>
      <c r="Q3399" s="7">
        <v>13.5</v>
      </c>
      <c r="R3399" s="7" t="str">
        <f ca="1">IFERROR(__xludf.DUMMYFUNCTION("IMPORTXML(E3399,""/html/body/main/div[3]/div[3]/div[2]/ul/li[7]/span[2]/span"")"),"Loading...")</f>
        <v>Loading...</v>
      </c>
      <c r="S3399" s="7" t="str">
        <f ca="1">IFERROR(__xludf.DUMMYFUNCTION("IMPORTXML(E3399,""/html/body/main/div[3]/div[3]/div[2]/ul/li[8]/span[2]/span"")"),"Loading...")</f>
        <v>Loading...</v>
      </c>
      <c r="T3399" s="4">
        <v>34.6</v>
      </c>
      <c r="U3399" s="4">
        <v>22.7</v>
      </c>
      <c r="V3399" s="4">
        <v>2.6</v>
      </c>
      <c r="W3399" s="4">
        <v>5.7</v>
      </c>
      <c r="X3399" s="4">
        <v>519.92999999999995</v>
      </c>
      <c r="Y3399" s="7" t="e">
        <f t="shared" ca="1" si="69"/>
        <v>#VALUE!</v>
      </c>
    </row>
    <row r="3400" spans="1:25" ht="15" x14ac:dyDescent="0.25">
      <c r="A3400" s="4">
        <v>3392</v>
      </c>
      <c r="C3400" s="41" t="s">
        <v>5742</v>
      </c>
      <c r="D3400" s="42"/>
      <c r="E3400" s="5" t="str">
        <f t="shared" si="65"/>
        <v>https://www.screener.in/company//consolidated/</v>
      </c>
      <c r="F3400" s="4">
        <v>443059</v>
      </c>
      <c r="G3400" s="4">
        <v>3832241897</v>
      </c>
      <c r="H3400" s="6" t="e">
        <f t="shared" ca="1" si="66"/>
        <v>#VALUE!</v>
      </c>
      <c r="I3400" s="7" t="str">
        <f ca="1">IFERROR(__xludf.DUMMYFUNCTION("IMPORTXML(E3400,""/html/body/main/div[3]/div[3]/div[2]/ul/li[5]/span[2]/span"")"),"Loading...")</f>
        <v>Loading...</v>
      </c>
      <c r="J3400" s="7" t="str">
        <f ca="1">IFERROR(__xludf.DUMMYFUNCTION("GOOGLEFINANCE(""NSE:""&amp;D3400,""marketcap"")"),"#N/A")</f>
        <v>#N/A</v>
      </c>
      <c r="K3400" s="7">
        <v>992.8</v>
      </c>
      <c r="L3400" s="8" t="str">
        <f ca="1">IFERROR(__xludf.DUMMYFUNCTION("GOOGLEFINANCE(""NSE:""&amp;D3400,""price"")"),"#N/A")</f>
        <v>#N/A</v>
      </c>
      <c r="M3400" s="9" t="e">
        <f t="shared" ca="1" si="67"/>
        <v>#VALUE!</v>
      </c>
      <c r="N3400" s="10" t="e">
        <f t="shared" ca="1" si="68"/>
        <v>#VALUE!</v>
      </c>
      <c r="O3400" s="7" t="str">
        <f ca="1">IFERROR(__xludf.DUMMYFUNCTION("GOOGLEFINANCE(""NSE:""&amp;D3400,""pe"")"),"#N/A")</f>
        <v>#N/A</v>
      </c>
      <c r="P3400" s="7" t="str">
        <f ca="1">IFERROR(__xludf.DUMMYFUNCTION("GOOGLEFINANCE(""NSE:""&amp;D3400,""EPS"")"),"#N/A")</f>
        <v>#N/A</v>
      </c>
      <c r="Q3400" s="7">
        <v>13.5</v>
      </c>
      <c r="R3400" s="7" t="str">
        <f ca="1">IFERROR(__xludf.DUMMYFUNCTION("IMPORTXML(E3400,""/html/body/main/div[3]/div[3]/div[2]/ul/li[7]/span[2]/span"")"),"Loading...")</f>
        <v>Loading...</v>
      </c>
      <c r="S3400" s="7" t="str">
        <f ca="1">IFERROR(__xludf.DUMMYFUNCTION("IMPORTXML(E3400,""/html/body/main/div[3]/div[3]/div[2]/ul/li[8]/span[2]/span"")"),"Loading...")</f>
        <v>Loading...</v>
      </c>
      <c r="T3400" s="4">
        <v>34.6</v>
      </c>
      <c r="U3400" s="4">
        <v>22.7</v>
      </c>
      <c r="V3400" s="4">
        <v>2.6</v>
      </c>
      <c r="W3400" s="4">
        <v>5.7</v>
      </c>
      <c r="X3400" s="4">
        <v>519.92999999999995</v>
      </c>
      <c r="Y3400" s="7" t="e">
        <f t="shared" ca="1" si="69"/>
        <v>#VALUE!</v>
      </c>
    </row>
    <row r="3401" spans="1:25" ht="15" x14ac:dyDescent="0.25">
      <c r="A3401" s="4">
        <v>3393</v>
      </c>
      <c r="C3401" s="12" t="s">
        <v>5743</v>
      </c>
      <c r="D3401" s="12" t="s">
        <v>5744</v>
      </c>
      <c r="E3401" s="5" t="str">
        <f t="shared" si="65"/>
        <v>https://www.screener.in/company/WINSOME/consolidated/</v>
      </c>
      <c r="F3401" s="4">
        <v>443059</v>
      </c>
      <c r="G3401" s="4">
        <v>3832241897</v>
      </c>
      <c r="H3401" s="6">
        <f t="shared" ca="1" si="66"/>
        <v>800.93855647299995</v>
      </c>
      <c r="I3401" s="7" t="str">
        <f ca="1">IFERROR(__xludf.DUMMYFUNCTION("IMPORTXML(E3401,""/html/body/main/div[3]/div[3]/div[2]/ul/li[5]/span[2]/span"")"),"Loading...")</f>
        <v>Loading...</v>
      </c>
      <c r="J3401" s="7">
        <f ca="1">IFERROR(__xludf.DUMMYFUNCTION("GOOGLEFINANCE(""NSE:""&amp;D3401,""marketcap"")"),147778100)</f>
        <v>147778100</v>
      </c>
      <c r="K3401" s="7">
        <v>992.8</v>
      </c>
      <c r="L3401" s="8">
        <f ca="1">IFERROR(__xludf.DUMMYFUNCTION("GOOGLEFINANCE(""NSE:""&amp;D3401,""price"")"),2.09)</f>
        <v>2.09</v>
      </c>
      <c r="M3401" s="9">
        <f t="shared" ca="1" si="67"/>
        <v>-990.70999999999992</v>
      </c>
      <c r="N3401" s="10">
        <f t="shared" ca="1" si="68"/>
        <v>-99.789484286865431</v>
      </c>
      <c r="O3401" s="7" t="str">
        <f ca="1">IFERROR(__xludf.DUMMYFUNCTION("GOOGLEFINANCE(""NSE:""&amp;D3401,""pe"")"),"#N/A")</f>
        <v>#N/A</v>
      </c>
      <c r="P3401" s="7">
        <f ca="1">IFERROR(__xludf.DUMMYFUNCTION("GOOGLEFINANCE(""NSE:""&amp;D3401,""EPS"")"),-2.2)</f>
        <v>-2.2000000000000002</v>
      </c>
      <c r="Q3401" s="7">
        <v>13.5</v>
      </c>
      <c r="R3401" s="7" t="str">
        <f ca="1">IFERROR(__xludf.DUMMYFUNCTION("IMPORTXML(E3401,""/html/body/main/div[3]/div[3]/div[2]/ul/li[7]/span[2]/span"")"),"Loading...")</f>
        <v>Loading...</v>
      </c>
      <c r="S3401" s="7" t="str">
        <f ca="1">IFERROR(__xludf.DUMMYFUNCTION("IMPORTXML(E3401,""/html/body/main/div[3]/div[3]/div[2]/ul/li[8]/span[2]/span"")"),"Loading...")</f>
        <v>Loading...</v>
      </c>
      <c r="T3401" s="4">
        <v>34.6</v>
      </c>
      <c r="U3401" s="4">
        <v>22.7</v>
      </c>
      <c r="V3401" s="4">
        <v>2.6</v>
      </c>
      <c r="W3401" s="4">
        <v>5.7</v>
      </c>
      <c r="X3401" s="4">
        <v>519.92999999999995</v>
      </c>
      <c r="Y3401" s="7">
        <f t="shared" ca="1" si="69"/>
        <v>-517.83999999999992</v>
      </c>
    </row>
    <row r="3402" spans="1:25" ht="15" x14ac:dyDescent="0.25">
      <c r="A3402" s="4">
        <v>3394</v>
      </c>
      <c r="C3402" s="41" t="s">
        <v>5745</v>
      </c>
      <c r="D3402" s="42"/>
      <c r="E3402" s="5" t="str">
        <f t="shared" si="65"/>
        <v>https://www.screener.in/company//consolidated/</v>
      </c>
      <c r="F3402" s="4">
        <v>443059</v>
      </c>
      <c r="G3402" s="4">
        <v>3832241897</v>
      </c>
      <c r="H3402" s="6" t="e">
        <f t="shared" ca="1" si="66"/>
        <v>#VALUE!</v>
      </c>
      <c r="I3402" s="7" t="str">
        <f ca="1">IFERROR(__xludf.DUMMYFUNCTION("IMPORTXML(E3402,""/html/body/main/div[3]/div[3]/div[2]/ul/li[5]/span[2]/span"")"),"Loading...")</f>
        <v>Loading...</v>
      </c>
      <c r="J3402" s="7" t="str">
        <f ca="1">IFERROR(__xludf.DUMMYFUNCTION("GOOGLEFINANCE(""NSE:""&amp;D3402,""marketcap"")"),"#N/A")</f>
        <v>#N/A</v>
      </c>
      <c r="K3402" s="7">
        <v>992.8</v>
      </c>
      <c r="L3402" s="8" t="str">
        <f ca="1">IFERROR(__xludf.DUMMYFUNCTION("GOOGLEFINANCE(""NSE:""&amp;D3402,""price"")"),"#N/A")</f>
        <v>#N/A</v>
      </c>
      <c r="M3402" s="9" t="e">
        <f t="shared" ca="1" si="67"/>
        <v>#VALUE!</v>
      </c>
      <c r="N3402" s="10" t="e">
        <f t="shared" ca="1" si="68"/>
        <v>#VALUE!</v>
      </c>
      <c r="O3402" s="7" t="str">
        <f ca="1">IFERROR(__xludf.DUMMYFUNCTION("GOOGLEFINANCE(""NSE:""&amp;D3402,""pe"")"),"#N/A")</f>
        <v>#N/A</v>
      </c>
      <c r="P3402" s="7" t="str">
        <f ca="1">IFERROR(__xludf.DUMMYFUNCTION("GOOGLEFINANCE(""NSE:""&amp;D3402,""EPS"")"),"#N/A")</f>
        <v>#N/A</v>
      </c>
      <c r="Q3402" s="7">
        <v>13.5</v>
      </c>
      <c r="R3402" s="7" t="str">
        <f ca="1">IFERROR(__xludf.DUMMYFUNCTION("IMPORTXML(E3402,""/html/body/main/div[3]/div[3]/div[2]/ul/li[7]/span[2]/span"")"),"Loading...")</f>
        <v>Loading...</v>
      </c>
      <c r="S3402" s="7" t="str">
        <f ca="1">IFERROR(__xludf.DUMMYFUNCTION("IMPORTXML(E3402,""/html/body/main/div[3]/div[3]/div[2]/ul/li[8]/span[2]/span"")"),"Loading...")</f>
        <v>Loading...</v>
      </c>
      <c r="T3402" s="4">
        <v>34.6</v>
      </c>
      <c r="U3402" s="4">
        <v>22.7</v>
      </c>
      <c r="V3402" s="4">
        <v>2.6</v>
      </c>
      <c r="W3402" s="4">
        <v>5.7</v>
      </c>
      <c r="X3402" s="4">
        <v>519.92999999999995</v>
      </c>
      <c r="Y3402" s="7" t="e">
        <f t="shared" ca="1" si="69"/>
        <v>#VALUE!</v>
      </c>
    </row>
    <row r="3403" spans="1:25" ht="15" x14ac:dyDescent="0.25">
      <c r="A3403" s="4">
        <v>3395</v>
      </c>
      <c r="C3403" s="41" t="s">
        <v>5746</v>
      </c>
      <c r="D3403" s="42"/>
      <c r="E3403" s="5" t="str">
        <f t="shared" si="65"/>
        <v>https://www.screener.in/company//consolidated/</v>
      </c>
      <c r="F3403" s="4">
        <v>443059</v>
      </c>
      <c r="G3403" s="4">
        <v>3832241897</v>
      </c>
      <c r="H3403" s="6" t="e">
        <f t="shared" ca="1" si="66"/>
        <v>#VALUE!</v>
      </c>
      <c r="I3403" s="7" t="str">
        <f ca="1">IFERROR(__xludf.DUMMYFUNCTION("IMPORTXML(E3403,""/html/body/main/div[3]/div[3]/div[2]/ul/li[5]/span[2]/span"")"),"Loading...")</f>
        <v>Loading...</v>
      </c>
      <c r="J3403" s="7" t="str">
        <f ca="1">IFERROR(__xludf.DUMMYFUNCTION("GOOGLEFINANCE(""NSE:""&amp;D3403,""marketcap"")"),"#N/A")</f>
        <v>#N/A</v>
      </c>
      <c r="K3403" s="7">
        <v>992.8</v>
      </c>
      <c r="L3403" s="8" t="str">
        <f ca="1">IFERROR(__xludf.DUMMYFUNCTION("GOOGLEFINANCE(""NSE:""&amp;D3403,""price"")"),"#N/A")</f>
        <v>#N/A</v>
      </c>
      <c r="M3403" s="9" t="e">
        <f t="shared" ca="1" si="67"/>
        <v>#VALUE!</v>
      </c>
      <c r="N3403" s="10" t="e">
        <f t="shared" ca="1" si="68"/>
        <v>#VALUE!</v>
      </c>
      <c r="O3403" s="7" t="str">
        <f ca="1">IFERROR(__xludf.DUMMYFUNCTION("GOOGLEFINANCE(""NSE:""&amp;D3403,""pe"")"),"#N/A")</f>
        <v>#N/A</v>
      </c>
      <c r="P3403" s="7" t="str">
        <f ca="1">IFERROR(__xludf.DUMMYFUNCTION("GOOGLEFINANCE(""NSE:""&amp;D3403,""EPS"")"),"#N/A")</f>
        <v>#N/A</v>
      </c>
      <c r="Q3403" s="7">
        <v>13.5</v>
      </c>
      <c r="R3403" s="7" t="str">
        <f ca="1">IFERROR(__xludf.DUMMYFUNCTION("IMPORTXML(E3403,""/html/body/main/div[3]/div[3]/div[2]/ul/li[7]/span[2]/span"")"),"Loading...")</f>
        <v>Loading...</v>
      </c>
      <c r="S3403" s="7" t="str">
        <f ca="1">IFERROR(__xludf.DUMMYFUNCTION("IMPORTXML(E3403,""/html/body/main/div[3]/div[3]/div[2]/ul/li[8]/span[2]/span"")"),"Loading...")</f>
        <v>Loading...</v>
      </c>
      <c r="T3403" s="4">
        <v>34.6</v>
      </c>
      <c r="U3403" s="4">
        <v>22.7</v>
      </c>
      <c r="V3403" s="4">
        <v>2.6</v>
      </c>
      <c r="W3403" s="4">
        <v>5.7</v>
      </c>
      <c r="X3403" s="4">
        <v>519.92999999999995</v>
      </c>
      <c r="Y3403" s="7" t="e">
        <f t="shared" ca="1" si="69"/>
        <v>#VALUE!</v>
      </c>
    </row>
    <row r="3404" spans="1:25" ht="15" x14ac:dyDescent="0.25">
      <c r="A3404" s="4">
        <v>3396</v>
      </c>
      <c r="C3404" s="41" t="s">
        <v>5747</v>
      </c>
      <c r="D3404" s="42"/>
      <c r="E3404" s="5" t="str">
        <f t="shared" si="65"/>
        <v>https://www.screener.in/company//consolidated/</v>
      </c>
      <c r="F3404" s="4">
        <v>443059</v>
      </c>
      <c r="G3404" s="4">
        <v>3832241897</v>
      </c>
      <c r="H3404" s="6" t="e">
        <f t="shared" ca="1" si="66"/>
        <v>#VALUE!</v>
      </c>
      <c r="I3404" s="7" t="str">
        <f ca="1">IFERROR(__xludf.DUMMYFUNCTION("IMPORTXML(E3404,""/html/body/main/div[3]/div[3]/div[2]/ul/li[5]/span[2]/span"")"),"Loading...")</f>
        <v>Loading...</v>
      </c>
      <c r="J3404" s="7" t="str">
        <f ca="1">IFERROR(__xludf.DUMMYFUNCTION("GOOGLEFINANCE(""NSE:""&amp;D3404,""marketcap"")"),"#N/A")</f>
        <v>#N/A</v>
      </c>
      <c r="K3404" s="7">
        <v>992.8</v>
      </c>
      <c r="L3404" s="8" t="str">
        <f ca="1">IFERROR(__xludf.DUMMYFUNCTION("GOOGLEFINANCE(""NSE:""&amp;D3404,""price"")"),"#N/A")</f>
        <v>#N/A</v>
      </c>
      <c r="M3404" s="9" t="e">
        <f t="shared" ca="1" si="67"/>
        <v>#VALUE!</v>
      </c>
      <c r="N3404" s="10" t="e">
        <f t="shared" ca="1" si="68"/>
        <v>#VALUE!</v>
      </c>
      <c r="O3404" s="7" t="str">
        <f ca="1">IFERROR(__xludf.DUMMYFUNCTION("GOOGLEFINANCE(""NSE:""&amp;D3404,""pe"")"),"#N/A")</f>
        <v>#N/A</v>
      </c>
      <c r="P3404" s="7" t="str">
        <f ca="1">IFERROR(__xludf.DUMMYFUNCTION("GOOGLEFINANCE(""NSE:""&amp;D3404,""EPS"")"),"#N/A")</f>
        <v>#N/A</v>
      </c>
      <c r="Q3404" s="7">
        <v>13.5</v>
      </c>
      <c r="R3404" s="7" t="str">
        <f ca="1">IFERROR(__xludf.DUMMYFUNCTION("IMPORTXML(E3404,""/html/body/main/div[3]/div[3]/div[2]/ul/li[7]/span[2]/span"")"),"Loading...")</f>
        <v>Loading...</v>
      </c>
      <c r="S3404" s="7" t="str">
        <f ca="1">IFERROR(__xludf.DUMMYFUNCTION("IMPORTXML(E3404,""/html/body/main/div[3]/div[3]/div[2]/ul/li[8]/span[2]/span"")"),"Loading...")</f>
        <v>Loading...</v>
      </c>
      <c r="T3404" s="4">
        <v>34.6</v>
      </c>
      <c r="U3404" s="4">
        <v>22.7</v>
      </c>
      <c r="V3404" s="4">
        <v>2.6</v>
      </c>
      <c r="W3404" s="4">
        <v>5.7</v>
      </c>
      <c r="X3404" s="4">
        <v>519.92999999999995</v>
      </c>
      <c r="Y3404" s="7" t="e">
        <f t="shared" ca="1" si="69"/>
        <v>#VALUE!</v>
      </c>
    </row>
    <row r="3405" spans="1:25" ht="15" x14ac:dyDescent="0.25">
      <c r="A3405" s="4">
        <v>3397</v>
      </c>
      <c r="C3405" s="41" t="s">
        <v>5748</v>
      </c>
      <c r="D3405" s="42"/>
      <c r="E3405" s="5" t="str">
        <f t="shared" si="65"/>
        <v>https://www.screener.in/company//consolidated/</v>
      </c>
      <c r="F3405" s="4">
        <v>443059</v>
      </c>
      <c r="G3405" s="4">
        <v>3832241897</v>
      </c>
      <c r="H3405" s="6" t="e">
        <f t="shared" ca="1" si="66"/>
        <v>#VALUE!</v>
      </c>
      <c r="I3405" s="7" t="str">
        <f ca="1">IFERROR(__xludf.DUMMYFUNCTION("IMPORTXML(E3405,""/html/body/main/div[3]/div[3]/div[2]/ul/li[5]/span[2]/span"")"),"Loading...")</f>
        <v>Loading...</v>
      </c>
      <c r="J3405" s="7" t="str">
        <f ca="1">IFERROR(__xludf.DUMMYFUNCTION("GOOGLEFINANCE(""NSE:""&amp;D3405,""marketcap"")"),"#N/A")</f>
        <v>#N/A</v>
      </c>
      <c r="K3405" s="7">
        <v>992.8</v>
      </c>
      <c r="L3405" s="8" t="str">
        <f ca="1">IFERROR(__xludf.DUMMYFUNCTION("GOOGLEFINANCE(""NSE:""&amp;D3405,""price"")"),"#N/A")</f>
        <v>#N/A</v>
      </c>
      <c r="M3405" s="9" t="e">
        <f t="shared" ca="1" si="67"/>
        <v>#VALUE!</v>
      </c>
      <c r="N3405" s="10" t="e">
        <f t="shared" ca="1" si="68"/>
        <v>#VALUE!</v>
      </c>
      <c r="O3405" s="7" t="str">
        <f ca="1">IFERROR(__xludf.DUMMYFUNCTION("GOOGLEFINANCE(""NSE:""&amp;D3405,""pe"")"),"#N/A")</f>
        <v>#N/A</v>
      </c>
      <c r="P3405" s="7" t="str">
        <f ca="1">IFERROR(__xludf.DUMMYFUNCTION("GOOGLEFINANCE(""NSE:""&amp;D3405,""EPS"")"),"#N/A")</f>
        <v>#N/A</v>
      </c>
      <c r="Q3405" s="7">
        <v>13.5</v>
      </c>
      <c r="R3405" s="7" t="str">
        <f ca="1">IFERROR(__xludf.DUMMYFUNCTION("IMPORTXML(E3405,""/html/body/main/div[3]/div[3]/div[2]/ul/li[7]/span[2]/span"")"),"Loading...")</f>
        <v>Loading...</v>
      </c>
      <c r="S3405" s="7" t="str">
        <f ca="1">IFERROR(__xludf.DUMMYFUNCTION("IMPORTXML(E3405,""/html/body/main/div[3]/div[3]/div[2]/ul/li[8]/span[2]/span"")"),"Loading...")</f>
        <v>Loading...</v>
      </c>
      <c r="T3405" s="4">
        <v>34.6</v>
      </c>
      <c r="U3405" s="4">
        <v>22.7</v>
      </c>
      <c r="V3405" s="4">
        <v>2.6</v>
      </c>
      <c r="W3405" s="4">
        <v>5.7</v>
      </c>
      <c r="X3405" s="4">
        <v>519.92999999999995</v>
      </c>
      <c r="Y3405" s="7" t="e">
        <f t="shared" ca="1" si="69"/>
        <v>#VALUE!</v>
      </c>
    </row>
    <row r="3406" spans="1:25" ht="15" x14ac:dyDescent="0.25">
      <c r="A3406" s="4">
        <v>3398</v>
      </c>
      <c r="C3406" s="41" t="s">
        <v>5749</v>
      </c>
      <c r="D3406" s="42"/>
      <c r="E3406" s="5" t="str">
        <f t="shared" si="65"/>
        <v>https://www.screener.in/company//consolidated/</v>
      </c>
      <c r="F3406" s="4">
        <v>443059</v>
      </c>
      <c r="G3406" s="4">
        <v>3832241897</v>
      </c>
      <c r="H3406" s="6" t="e">
        <f t="shared" ca="1" si="66"/>
        <v>#VALUE!</v>
      </c>
      <c r="I3406" s="7" t="str">
        <f ca="1">IFERROR(__xludf.DUMMYFUNCTION("IMPORTXML(E3406,""/html/body/main/div[3]/div[3]/div[2]/ul/li[5]/span[2]/span"")"),"Loading...")</f>
        <v>Loading...</v>
      </c>
      <c r="J3406" s="7" t="str">
        <f ca="1">IFERROR(__xludf.DUMMYFUNCTION("GOOGLEFINANCE(""NSE:""&amp;D3406,""marketcap"")"),"#N/A")</f>
        <v>#N/A</v>
      </c>
      <c r="K3406" s="7">
        <v>992.8</v>
      </c>
      <c r="L3406" s="8" t="str">
        <f ca="1">IFERROR(__xludf.DUMMYFUNCTION("GOOGLEFINANCE(""NSE:""&amp;D3406,""price"")"),"#N/A")</f>
        <v>#N/A</v>
      </c>
      <c r="M3406" s="9" t="e">
        <f t="shared" ca="1" si="67"/>
        <v>#VALUE!</v>
      </c>
      <c r="N3406" s="10" t="e">
        <f t="shared" ca="1" si="68"/>
        <v>#VALUE!</v>
      </c>
      <c r="O3406" s="7" t="str">
        <f ca="1">IFERROR(__xludf.DUMMYFUNCTION("GOOGLEFINANCE(""NSE:""&amp;D3406,""pe"")"),"#N/A")</f>
        <v>#N/A</v>
      </c>
      <c r="P3406" s="7" t="str">
        <f ca="1">IFERROR(__xludf.DUMMYFUNCTION("GOOGLEFINANCE(""NSE:""&amp;D3406,""EPS"")"),"#N/A")</f>
        <v>#N/A</v>
      </c>
      <c r="Q3406" s="7">
        <v>13.5</v>
      </c>
      <c r="R3406" s="7" t="str">
        <f ca="1">IFERROR(__xludf.DUMMYFUNCTION("IMPORTXML(E3406,""/html/body/main/div[3]/div[3]/div[2]/ul/li[7]/span[2]/span"")"),"Loading...")</f>
        <v>Loading...</v>
      </c>
      <c r="S3406" s="7" t="str">
        <f ca="1">IFERROR(__xludf.DUMMYFUNCTION("IMPORTXML(E3406,""/html/body/main/div[3]/div[3]/div[2]/ul/li[8]/span[2]/span"")"),"Loading...")</f>
        <v>Loading...</v>
      </c>
      <c r="T3406" s="4">
        <v>34.6</v>
      </c>
      <c r="U3406" s="4">
        <v>22.7</v>
      </c>
      <c r="V3406" s="4">
        <v>2.6</v>
      </c>
      <c r="W3406" s="4">
        <v>5.7</v>
      </c>
      <c r="X3406" s="4">
        <v>519.92999999999995</v>
      </c>
      <c r="Y3406" s="7" t="e">
        <f t="shared" ca="1" si="69"/>
        <v>#VALUE!</v>
      </c>
    </row>
    <row r="3407" spans="1:25" ht="15" x14ac:dyDescent="0.25">
      <c r="A3407" s="4">
        <v>3399</v>
      </c>
      <c r="C3407" s="41" t="s">
        <v>5750</v>
      </c>
      <c r="D3407" s="42"/>
      <c r="E3407" s="5" t="str">
        <f t="shared" si="65"/>
        <v>https://www.screener.in/company//consolidated/</v>
      </c>
      <c r="F3407" s="4">
        <v>443059</v>
      </c>
      <c r="G3407" s="4">
        <v>3832241897</v>
      </c>
      <c r="H3407" s="6" t="e">
        <f t="shared" ca="1" si="66"/>
        <v>#VALUE!</v>
      </c>
      <c r="I3407" s="7" t="str">
        <f ca="1">IFERROR(__xludf.DUMMYFUNCTION("IMPORTXML(E3407,""/html/body/main/div[3]/div[3]/div[2]/ul/li[5]/span[2]/span"")"),"Loading...")</f>
        <v>Loading...</v>
      </c>
      <c r="J3407" s="7" t="str">
        <f ca="1">IFERROR(__xludf.DUMMYFUNCTION("GOOGLEFINANCE(""NSE:""&amp;D3407,""marketcap"")"),"#N/A")</f>
        <v>#N/A</v>
      </c>
      <c r="K3407" s="7">
        <v>992.8</v>
      </c>
      <c r="L3407" s="8" t="str">
        <f ca="1">IFERROR(__xludf.DUMMYFUNCTION("GOOGLEFINANCE(""NSE:""&amp;D3407,""price"")"),"#N/A")</f>
        <v>#N/A</v>
      </c>
      <c r="M3407" s="9" t="e">
        <f t="shared" ca="1" si="67"/>
        <v>#VALUE!</v>
      </c>
      <c r="N3407" s="10" t="e">
        <f t="shared" ca="1" si="68"/>
        <v>#VALUE!</v>
      </c>
      <c r="O3407" s="7" t="str">
        <f ca="1">IFERROR(__xludf.DUMMYFUNCTION("GOOGLEFINANCE(""NSE:""&amp;D3407,""pe"")"),"#N/A")</f>
        <v>#N/A</v>
      </c>
      <c r="P3407" s="7" t="str">
        <f ca="1">IFERROR(__xludf.DUMMYFUNCTION("GOOGLEFINANCE(""NSE:""&amp;D3407,""EPS"")"),"#N/A")</f>
        <v>#N/A</v>
      </c>
      <c r="Q3407" s="7">
        <v>13.5</v>
      </c>
      <c r="R3407" s="7" t="str">
        <f ca="1">IFERROR(__xludf.DUMMYFUNCTION("IMPORTXML(E3407,""/html/body/main/div[3]/div[3]/div[2]/ul/li[7]/span[2]/span"")"),"Loading...")</f>
        <v>Loading...</v>
      </c>
      <c r="S3407" s="7" t="str">
        <f ca="1">IFERROR(__xludf.DUMMYFUNCTION("IMPORTXML(E3407,""/html/body/main/div[3]/div[3]/div[2]/ul/li[8]/span[2]/span"")"),"Loading...")</f>
        <v>Loading...</v>
      </c>
      <c r="T3407" s="4">
        <v>34.6</v>
      </c>
      <c r="U3407" s="4">
        <v>22.7</v>
      </c>
      <c r="V3407" s="4">
        <v>2.6</v>
      </c>
      <c r="W3407" s="4">
        <v>5.7</v>
      </c>
      <c r="X3407" s="4">
        <v>519.92999999999995</v>
      </c>
      <c r="Y3407" s="7" t="e">
        <f t="shared" ca="1" si="69"/>
        <v>#VALUE!</v>
      </c>
    </row>
    <row r="3408" spans="1:25" ht="15" x14ac:dyDescent="0.25">
      <c r="A3408" s="4">
        <v>3400</v>
      </c>
      <c r="C3408" s="41" t="s">
        <v>5751</v>
      </c>
      <c r="D3408" s="42"/>
      <c r="E3408" s="5" t="str">
        <f t="shared" si="65"/>
        <v>https://www.screener.in/company//consolidated/</v>
      </c>
      <c r="F3408" s="4">
        <v>443059</v>
      </c>
      <c r="G3408" s="4">
        <v>3832241897</v>
      </c>
      <c r="H3408" s="6" t="e">
        <f t="shared" ca="1" si="66"/>
        <v>#VALUE!</v>
      </c>
      <c r="I3408" s="7" t="str">
        <f ca="1">IFERROR(__xludf.DUMMYFUNCTION("IMPORTXML(E3408,""/html/body/main/div[3]/div[3]/div[2]/ul/li[5]/span[2]/span"")"),"Loading...")</f>
        <v>Loading...</v>
      </c>
      <c r="J3408" s="7" t="str">
        <f ca="1">IFERROR(__xludf.DUMMYFUNCTION("GOOGLEFINANCE(""NSE:""&amp;D3408,""marketcap"")"),"#N/A")</f>
        <v>#N/A</v>
      </c>
      <c r="K3408" s="7">
        <v>992.8</v>
      </c>
      <c r="L3408" s="8" t="str">
        <f ca="1">IFERROR(__xludf.DUMMYFUNCTION("GOOGLEFINANCE(""NSE:""&amp;D3408,""price"")"),"#N/A")</f>
        <v>#N/A</v>
      </c>
      <c r="M3408" s="9" t="e">
        <f t="shared" ca="1" si="67"/>
        <v>#VALUE!</v>
      </c>
      <c r="N3408" s="10" t="e">
        <f t="shared" ca="1" si="68"/>
        <v>#VALUE!</v>
      </c>
      <c r="O3408" s="7" t="str">
        <f ca="1">IFERROR(__xludf.DUMMYFUNCTION("GOOGLEFINANCE(""NSE:""&amp;D3408,""pe"")"),"#N/A")</f>
        <v>#N/A</v>
      </c>
      <c r="P3408" s="7" t="str">
        <f ca="1">IFERROR(__xludf.DUMMYFUNCTION("GOOGLEFINANCE(""NSE:""&amp;D3408,""EPS"")"),"#N/A")</f>
        <v>#N/A</v>
      </c>
      <c r="Q3408" s="7">
        <v>13.5</v>
      </c>
      <c r="R3408" s="7" t="str">
        <f ca="1">IFERROR(__xludf.DUMMYFUNCTION("IMPORTXML(E3408,""/html/body/main/div[3]/div[3]/div[2]/ul/li[7]/span[2]/span"")"),"Loading...")</f>
        <v>Loading...</v>
      </c>
      <c r="S3408" s="7" t="str">
        <f ca="1">IFERROR(__xludf.DUMMYFUNCTION("IMPORTXML(E3408,""/html/body/main/div[3]/div[3]/div[2]/ul/li[8]/span[2]/span"")"),"Loading...")</f>
        <v>Loading...</v>
      </c>
      <c r="T3408" s="4">
        <v>34.6</v>
      </c>
      <c r="U3408" s="4">
        <v>22.7</v>
      </c>
      <c r="V3408" s="4">
        <v>2.6</v>
      </c>
      <c r="W3408" s="4">
        <v>5.7</v>
      </c>
      <c r="X3408" s="4">
        <v>519.92999999999995</v>
      </c>
      <c r="Y3408" s="7" t="e">
        <f t="shared" ca="1" si="69"/>
        <v>#VALUE!</v>
      </c>
    </row>
    <row r="3409" spans="1:25" ht="15" x14ac:dyDescent="0.25">
      <c r="A3409" s="4">
        <v>3401</v>
      </c>
      <c r="C3409" s="12" t="s">
        <v>5752</v>
      </c>
      <c r="D3409" s="37"/>
      <c r="E3409" s="5" t="str">
        <f t="shared" si="65"/>
        <v>https://www.screener.in/company//consolidated/</v>
      </c>
      <c r="F3409" s="4">
        <v>443059</v>
      </c>
      <c r="G3409" s="4">
        <v>3832241897</v>
      </c>
      <c r="H3409" s="6" t="e">
        <f t="shared" ca="1" si="66"/>
        <v>#VALUE!</v>
      </c>
      <c r="I3409" s="7" t="str">
        <f ca="1">IFERROR(__xludf.DUMMYFUNCTION("IMPORTXML(E3409,""/html/body/main/div[3]/div[3]/div[2]/ul/li[5]/span[2]/span"")"),"Loading...")</f>
        <v>Loading...</v>
      </c>
      <c r="J3409" s="7" t="str">
        <f ca="1">IFERROR(__xludf.DUMMYFUNCTION("GOOGLEFINANCE(""NSE:""&amp;D3409,""marketcap"")"),"#N/A")</f>
        <v>#N/A</v>
      </c>
      <c r="K3409" s="7">
        <v>992.8</v>
      </c>
      <c r="L3409" s="8" t="str">
        <f ca="1">IFERROR(__xludf.DUMMYFUNCTION("GOOGLEFINANCE(""NSE:""&amp;D3409,""price"")"),"#N/A")</f>
        <v>#N/A</v>
      </c>
      <c r="M3409" s="9" t="e">
        <f t="shared" ca="1" si="67"/>
        <v>#VALUE!</v>
      </c>
      <c r="N3409" s="10" t="e">
        <f t="shared" ca="1" si="68"/>
        <v>#VALUE!</v>
      </c>
      <c r="O3409" s="7" t="str">
        <f ca="1">IFERROR(__xludf.DUMMYFUNCTION("GOOGLEFINANCE(""NSE:""&amp;D3409,""pe"")"),"#N/A")</f>
        <v>#N/A</v>
      </c>
      <c r="P3409" s="7" t="str">
        <f ca="1">IFERROR(__xludf.DUMMYFUNCTION("GOOGLEFINANCE(""NSE:""&amp;D3409,""EPS"")"),"#N/A")</f>
        <v>#N/A</v>
      </c>
      <c r="Q3409" s="7">
        <v>13.5</v>
      </c>
      <c r="R3409" s="7" t="str">
        <f ca="1">IFERROR(__xludf.DUMMYFUNCTION("IMPORTXML(E3409,""/html/body/main/div[3]/div[3]/div[2]/ul/li[7]/span[2]/span"")"),"Loading...")</f>
        <v>Loading...</v>
      </c>
      <c r="S3409" s="7" t="str">
        <f ca="1">IFERROR(__xludf.DUMMYFUNCTION("IMPORTXML(E3409,""/html/body/main/div[3]/div[3]/div[2]/ul/li[8]/span[2]/span"")"),"Loading...")</f>
        <v>Loading...</v>
      </c>
      <c r="T3409" s="4">
        <v>34.6</v>
      </c>
      <c r="U3409" s="4">
        <v>22.7</v>
      </c>
      <c r="V3409" s="4">
        <v>2.6</v>
      </c>
      <c r="W3409" s="4">
        <v>5.7</v>
      </c>
      <c r="X3409" s="4">
        <v>519.92999999999995</v>
      </c>
      <c r="Y3409" s="7" t="e">
        <f t="shared" ca="1" si="69"/>
        <v>#VALUE!</v>
      </c>
    </row>
    <row r="3410" spans="1:25" ht="15" x14ac:dyDescent="0.25">
      <c r="A3410" s="4">
        <v>3402</v>
      </c>
      <c r="C3410" s="41" t="s">
        <v>5753</v>
      </c>
      <c r="D3410" s="42"/>
      <c r="E3410" s="5" t="str">
        <f t="shared" si="65"/>
        <v>https://www.screener.in/company//consolidated/</v>
      </c>
      <c r="F3410" s="4">
        <v>443059</v>
      </c>
      <c r="G3410" s="4">
        <v>3832241897</v>
      </c>
      <c r="H3410" s="6" t="e">
        <f t="shared" ca="1" si="66"/>
        <v>#VALUE!</v>
      </c>
      <c r="I3410" s="7" t="str">
        <f ca="1">IFERROR(__xludf.DUMMYFUNCTION("IMPORTXML(E3410,""/html/body/main/div[3]/div[3]/div[2]/ul/li[5]/span[2]/span"")"),"Loading...")</f>
        <v>Loading...</v>
      </c>
      <c r="J3410" s="7" t="str">
        <f ca="1">IFERROR(__xludf.DUMMYFUNCTION("GOOGLEFINANCE(""NSE:""&amp;D3410,""marketcap"")"),"#N/A")</f>
        <v>#N/A</v>
      </c>
      <c r="K3410" s="7">
        <v>992.8</v>
      </c>
      <c r="L3410" s="8" t="str">
        <f ca="1">IFERROR(__xludf.DUMMYFUNCTION("GOOGLEFINANCE(""NSE:""&amp;D3410,""price"")"),"#N/A")</f>
        <v>#N/A</v>
      </c>
      <c r="M3410" s="9" t="e">
        <f t="shared" ca="1" si="67"/>
        <v>#VALUE!</v>
      </c>
      <c r="N3410" s="10" t="e">
        <f t="shared" ca="1" si="68"/>
        <v>#VALUE!</v>
      </c>
      <c r="O3410" s="7" t="str">
        <f ca="1">IFERROR(__xludf.DUMMYFUNCTION("GOOGLEFINANCE(""NSE:""&amp;D3410,""pe"")"),"#N/A")</f>
        <v>#N/A</v>
      </c>
      <c r="P3410" s="7" t="str">
        <f ca="1">IFERROR(__xludf.DUMMYFUNCTION("GOOGLEFINANCE(""NSE:""&amp;D3410,""EPS"")"),"#N/A")</f>
        <v>#N/A</v>
      </c>
      <c r="Q3410" s="7">
        <v>13.5</v>
      </c>
      <c r="R3410" s="7" t="str">
        <f ca="1">IFERROR(__xludf.DUMMYFUNCTION("IMPORTXML(E3410,""/html/body/main/div[3]/div[3]/div[2]/ul/li[7]/span[2]/span"")"),"Loading...")</f>
        <v>Loading...</v>
      </c>
      <c r="S3410" s="7" t="str">
        <f ca="1">IFERROR(__xludf.DUMMYFUNCTION("IMPORTXML(E3410,""/html/body/main/div[3]/div[3]/div[2]/ul/li[8]/span[2]/span"")"),"Loading...")</f>
        <v>Loading...</v>
      </c>
      <c r="T3410" s="4">
        <v>34.6</v>
      </c>
      <c r="U3410" s="4">
        <v>22.7</v>
      </c>
      <c r="V3410" s="4">
        <v>2.6</v>
      </c>
      <c r="W3410" s="4">
        <v>5.7</v>
      </c>
      <c r="X3410" s="4">
        <v>519.92999999999995</v>
      </c>
      <c r="Y3410" s="7" t="e">
        <f t="shared" ca="1" si="69"/>
        <v>#VALUE!</v>
      </c>
    </row>
    <row r="3411" spans="1:25" ht="15" x14ac:dyDescent="0.25">
      <c r="A3411" s="4">
        <v>3403</v>
      </c>
      <c r="C3411" s="41" t="s">
        <v>5754</v>
      </c>
      <c r="D3411" s="42"/>
      <c r="E3411" s="5" t="str">
        <f t="shared" si="65"/>
        <v>https://www.screener.in/company//consolidated/</v>
      </c>
      <c r="F3411" s="4">
        <v>443059</v>
      </c>
      <c r="G3411" s="4">
        <v>3832241897</v>
      </c>
      <c r="H3411" s="6" t="e">
        <f t="shared" ca="1" si="66"/>
        <v>#VALUE!</v>
      </c>
      <c r="I3411" s="7" t="str">
        <f ca="1">IFERROR(__xludf.DUMMYFUNCTION("IMPORTXML(E3411,""/html/body/main/div[3]/div[3]/div[2]/ul/li[5]/span[2]/span"")"),"Loading...")</f>
        <v>Loading...</v>
      </c>
      <c r="J3411" s="7" t="str">
        <f ca="1">IFERROR(__xludf.DUMMYFUNCTION("GOOGLEFINANCE(""NSE:""&amp;D3411,""marketcap"")"),"#N/A")</f>
        <v>#N/A</v>
      </c>
      <c r="K3411" s="7">
        <v>992.8</v>
      </c>
      <c r="L3411" s="8" t="str">
        <f ca="1">IFERROR(__xludf.DUMMYFUNCTION("GOOGLEFINANCE(""NSE:""&amp;D3411,""price"")"),"#N/A")</f>
        <v>#N/A</v>
      </c>
      <c r="M3411" s="9" t="e">
        <f t="shared" ca="1" si="67"/>
        <v>#VALUE!</v>
      </c>
      <c r="N3411" s="10" t="e">
        <f t="shared" ca="1" si="68"/>
        <v>#VALUE!</v>
      </c>
      <c r="O3411" s="7" t="str">
        <f ca="1">IFERROR(__xludf.DUMMYFUNCTION("GOOGLEFINANCE(""NSE:""&amp;D3411,""pe"")"),"#N/A")</f>
        <v>#N/A</v>
      </c>
      <c r="P3411" s="7" t="str">
        <f ca="1">IFERROR(__xludf.DUMMYFUNCTION("GOOGLEFINANCE(""NSE:""&amp;D3411,""EPS"")"),"#N/A")</f>
        <v>#N/A</v>
      </c>
      <c r="Q3411" s="7">
        <v>13.5</v>
      </c>
      <c r="R3411" s="7" t="str">
        <f ca="1">IFERROR(__xludf.DUMMYFUNCTION("IMPORTXML(E3411,""/html/body/main/div[3]/div[3]/div[2]/ul/li[7]/span[2]/span"")"),"Loading...")</f>
        <v>Loading...</v>
      </c>
      <c r="S3411" s="7" t="str">
        <f ca="1">IFERROR(__xludf.DUMMYFUNCTION("IMPORTXML(E3411,""/html/body/main/div[3]/div[3]/div[2]/ul/li[8]/span[2]/span"")"),"Loading...")</f>
        <v>Loading...</v>
      </c>
      <c r="T3411" s="4">
        <v>34.6</v>
      </c>
      <c r="U3411" s="4">
        <v>22.7</v>
      </c>
      <c r="V3411" s="4">
        <v>2.6</v>
      </c>
      <c r="W3411" s="4">
        <v>5.7</v>
      </c>
      <c r="X3411" s="4">
        <v>519.92999999999995</v>
      </c>
      <c r="Y3411" s="7" t="e">
        <f t="shared" ca="1" si="69"/>
        <v>#VALUE!</v>
      </c>
    </row>
    <row r="3412" spans="1:25" ht="15" x14ac:dyDescent="0.25">
      <c r="A3412" s="4">
        <v>3404</v>
      </c>
      <c r="C3412" s="41" t="s">
        <v>5755</v>
      </c>
      <c r="D3412" s="42"/>
      <c r="E3412" s="5" t="str">
        <f t="shared" si="65"/>
        <v>https://www.screener.in/company//consolidated/</v>
      </c>
      <c r="F3412" s="4">
        <v>443059</v>
      </c>
      <c r="G3412" s="4">
        <v>3832241897</v>
      </c>
      <c r="H3412" s="6" t="e">
        <f t="shared" ca="1" si="66"/>
        <v>#VALUE!</v>
      </c>
      <c r="I3412" s="7" t="str">
        <f ca="1">IFERROR(__xludf.DUMMYFUNCTION("IMPORTXML(E3412,""/html/body/main/div[3]/div[3]/div[2]/ul/li[5]/span[2]/span"")"),"Loading...")</f>
        <v>Loading...</v>
      </c>
      <c r="J3412" s="7" t="str">
        <f ca="1">IFERROR(__xludf.DUMMYFUNCTION("GOOGLEFINANCE(""NSE:""&amp;D3412,""marketcap"")"),"#N/A")</f>
        <v>#N/A</v>
      </c>
      <c r="K3412" s="7">
        <v>992.8</v>
      </c>
      <c r="L3412" s="8" t="str">
        <f ca="1">IFERROR(__xludf.DUMMYFUNCTION("GOOGLEFINANCE(""NSE:""&amp;D3412,""price"")"),"#N/A")</f>
        <v>#N/A</v>
      </c>
      <c r="M3412" s="9" t="e">
        <f t="shared" ca="1" si="67"/>
        <v>#VALUE!</v>
      </c>
      <c r="N3412" s="10" t="e">
        <f t="shared" ca="1" si="68"/>
        <v>#VALUE!</v>
      </c>
      <c r="O3412" s="7" t="str">
        <f ca="1">IFERROR(__xludf.DUMMYFUNCTION("GOOGLEFINANCE(""NSE:""&amp;D3412,""pe"")"),"#N/A")</f>
        <v>#N/A</v>
      </c>
      <c r="P3412" s="7" t="str">
        <f ca="1">IFERROR(__xludf.DUMMYFUNCTION("GOOGLEFINANCE(""NSE:""&amp;D3412,""EPS"")"),"#N/A")</f>
        <v>#N/A</v>
      </c>
      <c r="Q3412" s="7">
        <v>13.5</v>
      </c>
      <c r="R3412" s="7" t="str">
        <f ca="1">IFERROR(__xludf.DUMMYFUNCTION("IMPORTXML(E3412,""/html/body/main/div[3]/div[3]/div[2]/ul/li[7]/span[2]/span"")"),"Loading...")</f>
        <v>Loading...</v>
      </c>
      <c r="S3412" s="7" t="str">
        <f ca="1">IFERROR(__xludf.DUMMYFUNCTION("IMPORTXML(E3412,""/html/body/main/div[3]/div[3]/div[2]/ul/li[8]/span[2]/span"")"),"Loading...")</f>
        <v>Loading...</v>
      </c>
      <c r="T3412" s="4">
        <v>34.6</v>
      </c>
      <c r="U3412" s="4">
        <v>22.7</v>
      </c>
      <c r="V3412" s="4">
        <v>2.6</v>
      </c>
      <c r="W3412" s="4">
        <v>5.7</v>
      </c>
      <c r="X3412" s="4">
        <v>519.92999999999995</v>
      </c>
      <c r="Y3412" s="7" t="e">
        <f t="shared" ca="1" si="69"/>
        <v>#VALUE!</v>
      </c>
    </row>
    <row r="3413" spans="1:25" ht="15" x14ac:dyDescent="0.25">
      <c r="A3413" s="4">
        <v>3405</v>
      </c>
      <c r="C3413" s="12" t="s">
        <v>5756</v>
      </c>
      <c r="D3413" s="12" t="s">
        <v>5757</v>
      </c>
      <c r="E3413" s="5" t="str">
        <f t="shared" si="65"/>
        <v>https://www.screener.in/company/ANTGRAPHIC/consolidated/</v>
      </c>
      <c r="F3413" s="4">
        <v>443059</v>
      </c>
      <c r="G3413" s="4">
        <v>3832241897</v>
      </c>
      <c r="H3413" s="6">
        <f t="shared" ca="1" si="66"/>
        <v>429.21109246400005</v>
      </c>
      <c r="I3413" s="7" t="str">
        <f ca="1">IFERROR(__xludf.DUMMYFUNCTION("IMPORTXML(E3413,""/html/body/main/div[3]/div[3]/div[2]/ul/li[5]/span[2]/span"")"),"Loading...")</f>
        <v>Loading...</v>
      </c>
      <c r="J3413" s="7">
        <f ca="1">IFERROR(__xludf.DUMMYFUNCTION("GOOGLEFINANCE(""NSE:""&amp;D3413,""marketcap"")"),173610752)</f>
        <v>173610752</v>
      </c>
      <c r="K3413" s="7">
        <v>992.8</v>
      </c>
      <c r="L3413" s="8">
        <f ca="1">IFERROR(__xludf.DUMMYFUNCTION("GOOGLEFINANCE(""NSE:""&amp;D3413,""price"")"),1.12)</f>
        <v>1.1200000000000001</v>
      </c>
      <c r="M3413" s="9">
        <f t="shared" ca="1" si="67"/>
        <v>-991.68</v>
      </c>
      <c r="N3413" s="10">
        <f t="shared" ca="1" si="68"/>
        <v>-99.887187751813059</v>
      </c>
      <c r="O3413" s="7">
        <f ca="1">IFERROR(__xludf.DUMMYFUNCTION("GOOGLEFINANCE(""NSE:""&amp;D3413,""pe"")"),10.28)</f>
        <v>10.28</v>
      </c>
      <c r="P3413" s="7">
        <f ca="1">IFERROR(__xludf.DUMMYFUNCTION("GOOGLEFINANCE(""NSE:""&amp;D3413,""EPS"")"),0.11)</f>
        <v>0.11</v>
      </c>
      <c r="Q3413" s="7">
        <v>13.5</v>
      </c>
      <c r="R3413" s="7" t="str">
        <f ca="1">IFERROR(__xludf.DUMMYFUNCTION("IMPORTXML(E3413,""/html/body/main/div[3]/div[3]/div[2]/ul/li[7]/span[2]/span"")"),"Loading...")</f>
        <v>Loading...</v>
      </c>
      <c r="S3413" s="7" t="str">
        <f ca="1">IFERROR(__xludf.DUMMYFUNCTION("IMPORTXML(E3413,""/html/body/main/div[3]/div[3]/div[2]/ul/li[8]/span[2]/span"")"),"Loading...")</f>
        <v>Loading...</v>
      </c>
      <c r="T3413" s="4">
        <v>34.6</v>
      </c>
      <c r="U3413" s="4">
        <v>22.7</v>
      </c>
      <c r="V3413" s="4">
        <v>2.6</v>
      </c>
      <c r="W3413" s="4">
        <v>5.7</v>
      </c>
      <c r="X3413" s="4">
        <v>519.92999999999995</v>
      </c>
      <c r="Y3413" s="7">
        <f t="shared" ca="1" si="69"/>
        <v>-518.80999999999995</v>
      </c>
    </row>
    <row r="3414" spans="1:25" ht="15" x14ac:dyDescent="0.25">
      <c r="A3414" s="4">
        <v>3406</v>
      </c>
      <c r="C3414" s="41" t="s">
        <v>5758</v>
      </c>
      <c r="D3414" s="42"/>
      <c r="E3414" s="5" t="str">
        <f t="shared" si="65"/>
        <v>https://www.screener.in/company//consolidated/</v>
      </c>
      <c r="F3414" s="4">
        <v>443059</v>
      </c>
      <c r="G3414" s="4">
        <v>3832241897</v>
      </c>
      <c r="H3414" s="6" t="e">
        <f t="shared" ca="1" si="66"/>
        <v>#VALUE!</v>
      </c>
      <c r="I3414" s="7" t="str">
        <f ca="1">IFERROR(__xludf.DUMMYFUNCTION("IMPORTXML(E3414,""/html/body/main/div[3]/div[3]/div[2]/ul/li[5]/span[2]/span"")"),"Loading...")</f>
        <v>Loading...</v>
      </c>
      <c r="J3414" s="7" t="str">
        <f ca="1">IFERROR(__xludf.DUMMYFUNCTION("GOOGLEFINANCE(""NSE:""&amp;D3414,""marketcap"")"),"#N/A")</f>
        <v>#N/A</v>
      </c>
      <c r="K3414" s="7">
        <v>992.8</v>
      </c>
      <c r="L3414" s="8" t="str">
        <f ca="1">IFERROR(__xludf.DUMMYFUNCTION("GOOGLEFINANCE(""NSE:""&amp;D3414,""price"")"),"#N/A")</f>
        <v>#N/A</v>
      </c>
      <c r="M3414" s="9" t="e">
        <f t="shared" ca="1" si="67"/>
        <v>#VALUE!</v>
      </c>
      <c r="N3414" s="10" t="e">
        <f t="shared" ca="1" si="68"/>
        <v>#VALUE!</v>
      </c>
      <c r="O3414" s="7" t="str">
        <f ca="1">IFERROR(__xludf.DUMMYFUNCTION("GOOGLEFINANCE(""NSE:""&amp;D3414,""pe"")"),"#N/A")</f>
        <v>#N/A</v>
      </c>
      <c r="P3414" s="7" t="str">
        <f ca="1">IFERROR(__xludf.DUMMYFUNCTION("GOOGLEFINANCE(""NSE:""&amp;D3414,""EPS"")"),"#N/A")</f>
        <v>#N/A</v>
      </c>
      <c r="Q3414" s="7">
        <v>13.5</v>
      </c>
      <c r="R3414" s="7" t="str">
        <f ca="1">IFERROR(__xludf.DUMMYFUNCTION("IMPORTXML(E3414,""/html/body/main/div[3]/div[3]/div[2]/ul/li[7]/span[2]/span"")"),"Loading...")</f>
        <v>Loading...</v>
      </c>
      <c r="S3414" s="7" t="str">
        <f ca="1">IFERROR(__xludf.DUMMYFUNCTION("IMPORTXML(E3414,""/html/body/main/div[3]/div[3]/div[2]/ul/li[8]/span[2]/span"")"),"Loading...")</f>
        <v>Loading...</v>
      </c>
      <c r="T3414" s="4">
        <v>34.6</v>
      </c>
      <c r="U3414" s="4">
        <v>22.7</v>
      </c>
      <c r="V3414" s="4">
        <v>2.6</v>
      </c>
      <c r="W3414" s="4">
        <v>5.7</v>
      </c>
      <c r="X3414" s="4">
        <v>519.92999999999995</v>
      </c>
      <c r="Y3414" s="7" t="e">
        <f t="shared" ca="1" si="69"/>
        <v>#VALUE!</v>
      </c>
    </row>
    <row r="3415" spans="1:25" ht="15" x14ac:dyDescent="0.25">
      <c r="A3415" s="4">
        <v>3407</v>
      </c>
      <c r="C3415" s="12" t="s">
        <v>5759</v>
      </c>
      <c r="D3415" s="12" t="s">
        <v>5760</v>
      </c>
      <c r="E3415" s="5" t="str">
        <f t="shared" si="65"/>
        <v>https://www.screener.in/company/COMPINFO/consolidated/</v>
      </c>
      <c r="F3415" s="4">
        <v>443059</v>
      </c>
      <c r="G3415" s="4">
        <v>3832241897</v>
      </c>
      <c r="H3415" s="6">
        <f t="shared" ca="1" si="66"/>
        <v>758.78389560599999</v>
      </c>
      <c r="I3415" s="7" t="str">
        <f ca="1">IFERROR(__xludf.DUMMYFUNCTION("IMPORTXML(E3415,""/html/body/main/div[3]/div[3]/div[2]/ul/li[5]/span[2]/span"")"),"Loading...")</f>
        <v>Loading...</v>
      </c>
      <c r="J3415" s="7">
        <f ca="1">IFERROR(__xludf.DUMMYFUNCTION("GOOGLEFINANCE(""NSE:""&amp;D3415,""marketcap"")"),170719220)</f>
        <v>170719220</v>
      </c>
      <c r="K3415" s="7">
        <v>992.8</v>
      </c>
      <c r="L3415" s="8">
        <f ca="1">IFERROR(__xludf.DUMMYFUNCTION("GOOGLEFINANCE(""NSE:""&amp;D3415,""price"")"),1.98)</f>
        <v>1.98</v>
      </c>
      <c r="M3415" s="9">
        <f t="shared" ca="1" si="67"/>
        <v>-990.81999999999994</v>
      </c>
      <c r="N3415" s="10">
        <f t="shared" ca="1" si="68"/>
        <v>-99.800564061240934</v>
      </c>
      <c r="O3415" s="7" t="str">
        <f ca="1">IFERROR(__xludf.DUMMYFUNCTION("GOOGLEFINANCE(""NSE:""&amp;D3415,""pe"")"),"#N/A")</f>
        <v>#N/A</v>
      </c>
      <c r="P3415" s="7" t="str">
        <f ca="1">IFERROR(__xludf.DUMMYFUNCTION("GOOGLEFINANCE(""NSE:""&amp;D3415,""EPS"")"),"#N/A")</f>
        <v>#N/A</v>
      </c>
      <c r="Q3415" s="7">
        <v>13.5</v>
      </c>
      <c r="R3415" s="7" t="str">
        <f ca="1">IFERROR(__xludf.DUMMYFUNCTION("IMPORTXML(E3415,""/html/body/main/div[3]/div[3]/div[2]/ul/li[7]/span[2]/span"")"),"Loading...")</f>
        <v>Loading...</v>
      </c>
      <c r="S3415" s="7" t="str">
        <f ca="1">IFERROR(__xludf.DUMMYFUNCTION("IMPORTXML(E3415,""/html/body/main/div[3]/div[3]/div[2]/ul/li[8]/span[2]/span"")"),"Loading...")</f>
        <v>Loading...</v>
      </c>
      <c r="T3415" s="4">
        <v>34.6</v>
      </c>
      <c r="U3415" s="4">
        <v>22.7</v>
      </c>
      <c r="V3415" s="4">
        <v>2.6</v>
      </c>
      <c r="W3415" s="4">
        <v>5.7</v>
      </c>
      <c r="X3415" s="4">
        <v>519.92999999999995</v>
      </c>
      <c r="Y3415" s="7">
        <f t="shared" ca="1" si="69"/>
        <v>-517.94999999999993</v>
      </c>
    </row>
    <row r="3416" spans="1:25" ht="15" x14ac:dyDescent="0.25">
      <c r="A3416" s="4">
        <v>3408</v>
      </c>
      <c r="C3416" s="41" t="s">
        <v>5761</v>
      </c>
      <c r="D3416" s="42"/>
      <c r="E3416" s="5" t="str">
        <f t="shared" si="65"/>
        <v>https://www.screener.in/company//consolidated/</v>
      </c>
      <c r="F3416" s="4">
        <v>443059</v>
      </c>
      <c r="G3416" s="4">
        <v>3832241897</v>
      </c>
      <c r="H3416" s="6" t="e">
        <f t="shared" ca="1" si="66"/>
        <v>#VALUE!</v>
      </c>
      <c r="I3416" s="7" t="str">
        <f ca="1">IFERROR(__xludf.DUMMYFUNCTION("IMPORTXML(E3416,""/html/body/main/div[3]/div[3]/div[2]/ul/li[5]/span[2]/span"")"),"Loading...")</f>
        <v>Loading...</v>
      </c>
      <c r="J3416" s="7" t="str">
        <f ca="1">IFERROR(__xludf.DUMMYFUNCTION("GOOGLEFINANCE(""NSE:""&amp;D3416,""marketcap"")"),"#N/A")</f>
        <v>#N/A</v>
      </c>
      <c r="K3416" s="7">
        <v>992.8</v>
      </c>
      <c r="L3416" s="8" t="str">
        <f ca="1">IFERROR(__xludf.DUMMYFUNCTION("GOOGLEFINANCE(""NSE:""&amp;D3416,""price"")"),"#N/A")</f>
        <v>#N/A</v>
      </c>
      <c r="M3416" s="9" t="e">
        <f t="shared" ca="1" si="67"/>
        <v>#VALUE!</v>
      </c>
      <c r="N3416" s="10" t="e">
        <f t="shared" ca="1" si="68"/>
        <v>#VALUE!</v>
      </c>
      <c r="O3416" s="7" t="str">
        <f ca="1">IFERROR(__xludf.DUMMYFUNCTION("GOOGLEFINANCE(""NSE:""&amp;D3416,""pe"")"),"#N/A")</f>
        <v>#N/A</v>
      </c>
      <c r="P3416" s="7" t="str">
        <f ca="1">IFERROR(__xludf.DUMMYFUNCTION("GOOGLEFINANCE(""NSE:""&amp;D3416,""EPS"")"),"#N/A")</f>
        <v>#N/A</v>
      </c>
      <c r="Q3416" s="7">
        <v>13.5</v>
      </c>
      <c r="R3416" s="7" t="str">
        <f ca="1">IFERROR(__xludf.DUMMYFUNCTION("IMPORTXML(E3416,""/html/body/main/div[3]/div[3]/div[2]/ul/li[7]/span[2]/span"")"),"Loading...")</f>
        <v>Loading...</v>
      </c>
      <c r="S3416" s="7" t="str">
        <f ca="1">IFERROR(__xludf.DUMMYFUNCTION("IMPORTXML(E3416,""/html/body/main/div[3]/div[3]/div[2]/ul/li[8]/span[2]/span"")"),"Loading...")</f>
        <v>Loading...</v>
      </c>
      <c r="T3416" s="4">
        <v>34.6</v>
      </c>
      <c r="U3416" s="4">
        <v>22.7</v>
      </c>
      <c r="V3416" s="4">
        <v>2.6</v>
      </c>
      <c r="W3416" s="4">
        <v>5.7</v>
      </c>
      <c r="X3416" s="4">
        <v>519.92999999999995</v>
      </c>
      <c r="Y3416" s="7" t="e">
        <f t="shared" ca="1" si="69"/>
        <v>#VALUE!</v>
      </c>
    </row>
    <row r="3417" spans="1:25" ht="15" x14ac:dyDescent="0.25">
      <c r="A3417" s="4">
        <v>3409</v>
      </c>
      <c r="C3417" s="41" t="s">
        <v>5762</v>
      </c>
      <c r="D3417" s="42"/>
      <c r="E3417" s="5" t="str">
        <f t="shared" si="65"/>
        <v>https://www.screener.in/company//consolidated/</v>
      </c>
      <c r="F3417" s="4">
        <v>443059</v>
      </c>
      <c r="G3417" s="4">
        <v>3832241897</v>
      </c>
      <c r="H3417" s="6" t="e">
        <f t="shared" ca="1" si="66"/>
        <v>#VALUE!</v>
      </c>
      <c r="I3417" s="7" t="str">
        <f ca="1">IFERROR(__xludf.DUMMYFUNCTION("IMPORTXML(E3417,""/html/body/main/div[3]/div[3]/div[2]/ul/li[5]/span[2]/span"")"),"Loading...")</f>
        <v>Loading...</v>
      </c>
      <c r="J3417" s="7" t="str">
        <f ca="1">IFERROR(__xludf.DUMMYFUNCTION("GOOGLEFINANCE(""NSE:""&amp;D3417,""marketcap"")"),"#N/A")</f>
        <v>#N/A</v>
      </c>
      <c r="K3417" s="7">
        <v>992.8</v>
      </c>
      <c r="L3417" s="8" t="str">
        <f ca="1">IFERROR(__xludf.DUMMYFUNCTION("GOOGLEFINANCE(""NSE:""&amp;D3417,""price"")"),"#N/A")</f>
        <v>#N/A</v>
      </c>
      <c r="M3417" s="9" t="e">
        <f t="shared" ca="1" si="67"/>
        <v>#VALUE!</v>
      </c>
      <c r="N3417" s="10" t="e">
        <f t="shared" ca="1" si="68"/>
        <v>#VALUE!</v>
      </c>
      <c r="O3417" s="7" t="str">
        <f ca="1">IFERROR(__xludf.DUMMYFUNCTION("GOOGLEFINANCE(""NSE:""&amp;D3417,""pe"")"),"#N/A")</f>
        <v>#N/A</v>
      </c>
      <c r="P3417" s="7" t="str">
        <f ca="1">IFERROR(__xludf.DUMMYFUNCTION("GOOGLEFINANCE(""NSE:""&amp;D3417,""EPS"")"),"#N/A")</f>
        <v>#N/A</v>
      </c>
      <c r="Q3417" s="7">
        <v>13.5</v>
      </c>
      <c r="R3417" s="7" t="str">
        <f ca="1">IFERROR(__xludf.DUMMYFUNCTION("IMPORTXML(E3417,""/html/body/main/div[3]/div[3]/div[2]/ul/li[7]/span[2]/span"")"),"Loading...")</f>
        <v>Loading...</v>
      </c>
      <c r="S3417" s="7" t="str">
        <f ca="1">IFERROR(__xludf.DUMMYFUNCTION("IMPORTXML(E3417,""/html/body/main/div[3]/div[3]/div[2]/ul/li[8]/span[2]/span"")"),"Loading...")</f>
        <v>Loading...</v>
      </c>
      <c r="T3417" s="4">
        <v>34.6</v>
      </c>
      <c r="U3417" s="4">
        <v>22.7</v>
      </c>
      <c r="V3417" s="4">
        <v>2.6</v>
      </c>
      <c r="W3417" s="4">
        <v>5.7</v>
      </c>
      <c r="X3417" s="4">
        <v>519.92999999999995</v>
      </c>
      <c r="Y3417" s="7" t="e">
        <f t="shared" ca="1" si="69"/>
        <v>#VALUE!</v>
      </c>
    </row>
    <row r="3418" spans="1:25" ht="15" x14ac:dyDescent="0.25">
      <c r="A3418" s="4">
        <v>3410</v>
      </c>
      <c r="C3418" s="41" t="s">
        <v>5763</v>
      </c>
      <c r="D3418" s="42"/>
      <c r="E3418" s="5" t="str">
        <f t="shared" si="65"/>
        <v>https://www.screener.in/company//consolidated/</v>
      </c>
      <c r="F3418" s="4">
        <v>443059</v>
      </c>
      <c r="G3418" s="4">
        <v>3832241897</v>
      </c>
      <c r="H3418" s="6" t="e">
        <f t="shared" ca="1" si="66"/>
        <v>#VALUE!</v>
      </c>
      <c r="I3418" s="7" t="str">
        <f ca="1">IFERROR(__xludf.DUMMYFUNCTION("IMPORTXML(E3418,""/html/body/main/div[3]/div[3]/div[2]/ul/li[5]/span[2]/span"")"),"Loading...")</f>
        <v>Loading...</v>
      </c>
      <c r="J3418" s="7" t="str">
        <f ca="1">IFERROR(__xludf.DUMMYFUNCTION("GOOGLEFINANCE(""NSE:""&amp;D3418,""marketcap"")"),"#N/A")</f>
        <v>#N/A</v>
      </c>
      <c r="K3418" s="7">
        <v>992.8</v>
      </c>
      <c r="L3418" s="8" t="str">
        <f ca="1">IFERROR(__xludf.DUMMYFUNCTION("GOOGLEFINANCE(""NSE:""&amp;D3418,""price"")"),"#N/A")</f>
        <v>#N/A</v>
      </c>
      <c r="M3418" s="9" t="e">
        <f t="shared" ca="1" si="67"/>
        <v>#VALUE!</v>
      </c>
      <c r="N3418" s="10" t="e">
        <f t="shared" ca="1" si="68"/>
        <v>#VALUE!</v>
      </c>
      <c r="O3418" s="7" t="str">
        <f ca="1">IFERROR(__xludf.DUMMYFUNCTION("GOOGLEFINANCE(""NSE:""&amp;D3418,""pe"")"),"#N/A")</f>
        <v>#N/A</v>
      </c>
      <c r="P3418" s="7" t="str">
        <f ca="1">IFERROR(__xludf.DUMMYFUNCTION("GOOGLEFINANCE(""NSE:""&amp;D3418,""EPS"")"),"#N/A")</f>
        <v>#N/A</v>
      </c>
      <c r="Q3418" s="7">
        <v>13.5</v>
      </c>
      <c r="R3418" s="7" t="str">
        <f ca="1">IFERROR(__xludf.DUMMYFUNCTION("IMPORTXML(E3418,""/html/body/main/div[3]/div[3]/div[2]/ul/li[7]/span[2]/span"")"),"Loading...")</f>
        <v>Loading...</v>
      </c>
      <c r="S3418" s="7" t="str">
        <f ca="1">IFERROR(__xludf.DUMMYFUNCTION("IMPORTXML(E3418,""/html/body/main/div[3]/div[3]/div[2]/ul/li[8]/span[2]/span"")"),"Loading...")</f>
        <v>Loading...</v>
      </c>
      <c r="T3418" s="4">
        <v>34.6</v>
      </c>
      <c r="U3418" s="4">
        <v>22.7</v>
      </c>
      <c r="V3418" s="4">
        <v>2.6</v>
      </c>
      <c r="W3418" s="4">
        <v>5.7</v>
      </c>
      <c r="X3418" s="4">
        <v>519.92999999999995</v>
      </c>
      <c r="Y3418" s="7" t="e">
        <f t="shared" ca="1" si="69"/>
        <v>#VALUE!</v>
      </c>
    </row>
    <row r="3419" spans="1:25" ht="15" x14ac:dyDescent="0.25">
      <c r="A3419" s="4">
        <v>3411</v>
      </c>
      <c r="C3419" s="41" t="s">
        <v>5764</v>
      </c>
      <c r="D3419" s="42"/>
      <c r="E3419" s="5" t="str">
        <f t="shared" si="65"/>
        <v>https://www.screener.in/company//consolidated/</v>
      </c>
      <c r="F3419" s="4">
        <v>443059</v>
      </c>
      <c r="G3419" s="4">
        <v>3832241897</v>
      </c>
      <c r="H3419" s="6" t="e">
        <f t="shared" ca="1" si="66"/>
        <v>#VALUE!</v>
      </c>
      <c r="I3419" s="7" t="str">
        <f ca="1">IFERROR(__xludf.DUMMYFUNCTION("IMPORTXML(E3419,""/html/body/main/div[3]/div[3]/div[2]/ul/li[5]/span[2]/span"")"),"Loading...")</f>
        <v>Loading...</v>
      </c>
      <c r="J3419" s="7" t="str">
        <f ca="1">IFERROR(__xludf.DUMMYFUNCTION("GOOGLEFINANCE(""NSE:""&amp;D3419,""marketcap"")"),"#N/A")</f>
        <v>#N/A</v>
      </c>
      <c r="K3419" s="7">
        <v>992.8</v>
      </c>
      <c r="L3419" s="8" t="str">
        <f ca="1">IFERROR(__xludf.DUMMYFUNCTION("GOOGLEFINANCE(""NSE:""&amp;D3419,""price"")"),"#N/A")</f>
        <v>#N/A</v>
      </c>
      <c r="M3419" s="9" t="e">
        <f t="shared" ca="1" si="67"/>
        <v>#VALUE!</v>
      </c>
      <c r="N3419" s="10" t="e">
        <f t="shared" ca="1" si="68"/>
        <v>#VALUE!</v>
      </c>
      <c r="O3419" s="7" t="str">
        <f ca="1">IFERROR(__xludf.DUMMYFUNCTION("GOOGLEFINANCE(""NSE:""&amp;D3419,""pe"")"),"#N/A")</f>
        <v>#N/A</v>
      </c>
      <c r="P3419" s="7" t="str">
        <f ca="1">IFERROR(__xludf.DUMMYFUNCTION("GOOGLEFINANCE(""NSE:""&amp;D3419,""EPS"")"),"#N/A")</f>
        <v>#N/A</v>
      </c>
      <c r="Q3419" s="7">
        <v>13.5</v>
      </c>
      <c r="R3419" s="7" t="str">
        <f ca="1">IFERROR(__xludf.DUMMYFUNCTION("IMPORTXML(E3419,""/html/body/main/div[3]/div[3]/div[2]/ul/li[7]/span[2]/span"")"),"Loading...")</f>
        <v>Loading...</v>
      </c>
      <c r="S3419" s="7" t="str">
        <f ca="1">IFERROR(__xludf.DUMMYFUNCTION("IMPORTXML(E3419,""/html/body/main/div[3]/div[3]/div[2]/ul/li[8]/span[2]/span"")"),"Loading...")</f>
        <v>Loading...</v>
      </c>
      <c r="T3419" s="4">
        <v>34.6</v>
      </c>
      <c r="U3419" s="4">
        <v>22.7</v>
      </c>
      <c r="V3419" s="4">
        <v>2.6</v>
      </c>
      <c r="W3419" s="4">
        <v>5.7</v>
      </c>
      <c r="X3419" s="4">
        <v>519.92999999999995</v>
      </c>
      <c r="Y3419" s="7" t="e">
        <f t="shared" ca="1" si="69"/>
        <v>#VALUE!</v>
      </c>
    </row>
    <row r="3420" spans="1:25" ht="15" x14ac:dyDescent="0.25">
      <c r="A3420" s="4">
        <v>3412</v>
      </c>
      <c r="C3420" s="41" t="s">
        <v>5765</v>
      </c>
      <c r="D3420" s="42"/>
      <c r="E3420" s="5" t="str">
        <f t="shared" si="65"/>
        <v>https://www.screener.in/company//consolidated/</v>
      </c>
      <c r="F3420" s="4">
        <v>443059</v>
      </c>
      <c r="G3420" s="4">
        <v>3832241897</v>
      </c>
      <c r="H3420" s="6" t="e">
        <f t="shared" ca="1" si="66"/>
        <v>#VALUE!</v>
      </c>
      <c r="I3420" s="7" t="str">
        <f ca="1">IFERROR(__xludf.DUMMYFUNCTION("IMPORTXML(E3420,""/html/body/main/div[3]/div[3]/div[2]/ul/li[5]/span[2]/span"")"),"Loading...")</f>
        <v>Loading...</v>
      </c>
      <c r="J3420" s="7" t="str">
        <f ca="1">IFERROR(__xludf.DUMMYFUNCTION("GOOGLEFINANCE(""NSE:""&amp;D3420,""marketcap"")"),"#N/A")</f>
        <v>#N/A</v>
      </c>
      <c r="K3420" s="7">
        <v>992.8</v>
      </c>
      <c r="L3420" s="8" t="str">
        <f ca="1">IFERROR(__xludf.DUMMYFUNCTION("GOOGLEFINANCE(""NSE:""&amp;D3420,""price"")"),"#N/A")</f>
        <v>#N/A</v>
      </c>
      <c r="M3420" s="9" t="e">
        <f t="shared" ca="1" si="67"/>
        <v>#VALUE!</v>
      </c>
      <c r="N3420" s="10" t="e">
        <f t="shared" ca="1" si="68"/>
        <v>#VALUE!</v>
      </c>
      <c r="O3420" s="7" t="str">
        <f ca="1">IFERROR(__xludf.DUMMYFUNCTION("GOOGLEFINANCE(""NSE:""&amp;D3420,""pe"")"),"#N/A")</f>
        <v>#N/A</v>
      </c>
      <c r="P3420" s="7" t="str">
        <f ca="1">IFERROR(__xludf.DUMMYFUNCTION("GOOGLEFINANCE(""NSE:""&amp;D3420,""EPS"")"),"#N/A")</f>
        <v>#N/A</v>
      </c>
      <c r="Q3420" s="7">
        <v>13.5</v>
      </c>
      <c r="R3420" s="7" t="str">
        <f ca="1">IFERROR(__xludf.DUMMYFUNCTION("IMPORTXML(E3420,""/html/body/main/div[3]/div[3]/div[2]/ul/li[7]/span[2]/span"")"),"Loading...")</f>
        <v>Loading...</v>
      </c>
      <c r="S3420" s="7" t="str">
        <f ca="1">IFERROR(__xludf.DUMMYFUNCTION("IMPORTXML(E3420,""/html/body/main/div[3]/div[3]/div[2]/ul/li[8]/span[2]/span"")"),"Loading...")</f>
        <v>Loading...</v>
      </c>
      <c r="T3420" s="4">
        <v>34.6</v>
      </c>
      <c r="U3420" s="4">
        <v>22.7</v>
      </c>
      <c r="V3420" s="4">
        <v>2.6</v>
      </c>
      <c r="W3420" s="4">
        <v>5.7</v>
      </c>
      <c r="X3420" s="4">
        <v>519.92999999999995</v>
      </c>
      <c r="Y3420" s="7" t="e">
        <f t="shared" ca="1" si="69"/>
        <v>#VALUE!</v>
      </c>
    </row>
    <row r="3421" spans="1:25" ht="15" x14ac:dyDescent="0.25">
      <c r="A3421" s="4">
        <v>3413</v>
      </c>
      <c r="C3421" s="41" t="s">
        <v>5766</v>
      </c>
      <c r="D3421" s="42"/>
      <c r="E3421" s="5" t="str">
        <f t="shared" si="65"/>
        <v>https://www.screener.in/company//consolidated/</v>
      </c>
      <c r="F3421" s="4">
        <v>443059</v>
      </c>
      <c r="G3421" s="4">
        <v>3832241897</v>
      </c>
      <c r="H3421" s="6" t="e">
        <f t="shared" ca="1" si="66"/>
        <v>#VALUE!</v>
      </c>
      <c r="I3421" s="7" t="str">
        <f ca="1">IFERROR(__xludf.DUMMYFUNCTION("IMPORTXML(E3421,""/html/body/main/div[3]/div[3]/div[2]/ul/li[5]/span[2]/span"")"),"Loading...")</f>
        <v>Loading...</v>
      </c>
      <c r="J3421" s="7" t="str">
        <f ca="1">IFERROR(__xludf.DUMMYFUNCTION("GOOGLEFINANCE(""NSE:""&amp;D3421,""marketcap"")"),"#N/A")</f>
        <v>#N/A</v>
      </c>
      <c r="K3421" s="7">
        <v>992.8</v>
      </c>
      <c r="L3421" s="8" t="str">
        <f ca="1">IFERROR(__xludf.DUMMYFUNCTION("GOOGLEFINANCE(""NSE:""&amp;D3421,""price"")"),"#N/A")</f>
        <v>#N/A</v>
      </c>
      <c r="M3421" s="9" t="e">
        <f t="shared" ca="1" si="67"/>
        <v>#VALUE!</v>
      </c>
      <c r="N3421" s="10" t="e">
        <f t="shared" ca="1" si="68"/>
        <v>#VALUE!</v>
      </c>
      <c r="O3421" s="7" t="str">
        <f ca="1">IFERROR(__xludf.DUMMYFUNCTION("GOOGLEFINANCE(""NSE:""&amp;D3421,""pe"")"),"#N/A")</f>
        <v>#N/A</v>
      </c>
      <c r="P3421" s="7" t="str">
        <f ca="1">IFERROR(__xludf.DUMMYFUNCTION("GOOGLEFINANCE(""NSE:""&amp;D3421,""EPS"")"),"#N/A")</f>
        <v>#N/A</v>
      </c>
      <c r="Q3421" s="7">
        <v>13.5</v>
      </c>
      <c r="R3421" s="7" t="str">
        <f ca="1">IFERROR(__xludf.DUMMYFUNCTION("IMPORTXML(E3421,""/html/body/main/div[3]/div[3]/div[2]/ul/li[7]/span[2]/span"")"),"Loading...")</f>
        <v>Loading...</v>
      </c>
      <c r="S3421" s="7" t="str">
        <f ca="1">IFERROR(__xludf.DUMMYFUNCTION("IMPORTXML(E3421,""/html/body/main/div[3]/div[3]/div[2]/ul/li[8]/span[2]/span"")"),"Loading...")</f>
        <v>Loading...</v>
      </c>
      <c r="T3421" s="4">
        <v>34.6</v>
      </c>
      <c r="U3421" s="4">
        <v>22.7</v>
      </c>
      <c r="V3421" s="4">
        <v>2.6</v>
      </c>
      <c r="W3421" s="4">
        <v>5.7</v>
      </c>
      <c r="X3421" s="4">
        <v>519.92999999999995</v>
      </c>
      <c r="Y3421" s="7" t="e">
        <f t="shared" ca="1" si="69"/>
        <v>#VALUE!</v>
      </c>
    </row>
    <row r="3422" spans="1:25" ht="15" x14ac:dyDescent="0.25">
      <c r="A3422" s="4">
        <v>3414</v>
      </c>
      <c r="C3422" s="12" t="s">
        <v>5767</v>
      </c>
      <c r="D3422" s="12" t="s">
        <v>5768</v>
      </c>
      <c r="E3422" s="5" t="str">
        <f t="shared" si="65"/>
        <v>https://www.screener.in/company/GFSTEELS/consolidated/</v>
      </c>
      <c r="F3422" s="4">
        <v>443059</v>
      </c>
      <c r="G3422" s="4">
        <v>3832241897</v>
      </c>
      <c r="H3422" s="6">
        <f t="shared" ca="1" si="66"/>
        <v>3728.7713657810004</v>
      </c>
      <c r="I3422" s="7" t="str">
        <f ca="1">IFERROR(__xludf.DUMMYFUNCTION("IMPORTXML(E3422,""/html/body/main/div[3]/div[3]/div[2]/ul/li[5]/span[2]/span"")"),"Loading...")</f>
        <v>Loading...</v>
      </c>
      <c r="J3422" s="7">
        <f ca="1">IFERROR(__xludf.DUMMYFUNCTION("GOOGLEFINANCE(""NSE:""&amp;D3422,""marketcap"")"),296083900)</f>
        <v>296083900</v>
      </c>
      <c r="K3422" s="7">
        <v>992.8</v>
      </c>
      <c r="L3422" s="8">
        <f ca="1">IFERROR(__xludf.DUMMYFUNCTION("GOOGLEFINANCE(""NSE:""&amp;D3422,""price"")"),9.73)</f>
        <v>9.73</v>
      </c>
      <c r="M3422" s="9">
        <f t="shared" ca="1" si="67"/>
        <v>-983.06999999999994</v>
      </c>
      <c r="N3422" s="10">
        <f t="shared" ca="1" si="68"/>
        <v>-99.019943593875908</v>
      </c>
      <c r="O3422" s="7" t="str">
        <f ca="1">IFERROR(__xludf.DUMMYFUNCTION("GOOGLEFINANCE(""NSE:""&amp;D3422,""pe"")"),"#N/A")</f>
        <v>#N/A</v>
      </c>
      <c r="P3422" s="7">
        <f ca="1">IFERROR(__xludf.DUMMYFUNCTION("GOOGLEFINANCE(""NSE:""&amp;D3422,""EPS"")"),-0.2)</f>
        <v>-0.2</v>
      </c>
      <c r="Q3422" s="7">
        <v>13.5</v>
      </c>
      <c r="R3422" s="7" t="str">
        <f ca="1">IFERROR(__xludf.DUMMYFUNCTION("IMPORTXML(E3422,""/html/body/main/div[3]/div[3]/div[2]/ul/li[7]/span[2]/span"")"),"Loading...")</f>
        <v>Loading...</v>
      </c>
      <c r="S3422" s="7" t="str">
        <f ca="1">IFERROR(__xludf.DUMMYFUNCTION("IMPORTXML(E3422,""/html/body/main/div[3]/div[3]/div[2]/ul/li[8]/span[2]/span"")"),"Loading...")</f>
        <v>Loading...</v>
      </c>
      <c r="T3422" s="4">
        <v>34.6</v>
      </c>
      <c r="U3422" s="4">
        <v>22.7</v>
      </c>
      <c r="V3422" s="4">
        <v>2.6</v>
      </c>
      <c r="W3422" s="4">
        <v>5.7</v>
      </c>
      <c r="X3422" s="4">
        <v>519.92999999999995</v>
      </c>
      <c r="Y3422" s="7">
        <f t="shared" ca="1" si="69"/>
        <v>-510.19999999999993</v>
      </c>
    </row>
    <row r="3423" spans="1:25" ht="15" x14ac:dyDescent="0.25">
      <c r="A3423" s="4">
        <v>3415</v>
      </c>
      <c r="C3423" s="41" t="s">
        <v>5769</v>
      </c>
      <c r="D3423" s="42"/>
      <c r="E3423" s="5" t="str">
        <f t="shared" si="65"/>
        <v>https://www.screener.in/company//consolidated/</v>
      </c>
      <c r="F3423" s="4">
        <v>443059</v>
      </c>
      <c r="G3423" s="4">
        <v>3832241897</v>
      </c>
      <c r="H3423" s="6" t="e">
        <f t="shared" ca="1" si="66"/>
        <v>#VALUE!</v>
      </c>
      <c r="I3423" s="7" t="str">
        <f ca="1">IFERROR(__xludf.DUMMYFUNCTION("IMPORTXML(E3423,""/html/body/main/div[3]/div[3]/div[2]/ul/li[5]/span[2]/span"")"),"Loading...")</f>
        <v>Loading...</v>
      </c>
      <c r="J3423" s="7" t="str">
        <f ca="1">IFERROR(__xludf.DUMMYFUNCTION("GOOGLEFINANCE(""NSE:""&amp;D3423,""marketcap"")"),"#N/A")</f>
        <v>#N/A</v>
      </c>
      <c r="K3423" s="7">
        <v>992.8</v>
      </c>
      <c r="L3423" s="8" t="str">
        <f ca="1">IFERROR(__xludf.DUMMYFUNCTION("GOOGLEFINANCE(""NSE:""&amp;D3423,""price"")"),"#N/A")</f>
        <v>#N/A</v>
      </c>
      <c r="M3423" s="9" t="e">
        <f t="shared" ca="1" si="67"/>
        <v>#VALUE!</v>
      </c>
      <c r="N3423" s="10" t="e">
        <f t="shared" ca="1" si="68"/>
        <v>#VALUE!</v>
      </c>
      <c r="O3423" s="7" t="str">
        <f ca="1">IFERROR(__xludf.DUMMYFUNCTION("GOOGLEFINANCE(""NSE:""&amp;D3423,""pe"")"),"#N/A")</f>
        <v>#N/A</v>
      </c>
      <c r="P3423" s="7" t="str">
        <f ca="1">IFERROR(__xludf.DUMMYFUNCTION("GOOGLEFINANCE(""NSE:""&amp;D3423,""EPS"")"),"#N/A")</f>
        <v>#N/A</v>
      </c>
      <c r="Q3423" s="7">
        <v>13.5</v>
      </c>
      <c r="R3423" s="7" t="str">
        <f ca="1">IFERROR(__xludf.DUMMYFUNCTION("IMPORTXML(E3423,""/html/body/main/div[3]/div[3]/div[2]/ul/li[7]/span[2]/span"")"),"Loading...")</f>
        <v>Loading...</v>
      </c>
      <c r="S3423" s="7" t="str">
        <f ca="1">IFERROR(__xludf.DUMMYFUNCTION("IMPORTXML(E3423,""/html/body/main/div[3]/div[3]/div[2]/ul/li[8]/span[2]/span"")"),"Loading...")</f>
        <v>Loading...</v>
      </c>
      <c r="T3423" s="4">
        <v>34.6</v>
      </c>
      <c r="U3423" s="4">
        <v>22.7</v>
      </c>
      <c r="V3423" s="4">
        <v>2.6</v>
      </c>
      <c r="W3423" s="4">
        <v>5.7</v>
      </c>
      <c r="X3423" s="4">
        <v>519.92999999999995</v>
      </c>
      <c r="Y3423" s="7" t="e">
        <f t="shared" ca="1" si="69"/>
        <v>#VALUE!</v>
      </c>
    </row>
    <row r="3424" spans="1:25" ht="15" x14ac:dyDescent="0.25">
      <c r="A3424" s="4">
        <v>3416</v>
      </c>
      <c r="C3424" s="41" t="s">
        <v>5770</v>
      </c>
      <c r="D3424" s="42"/>
      <c r="E3424" s="5" t="str">
        <f t="shared" si="65"/>
        <v>https://www.screener.in/company//consolidated/</v>
      </c>
      <c r="F3424" s="4">
        <v>443059</v>
      </c>
      <c r="G3424" s="4">
        <v>3832241897</v>
      </c>
      <c r="H3424" s="6" t="e">
        <f t="shared" ca="1" si="66"/>
        <v>#VALUE!</v>
      </c>
      <c r="I3424" s="7" t="str">
        <f ca="1">IFERROR(__xludf.DUMMYFUNCTION("IMPORTXML(E3424,""/html/body/main/div[3]/div[3]/div[2]/ul/li[5]/span[2]/span"")"),"Loading...")</f>
        <v>Loading...</v>
      </c>
      <c r="J3424" s="7" t="str">
        <f ca="1">IFERROR(__xludf.DUMMYFUNCTION("GOOGLEFINANCE(""NSE:""&amp;D3424,""marketcap"")"),"#N/A")</f>
        <v>#N/A</v>
      </c>
      <c r="K3424" s="7">
        <v>992.8</v>
      </c>
      <c r="L3424" s="8" t="str">
        <f ca="1">IFERROR(__xludf.DUMMYFUNCTION("GOOGLEFINANCE(""NSE:""&amp;D3424,""price"")"),"#N/A")</f>
        <v>#N/A</v>
      </c>
      <c r="M3424" s="9" t="e">
        <f t="shared" ca="1" si="67"/>
        <v>#VALUE!</v>
      </c>
      <c r="N3424" s="10" t="e">
        <f t="shared" ca="1" si="68"/>
        <v>#VALUE!</v>
      </c>
      <c r="O3424" s="7" t="str">
        <f ca="1">IFERROR(__xludf.DUMMYFUNCTION("GOOGLEFINANCE(""NSE:""&amp;D3424,""pe"")"),"#N/A")</f>
        <v>#N/A</v>
      </c>
      <c r="P3424" s="7" t="str">
        <f ca="1">IFERROR(__xludf.DUMMYFUNCTION("GOOGLEFINANCE(""NSE:""&amp;D3424,""EPS"")"),"#N/A")</f>
        <v>#N/A</v>
      </c>
      <c r="Q3424" s="7">
        <v>13.5</v>
      </c>
      <c r="R3424" s="7" t="str">
        <f ca="1">IFERROR(__xludf.DUMMYFUNCTION("IMPORTXML(E3424,""/html/body/main/div[3]/div[3]/div[2]/ul/li[7]/span[2]/span"")"),"Loading...")</f>
        <v>Loading...</v>
      </c>
      <c r="S3424" s="7" t="str">
        <f ca="1">IFERROR(__xludf.DUMMYFUNCTION("IMPORTXML(E3424,""/html/body/main/div[3]/div[3]/div[2]/ul/li[8]/span[2]/span"")"),"Loading...")</f>
        <v>Loading...</v>
      </c>
      <c r="T3424" s="4">
        <v>34.6</v>
      </c>
      <c r="U3424" s="4">
        <v>22.7</v>
      </c>
      <c r="V3424" s="4">
        <v>2.6</v>
      </c>
      <c r="W3424" s="4">
        <v>5.7</v>
      </c>
      <c r="X3424" s="4">
        <v>519.92999999999995</v>
      </c>
      <c r="Y3424" s="7" t="e">
        <f t="shared" ca="1" si="69"/>
        <v>#VALUE!</v>
      </c>
    </row>
    <row r="3425" spans="1:25" ht="15" x14ac:dyDescent="0.25">
      <c r="A3425" s="4">
        <v>3417</v>
      </c>
      <c r="C3425" s="41" t="s">
        <v>5771</v>
      </c>
      <c r="D3425" s="42"/>
      <c r="E3425" s="5" t="str">
        <f t="shared" si="65"/>
        <v>https://www.screener.in/company//consolidated/</v>
      </c>
      <c r="F3425" s="4">
        <v>443059</v>
      </c>
      <c r="G3425" s="4">
        <v>3832241897</v>
      </c>
      <c r="H3425" s="6" t="e">
        <f t="shared" ca="1" si="66"/>
        <v>#VALUE!</v>
      </c>
      <c r="I3425" s="7" t="str">
        <f ca="1">IFERROR(__xludf.DUMMYFUNCTION("IMPORTXML(E3425,""/html/body/main/div[3]/div[3]/div[2]/ul/li[5]/span[2]/span"")"),"Loading...")</f>
        <v>Loading...</v>
      </c>
      <c r="J3425" s="7" t="str">
        <f ca="1">IFERROR(__xludf.DUMMYFUNCTION("GOOGLEFINANCE(""NSE:""&amp;D3425,""marketcap"")"),"#N/A")</f>
        <v>#N/A</v>
      </c>
      <c r="K3425" s="7">
        <v>992.8</v>
      </c>
      <c r="L3425" s="8" t="str">
        <f ca="1">IFERROR(__xludf.DUMMYFUNCTION("GOOGLEFINANCE(""NSE:""&amp;D3425,""price"")"),"#N/A")</f>
        <v>#N/A</v>
      </c>
      <c r="M3425" s="9" t="e">
        <f t="shared" ca="1" si="67"/>
        <v>#VALUE!</v>
      </c>
      <c r="N3425" s="10" t="e">
        <f t="shared" ca="1" si="68"/>
        <v>#VALUE!</v>
      </c>
      <c r="O3425" s="7" t="str">
        <f ca="1">IFERROR(__xludf.DUMMYFUNCTION("GOOGLEFINANCE(""NSE:""&amp;D3425,""pe"")"),"#N/A")</f>
        <v>#N/A</v>
      </c>
      <c r="P3425" s="7" t="str">
        <f ca="1">IFERROR(__xludf.DUMMYFUNCTION("GOOGLEFINANCE(""NSE:""&amp;D3425,""EPS"")"),"#N/A")</f>
        <v>#N/A</v>
      </c>
      <c r="Q3425" s="7">
        <v>13.5</v>
      </c>
      <c r="R3425" s="7" t="str">
        <f ca="1">IFERROR(__xludf.DUMMYFUNCTION("IMPORTXML(E3425,""/html/body/main/div[3]/div[3]/div[2]/ul/li[7]/span[2]/span"")"),"Loading...")</f>
        <v>Loading...</v>
      </c>
      <c r="S3425" s="7" t="str">
        <f ca="1">IFERROR(__xludf.DUMMYFUNCTION("IMPORTXML(E3425,""/html/body/main/div[3]/div[3]/div[2]/ul/li[8]/span[2]/span"")"),"Loading...")</f>
        <v>Loading...</v>
      </c>
      <c r="T3425" s="4">
        <v>34.6</v>
      </c>
      <c r="U3425" s="4">
        <v>22.7</v>
      </c>
      <c r="V3425" s="4">
        <v>2.6</v>
      </c>
      <c r="W3425" s="4">
        <v>5.7</v>
      </c>
      <c r="X3425" s="4">
        <v>519.92999999999995</v>
      </c>
      <c r="Y3425" s="7" t="e">
        <f t="shared" ca="1" si="69"/>
        <v>#VALUE!</v>
      </c>
    </row>
    <row r="3426" spans="1:25" ht="15" x14ac:dyDescent="0.25">
      <c r="A3426" s="4">
        <v>3418</v>
      </c>
      <c r="C3426" s="41" t="s">
        <v>5772</v>
      </c>
      <c r="D3426" s="42"/>
      <c r="E3426" s="5" t="str">
        <f t="shared" si="65"/>
        <v>https://www.screener.in/company//consolidated/</v>
      </c>
      <c r="F3426" s="4">
        <v>443059</v>
      </c>
      <c r="G3426" s="4">
        <v>3832241897</v>
      </c>
      <c r="H3426" s="6" t="e">
        <f t="shared" ca="1" si="66"/>
        <v>#VALUE!</v>
      </c>
      <c r="I3426" s="7" t="str">
        <f ca="1">IFERROR(__xludf.DUMMYFUNCTION("IMPORTXML(E3426,""/html/body/main/div[3]/div[3]/div[2]/ul/li[5]/span[2]/span"")"),"Loading...")</f>
        <v>Loading...</v>
      </c>
      <c r="J3426" s="7" t="str">
        <f ca="1">IFERROR(__xludf.DUMMYFUNCTION("GOOGLEFINANCE(""NSE:""&amp;D3426,""marketcap"")"),"#N/A")</f>
        <v>#N/A</v>
      </c>
      <c r="K3426" s="7">
        <v>992.8</v>
      </c>
      <c r="L3426" s="8" t="str">
        <f ca="1">IFERROR(__xludf.DUMMYFUNCTION("GOOGLEFINANCE(""NSE:""&amp;D3426,""price"")"),"#N/A")</f>
        <v>#N/A</v>
      </c>
      <c r="M3426" s="9" t="e">
        <f t="shared" ca="1" si="67"/>
        <v>#VALUE!</v>
      </c>
      <c r="N3426" s="10" t="e">
        <f t="shared" ca="1" si="68"/>
        <v>#VALUE!</v>
      </c>
      <c r="O3426" s="7" t="str">
        <f ca="1">IFERROR(__xludf.DUMMYFUNCTION("GOOGLEFINANCE(""NSE:""&amp;D3426,""pe"")"),"#N/A")</f>
        <v>#N/A</v>
      </c>
      <c r="P3426" s="7" t="str">
        <f ca="1">IFERROR(__xludf.DUMMYFUNCTION("GOOGLEFINANCE(""NSE:""&amp;D3426,""EPS"")"),"#N/A")</f>
        <v>#N/A</v>
      </c>
      <c r="Q3426" s="7">
        <v>13.5</v>
      </c>
      <c r="R3426" s="7" t="str">
        <f ca="1">IFERROR(__xludf.DUMMYFUNCTION("IMPORTXML(E3426,""/html/body/main/div[3]/div[3]/div[2]/ul/li[7]/span[2]/span"")"),"Loading...")</f>
        <v>Loading...</v>
      </c>
      <c r="S3426" s="7" t="str">
        <f ca="1">IFERROR(__xludf.DUMMYFUNCTION("IMPORTXML(E3426,""/html/body/main/div[3]/div[3]/div[2]/ul/li[8]/span[2]/span"")"),"Loading...")</f>
        <v>Loading...</v>
      </c>
      <c r="T3426" s="4">
        <v>34.6</v>
      </c>
      <c r="U3426" s="4">
        <v>22.7</v>
      </c>
      <c r="V3426" s="4">
        <v>2.6</v>
      </c>
      <c r="W3426" s="4">
        <v>5.7</v>
      </c>
      <c r="X3426" s="4">
        <v>519.92999999999995</v>
      </c>
      <c r="Y3426" s="7" t="e">
        <f t="shared" ca="1" si="69"/>
        <v>#VALUE!</v>
      </c>
    </row>
    <row r="3427" spans="1:25" ht="15" x14ac:dyDescent="0.25">
      <c r="A3427" s="4">
        <v>3419</v>
      </c>
      <c r="C3427" s="41" t="s">
        <v>5773</v>
      </c>
      <c r="D3427" s="42"/>
      <c r="E3427" s="5" t="str">
        <f t="shared" si="65"/>
        <v>https://www.screener.in/company//consolidated/</v>
      </c>
      <c r="F3427" s="4">
        <v>443059</v>
      </c>
      <c r="G3427" s="4">
        <v>3832241897</v>
      </c>
      <c r="H3427" s="6" t="e">
        <f t="shared" ca="1" si="66"/>
        <v>#VALUE!</v>
      </c>
      <c r="I3427" s="7" t="str">
        <f ca="1">IFERROR(__xludf.DUMMYFUNCTION("IMPORTXML(E3427,""/html/body/main/div[3]/div[3]/div[2]/ul/li[5]/span[2]/span"")"),"Loading...")</f>
        <v>Loading...</v>
      </c>
      <c r="J3427" s="7" t="str">
        <f ca="1">IFERROR(__xludf.DUMMYFUNCTION("GOOGLEFINANCE(""NSE:""&amp;D3427,""marketcap"")"),"#N/A")</f>
        <v>#N/A</v>
      </c>
      <c r="K3427" s="7">
        <v>992.8</v>
      </c>
      <c r="L3427" s="8" t="str">
        <f ca="1">IFERROR(__xludf.DUMMYFUNCTION("GOOGLEFINANCE(""NSE:""&amp;D3427,""price"")"),"#N/A")</f>
        <v>#N/A</v>
      </c>
      <c r="M3427" s="9" t="e">
        <f t="shared" ca="1" si="67"/>
        <v>#VALUE!</v>
      </c>
      <c r="N3427" s="10" t="e">
        <f t="shared" ca="1" si="68"/>
        <v>#VALUE!</v>
      </c>
      <c r="O3427" s="7" t="str">
        <f ca="1">IFERROR(__xludf.DUMMYFUNCTION("GOOGLEFINANCE(""NSE:""&amp;D3427,""pe"")"),"#N/A")</f>
        <v>#N/A</v>
      </c>
      <c r="P3427" s="7" t="str">
        <f ca="1">IFERROR(__xludf.DUMMYFUNCTION("GOOGLEFINANCE(""NSE:""&amp;D3427,""EPS"")"),"#N/A")</f>
        <v>#N/A</v>
      </c>
      <c r="Q3427" s="7">
        <v>13.5</v>
      </c>
      <c r="R3427" s="7" t="str">
        <f ca="1">IFERROR(__xludf.DUMMYFUNCTION("IMPORTXML(E3427,""/html/body/main/div[3]/div[3]/div[2]/ul/li[7]/span[2]/span"")"),"Loading...")</f>
        <v>Loading...</v>
      </c>
      <c r="S3427" s="7" t="str">
        <f ca="1">IFERROR(__xludf.DUMMYFUNCTION("IMPORTXML(E3427,""/html/body/main/div[3]/div[3]/div[2]/ul/li[8]/span[2]/span"")"),"Loading...")</f>
        <v>Loading...</v>
      </c>
      <c r="T3427" s="4">
        <v>34.6</v>
      </c>
      <c r="U3427" s="4">
        <v>22.7</v>
      </c>
      <c r="V3427" s="4">
        <v>2.6</v>
      </c>
      <c r="W3427" s="4">
        <v>5.7</v>
      </c>
      <c r="X3427" s="4">
        <v>519.92999999999995</v>
      </c>
      <c r="Y3427" s="7" t="e">
        <f t="shared" ca="1" si="69"/>
        <v>#VALUE!</v>
      </c>
    </row>
    <row r="3428" spans="1:25" ht="15" x14ac:dyDescent="0.25">
      <c r="A3428" s="4">
        <v>3420</v>
      </c>
      <c r="C3428" s="41" t="s">
        <v>5774</v>
      </c>
      <c r="D3428" s="42"/>
      <c r="E3428" s="5" t="str">
        <f t="shared" si="65"/>
        <v>https://www.screener.in/company//consolidated/</v>
      </c>
      <c r="F3428" s="4">
        <v>443059</v>
      </c>
      <c r="G3428" s="4">
        <v>3832241897</v>
      </c>
      <c r="H3428" s="6" t="e">
        <f t="shared" ca="1" si="66"/>
        <v>#VALUE!</v>
      </c>
      <c r="I3428" s="7" t="str">
        <f ca="1">IFERROR(__xludf.DUMMYFUNCTION("IMPORTXML(E3428,""/html/body/main/div[3]/div[3]/div[2]/ul/li[5]/span[2]/span"")"),"Loading...")</f>
        <v>Loading...</v>
      </c>
      <c r="J3428" s="7" t="str">
        <f ca="1">IFERROR(__xludf.DUMMYFUNCTION("GOOGLEFINANCE(""NSE:""&amp;D3428,""marketcap"")"),"#N/A")</f>
        <v>#N/A</v>
      </c>
      <c r="K3428" s="7">
        <v>992.8</v>
      </c>
      <c r="L3428" s="8" t="str">
        <f ca="1">IFERROR(__xludf.DUMMYFUNCTION("GOOGLEFINANCE(""NSE:""&amp;D3428,""price"")"),"#N/A")</f>
        <v>#N/A</v>
      </c>
      <c r="M3428" s="9" t="e">
        <f t="shared" ca="1" si="67"/>
        <v>#VALUE!</v>
      </c>
      <c r="N3428" s="10" t="e">
        <f t="shared" ca="1" si="68"/>
        <v>#VALUE!</v>
      </c>
      <c r="O3428" s="7" t="str">
        <f ca="1">IFERROR(__xludf.DUMMYFUNCTION("GOOGLEFINANCE(""NSE:""&amp;D3428,""pe"")"),"#N/A")</f>
        <v>#N/A</v>
      </c>
      <c r="P3428" s="7" t="str">
        <f ca="1">IFERROR(__xludf.DUMMYFUNCTION("GOOGLEFINANCE(""NSE:""&amp;D3428,""EPS"")"),"#N/A")</f>
        <v>#N/A</v>
      </c>
      <c r="Q3428" s="7">
        <v>13.5</v>
      </c>
      <c r="R3428" s="7" t="str">
        <f ca="1">IFERROR(__xludf.DUMMYFUNCTION("IMPORTXML(E3428,""/html/body/main/div[3]/div[3]/div[2]/ul/li[7]/span[2]/span"")"),"Loading...")</f>
        <v>Loading...</v>
      </c>
      <c r="S3428" s="7" t="str">
        <f ca="1">IFERROR(__xludf.DUMMYFUNCTION("IMPORTXML(E3428,""/html/body/main/div[3]/div[3]/div[2]/ul/li[8]/span[2]/span"")"),"Loading...")</f>
        <v>Loading...</v>
      </c>
      <c r="T3428" s="4">
        <v>34.6</v>
      </c>
      <c r="U3428" s="4">
        <v>22.7</v>
      </c>
      <c r="V3428" s="4">
        <v>2.6</v>
      </c>
      <c r="W3428" s="4">
        <v>5.7</v>
      </c>
      <c r="X3428" s="4">
        <v>519.92999999999995</v>
      </c>
      <c r="Y3428" s="7" t="e">
        <f t="shared" ca="1" si="69"/>
        <v>#VALUE!</v>
      </c>
    </row>
    <row r="3429" spans="1:25" ht="15" x14ac:dyDescent="0.25">
      <c r="A3429" s="4">
        <v>3421</v>
      </c>
      <c r="C3429" s="41" t="s">
        <v>5775</v>
      </c>
      <c r="D3429" s="42"/>
      <c r="E3429" s="5" t="str">
        <f t="shared" si="65"/>
        <v>https://www.screener.in/company//consolidated/</v>
      </c>
      <c r="F3429" s="4">
        <v>443059</v>
      </c>
      <c r="G3429" s="4">
        <v>3832241897</v>
      </c>
      <c r="H3429" s="6" t="e">
        <f t="shared" ca="1" si="66"/>
        <v>#VALUE!</v>
      </c>
      <c r="I3429" s="7" t="str">
        <f ca="1">IFERROR(__xludf.DUMMYFUNCTION("IMPORTXML(E3429,""/html/body/main/div[3]/div[3]/div[2]/ul/li[5]/span[2]/span"")"),"Loading...")</f>
        <v>Loading...</v>
      </c>
      <c r="J3429" s="7" t="str">
        <f ca="1">IFERROR(__xludf.DUMMYFUNCTION("GOOGLEFINANCE(""NSE:""&amp;D3429,""marketcap"")"),"#N/A")</f>
        <v>#N/A</v>
      </c>
      <c r="K3429" s="7">
        <v>992.8</v>
      </c>
      <c r="L3429" s="8" t="str">
        <f ca="1">IFERROR(__xludf.DUMMYFUNCTION("GOOGLEFINANCE(""NSE:""&amp;D3429,""price"")"),"#N/A")</f>
        <v>#N/A</v>
      </c>
      <c r="M3429" s="9" t="e">
        <f t="shared" ca="1" si="67"/>
        <v>#VALUE!</v>
      </c>
      <c r="N3429" s="10" t="e">
        <f t="shared" ca="1" si="68"/>
        <v>#VALUE!</v>
      </c>
      <c r="O3429" s="7" t="str">
        <f ca="1">IFERROR(__xludf.DUMMYFUNCTION("GOOGLEFINANCE(""NSE:""&amp;D3429,""pe"")"),"#N/A")</f>
        <v>#N/A</v>
      </c>
      <c r="P3429" s="7" t="str">
        <f ca="1">IFERROR(__xludf.DUMMYFUNCTION("GOOGLEFINANCE(""NSE:""&amp;D3429,""EPS"")"),"#N/A")</f>
        <v>#N/A</v>
      </c>
      <c r="Q3429" s="7">
        <v>13.5</v>
      </c>
      <c r="R3429" s="7" t="str">
        <f ca="1">IFERROR(__xludf.DUMMYFUNCTION("IMPORTXML(E3429,""/html/body/main/div[3]/div[3]/div[2]/ul/li[7]/span[2]/span"")"),"Loading...")</f>
        <v>Loading...</v>
      </c>
      <c r="S3429" s="7" t="str">
        <f ca="1">IFERROR(__xludf.DUMMYFUNCTION("IMPORTXML(E3429,""/html/body/main/div[3]/div[3]/div[2]/ul/li[8]/span[2]/span"")"),"Loading...")</f>
        <v>Loading...</v>
      </c>
      <c r="T3429" s="4">
        <v>34.6</v>
      </c>
      <c r="U3429" s="4">
        <v>22.7</v>
      </c>
      <c r="V3429" s="4">
        <v>2.6</v>
      </c>
      <c r="W3429" s="4">
        <v>5.7</v>
      </c>
      <c r="X3429" s="4">
        <v>519.92999999999995</v>
      </c>
      <c r="Y3429" s="7" t="e">
        <f t="shared" ca="1" si="69"/>
        <v>#VALUE!</v>
      </c>
    </row>
    <row r="3430" spans="1:25" ht="15" x14ac:dyDescent="0.25">
      <c r="A3430" s="4">
        <v>3422</v>
      </c>
      <c r="C3430" s="41" t="s">
        <v>5776</v>
      </c>
      <c r="D3430" s="42"/>
      <c r="E3430" s="5" t="str">
        <f t="shared" si="65"/>
        <v>https://www.screener.in/company//consolidated/</v>
      </c>
      <c r="F3430" s="4">
        <v>443059</v>
      </c>
      <c r="G3430" s="4">
        <v>3832241897</v>
      </c>
      <c r="H3430" s="6" t="e">
        <f t="shared" ca="1" si="66"/>
        <v>#VALUE!</v>
      </c>
      <c r="I3430" s="7" t="str">
        <f ca="1">IFERROR(__xludf.DUMMYFUNCTION("IMPORTXML(E3430,""/html/body/main/div[3]/div[3]/div[2]/ul/li[5]/span[2]/span"")"),"Loading...")</f>
        <v>Loading...</v>
      </c>
      <c r="J3430" s="7" t="str">
        <f ca="1">IFERROR(__xludf.DUMMYFUNCTION("GOOGLEFINANCE(""NSE:""&amp;D3430,""marketcap"")"),"#N/A")</f>
        <v>#N/A</v>
      </c>
      <c r="K3430" s="7">
        <v>992.8</v>
      </c>
      <c r="L3430" s="8" t="str">
        <f ca="1">IFERROR(__xludf.DUMMYFUNCTION("GOOGLEFINANCE(""NSE:""&amp;D3430,""price"")"),"#N/A")</f>
        <v>#N/A</v>
      </c>
      <c r="M3430" s="9" t="e">
        <f t="shared" ca="1" si="67"/>
        <v>#VALUE!</v>
      </c>
      <c r="N3430" s="10" t="e">
        <f t="shared" ca="1" si="68"/>
        <v>#VALUE!</v>
      </c>
      <c r="O3430" s="7" t="str">
        <f ca="1">IFERROR(__xludf.DUMMYFUNCTION("GOOGLEFINANCE(""NSE:""&amp;D3430,""pe"")"),"#N/A")</f>
        <v>#N/A</v>
      </c>
      <c r="P3430" s="7" t="str">
        <f ca="1">IFERROR(__xludf.DUMMYFUNCTION("GOOGLEFINANCE(""NSE:""&amp;D3430,""EPS"")"),"#N/A")</f>
        <v>#N/A</v>
      </c>
      <c r="Q3430" s="7">
        <v>13.5</v>
      </c>
      <c r="R3430" s="7" t="str">
        <f ca="1">IFERROR(__xludf.DUMMYFUNCTION("IMPORTXML(E3430,""/html/body/main/div[3]/div[3]/div[2]/ul/li[7]/span[2]/span"")"),"Loading...")</f>
        <v>Loading...</v>
      </c>
      <c r="S3430" s="7" t="str">
        <f ca="1">IFERROR(__xludf.DUMMYFUNCTION("IMPORTXML(E3430,""/html/body/main/div[3]/div[3]/div[2]/ul/li[8]/span[2]/span"")"),"Loading...")</f>
        <v>Loading...</v>
      </c>
      <c r="T3430" s="4">
        <v>34.6</v>
      </c>
      <c r="U3430" s="4">
        <v>22.7</v>
      </c>
      <c r="V3430" s="4">
        <v>2.6</v>
      </c>
      <c r="W3430" s="4">
        <v>5.7</v>
      </c>
      <c r="X3430" s="4">
        <v>519.92999999999995</v>
      </c>
      <c r="Y3430" s="7" t="e">
        <f t="shared" ca="1" si="69"/>
        <v>#VALUE!</v>
      </c>
    </row>
    <row r="3431" spans="1:25" ht="15" x14ac:dyDescent="0.25">
      <c r="A3431" s="4">
        <v>3423</v>
      </c>
      <c r="C3431" s="41" t="s">
        <v>5777</v>
      </c>
      <c r="D3431" s="42"/>
      <c r="E3431" s="5" t="str">
        <f t="shared" si="65"/>
        <v>https://www.screener.in/company//consolidated/</v>
      </c>
      <c r="F3431" s="4">
        <v>443059</v>
      </c>
      <c r="G3431" s="4">
        <v>3832241897</v>
      </c>
      <c r="H3431" s="6" t="e">
        <f t="shared" ca="1" si="66"/>
        <v>#VALUE!</v>
      </c>
      <c r="I3431" s="7" t="str">
        <f ca="1">IFERROR(__xludf.DUMMYFUNCTION("IMPORTXML(E3431,""/html/body/main/div[3]/div[3]/div[2]/ul/li[5]/span[2]/span"")"),"Loading...")</f>
        <v>Loading...</v>
      </c>
      <c r="J3431" s="7" t="str">
        <f ca="1">IFERROR(__xludf.DUMMYFUNCTION("GOOGLEFINANCE(""NSE:""&amp;D3431,""marketcap"")"),"#N/A")</f>
        <v>#N/A</v>
      </c>
      <c r="K3431" s="7">
        <v>992.8</v>
      </c>
      <c r="L3431" s="8" t="str">
        <f ca="1">IFERROR(__xludf.DUMMYFUNCTION("GOOGLEFINANCE(""NSE:""&amp;D3431,""price"")"),"#N/A")</f>
        <v>#N/A</v>
      </c>
      <c r="M3431" s="9" t="e">
        <f t="shared" ca="1" si="67"/>
        <v>#VALUE!</v>
      </c>
      <c r="N3431" s="10" t="e">
        <f t="shared" ca="1" si="68"/>
        <v>#VALUE!</v>
      </c>
      <c r="O3431" s="7" t="str">
        <f ca="1">IFERROR(__xludf.DUMMYFUNCTION("GOOGLEFINANCE(""NSE:""&amp;D3431,""pe"")"),"#N/A")</f>
        <v>#N/A</v>
      </c>
      <c r="P3431" s="7" t="str">
        <f ca="1">IFERROR(__xludf.DUMMYFUNCTION("GOOGLEFINANCE(""NSE:""&amp;D3431,""EPS"")"),"#N/A")</f>
        <v>#N/A</v>
      </c>
      <c r="Q3431" s="7">
        <v>13.5</v>
      </c>
      <c r="R3431" s="7" t="str">
        <f ca="1">IFERROR(__xludf.DUMMYFUNCTION("IMPORTXML(E3431,""/html/body/main/div[3]/div[3]/div[2]/ul/li[7]/span[2]/span"")"),"Loading...")</f>
        <v>Loading...</v>
      </c>
      <c r="S3431" s="7" t="str">
        <f ca="1">IFERROR(__xludf.DUMMYFUNCTION("IMPORTXML(E3431,""/html/body/main/div[3]/div[3]/div[2]/ul/li[8]/span[2]/span"")"),"Loading...")</f>
        <v>Loading...</v>
      </c>
      <c r="T3431" s="4">
        <v>34.6</v>
      </c>
      <c r="U3431" s="4">
        <v>22.7</v>
      </c>
      <c r="V3431" s="4">
        <v>2.6</v>
      </c>
      <c r="W3431" s="4">
        <v>5.7</v>
      </c>
      <c r="X3431" s="4">
        <v>519.92999999999995</v>
      </c>
      <c r="Y3431" s="7" t="e">
        <f t="shared" ca="1" si="69"/>
        <v>#VALUE!</v>
      </c>
    </row>
    <row r="3432" spans="1:25" ht="15" x14ac:dyDescent="0.25">
      <c r="A3432" s="4">
        <v>3424</v>
      </c>
      <c r="C3432" s="41" t="s">
        <v>5778</v>
      </c>
      <c r="D3432" s="42"/>
      <c r="E3432" s="5" t="str">
        <f t="shared" si="65"/>
        <v>https://www.screener.in/company//consolidated/</v>
      </c>
      <c r="F3432" s="4">
        <v>443059</v>
      </c>
      <c r="G3432" s="4">
        <v>3832241897</v>
      </c>
      <c r="H3432" s="6" t="e">
        <f t="shared" ca="1" si="66"/>
        <v>#VALUE!</v>
      </c>
      <c r="I3432" s="7" t="str">
        <f ca="1">IFERROR(__xludf.DUMMYFUNCTION("IMPORTXML(E3432,""/html/body/main/div[3]/div[3]/div[2]/ul/li[5]/span[2]/span"")"),"Loading...")</f>
        <v>Loading...</v>
      </c>
      <c r="J3432" s="7" t="str">
        <f ca="1">IFERROR(__xludf.DUMMYFUNCTION("GOOGLEFINANCE(""NSE:""&amp;D3432,""marketcap"")"),"#N/A")</f>
        <v>#N/A</v>
      </c>
      <c r="K3432" s="7">
        <v>992.8</v>
      </c>
      <c r="L3432" s="8" t="str">
        <f ca="1">IFERROR(__xludf.DUMMYFUNCTION("GOOGLEFINANCE(""NSE:""&amp;D3432,""price"")"),"#N/A")</f>
        <v>#N/A</v>
      </c>
      <c r="M3432" s="9" t="e">
        <f t="shared" ca="1" si="67"/>
        <v>#VALUE!</v>
      </c>
      <c r="N3432" s="10" t="e">
        <f t="shared" ca="1" si="68"/>
        <v>#VALUE!</v>
      </c>
      <c r="O3432" s="7" t="str">
        <f ca="1">IFERROR(__xludf.DUMMYFUNCTION("GOOGLEFINANCE(""NSE:""&amp;D3432,""pe"")"),"#N/A")</f>
        <v>#N/A</v>
      </c>
      <c r="P3432" s="7" t="str">
        <f ca="1">IFERROR(__xludf.DUMMYFUNCTION("GOOGLEFINANCE(""NSE:""&amp;D3432,""EPS"")"),"#N/A")</f>
        <v>#N/A</v>
      </c>
      <c r="Q3432" s="7">
        <v>13.5</v>
      </c>
      <c r="R3432" s="7" t="str">
        <f ca="1">IFERROR(__xludf.DUMMYFUNCTION("IMPORTXML(E3432,""/html/body/main/div[3]/div[3]/div[2]/ul/li[7]/span[2]/span"")"),"Loading...")</f>
        <v>Loading...</v>
      </c>
      <c r="S3432" s="7" t="str">
        <f ca="1">IFERROR(__xludf.DUMMYFUNCTION("IMPORTXML(E3432,""/html/body/main/div[3]/div[3]/div[2]/ul/li[8]/span[2]/span"")"),"Loading...")</f>
        <v>Loading...</v>
      </c>
      <c r="T3432" s="4">
        <v>34.6</v>
      </c>
      <c r="U3432" s="4">
        <v>22.7</v>
      </c>
      <c r="V3432" s="4">
        <v>2.6</v>
      </c>
      <c r="W3432" s="4">
        <v>5.7</v>
      </c>
      <c r="X3432" s="4">
        <v>519.92999999999995</v>
      </c>
      <c r="Y3432" s="7" t="e">
        <f t="shared" ca="1" si="69"/>
        <v>#VALUE!</v>
      </c>
    </row>
    <row r="3433" spans="1:25" ht="15" x14ac:dyDescent="0.25">
      <c r="A3433" s="4">
        <v>3425</v>
      </c>
      <c r="C3433" s="41" t="s">
        <v>5779</v>
      </c>
      <c r="D3433" s="42"/>
      <c r="E3433" s="5" t="str">
        <f t="shared" si="65"/>
        <v>https://www.screener.in/company//consolidated/</v>
      </c>
      <c r="F3433" s="4">
        <v>443059</v>
      </c>
      <c r="G3433" s="4">
        <v>3832241897</v>
      </c>
      <c r="H3433" s="6" t="e">
        <f t="shared" ca="1" si="66"/>
        <v>#VALUE!</v>
      </c>
      <c r="I3433" s="7" t="str">
        <f ca="1">IFERROR(__xludf.DUMMYFUNCTION("IMPORTXML(E3433,""/html/body/main/div[3]/div[3]/div[2]/ul/li[5]/span[2]/span"")"),"Loading...")</f>
        <v>Loading...</v>
      </c>
      <c r="J3433" s="7" t="str">
        <f ca="1">IFERROR(__xludf.DUMMYFUNCTION("GOOGLEFINANCE(""NSE:""&amp;D3433,""marketcap"")"),"#N/A")</f>
        <v>#N/A</v>
      </c>
      <c r="K3433" s="7">
        <v>992.8</v>
      </c>
      <c r="L3433" s="8" t="str">
        <f ca="1">IFERROR(__xludf.DUMMYFUNCTION("GOOGLEFINANCE(""NSE:""&amp;D3433,""price"")"),"#N/A")</f>
        <v>#N/A</v>
      </c>
      <c r="M3433" s="9" t="e">
        <f t="shared" ca="1" si="67"/>
        <v>#VALUE!</v>
      </c>
      <c r="N3433" s="10" t="e">
        <f t="shared" ca="1" si="68"/>
        <v>#VALUE!</v>
      </c>
      <c r="O3433" s="7" t="str">
        <f ca="1">IFERROR(__xludf.DUMMYFUNCTION("GOOGLEFINANCE(""NSE:""&amp;D3433,""pe"")"),"#N/A")</f>
        <v>#N/A</v>
      </c>
      <c r="P3433" s="7" t="str">
        <f ca="1">IFERROR(__xludf.DUMMYFUNCTION("GOOGLEFINANCE(""NSE:""&amp;D3433,""EPS"")"),"#N/A")</f>
        <v>#N/A</v>
      </c>
      <c r="Q3433" s="7">
        <v>13.5</v>
      </c>
      <c r="R3433" s="7" t="str">
        <f ca="1">IFERROR(__xludf.DUMMYFUNCTION("IMPORTXML(E3433,""/html/body/main/div[3]/div[3]/div[2]/ul/li[7]/span[2]/span"")"),"Loading...")</f>
        <v>Loading...</v>
      </c>
      <c r="S3433" s="7" t="str">
        <f ca="1">IFERROR(__xludf.DUMMYFUNCTION("IMPORTXML(E3433,""/html/body/main/div[3]/div[3]/div[2]/ul/li[8]/span[2]/span"")"),"Loading...")</f>
        <v>Loading...</v>
      </c>
      <c r="T3433" s="4">
        <v>34.6</v>
      </c>
      <c r="U3433" s="4">
        <v>22.7</v>
      </c>
      <c r="V3433" s="4">
        <v>2.6</v>
      </c>
      <c r="W3433" s="4">
        <v>5.7</v>
      </c>
      <c r="X3433" s="4">
        <v>519.92999999999995</v>
      </c>
      <c r="Y3433" s="7" t="e">
        <f t="shared" ca="1" si="69"/>
        <v>#VALUE!</v>
      </c>
    </row>
    <row r="3434" spans="1:25" ht="15" x14ac:dyDescent="0.25">
      <c r="A3434" s="4">
        <v>3426</v>
      </c>
      <c r="C3434" s="41" t="s">
        <v>5780</v>
      </c>
      <c r="D3434" s="42"/>
      <c r="E3434" s="5" t="str">
        <f t="shared" si="65"/>
        <v>https://www.screener.in/company//consolidated/</v>
      </c>
      <c r="F3434" s="4">
        <v>443059</v>
      </c>
      <c r="G3434" s="4">
        <v>3832241897</v>
      </c>
      <c r="H3434" s="6" t="e">
        <f t="shared" ca="1" si="66"/>
        <v>#VALUE!</v>
      </c>
      <c r="I3434" s="7" t="str">
        <f ca="1">IFERROR(__xludf.DUMMYFUNCTION("IMPORTXML(E3434,""/html/body/main/div[3]/div[3]/div[2]/ul/li[5]/span[2]/span"")"),"Loading...")</f>
        <v>Loading...</v>
      </c>
      <c r="J3434" s="7" t="str">
        <f ca="1">IFERROR(__xludf.DUMMYFUNCTION("GOOGLEFINANCE(""NSE:""&amp;D3434,""marketcap"")"),"#N/A")</f>
        <v>#N/A</v>
      </c>
      <c r="K3434" s="7">
        <v>992.8</v>
      </c>
      <c r="L3434" s="8" t="str">
        <f ca="1">IFERROR(__xludf.DUMMYFUNCTION("GOOGLEFINANCE(""NSE:""&amp;D3434,""price"")"),"#N/A")</f>
        <v>#N/A</v>
      </c>
      <c r="M3434" s="9" t="e">
        <f t="shared" ca="1" si="67"/>
        <v>#VALUE!</v>
      </c>
      <c r="N3434" s="10" t="e">
        <f t="shared" ca="1" si="68"/>
        <v>#VALUE!</v>
      </c>
      <c r="O3434" s="7" t="str">
        <f ca="1">IFERROR(__xludf.DUMMYFUNCTION("GOOGLEFINANCE(""NSE:""&amp;D3434,""pe"")"),"#N/A")</f>
        <v>#N/A</v>
      </c>
      <c r="P3434" s="7" t="str">
        <f ca="1">IFERROR(__xludf.DUMMYFUNCTION("GOOGLEFINANCE(""NSE:""&amp;D3434,""EPS"")"),"#N/A")</f>
        <v>#N/A</v>
      </c>
      <c r="Q3434" s="7">
        <v>13.5</v>
      </c>
      <c r="R3434" s="7" t="str">
        <f ca="1">IFERROR(__xludf.DUMMYFUNCTION("IMPORTXML(E3434,""/html/body/main/div[3]/div[3]/div[2]/ul/li[7]/span[2]/span"")"),"Loading...")</f>
        <v>Loading...</v>
      </c>
      <c r="S3434" s="7" t="str">
        <f ca="1">IFERROR(__xludf.DUMMYFUNCTION("IMPORTXML(E3434,""/html/body/main/div[3]/div[3]/div[2]/ul/li[8]/span[2]/span"")"),"Loading...")</f>
        <v>Loading...</v>
      </c>
      <c r="T3434" s="4">
        <v>34.6</v>
      </c>
      <c r="U3434" s="4">
        <v>22.7</v>
      </c>
      <c r="V3434" s="4">
        <v>2.6</v>
      </c>
      <c r="W3434" s="4">
        <v>5.7</v>
      </c>
      <c r="X3434" s="4">
        <v>519.92999999999995</v>
      </c>
      <c r="Y3434" s="7" t="e">
        <f t="shared" ca="1" si="69"/>
        <v>#VALUE!</v>
      </c>
    </row>
    <row r="3435" spans="1:25" ht="15" x14ac:dyDescent="0.25">
      <c r="A3435" s="4">
        <v>3427</v>
      </c>
      <c r="C3435" s="41" t="s">
        <v>5781</v>
      </c>
      <c r="D3435" s="42"/>
      <c r="E3435" s="5" t="str">
        <f t="shared" si="65"/>
        <v>https://www.screener.in/company//consolidated/</v>
      </c>
      <c r="F3435" s="4">
        <v>443059</v>
      </c>
      <c r="G3435" s="4">
        <v>3832241897</v>
      </c>
      <c r="H3435" s="6" t="e">
        <f t="shared" ca="1" si="66"/>
        <v>#VALUE!</v>
      </c>
      <c r="I3435" s="7" t="str">
        <f ca="1">IFERROR(__xludf.DUMMYFUNCTION("IMPORTXML(E3435,""/html/body/main/div[3]/div[3]/div[2]/ul/li[5]/span[2]/span"")"),"Loading...")</f>
        <v>Loading...</v>
      </c>
      <c r="J3435" s="7" t="str">
        <f ca="1">IFERROR(__xludf.DUMMYFUNCTION("GOOGLEFINANCE(""NSE:""&amp;D3435,""marketcap"")"),"#N/A")</f>
        <v>#N/A</v>
      </c>
      <c r="K3435" s="7">
        <v>992.8</v>
      </c>
      <c r="L3435" s="8" t="str">
        <f ca="1">IFERROR(__xludf.DUMMYFUNCTION("GOOGLEFINANCE(""NSE:""&amp;D3435,""price"")"),"#N/A")</f>
        <v>#N/A</v>
      </c>
      <c r="M3435" s="9" t="e">
        <f t="shared" ca="1" si="67"/>
        <v>#VALUE!</v>
      </c>
      <c r="N3435" s="10" t="e">
        <f t="shared" ca="1" si="68"/>
        <v>#VALUE!</v>
      </c>
      <c r="O3435" s="7" t="str">
        <f ca="1">IFERROR(__xludf.DUMMYFUNCTION("GOOGLEFINANCE(""NSE:""&amp;D3435,""pe"")"),"#N/A")</f>
        <v>#N/A</v>
      </c>
      <c r="P3435" s="7" t="str">
        <f ca="1">IFERROR(__xludf.DUMMYFUNCTION("GOOGLEFINANCE(""NSE:""&amp;D3435,""EPS"")"),"#N/A")</f>
        <v>#N/A</v>
      </c>
      <c r="Q3435" s="7">
        <v>13.5</v>
      </c>
      <c r="R3435" s="7" t="str">
        <f ca="1">IFERROR(__xludf.DUMMYFUNCTION("IMPORTXML(E3435,""/html/body/main/div[3]/div[3]/div[2]/ul/li[7]/span[2]/span"")"),"Loading...")</f>
        <v>Loading...</v>
      </c>
      <c r="S3435" s="7" t="str">
        <f ca="1">IFERROR(__xludf.DUMMYFUNCTION("IMPORTXML(E3435,""/html/body/main/div[3]/div[3]/div[2]/ul/li[8]/span[2]/span"")"),"Loading...")</f>
        <v>Loading...</v>
      </c>
      <c r="T3435" s="4">
        <v>34.6</v>
      </c>
      <c r="U3435" s="4">
        <v>22.7</v>
      </c>
      <c r="V3435" s="4">
        <v>2.6</v>
      </c>
      <c r="W3435" s="4">
        <v>5.7</v>
      </c>
      <c r="X3435" s="4">
        <v>519.92999999999995</v>
      </c>
      <c r="Y3435" s="7" t="e">
        <f t="shared" ca="1" si="69"/>
        <v>#VALUE!</v>
      </c>
    </row>
    <row r="3436" spans="1:25" ht="15" x14ac:dyDescent="0.25">
      <c r="A3436" s="4">
        <v>3428</v>
      </c>
      <c r="C3436" s="41" t="s">
        <v>5782</v>
      </c>
      <c r="D3436" s="42"/>
      <c r="E3436" s="5" t="str">
        <f t="shared" si="65"/>
        <v>https://www.screener.in/company//consolidated/</v>
      </c>
      <c r="F3436" s="4">
        <v>443059</v>
      </c>
      <c r="G3436" s="4">
        <v>3832241897</v>
      </c>
      <c r="H3436" s="6" t="e">
        <f t="shared" ca="1" si="66"/>
        <v>#VALUE!</v>
      </c>
      <c r="I3436" s="7" t="str">
        <f ca="1">IFERROR(__xludf.DUMMYFUNCTION("IMPORTXML(E3436,""/html/body/main/div[3]/div[3]/div[2]/ul/li[5]/span[2]/span"")"),"Loading...")</f>
        <v>Loading...</v>
      </c>
      <c r="J3436" s="7" t="str">
        <f ca="1">IFERROR(__xludf.DUMMYFUNCTION("GOOGLEFINANCE(""NSE:""&amp;D3436,""marketcap"")"),"#N/A")</f>
        <v>#N/A</v>
      </c>
      <c r="K3436" s="7">
        <v>992.8</v>
      </c>
      <c r="L3436" s="8" t="str">
        <f ca="1">IFERROR(__xludf.DUMMYFUNCTION("GOOGLEFINANCE(""NSE:""&amp;D3436,""price"")"),"#N/A")</f>
        <v>#N/A</v>
      </c>
      <c r="M3436" s="9" t="e">
        <f t="shared" ca="1" si="67"/>
        <v>#VALUE!</v>
      </c>
      <c r="N3436" s="10" t="e">
        <f t="shared" ca="1" si="68"/>
        <v>#VALUE!</v>
      </c>
      <c r="O3436" s="7" t="str">
        <f ca="1">IFERROR(__xludf.DUMMYFUNCTION("GOOGLEFINANCE(""NSE:""&amp;D3436,""pe"")"),"#N/A")</f>
        <v>#N/A</v>
      </c>
      <c r="P3436" s="7" t="str">
        <f ca="1">IFERROR(__xludf.DUMMYFUNCTION("GOOGLEFINANCE(""NSE:""&amp;D3436,""EPS"")"),"#N/A")</f>
        <v>#N/A</v>
      </c>
      <c r="Q3436" s="7">
        <v>13.5</v>
      </c>
      <c r="R3436" s="7" t="str">
        <f ca="1">IFERROR(__xludf.DUMMYFUNCTION("IMPORTXML(E3436,""/html/body/main/div[3]/div[3]/div[2]/ul/li[7]/span[2]/span"")"),"Loading...")</f>
        <v>Loading...</v>
      </c>
      <c r="S3436" s="7" t="str">
        <f ca="1">IFERROR(__xludf.DUMMYFUNCTION("IMPORTXML(E3436,""/html/body/main/div[3]/div[3]/div[2]/ul/li[8]/span[2]/span"")"),"Loading...")</f>
        <v>Loading...</v>
      </c>
      <c r="T3436" s="4">
        <v>34.6</v>
      </c>
      <c r="U3436" s="4">
        <v>22.7</v>
      </c>
      <c r="V3436" s="4">
        <v>2.6</v>
      </c>
      <c r="W3436" s="4">
        <v>5.7</v>
      </c>
      <c r="X3436" s="4">
        <v>519.92999999999995</v>
      </c>
      <c r="Y3436" s="7" t="e">
        <f t="shared" ca="1" si="69"/>
        <v>#VALUE!</v>
      </c>
    </row>
    <row r="3437" spans="1:25" ht="15" x14ac:dyDescent="0.25">
      <c r="A3437" s="4">
        <v>3429</v>
      </c>
      <c r="C3437" s="41" t="s">
        <v>5783</v>
      </c>
      <c r="D3437" s="42"/>
      <c r="E3437" s="5" t="str">
        <f t="shared" si="65"/>
        <v>https://www.screener.in/company//consolidated/</v>
      </c>
      <c r="F3437" s="4">
        <v>443059</v>
      </c>
      <c r="G3437" s="4">
        <v>3832241897</v>
      </c>
      <c r="H3437" s="6" t="e">
        <f t="shared" ca="1" si="66"/>
        <v>#VALUE!</v>
      </c>
      <c r="I3437" s="7" t="str">
        <f ca="1">IFERROR(__xludf.DUMMYFUNCTION("IMPORTXML(E3437,""/html/body/main/div[3]/div[3]/div[2]/ul/li[5]/span[2]/span"")"),"Loading...")</f>
        <v>Loading...</v>
      </c>
      <c r="J3437" s="7" t="str">
        <f ca="1">IFERROR(__xludf.DUMMYFUNCTION("GOOGLEFINANCE(""NSE:""&amp;D3437,""marketcap"")"),"#N/A")</f>
        <v>#N/A</v>
      </c>
      <c r="K3437" s="7">
        <v>992.8</v>
      </c>
      <c r="L3437" s="8" t="str">
        <f ca="1">IFERROR(__xludf.DUMMYFUNCTION("GOOGLEFINANCE(""NSE:""&amp;D3437,""price"")"),"#N/A")</f>
        <v>#N/A</v>
      </c>
      <c r="M3437" s="9" t="e">
        <f t="shared" ca="1" si="67"/>
        <v>#VALUE!</v>
      </c>
      <c r="N3437" s="10" t="e">
        <f t="shared" ca="1" si="68"/>
        <v>#VALUE!</v>
      </c>
      <c r="O3437" s="7" t="str">
        <f ca="1">IFERROR(__xludf.DUMMYFUNCTION("GOOGLEFINANCE(""NSE:""&amp;D3437,""pe"")"),"#N/A")</f>
        <v>#N/A</v>
      </c>
      <c r="P3437" s="7" t="str">
        <f ca="1">IFERROR(__xludf.DUMMYFUNCTION("GOOGLEFINANCE(""NSE:""&amp;D3437,""EPS"")"),"#N/A")</f>
        <v>#N/A</v>
      </c>
      <c r="Q3437" s="7">
        <v>13.5</v>
      </c>
      <c r="R3437" s="7" t="str">
        <f ca="1">IFERROR(__xludf.DUMMYFUNCTION("IMPORTXML(E3437,""/html/body/main/div[3]/div[3]/div[2]/ul/li[7]/span[2]/span"")"),"Loading...")</f>
        <v>Loading...</v>
      </c>
      <c r="S3437" s="7" t="str">
        <f ca="1">IFERROR(__xludf.DUMMYFUNCTION("IMPORTXML(E3437,""/html/body/main/div[3]/div[3]/div[2]/ul/li[8]/span[2]/span"")"),"Loading...")</f>
        <v>Loading...</v>
      </c>
      <c r="T3437" s="4">
        <v>34.6</v>
      </c>
      <c r="U3437" s="4">
        <v>22.7</v>
      </c>
      <c r="V3437" s="4">
        <v>2.6</v>
      </c>
      <c r="W3437" s="4">
        <v>5.7</v>
      </c>
      <c r="X3437" s="4">
        <v>519.92999999999995</v>
      </c>
      <c r="Y3437" s="7" t="e">
        <f t="shared" ca="1" si="69"/>
        <v>#VALUE!</v>
      </c>
    </row>
    <row r="3438" spans="1:25" ht="15" x14ac:dyDescent="0.25">
      <c r="A3438" s="4">
        <v>3430</v>
      </c>
      <c r="C3438" s="41" t="s">
        <v>5784</v>
      </c>
      <c r="D3438" s="42"/>
      <c r="E3438" s="5" t="str">
        <f t="shared" si="65"/>
        <v>https://www.screener.in/company//consolidated/</v>
      </c>
      <c r="F3438" s="4">
        <v>443059</v>
      </c>
      <c r="G3438" s="4">
        <v>3832241897</v>
      </c>
      <c r="H3438" s="6" t="e">
        <f t="shared" ca="1" si="66"/>
        <v>#VALUE!</v>
      </c>
      <c r="I3438" s="7" t="str">
        <f ca="1">IFERROR(__xludf.DUMMYFUNCTION("IMPORTXML(E3438,""/html/body/main/div[3]/div[3]/div[2]/ul/li[5]/span[2]/span"")"),"Loading...")</f>
        <v>Loading...</v>
      </c>
      <c r="J3438" s="7" t="str">
        <f ca="1">IFERROR(__xludf.DUMMYFUNCTION("GOOGLEFINANCE(""NSE:""&amp;D3438,""marketcap"")"),"#N/A")</f>
        <v>#N/A</v>
      </c>
      <c r="K3438" s="7">
        <v>992.8</v>
      </c>
      <c r="L3438" s="8" t="str">
        <f ca="1">IFERROR(__xludf.DUMMYFUNCTION("GOOGLEFINANCE(""NSE:""&amp;D3438,""price"")"),"#N/A")</f>
        <v>#N/A</v>
      </c>
      <c r="M3438" s="9" t="e">
        <f t="shared" ca="1" si="67"/>
        <v>#VALUE!</v>
      </c>
      <c r="N3438" s="10" t="e">
        <f t="shared" ca="1" si="68"/>
        <v>#VALUE!</v>
      </c>
      <c r="O3438" s="7" t="str">
        <f ca="1">IFERROR(__xludf.DUMMYFUNCTION("GOOGLEFINANCE(""NSE:""&amp;D3438,""pe"")"),"#N/A")</f>
        <v>#N/A</v>
      </c>
      <c r="P3438" s="7" t="str">
        <f ca="1">IFERROR(__xludf.DUMMYFUNCTION("GOOGLEFINANCE(""NSE:""&amp;D3438,""EPS"")"),"#N/A")</f>
        <v>#N/A</v>
      </c>
      <c r="Q3438" s="7">
        <v>13.5</v>
      </c>
      <c r="R3438" s="7" t="str">
        <f ca="1">IFERROR(__xludf.DUMMYFUNCTION("IMPORTXML(E3438,""/html/body/main/div[3]/div[3]/div[2]/ul/li[7]/span[2]/span"")"),"Loading...")</f>
        <v>Loading...</v>
      </c>
      <c r="S3438" s="7" t="str">
        <f ca="1">IFERROR(__xludf.DUMMYFUNCTION("IMPORTXML(E3438,""/html/body/main/div[3]/div[3]/div[2]/ul/li[8]/span[2]/span"")"),"Loading...")</f>
        <v>Loading...</v>
      </c>
      <c r="T3438" s="4">
        <v>34.6</v>
      </c>
      <c r="U3438" s="4">
        <v>22.7</v>
      </c>
      <c r="V3438" s="4">
        <v>2.6</v>
      </c>
      <c r="W3438" s="4">
        <v>5.7</v>
      </c>
      <c r="X3438" s="4">
        <v>519.92999999999995</v>
      </c>
      <c r="Y3438" s="7" t="e">
        <f t="shared" ca="1" si="69"/>
        <v>#VALUE!</v>
      </c>
    </row>
    <row r="3439" spans="1:25" ht="15" x14ac:dyDescent="0.25">
      <c r="A3439" s="4">
        <v>3431</v>
      </c>
      <c r="C3439" s="41" t="s">
        <v>5785</v>
      </c>
      <c r="D3439" s="42"/>
      <c r="E3439" s="5" t="str">
        <f t="shared" si="65"/>
        <v>https://www.screener.in/company//consolidated/</v>
      </c>
      <c r="F3439" s="4">
        <v>443059</v>
      </c>
      <c r="G3439" s="4">
        <v>3832241897</v>
      </c>
      <c r="H3439" s="6" t="e">
        <f t="shared" ca="1" si="66"/>
        <v>#VALUE!</v>
      </c>
      <c r="I3439" s="7" t="str">
        <f ca="1">IFERROR(__xludf.DUMMYFUNCTION("IMPORTXML(E3439,""/html/body/main/div[3]/div[3]/div[2]/ul/li[5]/span[2]/span"")"),"Loading...")</f>
        <v>Loading...</v>
      </c>
      <c r="J3439" s="7" t="str">
        <f ca="1">IFERROR(__xludf.DUMMYFUNCTION("GOOGLEFINANCE(""NSE:""&amp;D3439,""marketcap"")"),"#N/A")</f>
        <v>#N/A</v>
      </c>
      <c r="K3439" s="7">
        <v>992.8</v>
      </c>
      <c r="L3439" s="8" t="str">
        <f ca="1">IFERROR(__xludf.DUMMYFUNCTION("GOOGLEFINANCE(""NSE:""&amp;D3439,""price"")"),"#N/A")</f>
        <v>#N/A</v>
      </c>
      <c r="M3439" s="9" t="e">
        <f t="shared" ca="1" si="67"/>
        <v>#VALUE!</v>
      </c>
      <c r="N3439" s="10" t="e">
        <f t="shared" ca="1" si="68"/>
        <v>#VALUE!</v>
      </c>
      <c r="O3439" s="7" t="str">
        <f ca="1">IFERROR(__xludf.DUMMYFUNCTION("GOOGLEFINANCE(""NSE:""&amp;D3439,""pe"")"),"#N/A")</f>
        <v>#N/A</v>
      </c>
      <c r="P3439" s="7" t="str">
        <f ca="1">IFERROR(__xludf.DUMMYFUNCTION("GOOGLEFINANCE(""NSE:""&amp;D3439,""EPS"")"),"#N/A")</f>
        <v>#N/A</v>
      </c>
      <c r="Q3439" s="7">
        <v>13.5</v>
      </c>
      <c r="R3439" s="7" t="str">
        <f ca="1">IFERROR(__xludf.DUMMYFUNCTION("IMPORTXML(E3439,""/html/body/main/div[3]/div[3]/div[2]/ul/li[7]/span[2]/span"")"),"Loading...")</f>
        <v>Loading...</v>
      </c>
      <c r="S3439" s="7" t="str">
        <f ca="1">IFERROR(__xludf.DUMMYFUNCTION("IMPORTXML(E3439,""/html/body/main/div[3]/div[3]/div[2]/ul/li[8]/span[2]/span"")"),"Loading...")</f>
        <v>Loading...</v>
      </c>
      <c r="T3439" s="4">
        <v>34.6</v>
      </c>
      <c r="U3439" s="4">
        <v>22.7</v>
      </c>
      <c r="V3439" s="4">
        <v>2.6</v>
      </c>
      <c r="W3439" s="4">
        <v>5.7</v>
      </c>
      <c r="X3439" s="4">
        <v>519.92999999999995</v>
      </c>
      <c r="Y3439" s="7" t="e">
        <f t="shared" ca="1" si="69"/>
        <v>#VALUE!</v>
      </c>
    </row>
    <row r="3440" spans="1:25" ht="15" x14ac:dyDescent="0.25">
      <c r="A3440" s="4">
        <v>3432</v>
      </c>
      <c r="C3440" s="41" t="s">
        <v>5786</v>
      </c>
      <c r="D3440" s="42"/>
      <c r="E3440" s="5" t="str">
        <f t="shared" si="65"/>
        <v>https://www.screener.in/company//consolidated/</v>
      </c>
      <c r="F3440" s="4">
        <v>443059</v>
      </c>
      <c r="G3440" s="4">
        <v>3832241897</v>
      </c>
      <c r="H3440" s="6" t="e">
        <f t="shared" ca="1" si="66"/>
        <v>#VALUE!</v>
      </c>
      <c r="I3440" s="7" t="str">
        <f ca="1">IFERROR(__xludf.DUMMYFUNCTION("IMPORTXML(E3440,""/html/body/main/div[3]/div[3]/div[2]/ul/li[5]/span[2]/span"")"),"Loading...")</f>
        <v>Loading...</v>
      </c>
      <c r="J3440" s="7" t="str">
        <f ca="1">IFERROR(__xludf.DUMMYFUNCTION("GOOGLEFINANCE(""NSE:""&amp;D3440,""marketcap"")"),"#N/A")</f>
        <v>#N/A</v>
      </c>
      <c r="K3440" s="7">
        <v>992.8</v>
      </c>
      <c r="L3440" s="8" t="str">
        <f ca="1">IFERROR(__xludf.DUMMYFUNCTION("GOOGLEFINANCE(""NSE:""&amp;D3440,""price"")"),"#N/A")</f>
        <v>#N/A</v>
      </c>
      <c r="M3440" s="9" t="e">
        <f t="shared" ca="1" si="67"/>
        <v>#VALUE!</v>
      </c>
      <c r="N3440" s="10" t="e">
        <f t="shared" ca="1" si="68"/>
        <v>#VALUE!</v>
      </c>
      <c r="O3440" s="7" t="str">
        <f ca="1">IFERROR(__xludf.DUMMYFUNCTION("GOOGLEFINANCE(""NSE:""&amp;D3440,""pe"")"),"#N/A")</f>
        <v>#N/A</v>
      </c>
      <c r="P3440" s="7" t="str">
        <f ca="1">IFERROR(__xludf.DUMMYFUNCTION("GOOGLEFINANCE(""NSE:""&amp;D3440,""EPS"")"),"#N/A")</f>
        <v>#N/A</v>
      </c>
      <c r="Q3440" s="7">
        <v>13.5</v>
      </c>
      <c r="R3440" s="7" t="str">
        <f ca="1">IFERROR(__xludf.DUMMYFUNCTION("IMPORTXML(E3440,""/html/body/main/div[3]/div[3]/div[2]/ul/li[7]/span[2]/span"")"),"Loading...")</f>
        <v>Loading...</v>
      </c>
      <c r="S3440" s="7" t="str">
        <f ca="1">IFERROR(__xludf.DUMMYFUNCTION("IMPORTXML(E3440,""/html/body/main/div[3]/div[3]/div[2]/ul/li[8]/span[2]/span"")"),"Loading...")</f>
        <v>Loading...</v>
      </c>
      <c r="T3440" s="4">
        <v>34.6</v>
      </c>
      <c r="U3440" s="4">
        <v>22.7</v>
      </c>
      <c r="V3440" s="4">
        <v>2.6</v>
      </c>
      <c r="W3440" s="4">
        <v>5.7</v>
      </c>
      <c r="X3440" s="4">
        <v>519.92999999999995</v>
      </c>
      <c r="Y3440" s="7" t="e">
        <f t="shared" ca="1" si="69"/>
        <v>#VALUE!</v>
      </c>
    </row>
    <row r="3441" spans="1:25" ht="15" x14ac:dyDescent="0.25">
      <c r="A3441" s="4">
        <v>3433</v>
      </c>
      <c r="C3441" s="41" t="s">
        <v>5787</v>
      </c>
      <c r="D3441" s="42"/>
      <c r="E3441" s="5" t="str">
        <f t="shared" si="65"/>
        <v>https://www.screener.in/company//consolidated/</v>
      </c>
      <c r="F3441" s="4">
        <v>443059</v>
      </c>
      <c r="G3441" s="4">
        <v>3832241897</v>
      </c>
      <c r="H3441" s="6" t="e">
        <f t="shared" ca="1" si="66"/>
        <v>#VALUE!</v>
      </c>
      <c r="I3441" s="7" t="str">
        <f ca="1">IFERROR(__xludf.DUMMYFUNCTION("IMPORTXML(E3441,""/html/body/main/div[3]/div[3]/div[2]/ul/li[5]/span[2]/span"")"),"Loading...")</f>
        <v>Loading...</v>
      </c>
      <c r="J3441" s="7" t="str">
        <f ca="1">IFERROR(__xludf.DUMMYFUNCTION("GOOGLEFINANCE(""NSE:""&amp;D3441,""marketcap"")"),"#N/A")</f>
        <v>#N/A</v>
      </c>
      <c r="K3441" s="7">
        <v>992.8</v>
      </c>
      <c r="L3441" s="8" t="str">
        <f ca="1">IFERROR(__xludf.DUMMYFUNCTION("GOOGLEFINANCE(""NSE:""&amp;D3441,""price"")"),"#N/A")</f>
        <v>#N/A</v>
      </c>
      <c r="M3441" s="9" t="e">
        <f t="shared" ca="1" si="67"/>
        <v>#VALUE!</v>
      </c>
      <c r="N3441" s="10" t="e">
        <f t="shared" ca="1" si="68"/>
        <v>#VALUE!</v>
      </c>
      <c r="O3441" s="7" t="str">
        <f ca="1">IFERROR(__xludf.DUMMYFUNCTION("GOOGLEFINANCE(""NSE:""&amp;D3441,""pe"")"),"#N/A")</f>
        <v>#N/A</v>
      </c>
      <c r="P3441" s="7" t="str">
        <f ca="1">IFERROR(__xludf.DUMMYFUNCTION("GOOGLEFINANCE(""NSE:""&amp;D3441,""EPS"")"),"#N/A")</f>
        <v>#N/A</v>
      </c>
      <c r="Q3441" s="7">
        <v>13.5</v>
      </c>
      <c r="R3441" s="7" t="str">
        <f ca="1">IFERROR(__xludf.DUMMYFUNCTION("IMPORTXML(E3441,""/html/body/main/div[3]/div[3]/div[2]/ul/li[7]/span[2]/span"")"),"Loading...")</f>
        <v>Loading...</v>
      </c>
      <c r="S3441" s="7" t="str">
        <f ca="1">IFERROR(__xludf.DUMMYFUNCTION("IMPORTXML(E3441,""/html/body/main/div[3]/div[3]/div[2]/ul/li[8]/span[2]/span"")"),"Loading...")</f>
        <v>Loading...</v>
      </c>
      <c r="T3441" s="4">
        <v>34.6</v>
      </c>
      <c r="U3441" s="4">
        <v>22.7</v>
      </c>
      <c r="V3441" s="4">
        <v>2.6</v>
      </c>
      <c r="W3441" s="4">
        <v>5.7</v>
      </c>
      <c r="X3441" s="4">
        <v>519.92999999999995</v>
      </c>
      <c r="Y3441" s="7" t="e">
        <f t="shared" ca="1" si="69"/>
        <v>#VALUE!</v>
      </c>
    </row>
    <row r="3442" spans="1:25" ht="15" x14ac:dyDescent="0.25">
      <c r="A3442" s="4">
        <v>3434</v>
      </c>
      <c r="C3442" s="41" t="s">
        <v>5788</v>
      </c>
      <c r="D3442" s="42"/>
      <c r="E3442" s="5" t="str">
        <f t="shared" si="65"/>
        <v>https://www.screener.in/company//consolidated/</v>
      </c>
      <c r="F3442" s="4">
        <v>443059</v>
      </c>
      <c r="G3442" s="4">
        <v>3832241897</v>
      </c>
      <c r="H3442" s="6" t="e">
        <f t="shared" ca="1" si="66"/>
        <v>#VALUE!</v>
      </c>
      <c r="I3442" s="7" t="str">
        <f ca="1">IFERROR(__xludf.DUMMYFUNCTION("IMPORTXML(E3442,""/html/body/main/div[3]/div[3]/div[2]/ul/li[5]/span[2]/span"")"),"Loading...")</f>
        <v>Loading...</v>
      </c>
      <c r="J3442" s="7" t="str">
        <f ca="1">IFERROR(__xludf.DUMMYFUNCTION("GOOGLEFINANCE(""NSE:""&amp;D3442,""marketcap"")"),"#N/A")</f>
        <v>#N/A</v>
      </c>
      <c r="K3442" s="7">
        <v>992.8</v>
      </c>
      <c r="L3442" s="8" t="str">
        <f ca="1">IFERROR(__xludf.DUMMYFUNCTION("GOOGLEFINANCE(""NSE:""&amp;D3442,""price"")"),"#N/A")</f>
        <v>#N/A</v>
      </c>
      <c r="M3442" s="9" t="e">
        <f t="shared" ca="1" si="67"/>
        <v>#VALUE!</v>
      </c>
      <c r="N3442" s="10" t="e">
        <f t="shared" ca="1" si="68"/>
        <v>#VALUE!</v>
      </c>
      <c r="O3442" s="7" t="str">
        <f ca="1">IFERROR(__xludf.DUMMYFUNCTION("GOOGLEFINANCE(""NSE:""&amp;D3442,""pe"")"),"#N/A")</f>
        <v>#N/A</v>
      </c>
      <c r="P3442" s="7" t="str">
        <f ca="1">IFERROR(__xludf.DUMMYFUNCTION("GOOGLEFINANCE(""NSE:""&amp;D3442,""EPS"")"),"#N/A")</f>
        <v>#N/A</v>
      </c>
      <c r="Q3442" s="7">
        <v>13.5</v>
      </c>
      <c r="R3442" s="7" t="str">
        <f ca="1">IFERROR(__xludf.DUMMYFUNCTION("IMPORTXML(E3442,""/html/body/main/div[3]/div[3]/div[2]/ul/li[7]/span[2]/span"")"),"Loading...")</f>
        <v>Loading...</v>
      </c>
      <c r="S3442" s="7" t="str">
        <f ca="1">IFERROR(__xludf.DUMMYFUNCTION("IMPORTXML(E3442,""/html/body/main/div[3]/div[3]/div[2]/ul/li[8]/span[2]/span"")"),"Loading...")</f>
        <v>Loading...</v>
      </c>
      <c r="T3442" s="4">
        <v>34.6</v>
      </c>
      <c r="U3442" s="4">
        <v>22.7</v>
      </c>
      <c r="V3442" s="4">
        <v>2.6</v>
      </c>
      <c r="W3442" s="4">
        <v>5.7</v>
      </c>
      <c r="X3442" s="4">
        <v>519.92999999999995</v>
      </c>
      <c r="Y3442" s="7" t="e">
        <f t="shared" ca="1" si="69"/>
        <v>#VALUE!</v>
      </c>
    </row>
    <row r="3443" spans="1:25" ht="15" x14ac:dyDescent="0.25">
      <c r="A3443" s="4">
        <v>3435</v>
      </c>
      <c r="C3443" s="41" t="s">
        <v>5789</v>
      </c>
      <c r="D3443" s="42"/>
      <c r="E3443" s="5" t="str">
        <f t="shared" si="65"/>
        <v>https://www.screener.in/company//consolidated/</v>
      </c>
      <c r="F3443" s="4">
        <v>443059</v>
      </c>
      <c r="G3443" s="4">
        <v>3832241897</v>
      </c>
      <c r="H3443" s="6" t="e">
        <f t="shared" ca="1" si="66"/>
        <v>#VALUE!</v>
      </c>
      <c r="I3443" s="7" t="str">
        <f ca="1">IFERROR(__xludf.DUMMYFUNCTION("IMPORTXML(E3443,""/html/body/main/div[3]/div[3]/div[2]/ul/li[5]/span[2]/span"")"),"Loading...")</f>
        <v>Loading...</v>
      </c>
      <c r="J3443" s="7" t="str">
        <f ca="1">IFERROR(__xludf.DUMMYFUNCTION("GOOGLEFINANCE(""NSE:""&amp;D3443,""marketcap"")"),"#N/A")</f>
        <v>#N/A</v>
      </c>
      <c r="K3443" s="7">
        <v>992.8</v>
      </c>
      <c r="L3443" s="8" t="str">
        <f ca="1">IFERROR(__xludf.DUMMYFUNCTION("GOOGLEFINANCE(""NSE:""&amp;D3443,""price"")"),"#N/A")</f>
        <v>#N/A</v>
      </c>
      <c r="M3443" s="9" t="e">
        <f t="shared" ca="1" si="67"/>
        <v>#VALUE!</v>
      </c>
      <c r="N3443" s="10" t="e">
        <f t="shared" ca="1" si="68"/>
        <v>#VALUE!</v>
      </c>
      <c r="O3443" s="7" t="str">
        <f ca="1">IFERROR(__xludf.DUMMYFUNCTION("GOOGLEFINANCE(""NSE:""&amp;D3443,""pe"")"),"#N/A")</f>
        <v>#N/A</v>
      </c>
      <c r="P3443" s="7" t="str">
        <f ca="1">IFERROR(__xludf.DUMMYFUNCTION("GOOGLEFINANCE(""NSE:""&amp;D3443,""EPS"")"),"#N/A")</f>
        <v>#N/A</v>
      </c>
      <c r="Q3443" s="7">
        <v>13.5</v>
      </c>
      <c r="R3443" s="7" t="str">
        <f ca="1">IFERROR(__xludf.DUMMYFUNCTION("IMPORTXML(E3443,""/html/body/main/div[3]/div[3]/div[2]/ul/li[7]/span[2]/span"")"),"Loading...")</f>
        <v>Loading...</v>
      </c>
      <c r="S3443" s="7" t="str">
        <f ca="1">IFERROR(__xludf.DUMMYFUNCTION("IMPORTXML(E3443,""/html/body/main/div[3]/div[3]/div[2]/ul/li[8]/span[2]/span"")"),"Loading...")</f>
        <v>Loading...</v>
      </c>
      <c r="T3443" s="4">
        <v>34.6</v>
      </c>
      <c r="U3443" s="4">
        <v>22.7</v>
      </c>
      <c r="V3443" s="4">
        <v>2.6</v>
      </c>
      <c r="W3443" s="4">
        <v>5.7</v>
      </c>
      <c r="X3443" s="4">
        <v>519.92999999999995</v>
      </c>
      <c r="Y3443" s="7" t="e">
        <f t="shared" ca="1" si="69"/>
        <v>#VALUE!</v>
      </c>
    </row>
    <row r="3444" spans="1:25" ht="15" x14ac:dyDescent="0.25">
      <c r="A3444" s="4">
        <v>3436</v>
      </c>
      <c r="C3444" s="41" t="s">
        <v>5790</v>
      </c>
      <c r="D3444" s="42"/>
      <c r="E3444" s="5" t="str">
        <f t="shared" si="65"/>
        <v>https://www.screener.in/company//consolidated/</v>
      </c>
      <c r="F3444" s="4">
        <v>443059</v>
      </c>
      <c r="G3444" s="4">
        <v>3832241897</v>
      </c>
      <c r="H3444" s="6" t="e">
        <f t="shared" ca="1" si="66"/>
        <v>#VALUE!</v>
      </c>
      <c r="I3444" s="7" t="str">
        <f ca="1">IFERROR(__xludf.DUMMYFUNCTION("IMPORTXML(E3444,""/html/body/main/div[3]/div[3]/div[2]/ul/li[5]/span[2]/span"")"),"Loading...")</f>
        <v>Loading...</v>
      </c>
      <c r="J3444" s="7" t="str">
        <f ca="1">IFERROR(__xludf.DUMMYFUNCTION("GOOGLEFINANCE(""NSE:""&amp;D3444,""marketcap"")"),"#N/A")</f>
        <v>#N/A</v>
      </c>
      <c r="K3444" s="7">
        <v>992.8</v>
      </c>
      <c r="L3444" s="8" t="str">
        <f ca="1">IFERROR(__xludf.DUMMYFUNCTION("GOOGLEFINANCE(""NSE:""&amp;D3444,""price"")"),"#N/A")</f>
        <v>#N/A</v>
      </c>
      <c r="M3444" s="9" t="e">
        <f t="shared" ca="1" si="67"/>
        <v>#VALUE!</v>
      </c>
      <c r="N3444" s="10" t="e">
        <f t="shared" ca="1" si="68"/>
        <v>#VALUE!</v>
      </c>
      <c r="O3444" s="7" t="str">
        <f ca="1">IFERROR(__xludf.DUMMYFUNCTION("GOOGLEFINANCE(""NSE:""&amp;D3444,""pe"")"),"#N/A")</f>
        <v>#N/A</v>
      </c>
      <c r="P3444" s="7" t="str">
        <f ca="1">IFERROR(__xludf.DUMMYFUNCTION("GOOGLEFINANCE(""NSE:""&amp;D3444,""EPS"")"),"#N/A")</f>
        <v>#N/A</v>
      </c>
      <c r="Q3444" s="7">
        <v>13.5</v>
      </c>
      <c r="R3444" s="7" t="str">
        <f ca="1">IFERROR(__xludf.DUMMYFUNCTION("IMPORTXML(E3444,""/html/body/main/div[3]/div[3]/div[2]/ul/li[7]/span[2]/span"")"),"Loading...")</f>
        <v>Loading...</v>
      </c>
      <c r="S3444" s="7" t="str">
        <f ca="1">IFERROR(__xludf.DUMMYFUNCTION("IMPORTXML(E3444,""/html/body/main/div[3]/div[3]/div[2]/ul/li[8]/span[2]/span"")"),"Loading...")</f>
        <v>Loading...</v>
      </c>
      <c r="T3444" s="4">
        <v>34.6</v>
      </c>
      <c r="U3444" s="4">
        <v>22.7</v>
      </c>
      <c r="V3444" s="4">
        <v>2.6</v>
      </c>
      <c r="W3444" s="4">
        <v>5.7</v>
      </c>
      <c r="X3444" s="4">
        <v>519.92999999999995</v>
      </c>
      <c r="Y3444" s="7" t="e">
        <f t="shared" ca="1" si="69"/>
        <v>#VALUE!</v>
      </c>
    </row>
    <row r="3445" spans="1:25" ht="15" x14ac:dyDescent="0.25">
      <c r="A3445" s="4">
        <v>3437</v>
      </c>
      <c r="C3445" s="41" t="s">
        <v>5791</v>
      </c>
      <c r="D3445" s="42"/>
      <c r="E3445" s="5" t="str">
        <f t="shared" si="65"/>
        <v>https://www.screener.in/company//consolidated/</v>
      </c>
      <c r="F3445" s="4">
        <v>443059</v>
      </c>
      <c r="G3445" s="4">
        <v>3832241897</v>
      </c>
      <c r="H3445" s="6" t="e">
        <f t="shared" ca="1" si="66"/>
        <v>#VALUE!</v>
      </c>
      <c r="I3445" s="7" t="str">
        <f ca="1">IFERROR(__xludf.DUMMYFUNCTION("IMPORTXML(E3445,""/html/body/main/div[3]/div[3]/div[2]/ul/li[5]/span[2]/span"")"),"Loading...")</f>
        <v>Loading...</v>
      </c>
      <c r="J3445" s="7" t="str">
        <f ca="1">IFERROR(__xludf.DUMMYFUNCTION("GOOGLEFINANCE(""NSE:""&amp;D3445,""marketcap"")"),"#N/A")</f>
        <v>#N/A</v>
      </c>
      <c r="K3445" s="7">
        <v>992.8</v>
      </c>
      <c r="L3445" s="8" t="str">
        <f ca="1">IFERROR(__xludf.DUMMYFUNCTION("GOOGLEFINANCE(""NSE:""&amp;D3445,""price"")"),"#N/A")</f>
        <v>#N/A</v>
      </c>
      <c r="M3445" s="9" t="e">
        <f t="shared" ca="1" si="67"/>
        <v>#VALUE!</v>
      </c>
      <c r="N3445" s="10" t="e">
        <f t="shared" ca="1" si="68"/>
        <v>#VALUE!</v>
      </c>
      <c r="O3445" s="7" t="str">
        <f ca="1">IFERROR(__xludf.DUMMYFUNCTION("GOOGLEFINANCE(""NSE:""&amp;D3445,""pe"")"),"#N/A")</f>
        <v>#N/A</v>
      </c>
      <c r="P3445" s="7" t="str">
        <f ca="1">IFERROR(__xludf.DUMMYFUNCTION("GOOGLEFINANCE(""NSE:""&amp;D3445,""EPS"")"),"#N/A")</f>
        <v>#N/A</v>
      </c>
      <c r="Q3445" s="7">
        <v>13.5</v>
      </c>
      <c r="R3445" s="7" t="str">
        <f ca="1">IFERROR(__xludf.DUMMYFUNCTION("IMPORTXML(E3445,""/html/body/main/div[3]/div[3]/div[2]/ul/li[7]/span[2]/span"")"),"Loading...")</f>
        <v>Loading...</v>
      </c>
      <c r="S3445" s="7" t="str">
        <f ca="1">IFERROR(__xludf.DUMMYFUNCTION("IMPORTXML(E3445,""/html/body/main/div[3]/div[3]/div[2]/ul/li[8]/span[2]/span"")"),"Loading...")</f>
        <v>Loading...</v>
      </c>
      <c r="T3445" s="4">
        <v>34.6</v>
      </c>
      <c r="U3445" s="4">
        <v>22.7</v>
      </c>
      <c r="V3445" s="4">
        <v>2.6</v>
      </c>
      <c r="W3445" s="4">
        <v>5.7</v>
      </c>
      <c r="X3445" s="4">
        <v>519.92999999999995</v>
      </c>
      <c r="Y3445" s="7" t="e">
        <f t="shared" ca="1" si="69"/>
        <v>#VALUE!</v>
      </c>
    </row>
    <row r="3446" spans="1:25" ht="15" x14ac:dyDescent="0.25">
      <c r="A3446" s="4">
        <v>3438</v>
      </c>
      <c r="C3446" s="41" t="s">
        <v>5792</v>
      </c>
      <c r="D3446" s="42"/>
      <c r="E3446" s="5" t="str">
        <f t="shared" si="65"/>
        <v>https://www.screener.in/company//consolidated/</v>
      </c>
      <c r="F3446" s="4">
        <v>443059</v>
      </c>
      <c r="G3446" s="4">
        <v>3832241897</v>
      </c>
      <c r="H3446" s="6" t="e">
        <f t="shared" ca="1" si="66"/>
        <v>#VALUE!</v>
      </c>
      <c r="I3446" s="7" t="str">
        <f ca="1">IFERROR(__xludf.DUMMYFUNCTION("IMPORTXML(E3446,""/html/body/main/div[3]/div[3]/div[2]/ul/li[5]/span[2]/span"")"),"Loading...")</f>
        <v>Loading...</v>
      </c>
      <c r="J3446" s="7" t="str">
        <f ca="1">IFERROR(__xludf.DUMMYFUNCTION("GOOGLEFINANCE(""NSE:""&amp;D3446,""marketcap"")"),"#N/A")</f>
        <v>#N/A</v>
      </c>
      <c r="K3446" s="7">
        <v>992.8</v>
      </c>
      <c r="L3446" s="8" t="str">
        <f ca="1">IFERROR(__xludf.DUMMYFUNCTION("GOOGLEFINANCE(""NSE:""&amp;D3446,""price"")"),"#N/A")</f>
        <v>#N/A</v>
      </c>
      <c r="M3446" s="9" t="e">
        <f t="shared" ca="1" si="67"/>
        <v>#VALUE!</v>
      </c>
      <c r="N3446" s="10" t="e">
        <f t="shared" ca="1" si="68"/>
        <v>#VALUE!</v>
      </c>
      <c r="O3446" s="7" t="str">
        <f ca="1">IFERROR(__xludf.DUMMYFUNCTION("GOOGLEFINANCE(""NSE:""&amp;D3446,""pe"")"),"#N/A")</f>
        <v>#N/A</v>
      </c>
      <c r="P3446" s="7" t="str">
        <f ca="1">IFERROR(__xludf.DUMMYFUNCTION("GOOGLEFINANCE(""NSE:""&amp;D3446,""EPS"")"),"#N/A")</f>
        <v>#N/A</v>
      </c>
      <c r="Q3446" s="7">
        <v>13.5</v>
      </c>
      <c r="R3446" s="7" t="str">
        <f ca="1">IFERROR(__xludf.DUMMYFUNCTION("IMPORTXML(E3446,""/html/body/main/div[3]/div[3]/div[2]/ul/li[7]/span[2]/span"")"),"Loading...")</f>
        <v>Loading...</v>
      </c>
      <c r="S3446" s="7" t="str">
        <f ca="1">IFERROR(__xludf.DUMMYFUNCTION("IMPORTXML(E3446,""/html/body/main/div[3]/div[3]/div[2]/ul/li[8]/span[2]/span"")"),"Loading...")</f>
        <v>Loading...</v>
      </c>
      <c r="T3446" s="4">
        <v>34.6</v>
      </c>
      <c r="U3446" s="4">
        <v>22.7</v>
      </c>
      <c r="V3446" s="4">
        <v>2.6</v>
      </c>
      <c r="W3446" s="4">
        <v>5.7</v>
      </c>
      <c r="X3446" s="4">
        <v>519.92999999999995</v>
      </c>
      <c r="Y3446" s="7" t="e">
        <f t="shared" ca="1" si="69"/>
        <v>#VALUE!</v>
      </c>
    </row>
    <row r="3447" spans="1:25" ht="15" x14ac:dyDescent="0.25">
      <c r="A3447" s="4">
        <v>3439</v>
      </c>
      <c r="C3447" s="41" t="s">
        <v>5793</v>
      </c>
      <c r="D3447" s="42"/>
      <c r="E3447" s="5" t="str">
        <f t="shared" si="65"/>
        <v>https://www.screener.in/company//consolidated/</v>
      </c>
      <c r="F3447" s="4">
        <v>443059</v>
      </c>
      <c r="G3447" s="4">
        <v>3832241897</v>
      </c>
      <c r="H3447" s="6" t="e">
        <f t="shared" ca="1" si="66"/>
        <v>#VALUE!</v>
      </c>
      <c r="I3447" s="7" t="str">
        <f ca="1">IFERROR(__xludf.DUMMYFUNCTION("IMPORTXML(E3447,""/html/body/main/div[3]/div[3]/div[2]/ul/li[5]/span[2]/span"")"),"Loading...")</f>
        <v>Loading...</v>
      </c>
      <c r="J3447" s="7" t="str">
        <f ca="1">IFERROR(__xludf.DUMMYFUNCTION("GOOGLEFINANCE(""NSE:""&amp;D3447,""marketcap"")"),"#N/A")</f>
        <v>#N/A</v>
      </c>
      <c r="K3447" s="7">
        <v>992.8</v>
      </c>
      <c r="L3447" s="8" t="str">
        <f ca="1">IFERROR(__xludf.DUMMYFUNCTION("GOOGLEFINANCE(""NSE:""&amp;D3447,""price"")"),"#N/A")</f>
        <v>#N/A</v>
      </c>
      <c r="M3447" s="9" t="e">
        <f t="shared" ca="1" si="67"/>
        <v>#VALUE!</v>
      </c>
      <c r="N3447" s="10" t="e">
        <f t="shared" ca="1" si="68"/>
        <v>#VALUE!</v>
      </c>
      <c r="O3447" s="7" t="str">
        <f ca="1">IFERROR(__xludf.DUMMYFUNCTION("GOOGLEFINANCE(""NSE:""&amp;D3447,""pe"")"),"#N/A")</f>
        <v>#N/A</v>
      </c>
      <c r="P3447" s="7" t="str">
        <f ca="1">IFERROR(__xludf.DUMMYFUNCTION("GOOGLEFINANCE(""NSE:""&amp;D3447,""EPS"")"),"#N/A")</f>
        <v>#N/A</v>
      </c>
      <c r="Q3447" s="7">
        <v>13.5</v>
      </c>
      <c r="R3447" s="7" t="str">
        <f ca="1">IFERROR(__xludf.DUMMYFUNCTION("IMPORTXML(E3447,""/html/body/main/div[3]/div[3]/div[2]/ul/li[7]/span[2]/span"")"),"Loading...")</f>
        <v>Loading...</v>
      </c>
      <c r="S3447" s="7" t="str">
        <f ca="1">IFERROR(__xludf.DUMMYFUNCTION("IMPORTXML(E3447,""/html/body/main/div[3]/div[3]/div[2]/ul/li[8]/span[2]/span"")"),"Loading...")</f>
        <v>Loading...</v>
      </c>
      <c r="T3447" s="4">
        <v>34.6</v>
      </c>
      <c r="U3447" s="4">
        <v>22.7</v>
      </c>
      <c r="V3447" s="4">
        <v>2.6</v>
      </c>
      <c r="W3447" s="4">
        <v>5.7</v>
      </c>
      <c r="X3447" s="4">
        <v>519.92999999999995</v>
      </c>
      <c r="Y3447" s="7" t="e">
        <f t="shared" ca="1" si="69"/>
        <v>#VALUE!</v>
      </c>
    </row>
    <row r="3448" spans="1:25" ht="15" x14ac:dyDescent="0.25">
      <c r="A3448" s="4">
        <v>3440</v>
      </c>
      <c r="C3448" s="41" t="s">
        <v>5794</v>
      </c>
      <c r="D3448" s="42"/>
      <c r="E3448" s="5" t="str">
        <f t="shared" si="65"/>
        <v>https://www.screener.in/company//consolidated/</v>
      </c>
      <c r="F3448" s="4">
        <v>443059</v>
      </c>
      <c r="G3448" s="4">
        <v>3832241897</v>
      </c>
      <c r="H3448" s="6" t="e">
        <f t="shared" ca="1" si="66"/>
        <v>#VALUE!</v>
      </c>
      <c r="I3448" s="7" t="str">
        <f ca="1">IFERROR(__xludf.DUMMYFUNCTION("IMPORTXML(E3448,""/html/body/main/div[3]/div[3]/div[2]/ul/li[5]/span[2]/span"")"),"Loading...")</f>
        <v>Loading...</v>
      </c>
      <c r="J3448" s="7" t="str">
        <f ca="1">IFERROR(__xludf.DUMMYFUNCTION("GOOGLEFINANCE(""NSE:""&amp;D3448,""marketcap"")"),"#N/A")</f>
        <v>#N/A</v>
      </c>
      <c r="K3448" s="7">
        <v>992.8</v>
      </c>
      <c r="L3448" s="8" t="str">
        <f ca="1">IFERROR(__xludf.DUMMYFUNCTION("GOOGLEFINANCE(""NSE:""&amp;D3448,""price"")"),"#N/A")</f>
        <v>#N/A</v>
      </c>
      <c r="M3448" s="9" t="e">
        <f t="shared" ca="1" si="67"/>
        <v>#VALUE!</v>
      </c>
      <c r="N3448" s="10" t="e">
        <f t="shared" ca="1" si="68"/>
        <v>#VALUE!</v>
      </c>
      <c r="O3448" s="7" t="str">
        <f ca="1">IFERROR(__xludf.DUMMYFUNCTION("GOOGLEFINANCE(""NSE:""&amp;D3448,""pe"")"),"#N/A")</f>
        <v>#N/A</v>
      </c>
      <c r="P3448" s="7" t="str">
        <f ca="1">IFERROR(__xludf.DUMMYFUNCTION("GOOGLEFINANCE(""NSE:""&amp;D3448,""EPS"")"),"#N/A")</f>
        <v>#N/A</v>
      </c>
      <c r="Q3448" s="7">
        <v>13.5</v>
      </c>
      <c r="R3448" s="7" t="str">
        <f ca="1">IFERROR(__xludf.DUMMYFUNCTION("IMPORTXML(E3448,""/html/body/main/div[3]/div[3]/div[2]/ul/li[7]/span[2]/span"")"),"Loading...")</f>
        <v>Loading...</v>
      </c>
      <c r="S3448" s="7" t="str">
        <f ca="1">IFERROR(__xludf.DUMMYFUNCTION("IMPORTXML(E3448,""/html/body/main/div[3]/div[3]/div[2]/ul/li[8]/span[2]/span"")"),"Loading...")</f>
        <v>Loading...</v>
      </c>
      <c r="T3448" s="4">
        <v>34.6</v>
      </c>
      <c r="U3448" s="4">
        <v>22.7</v>
      </c>
      <c r="V3448" s="4">
        <v>2.6</v>
      </c>
      <c r="W3448" s="4">
        <v>5.7</v>
      </c>
      <c r="X3448" s="4">
        <v>519.92999999999995</v>
      </c>
      <c r="Y3448" s="7" t="e">
        <f t="shared" ca="1" si="69"/>
        <v>#VALUE!</v>
      </c>
    </row>
    <row r="3449" spans="1:25" ht="15" x14ac:dyDescent="0.25">
      <c r="A3449" s="4">
        <v>3441</v>
      </c>
      <c r="C3449" s="41" t="s">
        <v>5795</v>
      </c>
      <c r="D3449" s="42"/>
      <c r="E3449" s="5" t="str">
        <f t="shared" si="65"/>
        <v>https://www.screener.in/company//consolidated/</v>
      </c>
      <c r="F3449" s="4">
        <v>443059</v>
      </c>
      <c r="G3449" s="4">
        <v>3832241897</v>
      </c>
      <c r="H3449" s="6" t="e">
        <f t="shared" ca="1" si="66"/>
        <v>#VALUE!</v>
      </c>
      <c r="I3449" s="7" t="str">
        <f ca="1">IFERROR(__xludf.DUMMYFUNCTION("IMPORTXML(E3449,""/html/body/main/div[3]/div[3]/div[2]/ul/li[5]/span[2]/span"")"),"Loading...")</f>
        <v>Loading...</v>
      </c>
      <c r="J3449" s="7" t="str">
        <f ca="1">IFERROR(__xludf.DUMMYFUNCTION("GOOGLEFINANCE(""NSE:""&amp;D3449,""marketcap"")"),"#N/A")</f>
        <v>#N/A</v>
      </c>
      <c r="K3449" s="7">
        <v>992.8</v>
      </c>
      <c r="L3449" s="8" t="str">
        <f ca="1">IFERROR(__xludf.DUMMYFUNCTION("GOOGLEFINANCE(""NSE:""&amp;D3449,""price"")"),"#N/A")</f>
        <v>#N/A</v>
      </c>
      <c r="M3449" s="9" t="e">
        <f t="shared" ca="1" si="67"/>
        <v>#VALUE!</v>
      </c>
      <c r="N3449" s="10" t="e">
        <f t="shared" ca="1" si="68"/>
        <v>#VALUE!</v>
      </c>
      <c r="O3449" s="7" t="str">
        <f ca="1">IFERROR(__xludf.DUMMYFUNCTION("GOOGLEFINANCE(""NSE:""&amp;D3449,""pe"")"),"#N/A")</f>
        <v>#N/A</v>
      </c>
      <c r="P3449" s="7" t="str">
        <f ca="1">IFERROR(__xludf.DUMMYFUNCTION("GOOGLEFINANCE(""NSE:""&amp;D3449,""EPS"")"),"#N/A")</f>
        <v>#N/A</v>
      </c>
      <c r="Q3449" s="7">
        <v>13.5</v>
      </c>
      <c r="R3449" s="7" t="str">
        <f ca="1">IFERROR(__xludf.DUMMYFUNCTION("IMPORTXML(E3449,""/html/body/main/div[3]/div[3]/div[2]/ul/li[7]/span[2]/span"")"),"Loading...")</f>
        <v>Loading...</v>
      </c>
      <c r="S3449" s="7" t="str">
        <f ca="1">IFERROR(__xludf.DUMMYFUNCTION("IMPORTXML(E3449,""/html/body/main/div[3]/div[3]/div[2]/ul/li[8]/span[2]/span"")"),"Loading...")</f>
        <v>Loading...</v>
      </c>
      <c r="T3449" s="4">
        <v>34.6</v>
      </c>
      <c r="U3449" s="4">
        <v>22.7</v>
      </c>
      <c r="V3449" s="4">
        <v>2.6</v>
      </c>
      <c r="W3449" s="4">
        <v>5.7</v>
      </c>
      <c r="X3449" s="4">
        <v>519.92999999999995</v>
      </c>
      <c r="Y3449" s="7" t="e">
        <f t="shared" ca="1" si="69"/>
        <v>#VALUE!</v>
      </c>
    </row>
    <row r="3450" spans="1:25" ht="15" x14ac:dyDescent="0.25">
      <c r="A3450" s="4">
        <v>3442</v>
      </c>
      <c r="C3450" s="41" t="s">
        <v>5796</v>
      </c>
      <c r="D3450" s="42"/>
      <c r="E3450" s="5" t="str">
        <f t="shared" si="65"/>
        <v>https://www.screener.in/company//consolidated/</v>
      </c>
      <c r="F3450" s="4">
        <v>443059</v>
      </c>
      <c r="G3450" s="4">
        <v>3832241897</v>
      </c>
      <c r="H3450" s="6" t="e">
        <f t="shared" ca="1" si="66"/>
        <v>#VALUE!</v>
      </c>
      <c r="I3450" s="7" t="str">
        <f ca="1">IFERROR(__xludf.DUMMYFUNCTION("IMPORTXML(E3450,""/html/body/main/div[3]/div[3]/div[2]/ul/li[5]/span[2]/span"")"),"Loading...")</f>
        <v>Loading...</v>
      </c>
      <c r="J3450" s="7" t="str">
        <f ca="1">IFERROR(__xludf.DUMMYFUNCTION("GOOGLEFINANCE(""NSE:""&amp;D3450,""marketcap"")"),"#N/A")</f>
        <v>#N/A</v>
      </c>
      <c r="K3450" s="7">
        <v>992.8</v>
      </c>
      <c r="L3450" s="8" t="str">
        <f ca="1">IFERROR(__xludf.DUMMYFUNCTION("GOOGLEFINANCE(""NSE:""&amp;D3450,""price"")"),"#N/A")</f>
        <v>#N/A</v>
      </c>
      <c r="M3450" s="9" t="e">
        <f t="shared" ca="1" si="67"/>
        <v>#VALUE!</v>
      </c>
      <c r="N3450" s="10" t="e">
        <f t="shared" ca="1" si="68"/>
        <v>#VALUE!</v>
      </c>
      <c r="O3450" s="7" t="str">
        <f ca="1">IFERROR(__xludf.DUMMYFUNCTION("GOOGLEFINANCE(""NSE:""&amp;D3450,""pe"")"),"#N/A")</f>
        <v>#N/A</v>
      </c>
      <c r="P3450" s="7" t="str">
        <f ca="1">IFERROR(__xludf.DUMMYFUNCTION("GOOGLEFINANCE(""NSE:""&amp;D3450,""EPS"")"),"#N/A")</f>
        <v>#N/A</v>
      </c>
      <c r="Q3450" s="7">
        <v>13.5</v>
      </c>
      <c r="R3450" s="7" t="str">
        <f ca="1">IFERROR(__xludf.DUMMYFUNCTION("IMPORTXML(E3450,""/html/body/main/div[3]/div[3]/div[2]/ul/li[7]/span[2]/span"")"),"Loading...")</f>
        <v>Loading...</v>
      </c>
      <c r="S3450" s="7" t="str">
        <f ca="1">IFERROR(__xludf.DUMMYFUNCTION("IMPORTXML(E3450,""/html/body/main/div[3]/div[3]/div[2]/ul/li[8]/span[2]/span"")"),"Loading...")</f>
        <v>Loading...</v>
      </c>
      <c r="T3450" s="4">
        <v>34.6</v>
      </c>
      <c r="U3450" s="4">
        <v>22.7</v>
      </c>
      <c r="V3450" s="4">
        <v>2.6</v>
      </c>
      <c r="W3450" s="4">
        <v>5.7</v>
      </c>
      <c r="X3450" s="4">
        <v>519.92999999999995</v>
      </c>
      <c r="Y3450" s="7" t="e">
        <f t="shared" ca="1" si="69"/>
        <v>#VALUE!</v>
      </c>
    </row>
    <row r="3451" spans="1:25" ht="15" x14ac:dyDescent="0.25">
      <c r="A3451" s="4">
        <v>3443</v>
      </c>
      <c r="C3451" s="41" t="s">
        <v>5797</v>
      </c>
      <c r="D3451" s="42"/>
      <c r="E3451" s="5" t="str">
        <f t="shared" si="65"/>
        <v>https://www.screener.in/company//consolidated/</v>
      </c>
      <c r="F3451" s="4">
        <v>443059</v>
      </c>
      <c r="G3451" s="4">
        <v>3832241897</v>
      </c>
      <c r="H3451" s="6" t="e">
        <f t="shared" ca="1" si="66"/>
        <v>#VALUE!</v>
      </c>
      <c r="I3451" s="7" t="str">
        <f ca="1">IFERROR(__xludf.DUMMYFUNCTION("IMPORTXML(E3451,""/html/body/main/div[3]/div[3]/div[2]/ul/li[5]/span[2]/span"")"),"Loading...")</f>
        <v>Loading...</v>
      </c>
      <c r="J3451" s="7" t="str">
        <f ca="1">IFERROR(__xludf.DUMMYFUNCTION("GOOGLEFINANCE(""NSE:""&amp;D3451,""marketcap"")"),"#N/A")</f>
        <v>#N/A</v>
      </c>
      <c r="K3451" s="7">
        <v>992.8</v>
      </c>
      <c r="L3451" s="8" t="str">
        <f ca="1">IFERROR(__xludf.DUMMYFUNCTION("GOOGLEFINANCE(""NSE:""&amp;D3451,""price"")"),"#N/A")</f>
        <v>#N/A</v>
      </c>
      <c r="M3451" s="9" t="e">
        <f t="shared" ca="1" si="67"/>
        <v>#VALUE!</v>
      </c>
      <c r="N3451" s="10" t="e">
        <f t="shared" ca="1" si="68"/>
        <v>#VALUE!</v>
      </c>
      <c r="O3451" s="7" t="str">
        <f ca="1">IFERROR(__xludf.DUMMYFUNCTION("GOOGLEFINANCE(""NSE:""&amp;D3451,""pe"")"),"#N/A")</f>
        <v>#N/A</v>
      </c>
      <c r="P3451" s="7" t="str">
        <f ca="1">IFERROR(__xludf.DUMMYFUNCTION("GOOGLEFINANCE(""NSE:""&amp;D3451,""EPS"")"),"#N/A")</f>
        <v>#N/A</v>
      </c>
      <c r="Q3451" s="7">
        <v>13.5</v>
      </c>
      <c r="R3451" s="7" t="str">
        <f ca="1">IFERROR(__xludf.DUMMYFUNCTION("IMPORTXML(E3451,""/html/body/main/div[3]/div[3]/div[2]/ul/li[7]/span[2]/span"")"),"Loading...")</f>
        <v>Loading...</v>
      </c>
      <c r="S3451" s="7" t="str">
        <f ca="1">IFERROR(__xludf.DUMMYFUNCTION("IMPORTXML(E3451,""/html/body/main/div[3]/div[3]/div[2]/ul/li[8]/span[2]/span"")"),"Loading...")</f>
        <v>Loading...</v>
      </c>
      <c r="T3451" s="4">
        <v>34.6</v>
      </c>
      <c r="U3451" s="4">
        <v>22.7</v>
      </c>
      <c r="V3451" s="4">
        <v>2.6</v>
      </c>
      <c r="W3451" s="4">
        <v>5.7</v>
      </c>
      <c r="X3451" s="4">
        <v>519.92999999999995</v>
      </c>
      <c r="Y3451" s="7" t="e">
        <f t="shared" ca="1" si="69"/>
        <v>#VALUE!</v>
      </c>
    </row>
    <row r="3452" spans="1:25" ht="15" x14ac:dyDescent="0.25">
      <c r="A3452" s="4">
        <v>3444</v>
      </c>
      <c r="C3452" s="41" t="s">
        <v>5798</v>
      </c>
      <c r="D3452" s="42"/>
      <c r="E3452" s="5" t="str">
        <f t="shared" si="65"/>
        <v>https://www.screener.in/company//consolidated/</v>
      </c>
      <c r="F3452" s="4">
        <v>443059</v>
      </c>
      <c r="G3452" s="4">
        <v>3832241897</v>
      </c>
      <c r="H3452" s="6" t="e">
        <f t="shared" ca="1" si="66"/>
        <v>#VALUE!</v>
      </c>
      <c r="I3452" s="7" t="str">
        <f ca="1">IFERROR(__xludf.DUMMYFUNCTION("IMPORTXML(E3452,""/html/body/main/div[3]/div[3]/div[2]/ul/li[5]/span[2]/span"")"),"Loading...")</f>
        <v>Loading...</v>
      </c>
      <c r="J3452" s="7" t="str">
        <f ca="1">IFERROR(__xludf.DUMMYFUNCTION("GOOGLEFINANCE(""NSE:""&amp;D3452,""marketcap"")"),"#N/A")</f>
        <v>#N/A</v>
      </c>
      <c r="K3452" s="7">
        <v>992.8</v>
      </c>
      <c r="L3452" s="8" t="str">
        <f ca="1">IFERROR(__xludf.DUMMYFUNCTION("GOOGLEFINANCE(""NSE:""&amp;D3452,""price"")"),"#N/A")</f>
        <v>#N/A</v>
      </c>
      <c r="M3452" s="9" t="e">
        <f t="shared" ca="1" si="67"/>
        <v>#VALUE!</v>
      </c>
      <c r="N3452" s="10" t="e">
        <f t="shared" ca="1" si="68"/>
        <v>#VALUE!</v>
      </c>
      <c r="O3452" s="7" t="str">
        <f ca="1">IFERROR(__xludf.DUMMYFUNCTION("GOOGLEFINANCE(""NSE:""&amp;D3452,""pe"")"),"#N/A")</f>
        <v>#N/A</v>
      </c>
      <c r="P3452" s="7" t="str">
        <f ca="1">IFERROR(__xludf.DUMMYFUNCTION("GOOGLEFINANCE(""NSE:""&amp;D3452,""EPS"")"),"#N/A")</f>
        <v>#N/A</v>
      </c>
      <c r="Q3452" s="7">
        <v>13.5</v>
      </c>
      <c r="R3452" s="7" t="str">
        <f ca="1">IFERROR(__xludf.DUMMYFUNCTION("IMPORTXML(E3452,""/html/body/main/div[3]/div[3]/div[2]/ul/li[7]/span[2]/span"")"),"Loading...")</f>
        <v>Loading...</v>
      </c>
      <c r="S3452" s="7" t="str">
        <f ca="1">IFERROR(__xludf.DUMMYFUNCTION("IMPORTXML(E3452,""/html/body/main/div[3]/div[3]/div[2]/ul/li[8]/span[2]/span"")"),"Loading...")</f>
        <v>Loading...</v>
      </c>
      <c r="T3452" s="4">
        <v>34.6</v>
      </c>
      <c r="U3452" s="4">
        <v>22.7</v>
      </c>
      <c r="V3452" s="4">
        <v>2.6</v>
      </c>
      <c r="W3452" s="4">
        <v>5.7</v>
      </c>
      <c r="X3452" s="4">
        <v>519.92999999999995</v>
      </c>
      <c r="Y3452" s="7" t="e">
        <f t="shared" ca="1" si="69"/>
        <v>#VALUE!</v>
      </c>
    </row>
    <row r="3453" spans="1:25" ht="15" x14ac:dyDescent="0.25">
      <c r="A3453" s="4">
        <v>3445</v>
      </c>
      <c r="C3453" s="41" t="s">
        <v>5799</v>
      </c>
      <c r="D3453" s="42"/>
      <c r="E3453" s="5" t="str">
        <f t="shared" si="65"/>
        <v>https://www.screener.in/company//consolidated/</v>
      </c>
      <c r="F3453" s="4">
        <v>443059</v>
      </c>
      <c r="G3453" s="4">
        <v>3832241897</v>
      </c>
      <c r="H3453" s="6" t="e">
        <f t="shared" ca="1" si="66"/>
        <v>#VALUE!</v>
      </c>
      <c r="I3453" s="7" t="str">
        <f ca="1">IFERROR(__xludf.DUMMYFUNCTION("IMPORTXML(E3453,""/html/body/main/div[3]/div[3]/div[2]/ul/li[5]/span[2]/span"")"),"Loading...")</f>
        <v>Loading...</v>
      </c>
      <c r="J3453" s="7" t="str">
        <f ca="1">IFERROR(__xludf.DUMMYFUNCTION("GOOGLEFINANCE(""NSE:""&amp;D3453,""marketcap"")"),"#N/A")</f>
        <v>#N/A</v>
      </c>
      <c r="K3453" s="7">
        <v>992.8</v>
      </c>
      <c r="L3453" s="8" t="str">
        <f ca="1">IFERROR(__xludf.DUMMYFUNCTION("GOOGLEFINANCE(""NSE:""&amp;D3453,""price"")"),"#N/A")</f>
        <v>#N/A</v>
      </c>
      <c r="M3453" s="9" t="e">
        <f t="shared" ca="1" si="67"/>
        <v>#VALUE!</v>
      </c>
      <c r="N3453" s="10" t="e">
        <f t="shared" ca="1" si="68"/>
        <v>#VALUE!</v>
      </c>
      <c r="O3453" s="7" t="str">
        <f ca="1">IFERROR(__xludf.DUMMYFUNCTION("GOOGLEFINANCE(""NSE:""&amp;D3453,""pe"")"),"#N/A")</f>
        <v>#N/A</v>
      </c>
      <c r="P3453" s="7" t="str">
        <f ca="1">IFERROR(__xludf.DUMMYFUNCTION("GOOGLEFINANCE(""NSE:""&amp;D3453,""EPS"")"),"#N/A")</f>
        <v>#N/A</v>
      </c>
      <c r="Q3453" s="7">
        <v>13.5</v>
      </c>
      <c r="R3453" s="7" t="str">
        <f ca="1">IFERROR(__xludf.DUMMYFUNCTION("IMPORTXML(E3453,""/html/body/main/div[3]/div[3]/div[2]/ul/li[7]/span[2]/span"")"),"Loading...")</f>
        <v>Loading...</v>
      </c>
      <c r="S3453" s="7" t="str">
        <f ca="1">IFERROR(__xludf.DUMMYFUNCTION("IMPORTXML(E3453,""/html/body/main/div[3]/div[3]/div[2]/ul/li[8]/span[2]/span"")"),"Loading...")</f>
        <v>Loading...</v>
      </c>
      <c r="T3453" s="4">
        <v>34.6</v>
      </c>
      <c r="U3453" s="4">
        <v>22.7</v>
      </c>
      <c r="V3453" s="4">
        <v>2.6</v>
      </c>
      <c r="W3453" s="4">
        <v>5.7</v>
      </c>
      <c r="X3453" s="4">
        <v>519.92999999999995</v>
      </c>
      <c r="Y3453" s="7" t="e">
        <f t="shared" ca="1" si="69"/>
        <v>#VALUE!</v>
      </c>
    </row>
    <row r="3454" spans="1:25" ht="15" x14ac:dyDescent="0.25">
      <c r="A3454" s="4">
        <v>3446</v>
      </c>
      <c r="C3454" s="41" t="s">
        <v>5800</v>
      </c>
      <c r="D3454" s="42"/>
      <c r="E3454" s="5" t="str">
        <f t="shared" si="65"/>
        <v>https://www.screener.in/company//consolidated/</v>
      </c>
      <c r="F3454" s="4">
        <v>443059</v>
      </c>
      <c r="G3454" s="4">
        <v>3832241897</v>
      </c>
      <c r="H3454" s="6" t="e">
        <f t="shared" ca="1" si="66"/>
        <v>#VALUE!</v>
      </c>
      <c r="I3454" s="7" t="str">
        <f ca="1">IFERROR(__xludf.DUMMYFUNCTION("IMPORTXML(E3454,""/html/body/main/div[3]/div[3]/div[2]/ul/li[5]/span[2]/span"")"),"Loading...")</f>
        <v>Loading...</v>
      </c>
      <c r="J3454" s="7" t="str">
        <f ca="1">IFERROR(__xludf.DUMMYFUNCTION("GOOGLEFINANCE(""NSE:""&amp;D3454,""marketcap"")"),"#N/A")</f>
        <v>#N/A</v>
      </c>
      <c r="K3454" s="7">
        <v>992.8</v>
      </c>
      <c r="L3454" s="8" t="str">
        <f ca="1">IFERROR(__xludf.DUMMYFUNCTION("GOOGLEFINANCE(""NSE:""&amp;D3454,""price"")"),"#N/A")</f>
        <v>#N/A</v>
      </c>
      <c r="M3454" s="9" t="e">
        <f t="shared" ca="1" si="67"/>
        <v>#VALUE!</v>
      </c>
      <c r="N3454" s="10" t="e">
        <f t="shared" ca="1" si="68"/>
        <v>#VALUE!</v>
      </c>
      <c r="O3454" s="7" t="str">
        <f ca="1">IFERROR(__xludf.DUMMYFUNCTION("GOOGLEFINANCE(""NSE:""&amp;D3454,""pe"")"),"#N/A")</f>
        <v>#N/A</v>
      </c>
      <c r="P3454" s="7" t="str">
        <f ca="1">IFERROR(__xludf.DUMMYFUNCTION("GOOGLEFINANCE(""NSE:""&amp;D3454,""EPS"")"),"#N/A")</f>
        <v>#N/A</v>
      </c>
      <c r="Q3454" s="7">
        <v>13.5</v>
      </c>
      <c r="R3454" s="7" t="str">
        <f ca="1">IFERROR(__xludf.DUMMYFUNCTION("IMPORTXML(E3454,""/html/body/main/div[3]/div[3]/div[2]/ul/li[7]/span[2]/span"")"),"Loading...")</f>
        <v>Loading...</v>
      </c>
      <c r="S3454" s="7" t="str">
        <f ca="1">IFERROR(__xludf.DUMMYFUNCTION("IMPORTXML(E3454,""/html/body/main/div[3]/div[3]/div[2]/ul/li[8]/span[2]/span"")"),"Loading...")</f>
        <v>Loading...</v>
      </c>
      <c r="T3454" s="4">
        <v>34.6</v>
      </c>
      <c r="U3454" s="4">
        <v>22.7</v>
      </c>
      <c r="V3454" s="4">
        <v>2.6</v>
      </c>
      <c r="W3454" s="4">
        <v>5.7</v>
      </c>
      <c r="X3454" s="4">
        <v>519.92999999999995</v>
      </c>
      <c r="Y3454" s="7" t="e">
        <f t="shared" ca="1" si="69"/>
        <v>#VALUE!</v>
      </c>
    </row>
    <row r="3455" spans="1:25" ht="15" x14ac:dyDescent="0.25">
      <c r="A3455" s="4">
        <v>3447</v>
      </c>
      <c r="C3455" s="41" t="s">
        <v>5801</v>
      </c>
      <c r="D3455" s="42"/>
      <c r="E3455" s="5" t="str">
        <f t="shared" si="65"/>
        <v>https://www.screener.in/company//consolidated/</v>
      </c>
      <c r="F3455" s="4">
        <v>443059</v>
      </c>
      <c r="G3455" s="4">
        <v>3832241897</v>
      </c>
      <c r="H3455" s="6" t="e">
        <f t="shared" ca="1" si="66"/>
        <v>#VALUE!</v>
      </c>
      <c r="I3455" s="7" t="str">
        <f ca="1">IFERROR(__xludf.DUMMYFUNCTION("IMPORTXML(E3455,""/html/body/main/div[3]/div[3]/div[2]/ul/li[5]/span[2]/span"")"),"Loading...")</f>
        <v>Loading...</v>
      </c>
      <c r="J3455" s="7" t="str">
        <f ca="1">IFERROR(__xludf.DUMMYFUNCTION("GOOGLEFINANCE(""NSE:""&amp;D3455,""marketcap"")"),"#N/A")</f>
        <v>#N/A</v>
      </c>
      <c r="K3455" s="7">
        <v>992.8</v>
      </c>
      <c r="L3455" s="8" t="str">
        <f ca="1">IFERROR(__xludf.DUMMYFUNCTION("GOOGLEFINANCE(""NSE:""&amp;D3455,""price"")"),"#N/A")</f>
        <v>#N/A</v>
      </c>
      <c r="M3455" s="9" t="e">
        <f t="shared" ca="1" si="67"/>
        <v>#VALUE!</v>
      </c>
      <c r="N3455" s="10" t="e">
        <f t="shared" ca="1" si="68"/>
        <v>#VALUE!</v>
      </c>
      <c r="O3455" s="7" t="str">
        <f ca="1">IFERROR(__xludf.DUMMYFUNCTION("GOOGLEFINANCE(""NSE:""&amp;D3455,""pe"")"),"#N/A")</f>
        <v>#N/A</v>
      </c>
      <c r="P3455" s="7" t="str">
        <f ca="1">IFERROR(__xludf.DUMMYFUNCTION("GOOGLEFINANCE(""NSE:""&amp;D3455,""EPS"")"),"#N/A")</f>
        <v>#N/A</v>
      </c>
      <c r="Q3455" s="7">
        <v>13.5</v>
      </c>
      <c r="R3455" s="7" t="str">
        <f ca="1">IFERROR(__xludf.DUMMYFUNCTION("IMPORTXML(E3455,""/html/body/main/div[3]/div[3]/div[2]/ul/li[7]/span[2]/span"")"),"Loading...")</f>
        <v>Loading...</v>
      </c>
      <c r="S3455" s="7" t="str">
        <f ca="1">IFERROR(__xludf.DUMMYFUNCTION("IMPORTXML(E3455,""/html/body/main/div[3]/div[3]/div[2]/ul/li[8]/span[2]/span"")"),"Loading...")</f>
        <v>Loading...</v>
      </c>
      <c r="T3455" s="4">
        <v>34.6</v>
      </c>
      <c r="U3455" s="4">
        <v>22.7</v>
      </c>
      <c r="V3455" s="4">
        <v>2.6</v>
      </c>
      <c r="W3455" s="4">
        <v>5.7</v>
      </c>
      <c r="X3455" s="4">
        <v>519.92999999999995</v>
      </c>
      <c r="Y3455" s="7" t="e">
        <f t="shared" ca="1" si="69"/>
        <v>#VALUE!</v>
      </c>
    </row>
    <row r="3456" spans="1:25" ht="15" x14ac:dyDescent="0.25">
      <c r="A3456" s="4">
        <v>3448</v>
      </c>
      <c r="C3456" s="41" t="s">
        <v>5802</v>
      </c>
      <c r="D3456" s="42"/>
      <c r="E3456" s="5" t="str">
        <f t="shared" si="65"/>
        <v>https://www.screener.in/company//consolidated/</v>
      </c>
      <c r="F3456" s="4">
        <v>443059</v>
      </c>
      <c r="G3456" s="4">
        <v>3832241897</v>
      </c>
      <c r="H3456" s="6" t="e">
        <f t="shared" ca="1" si="66"/>
        <v>#VALUE!</v>
      </c>
      <c r="I3456" s="7" t="str">
        <f ca="1">IFERROR(__xludf.DUMMYFUNCTION("IMPORTXML(E3456,""/html/body/main/div[3]/div[3]/div[2]/ul/li[5]/span[2]/span"")"),"Loading...")</f>
        <v>Loading...</v>
      </c>
      <c r="J3456" s="7" t="str">
        <f ca="1">IFERROR(__xludf.DUMMYFUNCTION("GOOGLEFINANCE(""NSE:""&amp;D3456,""marketcap"")"),"#N/A")</f>
        <v>#N/A</v>
      </c>
      <c r="K3456" s="7">
        <v>992.8</v>
      </c>
      <c r="L3456" s="8" t="str">
        <f ca="1">IFERROR(__xludf.DUMMYFUNCTION("GOOGLEFINANCE(""NSE:""&amp;D3456,""price"")"),"#N/A")</f>
        <v>#N/A</v>
      </c>
      <c r="M3456" s="9" t="e">
        <f t="shared" ca="1" si="67"/>
        <v>#VALUE!</v>
      </c>
      <c r="N3456" s="10" t="e">
        <f t="shared" ca="1" si="68"/>
        <v>#VALUE!</v>
      </c>
      <c r="O3456" s="7" t="str">
        <f ca="1">IFERROR(__xludf.DUMMYFUNCTION("GOOGLEFINANCE(""NSE:""&amp;D3456,""pe"")"),"#N/A")</f>
        <v>#N/A</v>
      </c>
      <c r="P3456" s="7" t="str">
        <f ca="1">IFERROR(__xludf.DUMMYFUNCTION("GOOGLEFINANCE(""NSE:""&amp;D3456,""EPS"")"),"#N/A")</f>
        <v>#N/A</v>
      </c>
      <c r="Q3456" s="7">
        <v>13.5</v>
      </c>
      <c r="R3456" s="7" t="str">
        <f ca="1">IFERROR(__xludf.DUMMYFUNCTION("IMPORTXML(E3456,""/html/body/main/div[3]/div[3]/div[2]/ul/li[7]/span[2]/span"")"),"Loading...")</f>
        <v>Loading...</v>
      </c>
      <c r="S3456" s="7" t="str">
        <f ca="1">IFERROR(__xludf.DUMMYFUNCTION("IMPORTXML(E3456,""/html/body/main/div[3]/div[3]/div[2]/ul/li[8]/span[2]/span"")"),"Loading...")</f>
        <v>Loading...</v>
      </c>
      <c r="T3456" s="4">
        <v>34.6</v>
      </c>
      <c r="U3456" s="4">
        <v>22.7</v>
      </c>
      <c r="V3456" s="4">
        <v>2.6</v>
      </c>
      <c r="W3456" s="4">
        <v>5.7</v>
      </c>
      <c r="X3456" s="4">
        <v>519.92999999999995</v>
      </c>
      <c r="Y3456" s="7" t="e">
        <f t="shared" ca="1" si="69"/>
        <v>#VALUE!</v>
      </c>
    </row>
    <row r="3457" spans="1:25" ht="15" x14ac:dyDescent="0.25">
      <c r="A3457" s="4">
        <v>3449</v>
      </c>
      <c r="C3457" s="41" t="s">
        <v>5803</v>
      </c>
      <c r="D3457" s="42"/>
      <c r="E3457" s="5" t="str">
        <f t="shared" si="65"/>
        <v>https://www.screener.in/company//consolidated/</v>
      </c>
      <c r="F3457" s="4">
        <v>443059</v>
      </c>
      <c r="G3457" s="4">
        <v>3832241897</v>
      </c>
      <c r="H3457" s="6" t="e">
        <f t="shared" ca="1" si="66"/>
        <v>#VALUE!</v>
      </c>
      <c r="I3457" s="7" t="str">
        <f ca="1">IFERROR(__xludf.DUMMYFUNCTION("IMPORTXML(E3457,""/html/body/main/div[3]/div[3]/div[2]/ul/li[5]/span[2]/span"")"),"Loading...")</f>
        <v>Loading...</v>
      </c>
      <c r="J3457" s="7" t="str">
        <f ca="1">IFERROR(__xludf.DUMMYFUNCTION("GOOGLEFINANCE(""NSE:""&amp;D3457,""marketcap"")"),"#N/A")</f>
        <v>#N/A</v>
      </c>
      <c r="K3457" s="7">
        <v>992.8</v>
      </c>
      <c r="L3457" s="8" t="str">
        <f ca="1">IFERROR(__xludf.DUMMYFUNCTION("GOOGLEFINANCE(""NSE:""&amp;D3457,""price"")"),"#N/A")</f>
        <v>#N/A</v>
      </c>
      <c r="M3457" s="9" t="e">
        <f t="shared" ca="1" si="67"/>
        <v>#VALUE!</v>
      </c>
      <c r="N3457" s="10" t="e">
        <f t="shared" ca="1" si="68"/>
        <v>#VALUE!</v>
      </c>
      <c r="O3457" s="7" t="str">
        <f ca="1">IFERROR(__xludf.DUMMYFUNCTION("GOOGLEFINANCE(""NSE:""&amp;D3457,""pe"")"),"#N/A")</f>
        <v>#N/A</v>
      </c>
      <c r="P3457" s="7" t="str">
        <f ca="1">IFERROR(__xludf.DUMMYFUNCTION("GOOGLEFINANCE(""NSE:""&amp;D3457,""EPS"")"),"#N/A")</f>
        <v>#N/A</v>
      </c>
      <c r="Q3457" s="7">
        <v>13.5</v>
      </c>
      <c r="R3457" s="7" t="str">
        <f ca="1">IFERROR(__xludf.DUMMYFUNCTION("IMPORTXML(E3457,""/html/body/main/div[3]/div[3]/div[2]/ul/li[7]/span[2]/span"")"),"Loading...")</f>
        <v>Loading...</v>
      </c>
      <c r="S3457" s="7" t="str">
        <f ca="1">IFERROR(__xludf.DUMMYFUNCTION("IMPORTXML(E3457,""/html/body/main/div[3]/div[3]/div[2]/ul/li[8]/span[2]/span"")"),"Loading...")</f>
        <v>Loading...</v>
      </c>
      <c r="T3457" s="4">
        <v>34.6</v>
      </c>
      <c r="U3457" s="4">
        <v>22.7</v>
      </c>
      <c r="V3457" s="4">
        <v>2.6</v>
      </c>
      <c r="W3457" s="4">
        <v>5.7</v>
      </c>
      <c r="X3457" s="4">
        <v>519.92999999999995</v>
      </c>
      <c r="Y3457" s="7" t="e">
        <f t="shared" ca="1" si="69"/>
        <v>#VALUE!</v>
      </c>
    </row>
    <row r="3458" spans="1:25" ht="15" x14ac:dyDescent="0.25">
      <c r="A3458" s="4">
        <v>3450</v>
      </c>
      <c r="C3458" s="41" t="s">
        <v>5804</v>
      </c>
      <c r="D3458" s="42"/>
      <c r="E3458" s="5" t="str">
        <f t="shared" si="65"/>
        <v>https://www.screener.in/company//consolidated/</v>
      </c>
      <c r="F3458" s="4">
        <v>443059</v>
      </c>
      <c r="G3458" s="4">
        <v>3832241897</v>
      </c>
      <c r="H3458" s="6" t="e">
        <f t="shared" ca="1" si="66"/>
        <v>#VALUE!</v>
      </c>
      <c r="I3458" s="7" t="str">
        <f ca="1">IFERROR(__xludf.DUMMYFUNCTION("IMPORTXML(E3458,""/html/body/main/div[3]/div[3]/div[2]/ul/li[5]/span[2]/span"")"),"Loading...")</f>
        <v>Loading...</v>
      </c>
      <c r="J3458" s="7" t="str">
        <f ca="1">IFERROR(__xludf.DUMMYFUNCTION("GOOGLEFINANCE(""NSE:""&amp;D3458,""marketcap"")"),"#N/A")</f>
        <v>#N/A</v>
      </c>
      <c r="K3458" s="7">
        <v>992.8</v>
      </c>
      <c r="L3458" s="8" t="str">
        <f ca="1">IFERROR(__xludf.DUMMYFUNCTION("GOOGLEFINANCE(""NSE:""&amp;D3458,""price"")"),"#N/A")</f>
        <v>#N/A</v>
      </c>
      <c r="M3458" s="9" t="e">
        <f t="shared" ca="1" si="67"/>
        <v>#VALUE!</v>
      </c>
      <c r="N3458" s="10" t="e">
        <f t="shared" ca="1" si="68"/>
        <v>#VALUE!</v>
      </c>
      <c r="O3458" s="7" t="str">
        <f ca="1">IFERROR(__xludf.DUMMYFUNCTION("GOOGLEFINANCE(""NSE:""&amp;D3458,""pe"")"),"#N/A")</f>
        <v>#N/A</v>
      </c>
      <c r="P3458" s="7" t="str">
        <f ca="1">IFERROR(__xludf.DUMMYFUNCTION("GOOGLEFINANCE(""NSE:""&amp;D3458,""EPS"")"),"#N/A")</f>
        <v>#N/A</v>
      </c>
      <c r="Q3458" s="7">
        <v>13.5</v>
      </c>
      <c r="R3458" s="7" t="str">
        <f ca="1">IFERROR(__xludf.DUMMYFUNCTION("IMPORTXML(E3458,""/html/body/main/div[3]/div[3]/div[2]/ul/li[7]/span[2]/span"")"),"Loading...")</f>
        <v>Loading...</v>
      </c>
      <c r="S3458" s="7" t="str">
        <f ca="1">IFERROR(__xludf.DUMMYFUNCTION("IMPORTXML(E3458,""/html/body/main/div[3]/div[3]/div[2]/ul/li[8]/span[2]/span"")"),"Loading...")</f>
        <v>Loading...</v>
      </c>
      <c r="T3458" s="4">
        <v>34.6</v>
      </c>
      <c r="U3458" s="4">
        <v>22.7</v>
      </c>
      <c r="V3458" s="4">
        <v>2.6</v>
      </c>
      <c r="W3458" s="4">
        <v>5.7</v>
      </c>
      <c r="X3458" s="4">
        <v>519.92999999999995</v>
      </c>
      <c r="Y3458" s="7" t="e">
        <f t="shared" ca="1" si="69"/>
        <v>#VALUE!</v>
      </c>
    </row>
    <row r="3459" spans="1:25" ht="15" x14ac:dyDescent="0.25">
      <c r="A3459" s="4">
        <v>3451</v>
      </c>
      <c r="C3459" s="41" t="s">
        <v>5805</v>
      </c>
      <c r="D3459" s="42"/>
      <c r="E3459" s="5" t="str">
        <f t="shared" si="65"/>
        <v>https://www.screener.in/company//consolidated/</v>
      </c>
      <c r="F3459" s="4">
        <v>443059</v>
      </c>
      <c r="G3459" s="4">
        <v>3832241897</v>
      </c>
      <c r="H3459" s="6" t="e">
        <f t="shared" ca="1" si="66"/>
        <v>#VALUE!</v>
      </c>
      <c r="I3459" s="7" t="str">
        <f ca="1">IFERROR(__xludf.DUMMYFUNCTION("IMPORTXML(E3459,""/html/body/main/div[3]/div[3]/div[2]/ul/li[5]/span[2]/span"")"),"Loading...")</f>
        <v>Loading...</v>
      </c>
      <c r="J3459" s="7" t="str">
        <f ca="1">IFERROR(__xludf.DUMMYFUNCTION("GOOGLEFINANCE(""NSE:""&amp;D3459,""marketcap"")"),"#N/A")</f>
        <v>#N/A</v>
      </c>
      <c r="K3459" s="7">
        <v>992.8</v>
      </c>
      <c r="L3459" s="8" t="str">
        <f ca="1">IFERROR(__xludf.DUMMYFUNCTION("GOOGLEFINANCE(""NSE:""&amp;D3459,""price"")"),"#N/A")</f>
        <v>#N/A</v>
      </c>
      <c r="M3459" s="9" t="e">
        <f t="shared" ca="1" si="67"/>
        <v>#VALUE!</v>
      </c>
      <c r="N3459" s="10" t="e">
        <f t="shared" ca="1" si="68"/>
        <v>#VALUE!</v>
      </c>
      <c r="O3459" s="7" t="str">
        <f ca="1">IFERROR(__xludf.DUMMYFUNCTION("GOOGLEFINANCE(""NSE:""&amp;D3459,""pe"")"),"#N/A")</f>
        <v>#N/A</v>
      </c>
      <c r="P3459" s="7" t="str">
        <f ca="1">IFERROR(__xludf.DUMMYFUNCTION("GOOGLEFINANCE(""NSE:""&amp;D3459,""EPS"")"),"#N/A")</f>
        <v>#N/A</v>
      </c>
      <c r="Q3459" s="7">
        <v>13.5</v>
      </c>
      <c r="R3459" s="7" t="str">
        <f ca="1">IFERROR(__xludf.DUMMYFUNCTION("IMPORTXML(E3459,""/html/body/main/div[3]/div[3]/div[2]/ul/li[7]/span[2]/span"")"),"Loading...")</f>
        <v>Loading...</v>
      </c>
      <c r="S3459" s="7" t="str">
        <f ca="1">IFERROR(__xludf.DUMMYFUNCTION("IMPORTXML(E3459,""/html/body/main/div[3]/div[3]/div[2]/ul/li[8]/span[2]/span"")"),"Loading...")</f>
        <v>Loading...</v>
      </c>
      <c r="T3459" s="4">
        <v>34.6</v>
      </c>
      <c r="U3459" s="4">
        <v>22.7</v>
      </c>
      <c r="V3459" s="4">
        <v>2.6</v>
      </c>
      <c r="W3459" s="4">
        <v>5.7</v>
      </c>
      <c r="X3459" s="4">
        <v>519.92999999999995</v>
      </c>
      <c r="Y3459" s="7" t="e">
        <f t="shared" ca="1" si="69"/>
        <v>#VALUE!</v>
      </c>
    </row>
    <row r="3460" spans="1:25" ht="15" x14ac:dyDescent="0.25">
      <c r="A3460" s="4">
        <v>3452</v>
      </c>
      <c r="C3460" s="41" t="s">
        <v>5806</v>
      </c>
      <c r="D3460" s="42"/>
      <c r="E3460" s="5" t="str">
        <f t="shared" si="65"/>
        <v>https://www.screener.in/company//consolidated/</v>
      </c>
      <c r="F3460" s="4">
        <v>443059</v>
      </c>
      <c r="G3460" s="4">
        <v>3832241897</v>
      </c>
      <c r="H3460" s="6" t="e">
        <f t="shared" ca="1" si="66"/>
        <v>#VALUE!</v>
      </c>
      <c r="I3460" s="7" t="str">
        <f ca="1">IFERROR(__xludf.DUMMYFUNCTION("IMPORTXML(E3460,""/html/body/main/div[3]/div[3]/div[2]/ul/li[5]/span[2]/span"")"),"Loading...")</f>
        <v>Loading...</v>
      </c>
      <c r="J3460" s="7" t="str">
        <f ca="1">IFERROR(__xludf.DUMMYFUNCTION("GOOGLEFINANCE(""NSE:""&amp;D3460,""marketcap"")"),"#N/A")</f>
        <v>#N/A</v>
      </c>
      <c r="K3460" s="7">
        <v>992.8</v>
      </c>
      <c r="L3460" s="8" t="str">
        <f ca="1">IFERROR(__xludf.DUMMYFUNCTION("GOOGLEFINANCE(""NSE:""&amp;D3460,""price"")"),"#N/A")</f>
        <v>#N/A</v>
      </c>
      <c r="M3460" s="9" t="e">
        <f t="shared" ca="1" si="67"/>
        <v>#VALUE!</v>
      </c>
      <c r="N3460" s="10" t="e">
        <f t="shared" ca="1" si="68"/>
        <v>#VALUE!</v>
      </c>
      <c r="O3460" s="7" t="str">
        <f ca="1">IFERROR(__xludf.DUMMYFUNCTION("GOOGLEFINANCE(""NSE:""&amp;D3460,""pe"")"),"#N/A")</f>
        <v>#N/A</v>
      </c>
      <c r="P3460" s="7" t="str">
        <f ca="1">IFERROR(__xludf.DUMMYFUNCTION("GOOGLEFINANCE(""NSE:""&amp;D3460,""EPS"")"),"#N/A")</f>
        <v>#N/A</v>
      </c>
      <c r="Q3460" s="7">
        <v>13.5</v>
      </c>
      <c r="R3460" s="7" t="str">
        <f ca="1">IFERROR(__xludf.DUMMYFUNCTION("IMPORTXML(E3460,""/html/body/main/div[3]/div[3]/div[2]/ul/li[7]/span[2]/span"")"),"Loading...")</f>
        <v>Loading...</v>
      </c>
      <c r="S3460" s="7" t="str">
        <f ca="1">IFERROR(__xludf.DUMMYFUNCTION("IMPORTXML(E3460,""/html/body/main/div[3]/div[3]/div[2]/ul/li[8]/span[2]/span"")"),"Loading...")</f>
        <v>Loading...</v>
      </c>
      <c r="T3460" s="4">
        <v>34.6</v>
      </c>
      <c r="U3460" s="4">
        <v>22.7</v>
      </c>
      <c r="V3460" s="4">
        <v>2.6</v>
      </c>
      <c r="W3460" s="4">
        <v>5.7</v>
      </c>
      <c r="X3460" s="4">
        <v>519.92999999999995</v>
      </c>
      <c r="Y3460" s="7" t="e">
        <f t="shared" ca="1" si="69"/>
        <v>#VALUE!</v>
      </c>
    </row>
    <row r="3461" spans="1:25" ht="15" x14ac:dyDescent="0.25">
      <c r="A3461" s="4">
        <v>3453</v>
      </c>
      <c r="C3461" s="12" t="s">
        <v>5807</v>
      </c>
      <c r="D3461" s="12" t="s">
        <v>5808</v>
      </c>
      <c r="E3461" s="5" t="str">
        <f t="shared" si="65"/>
        <v>https://www.screener.in/company/MTEDUCARE/consolidated/</v>
      </c>
      <c r="F3461" s="4">
        <v>443059</v>
      </c>
      <c r="G3461" s="4">
        <v>3832241897</v>
      </c>
      <c r="H3461" s="6">
        <f t="shared" ca="1" si="66"/>
        <v>766.44837940000002</v>
      </c>
      <c r="I3461" s="7" t="str">
        <f ca="1">IFERROR(__xludf.DUMMYFUNCTION("IMPORTXML(E3461,""/html/body/main/div[3]/div[3]/div[2]/ul/li[5]/span[2]/span"")"),"Loading...")</f>
        <v>Loading...</v>
      </c>
      <c r="J3461" s="7">
        <f ca="1">IFERROR(__xludf.DUMMYFUNCTION("GOOGLEFINANCE(""NSE:""&amp;D3461,""marketcap"")"),143733800)</f>
        <v>143733800</v>
      </c>
      <c r="K3461" s="7">
        <v>992.8</v>
      </c>
      <c r="L3461" s="8">
        <f ca="1">IFERROR(__xludf.DUMMYFUNCTION("GOOGLEFINANCE(""NSE:""&amp;D3461,""price"")"),2)</f>
        <v>2</v>
      </c>
      <c r="M3461" s="9">
        <f t="shared" ca="1" si="67"/>
        <v>-990.8</v>
      </c>
      <c r="N3461" s="10">
        <f t="shared" ca="1" si="68"/>
        <v>-99.798549556809022</v>
      </c>
      <c r="O3461" s="7" t="str">
        <f ca="1">IFERROR(__xludf.DUMMYFUNCTION("GOOGLEFINANCE(""NSE:""&amp;D3461,""pe"")"),"#N/A")</f>
        <v>#N/A</v>
      </c>
      <c r="P3461" s="7">
        <f ca="1">IFERROR(__xludf.DUMMYFUNCTION("GOOGLEFINANCE(""NSE:""&amp;D3461,""EPS"")"),-4.6)</f>
        <v>-4.5999999999999996</v>
      </c>
      <c r="Q3461" s="7">
        <v>13.5</v>
      </c>
      <c r="R3461" s="7" t="str">
        <f ca="1">IFERROR(__xludf.DUMMYFUNCTION("IMPORTXML(E3461,""/html/body/main/div[3]/div[3]/div[2]/ul/li[7]/span[2]/span"")"),"Loading...")</f>
        <v>Loading...</v>
      </c>
      <c r="S3461" s="7" t="str">
        <f ca="1">IFERROR(__xludf.DUMMYFUNCTION("IMPORTXML(E3461,""/html/body/main/div[3]/div[3]/div[2]/ul/li[8]/span[2]/span"")"),"Loading...")</f>
        <v>Loading...</v>
      </c>
      <c r="T3461" s="4">
        <v>34.6</v>
      </c>
      <c r="U3461" s="4">
        <v>22.7</v>
      </c>
      <c r="V3461" s="4">
        <v>2.6</v>
      </c>
      <c r="W3461" s="4">
        <v>5.7</v>
      </c>
      <c r="X3461" s="4">
        <v>519.92999999999995</v>
      </c>
      <c r="Y3461" s="7">
        <f t="shared" ca="1" si="69"/>
        <v>-517.92999999999995</v>
      </c>
    </row>
    <row r="3462" spans="1:25" ht="15" x14ac:dyDescent="0.25">
      <c r="A3462" s="4">
        <v>3454</v>
      </c>
      <c r="C3462" s="41" t="s">
        <v>5809</v>
      </c>
      <c r="D3462" s="42"/>
      <c r="E3462" s="5" t="str">
        <f t="shared" si="65"/>
        <v>https://www.screener.in/company//consolidated/</v>
      </c>
      <c r="F3462" s="4">
        <v>443059</v>
      </c>
      <c r="G3462" s="4">
        <v>3832241897</v>
      </c>
      <c r="H3462" s="6" t="e">
        <f t="shared" ca="1" si="66"/>
        <v>#VALUE!</v>
      </c>
      <c r="I3462" s="7" t="str">
        <f ca="1">IFERROR(__xludf.DUMMYFUNCTION("IMPORTXML(E3462,""/html/body/main/div[3]/div[3]/div[2]/ul/li[5]/span[2]/span"")"),"Loading...")</f>
        <v>Loading...</v>
      </c>
      <c r="J3462" s="7" t="str">
        <f ca="1">IFERROR(__xludf.DUMMYFUNCTION("GOOGLEFINANCE(""NSE:""&amp;D3462,""marketcap"")"),"#N/A")</f>
        <v>#N/A</v>
      </c>
      <c r="K3462" s="7">
        <v>992.8</v>
      </c>
      <c r="L3462" s="8" t="str">
        <f ca="1">IFERROR(__xludf.DUMMYFUNCTION("GOOGLEFINANCE(""NSE:""&amp;D3462,""price"")"),"#N/A")</f>
        <v>#N/A</v>
      </c>
      <c r="M3462" s="9" t="e">
        <f t="shared" ca="1" si="67"/>
        <v>#VALUE!</v>
      </c>
      <c r="N3462" s="10" t="e">
        <f t="shared" ca="1" si="68"/>
        <v>#VALUE!</v>
      </c>
      <c r="O3462" s="7" t="str">
        <f ca="1">IFERROR(__xludf.DUMMYFUNCTION("GOOGLEFINANCE(""NSE:""&amp;D3462,""pe"")"),"#N/A")</f>
        <v>#N/A</v>
      </c>
      <c r="P3462" s="7" t="str">
        <f ca="1">IFERROR(__xludf.DUMMYFUNCTION("GOOGLEFINANCE(""NSE:""&amp;D3462,""EPS"")"),"#N/A")</f>
        <v>#N/A</v>
      </c>
      <c r="Q3462" s="7">
        <v>13.5</v>
      </c>
      <c r="R3462" s="7" t="str">
        <f ca="1">IFERROR(__xludf.DUMMYFUNCTION("IMPORTXML(E3462,""/html/body/main/div[3]/div[3]/div[2]/ul/li[7]/span[2]/span"")"),"Loading...")</f>
        <v>Loading...</v>
      </c>
      <c r="S3462" s="7" t="str">
        <f ca="1">IFERROR(__xludf.DUMMYFUNCTION("IMPORTXML(E3462,""/html/body/main/div[3]/div[3]/div[2]/ul/li[8]/span[2]/span"")"),"Loading...")</f>
        <v>Loading...</v>
      </c>
      <c r="T3462" s="4">
        <v>34.6</v>
      </c>
      <c r="U3462" s="4">
        <v>22.7</v>
      </c>
      <c r="V3462" s="4">
        <v>2.6</v>
      </c>
      <c r="W3462" s="4">
        <v>5.7</v>
      </c>
      <c r="X3462" s="4">
        <v>519.92999999999995</v>
      </c>
      <c r="Y3462" s="7" t="e">
        <f t="shared" ca="1" si="69"/>
        <v>#VALUE!</v>
      </c>
    </row>
    <row r="3463" spans="1:25" ht="15" x14ac:dyDescent="0.25">
      <c r="A3463" s="4">
        <v>3455</v>
      </c>
      <c r="C3463" s="41" t="s">
        <v>5810</v>
      </c>
      <c r="D3463" s="42"/>
      <c r="E3463" s="5" t="str">
        <f t="shared" si="65"/>
        <v>https://www.screener.in/company//consolidated/</v>
      </c>
      <c r="F3463" s="4">
        <v>443059</v>
      </c>
      <c r="G3463" s="4">
        <v>3832241897</v>
      </c>
      <c r="H3463" s="6" t="e">
        <f t="shared" ca="1" si="66"/>
        <v>#VALUE!</v>
      </c>
      <c r="I3463" s="7" t="str">
        <f ca="1">IFERROR(__xludf.DUMMYFUNCTION("IMPORTXML(E3463,""/html/body/main/div[3]/div[3]/div[2]/ul/li[5]/span[2]/span"")"),"Loading...")</f>
        <v>Loading...</v>
      </c>
      <c r="J3463" s="7" t="str">
        <f ca="1">IFERROR(__xludf.DUMMYFUNCTION("GOOGLEFINANCE(""NSE:""&amp;D3463,""marketcap"")"),"#N/A")</f>
        <v>#N/A</v>
      </c>
      <c r="K3463" s="7">
        <v>992.8</v>
      </c>
      <c r="L3463" s="8" t="str">
        <f ca="1">IFERROR(__xludf.DUMMYFUNCTION("GOOGLEFINANCE(""NSE:""&amp;D3463,""price"")"),"#N/A")</f>
        <v>#N/A</v>
      </c>
      <c r="M3463" s="9" t="e">
        <f t="shared" ca="1" si="67"/>
        <v>#VALUE!</v>
      </c>
      <c r="N3463" s="10" t="e">
        <f t="shared" ca="1" si="68"/>
        <v>#VALUE!</v>
      </c>
      <c r="O3463" s="7" t="str">
        <f ca="1">IFERROR(__xludf.DUMMYFUNCTION("GOOGLEFINANCE(""NSE:""&amp;D3463,""pe"")"),"#N/A")</f>
        <v>#N/A</v>
      </c>
      <c r="P3463" s="7" t="str">
        <f ca="1">IFERROR(__xludf.DUMMYFUNCTION("GOOGLEFINANCE(""NSE:""&amp;D3463,""EPS"")"),"#N/A")</f>
        <v>#N/A</v>
      </c>
      <c r="Q3463" s="7">
        <v>13.5</v>
      </c>
      <c r="R3463" s="7" t="str">
        <f ca="1">IFERROR(__xludf.DUMMYFUNCTION("IMPORTXML(E3463,""/html/body/main/div[3]/div[3]/div[2]/ul/li[7]/span[2]/span"")"),"Loading...")</f>
        <v>Loading...</v>
      </c>
      <c r="S3463" s="7" t="str">
        <f ca="1">IFERROR(__xludf.DUMMYFUNCTION("IMPORTXML(E3463,""/html/body/main/div[3]/div[3]/div[2]/ul/li[8]/span[2]/span"")"),"Loading...")</f>
        <v>Loading...</v>
      </c>
      <c r="T3463" s="4">
        <v>34.6</v>
      </c>
      <c r="U3463" s="4">
        <v>22.7</v>
      </c>
      <c r="V3463" s="4">
        <v>2.6</v>
      </c>
      <c r="W3463" s="4">
        <v>5.7</v>
      </c>
      <c r="X3463" s="4">
        <v>519.92999999999995</v>
      </c>
      <c r="Y3463" s="7" t="e">
        <f t="shared" ca="1" si="69"/>
        <v>#VALUE!</v>
      </c>
    </row>
    <row r="3464" spans="1:25" ht="15" x14ac:dyDescent="0.25">
      <c r="A3464" s="4">
        <v>3456</v>
      </c>
      <c r="C3464" s="41" t="s">
        <v>5811</v>
      </c>
      <c r="D3464" s="42"/>
      <c r="E3464" s="5" t="str">
        <f t="shared" si="65"/>
        <v>https://www.screener.in/company//consolidated/</v>
      </c>
      <c r="F3464" s="4">
        <v>443059</v>
      </c>
      <c r="G3464" s="4">
        <v>3832241897</v>
      </c>
      <c r="H3464" s="6" t="e">
        <f t="shared" ca="1" si="66"/>
        <v>#VALUE!</v>
      </c>
      <c r="I3464" s="7" t="str">
        <f ca="1">IFERROR(__xludf.DUMMYFUNCTION("IMPORTXML(E3464,""/html/body/main/div[3]/div[3]/div[2]/ul/li[5]/span[2]/span"")"),"Loading...")</f>
        <v>Loading...</v>
      </c>
      <c r="J3464" s="7" t="str">
        <f ca="1">IFERROR(__xludf.DUMMYFUNCTION("GOOGLEFINANCE(""NSE:""&amp;D3464,""marketcap"")"),"#N/A")</f>
        <v>#N/A</v>
      </c>
      <c r="K3464" s="7">
        <v>992.8</v>
      </c>
      <c r="L3464" s="8" t="str">
        <f ca="1">IFERROR(__xludf.DUMMYFUNCTION("GOOGLEFINANCE(""NSE:""&amp;D3464,""price"")"),"#N/A")</f>
        <v>#N/A</v>
      </c>
      <c r="M3464" s="9" t="e">
        <f t="shared" ca="1" si="67"/>
        <v>#VALUE!</v>
      </c>
      <c r="N3464" s="10" t="e">
        <f t="shared" ca="1" si="68"/>
        <v>#VALUE!</v>
      </c>
      <c r="O3464" s="7" t="str">
        <f ca="1">IFERROR(__xludf.DUMMYFUNCTION("GOOGLEFINANCE(""NSE:""&amp;D3464,""pe"")"),"#N/A")</f>
        <v>#N/A</v>
      </c>
      <c r="P3464" s="7" t="str">
        <f ca="1">IFERROR(__xludf.DUMMYFUNCTION("GOOGLEFINANCE(""NSE:""&amp;D3464,""EPS"")"),"#N/A")</f>
        <v>#N/A</v>
      </c>
      <c r="Q3464" s="7">
        <v>13.5</v>
      </c>
      <c r="R3464" s="7" t="str">
        <f ca="1">IFERROR(__xludf.DUMMYFUNCTION("IMPORTXML(E3464,""/html/body/main/div[3]/div[3]/div[2]/ul/li[7]/span[2]/span"")"),"Loading...")</f>
        <v>Loading...</v>
      </c>
      <c r="S3464" s="7" t="str">
        <f ca="1">IFERROR(__xludf.DUMMYFUNCTION("IMPORTXML(E3464,""/html/body/main/div[3]/div[3]/div[2]/ul/li[8]/span[2]/span"")"),"Loading...")</f>
        <v>Loading...</v>
      </c>
      <c r="T3464" s="4">
        <v>34.6</v>
      </c>
      <c r="U3464" s="4">
        <v>22.7</v>
      </c>
      <c r="V3464" s="4">
        <v>2.6</v>
      </c>
      <c r="W3464" s="4">
        <v>5.7</v>
      </c>
      <c r="X3464" s="4">
        <v>519.92999999999995</v>
      </c>
      <c r="Y3464" s="7" t="e">
        <f t="shared" ca="1" si="69"/>
        <v>#VALUE!</v>
      </c>
    </row>
    <row r="3465" spans="1:25" ht="15" x14ac:dyDescent="0.25">
      <c r="A3465" s="4">
        <v>3457</v>
      </c>
      <c r="C3465" s="41" t="s">
        <v>5812</v>
      </c>
      <c r="D3465" s="42"/>
      <c r="E3465" s="5" t="str">
        <f t="shared" si="65"/>
        <v>https://www.screener.in/company//consolidated/</v>
      </c>
      <c r="F3465" s="4">
        <v>443059</v>
      </c>
      <c r="G3465" s="4">
        <v>3832241897</v>
      </c>
      <c r="H3465" s="6" t="e">
        <f t="shared" ca="1" si="66"/>
        <v>#VALUE!</v>
      </c>
      <c r="I3465" s="7" t="str">
        <f ca="1">IFERROR(__xludf.DUMMYFUNCTION("IMPORTXML(E3465,""/html/body/main/div[3]/div[3]/div[2]/ul/li[5]/span[2]/span"")"),"Loading...")</f>
        <v>Loading...</v>
      </c>
      <c r="J3465" s="7" t="str">
        <f ca="1">IFERROR(__xludf.DUMMYFUNCTION("GOOGLEFINANCE(""NSE:""&amp;D3465,""marketcap"")"),"#N/A")</f>
        <v>#N/A</v>
      </c>
      <c r="K3465" s="7">
        <v>992.8</v>
      </c>
      <c r="L3465" s="8" t="str">
        <f ca="1">IFERROR(__xludf.DUMMYFUNCTION("GOOGLEFINANCE(""NSE:""&amp;D3465,""price"")"),"#N/A")</f>
        <v>#N/A</v>
      </c>
      <c r="M3465" s="9" t="e">
        <f t="shared" ca="1" si="67"/>
        <v>#VALUE!</v>
      </c>
      <c r="N3465" s="10" t="e">
        <f t="shared" ca="1" si="68"/>
        <v>#VALUE!</v>
      </c>
      <c r="O3465" s="7" t="str">
        <f ca="1">IFERROR(__xludf.DUMMYFUNCTION("GOOGLEFINANCE(""NSE:""&amp;D3465,""pe"")"),"#N/A")</f>
        <v>#N/A</v>
      </c>
      <c r="P3465" s="7" t="str">
        <f ca="1">IFERROR(__xludf.DUMMYFUNCTION("GOOGLEFINANCE(""NSE:""&amp;D3465,""EPS"")"),"#N/A")</f>
        <v>#N/A</v>
      </c>
      <c r="Q3465" s="7">
        <v>13.5</v>
      </c>
      <c r="R3465" s="7" t="str">
        <f ca="1">IFERROR(__xludf.DUMMYFUNCTION("IMPORTXML(E3465,""/html/body/main/div[3]/div[3]/div[2]/ul/li[7]/span[2]/span"")"),"Loading...")</f>
        <v>Loading...</v>
      </c>
      <c r="S3465" s="7" t="str">
        <f ca="1">IFERROR(__xludf.DUMMYFUNCTION("IMPORTXML(E3465,""/html/body/main/div[3]/div[3]/div[2]/ul/li[8]/span[2]/span"")"),"Loading...")</f>
        <v>Loading...</v>
      </c>
      <c r="T3465" s="4">
        <v>34.6</v>
      </c>
      <c r="U3465" s="4">
        <v>22.7</v>
      </c>
      <c r="V3465" s="4">
        <v>2.6</v>
      </c>
      <c r="W3465" s="4">
        <v>5.7</v>
      </c>
      <c r="X3465" s="4">
        <v>519.92999999999995</v>
      </c>
      <c r="Y3465" s="7" t="e">
        <f t="shared" ca="1" si="69"/>
        <v>#VALUE!</v>
      </c>
    </row>
    <row r="3466" spans="1:25" ht="15" x14ac:dyDescent="0.25">
      <c r="A3466" s="4">
        <v>3458</v>
      </c>
      <c r="C3466" s="41" t="s">
        <v>5813</v>
      </c>
      <c r="D3466" s="42"/>
      <c r="E3466" s="5" t="str">
        <f t="shared" si="65"/>
        <v>https://www.screener.in/company//consolidated/</v>
      </c>
      <c r="F3466" s="4">
        <v>443059</v>
      </c>
      <c r="G3466" s="4">
        <v>3832241897</v>
      </c>
      <c r="H3466" s="6" t="e">
        <f t="shared" ca="1" si="66"/>
        <v>#VALUE!</v>
      </c>
      <c r="I3466" s="7" t="str">
        <f ca="1">IFERROR(__xludf.DUMMYFUNCTION("IMPORTXML(E3466,""/html/body/main/div[3]/div[3]/div[2]/ul/li[5]/span[2]/span"")"),"Loading...")</f>
        <v>Loading...</v>
      </c>
      <c r="J3466" s="7" t="str">
        <f ca="1">IFERROR(__xludf.DUMMYFUNCTION("GOOGLEFINANCE(""NSE:""&amp;D3466,""marketcap"")"),"#N/A")</f>
        <v>#N/A</v>
      </c>
      <c r="K3466" s="7">
        <v>992.8</v>
      </c>
      <c r="L3466" s="8" t="str">
        <f ca="1">IFERROR(__xludf.DUMMYFUNCTION("GOOGLEFINANCE(""NSE:""&amp;D3466,""price"")"),"#N/A")</f>
        <v>#N/A</v>
      </c>
      <c r="M3466" s="9" t="e">
        <f t="shared" ca="1" si="67"/>
        <v>#VALUE!</v>
      </c>
      <c r="N3466" s="10" t="e">
        <f t="shared" ca="1" si="68"/>
        <v>#VALUE!</v>
      </c>
      <c r="O3466" s="7" t="str">
        <f ca="1">IFERROR(__xludf.DUMMYFUNCTION("GOOGLEFINANCE(""NSE:""&amp;D3466,""pe"")"),"#N/A")</f>
        <v>#N/A</v>
      </c>
      <c r="P3466" s="7" t="str">
        <f ca="1">IFERROR(__xludf.DUMMYFUNCTION("GOOGLEFINANCE(""NSE:""&amp;D3466,""EPS"")"),"#N/A")</f>
        <v>#N/A</v>
      </c>
      <c r="Q3466" s="7">
        <v>13.5</v>
      </c>
      <c r="R3466" s="7" t="str">
        <f ca="1">IFERROR(__xludf.DUMMYFUNCTION("IMPORTXML(E3466,""/html/body/main/div[3]/div[3]/div[2]/ul/li[7]/span[2]/span"")"),"Loading...")</f>
        <v>Loading...</v>
      </c>
      <c r="S3466" s="7" t="str">
        <f ca="1">IFERROR(__xludf.DUMMYFUNCTION("IMPORTXML(E3466,""/html/body/main/div[3]/div[3]/div[2]/ul/li[8]/span[2]/span"")"),"Loading...")</f>
        <v>Loading...</v>
      </c>
      <c r="T3466" s="4">
        <v>34.6</v>
      </c>
      <c r="U3466" s="4">
        <v>22.7</v>
      </c>
      <c r="V3466" s="4">
        <v>2.6</v>
      </c>
      <c r="W3466" s="4">
        <v>5.7</v>
      </c>
      <c r="X3466" s="4">
        <v>519.92999999999995</v>
      </c>
      <c r="Y3466" s="7" t="e">
        <f t="shared" ca="1" si="69"/>
        <v>#VALUE!</v>
      </c>
    </row>
    <row r="3467" spans="1:25" ht="15" x14ac:dyDescent="0.25">
      <c r="A3467" s="4">
        <v>3459</v>
      </c>
      <c r="C3467" s="41" t="s">
        <v>5814</v>
      </c>
      <c r="D3467" s="42"/>
      <c r="E3467" s="5" t="str">
        <f t="shared" si="65"/>
        <v>https://www.screener.in/company//consolidated/</v>
      </c>
      <c r="F3467" s="4">
        <v>443059</v>
      </c>
      <c r="G3467" s="4">
        <v>3832241897</v>
      </c>
      <c r="H3467" s="6" t="e">
        <f t="shared" ca="1" si="66"/>
        <v>#VALUE!</v>
      </c>
      <c r="I3467" s="7" t="str">
        <f ca="1">IFERROR(__xludf.DUMMYFUNCTION("IMPORTXML(E3467,""/html/body/main/div[3]/div[3]/div[2]/ul/li[5]/span[2]/span"")"),"Loading...")</f>
        <v>Loading...</v>
      </c>
      <c r="J3467" s="7" t="str">
        <f ca="1">IFERROR(__xludf.DUMMYFUNCTION("GOOGLEFINANCE(""NSE:""&amp;D3467,""marketcap"")"),"#N/A")</f>
        <v>#N/A</v>
      </c>
      <c r="K3467" s="7">
        <v>992.8</v>
      </c>
      <c r="L3467" s="8" t="str">
        <f ca="1">IFERROR(__xludf.DUMMYFUNCTION("GOOGLEFINANCE(""NSE:""&amp;D3467,""price"")"),"#N/A")</f>
        <v>#N/A</v>
      </c>
      <c r="M3467" s="9" t="e">
        <f t="shared" ca="1" si="67"/>
        <v>#VALUE!</v>
      </c>
      <c r="N3467" s="10" t="e">
        <f t="shared" ca="1" si="68"/>
        <v>#VALUE!</v>
      </c>
      <c r="O3467" s="7" t="str">
        <f ca="1">IFERROR(__xludf.DUMMYFUNCTION("GOOGLEFINANCE(""NSE:""&amp;D3467,""pe"")"),"#N/A")</f>
        <v>#N/A</v>
      </c>
      <c r="P3467" s="7" t="str">
        <f ca="1">IFERROR(__xludf.DUMMYFUNCTION("GOOGLEFINANCE(""NSE:""&amp;D3467,""EPS"")"),"#N/A")</f>
        <v>#N/A</v>
      </c>
      <c r="Q3467" s="7">
        <v>13.5</v>
      </c>
      <c r="R3467" s="7" t="str">
        <f ca="1">IFERROR(__xludf.DUMMYFUNCTION("IMPORTXML(E3467,""/html/body/main/div[3]/div[3]/div[2]/ul/li[7]/span[2]/span"")"),"Loading...")</f>
        <v>Loading...</v>
      </c>
      <c r="S3467" s="7" t="str">
        <f ca="1">IFERROR(__xludf.DUMMYFUNCTION("IMPORTXML(E3467,""/html/body/main/div[3]/div[3]/div[2]/ul/li[8]/span[2]/span"")"),"Loading...")</f>
        <v>Loading...</v>
      </c>
      <c r="T3467" s="4">
        <v>34.6</v>
      </c>
      <c r="U3467" s="4">
        <v>22.7</v>
      </c>
      <c r="V3467" s="4">
        <v>2.6</v>
      </c>
      <c r="W3467" s="4">
        <v>5.7</v>
      </c>
      <c r="X3467" s="4">
        <v>519.92999999999995</v>
      </c>
      <c r="Y3467" s="7" t="e">
        <f t="shared" ca="1" si="69"/>
        <v>#VALUE!</v>
      </c>
    </row>
    <row r="3468" spans="1:25" ht="15" x14ac:dyDescent="0.25">
      <c r="A3468" s="4">
        <v>3460</v>
      </c>
      <c r="C3468" s="41" t="s">
        <v>5815</v>
      </c>
      <c r="D3468" s="42"/>
      <c r="E3468" s="5" t="str">
        <f t="shared" si="65"/>
        <v>https://www.screener.in/company//consolidated/</v>
      </c>
      <c r="F3468" s="4">
        <v>443059</v>
      </c>
      <c r="G3468" s="4">
        <v>3832241897</v>
      </c>
      <c r="H3468" s="6" t="e">
        <f t="shared" ca="1" si="66"/>
        <v>#VALUE!</v>
      </c>
      <c r="I3468" s="7" t="str">
        <f ca="1">IFERROR(__xludf.DUMMYFUNCTION("IMPORTXML(E3468,""/html/body/main/div[3]/div[3]/div[2]/ul/li[5]/span[2]/span"")"),"Loading...")</f>
        <v>Loading...</v>
      </c>
      <c r="J3468" s="7" t="str">
        <f ca="1">IFERROR(__xludf.DUMMYFUNCTION("GOOGLEFINANCE(""NSE:""&amp;D3468,""marketcap"")"),"#N/A")</f>
        <v>#N/A</v>
      </c>
      <c r="K3468" s="7">
        <v>992.8</v>
      </c>
      <c r="L3468" s="8" t="str">
        <f ca="1">IFERROR(__xludf.DUMMYFUNCTION("GOOGLEFINANCE(""NSE:""&amp;D3468,""price"")"),"#N/A")</f>
        <v>#N/A</v>
      </c>
      <c r="M3468" s="9" t="e">
        <f t="shared" ca="1" si="67"/>
        <v>#VALUE!</v>
      </c>
      <c r="N3468" s="10" t="e">
        <f t="shared" ca="1" si="68"/>
        <v>#VALUE!</v>
      </c>
      <c r="O3468" s="7" t="str">
        <f ca="1">IFERROR(__xludf.DUMMYFUNCTION("GOOGLEFINANCE(""NSE:""&amp;D3468,""pe"")"),"#N/A")</f>
        <v>#N/A</v>
      </c>
      <c r="P3468" s="7" t="str">
        <f ca="1">IFERROR(__xludf.DUMMYFUNCTION("GOOGLEFINANCE(""NSE:""&amp;D3468,""EPS"")"),"#N/A")</f>
        <v>#N/A</v>
      </c>
      <c r="Q3468" s="7">
        <v>13.5</v>
      </c>
      <c r="R3468" s="7" t="str">
        <f ca="1">IFERROR(__xludf.DUMMYFUNCTION("IMPORTXML(E3468,""/html/body/main/div[3]/div[3]/div[2]/ul/li[7]/span[2]/span"")"),"Loading...")</f>
        <v>Loading...</v>
      </c>
      <c r="S3468" s="7" t="str">
        <f ca="1">IFERROR(__xludf.DUMMYFUNCTION("IMPORTXML(E3468,""/html/body/main/div[3]/div[3]/div[2]/ul/li[8]/span[2]/span"")"),"Loading...")</f>
        <v>Loading...</v>
      </c>
      <c r="T3468" s="4">
        <v>34.6</v>
      </c>
      <c r="U3468" s="4">
        <v>22.7</v>
      </c>
      <c r="V3468" s="4">
        <v>2.6</v>
      </c>
      <c r="W3468" s="4">
        <v>5.7</v>
      </c>
      <c r="X3468" s="4">
        <v>519.92999999999995</v>
      </c>
      <c r="Y3468" s="7" t="e">
        <f t="shared" ca="1" si="69"/>
        <v>#VALUE!</v>
      </c>
    </row>
    <row r="3469" spans="1:25" ht="15" x14ac:dyDescent="0.25">
      <c r="A3469" s="4">
        <v>3461</v>
      </c>
      <c r="C3469" s="41" t="s">
        <v>5816</v>
      </c>
      <c r="D3469" s="42"/>
      <c r="E3469" s="5" t="str">
        <f t="shared" si="65"/>
        <v>https://www.screener.in/company//consolidated/</v>
      </c>
      <c r="F3469" s="4">
        <v>443059</v>
      </c>
      <c r="G3469" s="4">
        <v>3832241897</v>
      </c>
      <c r="H3469" s="6" t="e">
        <f t="shared" ca="1" si="66"/>
        <v>#VALUE!</v>
      </c>
      <c r="I3469" s="7" t="str">
        <f ca="1">IFERROR(__xludf.DUMMYFUNCTION("IMPORTXML(E3469,""/html/body/main/div[3]/div[3]/div[2]/ul/li[5]/span[2]/span"")"),"Loading...")</f>
        <v>Loading...</v>
      </c>
      <c r="J3469" s="7" t="str">
        <f ca="1">IFERROR(__xludf.DUMMYFUNCTION("GOOGLEFINANCE(""NSE:""&amp;D3469,""marketcap"")"),"#N/A")</f>
        <v>#N/A</v>
      </c>
      <c r="K3469" s="7">
        <v>992.8</v>
      </c>
      <c r="L3469" s="8" t="str">
        <f ca="1">IFERROR(__xludf.DUMMYFUNCTION("GOOGLEFINANCE(""NSE:""&amp;D3469,""price"")"),"#N/A")</f>
        <v>#N/A</v>
      </c>
      <c r="M3469" s="9" t="e">
        <f t="shared" ca="1" si="67"/>
        <v>#VALUE!</v>
      </c>
      <c r="N3469" s="10" t="e">
        <f t="shared" ca="1" si="68"/>
        <v>#VALUE!</v>
      </c>
      <c r="O3469" s="7" t="str">
        <f ca="1">IFERROR(__xludf.DUMMYFUNCTION("GOOGLEFINANCE(""NSE:""&amp;D3469,""pe"")"),"#N/A")</f>
        <v>#N/A</v>
      </c>
      <c r="P3469" s="7" t="str">
        <f ca="1">IFERROR(__xludf.DUMMYFUNCTION("GOOGLEFINANCE(""NSE:""&amp;D3469,""EPS"")"),"#N/A")</f>
        <v>#N/A</v>
      </c>
      <c r="Q3469" s="7">
        <v>13.5</v>
      </c>
      <c r="R3469" s="7" t="str">
        <f ca="1">IFERROR(__xludf.DUMMYFUNCTION("IMPORTXML(E3469,""/html/body/main/div[3]/div[3]/div[2]/ul/li[7]/span[2]/span"")"),"Loading...")</f>
        <v>Loading...</v>
      </c>
      <c r="S3469" s="7" t="str">
        <f ca="1">IFERROR(__xludf.DUMMYFUNCTION("IMPORTXML(E3469,""/html/body/main/div[3]/div[3]/div[2]/ul/li[8]/span[2]/span"")"),"Loading...")</f>
        <v>Loading...</v>
      </c>
      <c r="T3469" s="4">
        <v>34.6</v>
      </c>
      <c r="U3469" s="4">
        <v>22.7</v>
      </c>
      <c r="V3469" s="4">
        <v>2.6</v>
      </c>
      <c r="W3469" s="4">
        <v>5.7</v>
      </c>
      <c r="X3469" s="4">
        <v>519.92999999999995</v>
      </c>
      <c r="Y3469" s="7" t="e">
        <f t="shared" ca="1" si="69"/>
        <v>#VALUE!</v>
      </c>
    </row>
    <row r="3470" spans="1:25" ht="15" x14ac:dyDescent="0.25">
      <c r="A3470" s="4">
        <v>3462</v>
      </c>
      <c r="C3470" s="41" t="s">
        <v>5817</v>
      </c>
      <c r="D3470" s="42"/>
      <c r="E3470" s="5" t="str">
        <f t="shared" si="65"/>
        <v>https://www.screener.in/company//consolidated/</v>
      </c>
      <c r="F3470" s="4">
        <v>443059</v>
      </c>
      <c r="G3470" s="4">
        <v>3832241897</v>
      </c>
      <c r="H3470" s="6" t="e">
        <f t="shared" ca="1" si="66"/>
        <v>#VALUE!</v>
      </c>
      <c r="I3470" s="7" t="str">
        <f ca="1">IFERROR(__xludf.DUMMYFUNCTION("IMPORTXML(E3470,""/html/body/main/div[3]/div[3]/div[2]/ul/li[5]/span[2]/span"")"),"Loading...")</f>
        <v>Loading...</v>
      </c>
      <c r="J3470" s="7" t="str">
        <f ca="1">IFERROR(__xludf.DUMMYFUNCTION("GOOGLEFINANCE(""NSE:""&amp;D3470,""marketcap"")"),"#N/A")</f>
        <v>#N/A</v>
      </c>
      <c r="K3470" s="7">
        <v>992.8</v>
      </c>
      <c r="L3470" s="8" t="str">
        <f ca="1">IFERROR(__xludf.DUMMYFUNCTION("GOOGLEFINANCE(""NSE:""&amp;D3470,""price"")"),"#N/A")</f>
        <v>#N/A</v>
      </c>
      <c r="M3470" s="9" t="e">
        <f t="shared" ca="1" si="67"/>
        <v>#VALUE!</v>
      </c>
      <c r="N3470" s="10" t="e">
        <f t="shared" ca="1" si="68"/>
        <v>#VALUE!</v>
      </c>
      <c r="O3470" s="7" t="str">
        <f ca="1">IFERROR(__xludf.DUMMYFUNCTION("GOOGLEFINANCE(""NSE:""&amp;D3470,""pe"")"),"#N/A")</f>
        <v>#N/A</v>
      </c>
      <c r="P3470" s="7" t="str">
        <f ca="1">IFERROR(__xludf.DUMMYFUNCTION("GOOGLEFINANCE(""NSE:""&amp;D3470,""EPS"")"),"#N/A")</f>
        <v>#N/A</v>
      </c>
      <c r="Q3470" s="7">
        <v>13.5</v>
      </c>
      <c r="R3470" s="7" t="str">
        <f ca="1">IFERROR(__xludf.DUMMYFUNCTION("IMPORTXML(E3470,""/html/body/main/div[3]/div[3]/div[2]/ul/li[7]/span[2]/span"")"),"Loading...")</f>
        <v>Loading...</v>
      </c>
      <c r="S3470" s="7" t="str">
        <f ca="1">IFERROR(__xludf.DUMMYFUNCTION("IMPORTXML(E3470,""/html/body/main/div[3]/div[3]/div[2]/ul/li[8]/span[2]/span"")"),"Loading...")</f>
        <v>Loading...</v>
      </c>
      <c r="T3470" s="4">
        <v>34.6</v>
      </c>
      <c r="U3470" s="4">
        <v>22.7</v>
      </c>
      <c r="V3470" s="4">
        <v>2.6</v>
      </c>
      <c r="W3470" s="4">
        <v>5.7</v>
      </c>
      <c r="X3470" s="4">
        <v>519.92999999999995</v>
      </c>
      <c r="Y3470" s="7" t="e">
        <f t="shared" ca="1" si="69"/>
        <v>#VALUE!</v>
      </c>
    </row>
    <row r="3471" spans="1:25" ht="15" x14ac:dyDescent="0.25">
      <c r="A3471" s="4">
        <v>3463</v>
      </c>
      <c r="C3471" s="41" t="s">
        <v>5818</v>
      </c>
      <c r="D3471" s="42"/>
      <c r="E3471" s="5" t="str">
        <f t="shared" si="65"/>
        <v>https://www.screener.in/company//consolidated/</v>
      </c>
      <c r="F3471" s="4">
        <v>443059</v>
      </c>
      <c r="G3471" s="4">
        <v>3832241897</v>
      </c>
      <c r="H3471" s="6" t="e">
        <f t="shared" ca="1" si="66"/>
        <v>#VALUE!</v>
      </c>
      <c r="I3471" s="7" t="str">
        <f ca="1">IFERROR(__xludf.DUMMYFUNCTION("IMPORTXML(E3471,""/html/body/main/div[3]/div[3]/div[2]/ul/li[5]/span[2]/span"")"),"Loading...")</f>
        <v>Loading...</v>
      </c>
      <c r="J3471" s="7" t="str">
        <f ca="1">IFERROR(__xludf.DUMMYFUNCTION("GOOGLEFINANCE(""NSE:""&amp;D3471,""marketcap"")"),"#N/A")</f>
        <v>#N/A</v>
      </c>
      <c r="K3471" s="7">
        <v>992.8</v>
      </c>
      <c r="L3471" s="8" t="str">
        <f ca="1">IFERROR(__xludf.DUMMYFUNCTION("GOOGLEFINANCE(""NSE:""&amp;D3471,""price"")"),"#N/A")</f>
        <v>#N/A</v>
      </c>
      <c r="M3471" s="9" t="e">
        <f t="shared" ca="1" si="67"/>
        <v>#VALUE!</v>
      </c>
      <c r="N3471" s="10" t="e">
        <f t="shared" ca="1" si="68"/>
        <v>#VALUE!</v>
      </c>
      <c r="O3471" s="7" t="str">
        <f ca="1">IFERROR(__xludf.DUMMYFUNCTION("GOOGLEFINANCE(""NSE:""&amp;D3471,""pe"")"),"#N/A")</f>
        <v>#N/A</v>
      </c>
      <c r="P3471" s="7" t="str">
        <f ca="1">IFERROR(__xludf.DUMMYFUNCTION("GOOGLEFINANCE(""NSE:""&amp;D3471,""EPS"")"),"#N/A")</f>
        <v>#N/A</v>
      </c>
      <c r="Q3471" s="7">
        <v>13.5</v>
      </c>
      <c r="R3471" s="7" t="str">
        <f ca="1">IFERROR(__xludf.DUMMYFUNCTION("IMPORTXML(E3471,""/html/body/main/div[3]/div[3]/div[2]/ul/li[7]/span[2]/span"")"),"Loading...")</f>
        <v>Loading...</v>
      </c>
      <c r="S3471" s="7" t="str">
        <f ca="1">IFERROR(__xludf.DUMMYFUNCTION("IMPORTXML(E3471,""/html/body/main/div[3]/div[3]/div[2]/ul/li[8]/span[2]/span"")"),"Loading...")</f>
        <v>Loading...</v>
      </c>
      <c r="T3471" s="4">
        <v>34.6</v>
      </c>
      <c r="U3471" s="4">
        <v>22.7</v>
      </c>
      <c r="V3471" s="4">
        <v>2.6</v>
      </c>
      <c r="W3471" s="4">
        <v>5.7</v>
      </c>
      <c r="X3471" s="4">
        <v>519.92999999999995</v>
      </c>
      <c r="Y3471" s="7" t="e">
        <f t="shared" ca="1" si="69"/>
        <v>#VALUE!</v>
      </c>
    </row>
    <row r="3472" spans="1:25" ht="15" x14ac:dyDescent="0.25">
      <c r="A3472" s="4">
        <v>3464</v>
      </c>
      <c r="C3472" s="41" t="s">
        <v>5819</v>
      </c>
      <c r="D3472" s="42"/>
      <c r="E3472" s="5" t="str">
        <f t="shared" si="65"/>
        <v>https://www.screener.in/company//consolidated/</v>
      </c>
      <c r="F3472" s="4">
        <v>443059</v>
      </c>
      <c r="G3472" s="4">
        <v>3832241897</v>
      </c>
      <c r="H3472" s="6" t="e">
        <f t="shared" ca="1" si="66"/>
        <v>#VALUE!</v>
      </c>
      <c r="I3472" s="7" t="str">
        <f ca="1">IFERROR(__xludf.DUMMYFUNCTION("IMPORTXML(E3472,""/html/body/main/div[3]/div[3]/div[2]/ul/li[5]/span[2]/span"")"),"Loading...")</f>
        <v>Loading...</v>
      </c>
      <c r="J3472" s="7" t="str">
        <f ca="1">IFERROR(__xludf.DUMMYFUNCTION("GOOGLEFINANCE(""NSE:""&amp;D3472,""marketcap"")"),"#N/A")</f>
        <v>#N/A</v>
      </c>
      <c r="K3472" s="7">
        <v>992.8</v>
      </c>
      <c r="L3472" s="8" t="str">
        <f ca="1">IFERROR(__xludf.DUMMYFUNCTION("GOOGLEFINANCE(""NSE:""&amp;D3472,""price"")"),"#N/A")</f>
        <v>#N/A</v>
      </c>
      <c r="M3472" s="9" t="e">
        <f t="shared" ca="1" si="67"/>
        <v>#VALUE!</v>
      </c>
      <c r="N3472" s="10" t="e">
        <f t="shared" ca="1" si="68"/>
        <v>#VALUE!</v>
      </c>
      <c r="O3472" s="7" t="str">
        <f ca="1">IFERROR(__xludf.DUMMYFUNCTION("GOOGLEFINANCE(""NSE:""&amp;D3472,""pe"")"),"#N/A")</f>
        <v>#N/A</v>
      </c>
      <c r="P3472" s="7" t="str">
        <f ca="1">IFERROR(__xludf.DUMMYFUNCTION("GOOGLEFINANCE(""NSE:""&amp;D3472,""EPS"")"),"#N/A")</f>
        <v>#N/A</v>
      </c>
      <c r="Q3472" s="7">
        <v>13.5</v>
      </c>
      <c r="R3472" s="7" t="str">
        <f ca="1">IFERROR(__xludf.DUMMYFUNCTION("IMPORTXML(E3472,""/html/body/main/div[3]/div[3]/div[2]/ul/li[7]/span[2]/span"")"),"Loading...")</f>
        <v>Loading...</v>
      </c>
      <c r="S3472" s="7" t="str">
        <f ca="1">IFERROR(__xludf.DUMMYFUNCTION("IMPORTXML(E3472,""/html/body/main/div[3]/div[3]/div[2]/ul/li[8]/span[2]/span"")"),"Loading...")</f>
        <v>Loading...</v>
      </c>
      <c r="T3472" s="4">
        <v>34.6</v>
      </c>
      <c r="U3472" s="4">
        <v>22.7</v>
      </c>
      <c r="V3472" s="4">
        <v>2.6</v>
      </c>
      <c r="W3472" s="4">
        <v>5.7</v>
      </c>
      <c r="X3472" s="4">
        <v>519.92999999999995</v>
      </c>
      <c r="Y3472" s="7" t="e">
        <f t="shared" ca="1" si="69"/>
        <v>#VALUE!</v>
      </c>
    </row>
    <row r="3473" spans="1:25" ht="15" x14ac:dyDescent="0.25">
      <c r="A3473" s="4">
        <v>3465</v>
      </c>
      <c r="C3473" s="41" t="s">
        <v>5820</v>
      </c>
      <c r="D3473" s="42"/>
      <c r="E3473" s="5" t="str">
        <f t="shared" si="65"/>
        <v>https://www.screener.in/company//consolidated/</v>
      </c>
      <c r="F3473" s="4">
        <v>443059</v>
      </c>
      <c r="G3473" s="4">
        <v>3832241897</v>
      </c>
      <c r="H3473" s="6" t="e">
        <f t="shared" ca="1" si="66"/>
        <v>#VALUE!</v>
      </c>
      <c r="I3473" s="7" t="str">
        <f ca="1">IFERROR(__xludf.DUMMYFUNCTION("IMPORTXML(E3473,""/html/body/main/div[3]/div[3]/div[2]/ul/li[5]/span[2]/span"")"),"Loading...")</f>
        <v>Loading...</v>
      </c>
      <c r="J3473" s="7" t="str">
        <f ca="1">IFERROR(__xludf.DUMMYFUNCTION("GOOGLEFINANCE(""NSE:""&amp;D3473,""marketcap"")"),"#N/A")</f>
        <v>#N/A</v>
      </c>
      <c r="K3473" s="7">
        <v>992.8</v>
      </c>
      <c r="L3473" s="8" t="str">
        <f ca="1">IFERROR(__xludf.DUMMYFUNCTION("GOOGLEFINANCE(""NSE:""&amp;D3473,""price"")"),"#N/A")</f>
        <v>#N/A</v>
      </c>
      <c r="M3473" s="9" t="e">
        <f t="shared" ca="1" si="67"/>
        <v>#VALUE!</v>
      </c>
      <c r="N3473" s="10" t="e">
        <f t="shared" ca="1" si="68"/>
        <v>#VALUE!</v>
      </c>
      <c r="O3473" s="7" t="str">
        <f ca="1">IFERROR(__xludf.DUMMYFUNCTION("GOOGLEFINANCE(""NSE:""&amp;D3473,""pe"")"),"#N/A")</f>
        <v>#N/A</v>
      </c>
      <c r="P3473" s="7" t="str">
        <f ca="1">IFERROR(__xludf.DUMMYFUNCTION("GOOGLEFINANCE(""NSE:""&amp;D3473,""EPS"")"),"#N/A")</f>
        <v>#N/A</v>
      </c>
      <c r="Q3473" s="7">
        <v>13.5</v>
      </c>
      <c r="R3473" s="7" t="str">
        <f ca="1">IFERROR(__xludf.DUMMYFUNCTION("IMPORTXML(E3473,""/html/body/main/div[3]/div[3]/div[2]/ul/li[7]/span[2]/span"")"),"Loading...")</f>
        <v>Loading...</v>
      </c>
      <c r="S3473" s="7" t="str">
        <f ca="1">IFERROR(__xludf.DUMMYFUNCTION("IMPORTXML(E3473,""/html/body/main/div[3]/div[3]/div[2]/ul/li[8]/span[2]/span"")"),"Loading...")</f>
        <v>Loading...</v>
      </c>
      <c r="T3473" s="4">
        <v>34.6</v>
      </c>
      <c r="U3473" s="4">
        <v>22.7</v>
      </c>
      <c r="V3473" s="4">
        <v>2.6</v>
      </c>
      <c r="W3473" s="4">
        <v>5.7</v>
      </c>
      <c r="X3473" s="4">
        <v>519.92999999999995</v>
      </c>
      <c r="Y3473" s="7" t="e">
        <f t="shared" ca="1" si="69"/>
        <v>#VALUE!</v>
      </c>
    </row>
    <row r="3474" spans="1:25" ht="15" x14ac:dyDescent="0.25">
      <c r="A3474" s="4">
        <v>3466</v>
      </c>
      <c r="C3474" s="41" t="s">
        <v>5821</v>
      </c>
      <c r="D3474" s="42"/>
      <c r="E3474" s="5" t="str">
        <f t="shared" si="65"/>
        <v>https://www.screener.in/company//consolidated/</v>
      </c>
      <c r="F3474" s="4">
        <v>443059</v>
      </c>
      <c r="G3474" s="4">
        <v>3832241897</v>
      </c>
      <c r="H3474" s="6" t="e">
        <f t="shared" ca="1" si="66"/>
        <v>#VALUE!</v>
      </c>
      <c r="I3474" s="7" t="str">
        <f ca="1">IFERROR(__xludf.DUMMYFUNCTION("IMPORTXML(E3474,""/html/body/main/div[3]/div[3]/div[2]/ul/li[5]/span[2]/span"")"),"Loading...")</f>
        <v>Loading...</v>
      </c>
      <c r="J3474" s="7" t="str">
        <f ca="1">IFERROR(__xludf.DUMMYFUNCTION("GOOGLEFINANCE(""NSE:""&amp;D3474,""marketcap"")"),"#N/A")</f>
        <v>#N/A</v>
      </c>
      <c r="K3474" s="7">
        <v>992.8</v>
      </c>
      <c r="L3474" s="8" t="str">
        <f ca="1">IFERROR(__xludf.DUMMYFUNCTION("GOOGLEFINANCE(""NSE:""&amp;D3474,""price"")"),"#N/A")</f>
        <v>#N/A</v>
      </c>
      <c r="M3474" s="9" t="e">
        <f t="shared" ca="1" si="67"/>
        <v>#VALUE!</v>
      </c>
      <c r="N3474" s="10" t="e">
        <f t="shared" ca="1" si="68"/>
        <v>#VALUE!</v>
      </c>
      <c r="O3474" s="7" t="str">
        <f ca="1">IFERROR(__xludf.DUMMYFUNCTION("GOOGLEFINANCE(""NSE:""&amp;D3474,""pe"")"),"#N/A")</f>
        <v>#N/A</v>
      </c>
      <c r="P3474" s="7" t="str">
        <f ca="1">IFERROR(__xludf.DUMMYFUNCTION("GOOGLEFINANCE(""NSE:""&amp;D3474,""EPS"")"),"#N/A")</f>
        <v>#N/A</v>
      </c>
      <c r="Q3474" s="7">
        <v>13.5</v>
      </c>
      <c r="R3474" s="7" t="str">
        <f ca="1">IFERROR(__xludf.DUMMYFUNCTION("IMPORTXML(E3474,""/html/body/main/div[3]/div[3]/div[2]/ul/li[7]/span[2]/span"")"),"Loading...")</f>
        <v>Loading...</v>
      </c>
      <c r="S3474" s="7" t="str">
        <f ca="1">IFERROR(__xludf.DUMMYFUNCTION("IMPORTXML(E3474,""/html/body/main/div[3]/div[3]/div[2]/ul/li[8]/span[2]/span"")"),"Loading...")</f>
        <v>Loading...</v>
      </c>
      <c r="T3474" s="4">
        <v>34.6</v>
      </c>
      <c r="U3474" s="4">
        <v>22.7</v>
      </c>
      <c r="V3474" s="4">
        <v>2.6</v>
      </c>
      <c r="W3474" s="4">
        <v>5.7</v>
      </c>
      <c r="X3474" s="4">
        <v>519.92999999999995</v>
      </c>
      <c r="Y3474" s="7" t="e">
        <f t="shared" ca="1" si="69"/>
        <v>#VALUE!</v>
      </c>
    </row>
    <row r="3475" spans="1:25" ht="15" x14ac:dyDescent="0.25">
      <c r="A3475" s="4">
        <v>3467</v>
      </c>
      <c r="C3475" s="41" t="s">
        <v>5822</v>
      </c>
      <c r="D3475" s="42"/>
      <c r="E3475" s="5" t="str">
        <f t="shared" si="65"/>
        <v>https://www.screener.in/company//consolidated/</v>
      </c>
      <c r="F3475" s="4">
        <v>443059</v>
      </c>
      <c r="G3475" s="4">
        <v>3832241897</v>
      </c>
      <c r="H3475" s="6" t="e">
        <f t="shared" ca="1" si="66"/>
        <v>#VALUE!</v>
      </c>
      <c r="I3475" s="7" t="str">
        <f ca="1">IFERROR(__xludf.DUMMYFUNCTION("IMPORTXML(E3475,""/html/body/main/div[3]/div[3]/div[2]/ul/li[5]/span[2]/span"")"),"Loading...")</f>
        <v>Loading...</v>
      </c>
      <c r="J3475" s="7" t="str">
        <f ca="1">IFERROR(__xludf.DUMMYFUNCTION("GOOGLEFINANCE(""NSE:""&amp;D3475,""marketcap"")"),"#N/A")</f>
        <v>#N/A</v>
      </c>
      <c r="K3475" s="7">
        <v>992.8</v>
      </c>
      <c r="L3475" s="8" t="str">
        <f ca="1">IFERROR(__xludf.DUMMYFUNCTION("GOOGLEFINANCE(""NSE:""&amp;D3475,""price"")"),"#N/A")</f>
        <v>#N/A</v>
      </c>
      <c r="M3475" s="9" t="e">
        <f t="shared" ca="1" si="67"/>
        <v>#VALUE!</v>
      </c>
      <c r="N3475" s="10" t="e">
        <f t="shared" ca="1" si="68"/>
        <v>#VALUE!</v>
      </c>
      <c r="O3475" s="7" t="str">
        <f ca="1">IFERROR(__xludf.DUMMYFUNCTION("GOOGLEFINANCE(""NSE:""&amp;D3475,""pe"")"),"#N/A")</f>
        <v>#N/A</v>
      </c>
      <c r="P3475" s="7" t="str">
        <f ca="1">IFERROR(__xludf.DUMMYFUNCTION("GOOGLEFINANCE(""NSE:""&amp;D3475,""EPS"")"),"#N/A")</f>
        <v>#N/A</v>
      </c>
      <c r="Q3475" s="7">
        <v>13.5</v>
      </c>
      <c r="R3475" s="7" t="str">
        <f ca="1">IFERROR(__xludf.DUMMYFUNCTION("IMPORTXML(E3475,""/html/body/main/div[3]/div[3]/div[2]/ul/li[7]/span[2]/span"")"),"Loading...")</f>
        <v>Loading...</v>
      </c>
      <c r="S3475" s="7" t="str">
        <f ca="1">IFERROR(__xludf.DUMMYFUNCTION("IMPORTXML(E3475,""/html/body/main/div[3]/div[3]/div[2]/ul/li[8]/span[2]/span"")"),"Loading...")</f>
        <v>Loading...</v>
      </c>
      <c r="T3475" s="4">
        <v>34.6</v>
      </c>
      <c r="U3475" s="4">
        <v>22.7</v>
      </c>
      <c r="V3475" s="4">
        <v>2.6</v>
      </c>
      <c r="W3475" s="4">
        <v>5.7</v>
      </c>
      <c r="X3475" s="4">
        <v>519.92999999999995</v>
      </c>
      <c r="Y3475" s="7" t="e">
        <f t="shared" ca="1" si="69"/>
        <v>#VALUE!</v>
      </c>
    </row>
    <row r="3476" spans="1:25" ht="15" x14ac:dyDescent="0.25">
      <c r="A3476" s="4">
        <v>3468</v>
      </c>
      <c r="C3476" s="41" t="s">
        <v>5823</v>
      </c>
      <c r="D3476" s="42"/>
      <c r="E3476" s="5" t="str">
        <f t="shared" si="65"/>
        <v>https://www.screener.in/company//consolidated/</v>
      </c>
      <c r="F3476" s="4">
        <v>443059</v>
      </c>
      <c r="G3476" s="4">
        <v>3832241897</v>
      </c>
      <c r="H3476" s="6" t="e">
        <f t="shared" ca="1" si="66"/>
        <v>#VALUE!</v>
      </c>
      <c r="I3476" s="7" t="str">
        <f ca="1">IFERROR(__xludf.DUMMYFUNCTION("IMPORTXML(E3476,""/html/body/main/div[3]/div[3]/div[2]/ul/li[5]/span[2]/span"")"),"Loading...")</f>
        <v>Loading...</v>
      </c>
      <c r="J3476" s="7" t="str">
        <f ca="1">IFERROR(__xludf.DUMMYFUNCTION("GOOGLEFINANCE(""NSE:""&amp;D3476,""marketcap"")"),"#N/A")</f>
        <v>#N/A</v>
      </c>
      <c r="K3476" s="7">
        <v>992.8</v>
      </c>
      <c r="L3476" s="8" t="str">
        <f ca="1">IFERROR(__xludf.DUMMYFUNCTION("GOOGLEFINANCE(""NSE:""&amp;D3476,""price"")"),"#N/A")</f>
        <v>#N/A</v>
      </c>
      <c r="M3476" s="9" t="e">
        <f t="shared" ca="1" si="67"/>
        <v>#VALUE!</v>
      </c>
      <c r="N3476" s="10" t="e">
        <f t="shared" ca="1" si="68"/>
        <v>#VALUE!</v>
      </c>
      <c r="O3476" s="7" t="str">
        <f ca="1">IFERROR(__xludf.DUMMYFUNCTION("GOOGLEFINANCE(""NSE:""&amp;D3476,""pe"")"),"#N/A")</f>
        <v>#N/A</v>
      </c>
      <c r="P3476" s="7" t="str">
        <f ca="1">IFERROR(__xludf.DUMMYFUNCTION("GOOGLEFINANCE(""NSE:""&amp;D3476,""EPS"")"),"#N/A")</f>
        <v>#N/A</v>
      </c>
      <c r="Q3476" s="7">
        <v>13.5</v>
      </c>
      <c r="R3476" s="7" t="str">
        <f ca="1">IFERROR(__xludf.DUMMYFUNCTION("IMPORTXML(E3476,""/html/body/main/div[3]/div[3]/div[2]/ul/li[7]/span[2]/span"")"),"Loading...")</f>
        <v>Loading...</v>
      </c>
      <c r="S3476" s="7" t="str">
        <f ca="1">IFERROR(__xludf.DUMMYFUNCTION("IMPORTXML(E3476,""/html/body/main/div[3]/div[3]/div[2]/ul/li[8]/span[2]/span"")"),"Loading...")</f>
        <v>Loading...</v>
      </c>
      <c r="T3476" s="4">
        <v>34.6</v>
      </c>
      <c r="U3476" s="4">
        <v>22.7</v>
      </c>
      <c r="V3476" s="4">
        <v>2.6</v>
      </c>
      <c r="W3476" s="4">
        <v>5.7</v>
      </c>
      <c r="X3476" s="4">
        <v>519.92999999999995</v>
      </c>
      <c r="Y3476" s="7" t="e">
        <f t="shared" ca="1" si="69"/>
        <v>#VALUE!</v>
      </c>
    </row>
    <row r="3477" spans="1:25" ht="15" x14ac:dyDescent="0.25">
      <c r="A3477" s="4">
        <v>3469</v>
      </c>
      <c r="C3477" s="41" t="s">
        <v>5824</v>
      </c>
      <c r="D3477" s="42"/>
      <c r="E3477" s="5" t="str">
        <f t="shared" si="65"/>
        <v>https://www.screener.in/company//consolidated/</v>
      </c>
      <c r="F3477" s="4">
        <v>443059</v>
      </c>
      <c r="G3477" s="4">
        <v>3832241897</v>
      </c>
      <c r="H3477" s="6" t="e">
        <f t="shared" ca="1" si="66"/>
        <v>#VALUE!</v>
      </c>
      <c r="I3477" s="7" t="str">
        <f ca="1">IFERROR(__xludf.DUMMYFUNCTION("IMPORTXML(E3477,""/html/body/main/div[3]/div[3]/div[2]/ul/li[5]/span[2]/span"")"),"Loading...")</f>
        <v>Loading...</v>
      </c>
      <c r="J3477" s="7" t="str">
        <f ca="1">IFERROR(__xludf.DUMMYFUNCTION("GOOGLEFINANCE(""NSE:""&amp;D3477,""marketcap"")"),"#N/A")</f>
        <v>#N/A</v>
      </c>
      <c r="K3477" s="7">
        <v>992.8</v>
      </c>
      <c r="L3477" s="8" t="str">
        <f ca="1">IFERROR(__xludf.DUMMYFUNCTION("GOOGLEFINANCE(""NSE:""&amp;D3477,""price"")"),"#N/A")</f>
        <v>#N/A</v>
      </c>
      <c r="M3477" s="9" t="e">
        <f t="shared" ca="1" si="67"/>
        <v>#VALUE!</v>
      </c>
      <c r="N3477" s="10" t="e">
        <f t="shared" ca="1" si="68"/>
        <v>#VALUE!</v>
      </c>
      <c r="O3477" s="7" t="str">
        <f ca="1">IFERROR(__xludf.DUMMYFUNCTION("GOOGLEFINANCE(""NSE:""&amp;D3477,""pe"")"),"#N/A")</f>
        <v>#N/A</v>
      </c>
      <c r="P3477" s="7" t="str">
        <f ca="1">IFERROR(__xludf.DUMMYFUNCTION("GOOGLEFINANCE(""NSE:""&amp;D3477,""EPS"")"),"#N/A")</f>
        <v>#N/A</v>
      </c>
      <c r="Q3477" s="7">
        <v>13.5</v>
      </c>
      <c r="R3477" s="7" t="str">
        <f ca="1">IFERROR(__xludf.DUMMYFUNCTION("IMPORTXML(E3477,""/html/body/main/div[3]/div[3]/div[2]/ul/li[7]/span[2]/span"")"),"Loading...")</f>
        <v>Loading...</v>
      </c>
      <c r="S3477" s="7" t="str">
        <f ca="1">IFERROR(__xludf.DUMMYFUNCTION("IMPORTXML(E3477,""/html/body/main/div[3]/div[3]/div[2]/ul/li[8]/span[2]/span"")"),"Loading...")</f>
        <v>Loading...</v>
      </c>
      <c r="T3477" s="4">
        <v>34.6</v>
      </c>
      <c r="U3477" s="4">
        <v>22.7</v>
      </c>
      <c r="V3477" s="4">
        <v>2.6</v>
      </c>
      <c r="W3477" s="4">
        <v>5.7</v>
      </c>
      <c r="X3477" s="4">
        <v>519.92999999999995</v>
      </c>
      <c r="Y3477" s="7" t="e">
        <f t="shared" ca="1" si="69"/>
        <v>#VALUE!</v>
      </c>
    </row>
    <row r="3478" spans="1:25" ht="15" x14ac:dyDescent="0.25">
      <c r="A3478" s="4">
        <v>3470</v>
      </c>
      <c r="C3478" s="41" t="s">
        <v>5825</v>
      </c>
      <c r="D3478" s="42"/>
      <c r="E3478" s="5" t="str">
        <f t="shared" ref="E3478:E3732" si="70">"https://www.screener.in/company/"&amp; D3478&amp;"/consolidated/"</f>
        <v>https://www.screener.in/company//consolidated/</v>
      </c>
      <c r="F3478" s="4">
        <v>443059</v>
      </c>
      <c r="G3478" s="4">
        <v>3832241897</v>
      </c>
      <c r="H3478" s="6" t="e">
        <f t="shared" ref="H3478:H3732" ca="1" si="71">(G3478*L3478)/10^7</f>
        <v>#VALUE!</v>
      </c>
      <c r="I3478" s="7" t="str">
        <f ca="1">IFERROR(__xludf.DUMMYFUNCTION("IMPORTXML(E3478,""/html/body/main/div[3]/div[3]/div[2]/ul/li[5]/span[2]/span"")"),"Loading...")</f>
        <v>Loading...</v>
      </c>
      <c r="J3478" s="7" t="str">
        <f ca="1">IFERROR(__xludf.DUMMYFUNCTION("GOOGLEFINANCE(""NSE:""&amp;D3478,""marketcap"")"),"#N/A")</f>
        <v>#N/A</v>
      </c>
      <c r="K3478" s="7">
        <v>992.8</v>
      </c>
      <c r="L3478" s="8" t="str">
        <f ca="1">IFERROR(__xludf.DUMMYFUNCTION("GOOGLEFINANCE(""NSE:""&amp;D3478,""price"")"),"#N/A")</f>
        <v>#N/A</v>
      </c>
      <c r="M3478" s="9" t="e">
        <f t="shared" ref="M3478:M3732" ca="1" si="72">L3478-K3478</f>
        <v>#VALUE!</v>
      </c>
      <c r="N3478" s="10" t="e">
        <f t="shared" ref="N3478:N3732" ca="1" si="73">(M3478/K3478)*100</f>
        <v>#VALUE!</v>
      </c>
      <c r="O3478" s="7" t="str">
        <f ca="1">IFERROR(__xludf.DUMMYFUNCTION("GOOGLEFINANCE(""NSE:""&amp;D3478,""pe"")"),"#N/A")</f>
        <v>#N/A</v>
      </c>
      <c r="P3478" s="7" t="str">
        <f ca="1">IFERROR(__xludf.DUMMYFUNCTION("GOOGLEFINANCE(""NSE:""&amp;D3478,""EPS"")"),"#N/A")</f>
        <v>#N/A</v>
      </c>
      <c r="Q3478" s="7">
        <v>13.5</v>
      </c>
      <c r="R3478" s="7" t="str">
        <f ca="1">IFERROR(__xludf.DUMMYFUNCTION("IMPORTXML(E3478,""/html/body/main/div[3]/div[3]/div[2]/ul/li[7]/span[2]/span"")"),"Loading...")</f>
        <v>Loading...</v>
      </c>
      <c r="S3478" s="7" t="str">
        <f ca="1">IFERROR(__xludf.DUMMYFUNCTION("IMPORTXML(E3478,""/html/body/main/div[3]/div[3]/div[2]/ul/li[8]/span[2]/span"")"),"Loading...")</f>
        <v>Loading...</v>
      </c>
      <c r="T3478" s="4">
        <v>34.6</v>
      </c>
      <c r="U3478" s="4">
        <v>22.7</v>
      </c>
      <c r="V3478" s="4">
        <v>2.6</v>
      </c>
      <c r="W3478" s="4">
        <v>5.7</v>
      </c>
      <c r="X3478" s="4">
        <v>519.92999999999995</v>
      </c>
      <c r="Y3478" s="7" t="e">
        <f t="shared" ref="Y3478:Y3732" ca="1" si="74">L3478-X3478</f>
        <v>#VALUE!</v>
      </c>
    </row>
    <row r="3479" spans="1:25" ht="15" x14ac:dyDescent="0.25">
      <c r="A3479" s="4">
        <v>3471</v>
      </c>
      <c r="C3479" s="41" t="s">
        <v>5826</v>
      </c>
      <c r="D3479" s="42"/>
      <c r="E3479" s="5" t="str">
        <f t="shared" si="70"/>
        <v>https://www.screener.in/company//consolidated/</v>
      </c>
      <c r="F3479" s="4">
        <v>443059</v>
      </c>
      <c r="G3479" s="4">
        <v>3832241897</v>
      </c>
      <c r="H3479" s="6" t="e">
        <f t="shared" ca="1" si="71"/>
        <v>#VALUE!</v>
      </c>
      <c r="I3479" s="7" t="str">
        <f ca="1">IFERROR(__xludf.DUMMYFUNCTION("IMPORTXML(E3479,""/html/body/main/div[3]/div[3]/div[2]/ul/li[5]/span[2]/span"")"),"Loading...")</f>
        <v>Loading...</v>
      </c>
      <c r="J3479" s="7" t="str">
        <f ca="1">IFERROR(__xludf.DUMMYFUNCTION("GOOGLEFINANCE(""NSE:""&amp;D3479,""marketcap"")"),"#N/A")</f>
        <v>#N/A</v>
      </c>
      <c r="K3479" s="7">
        <v>992.8</v>
      </c>
      <c r="L3479" s="8" t="str">
        <f ca="1">IFERROR(__xludf.DUMMYFUNCTION("GOOGLEFINANCE(""NSE:""&amp;D3479,""price"")"),"#N/A")</f>
        <v>#N/A</v>
      </c>
      <c r="M3479" s="9" t="e">
        <f t="shared" ca="1" si="72"/>
        <v>#VALUE!</v>
      </c>
      <c r="N3479" s="10" t="e">
        <f t="shared" ca="1" si="73"/>
        <v>#VALUE!</v>
      </c>
      <c r="O3479" s="7" t="str">
        <f ca="1">IFERROR(__xludf.DUMMYFUNCTION("GOOGLEFINANCE(""NSE:""&amp;D3479,""pe"")"),"#N/A")</f>
        <v>#N/A</v>
      </c>
      <c r="P3479" s="7" t="str">
        <f ca="1">IFERROR(__xludf.DUMMYFUNCTION("GOOGLEFINANCE(""NSE:""&amp;D3479,""EPS"")"),"#N/A")</f>
        <v>#N/A</v>
      </c>
      <c r="Q3479" s="7">
        <v>13.5</v>
      </c>
      <c r="R3479" s="7" t="str">
        <f ca="1">IFERROR(__xludf.DUMMYFUNCTION("IMPORTXML(E3479,""/html/body/main/div[3]/div[3]/div[2]/ul/li[7]/span[2]/span"")"),"Loading...")</f>
        <v>Loading...</v>
      </c>
      <c r="S3479" s="7" t="str">
        <f ca="1">IFERROR(__xludf.DUMMYFUNCTION("IMPORTXML(E3479,""/html/body/main/div[3]/div[3]/div[2]/ul/li[8]/span[2]/span"")"),"Loading...")</f>
        <v>Loading...</v>
      </c>
      <c r="T3479" s="4">
        <v>34.6</v>
      </c>
      <c r="U3479" s="4">
        <v>22.7</v>
      </c>
      <c r="V3479" s="4">
        <v>2.6</v>
      </c>
      <c r="W3479" s="4">
        <v>5.7</v>
      </c>
      <c r="X3479" s="4">
        <v>519.92999999999995</v>
      </c>
      <c r="Y3479" s="7" t="e">
        <f t="shared" ca="1" si="74"/>
        <v>#VALUE!</v>
      </c>
    </row>
    <row r="3480" spans="1:25" ht="15" x14ac:dyDescent="0.25">
      <c r="A3480" s="4">
        <v>3472</v>
      </c>
      <c r="C3480" s="41" t="s">
        <v>5827</v>
      </c>
      <c r="D3480" s="42"/>
      <c r="E3480" s="5" t="str">
        <f t="shared" si="70"/>
        <v>https://www.screener.in/company//consolidated/</v>
      </c>
      <c r="F3480" s="4">
        <v>443059</v>
      </c>
      <c r="G3480" s="4">
        <v>3832241897</v>
      </c>
      <c r="H3480" s="6" t="e">
        <f t="shared" ca="1" si="71"/>
        <v>#VALUE!</v>
      </c>
      <c r="I3480" s="7" t="str">
        <f ca="1">IFERROR(__xludf.DUMMYFUNCTION("IMPORTXML(E3480,""/html/body/main/div[3]/div[3]/div[2]/ul/li[5]/span[2]/span"")"),"Loading...")</f>
        <v>Loading...</v>
      </c>
      <c r="J3480" s="7" t="str">
        <f ca="1">IFERROR(__xludf.DUMMYFUNCTION("GOOGLEFINANCE(""NSE:""&amp;D3480,""marketcap"")"),"#N/A")</f>
        <v>#N/A</v>
      </c>
      <c r="K3480" s="7">
        <v>992.8</v>
      </c>
      <c r="L3480" s="8" t="str">
        <f ca="1">IFERROR(__xludf.DUMMYFUNCTION("GOOGLEFINANCE(""NSE:""&amp;D3480,""price"")"),"#N/A")</f>
        <v>#N/A</v>
      </c>
      <c r="M3480" s="9" t="e">
        <f t="shared" ca="1" si="72"/>
        <v>#VALUE!</v>
      </c>
      <c r="N3480" s="10" t="e">
        <f t="shared" ca="1" si="73"/>
        <v>#VALUE!</v>
      </c>
      <c r="O3480" s="7" t="str">
        <f ca="1">IFERROR(__xludf.DUMMYFUNCTION("GOOGLEFINANCE(""NSE:""&amp;D3480,""pe"")"),"#N/A")</f>
        <v>#N/A</v>
      </c>
      <c r="P3480" s="7" t="str">
        <f ca="1">IFERROR(__xludf.DUMMYFUNCTION("GOOGLEFINANCE(""NSE:""&amp;D3480,""EPS"")"),"#N/A")</f>
        <v>#N/A</v>
      </c>
      <c r="Q3480" s="7">
        <v>13.5</v>
      </c>
      <c r="R3480" s="7" t="str">
        <f ca="1">IFERROR(__xludf.DUMMYFUNCTION("IMPORTXML(E3480,""/html/body/main/div[3]/div[3]/div[2]/ul/li[7]/span[2]/span"")"),"Loading...")</f>
        <v>Loading...</v>
      </c>
      <c r="S3480" s="7" t="str">
        <f ca="1">IFERROR(__xludf.DUMMYFUNCTION("IMPORTXML(E3480,""/html/body/main/div[3]/div[3]/div[2]/ul/li[8]/span[2]/span"")"),"Loading...")</f>
        <v>Loading...</v>
      </c>
      <c r="T3480" s="4">
        <v>34.6</v>
      </c>
      <c r="U3480" s="4">
        <v>22.7</v>
      </c>
      <c r="V3480" s="4">
        <v>2.6</v>
      </c>
      <c r="W3480" s="4">
        <v>5.7</v>
      </c>
      <c r="X3480" s="4">
        <v>519.92999999999995</v>
      </c>
      <c r="Y3480" s="7" t="e">
        <f t="shared" ca="1" si="74"/>
        <v>#VALUE!</v>
      </c>
    </row>
    <row r="3481" spans="1:25" ht="15" x14ac:dyDescent="0.25">
      <c r="A3481" s="4">
        <v>3473</v>
      </c>
      <c r="C3481" s="41" t="s">
        <v>5828</v>
      </c>
      <c r="D3481" s="42"/>
      <c r="E3481" s="5" t="str">
        <f t="shared" si="70"/>
        <v>https://www.screener.in/company//consolidated/</v>
      </c>
      <c r="F3481" s="4">
        <v>443059</v>
      </c>
      <c r="G3481" s="4">
        <v>3832241897</v>
      </c>
      <c r="H3481" s="6" t="e">
        <f t="shared" ca="1" si="71"/>
        <v>#VALUE!</v>
      </c>
      <c r="I3481" s="7" t="str">
        <f ca="1">IFERROR(__xludf.DUMMYFUNCTION("IMPORTXML(E3481,""/html/body/main/div[3]/div[3]/div[2]/ul/li[5]/span[2]/span"")"),"Loading...")</f>
        <v>Loading...</v>
      </c>
      <c r="J3481" s="7" t="str">
        <f ca="1">IFERROR(__xludf.DUMMYFUNCTION("GOOGLEFINANCE(""NSE:""&amp;D3481,""marketcap"")"),"#N/A")</f>
        <v>#N/A</v>
      </c>
      <c r="K3481" s="7">
        <v>992.8</v>
      </c>
      <c r="L3481" s="8" t="str">
        <f ca="1">IFERROR(__xludf.DUMMYFUNCTION("GOOGLEFINANCE(""NSE:""&amp;D3481,""price"")"),"#N/A")</f>
        <v>#N/A</v>
      </c>
      <c r="M3481" s="9" t="e">
        <f t="shared" ca="1" si="72"/>
        <v>#VALUE!</v>
      </c>
      <c r="N3481" s="10" t="e">
        <f t="shared" ca="1" si="73"/>
        <v>#VALUE!</v>
      </c>
      <c r="O3481" s="7" t="str">
        <f ca="1">IFERROR(__xludf.DUMMYFUNCTION("GOOGLEFINANCE(""NSE:""&amp;D3481,""pe"")"),"#N/A")</f>
        <v>#N/A</v>
      </c>
      <c r="P3481" s="7" t="str">
        <f ca="1">IFERROR(__xludf.DUMMYFUNCTION("GOOGLEFINANCE(""NSE:""&amp;D3481,""EPS"")"),"#N/A")</f>
        <v>#N/A</v>
      </c>
      <c r="Q3481" s="7">
        <v>13.5</v>
      </c>
      <c r="R3481" s="7" t="str">
        <f ca="1">IFERROR(__xludf.DUMMYFUNCTION("IMPORTXML(E3481,""/html/body/main/div[3]/div[3]/div[2]/ul/li[7]/span[2]/span"")"),"Loading...")</f>
        <v>Loading...</v>
      </c>
      <c r="S3481" s="7" t="str">
        <f ca="1">IFERROR(__xludf.DUMMYFUNCTION("IMPORTXML(E3481,""/html/body/main/div[3]/div[3]/div[2]/ul/li[8]/span[2]/span"")"),"Loading...")</f>
        <v>Loading...</v>
      </c>
      <c r="T3481" s="4">
        <v>34.6</v>
      </c>
      <c r="U3481" s="4">
        <v>22.7</v>
      </c>
      <c r="V3481" s="4">
        <v>2.6</v>
      </c>
      <c r="W3481" s="4">
        <v>5.7</v>
      </c>
      <c r="X3481" s="4">
        <v>519.92999999999995</v>
      </c>
      <c r="Y3481" s="7" t="e">
        <f t="shared" ca="1" si="74"/>
        <v>#VALUE!</v>
      </c>
    </row>
    <row r="3482" spans="1:25" ht="15" x14ac:dyDescent="0.25">
      <c r="A3482" s="4">
        <v>3474</v>
      </c>
      <c r="C3482" s="41" t="s">
        <v>5829</v>
      </c>
      <c r="D3482" s="42"/>
      <c r="E3482" s="5" t="str">
        <f t="shared" si="70"/>
        <v>https://www.screener.in/company//consolidated/</v>
      </c>
      <c r="F3482" s="4">
        <v>443059</v>
      </c>
      <c r="G3482" s="4">
        <v>3832241897</v>
      </c>
      <c r="H3482" s="6" t="e">
        <f t="shared" ca="1" si="71"/>
        <v>#VALUE!</v>
      </c>
      <c r="I3482" s="7" t="str">
        <f ca="1">IFERROR(__xludf.DUMMYFUNCTION("IMPORTXML(E3482,""/html/body/main/div[3]/div[3]/div[2]/ul/li[5]/span[2]/span"")"),"Loading...")</f>
        <v>Loading...</v>
      </c>
      <c r="J3482" s="7" t="str">
        <f ca="1">IFERROR(__xludf.DUMMYFUNCTION("GOOGLEFINANCE(""NSE:""&amp;D3482,""marketcap"")"),"#N/A")</f>
        <v>#N/A</v>
      </c>
      <c r="K3482" s="7">
        <v>992.8</v>
      </c>
      <c r="L3482" s="8" t="str">
        <f ca="1">IFERROR(__xludf.DUMMYFUNCTION("GOOGLEFINANCE(""NSE:""&amp;D3482,""price"")"),"#N/A")</f>
        <v>#N/A</v>
      </c>
      <c r="M3482" s="9" t="e">
        <f t="shared" ca="1" si="72"/>
        <v>#VALUE!</v>
      </c>
      <c r="N3482" s="10" t="e">
        <f t="shared" ca="1" si="73"/>
        <v>#VALUE!</v>
      </c>
      <c r="O3482" s="7" t="str">
        <f ca="1">IFERROR(__xludf.DUMMYFUNCTION("GOOGLEFINANCE(""NSE:""&amp;D3482,""pe"")"),"#N/A")</f>
        <v>#N/A</v>
      </c>
      <c r="P3482" s="7" t="str">
        <f ca="1">IFERROR(__xludf.DUMMYFUNCTION("GOOGLEFINANCE(""NSE:""&amp;D3482,""EPS"")"),"#N/A")</f>
        <v>#N/A</v>
      </c>
      <c r="Q3482" s="7">
        <v>13.5</v>
      </c>
      <c r="R3482" s="7" t="str">
        <f ca="1">IFERROR(__xludf.DUMMYFUNCTION("IMPORTXML(E3482,""/html/body/main/div[3]/div[3]/div[2]/ul/li[7]/span[2]/span"")"),"Loading...")</f>
        <v>Loading...</v>
      </c>
      <c r="S3482" s="7" t="str">
        <f ca="1">IFERROR(__xludf.DUMMYFUNCTION("IMPORTXML(E3482,""/html/body/main/div[3]/div[3]/div[2]/ul/li[8]/span[2]/span"")"),"Loading...")</f>
        <v>Loading...</v>
      </c>
      <c r="T3482" s="4">
        <v>34.6</v>
      </c>
      <c r="U3482" s="4">
        <v>22.7</v>
      </c>
      <c r="V3482" s="4">
        <v>2.6</v>
      </c>
      <c r="W3482" s="4">
        <v>5.7</v>
      </c>
      <c r="X3482" s="4">
        <v>519.92999999999995</v>
      </c>
      <c r="Y3482" s="7" t="e">
        <f t="shared" ca="1" si="74"/>
        <v>#VALUE!</v>
      </c>
    </row>
    <row r="3483" spans="1:25" ht="15" x14ac:dyDescent="0.25">
      <c r="A3483" s="4">
        <v>3475</v>
      </c>
      <c r="C3483" s="41" t="s">
        <v>5830</v>
      </c>
      <c r="D3483" s="42"/>
      <c r="E3483" s="5" t="str">
        <f t="shared" si="70"/>
        <v>https://www.screener.in/company//consolidated/</v>
      </c>
      <c r="F3483" s="4">
        <v>443059</v>
      </c>
      <c r="G3483" s="4">
        <v>3832241897</v>
      </c>
      <c r="H3483" s="6" t="e">
        <f t="shared" ca="1" si="71"/>
        <v>#VALUE!</v>
      </c>
      <c r="I3483" s="7" t="str">
        <f ca="1">IFERROR(__xludf.DUMMYFUNCTION("IMPORTXML(E3483,""/html/body/main/div[3]/div[3]/div[2]/ul/li[5]/span[2]/span"")"),"Loading...")</f>
        <v>Loading...</v>
      </c>
      <c r="J3483" s="7" t="str">
        <f ca="1">IFERROR(__xludf.DUMMYFUNCTION("GOOGLEFINANCE(""NSE:""&amp;D3483,""marketcap"")"),"#N/A")</f>
        <v>#N/A</v>
      </c>
      <c r="K3483" s="7">
        <v>992.8</v>
      </c>
      <c r="L3483" s="8" t="str">
        <f ca="1">IFERROR(__xludf.DUMMYFUNCTION("GOOGLEFINANCE(""NSE:""&amp;D3483,""price"")"),"#N/A")</f>
        <v>#N/A</v>
      </c>
      <c r="M3483" s="9" t="e">
        <f t="shared" ca="1" si="72"/>
        <v>#VALUE!</v>
      </c>
      <c r="N3483" s="10" t="e">
        <f t="shared" ca="1" si="73"/>
        <v>#VALUE!</v>
      </c>
      <c r="O3483" s="7" t="str">
        <f ca="1">IFERROR(__xludf.DUMMYFUNCTION("GOOGLEFINANCE(""NSE:""&amp;D3483,""pe"")"),"#N/A")</f>
        <v>#N/A</v>
      </c>
      <c r="P3483" s="7" t="str">
        <f ca="1">IFERROR(__xludf.DUMMYFUNCTION("GOOGLEFINANCE(""NSE:""&amp;D3483,""EPS"")"),"#N/A")</f>
        <v>#N/A</v>
      </c>
      <c r="Q3483" s="7">
        <v>13.5</v>
      </c>
      <c r="R3483" s="7" t="str">
        <f ca="1">IFERROR(__xludf.DUMMYFUNCTION("IMPORTXML(E3483,""/html/body/main/div[3]/div[3]/div[2]/ul/li[7]/span[2]/span"")"),"Loading...")</f>
        <v>Loading...</v>
      </c>
      <c r="S3483" s="7" t="str">
        <f ca="1">IFERROR(__xludf.DUMMYFUNCTION("IMPORTXML(E3483,""/html/body/main/div[3]/div[3]/div[2]/ul/li[8]/span[2]/span"")"),"Loading...")</f>
        <v>Loading...</v>
      </c>
      <c r="T3483" s="4">
        <v>34.6</v>
      </c>
      <c r="U3483" s="4">
        <v>22.7</v>
      </c>
      <c r="V3483" s="4">
        <v>2.6</v>
      </c>
      <c r="W3483" s="4">
        <v>5.7</v>
      </c>
      <c r="X3483" s="4">
        <v>519.92999999999995</v>
      </c>
      <c r="Y3483" s="7" t="e">
        <f t="shared" ca="1" si="74"/>
        <v>#VALUE!</v>
      </c>
    </row>
    <row r="3484" spans="1:25" ht="15" x14ac:dyDescent="0.25">
      <c r="A3484" s="4">
        <v>3476</v>
      </c>
      <c r="C3484" s="41" t="s">
        <v>5831</v>
      </c>
      <c r="D3484" s="42"/>
      <c r="E3484" s="5" t="str">
        <f t="shared" si="70"/>
        <v>https://www.screener.in/company//consolidated/</v>
      </c>
      <c r="F3484" s="4">
        <v>443059</v>
      </c>
      <c r="G3484" s="4">
        <v>3832241897</v>
      </c>
      <c r="H3484" s="6" t="e">
        <f t="shared" ca="1" si="71"/>
        <v>#VALUE!</v>
      </c>
      <c r="I3484" s="7" t="str">
        <f ca="1">IFERROR(__xludf.DUMMYFUNCTION("IMPORTXML(E3484,""/html/body/main/div[3]/div[3]/div[2]/ul/li[5]/span[2]/span"")"),"Loading...")</f>
        <v>Loading...</v>
      </c>
      <c r="J3484" s="7" t="str">
        <f ca="1">IFERROR(__xludf.DUMMYFUNCTION("GOOGLEFINANCE(""NSE:""&amp;D3484,""marketcap"")"),"#N/A")</f>
        <v>#N/A</v>
      </c>
      <c r="K3484" s="7">
        <v>992.8</v>
      </c>
      <c r="L3484" s="8" t="str">
        <f ca="1">IFERROR(__xludf.DUMMYFUNCTION("GOOGLEFINANCE(""NSE:""&amp;D3484,""price"")"),"#N/A")</f>
        <v>#N/A</v>
      </c>
      <c r="M3484" s="9" t="e">
        <f t="shared" ca="1" si="72"/>
        <v>#VALUE!</v>
      </c>
      <c r="N3484" s="10" t="e">
        <f t="shared" ca="1" si="73"/>
        <v>#VALUE!</v>
      </c>
      <c r="O3484" s="7" t="str">
        <f ca="1">IFERROR(__xludf.DUMMYFUNCTION("GOOGLEFINANCE(""NSE:""&amp;D3484,""pe"")"),"#N/A")</f>
        <v>#N/A</v>
      </c>
      <c r="P3484" s="7" t="str">
        <f ca="1">IFERROR(__xludf.DUMMYFUNCTION("GOOGLEFINANCE(""NSE:""&amp;D3484,""EPS"")"),"#N/A")</f>
        <v>#N/A</v>
      </c>
      <c r="Q3484" s="7">
        <v>13.5</v>
      </c>
      <c r="R3484" s="7" t="str">
        <f ca="1">IFERROR(__xludf.DUMMYFUNCTION("IMPORTXML(E3484,""/html/body/main/div[3]/div[3]/div[2]/ul/li[7]/span[2]/span"")"),"Loading...")</f>
        <v>Loading...</v>
      </c>
      <c r="S3484" s="7" t="str">
        <f ca="1">IFERROR(__xludf.DUMMYFUNCTION("IMPORTXML(E3484,""/html/body/main/div[3]/div[3]/div[2]/ul/li[8]/span[2]/span"")"),"Loading...")</f>
        <v>Loading...</v>
      </c>
      <c r="T3484" s="4">
        <v>34.6</v>
      </c>
      <c r="U3484" s="4">
        <v>22.7</v>
      </c>
      <c r="V3484" s="4">
        <v>2.6</v>
      </c>
      <c r="W3484" s="4">
        <v>5.7</v>
      </c>
      <c r="X3484" s="4">
        <v>519.92999999999995</v>
      </c>
      <c r="Y3484" s="7" t="e">
        <f t="shared" ca="1" si="74"/>
        <v>#VALUE!</v>
      </c>
    </row>
    <row r="3485" spans="1:25" ht="15" x14ac:dyDescent="0.25">
      <c r="A3485" s="4">
        <v>3477</v>
      </c>
      <c r="C3485" s="41" t="s">
        <v>5832</v>
      </c>
      <c r="D3485" s="42"/>
      <c r="E3485" s="5" t="str">
        <f t="shared" si="70"/>
        <v>https://www.screener.in/company//consolidated/</v>
      </c>
      <c r="F3485" s="4">
        <v>443059</v>
      </c>
      <c r="G3485" s="4">
        <v>3832241897</v>
      </c>
      <c r="H3485" s="6" t="e">
        <f t="shared" ca="1" si="71"/>
        <v>#VALUE!</v>
      </c>
      <c r="I3485" s="7" t="str">
        <f ca="1">IFERROR(__xludf.DUMMYFUNCTION("IMPORTXML(E3485,""/html/body/main/div[3]/div[3]/div[2]/ul/li[5]/span[2]/span"")"),"Loading...")</f>
        <v>Loading...</v>
      </c>
      <c r="J3485" s="7" t="str">
        <f ca="1">IFERROR(__xludf.DUMMYFUNCTION("GOOGLEFINANCE(""NSE:""&amp;D3485,""marketcap"")"),"#N/A")</f>
        <v>#N/A</v>
      </c>
      <c r="K3485" s="7">
        <v>992.8</v>
      </c>
      <c r="L3485" s="8" t="str">
        <f ca="1">IFERROR(__xludf.DUMMYFUNCTION("GOOGLEFINANCE(""NSE:""&amp;D3485,""price"")"),"#N/A")</f>
        <v>#N/A</v>
      </c>
      <c r="M3485" s="9" t="e">
        <f t="shared" ca="1" si="72"/>
        <v>#VALUE!</v>
      </c>
      <c r="N3485" s="10" t="e">
        <f t="shared" ca="1" si="73"/>
        <v>#VALUE!</v>
      </c>
      <c r="O3485" s="7" t="str">
        <f ca="1">IFERROR(__xludf.DUMMYFUNCTION("GOOGLEFINANCE(""NSE:""&amp;D3485,""pe"")"),"#N/A")</f>
        <v>#N/A</v>
      </c>
      <c r="P3485" s="7" t="str">
        <f ca="1">IFERROR(__xludf.DUMMYFUNCTION("GOOGLEFINANCE(""NSE:""&amp;D3485,""EPS"")"),"#N/A")</f>
        <v>#N/A</v>
      </c>
      <c r="Q3485" s="7">
        <v>13.5</v>
      </c>
      <c r="R3485" s="7" t="str">
        <f ca="1">IFERROR(__xludf.DUMMYFUNCTION("IMPORTXML(E3485,""/html/body/main/div[3]/div[3]/div[2]/ul/li[7]/span[2]/span"")"),"Loading...")</f>
        <v>Loading...</v>
      </c>
      <c r="S3485" s="7" t="str">
        <f ca="1">IFERROR(__xludf.DUMMYFUNCTION("IMPORTXML(E3485,""/html/body/main/div[3]/div[3]/div[2]/ul/li[8]/span[2]/span"")"),"Loading...")</f>
        <v>Loading...</v>
      </c>
      <c r="T3485" s="4">
        <v>34.6</v>
      </c>
      <c r="U3485" s="4">
        <v>22.7</v>
      </c>
      <c r="V3485" s="4">
        <v>2.6</v>
      </c>
      <c r="W3485" s="4">
        <v>5.7</v>
      </c>
      <c r="X3485" s="4">
        <v>519.92999999999995</v>
      </c>
      <c r="Y3485" s="7" t="e">
        <f t="shared" ca="1" si="74"/>
        <v>#VALUE!</v>
      </c>
    </row>
    <row r="3486" spans="1:25" ht="15" x14ac:dyDescent="0.25">
      <c r="A3486" s="4">
        <v>3478</v>
      </c>
      <c r="C3486" s="41" t="s">
        <v>5833</v>
      </c>
      <c r="D3486" s="42"/>
      <c r="E3486" s="5" t="str">
        <f t="shared" si="70"/>
        <v>https://www.screener.in/company//consolidated/</v>
      </c>
      <c r="F3486" s="4">
        <v>443059</v>
      </c>
      <c r="G3486" s="4">
        <v>3832241897</v>
      </c>
      <c r="H3486" s="6" t="e">
        <f t="shared" ca="1" si="71"/>
        <v>#VALUE!</v>
      </c>
      <c r="I3486" s="7" t="str">
        <f ca="1">IFERROR(__xludf.DUMMYFUNCTION("IMPORTXML(E3486,""/html/body/main/div[3]/div[3]/div[2]/ul/li[5]/span[2]/span"")"),"Loading...")</f>
        <v>Loading...</v>
      </c>
      <c r="J3486" s="7" t="str">
        <f ca="1">IFERROR(__xludf.DUMMYFUNCTION("GOOGLEFINANCE(""NSE:""&amp;D3486,""marketcap"")"),"#N/A")</f>
        <v>#N/A</v>
      </c>
      <c r="K3486" s="7">
        <v>992.8</v>
      </c>
      <c r="L3486" s="8" t="str">
        <f ca="1">IFERROR(__xludf.DUMMYFUNCTION("GOOGLEFINANCE(""NSE:""&amp;D3486,""price"")"),"#N/A")</f>
        <v>#N/A</v>
      </c>
      <c r="M3486" s="9" t="e">
        <f t="shared" ca="1" si="72"/>
        <v>#VALUE!</v>
      </c>
      <c r="N3486" s="10" t="e">
        <f t="shared" ca="1" si="73"/>
        <v>#VALUE!</v>
      </c>
      <c r="O3486" s="7" t="str">
        <f ca="1">IFERROR(__xludf.DUMMYFUNCTION("GOOGLEFINANCE(""NSE:""&amp;D3486,""pe"")"),"#N/A")</f>
        <v>#N/A</v>
      </c>
      <c r="P3486" s="7" t="str">
        <f ca="1">IFERROR(__xludf.DUMMYFUNCTION("GOOGLEFINANCE(""NSE:""&amp;D3486,""EPS"")"),"#N/A")</f>
        <v>#N/A</v>
      </c>
      <c r="Q3486" s="7">
        <v>13.5</v>
      </c>
      <c r="R3486" s="7" t="str">
        <f ca="1">IFERROR(__xludf.DUMMYFUNCTION("IMPORTXML(E3486,""/html/body/main/div[3]/div[3]/div[2]/ul/li[7]/span[2]/span"")"),"Loading...")</f>
        <v>Loading...</v>
      </c>
      <c r="S3486" s="7" t="str">
        <f ca="1">IFERROR(__xludf.DUMMYFUNCTION("IMPORTXML(E3486,""/html/body/main/div[3]/div[3]/div[2]/ul/li[8]/span[2]/span"")"),"Loading...")</f>
        <v>Loading...</v>
      </c>
      <c r="T3486" s="4">
        <v>34.6</v>
      </c>
      <c r="U3486" s="4">
        <v>22.7</v>
      </c>
      <c r="V3486" s="4">
        <v>2.6</v>
      </c>
      <c r="W3486" s="4">
        <v>5.7</v>
      </c>
      <c r="X3486" s="4">
        <v>519.92999999999995</v>
      </c>
      <c r="Y3486" s="7" t="e">
        <f t="shared" ca="1" si="74"/>
        <v>#VALUE!</v>
      </c>
    </row>
    <row r="3487" spans="1:25" ht="15" x14ac:dyDescent="0.25">
      <c r="A3487" s="4">
        <v>3479</v>
      </c>
      <c r="C3487" s="41" t="s">
        <v>5834</v>
      </c>
      <c r="D3487" s="42"/>
      <c r="E3487" s="5" t="str">
        <f t="shared" si="70"/>
        <v>https://www.screener.in/company//consolidated/</v>
      </c>
      <c r="F3487" s="4">
        <v>443059</v>
      </c>
      <c r="G3487" s="4">
        <v>3832241897</v>
      </c>
      <c r="H3487" s="6" t="e">
        <f t="shared" ca="1" si="71"/>
        <v>#VALUE!</v>
      </c>
      <c r="I3487" s="7" t="str">
        <f ca="1">IFERROR(__xludf.DUMMYFUNCTION("IMPORTXML(E3487,""/html/body/main/div[3]/div[3]/div[2]/ul/li[5]/span[2]/span"")"),"Loading...")</f>
        <v>Loading...</v>
      </c>
      <c r="J3487" s="7" t="str">
        <f ca="1">IFERROR(__xludf.DUMMYFUNCTION("GOOGLEFINANCE(""NSE:""&amp;D3487,""marketcap"")"),"#N/A")</f>
        <v>#N/A</v>
      </c>
      <c r="K3487" s="7">
        <v>992.8</v>
      </c>
      <c r="L3487" s="8" t="str">
        <f ca="1">IFERROR(__xludf.DUMMYFUNCTION("GOOGLEFINANCE(""NSE:""&amp;D3487,""price"")"),"#N/A")</f>
        <v>#N/A</v>
      </c>
      <c r="M3487" s="9" t="e">
        <f t="shared" ca="1" si="72"/>
        <v>#VALUE!</v>
      </c>
      <c r="N3487" s="10" t="e">
        <f t="shared" ca="1" si="73"/>
        <v>#VALUE!</v>
      </c>
      <c r="O3487" s="7" t="str">
        <f ca="1">IFERROR(__xludf.DUMMYFUNCTION("GOOGLEFINANCE(""NSE:""&amp;D3487,""pe"")"),"#N/A")</f>
        <v>#N/A</v>
      </c>
      <c r="P3487" s="7" t="str">
        <f ca="1">IFERROR(__xludf.DUMMYFUNCTION("GOOGLEFINANCE(""NSE:""&amp;D3487,""EPS"")"),"#N/A")</f>
        <v>#N/A</v>
      </c>
      <c r="Q3487" s="7">
        <v>13.5</v>
      </c>
      <c r="R3487" s="7" t="str">
        <f ca="1">IFERROR(__xludf.DUMMYFUNCTION("IMPORTXML(E3487,""/html/body/main/div[3]/div[3]/div[2]/ul/li[7]/span[2]/span"")"),"Loading...")</f>
        <v>Loading...</v>
      </c>
      <c r="S3487" s="7" t="str">
        <f ca="1">IFERROR(__xludf.DUMMYFUNCTION("IMPORTXML(E3487,""/html/body/main/div[3]/div[3]/div[2]/ul/li[8]/span[2]/span"")"),"Loading...")</f>
        <v>Loading...</v>
      </c>
      <c r="T3487" s="4">
        <v>34.6</v>
      </c>
      <c r="U3487" s="4">
        <v>22.7</v>
      </c>
      <c r="V3487" s="4">
        <v>2.6</v>
      </c>
      <c r="W3487" s="4">
        <v>5.7</v>
      </c>
      <c r="X3487" s="4">
        <v>519.92999999999995</v>
      </c>
      <c r="Y3487" s="7" t="e">
        <f t="shared" ca="1" si="74"/>
        <v>#VALUE!</v>
      </c>
    </row>
    <row r="3488" spans="1:25" ht="15" x14ac:dyDescent="0.25">
      <c r="A3488" s="4">
        <v>3480</v>
      </c>
      <c r="C3488" s="41" t="s">
        <v>5835</v>
      </c>
      <c r="D3488" s="42"/>
      <c r="E3488" s="5" t="str">
        <f t="shared" si="70"/>
        <v>https://www.screener.in/company//consolidated/</v>
      </c>
      <c r="F3488" s="4">
        <v>443059</v>
      </c>
      <c r="G3488" s="4">
        <v>3832241897</v>
      </c>
      <c r="H3488" s="6" t="e">
        <f t="shared" ca="1" si="71"/>
        <v>#VALUE!</v>
      </c>
      <c r="I3488" s="7" t="str">
        <f ca="1">IFERROR(__xludf.DUMMYFUNCTION("IMPORTXML(E3488,""/html/body/main/div[3]/div[3]/div[2]/ul/li[5]/span[2]/span"")"),"Loading...")</f>
        <v>Loading...</v>
      </c>
      <c r="J3488" s="7" t="str">
        <f ca="1">IFERROR(__xludf.DUMMYFUNCTION("GOOGLEFINANCE(""NSE:""&amp;D3488,""marketcap"")"),"#N/A")</f>
        <v>#N/A</v>
      </c>
      <c r="K3488" s="7">
        <v>992.8</v>
      </c>
      <c r="L3488" s="8" t="str">
        <f ca="1">IFERROR(__xludf.DUMMYFUNCTION("GOOGLEFINANCE(""NSE:""&amp;D3488,""price"")"),"#N/A")</f>
        <v>#N/A</v>
      </c>
      <c r="M3488" s="9" t="e">
        <f t="shared" ca="1" si="72"/>
        <v>#VALUE!</v>
      </c>
      <c r="N3488" s="10" t="e">
        <f t="shared" ca="1" si="73"/>
        <v>#VALUE!</v>
      </c>
      <c r="O3488" s="7" t="str">
        <f ca="1">IFERROR(__xludf.DUMMYFUNCTION("GOOGLEFINANCE(""NSE:""&amp;D3488,""pe"")"),"#N/A")</f>
        <v>#N/A</v>
      </c>
      <c r="P3488" s="7" t="str">
        <f ca="1">IFERROR(__xludf.DUMMYFUNCTION("GOOGLEFINANCE(""NSE:""&amp;D3488,""EPS"")"),"#N/A")</f>
        <v>#N/A</v>
      </c>
      <c r="Q3488" s="7">
        <v>13.5</v>
      </c>
      <c r="R3488" s="7" t="str">
        <f ca="1">IFERROR(__xludf.DUMMYFUNCTION("IMPORTXML(E3488,""/html/body/main/div[3]/div[3]/div[2]/ul/li[7]/span[2]/span"")"),"Loading...")</f>
        <v>Loading...</v>
      </c>
      <c r="S3488" s="7" t="str">
        <f ca="1">IFERROR(__xludf.DUMMYFUNCTION("IMPORTXML(E3488,""/html/body/main/div[3]/div[3]/div[2]/ul/li[8]/span[2]/span"")"),"Loading...")</f>
        <v>Loading...</v>
      </c>
      <c r="T3488" s="4">
        <v>34.6</v>
      </c>
      <c r="U3488" s="4">
        <v>22.7</v>
      </c>
      <c r="V3488" s="4">
        <v>2.6</v>
      </c>
      <c r="W3488" s="4">
        <v>5.7</v>
      </c>
      <c r="X3488" s="4">
        <v>519.92999999999995</v>
      </c>
      <c r="Y3488" s="7" t="e">
        <f t="shared" ca="1" si="74"/>
        <v>#VALUE!</v>
      </c>
    </row>
    <row r="3489" spans="1:25" ht="15" x14ac:dyDescent="0.25">
      <c r="A3489" s="4">
        <v>3481</v>
      </c>
      <c r="C3489" s="41" t="s">
        <v>5836</v>
      </c>
      <c r="D3489" s="42"/>
      <c r="E3489" s="5" t="str">
        <f t="shared" si="70"/>
        <v>https://www.screener.in/company//consolidated/</v>
      </c>
      <c r="F3489" s="4">
        <v>443059</v>
      </c>
      <c r="G3489" s="4">
        <v>3832241897</v>
      </c>
      <c r="H3489" s="6" t="e">
        <f t="shared" ca="1" si="71"/>
        <v>#VALUE!</v>
      </c>
      <c r="I3489" s="7" t="str">
        <f ca="1">IFERROR(__xludf.DUMMYFUNCTION("IMPORTXML(E3489,""/html/body/main/div[3]/div[3]/div[2]/ul/li[5]/span[2]/span"")"),"Loading...")</f>
        <v>Loading...</v>
      </c>
      <c r="J3489" s="7" t="str">
        <f ca="1">IFERROR(__xludf.DUMMYFUNCTION("GOOGLEFINANCE(""NSE:""&amp;D3489,""marketcap"")"),"#N/A")</f>
        <v>#N/A</v>
      </c>
      <c r="K3489" s="7">
        <v>992.8</v>
      </c>
      <c r="L3489" s="8" t="str">
        <f ca="1">IFERROR(__xludf.DUMMYFUNCTION("GOOGLEFINANCE(""NSE:""&amp;D3489,""price"")"),"#N/A")</f>
        <v>#N/A</v>
      </c>
      <c r="M3489" s="9" t="e">
        <f t="shared" ca="1" si="72"/>
        <v>#VALUE!</v>
      </c>
      <c r="N3489" s="10" t="e">
        <f t="shared" ca="1" si="73"/>
        <v>#VALUE!</v>
      </c>
      <c r="O3489" s="7" t="str">
        <f ca="1">IFERROR(__xludf.DUMMYFUNCTION("GOOGLEFINANCE(""NSE:""&amp;D3489,""pe"")"),"#N/A")</f>
        <v>#N/A</v>
      </c>
      <c r="P3489" s="7" t="str">
        <f ca="1">IFERROR(__xludf.DUMMYFUNCTION("GOOGLEFINANCE(""NSE:""&amp;D3489,""EPS"")"),"#N/A")</f>
        <v>#N/A</v>
      </c>
      <c r="Q3489" s="7">
        <v>13.5</v>
      </c>
      <c r="R3489" s="7" t="str">
        <f ca="1">IFERROR(__xludf.DUMMYFUNCTION("IMPORTXML(E3489,""/html/body/main/div[3]/div[3]/div[2]/ul/li[7]/span[2]/span"")"),"Loading...")</f>
        <v>Loading...</v>
      </c>
      <c r="S3489" s="7" t="str">
        <f ca="1">IFERROR(__xludf.DUMMYFUNCTION("IMPORTXML(E3489,""/html/body/main/div[3]/div[3]/div[2]/ul/li[8]/span[2]/span"")"),"Loading...")</f>
        <v>Loading...</v>
      </c>
      <c r="T3489" s="4">
        <v>34.6</v>
      </c>
      <c r="U3489" s="4">
        <v>22.7</v>
      </c>
      <c r="V3489" s="4">
        <v>2.6</v>
      </c>
      <c r="W3489" s="4">
        <v>5.7</v>
      </c>
      <c r="X3489" s="4">
        <v>519.92999999999995</v>
      </c>
      <c r="Y3489" s="7" t="e">
        <f t="shared" ca="1" si="74"/>
        <v>#VALUE!</v>
      </c>
    </row>
    <row r="3490" spans="1:25" ht="15" x14ac:dyDescent="0.25">
      <c r="A3490" s="4">
        <v>3482</v>
      </c>
      <c r="C3490" s="41" t="s">
        <v>5837</v>
      </c>
      <c r="D3490" s="42"/>
      <c r="E3490" s="5" t="str">
        <f t="shared" si="70"/>
        <v>https://www.screener.in/company//consolidated/</v>
      </c>
      <c r="F3490" s="4">
        <v>443059</v>
      </c>
      <c r="G3490" s="4">
        <v>3832241897</v>
      </c>
      <c r="H3490" s="6" t="e">
        <f t="shared" ca="1" si="71"/>
        <v>#VALUE!</v>
      </c>
      <c r="I3490" s="7" t="str">
        <f ca="1">IFERROR(__xludf.DUMMYFUNCTION("IMPORTXML(E3490,""/html/body/main/div[3]/div[3]/div[2]/ul/li[5]/span[2]/span"")"),"Loading...")</f>
        <v>Loading...</v>
      </c>
      <c r="J3490" s="7" t="str">
        <f ca="1">IFERROR(__xludf.DUMMYFUNCTION("GOOGLEFINANCE(""NSE:""&amp;D3490,""marketcap"")"),"#N/A")</f>
        <v>#N/A</v>
      </c>
      <c r="K3490" s="7">
        <v>992.8</v>
      </c>
      <c r="L3490" s="8" t="str">
        <f ca="1">IFERROR(__xludf.DUMMYFUNCTION("GOOGLEFINANCE(""NSE:""&amp;D3490,""price"")"),"#N/A")</f>
        <v>#N/A</v>
      </c>
      <c r="M3490" s="9" t="e">
        <f t="shared" ca="1" si="72"/>
        <v>#VALUE!</v>
      </c>
      <c r="N3490" s="10" t="e">
        <f t="shared" ca="1" si="73"/>
        <v>#VALUE!</v>
      </c>
      <c r="O3490" s="7" t="str">
        <f ca="1">IFERROR(__xludf.DUMMYFUNCTION("GOOGLEFINANCE(""NSE:""&amp;D3490,""pe"")"),"#N/A")</f>
        <v>#N/A</v>
      </c>
      <c r="P3490" s="7" t="str">
        <f ca="1">IFERROR(__xludf.DUMMYFUNCTION("GOOGLEFINANCE(""NSE:""&amp;D3490,""EPS"")"),"#N/A")</f>
        <v>#N/A</v>
      </c>
      <c r="Q3490" s="7">
        <v>13.5</v>
      </c>
      <c r="R3490" s="7" t="str">
        <f ca="1">IFERROR(__xludf.DUMMYFUNCTION("IMPORTXML(E3490,""/html/body/main/div[3]/div[3]/div[2]/ul/li[7]/span[2]/span"")"),"Loading...")</f>
        <v>Loading...</v>
      </c>
      <c r="S3490" s="7" t="str">
        <f ca="1">IFERROR(__xludf.DUMMYFUNCTION("IMPORTXML(E3490,""/html/body/main/div[3]/div[3]/div[2]/ul/li[8]/span[2]/span"")"),"Loading...")</f>
        <v>Loading...</v>
      </c>
      <c r="T3490" s="4">
        <v>34.6</v>
      </c>
      <c r="U3490" s="4">
        <v>22.7</v>
      </c>
      <c r="V3490" s="4">
        <v>2.6</v>
      </c>
      <c r="W3490" s="4">
        <v>5.7</v>
      </c>
      <c r="X3490" s="4">
        <v>519.92999999999995</v>
      </c>
      <c r="Y3490" s="7" t="e">
        <f t="shared" ca="1" si="74"/>
        <v>#VALUE!</v>
      </c>
    </row>
    <row r="3491" spans="1:25" ht="15" x14ac:dyDescent="0.25">
      <c r="A3491" s="4">
        <v>3483</v>
      </c>
      <c r="C3491" s="41" t="s">
        <v>5838</v>
      </c>
      <c r="D3491" s="42"/>
      <c r="E3491" s="5" t="str">
        <f t="shared" si="70"/>
        <v>https://www.screener.in/company//consolidated/</v>
      </c>
      <c r="F3491" s="4">
        <v>443059</v>
      </c>
      <c r="G3491" s="4">
        <v>3832241897</v>
      </c>
      <c r="H3491" s="6" t="e">
        <f t="shared" ca="1" si="71"/>
        <v>#VALUE!</v>
      </c>
      <c r="I3491" s="7" t="str">
        <f ca="1">IFERROR(__xludf.DUMMYFUNCTION("IMPORTXML(E3491,""/html/body/main/div[3]/div[3]/div[2]/ul/li[5]/span[2]/span"")"),"Loading...")</f>
        <v>Loading...</v>
      </c>
      <c r="J3491" s="7" t="str">
        <f ca="1">IFERROR(__xludf.DUMMYFUNCTION("GOOGLEFINANCE(""NSE:""&amp;D3491,""marketcap"")"),"#N/A")</f>
        <v>#N/A</v>
      </c>
      <c r="K3491" s="7">
        <v>992.8</v>
      </c>
      <c r="L3491" s="8" t="str">
        <f ca="1">IFERROR(__xludf.DUMMYFUNCTION("GOOGLEFINANCE(""NSE:""&amp;D3491,""price"")"),"#N/A")</f>
        <v>#N/A</v>
      </c>
      <c r="M3491" s="9" t="e">
        <f t="shared" ca="1" si="72"/>
        <v>#VALUE!</v>
      </c>
      <c r="N3491" s="10" t="e">
        <f t="shared" ca="1" si="73"/>
        <v>#VALUE!</v>
      </c>
      <c r="O3491" s="7" t="str">
        <f ca="1">IFERROR(__xludf.DUMMYFUNCTION("GOOGLEFINANCE(""NSE:""&amp;D3491,""pe"")"),"#N/A")</f>
        <v>#N/A</v>
      </c>
      <c r="P3491" s="7" t="str">
        <f ca="1">IFERROR(__xludf.DUMMYFUNCTION("GOOGLEFINANCE(""NSE:""&amp;D3491,""EPS"")"),"#N/A")</f>
        <v>#N/A</v>
      </c>
      <c r="Q3491" s="7">
        <v>13.5</v>
      </c>
      <c r="R3491" s="7" t="str">
        <f ca="1">IFERROR(__xludf.DUMMYFUNCTION("IMPORTXML(E3491,""/html/body/main/div[3]/div[3]/div[2]/ul/li[7]/span[2]/span"")"),"Loading...")</f>
        <v>Loading...</v>
      </c>
      <c r="S3491" s="7" t="str">
        <f ca="1">IFERROR(__xludf.DUMMYFUNCTION("IMPORTXML(E3491,""/html/body/main/div[3]/div[3]/div[2]/ul/li[8]/span[2]/span"")"),"Loading...")</f>
        <v>Loading...</v>
      </c>
      <c r="T3491" s="4">
        <v>34.6</v>
      </c>
      <c r="U3491" s="4">
        <v>22.7</v>
      </c>
      <c r="V3491" s="4">
        <v>2.6</v>
      </c>
      <c r="W3491" s="4">
        <v>5.7</v>
      </c>
      <c r="X3491" s="4">
        <v>519.92999999999995</v>
      </c>
      <c r="Y3491" s="7" t="e">
        <f t="shared" ca="1" si="74"/>
        <v>#VALUE!</v>
      </c>
    </row>
    <row r="3492" spans="1:25" ht="15" x14ac:dyDescent="0.25">
      <c r="A3492" s="4">
        <v>3484</v>
      </c>
      <c r="C3492" s="41" t="s">
        <v>5839</v>
      </c>
      <c r="D3492" s="42"/>
      <c r="E3492" s="5" t="str">
        <f t="shared" si="70"/>
        <v>https://www.screener.in/company//consolidated/</v>
      </c>
      <c r="F3492" s="4">
        <v>443059</v>
      </c>
      <c r="G3492" s="4">
        <v>3832241897</v>
      </c>
      <c r="H3492" s="6" t="e">
        <f t="shared" ca="1" si="71"/>
        <v>#VALUE!</v>
      </c>
      <c r="I3492" s="7" t="str">
        <f ca="1">IFERROR(__xludf.DUMMYFUNCTION("IMPORTXML(E3492,""/html/body/main/div[3]/div[3]/div[2]/ul/li[5]/span[2]/span"")"),"Loading...")</f>
        <v>Loading...</v>
      </c>
      <c r="J3492" s="7" t="str">
        <f ca="1">IFERROR(__xludf.DUMMYFUNCTION("GOOGLEFINANCE(""NSE:""&amp;D3492,""marketcap"")"),"#N/A")</f>
        <v>#N/A</v>
      </c>
      <c r="K3492" s="7">
        <v>992.8</v>
      </c>
      <c r="L3492" s="8" t="str">
        <f ca="1">IFERROR(__xludf.DUMMYFUNCTION("GOOGLEFINANCE(""NSE:""&amp;D3492,""price"")"),"#N/A")</f>
        <v>#N/A</v>
      </c>
      <c r="M3492" s="9" t="e">
        <f t="shared" ca="1" si="72"/>
        <v>#VALUE!</v>
      </c>
      <c r="N3492" s="10" t="e">
        <f t="shared" ca="1" si="73"/>
        <v>#VALUE!</v>
      </c>
      <c r="O3492" s="7" t="str">
        <f ca="1">IFERROR(__xludf.DUMMYFUNCTION("GOOGLEFINANCE(""NSE:""&amp;D3492,""pe"")"),"#N/A")</f>
        <v>#N/A</v>
      </c>
      <c r="P3492" s="7" t="str">
        <f ca="1">IFERROR(__xludf.DUMMYFUNCTION("GOOGLEFINANCE(""NSE:""&amp;D3492,""EPS"")"),"#N/A")</f>
        <v>#N/A</v>
      </c>
      <c r="Q3492" s="7">
        <v>13.5</v>
      </c>
      <c r="R3492" s="7" t="str">
        <f ca="1">IFERROR(__xludf.DUMMYFUNCTION("IMPORTXML(E3492,""/html/body/main/div[3]/div[3]/div[2]/ul/li[7]/span[2]/span"")"),"Loading...")</f>
        <v>Loading...</v>
      </c>
      <c r="S3492" s="7" t="str">
        <f ca="1">IFERROR(__xludf.DUMMYFUNCTION("IMPORTXML(E3492,""/html/body/main/div[3]/div[3]/div[2]/ul/li[8]/span[2]/span"")"),"Loading...")</f>
        <v>Loading...</v>
      </c>
      <c r="T3492" s="4">
        <v>34.6</v>
      </c>
      <c r="U3492" s="4">
        <v>22.7</v>
      </c>
      <c r="V3492" s="4">
        <v>2.6</v>
      </c>
      <c r="W3492" s="4">
        <v>5.7</v>
      </c>
      <c r="X3492" s="4">
        <v>519.92999999999995</v>
      </c>
      <c r="Y3492" s="7" t="e">
        <f t="shared" ca="1" si="74"/>
        <v>#VALUE!</v>
      </c>
    </row>
    <row r="3493" spans="1:25" ht="15" x14ac:dyDescent="0.25">
      <c r="A3493" s="4">
        <v>3485</v>
      </c>
      <c r="C3493" s="41" t="s">
        <v>5840</v>
      </c>
      <c r="D3493" s="42"/>
      <c r="E3493" s="5" t="str">
        <f t="shared" si="70"/>
        <v>https://www.screener.in/company//consolidated/</v>
      </c>
      <c r="F3493" s="4">
        <v>443059</v>
      </c>
      <c r="G3493" s="4">
        <v>3832241897</v>
      </c>
      <c r="H3493" s="6" t="e">
        <f t="shared" ca="1" si="71"/>
        <v>#VALUE!</v>
      </c>
      <c r="I3493" s="7" t="str">
        <f ca="1">IFERROR(__xludf.DUMMYFUNCTION("IMPORTXML(E3493,""/html/body/main/div[3]/div[3]/div[2]/ul/li[5]/span[2]/span"")"),"Loading...")</f>
        <v>Loading...</v>
      </c>
      <c r="J3493" s="7" t="str">
        <f ca="1">IFERROR(__xludf.DUMMYFUNCTION("GOOGLEFINANCE(""NSE:""&amp;D3493,""marketcap"")"),"#N/A")</f>
        <v>#N/A</v>
      </c>
      <c r="K3493" s="7">
        <v>992.8</v>
      </c>
      <c r="L3493" s="8" t="str">
        <f ca="1">IFERROR(__xludf.DUMMYFUNCTION("GOOGLEFINANCE(""NSE:""&amp;D3493,""price"")"),"#N/A")</f>
        <v>#N/A</v>
      </c>
      <c r="M3493" s="9" t="e">
        <f t="shared" ca="1" si="72"/>
        <v>#VALUE!</v>
      </c>
      <c r="N3493" s="10" t="e">
        <f t="shared" ca="1" si="73"/>
        <v>#VALUE!</v>
      </c>
      <c r="O3493" s="7" t="str">
        <f ca="1">IFERROR(__xludf.DUMMYFUNCTION("GOOGLEFINANCE(""NSE:""&amp;D3493,""pe"")"),"#N/A")</f>
        <v>#N/A</v>
      </c>
      <c r="P3493" s="7" t="str">
        <f ca="1">IFERROR(__xludf.DUMMYFUNCTION("GOOGLEFINANCE(""NSE:""&amp;D3493,""EPS"")"),"#N/A")</f>
        <v>#N/A</v>
      </c>
      <c r="Q3493" s="7">
        <v>13.5</v>
      </c>
      <c r="R3493" s="7" t="str">
        <f ca="1">IFERROR(__xludf.DUMMYFUNCTION("IMPORTXML(E3493,""/html/body/main/div[3]/div[3]/div[2]/ul/li[7]/span[2]/span"")"),"Loading...")</f>
        <v>Loading...</v>
      </c>
      <c r="S3493" s="7" t="str">
        <f ca="1">IFERROR(__xludf.DUMMYFUNCTION("IMPORTXML(E3493,""/html/body/main/div[3]/div[3]/div[2]/ul/li[8]/span[2]/span"")"),"Loading...")</f>
        <v>Loading...</v>
      </c>
      <c r="T3493" s="4">
        <v>34.6</v>
      </c>
      <c r="U3493" s="4">
        <v>22.7</v>
      </c>
      <c r="V3493" s="4">
        <v>2.6</v>
      </c>
      <c r="W3493" s="4">
        <v>5.7</v>
      </c>
      <c r="X3493" s="4">
        <v>519.92999999999995</v>
      </c>
      <c r="Y3493" s="7" t="e">
        <f t="shared" ca="1" si="74"/>
        <v>#VALUE!</v>
      </c>
    </row>
    <row r="3494" spans="1:25" ht="15" x14ac:dyDescent="0.25">
      <c r="A3494" s="4">
        <v>3486</v>
      </c>
      <c r="C3494" s="41" t="s">
        <v>5841</v>
      </c>
      <c r="D3494" s="42"/>
      <c r="E3494" s="5" t="str">
        <f t="shared" si="70"/>
        <v>https://www.screener.in/company//consolidated/</v>
      </c>
      <c r="F3494" s="4">
        <v>443059</v>
      </c>
      <c r="G3494" s="4">
        <v>3832241897</v>
      </c>
      <c r="H3494" s="6" t="e">
        <f t="shared" ca="1" si="71"/>
        <v>#VALUE!</v>
      </c>
      <c r="I3494" s="7" t="str">
        <f ca="1">IFERROR(__xludf.DUMMYFUNCTION("IMPORTXML(E3494,""/html/body/main/div[3]/div[3]/div[2]/ul/li[5]/span[2]/span"")"),"Loading...")</f>
        <v>Loading...</v>
      </c>
      <c r="J3494" s="7" t="str">
        <f ca="1">IFERROR(__xludf.DUMMYFUNCTION("GOOGLEFINANCE(""NSE:""&amp;D3494,""marketcap"")"),"#N/A")</f>
        <v>#N/A</v>
      </c>
      <c r="K3494" s="7">
        <v>992.8</v>
      </c>
      <c r="L3494" s="8" t="str">
        <f ca="1">IFERROR(__xludf.DUMMYFUNCTION("GOOGLEFINANCE(""NSE:""&amp;D3494,""price"")"),"#N/A")</f>
        <v>#N/A</v>
      </c>
      <c r="M3494" s="9" t="e">
        <f t="shared" ca="1" si="72"/>
        <v>#VALUE!</v>
      </c>
      <c r="N3494" s="10" t="e">
        <f t="shared" ca="1" si="73"/>
        <v>#VALUE!</v>
      </c>
      <c r="O3494" s="7" t="str">
        <f ca="1">IFERROR(__xludf.DUMMYFUNCTION("GOOGLEFINANCE(""NSE:""&amp;D3494,""pe"")"),"#N/A")</f>
        <v>#N/A</v>
      </c>
      <c r="P3494" s="7" t="str">
        <f ca="1">IFERROR(__xludf.DUMMYFUNCTION("GOOGLEFINANCE(""NSE:""&amp;D3494,""EPS"")"),"#N/A")</f>
        <v>#N/A</v>
      </c>
      <c r="Q3494" s="7">
        <v>13.5</v>
      </c>
      <c r="R3494" s="7" t="str">
        <f ca="1">IFERROR(__xludf.DUMMYFUNCTION("IMPORTXML(E3494,""/html/body/main/div[3]/div[3]/div[2]/ul/li[7]/span[2]/span"")"),"Loading...")</f>
        <v>Loading...</v>
      </c>
      <c r="S3494" s="7" t="str">
        <f ca="1">IFERROR(__xludf.DUMMYFUNCTION("IMPORTXML(E3494,""/html/body/main/div[3]/div[3]/div[2]/ul/li[8]/span[2]/span"")"),"Loading...")</f>
        <v>Loading...</v>
      </c>
      <c r="T3494" s="4">
        <v>34.6</v>
      </c>
      <c r="U3494" s="4">
        <v>22.7</v>
      </c>
      <c r="V3494" s="4">
        <v>2.6</v>
      </c>
      <c r="W3494" s="4">
        <v>5.7</v>
      </c>
      <c r="X3494" s="4">
        <v>519.92999999999995</v>
      </c>
      <c r="Y3494" s="7" t="e">
        <f t="shared" ca="1" si="74"/>
        <v>#VALUE!</v>
      </c>
    </row>
    <row r="3495" spans="1:25" ht="15" x14ac:dyDescent="0.25">
      <c r="A3495" s="4">
        <v>3487</v>
      </c>
      <c r="C3495" s="41" t="s">
        <v>5842</v>
      </c>
      <c r="D3495" s="42"/>
      <c r="E3495" s="5" t="str">
        <f t="shared" si="70"/>
        <v>https://www.screener.in/company//consolidated/</v>
      </c>
      <c r="F3495" s="4">
        <v>443059</v>
      </c>
      <c r="G3495" s="4">
        <v>3832241897</v>
      </c>
      <c r="H3495" s="6" t="e">
        <f t="shared" ca="1" si="71"/>
        <v>#VALUE!</v>
      </c>
      <c r="I3495" s="7" t="str">
        <f ca="1">IFERROR(__xludf.DUMMYFUNCTION("IMPORTXML(E3495,""/html/body/main/div[3]/div[3]/div[2]/ul/li[5]/span[2]/span"")"),"Loading...")</f>
        <v>Loading...</v>
      </c>
      <c r="J3495" s="7" t="str">
        <f ca="1">IFERROR(__xludf.DUMMYFUNCTION("GOOGLEFINANCE(""NSE:""&amp;D3495,""marketcap"")"),"#N/A")</f>
        <v>#N/A</v>
      </c>
      <c r="K3495" s="7">
        <v>992.8</v>
      </c>
      <c r="L3495" s="8" t="str">
        <f ca="1">IFERROR(__xludf.DUMMYFUNCTION("GOOGLEFINANCE(""NSE:""&amp;D3495,""price"")"),"#N/A")</f>
        <v>#N/A</v>
      </c>
      <c r="M3495" s="9" t="e">
        <f t="shared" ca="1" si="72"/>
        <v>#VALUE!</v>
      </c>
      <c r="N3495" s="10" t="e">
        <f t="shared" ca="1" si="73"/>
        <v>#VALUE!</v>
      </c>
      <c r="O3495" s="7" t="str">
        <f ca="1">IFERROR(__xludf.DUMMYFUNCTION("GOOGLEFINANCE(""NSE:""&amp;D3495,""pe"")"),"#N/A")</f>
        <v>#N/A</v>
      </c>
      <c r="P3495" s="7" t="str">
        <f ca="1">IFERROR(__xludf.DUMMYFUNCTION("GOOGLEFINANCE(""NSE:""&amp;D3495,""EPS"")"),"#N/A")</f>
        <v>#N/A</v>
      </c>
      <c r="Q3495" s="7">
        <v>13.5</v>
      </c>
      <c r="R3495" s="7" t="str">
        <f ca="1">IFERROR(__xludf.DUMMYFUNCTION("IMPORTXML(E3495,""/html/body/main/div[3]/div[3]/div[2]/ul/li[7]/span[2]/span"")"),"Loading...")</f>
        <v>Loading...</v>
      </c>
      <c r="S3495" s="7" t="str">
        <f ca="1">IFERROR(__xludf.DUMMYFUNCTION("IMPORTXML(E3495,""/html/body/main/div[3]/div[3]/div[2]/ul/li[8]/span[2]/span"")"),"Loading...")</f>
        <v>Loading...</v>
      </c>
      <c r="T3495" s="4">
        <v>34.6</v>
      </c>
      <c r="U3495" s="4">
        <v>22.7</v>
      </c>
      <c r="V3495" s="4">
        <v>2.6</v>
      </c>
      <c r="W3495" s="4">
        <v>5.7</v>
      </c>
      <c r="X3495" s="4">
        <v>519.92999999999995</v>
      </c>
      <c r="Y3495" s="7" t="e">
        <f t="shared" ca="1" si="74"/>
        <v>#VALUE!</v>
      </c>
    </row>
    <row r="3496" spans="1:25" ht="15" x14ac:dyDescent="0.25">
      <c r="A3496" s="4">
        <v>3488</v>
      </c>
      <c r="C3496" s="41" t="s">
        <v>5843</v>
      </c>
      <c r="D3496" s="42"/>
      <c r="E3496" s="5" t="str">
        <f t="shared" si="70"/>
        <v>https://www.screener.in/company//consolidated/</v>
      </c>
      <c r="F3496" s="4">
        <v>443059</v>
      </c>
      <c r="G3496" s="4">
        <v>3832241897</v>
      </c>
      <c r="H3496" s="6" t="e">
        <f t="shared" ca="1" si="71"/>
        <v>#VALUE!</v>
      </c>
      <c r="I3496" s="7" t="str">
        <f ca="1">IFERROR(__xludf.DUMMYFUNCTION("IMPORTXML(E3496,""/html/body/main/div[3]/div[3]/div[2]/ul/li[5]/span[2]/span"")"),"Loading...")</f>
        <v>Loading...</v>
      </c>
      <c r="J3496" s="7" t="str">
        <f ca="1">IFERROR(__xludf.DUMMYFUNCTION("GOOGLEFINANCE(""NSE:""&amp;D3496,""marketcap"")"),"#N/A")</f>
        <v>#N/A</v>
      </c>
      <c r="K3496" s="7">
        <v>992.8</v>
      </c>
      <c r="L3496" s="8" t="str">
        <f ca="1">IFERROR(__xludf.DUMMYFUNCTION("GOOGLEFINANCE(""NSE:""&amp;D3496,""price"")"),"#N/A")</f>
        <v>#N/A</v>
      </c>
      <c r="M3496" s="9" t="e">
        <f t="shared" ca="1" si="72"/>
        <v>#VALUE!</v>
      </c>
      <c r="N3496" s="10" t="e">
        <f t="shared" ca="1" si="73"/>
        <v>#VALUE!</v>
      </c>
      <c r="O3496" s="7" t="str">
        <f ca="1">IFERROR(__xludf.DUMMYFUNCTION("GOOGLEFINANCE(""NSE:""&amp;D3496,""pe"")"),"#N/A")</f>
        <v>#N/A</v>
      </c>
      <c r="P3496" s="7" t="str">
        <f ca="1">IFERROR(__xludf.DUMMYFUNCTION("GOOGLEFINANCE(""NSE:""&amp;D3496,""EPS"")"),"#N/A")</f>
        <v>#N/A</v>
      </c>
      <c r="Q3496" s="7">
        <v>13.5</v>
      </c>
      <c r="R3496" s="7" t="str">
        <f ca="1">IFERROR(__xludf.DUMMYFUNCTION("IMPORTXML(E3496,""/html/body/main/div[3]/div[3]/div[2]/ul/li[7]/span[2]/span"")"),"Loading...")</f>
        <v>Loading...</v>
      </c>
      <c r="S3496" s="7" t="str">
        <f ca="1">IFERROR(__xludf.DUMMYFUNCTION("IMPORTXML(E3496,""/html/body/main/div[3]/div[3]/div[2]/ul/li[8]/span[2]/span"")"),"Loading...")</f>
        <v>Loading...</v>
      </c>
      <c r="T3496" s="4">
        <v>34.6</v>
      </c>
      <c r="U3496" s="4">
        <v>22.7</v>
      </c>
      <c r="V3496" s="4">
        <v>2.6</v>
      </c>
      <c r="W3496" s="4">
        <v>5.7</v>
      </c>
      <c r="X3496" s="4">
        <v>519.92999999999995</v>
      </c>
      <c r="Y3496" s="7" t="e">
        <f t="shared" ca="1" si="74"/>
        <v>#VALUE!</v>
      </c>
    </row>
    <row r="3497" spans="1:25" ht="15" x14ac:dyDescent="0.25">
      <c r="A3497" s="4">
        <v>3489</v>
      </c>
      <c r="C3497" s="41" t="s">
        <v>5844</v>
      </c>
      <c r="D3497" s="42"/>
      <c r="E3497" s="5" t="str">
        <f t="shared" si="70"/>
        <v>https://www.screener.in/company//consolidated/</v>
      </c>
      <c r="F3497" s="4">
        <v>443059</v>
      </c>
      <c r="G3497" s="4">
        <v>3832241897</v>
      </c>
      <c r="H3497" s="6" t="e">
        <f t="shared" ca="1" si="71"/>
        <v>#VALUE!</v>
      </c>
      <c r="I3497" s="7" t="str">
        <f ca="1">IFERROR(__xludf.DUMMYFUNCTION("IMPORTXML(E3497,""/html/body/main/div[3]/div[3]/div[2]/ul/li[5]/span[2]/span"")"),"Loading...")</f>
        <v>Loading...</v>
      </c>
      <c r="J3497" s="7" t="str">
        <f ca="1">IFERROR(__xludf.DUMMYFUNCTION("GOOGLEFINANCE(""NSE:""&amp;D3497,""marketcap"")"),"#N/A")</f>
        <v>#N/A</v>
      </c>
      <c r="K3497" s="7">
        <v>992.8</v>
      </c>
      <c r="L3497" s="8" t="str">
        <f ca="1">IFERROR(__xludf.DUMMYFUNCTION("GOOGLEFINANCE(""NSE:""&amp;D3497,""price"")"),"#N/A")</f>
        <v>#N/A</v>
      </c>
      <c r="M3497" s="9" t="e">
        <f t="shared" ca="1" si="72"/>
        <v>#VALUE!</v>
      </c>
      <c r="N3497" s="10" t="e">
        <f t="shared" ca="1" si="73"/>
        <v>#VALUE!</v>
      </c>
      <c r="O3497" s="7" t="str">
        <f ca="1">IFERROR(__xludf.DUMMYFUNCTION("GOOGLEFINANCE(""NSE:""&amp;D3497,""pe"")"),"#N/A")</f>
        <v>#N/A</v>
      </c>
      <c r="P3497" s="7" t="str">
        <f ca="1">IFERROR(__xludf.DUMMYFUNCTION("GOOGLEFINANCE(""NSE:""&amp;D3497,""EPS"")"),"#N/A")</f>
        <v>#N/A</v>
      </c>
      <c r="Q3497" s="7">
        <v>13.5</v>
      </c>
      <c r="R3497" s="7" t="str">
        <f ca="1">IFERROR(__xludf.DUMMYFUNCTION("IMPORTXML(E3497,""/html/body/main/div[3]/div[3]/div[2]/ul/li[7]/span[2]/span"")"),"Loading...")</f>
        <v>Loading...</v>
      </c>
      <c r="S3497" s="7" t="str">
        <f ca="1">IFERROR(__xludf.DUMMYFUNCTION("IMPORTXML(E3497,""/html/body/main/div[3]/div[3]/div[2]/ul/li[8]/span[2]/span"")"),"Loading...")</f>
        <v>Loading...</v>
      </c>
      <c r="T3497" s="4">
        <v>34.6</v>
      </c>
      <c r="U3497" s="4">
        <v>22.7</v>
      </c>
      <c r="V3497" s="4">
        <v>2.6</v>
      </c>
      <c r="W3497" s="4">
        <v>5.7</v>
      </c>
      <c r="X3497" s="4">
        <v>519.92999999999995</v>
      </c>
      <c r="Y3497" s="7" t="e">
        <f t="shared" ca="1" si="74"/>
        <v>#VALUE!</v>
      </c>
    </row>
    <row r="3498" spans="1:25" ht="15" x14ac:dyDescent="0.25">
      <c r="A3498" s="4">
        <v>3490</v>
      </c>
      <c r="C3498" s="41" t="s">
        <v>5845</v>
      </c>
      <c r="D3498" s="42"/>
      <c r="E3498" s="5" t="str">
        <f t="shared" si="70"/>
        <v>https://www.screener.in/company//consolidated/</v>
      </c>
      <c r="F3498" s="4">
        <v>443059</v>
      </c>
      <c r="G3498" s="4">
        <v>3832241897</v>
      </c>
      <c r="H3498" s="6" t="e">
        <f t="shared" ca="1" si="71"/>
        <v>#VALUE!</v>
      </c>
      <c r="I3498" s="7" t="str">
        <f ca="1">IFERROR(__xludf.DUMMYFUNCTION("IMPORTXML(E3498,""/html/body/main/div[3]/div[3]/div[2]/ul/li[5]/span[2]/span"")"),"Loading...")</f>
        <v>Loading...</v>
      </c>
      <c r="J3498" s="7" t="str">
        <f ca="1">IFERROR(__xludf.DUMMYFUNCTION("GOOGLEFINANCE(""NSE:""&amp;D3498,""marketcap"")"),"#N/A")</f>
        <v>#N/A</v>
      </c>
      <c r="K3498" s="7">
        <v>992.8</v>
      </c>
      <c r="L3498" s="8" t="str">
        <f ca="1">IFERROR(__xludf.DUMMYFUNCTION("GOOGLEFINANCE(""NSE:""&amp;D3498,""price"")"),"#N/A")</f>
        <v>#N/A</v>
      </c>
      <c r="M3498" s="9" t="e">
        <f t="shared" ca="1" si="72"/>
        <v>#VALUE!</v>
      </c>
      <c r="N3498" s="10" t="e">
        <f t="shared" ca="1" si="73"/>
        <v>#VALUE!</v>
      </c>
      <c r="O3498" s="7" t="str">
        <f ca="1">IFERROR(__xludf.DUMMYFUNCTION("GOOGLEFINANCE(""NSE:""&amp;D3498,""pe"")"),"#N/A")</f>
        <v>#N/A</v>
      </c>
      <c r="P3498" s="7" t="str">
        <f ca="1">IFERROR(__xludf.DUMMYFUNCTION("GOOGLEFINANCE(""NSE:""&amp;D3498,""EPS"")"),"#N/A")</f>
        <v>#N/A</v>
      </c>
      <c r="Q3498" s="7">
        <v>13.5</v>
      </c>
      <c r="R3498" s="7" t="str">
        <f ca="1">IFERROR(__xludf.DUMMYFUNCTION("IMPORTXML(E3498,""/html/body/main/div[3]/div[3]/div[2]/ul/li[7]/span[2]/span"")"),"Loading...")</f>
        <v>Loading...</v>
      </c>
      <c r="S3498" s="7" t="str">
        <f ca="1">IFERROR(__xludf.DUMMYFUNCTION("IMPORTXML(E3498,""/html/body/main/div[3]/div[3]/div[2]/ul/li[8]/span[2]/span"")"),"Loading...")</f>
        <v>Loading...</v>
      </c>
      <c r="T3498" s="4">
        <v>34.6</v>
      </c>
      <c r="U3498" s="4">
        <v>22.7</v>
      </c>
      <c r="V3498" s="4">
        <v>2.6</v>
      </c>
      <c r="W3498" s="4">
        <v>5.7</v>
      </c>
      <c r="X3498" s="4">
        <v>519.92999999999995</v>
      </c>
      <c r="Y3498" s="7" t="e">
        <f t="shared" ca="1" si="74"/>
        <v>#VALUE!</v>
      </c>
    </row>
    <row r="3499" spans="1:25" ht="15" x14ac:dyDescent="0.25">
      <c r="A3499" s="4">
        <v>3491</v>
      </c>
      <c r="C3499" s="41" t="s">
        <v>5846</v>
      </c>
      <c r="D3499" s="42"/>
      <c r="E3499" s="5" t="str">
        <f t="shared" si="70"/>
        <v>https://www.screener.in/company//consolidated/</v>
      </c>
      <c r="F3499" s="4">
        <v>443059</v>
      </c>
      <c r="G3499" s="4">
        <v>3832241897</v>
      </c>
      <c r="H3499" s="6" t="e">
        <f t="shared" ca="1" si="71"/>
        <v>#VALUE!</v>
      </c>
      <c r="I3499" s="7" t="str">
        <f ca="1">IFERROR(__xludf.DUMMYFUNCTION("IMPORTXML(E3499,""/html/body/main/div[3]/div[3]/div[2]/ul/li[5]/span[2]/span"")"),"Loading...")</f>
        <v>Loading...</v>
      </c>
      <c r="J3499" s="7" t="str">
        <f ca="1">IFERROR(__xludf.DUMMYFUNCTION("GOOGLEFINANCE(""NSE:""&amp;D3499,""marketcap"")"),"#N/A")</f>
        <v>#N/A</v>
      </c>
      <c r="K3499" s="7">
        <v>992.8</v>
      </c>
      <c r="L3499" s="8" t="str">
        <f ca="1">IFERROR(__xludf.DUMMYFUNCTION("GOOGLEFINANCE(""NSE:""&amp;D3499,""price"")"),"#N/A")</f>
        <v>#N/A</v>
      </c>
      <c r="M3499" s="9" t="e">
        <f t="shared" ca="1" si="72"/>
        <v>#VALUE!</v>
      </c>
      <c r="N3499" s="10" t="e">
        <f t="shared" ca="1" si="73"/>
        <v>#VALUE!</v>
      </c>
      <c r="O3499" s="7" t="str">
        <f ca="1">IFERROR(__xludf.DUMMYFUNCTION("GOOGLEFINANCE(""NSE:""&amp;D3499,""pe"")"),"#N/A")</f>
        <v>#N/A</v>
      </c>
      <c r="P3499" s="7" t="str">
        <f ca="1">IFERROR(__xludf.DUMMYFUNCTION("GOOGLEFINANCE(""NSE:""&amp;D3499,""EPS"")"),"#N/A")</f>
        <v>#N/A</v>
      </c>
      <c r="Q3499" s="7">
        <v>13.5</v>
      </c>
      <c r="R3499" s="7" t="str">
        <f ca="1">IFERROR(__xludf.DUMMYFUNCTION("IMPORTXML(E3499,""/html/body/main/div[3]/div[3]/div[2]/ul/li[7]/span[2]/span"")"),"Loading...")</f>
        <v>Loading...</v>
      </c>
      <c r="S3499" s="7" t="str">
        <f ca="1">IFERROR(__xludf.DUMMYFUNCTION("IMPORTXML(E3499,""/html/body/main/div[3]/div[3]/div[2]/ul/li[8]/span[2]/span"")"),"Loading...")</f>
        <v>Loading...</v>
      </c>
      <c r="T3499" s="4">
        <v>34.6</v>
      </c>
      <c r="U3499" s="4">
        <v>22.7</v>
      </c>
      <c r="V3499" s="4">
        <v>2.6</v>
      </c>
      <c r="W3499" s="4">
        <v>5.7</v>
      </c>
      <c r="X3499" s="4">
        <v>519.92999999999995</v>
      </c>
      <c r="Y3499" s="7" t="e">
        <f t="shared" ca="1" si="74"/>
        <v>#VALUE!</v>
      </c>
    </row>
    <row r="3500" spans="1:25" ht="15" x14ac:dyDescent="0.25">
      <c r="A3500" s="4">
        <v>3492</v>
      </c>
      <c r="C3500" s="41" t="s">
        <v>5847</v>
      </c>
      <c r="D3500" s="42"/>
      <c r="E3500" s="5" t="str">
        <f t="shared" si="70"/>
        <v>https://www.screener.in/company//consolidated/</v>
      </c>
      <c r="F3500" s="4">
        <v>443059</v>
      </c>
      <c r="G3500" s="4">
        <v>3832241897</v>
      </c>
      <c r="H3500" s="6" t="e">
        <f t="shared" ca="1" si="71"/>
        <v>#VALUE!</v>
      </c>
      <c r="I3500" s="7" t="str">
        <f ca="1">IFERROR(__xludf.DUMMYFUNCTION("IMPORTXML(E3500,""/html/body/main/div[3]/div[3]/div[2]/ul/li[5]/span[2]/span"")"),"Loading...")</f>
        <v>Loading...</v>
      </c>
      <c r="J3500" s="7" t="str">
        <f ca="1">IFERROR(__xludf.DUMMYFUNCTION("GOOGLEFINANCE(""NSE:""&amp;D3500,""marketcap"")"),"#N/A")</f>
        <v>#N/A</v>
      </c>
      <c r="K3500" s="7">
        <v>992.8</v>
      </c>
      <c r="L3500" s="8" t="str">
        <f ca="1">IFERROR(__xludf.DUMMYFUNCTION("GOOGLEFINANCE(""NSE:""&amp;D3500,""price"")"),"#N/A")</f>
        <v>#N/A</v>
      </c>
      <c r="M3500" s="9" t="e">
        <f t="shared" ca="1" si="72"/>
        <v>#VALUE!</v>
      </c>
      <c r="N3500" s="10" t="e">
        <f t="shared" ca="1" si="73"/>
        <v>#VALUE!</v>
      </c>
      <c r="O3500" s="7" t="str">
        <f ca="1">IFERROR(__xludf.DUMMYFUNCTION("GOOGLEFINANCE(""NSE:""&amp;D3500,""pe"")"),"#N/A")</f>
        <v>#N/A</v>
      </c>
      <c r="P3500" s="7" t="str">
        <f ca="1">IFERROR(__xludf.DUMMYFUNCTION("GOOGLEFINANCE(""NSE:""&amp;D3500,""EPS"")"),"#N/A")</f>
        <v>#N/A</v>
      </c>
      <c r="Q3500" s="7">
        <v>13.5</v>
      </c>
      <c r="R3500" s="7" t="str">
        <f ca="1">IFERROR(__xludf.DUMMYFUNCTION("IMPORTXML(E3500,""/html/body/main/div[3]/div[3]/div[2]/ul/li[7]/span[2]/span"")"),"Loading...")</f>
        <v>Loading...</v>
      </c>
      <c r="S3500" s="7" t="str">
        <f ca="1">IFERROR(__xludf.DUMMYFUNCTION("IMPORTXML(E3500,""/html/body/main/div[3]/div[3]/div[2]/ul/li[8]/span[2]/span"")"),"Loading...")</f>
        <v>Loading...</v>
      </c>
      <c r="T3500" s="4">
        <v>34.6</v>
      </c>
      <c r="U3500" s="4">
        <v>22.7</v>
      </c>
      <c r="V3500" s="4">
        <v>2.6</v>
      </c>
      <c r="W3500" s="4">
        <v>5.7</v>
      </c>
      <c r="X3500" s="4">
        <v>519.92999999999995</v>
      </c>
      <c r="Y3500" s="7" t="e">
        <f t="shared" ca="1" si="74"/>
        <v>#VALUE!</v>
      </c>
    </row>
    <row r="3501" spans="1:25" ht="15" x14ac:dyDescent="0.25">
      <c r="A3501" s="4">
        <v>3493</v>
      </c>
      <c r="C3501" s="41" t="s">
        <v>5848</v>
      </c>
      <c r="D3501" s="42"/>
      <c r="E3501" s="5" t="str">
        <f t="shared" si="70"/>
        <v>https://www.screener.in/company//consolidated/</v>
      </c>
      <c r="F3501" s="4">
        <v>443059</v>
      </c>
      <c r="G3501" s="4">
        <v>3832241897</v>
      </c>
      <c r="H3501" s="6" t="e">
        <f t="shared" ca="1" si="71"/>
        <v>#VALUE!</v>
      </c>
      <c r="I3501" s="7" t="str">
        <f ca="1">IFERROR(__xludf.DUMMYFUNCTION("IMPORTXML(E3501,""/html/body/main/div[3]/div[3]/div[2]/ul/li[5]/span[2]/span"")"),"Loading...")</f>
        <v>Loading...</v>
      </c>
      <c r="J3501" s="7" t="str">
        <f ca="1">IFERROR(__xludf.DUMMYFUNCTION("GOOGLEFINANCE(""NSE:""&amp;D3501,""marketcap"")"),"#N/A")</f>
        <v>#N/A</v>
      </c>
      <c r="K3501" s="7">
        <v>992.8</v>
      </c>
      <c r="L3501" s="8" t="str">
        <f ca="1">IFERROR(__xludf.DUMMYFUNCTION("GOOGLEFINANCE(""NSE:""&amp;D3501,""price"")"),"#N/A")</f>
        <v>#N/A</v>
      </c>
      <c r="M3501" s="9" t="e">
        <f t="shared" ca="1" si="72"/>
        <v>#VALUE!</v>
      </c>
      <c r="N3501" s="10" t="e">
        <f t="shared" ca="1" si="73"/>
        <v>#VALUE!</v>
      </c>
      <c r="O3501" s="7" t="str">
        <f ca="1">IFERROR(__xludf.DUMMYFUNCTION("GOOGLEFINANCE(""NSE:""&amp;D3501,""pe"")"),"#N/A")</f>
        <v>#N/A</v>
      </c>
      <c r="P3501" s="7" t="str">
        <f ca="1">IFERROR(__xludf.DUMMYFUNCTION("GOOGLEFINANCE(""NSE:""&amp;D3501,""EPS"")"),"#N/A")</f>
        <v>#N/A</v>
      </c>
      <c r="Q3501" s="7">
        <v>13.5</v>
      </c>
      <c r="R3501" s="7" t="str">
        <f ca="1">IFERROR(__xludf.DUMMYFUNCTION("IMPORTXML(E3501,""/html/body/main/div[3]/div[3]/div[2]/ul/li[7]/span[2]/span"")"),"Loading...")</f>
        <v>Loading...</v>
      </c>
      <c r="S3501" s="7" t="str">
        <f ca="1">IFERROR(__xludf.DUMMYFUNCTION("IMPORTXML(E3501,""/html/body/main/div[3]/div[3]/div[2]/ul/li[8]/span[2]/span"")"),"Loading...")</f>
        <v>Loading...</v>
      </c>
      <c r="T3501" s="4">
        <v>34.6</v>
      </c>
      <c r="U3501" s="4">
        <v>22.7</v>
      </c>
      <c r="V3501" s="4">
        <v>2.6</v>
      </c>
      <c r="W3501" s="4">
        <v>5.7</v>
      </c>
      <c r="X3501" s="4">
        <v>519.92999999999995</v>
      </c>
      <c r="Y3501" s="7" t="e">
        <f t="shared" ca="1" si="74"/>
        <v>#VALUE!</v>
      </c>
    </row>
    <row r="3502" spans="1:25" ht="15" x14ac:dyDescent="0.25">
      <c r="A3502" s="4">
        <v>3494</v>
      </c>
      <c r="C3502" s="41" t="s">
        <v>5849</v>
      </c>
      <c r="D3502" s="42"/>
      <c r="E3502" s="5" t="str">
        <f t="shared" si="70"/>
        <v>https://www.screener.in/company//consolidated/</v>
      </c>
      <c r="F3502" s="4">
        <v>443059</v>
      </c>
      <c r="G3502" s="4">
        <v>3832241897</v>
      </c>
      <c r="H3502" s="6" t="e">
        <f t="shared" ca="1" si="71"/>
        <v>#VALUE!</v>
      </c>
      <c r="I3502" s="7" t="str">
        <f ca="1">IFERROR(__xludf.DUMMYFUNCTION("IMPORTXML(E3502,""/html/body/main/div[3]/div[3]/div[2]/ul/li[5]/span[2]/span"")"),"Loading...")</f>
        <v>Loading...</v>
      </c>
      <c r="J3502" s="7" t="str">
        <f ca="1">IFERROR(__xludf.DUMMYFUNCTION("GOOGLEFINANCE(""NSE:""&amp;D3502,""marketcap"")"),"#N/A")</f>
        <v>#N/A</v>
      </c>
      <c r="K3502" s="7">
        <v>992.8</v>
      </c>
      <c r="L3502" s="8" t="str">
        <f ca="1">IFERROR(__xludf.DUMMYFUNCTION("GOOGLEFINANCE(""NSE:""&amp;D3502,""price"")"),"#N/A")</f>
        <v>#N/A</v>
      </c>
      <c r="M3502" s="9" t="e">
        <f t="shared" ca="1" si="72"/>
        <v>#VALUE!</v>
      </c>
      <c r="N3502" s="10" t="e">
        <f t="shared" ca="1" si="73"/>
        <v>#VALUE!</v>
      </c>
      <c r="O3502" s="7" t="str">
        <f ca="1">IFERROR(__xludf.DUMMYFUNCTION("GOOGLEFINANCE(""NSE:""&amp;D3502,""pe"")"),"#N/A")</f>
        <v>#N/A</v>
      </c>
      <c r="P3502" s="7" t="str">
        <f ca="1">IFERROR(__xludf.DUMMYFUNCTION("GOOGLEFINANCE(""NSE:""&amp;D3502,""EPS"")"),"#N/A")</f>
        <v>#N/A</v>
      </c>
      <c r="Q3502" s="7">
        <v>13.5</v>
      </c>
      <c r="R3502" s="7" t="str">
        <f ca="1">IFERROR(__xludf.DUMMYFUNCTION("IMPORTXML(E3502,""/html/body/main/div[3]/div[3]/div[2]/ul/li[7]/span[2]/span"")"),"Loading...")</f>
        <v>Loading...</v>
      </c>
      <c r="S3502" s="7" t="str">
        <f ca="1">IFERROR(__xludf.DUMMYFUNCTION("IMPORTXML(E3502,""/html/body/main/div[3]/div[3]/div[2]/ul/li[8]/span[2]/span"")"),"Loading...")</f>
        <v>Loading...</v>
      </c>
      <c r="T3502" s="4">
        <v>34.6</v>
      </c>
      <c r="U3502" s="4">
        <v>22.7</v>
      </c>
      <c r="V3502" s="4">
        <v>2.6</v>
      </c>
      <c r="W3502" s="4">
        <v>5.7</v>
      </c>
      <c r="X3502" s="4">
        <v>519.92999999999995</v>
      </c>
      <c r="Y3502" s="7" t="e">
        <f t="shared" ca="1" si="74"/>
        <v>#VALUE!</v>
      </c>
    </row>
    <row r="3503" spans="1:25" ht="15" x14ac:dyDescent="0.25">
      <c r="A3503" s="4">
        <v>3495</v>
      </c>
      <c r="C3503" s="41" t="s">
        <v>5850</v>
      </c>
      <c r="D3503" s="42"/>
      <c r="E3503" s="5" t="str">
        <f t="shared" si="70"/>
        <v>https://www.screener.in/company//consolidated/</v>
      </c>
      <c r="F3503" s="4">
        <v>443059</v>
      </c>
      <c r="G3503" s="4">
        <v>3832241897</v>
      </c>
      <c r="H3503" s="6" t="e">
        <f t="shared" ca="1" si="71"/>
        <v>#VALUE!</v>
      </c>
      <c r="I3503" s="7" t="str">
        <f ca="1">IFERROR(__xludf.DUMMYFUNCTION("IMPORTXML(E3503,""/html/body/main/div[3]/div[3]/div[2]/ul/li[5]/span[2]/span"")"),"Loading...")</f>
        <v>Loading...</v>
      </c>
      <c r="J3503" s="7" t="str">
        <f ca="1">IFERROR(__xludf.DUMMYFUNCTION("GOOGLEFINANCE(""NSE:""&amp;D3503,""marketcap"")"),"#N/A")</f>
        <v>#N/A</v>
      </c>
      <c r="K3503" s="7">
        <v>992.8</v>
      </c>
      <c r="L3503" s="8" t="str">
        <f ca="1">IFERROR(__xludf.DUMMYFUNCTION("GOOGLEFINANCE(""NSE:""&amp;D3503,""price"")"),"#N/A")</f>
        <v>#N/A</v>
      </c>
      <c r="M3503" s="9" t="e">
        <f t="shared" ca="1" si="72"/>
        <v>#VALUE!</v>
      </c>
      <c r="N3503" s="10" t="e">
        <f t="shared" ca="1" si="73"/>
        <v>#VALUE!</v>
      </c>
      <c r="O3503" s="7" t="str">
        <f ca="1">IFERROR(__xludf.DUMMYFUNCTION("GOOGLEFINANCE(""NSE:""&amp;D3503,""pe"")"),"#N/A")</f>
        <v>#N/A</v>
      </c>
      <c r="P3503" s="7" t="str">
        <f ca="1">IFERROR(__xludf.DUMMYFUNCTION("GOOGLEFINANCE(""NSE:""&amp;D3503,""EPS"")"),"#N/A")</f>
        <v>#N/A</v>
      </c>
      <c r="Q3503" s="7">
        <v>13.5</v>
      </c>
      <c r="R3503" s="7" t="str">
        <f ca="1">IFERROR(__xludf.DUMMYFUNCTION("IMPORTXML(E3503,""/html/body/main/div[3]/div[3]/div[2]/ul/li[7]/span[2]/span"")"),"Loading...")</f>
        <v>Loading...</v>
      </c>
      <c r="S3503" s="7" t="str">
        <f ca="1">IFERROR(__xludf.DUMMYFUNCTION("IMPORTXML(E3503,""/html/body/main/div[3]/div[3]/div[2]/ul/li[8]/span[2]/span"")"),"Loading...")</f>
        <v>Loading...</v>
      </c>
      <c r="T3503" s="4">
        <v>34.6</v>
      </c>
      <c r="U3503" s="4">
        <v>22.7</v>
      </c>
      <c r="V3503" s="4">
        <v>2.6</v>
      </c>
      <c r="W3503" s="4">
        <v>5.7</v>
      </c>
      <c r="X3503" s="4">
        <v>519.92999999999995</v>
      </c>
      <c r="Y3503" s="7" t="e">
        <f t="shared" ca="1" si="74"/>
        <v>#VALUE!</v>
      </c>
    </row>
    <row r="3504" spans="1:25" ht="15" x14ac:dyDescent="0.25">
      <c r="A3504" s="4">
        <v>3496</v>
      </c>
      <c r="C3504" s="41" t="s">
        <v>5851</v>
      </c>
      <c r="D3504" s="42"/>
      <c r="E3504" s="5" t="str">
        <f t="shared" si="70"/>
        <v>https://www.screener.in/company//consolidated/</v>
      </c>
      <c r="F3504" s="4">
        <v>443059</v>
      </c>
      <c r="G3504" s="4">
        <v>3832241897</v>
      </c>
      <c r="H3504" s="6" t="e">
        <f t="shared" ca="1" si="71"/>
        <v>#VALUE!</v>
      </c>
      <c r="I3504" s="7" t="str">
        <f ca="1">IFERROR(__xludf.DUMMYFUNCTION("IMPORTXML(E3504,""/html/body/main/div[3]/div[3]/div[2]/ul/li[5]/span[2]/span"")"),"Loading...")</f>
        <v>Loading...</v>
      </c>
      <c r="J3504" s="7" t="str">
        <f ca="1">IFERROR(__xludf.DUMMYFUNCTION("GOOGLEFINANCE(""NSE:""&amp;D3504,""marketcap"")"),"#N/A")</f>
        <v>#N/A</v>
      </c>
      <c r="K3504" s="7">
        <v>992.8</v>
      </c>
      <c r="L3504" s="8" t="str">
        <f ca="1">IFERROR(__xludf.DUMMYFUNCTION("GOOGLEFINANCE(""NSE:""&amp;D3504,""price"")"),"#N/A")</f>
        <v>#N/A</v>
      </c>
      <c r="M3504" s="9" t="e">
        <f t="shared" ca="1" si="72"/>
        <v>#VALUE!</v>
      </c>
      <c r="N3504" s="10" t="e">
        <f t="shared" ca="1" si="73"/>
        <v>#VALUE!</v>
      </c>
      <c r="O3504" s="7" t="str">
        <f ca="1">IFERROR(__xludf.DUMMYFUNCTION("GOOGLEFINANCE(""NSE:""&amp;D3504,""pe"")"),"#N/A")</f>
        <v>#N/A</v>
      </c>
      <c r="P3504" s="7" t="str">
        <f ca="1">IFERROR(__xludf.DUMMYFUNCTION("GOOGLEFINANCE(""NSE:""&amp;D3504,""EPS"")"),"#N/A")</f>
        <v>#N/A</v>
      </c>
      <c r="Q3504" s="7">
        <v>13.5</v>
      </c>
      <c r="R3504" s="7" t="str">
        <f ca="1">IFERROR(__xludf.DUMMYFUNCTION("IMPORTXML(E3504,""/html/body/main/div[3]/div[3]/div[2]/ul/li[7]/span[2]/span"")"),"Loading...")</f>
        <v>Loading...</v>
      </c>
      <c r="S3504" s="7" t="str">
        <f ca="1">IFERROR(__xludf.DUMMYFUNCTION("IMPORTXML(E3504,""/html/body/main/div[3]/div[3]/div[2]/ul/li[8]/span[2]/span"")"),"Loading...")</f>
        <v>Loading...</v>
      </c>
      <c r="T3504" s="4">
        <v>34.6</v>
      </c>
      <c r="U3504" s="4">
        <v>22.7</v>
      </c>
      <c r="V3504" s="4">
        <v>2.6</v>
      </c>
      <c r="W3504" s="4">
        <v>5.7</v>
      </c>
      <c r="X3504" s="4">
        <v>519.92999999999995</v>
      </c>
      <c r="Y3504" s="7" t="e">
        <f t="shared" ca="1" si="74"/>
        <v>#VALUE!</v>
      </c>
    </row>
    <row r="3505" spans="1:25" ht="15" x14ac:dyDescent="0.25">
      <c r="A3505" s="4">
        <v>3497</v>
      </c>
      <c r="C3505" s="41" t="s">
        <v>5852</v>
      </c>
      <c r="D3505" s="42"/>
      <c r="E3505" s="5" t="str">
        <f t="shared" si="70"/>
        <v>https://www.screener.in/company//consolidated/</v>
      </c>
      <c r="F3505" s="4">
        <v>443059</v>
      </c>
      <c r="G3505" s="4">
        <v>3832241897</v>
      </c>
      <c r="H3505" s="6" t="e">
        <f t="shared" ca="1" si="71"/>
        <v>#VALUE!</v>
      </c>
      <c r="I3505" s="7" t="str">
        <f ca="1">IFERROR(__xludf.DUMMYFUNCTION("IMPORTXML(E3505,""/html/body/main/div[3]/div[3]/div[2]/ul/li[5]/span[2]/span"")"),"Loading...")</f>
        <v>Loading...</v>
      </c>
      <c r="J3505" s="7" t="str">
        <f ca="1">IFERROR(__xludf.DUMMYFUNCTION("GOOGLEFINANCE(""NSE:""&amp;D3505,""marketcap"")"),"#N/A")</f>
        <v>#N/A</v>
      </c>
      <c r="K3505" s="7">
        <v>992.8</v>
      </c>
      <c r="L3505" s="8" t="str">
        <f ca="1">IFERROR(__xludf.DUMMYFUNCTION("GOOGLEFINANCE(""NSE:""&amp;D3505,""price"")"),"#N/A")</f>
        <v>#N/A</v>
      </c>
      <c r="M3505" s="9" t="e">
        <f t="shared" ca="1" si="72"/>
        <v>#VALUE!</v>
      </c>
      <c r="N3505" s="10" t="e">
        <f t="shared" ca="1" si="73"/>
        <v>#VALUE!</v>
      </c>
      <c r="O3505" s="7" t="str">
        <f ca="1">IFERROR(__xludf.DUMMYFUNCTION("GOOGLEFINANCE(""NSE:""&amp;D3505,""pe"")"),"#N/A")</f>
        <v>#N/A</v>
      </c>
      <c r="P3505" s="7" t="str">
        <f ca="1">IFERROR(__xludf.DUMMYFUNCTION("GOOGLEFINANCE(""NSE:""&amp;D3505,""EPS"")"),"#N/A")</f>
        <v>#N/A</v>
      </c>
      <c r="Q3505" s="7">
        <v>13.5</v>
      </c>
      <c r="R3505" s="7" t="str">
        <f ca="1">IFERROR(__xludf.DUMMYFUNCTION("IMPORTXML(E3505,""/html/body/main/div[3]/div[3]/div[2]/ul/li[7]/span[2]/span"")"),"Loading...")</f>
        <v>Loading...</v>
      </c>
      <c r="S3505" s="7" t="str">
        <f ca="1">IFERROR(__xludf.DUMMYFUNCTION("IMPORTXML(E3505,""/html/body/main/div[3]/div[3]/div[2]/ul/li[8]/span[2]/span"")"),"Loading...")</f>
        <v>Loading...</v>
      </c>
      <c r="T3505" s="4">
        <v>34.6</v>
      </c>
      <c r="U3505" s="4">
        <v>22.7</v>
      </c>
      <c r="V3505" s="4">
        <v>2.6</v>
      </c>
      <c r="W3505" s="4">
        <v>5.7</v>
      </c>
      <c r="X3505" s="4">
        <v>519.92999999999995</v>
      </c>
      <c r="Y3505" s="7" t="e">
        <f t="shared" ca="1" si="74"/>
        <v>#VALUE!</v>
      </c>
    </row>
    <row r="3506" spans="1:25" ht="15" x14ac:dyDescent="0.25">
      <c r="A3506" s="4">
        <v>3498</v>
      </c>
      <c r="C3506" s="41" t="s">
        <v>5853</v>
      </c>
      <c r="D3506" s="42"/>
      <c r="E3506" s="5" t="str">
        <f t="shared" si="70"/>
        <v>https://www.screener.in/company//consolidated/</v>
      </c>
      <c r="F3506" s="4">
        <v>443059</v>
      </c>
      <c r="G3506" s="4">
        <v>3832241897</v>
      </c>
      <c r="H3506" s="6" t="e">
        <f t="shared" ca="1" si="71"/>
        <v>#VALUE!</v>
      </c>
      <c r="I3506" s="7" t="str">
        <f ca="1">IFERROR(__xludf.DUMMYFUNCTION("IMPORTXML(E3506,""/html/body/main/div[3]/div[3]/div[2]/ul/li[5]/span[2]/span"")"),"Loading...")</f>
        <v>Loading...</v>
      </c>
      <c r="J3506" s="7" t="str">
        <f ca="1">IFERROR(__xludf.DUMMYFUNCTION("GOOGLEFINANCE(""NSE:""&amp;D3506,""marketcap"")"),"#N/A")</f>
        <v>#N/A</v>
      </c>
      <c r="K3506" s="7">
        <v>992.8</v>
      </c>
      <c r="L3506" s="8" t="str">
        <f ca="1">IFERROR(__xludf.DUMMYFUNCTION("GOOGLEFINANCE(""NSE:""&amp;D3506,""price"")"),"#N/A")</f>
        <v>#N/A</v>
      </c>
      <c r="M3506" s="9" t="e">
        <f t="shared" ca="1" si="72"/>
        <v>#VALUE!</v>
      </c>
      <c r="N3506" s="10" t="e">
        <f t="shared" ca="1" si="73"/>
        <v>#VALUE!</v>
      </c>
      <c r="O3506" s="7" t="str">
        <f ca="1">IFERROR(__xludf.DUMMYFUNCTION("GOOGLEFINANCE(""NSE:""&amp;D3506,""pe"")"),"#N/A")</f>
        <v>#N/A</v>
      </c>
      <c r="P3506" s="7" t="str">
        <f ca="1">IFERROR(__xludf.DUMMYFUNCTION("GOOGLEFINANCE(""NSE:""&amp;D3506,""EPS"")"),"#N/A")</f>
        <v>#N/A</v>
      </c>
      <c r="Q3506" s="7">
        <v>13.5</v>
      </c>
      <c r="R3506" s="7" t="str">
        <f ca="1">IFERROR(__xludf.DUMMYFUNCTION("IMPORTXML(E3506,""/html/body/main/div[3]/div[3]/div[2]/ul/li[7]/span[2]/span"")"),"Loading...")</f>
        <v>Loading...</v>
      </c>
      <c r="S3506" s="7" t="str">
        <f ca="1">IFERROR(__xludf.DUMMYFUNCTION("IMPORTXML(E3506,""/html/body/main/div[3]/div[3]/div[2]/ul/li[8]/span[2]/span"")"),"Loading...")</f>
        <v>Loading...</v>
      </c>
      <c r="T3506" s="4">
        <v>34.6</v>
      </c>
      <c r="U3506" s="4">
        <v>22.7</v>
      </c>
      <c r="V3506" s="4">
        <v>2.6</v>
      </c>
      <c r="W3506" s="4">
        <v>5.7</v>
      </c>
      <c r="X3506" s="4">
        <v>519.92999999999995</v>
      </c>
      <c r="Y3506" s="7" t="e">
        <f t="shared" ca="1" si="74"/>
        <v>#VALUE!</v>
      </c>
    </row>
    <row r="3507" spans="1:25" ht="15" x14ac:dyDescent="0.25">
      <c r="A3507" s="4">
        <v>3499</v>
      </c>
      <c r="C3507" s="41" t="s">
        <v>5854</v>
      </c>
      <c r="D3507" s="42"/>
      <c r="E3507" s="5" t="str">
        <f t="shared" si="70"/>
        <v>https://www.screener.in/company//consolidated/</v>
      </c>
      <c r="F3507" s="4">
        <v>443059</v>
      </c>
      <c r="G3507" s="4">
        <v>3832241897</v>
      </c>
      <c r="H3507" s="6" t="e">
        <f t="shared" ca="1" si="71"/>
        <v>#VALUE!</v>
      </c>
      <c r="I3507" s="7" t="str">
        <f ca="1">IFERROR(__xludf.DUMMYFUNCTION("IMPORTXML(E3507,""/html/body/main/div[3]/div[3]/div[2]/ul/li[5]/span[2]/span"")"),"Loading...")</f>
        <v>Loading...</v>
      </c>
      <c r="J3507" s="7" t="str">
        <f ca="1">IFERROR(__xludf.DUMMYFUNCTION("GOOGLEFINANCE(""NSE:""&amp;D3507,""marketcap"")"),"#N/A")</f>
        <v>#N/A</v>
      </c>
      <c r="K3507" s="7">
        <v>992.8</v>
      </c>
      <c r="L3507" s="8" t="str">
        <f ca="1">IFERROR(__xludf.DUMMYFUNCTION("GOOGLEFINANCE(""NSE:""&amp;D3507,""price"")"),"#N/A")</f>
        <v>#N/A</v>
      </c>
      <c r="M3507" s="9" t="e">
        <f t="shared" ca="1" si="72"/>
        <v>#VALUE!</v>
      </c>
      <c r="N3507" s="10" t="e">
        <f t="shared" ca="1" si="73"/>
        <v>#VALUE!</v>
      </c>
      <c r="O3507" s="7" t="str">
        <f ca="1">IFERROR(__xludf.DUMMYFUNCTION("GOOGLEFINANCE(""NSE:""&amp;D3507,""pe"")"),"#N/A")</f>
        <v>#N/A</v>
      </c>
      <c r="P3507" s="7" t="str">
        <f ca="1">IFERROR(__xludf.DUMMYFUNCTION("GOOGLEFINANCE(""NSE:""&amp;D3507,""EPS"")"),"#N/A")</f>
        <v>#N/A</v>
      </c>
      <c r="Q3507" s="7">
        <v>13.5</v>
      </c>
      <c r="R3507" s="7" t="str">
        <f ca="1">IFERROR(__xludf.DUMMYFUNCTION("IMPORTXML(E3507,""/html/body/main/div[3]/div[3]/div[2]/ul/li[7]/span[2]/span"")"),"Loading...")</f>
        <v>Loading...</v>
      </c>
      <c r="S3507" s="7" t="str">
        <f ca="1">IFERROR(__xludf.DUMMYFUNCTION("IMPORTXML(E3507,""/html/body/main/div[3]/div[3]/div[2]/ul/li[8]/span[2]/span"")"),"Loading...")</f>
        <v>Loading...</v>
      </c>
      <c r="T3507" s="4">
        <v>34.6</v>
      </c>
      <c r="U3507" s="4">
        <v>22.7</v>
      </c>
      <c r="V3507" s="4">
        <v>2.6</v>
      </c>
      <c r="W3507" s="4">
        <v>5.7</v>
      </c>
      <c r="X3507" s="4">
        <v>519.92999999999995</v>
      </c>
      <c r="Y3507" s="7" t="e">
        <f t="shared" ca="1" si="74"/>
        <v>#VALUE!</v>
      </c>
    </row>
    <row r="3508" spans="1:25" ht="15" x14ac:dyDescent="0.25">
      <c r="A3508" s="4">
        <v>3500</v>
      </c>
      <c r="C3508" s="41" t="s">
        <v>5855</v>
      </c>
      <c r="D3508" s="42"/>
      <c r="E3508" s="5" t="str">
        <f t="shared" si="70"/>
        <v>https://www.screener.in/company//consolidated/</v>
      </c>
      <c r="F3508" s="4">
        <v>443059</v>
      </c>
      <c r="G3508" s="4">
        <v>3832241897</v>
      </c>
      <c r="H3508" s="6" t="e">
        <f t="shared" ca="1" si="71"/>
        <v>#VALUE!</v>
      </c>
      <c r="I3508" s="7" t="str">
        <f ca="1">IFERROR(__xludf.DUMMYFUNCTION("IMPORTXML(E3508,""/html/body/main/div[3]/div[3]/div[2]/ul/li[5]/span[2]/span"")"),"Loading...")</f>
        <v>Loading...</v>
      </c>
      <c r="J3508" s="7" t="str">
        <f ca="1">IFERROR(__xludf.DUMMYFUNCTION("GOOGLEFINANCE(""NSE:""&amp;D3508,""marketcap"")"),"#N/A")</f>
        <v>#N/A</v>
      </c>
      <c r="K3508" s="7">
        <v>992.8</v>
      </c>
      <c r="L3508" s="8" t="str">
        <f ca="1">IFERROR(__xludf.DUMMYFUNCTION("GOOGLEFINANCE(""NSE:""&amp;D3508,""price"")"),"#N/A")</f>
        <v>#N/A</v>
      </c>
      <c r="M3508" s="9" t="e">
        <f t="shared" ca="1" si="72"/>
        <v>#VALUE!</v>
      </c>
      <c r="N3508" s="10" t="e">
        <f t="shared" ca="1" si="73"/>
        <v>#VALUE!</v>
      </c>
      <c r="O3508" s="7" t="str">
        <f ca="1">IFERROR(__xludf.DUMMYFUNCTION("GOOGLEFINANCE(""NSE:""&amp;D3508,""pe"")"),"#N/A")</f>
        <v>#N/A</v>
      </c>
      <c r="P3508" s="7" t="str">
        <f ca="1">IFERROR(__xludf.DUMMYFUNCTION("GOOGLEFINANCE(""NSE:""&amp;D3508,""EPS"")"),"#N/A")</f>
        <v>#N/A</v>
      </c>
      <c r="Q3508" s="7">
        <v>13.5</v>
      </c>
      <c r="R3508" s="7" t="str">
        <f ca="1">IFERROR(__xludf.DUMMYFUNCTION("IMPORTXML(E3508,""/html/body/main/div[3]/div[3]/div[2]/ul/li[7]/span[2]/span"")"),"Loading...")</f>
        <v>Loading...</v>
      </c>
      <c r="S3508" s="7" t="str">
        <f ca="1">IFERROR(__xludf.DUMMYFUNCTION("IMPORTXML(E3508,""/html/body/main/div[3]/div[3]/div[2]/ul/li[8]/span[2]/span"")"),"Loading...")</f>
        <v>Loading...</v>
      </c>
      <c r="T3508" s="4">
        <v>34.6</v>
      </c>
      <c r="U3508" s="4">
        <v>22.7</v>
      </c>
      <c r="V3508" s="4">
        <v>2.6</v>
      </c>
      <c r="W3508" s="4">
        <v>5.7</v>
      </c>
      <c r="X3508" s="4">
        <v>519.92999999999995</v>
      </c>
      <c r="Y3508" s="7" t="e">
        <f t="shared" ca="1" si="74"/>
        <v>#VALUE!</v>
      </c>
    </row>
    <row r="3509" spans="1:25" ht="15" x14ac:dyDescent="0.25">
      <c r="A3509" s="4">
        <v>3501</v>
      </c>
      <c r="C3509" s="12" t="s">
        <v>5856</v>
      </c>
      <c r="D3509" s="12" t="s">
        <v>5857</v>
      </c>
      <c r="E3509" s="5" t="str">
        <f t="shared" si="70"/>
        <v>https://www.screener.in/company/ONELIFECAP/consolidated/</v>
      </c>
      <c r="F3509" s="4">
        <v>443059</v>
      </c>
      <c r="G3509" s="4">
        <v>3832241897</v>
      </c>
      <c r="H3509" s="6">
        <f t="shared" ca="1" si="71"/>
        <v>4621.6837277819996</v>
      </c>
      <c r="I3509" s="7" t="str">
        <f ca="1">IFERROR(__xludf.DUMMYFUNCTION("IMPORTXML(E3509,""/html/body/main/div[3]/div[3]/div[2]/ul/li[5]/span[2]/span"")"),"Loading...")</f>
        <v>Loading...</v>
      </c>
      <c r="J3509" s="7">
        <f ca="1">IFERROR(__xludf.DUMMYFUNCTION("GOOGLEFINANCE(""NSE:""&amp;D3509,""marketcap"")"),161121600)</f>
        <v>161121600</v>
      </c>
      <c r="K3509" s="7">
        <v>992.8</v>
      </c>
      <c r="L3509" s="8">
        <f ca="1">IFERROR(__xludf.DUMMYFUNCTION("GOOGLEFINANCE(""NSE:""&amp;D3509,""price"")"),12.06)</f>
        <v>12.06</v>
      </c>
      <c r="M3509" s="9">
        <f t="shared" ca="1" si="72"/>
        <v>-980.74</v>
      </c>
      <c r="N3509" s="10">
        <f t="shared" ca="1" si="73"/>
        <v>-98.785253827558421</v>
      </c>
      <c r="O3509" s="7" t="str">
        <f ca="1">IFERROR(__xludf.DUMMYFUNCTION("GOOGLEFINANCE(""NSE:""&amp;D3509,""pe"")"),"#N/A")</f>
        <v>#N/A</v>
      </c>
      <c r="P3509" s="7">
        <f ca="1">IFERROR(__xludf.DUMMYFUNCTION("GOOGLEFINANCE(""NSE:""&amp;D3509,""EPS"")"),-4.52)</f>
        <v>-4.5199999999999996</v>
      </c>
      <c r="Q3509" s="7">
        <v>13.5</v>
      </c>
      <c r="R3509" s="7" t="str">
        <f ca="1">IFERROR(__xludf.DUMMYFUNCTION("IMPORTXML(E3509,""/html/body/main/div[3]/div[3]/div[2]/ul/li[7]/span[2]/span"")"),"Loading...")</f>
        <v>Loading...</v>
      </c>
      <c r="S3509" s="7" t="str">
        <f ca="1">IFERROR(__xludf.DUMMYFUNCTION("IMPORTXML(E3509,""/html/body/main/div[3]/div[3]/div[2]/ul/li[8]/span[2]/span"")"),"Loading...")</f>
        <v>Loading...</v>
      </c>
      <c r="T3509" s="4">
        <v>34.6</v>
      </c>
      <c r="U3509" s="4">
        <v>22.7</v>
      </c>
      <c r="V3509" s="4">
        <v>2.6</v>
      </c>
      <c r="W3509" s="4">
        <v>5.7</v>
      </c>
      <c r="X3509" s="4">
        <v>519.92999999999995</v>
      </c>
      <c r="Y3509" s="7">
        <f t="shared" ca="1" si="74"/>
        <v>-507.86999999999995</v>
      </c>
    </row>
    <row r="3510" spans="1:25" ht="15" x14ac:dyDescent="0.25">
      <c r="A3510" s="4">
        <v>3502</v>
      </c>
      <c r="C3510" s="41" t="s">
        <v>5858</v>
      </c>
      <c r="D3510" s="42"/>
      <c r="E3510" s="5" t="str">
        <f t="shared" si="70"/>
        <v>https://www.screener.in/company//consolidated/</v>
      </c>
      <c r="F3510" s="4">
        <v>443059</v>
      </c>
      <c r="G3510" s="4">
        <v>3832241897</v>
      </c>
      <c r="H3510" s="6" t="e">
        <f t="shared" ca="1" si="71"/>
        <v>#VALUE!</v>
      </c>
      <c r="I3510" s="7" t="str">
        <f ca="1">IFERROR(__xludf.DUMMYFUNCTION("IMPORTXML(E3510,""/html/body/main/div[3]/div[3]/div[2]/ul/li[5]/span[2]/span"")"),"Loading...")</f>
        <v>Loading...</v>
      </c>
      <c r="J3510" s="7" t="str">
        <f ca="1">IFERROR(__xludf.DUMMYFUNCTION("GOOGLEFINANCE(""NSE:""&amp;D3510,""marketcap"")"),"#N/A")</f>
        <v>#N/A</v>
      </c>
      <c r="K3510" s="7">
        <v>992.8</v>
      </c>
      <c r="L3510" s="8" t="str">
        <f ca="1">IFERROR(__xludf.DUMMYFUNCTION("GOOGLEFINANCE(""NSE:""&amp;D3510,""price"")"),"#N/A")</f>
        <v>#N/A</v>
      </c>
      <c r="M3510" s="9" t="e">
        <f t="shared" ca="1" si="72"/>
        <v>#VALUE!</v>
      </c>
      <c r="N3510" s="10" t="e">
        <f t="shared" ca="1" si="73"/>
        <v>#VALUE!</v>
      </c>
      <c r="O3510" s="7" t="str">
        <f ca="1">IFERROR(__xludf.DUMMYFUNCTION("GOOGLEFINANCE(""NSE:""&amp;D3510,""pe"")"),"#N/A")</f>
        <v>#N/A</v>
      </c>
      <c r="P3510" s="7" t="str">
        <f ca="1">IFERROR(__xludf.DUMMYFUNCTION("GOOGLEFINANCE(""NSE:""&amp;D3510,""EPS"")"),"#N/A")</f>
        <v>#N/A</v>
      </c>
      <c r="Q3510" s="7">
        <v>13.5</v>
      </c>
      <c r="R3510" s="7" t="str">
        <f ca="1">IFERROR(__xludf.DUMMYFUNCTION("IMPORTXML(E3510,""/html/body/main/div[3]/div[3]/div[2]/ul/li[7]/span[2]/span"")"),"Loading...")</f>
        <v>Loading...</v>
      </c>
      <c r="S3510" s="7" t="str">
        <f ca="1">IFERROR(__xludf.DUMMYFUNCTION("IMPORTXML(E3510,""/html/body/main/div[3]/div[3]/div[2]/ul/li[8]/span[2]/span"")"),"Loading...")</f>
        <v>Loading...</v>
      </c>
      <c r="T3510" s="4">
        <v>34.6</v>
      </c>
      <c r="U3510" s="4">
        <v>22.7</v>
      </c>
      <c r="V3510" s="4">
        <v>2.6</v>
      </c>
      <c r="W3510" s="4">
        <v>5.7</v>
      </c>
      <c r="X3510" s="4">
        <v>519.92999999999995</v>
      </c>
      <c r="Y3510" s="7" t="e">
        <f t="shared" ca="1" si="74"/>
        <v>#VALUE!</v>
      </c>
    </row>
    <row r="3511" spans="1:25" ht="15" x14ac:dyDescent="0.25">
      <c r="A3511" s="4">
        <v>3503</v>
      </c>
      <c r="C3511" s="41" t="s">
        <v>5859</v>
      </c>
      <c r="D3511" s="42"/>
      <c r="E3511" s="5" t="str">
        <f t="shared" si="70"/>
        <v>https://www.screener.in/company//consolidated/</v>
      </c>
      <c r="F3511" s="4">
        <v>443059</v>
      </c>
      <c r="G3511" s="4">
        <v>3832241897</v>
      </c>
      <c r="H3511" s="6" t="e">
        <f t="shared" ca="1" si="71"/>
        <v>#VALUE!</v>
      </c>
      <c r="I3511" s="7" t="str">
        <f ca="1">IFERROR(__xludf.DUMMYFUNCTION("IMPORTXML(E3511,""/html/body/main/div[3]/div[3]/div[2]/ul/li[5]/span[2]/span"")"),"Loading...")</f>
        <v>Loading...</v>
      </c>
      <c r="J3511" s="7" t="str">
        <f ca="1">IFERROR(__xludf.DUMMYFUNCTION("GOOGLEFINANCE(""NSE:""&amp;D3511,""marketcap"")"),"#N/A")</f>
        <v>#N/A</v>
      </c>
      <c r="K3511" s="7">
        <v>992.8</v>
      </c>
      <c r="L3511" s="8" t="str">
        <f ca="1">IFERROR(__xludf.DUMMYFUNCTION("GOOGLEFINANCE(""NSE:""&amp;D3511,""price"")"),"#N/A")</f>
        <v>#N/A</v>
      </c>
      <c r="M3511" s="9" t="e">
        <f t="shared" ca="1" si="72"/>
        <v>#VALUE!</v>
      </c>
      <c r="N3511" s="10" t="e">
        <f t="shared" ca="1" si="73"/>
        <v>#VALUE!</v>
      </c>
      <c r="O3511" s="7" t="str">
        <f ca="1">IFERROR(__xludf.DUMMYFUNCTION("GOOGLEFINANCE(""NSE:""&amp;D3511,""pe"")"),"#N/A")</f>
        <v>#N/A</v>
      </c>
      <c r="P3511" s="7" t="str">
        <f ca="1">IFERROR(__xludf.DUMMYFUNCTION("GOOGLEFINANCE(""NSE:""&amp;D3511,""EPS"")"),"#N/A")</f>
        <v>#N/A</v>
      </c>
      <c r="Q3511" s="7">
        <v>13.5</v>
      </c>
      <c r="R3511" s="7" t="str">
        <f ca="1">IFERROR(__xludf.DUMMYFUNCTION("IMPORTXML(E3511,""/html/body/main/div[3]/div[3]/div[2]/ul/li[7]/span[2]/span"")"),"Loading...")</f>
        <v>Loading...</v>
      </c>
      <c r="S3511" s="7" t="str">
        <f ca="1">IFERROR(__xludf.DUMMYFUNCTION("IMPORTXML(E3511,""/html/body/main/div[3]/div[3]/div[2]/ul/li[8]/span[2]/span"")"),"Loading...")</f>
        <v>Loading...</v>
      </c>
      <c r="T3511" s="4">
        <v>34.6</v>
      </c>
      <c r="U3511" s="4">
        <v>22.7</v>
      </c>
      <c r="V3511" s="4">
        <v>2.6</v>
      </c>
      <c r="W3511" s="4">
        <v>5.7</v>
      </c>
      <c r="X3511" s="4">
        <v>519.92999999999995</v>
      </c>
      <c r="Y3511" s="7" t="e">
        <f t="shared" ca="1" si="74"/>
        <v>#VALUE!</v>
      </c>
    </row>
    <row r="3512" spans="1:25" ht="15" x14ac:dyDescent="0.25">
      <c r="A3512" s="4">
        <v>3504</v>
      </c>
      <c r="C3512" s="41" t="s">
        <v>5860</v>
      </c>
      <c r="D3512" s="42"/>
      <c r="E3512" s="5" t="str">
        <f t="shared" si="70"/>
        <v>https://www.screener.in/company//consolidated/</v>
      </c>
      <c r="F3512" s="4">
        <v>443059</v>
      </c>
      <c r="G3512" s="4">
        <v>3832241897</v>
      </c>
      <c r="H3512" s="6" t="e">
        <f t="shared" ca="1" si="71"/>
        <v>#VALUE!</v>
      </c>
      <c r="I3512" s="7" t="str">
        <f ca="1">IFERROR(__xludf.DUMMYFUNCTION("IMPORTXML(E3512,""/html/body/main/div[3]/div[3]/div[2]/ul/li[5]/span[2]/span"")"),"Loading...")</f>
        <v>Loading...</v>
      </c>
      <c r="J3512" s="7" t="str">
        <f ca="1">IFERROR(__xludf.DUMMYFUNCTION("GOOGLEFINANCE(""NSE:""&amp;D3512,""marketcap"")"),"#N/A")</f>
        <v>#N/A</v>
      </c>
      <c r="K3512" s="7">
        <v>992.8</v>
      </c>
      <c r="L3512" s="8" t="str">
        <f ca="1">IFERROR(__xludf.DUMMYFUNCTION("GOOGLEFINANCE(""NSE:""&amp;D3512,""price"")"),"#N/A")</f>
        <v>#N/A</v>
      </c>
      <c r="M3512" s="9" t="e">
        <f t="shared" ca="1" si="72"/>
        <v>#VALUE!</v>
      </c>
      <c r="N3512" s="10" t="e">
        <f t="shared" ca="1" si="73"/>
        <v>#VALUE!</v>
      </c>
      <c r="O3512" s="7" t="str">
        <f ca="1">IFERROR(__xludf.DUMMYFUNCTION("GOOGLEFINANCE(""NSE:""&amp;D3512,""pe"")"),"#N/A")</f>
        <v>#N/A</v>
      </c>
      <c r="P3512" s="7" t="str">
        <f ca="1">IFERROR(__xludf.DUMMYFUNCTION("GOOGLEFINANCE(""NSE:""&amp;D3512,""EPS"")"),"#N/A")</f>
        <v>#N/A</v>
      </c>
      <c r="Q3512" s="7">
        <v>13.5</v>
      </c>
      <c r="R3512" s="7" t="str">
        <f ca="1">IFERROR(__xludf.DUMMYFUNCTION("IMPORTXML(E3512,""/html/body/main/div[3]/div[3]/div[2]/ul/li[7]/span[2]/span"")"),"Loading...")</f>
        <v>Loading...</v>
      </c>
      <c r="S3512" s="7" t="str">
        <f ca="1">IFERROR(__xludf.DUMMYFUNCTION("IMPORTXML(E3512,""/html/body/main/div[3]/div[3]/div[2]/ul/li[8]/span[2]/span"")"),"Loading...")</f>
        <v>Loading...</v>
      </c>
      <c r="T3512" s="4">
        <v>34.6</v>
      </c>
      <c r="U3512" s="4">
        <v>22.7</v>
      </c>
      <c r="V3512" s="4">
        <v>2.6</v>
      </c>
      <c r="W3512" s="4">
        <v>5.7</v>
      </c>
      <c r="X3512" s="4">
        <v>519.92999999999995</v>
      </c>
      <c r="Y3512" s="7" t="e">
        <f t="shared" ca="1" si="74"/>
        <v>#VALUE!</v>
      </c>
    </row>
    <row r="3513" spans="1:25" ht="15" x14ac:dyDescent="0.25">
      <c r="A3513" s="4">
        <v>3505</v>
      </c>
      <c r="C3513" s="41" t="s">
        <v>5861</v>
      </c>
      <c r="D3513" s="42"/>
      <c r="E3513" s="5" t="str">
        <f t="shared" si="70"/>
        <v>https://www.screener.in/company//consolidated/</v>
      </c>
      <c r="F3513" s="4">
        <v>443059</v>
      </c>
      <c r="G3513" s="4">
        <v>3832241897</v>
      </c>
      <c r="H3513" s="6" t="e">
        <f t="shared" ca="1" si="71"/>
        <v>#VALUE!</v>
      </c>
      <c r="I3513" s="7" t="str">
        <f ca="1">IFERROR(__xludf.DUMMYFUNCTION("IMPORTXML(E3513,""/html/body/main/div[3]/div[3]/div[2]/ul/li[5]/span[2]/span"")"),"Loading...")</f>
        <v>Loading...</v>
      </c>
      <c r="J3513" s="7" t="str">
        <f ca="1">IFERROR(__xludf.DUMMYFUNCTION("GOOGLEFINANCE(""NSE:""&amp;D3513,""marketcap"")"),"#N/A")</f>
        <v>#N/A</v>
      </c>
      <c r="K3513" s="7">
        <v>992.8</v>
      </c>
      <c r="L3513" s="8" t="str">
        <f ca="1">IFERROR(__xludf.DUMMYFUNCTION("GOOGLEFINANCE(""NSE:""&amp;D3513,""price"")"),"#N/A")</f>
        <v>#N/A</v>
      </c>
      <c r="M3513" s="9" t="e">
        <f t="shared" ca="1" si="72"/>
        <v>#VALUE!</v>
      </c>
      <c r="N3513" s="10" t="e">
        <f t="shared" ca="1" si="73"/>
        <v>#VALUE!</v>
      </c>
      <c r="O3513" s="7" t="str">
        <f ca="1">IFERROR(__xludf.DUMMYFUNCTION("GOOGLEFINANCE(""NSE:""&amp;D3513,""pe"")"),"#N/A")</f>
        <v>#N/A</v>
      </c>
      <c r="P3513" s="7" t="str">
        <f ca="1">IFERROR(__xludf.DUMMYFUNCTION("GOOGLEFINANCE(""NSE:""&amp;D3513,""EPS"")"),"#N/A")</f>
        <v>#N/A</v>
      </c>
      <c r="Q3513" s="7">
        <v>13.5</v>
      </c>
      <c r="R3513" s="7" t="str">
        <f ca="1">IFERROR(__xludf.DUMMYFUNCTION("IMPORTXML(E3513,""/html/body/main/div[3]/div[3]/div[2]/ul/li[7]/span[2]/span"")"),"Loading...")</f>
        <v>Loading...</v>
      </c>
      <c r="S3513" s="7" t="str">
        <f ca="1">IFERROR(__xludf.DUMMYFUNCTION("IMPORTXML(E3513,""/html/body/main/div[3]/div[3]/div[2]/ul/li[8]/span[2]/span"")"),"Loading...")</f>
        <v>Loading...</v>
      </c>
      <c r="T3513" s="4">
        <v>34.6</v>
      </c>
      <c r="U3513" s="4">
        <v>22.7</v>
      </c>
      <c r="V3513" s="4">
        <v>2.6</v>
      </c>
      <c r="W3513" s="4">
        <v>5.7</v>
      </c>
      <c r="X3513" s="4">
        <v>519.92999999999995</v>
      </c>
      <c r="Y3513" s="7" t="e">
        <f t="shared" ca="1" si="74"/>
        <v>#VALUE!</v>
      </c>
    </row>
    <row r="3514" spans="1:25" ht="15" x14ac:dyDescent="0.25">
      <c r="A3514" s="4">
        <v>3506</v>
      </c>
      <c r="C3514" s="41" t="s">
        <v>5862</v>
      </c>
      <c r="D3514" s="42"/>
      <c r="E3514" s="5" t="str">
        <f t="shared" si="70"/>
        <v>https://www.screener.in/company//consolidated/</v>
      </c>
      <c r="F3514" s="4">
        <v>443059</v>
      </c>
      <c r="G3514" s="4">
        <v>3832241897</v>
      </c>
      <c r="H3514" s="6" t="e">
        <f t="shared" ca="1" si="71"/>
        <v>#VALUE!</v>
      </c>
      <c r="I3514" s="7" t="str">
        <f ca="1">IFERROR(__xludf.DUMMYFUNCTION("IMPORTXML(E3514,""/html/body/main/div[3]/div[3]/div[2]/ul/li[5]/span[2]/span"")"),"Loading...")</f>
        <v>Loading...</v>
      </c>
      <c r="J3514" s="7" t="str">
        <f ca="1">IFERROR(__xludf.DUMMYFUNCTION("GOOGLEFINANCE(""NSE:""&amp;D3514,""marketcap"")"),"#N/A")</f>
        <v>#N/A</v>
      </c>
      <c r="K3514" s="7">
        <v>992.8</v>
      </c>
      <c r="L3514" s="8" t="str">
        <f ca="1">IFERROR(__xludf.DUMMYFUNCTION("GOOGLEFINANCE(""NSE:""&amp;D3514,""price"")"),"#N/A")</f>
        <v>#N/A</v>
      </c>
      <c r="M3514" s="9" t="e">
        <f t="shared" ca="1" si="72"/>
        <v>#VALUE!</v>
      </c>
      <c r="N3514" s="10" t="e">
        <f t="shared" ca="1" si="73"/>
        <v>#VALUE!</v>
      </c>
      <c r="O3514" s="7" t="str">
        <f ca="1">IFERROR(__xludf.DUMMYFUNCTION("GOOGLEFINANCE(""NSE:""&amp;D3514,""pe"")"),"#N/A")</f>
        <v>#N/A</v>
      </c>
      <c r="P3514" s="7" t="str">
        <f ca="1">IFERROR(__xludf.DUMMYFUNCTION("GOOGLEFINANCE(""NSE:""&amp;D3514,""EPS"")"),"#N/A")</f>
        <v>#N/A</v>
      </c>
      <c r="Q3514" s="7">
        <v>13.5</v>
      </c>
      <c r="R3514" s="7" t="str">
        <f ca="1">IFERROR(__xludf.DUMMYFUNCTION("IMPORTXML(E3514,""/html/body/main/div[3]/div[3]/div[2]/ul/li[7]/span[2]/span"")"),"Loading...")</f>
        <v>Loading...</v>
      </c>
      <c r="S3514" s="7" t="str">
        <f ca="1">IFERROR(__xludf.DUMMYFUNCTION("IMPORTXML(E3514,""/html/body/main/div[3]/div[3]/div[2]/ul/li[8]/span[2]/span"")"),"Loading...")</f>
        <v>Loading...</v>
      </c>
      <c r="T3514" s="4">
        <v>34.6</v>
      </c>
      <c r="U3514" s="4">
        <v>22.7</v>
      </c>
      <c r="V3514" s="4">
        <v>2.6</v>
      </c>
      <c r="W3514" s="4">
        <v>5.7</v>
      </c>
      <c r="X3514" s="4">
        <v>519.92999999999995</v>
      </c>
      <c r="Y3514" s="7" t="e">
        <f t="shared" ca="1" si="74"/>
        <v>#VALUE!</v>
      </c>
    </row>
    <row r="3515" spans="1:25" ht="15" x14ac:dyDescent="0.25">
      <c r="A3515" s="4">
        <v>3507</v>
      </c>
      <c r="C3515" s="41" t="s">
        <v>5863</v>
      </c>
      <c r="D3515" s="42"/>
      <c r="E3515" s="5" t="str">
        <f t="shared" si="70"/>
        <v>https://www.screener.in/company//consolidated/</v>
      </c>
      <c r="F3515" s="4">
        <v>443059</v>
      </c>
      <c r="G3515" s="4">
        <v>3832241897</v>
      </c>
      <c r="H3515" s="6" t="e">
        <f t="shared" ca="1" si="71"/>
        <v>#VALUE!</v>
      </c>
      <c r="I3515" s="7" t="str">
        <f ca="1">IFERROR(__xludf.DUMMYFUNCTION("IMPORTXML(E3515,""/html/body/main/div[3]/div[3]/div[2]/ul/li[5]/span[2]/span"")"),"Loading...")</f>
        <v>Loading...</v>
      </c>
      <c r="J3515" s="7" t="str">
        <f ca="1">IFERROR(__xludf.DUMMYFUNCTION("GOOGLEFINANCE(""NSE:""&amp;D3515,""marketcap"")"),"#N/A")</f>
        <v>#N/A</v>
      </c>
      <c r="K3515" s="7">
        <v>992.8</v>
      </c>
      <c r="L3515" s="8" t="str">
        <f ca="1">IFERROR(__xludf.DUMMYFUNCTION("GOOGLEFINANCE(""NSE:""&amp;D3515,""price"")"),"#N/A")</f>
        <v>#N/A</v>
      </c>
      <c r="M3515" s="9" t="e">
        <f t="shared" ca="1" si="72"/>
        <v>#VALUE!</v>
      </c>
      <c r="N3515" s="10" t="e">
        <f t="shared" ca="1" si="73"/>
        <v>#VALUE!</v>
      </c>
      <c r="O3515" s="7" t="str">
        <f ca="1">IFERROR(__xludf.DUMMYFUNCTION("GOOGLEFINANCE(""NSE:""&amp;D3515,""pe"")"),"#N/A")</f>
        <v>#N/A</v>
      </c>
      <c r="P3515" s="7" t="str">
        <f ca="1">IFERROR(__xludf.DUMMYFUNCTION("GOOGLEFINANCE(""NSE:""&amp;D3515,""EPS"")"),"#N/A")</f>
        <v>#N/A</v>
      </c>
      <c r="Q3515" s="7">
        <v>13.5</v>
      </c>
      <c r="R3515" s="7" t="str">
        <f ca="1">IFERROR(__xludf.DUMMYFUNCTION("IMPORTXML(E3515,""/html/body/main/div[3]/div[3]/div[2]/ul/li[7]/span[2]/span"")"),"Loading...")</f>
        <v>Loading...</v>
      </c>
      <c r="S3515" s="7" t="str">
        <f ca="1">IFERROR(__xludf.DUMMYFUNCTION("IMPORTXML(E3515,""/html/body/main/div[3]/div[3]/div[2]/ul/li[8]/span[2]/span"")"),"Loading...")</f>
        <v>Loading...</v>
      </c>
      <c r="T3515" s="4">
        <v>34.6</v>
      </c>
      <c r="U3515" s="4">
        <v>22.7</v>
      </c>
      <c r="V3515" s="4">
        <v>2.6</v>
      </c>
      <c r="W3515" s="4">
        <v>5.7</v>
      </c>
      <c r="X3515" s="4">
        <v>519.92999999999995</v>
      </c>
      <c r="Y3515" s="7" t="e">
        <f t="shared" ca="1" si="74"/>
        <v>#VALUE!</v>
      </c>
    </row>
    <row r="3516" spans="1:25" ht="15" x14ac:dyDescent="0.25">
      <c r="A3516" s="4">
        <v>3508</v>
      </c>
      <c r="C3516" s="41" t="s">
        <v>5864</v>
      </c>
      <c r="D3516" s="42"/>
      <c r="E3516" s="5" t="str">
        <f t="shared" si="70"/>
        <v>https://www.screener.in/company//consolidated/</v>
      </c>
      <c r="F3516" s="4">
        <v>443059</v>
      </c>
      <c r="G3516" s="4">
        <v>3832241897</v>
      </c>
      <c r="H3516" s="6" t="e">
        <f t="shared" ca="1" si="71"/>
        <v>#VALUE!</v>
      </c>
      <c r="I3516" s="7" t="str">
        <f ca="1">IFERROR(__xludf.DUMMYFUNCTION("IMPORTXML(E3516,""/html/body/main/div[3]/div[3]/div[2]/ul/li[5]/span[2]/span"")"),"Loading...")</f>
        <v>Loading...</v>
      </c>
      <c r="J3516" s="7" t="str">
        <f ca="1">IFERROR(__xludf.DUMMYFUNCTION("GOOGLEFINANCE(""NSE:""&amp;D3516,""marketcap"")"),"#N/A")</f>
        <v>#N/A</v>
      </c>
      <c r="K3516" s="7">
        <v>992.8</v>
      </c>
      <c r="L3516" s="8" t="str">
        <f ca="1">IFERROR(__xludf.DUMMYFUNCTION("GOOGLEFINANCE(""NSE:""&amp;D3516,""price"")"),"#N/A")</f>
        <v>#N/A</v>
      </c>
      <c r="M3516" s="9" t="e">
        <f t="shared" ca="1" si="72"/>
        <v>#VALUE!</v>
      </c>
      <c r="N3516" s="10" t="e">
        <f t="shared" ca="1" si="73"/>
        <v>#VALUE!</v>
      </c>
      <c r="O3516" s="7" t="str">
        <f ca="1">IFERROR(__xludf.DUMMYFUNCTION("GOOGLEFINANCE(""NSE:""&amp;D3516,""pe"")"),"#N/A")</f>
        <v>#N/A</v>
      </c>
      <c r="P3516" s="7" t="str">
        <f ca="1">IFERROR(__xludf.DUMMYFUNCTION("GOOGLEFINANCE(""NSE:""&amp;D3516,""EPS"")"),"#N/A")</f>
        <v>#N/A</v>
      </c>
      <c r="Q3516" s="7">
        <v>13.5</v>
      </c>
      <c r="R3516" s="7" t="str">
        <f ca="1">IFERROR(__xludf.DUMMYFUNCTION("IMPORTXML(E3516,""/html/body/main/div[3]/div[3]/div[2]/ul/li[7]/span[2]/span"")"),"Loading...")</f>
        <v>Loading...</v>
      </c>
      <c r="S3516" s="7" t="str">
        <f ca="1">IFERROR(__xludf.DUMMYFUNCTION("IMPORTXML(E3516,""/html/body/main/div[3]/div[3]/div[2]/ul/li[8]/span[2]/span"")"),"Loading...")</f>
        <v>Loading...</v>
      </c>
      <c r="T3516" s="4">
        <v>34.6</v>
      </c>
      <c r="U3516" s="4">
        <v>22.7</v>
      </c>
      <c r="V3516" s="4">
        <v>2.6</v>
      </c>
      <c r="W3516" s="4">
        <v>5.7</v>
      </c>
      <c r="X3516" s="4">
        <v>519.92999999999995</v>
      </c>
      <c r="Y3516" s="7" t="e">
        <f t="shared" ca="1" si="74"/>
        <v>#VALUE!</v>
      </c>
    </row>
    <row r="3517" spans="1:25" ht="15" x14ac:dyDescent="0.25">
      <c r="A3517" s="4">
        <v>3509</v>
      </c>
      <c r="C3517" s="41" t="s">
        <v>5865</v>
      </c>
      <c r="D3517" s="42"/>
      <c r="E3517" s="5" t="str">
        <f t="shared" si="70"/>
        <v>https://www.screener.in/company//consolidated/</v>
      </c>
      <c r="F3517" s="4">
        <v>443059</v>
      </c>
      <c r="G3517" s="4">
        <v>3832241897</v>
      </c>
      <c r="H3517" s="6" t="e">
        <f t="shared" ca="1" si="71"/>
        <v>#VALUE!</v>
      </c>
      <c r="I3517" s="7" t="str">
        <f ca="1">IFERROR(__xludf.DUMMYFUNCTION("IMPORTXML(E3517,""/html/body/main/div[3]/div[3]/div[2]/ul/li[5]/span[2]/span"")"),"Loading...")</f>
        <v>Loading...</v>
      </c>
      <c r="J3517" s="7" t="str">
        <f ca="1">IFERROR(__xludf.DUMMYFUNCTION("GOOGLEFINANCE(""NSE:""&amp;D3517,""marketcap"")"),"#N/A")</f>
        <v>#N/A</v>
      </c>
      <c r="K3517" s="7">
        <v>992.8</v>
      </c>
      <c r="L3517" s="8" t="str">
        <f ca="1">IFERROR(__xludf.DUMMYFUNCTION("GOOGLEFINANCE(""NSE:""&amp;D3517,""price"")"),"#N/A")</f>
        <v>#N/A</v>
      </c>
      <c r="M3517" s="9" t="e">
        <f t="shared" ca="1" si="72"/>
        <v>#VALUE!</v>
      </c>
      <c r="N3517" s="10" t="e">
        <f t="shared" ca="1" si="73"/>
        <v>#VALUE!</v>
      </c>
      <c r="O3517" s="7" t="str">
        <f ca="1">IFERROR(__xludf.DUMMYFUNCTION("GOOGLEFINANCE(""NSE:""&amp;D3517,""pe"")"),"#N/A")</f>
        <v>#N/A</v>
      </c>
      <c r="P3517" s="7" t="str">
        <f ca="1">IFERROR(__xludf.DUMMYFUNCTION("GOOGLEFINANCE(""NSE:""&amp;D3517,""EPS"")"),"#N/A")</f>
        <v>#N/A</v>
      </c>
      <c r="Q3517" s="7">
        <v>13.5</v>
      </c>
      <c r="R3517" s="7" t="str">
        <f ca="1">IFERROR(__xludf.DUMMYFUNCTION("IMPORTXML(E3517,""/html/body/main/div[3]/div[3]/div[2]/ul/li[7]/span[2]/span"")"),"Loading...")</f>
        <v>Loading...</v>
      </c>
      <c r="S3517" s="7" t="str">
        <f ca="1">IFERROR(__xludf.DUMMYFUNCTION("IMPORTXML(E3517,""/html/body/main/div[3]/div[3]/div[2]/ul/li[8]/span[2]/span"")"),"Loading...")</f>
        <v>Loading...</v>
      </c>
      <c r="T3517" s="4">
        <v>34.6</v>
      </c>
      <c r="U3517" s="4">
        <v>22.7</v>
      </c>
      <c r="V3517" s="4">
        <v>2.6</v>
      </c>
      <c r="W3517" s="4">
        <v>5.7</v>
      </c>
      <c r="X3517" s="4">
        <v>519.92999999999995</v>
      </c>
      <c r="Y3517" s="7" t="e">
        <f t="shared" ca="1" si="74"/>
        <v>#VALUE!</v>
      </c>
    </row>
    <row r="3518" spans="1:25" ht="15" x14ac:dyDescent="0.25">
      <c r="A3518" s="4">
        <v>3510</v>
      </c>
      <c r="C3518" s="41" t="s">
        <v>5866</v>
      </c>
      <c r="D3518" s="42"/>
      <c r="E3518" s="5" t="str">
        <f t="shared" si="70"/>
        <v>https://www.screener.in/company//consolidated/</v>
      </c>
      <c r="F3518" s="4">
        <v>443059</v>
      </c>
      <c r="G3518" s="4">
        <v>3832241897</v>
      </c>
      <c r="H3518" s="6" t="e">
        <f t="shared" ca="1" si="71"/>
        <v>#VALUE!</v>
      </c>
      <c r="I3518" s="7" t="str">
        <f ca="1">IFERROR(__xludf.DUMMYFUNCTION("IMPORTXML(E3518,""/html/body/main/div[3]/div[3]/div[2]/ul/li[5]/span[2]/span"")"),"Loading...")</f>
        <v>Loading...</v>
      </c>
      <c r="J3518" s="7" t="str">
        <f ca="1">IFERROR(__xludf.DUMMYFUNCTION("GOOGLEFINANCE(""NSE:""&amp;D3518,""marketcap"")"),"#N/A")</f>
        <v>#N/A</v>
      </c>
      <c r="K3518" s="7">
        <v>992.8</v>
      </c>
      <c r="L3518" s="8" t="str">
        <f ca="1">IFERROR(__xludf.DUMMYFUNCTION("GOOGLEFINANCE(""NSE:""&amp;D3518,""price"")"),"#N/A")</f>
        <v>#N/A</v>
      </c>
      <c r="M3518" s="9" t="e">
        <f t="shared" ca="1" si="72"/>
        <v>#VALUE!</v>
      </c>
      <c r="N3518" s="10" t="e">
        <f t="shared" ca="1" si="73"/>
        <v>#VALUE!</v>
      </c>
      <c r="O3518" s="7" t="str">
        <f ca="1">IFERROR(__xludf.DUMMYFUNCTION("GOOGLEFINANCE(""NSE:""&amp;D3518,""pe"")"),"#N/A")</f>
        <v>#N/A</v>
      </c>
      <c r="P3518" s="7" t="str">
        <f ca="1">IFERROR(__xludf.DUMMYFUNCTION("GOOGLEFINANCE(""NSE:""&amp;D3518,""EPS"")"),"#N/A")</f>
        <v>#N/A</v>
      </c>
      <c r="Q3518" s="7">
        <v>13.5</v>
      </c>
      <c r="R3518" s="7" t="str">
        <f ca="1">IFERROR(__xludf.DUMMYFUNCTION("IMPORTXML(E3518,""/html/body/main/div[3]/div[3]/div[2]/ul/li[7]/span[2]/span"")"),"Loading...")</f>
        <v>Loading...</v>
      </c>
      <c r="S3518" s="7" t="str">
        <f ca="1">IFERROR(__xludf.DUMMYFUNCTION("IMPORTXML(E3518,""/html/body/main/div[3]/div[3]/div[2]/ul/li[8]/span[2]/span"")"),"Loading...")</f>
        <v>Loading...</v>
      </c>
      <c r="T3518" s="4">
        <v>34.6</v>
      </c>
      <c r="U3518" s="4">
        <v>22.7</v>
      </c>
      <c r="V3518" s="4">
        <v>2.6</v>
      </c>
      <c r="W3518" s="4">
        <v>5.7</v>
      </c>
      <c r="X3518" s="4">
        <v>519.92999999999995</v>
      </c>
      <c r="Y3518" s="7" t="e">
        <f t="shared" ca="1" si="74"/>
        <v>#VALUE!</v>
      </c>
    </row>
    <row r="3519" spans="1:25" ht="15" x14ac:dyDescent="0.25">
      <c r="A3519" s="4">
        <v>3511</v>
      </c>
      <c r="C3519" s="41" t="s">
        <v>5867</v>
      </c>
      <c r="D3519" s="42"/>
      <c r="E3519" s="5" t="str">
        <f t="shared" si="70"/>
        <v>https://www.screener.in/company//consolidated/</v>
      </c>
      <c r="F3519" s="4">
        <v>443059</v>
      </c>
      <c r="G3519" s="4">
        <v>3832241897</v>
      </c>
      <c r="H3519" s="6" t="e">
        <f t="shared" ca="1" si="71"/>
        <v>#VALUE!</v>
      </c>
      <c r="I3519" s="7" t="str">
        <f ca="1">IFERROR(__xludf.DUMMYFUNCTION("IMPORTXML(E3519,""/html/body/main/div[3]/div[3]/div[2]/ul/li[5]/span[2]/span"")"),"Loading...")</f>
        <v>Loading...</v>
      </c>
      <c r="J3519" s="7" t="str">
        <f ca="1">IFERROR(__xludf.DUMMYFUNCTION("GOOGLEFINANCE(""NSE:""&amp;D3519,""marketcap"")"),"#N/A")</f>
        <v>#N/A</v>
      </c>
      <c r="K3519" s="7">
        <v>992.8</v>
      </c>
      <c r="L3519" s="8" t="str">
        <f ca="1">IFERROR(__xludf.DUMMYFUNCTION("GOOGLEFINANCE(""NSE:""&amp;D3519,""price"")"),"#N/A")</f>
        <v>#N/A</v>
      </c>
      <c r="M3519" s="9" t="e">
        <f t="shared" ca="1" si="72"/>
        <v>#VALUE!</v>
      </c>
      <c r="N3519" s="10" t="e">
        <f t="shared" ca="1" si="73"/>
        <v>#VALUE!</v>
      </c>
      <c r="O3519" s="7" t="str">
        <f ca="1">IFERROR(__xludf.DUMMYFUNCTION("GOOGLEFINANCE(""NSE:""&amp;D3519,""pe"")"),"#N/A")</f>
        <v>#N/A</v>
      </c>
      <c r="P3519" s="7" t="str">
        <f ca="1">IFERROR(__xludf.DUMMYFUNCTION("GOOGLEFINANCE(""NSE:""&amp;D3519,""EPS"")"),"#N/A")</f>
        <v>#N/A</v>
      </c>
      <c r="Q3519" s="7">
        <v>13.5</v>
      </c>
      <c r="R3519" s="7" t="str">
        <f ca="1">IFERROR(__xludf.DUMMYFUNCTION("IMPORTXML(E3519,""/html/body/main/div[3]/div[3]/div[2]/ul/li[7]/span[2]/span"")"),"Loading...")</f>
        <v>Loading...</v>
      </c>
      <c r="S3519" s="7" t="str">
        <f ca="1">IFERROR(__xludf.DUMMYFUNCTION("IMPORTXML(E3519,""/html/body/main/div[3]/div[3]/div[2]/ul/li[8]/span[2]/span"")"),"Loading...")</f>
        <v>Loading...</v>
      </c>
      <c r="T3519" s="4">
        <v>34.6</v>
      </c>
      <c r="U3519" s="4">
        <v>22.7</v>
      </c>
      <c r="V3519" s="4">
        <v>2.6</v>
      </c>
      <c r="W3519" s="4">
        <v>5.7</v>
      </c>
      <c r="X3519" s="4">
        <v>519.92999999999995</v>
      </c>
      <c r="Y3519" s="7" t="e">
        <f t="shared" ca="1" si="74"/>
        <v>#VALUE!</v>
      </c>
    </row>
    <row r="3520" spans="1:25" ht="15" x14ac:dyDescent="0.25">
      <c r="A3520" s="4">
        <v>3512</v>
      </c>
      <c r="C3520" s="41" t="s">
        <v>5868</v>
      </c>
      <c r="D3520" s="42"/>
      <c r="E3520" s="5" t="str">
        <f t="shared" si="70"/>
        <v>https://www.screener.in/company//consolidated/</v>
      </c>
      <c r="F3520" s="4">
        <v>443059</v>
      </c>
      <c r="G3520" s="4">
        <v>3832241897</v>
      </c>
      <c r="H3520" s="6" t="e">
        <f t="shared" ca="1" si="71"/>
        <v>#VALUE!</v>
      </c>
      <c r="I3520" s="7" t="str">
        <f ca="1">IFERROR(__xludf.DUMMYFUNCTION("IMPORTXML(E3520,""/html/body/main/div[3]/div[3]/div[2]/ul/li[5]/span[2]/span"")"),"Loading...")</f>
        <v>Loading...</v>
      </c>
      <c r="J3520" s="7" t="str">
        <f ca="1">IFERROR(__xludf.DUMMYFUNCTION("GOOGLEFINANCE(""NSE:""&amp;D3520,""marketcap"")"),"#N/A")</f>
        <v>#N/A</v>
      </c>
      <c r="K3520" s="7">
        <v>992.8</v>
      </c>
      <c r="L3520" s="8" t="str">
        <f ca="1">IFERROR(__xludf.DUMMYFUNCTION("GOOGLEFINANCE(""NSE:""&amp;D3520,""price"")"),"#N/A")</f>
        <v>#N/A</v>
      </c>
      <c r="M3520" s="9" t="e">
        <f t="shared" ca="1" si="72"/>
        <v>#VALUE!</v>
      </c>
      <c r="N3520" s="10" t="e">
        <f t="shared" ca="1" si="73"/>
        <v>#VALUE!</v>
      </c>
      <c r="O3520" s="7" t="str">
        <f ca="1">IFERROR(__xludf.DUMMYFUNCTION("GOOGLEFINANCE(""NSE:""&amp;D3520,""pe"")"),"#N/A")</f>
        <v>#N/A</v>
      </c>
      <c r="P3520" s="7" t="str">
        <f ca="1">IFERROR(__xludf.DUMMYFUNCTION("GOOGLEFINANCE(""NSE:""&amp;D3520,""EPS"")"),"#N/A")</f>
        <v>#N/A</v>
      </c>
      <c r="Q3520" s="7">
        <v>13.5</v>
      </c>
      <c r="R3520" s="7" t="str">
        <f ca="1">IFERROR(__xludf.DUMMYFUNCTION("IMPORTXML(E3520,""/html/body/main/div[3]/div[3]/div[2]/ul/li[7]/span[2]/span"")"),"Loading...")</f>
        <v>Loading...</v>
      </c>
      <c r="S3520" s="7" t="str">
        <f ca="1">IFERROR(__xludf.DUMMYFUNCTION("IMPORTXML(E3520,""/html/body/main/div[3]/div[3]/div[2]/ul/li[8]/span[2]/span"")"),"Loading...")</f>
        <v>Loading...</v>
      </c>
      <c r="T3520" s="4">
        <v>34.6</v>
      </c>
      <c r="U3520" s="4">
        <v>22.7</v>
      </c>
      <c r="V3520" s="4">
        <v>2.6</v>
      </c>
      <c r="W3520" s="4">
        <v>5.7</v>
      </c>
      <c r="X3520" s="4">
        <v>519.92999999999995</v>
      </c>
      <c r="Y3520" s="7" t="e">
        <f t="shared" ca="1" si="74"/>
        <v>#VALUE!</v>
      </c>
    </row>
    <row r="3521" spans="1:25" ht="15" x14ac:dyDescent="0.25">
      <c r="A3521" s="4">
        <v>3513</v>
      </c>
      <c r="C3521" s="41" t="s">
        <v>5869</v>
      </c>
      <c r="D3521" s="42"/>
      <c r="E3521" s="5" t="str">
        <f t="shared" si="70"/>
        <v>https://www.screener.in/company//consolidated/</v>
      </c>
      <c r="F3521" s="4">
        <v>443059</v>
      </c>
      <c r="G3521" s="4">
        <v>3832241897</v>
      </c>
      <c r="H3521" s="6" t="e">
        <f t="shared" ca="1" si="71"/>
        <v>#VALUE!</v>
      </c>
      <c r="I3521" s="7" t="str">
        <f ca="1">IFERROR(__xludf.DUMMYFUNCTION("IMPORTXML(E3521,""/html/body/main/div[3]/div[3]/div[2]/ul/li[5]/span[2]/span"")"),"Loading...")</f>
        <v>Loading...</v>
      </c>
      <c r="J3521" s="7" t="str">
        <f ca="1">IFERROR(__xludf.DUMMYFUNCTION("GOOGLEFINANCE(""NSE:""&amp;D3521,""marketcap"")"),"#N/A")</f>
        <v>#N/A</v>
      </c>
      <c r="K3521" s="7">
        <v>992.8</v>
      </c>
      <c r="L3521" s="8" t="str">
        <f ca="1">IFERROR(__xludf.DUMMYFUNCTION("GOOGLEFINANCE(""NSE:""&amp;D3521,""price"")"),"#N/A")</f>
        <v>#N/A</v>
      </c>
      <c r="M3521" s="9" t="e">
        <f t="shared" ca="1" si="72"/>
        <v>#VALUE!</v>
      </c>
      <c r="N3521" s="10" t="e">
        <f t="shared" ca="1" si="73"/>
        <v>#VALUE!</v>
      </c>
      <c r="O3521" s="7" t="str">
        <f ca="1">IFERROR(__xludf.DUMMYFUNCTION("GOOGLEFINANCE(""NSE:""&amp;D3521,""pe"")"),"#N/A")</f>
        <v>#N/A</v>
      </c>
      <c r="P3521" s="7" t="str">
        <f ca="1">IFERROR(__xludf.DUMMYFUNCTION("GOOGLEFINANCE(""NSE:""&amp;D3521,""EPS"")"),"#N/A")</f>
        <v>#N/A</v>
      </c>
      <c r="Q3521" s="7">
        <v>13.5</v>
      </c>
      <c r="R3521" s="7" t="str">
        <f ca="1">IFERROR(__xludf.DUMMYFUNCTION("IMPORTXML(E3521,""/html/body/main/div[3]/div[3]/div[2]/ul/li[7]/span[2]/span"")"),"Loading...")</f>
        <v>Loading...</v>
      </c>
      <c r="S3521" s="7" t="str">
        <f ca="1">IFERROR(__xludf.DUMMYFUNCTION("IMPORTXML(E3521,""/html/body/main/div[3]/div[3]/div[2]/ul/li[8]/span[2]/span"")"),"Loading...")</f>
        <v>Loading...</v>
      </c>
      <c r="T3521" s="4">
        <v>34.6</v>
      </c>
      <c r="U3521" s="4">
        <v>22.7</v>
      </c>
      <c r="V3521" s="4">
        <v>2.6</v>
      </c>
      <c r="W3521" s="4">
        <v>5.7</v>
      </c>
      <c r="X3521" s="4">
        <v>519.92999999999995</v>
      </c>
      <c r="Y3521" s="7" t="e">
        <f t="shared" ca="1" si="74"/>
        <v>#VALUE!</v>
      </c>
    </row>
    <row r="3522" spans="1:25" ht="15" x14ac:dyDescent="0.25">
      <c r="A3522" s="4">
        <v>3514</v>
      </c>
      <c r="C3522" s="12" t="s">
        <v>5870</v>
      </c>
      <c r="D3522" s="12" t="s">
        <v>5871</v>
      </c>
      <c r="E3522" s="5" t="str">
        <f t="shared" si="70"/>
        <v>https://www.screener.in/company/SECURCRED/consolidated/</v>
      </c>
      <c r="F3522" s="4">
        <v>443059</v>
      </c>
      <c r="G3522" s="4">
        <v>3832241897</v>
      </c>
      <c r="H3522" s="6" t="e">
        <f t="shared" ca="1" si="71"/>
        <v>#VALUE!</v>
      </c>
      <c r="I3522" s="7" t="str">
        <f ca="1">IFERROR(__xludf.DUMMYFUNCTION("IMPORTXML(E3522,""/html/body/main/div[3]/div[3]/div[2]/ul/li[5]/span[2]/span"")"),"Loading...")</f>
        <v>Loading...</v>
      </c>
      <c r="J3522" s="7" t="str">
        <f ca="1">IFERROR(__xludf.DUMMYFUNCTION("GOOGLEFINANCE(""NSE:""&amp;D3522,""marketcap"")"),"#N/A")</f>
        <v>#N/A</v>
      </c>
      <c r="K3522" s="7">
        <v>992.8</v>
      </c>
      <c r="L3522" s="8" t="str">
        <f ca="1">IFERROR(__xludf.DUMMYFUNCTION("GOOGLEFINANCE(""NSE:""&amp;D3522,""price"")"),"#N/A")</f>
        <v>#N/A</v>
      </c>
      <c r="M3522" s="9" t="e">
        <f t="shared" ca="1" si="72"/>
        <v>#VALUE!</v>
      </c>
      <c r="N3522" s="10" t="e">
        <f t="shared" ca="1" si="73"/>
        <v>#VALUE!</v>
      </c>
      <c r="O3522" s="7" t="str">
        <f ca="1">IFERROR(__xludf.DUMMYFUNCTION("GOOGLEFINANCE(""NSE:""&amp;D3522,""pe"")"),"#N/A")</f>
        <v>#N/A</v>
      </c>
      <c r="P3522" s="7" t="str">
        <f ca="1">IFERROR(__xludf.DUMMYFUNCTION("GOOGLEFINANCE(""NSE:""&amp;D3522,""EPS"")"),"#N/A")</f>
        <v>#N/A</v>
      </c>
      <c r="Q3522" s="7">
        <v>13.5</v>
      </c>
      <c r="R3522" s="7" t="str">
        <f ca="1">IFERROR(__xludf.DUMMYFUNCTION("IMPORTXML(E3522,""/html/body/main/div[3]/div[3]/div[2]/ul/li[7]/span[2]/span"")"),"Loading...")</f>
        <v>Loading...</v>
      </c>
      <c r="S3522" s="7" t="str">
        <f ca="1">IFERROR(__xludf.DUMMYFUNCTION("IMPORTXML(E3522,""/html/body/main/div[3]/div[3]/div[2]/ul/li[8]/span[2]/span"")"),"Loading...")</f>
        <v>Loading...</v>
      </c>
      <c r="T3522" s="4">
        <v>34.6</v>
      </c>
      <c r="U3522" s="4">
        <v>22.7</v>
      </c>
      <c r="V3522" s="4">
        <v>2.6</v>
      </c>
      <c r="W3522" s="4">
        <v>5.7</v>
      </c>
      <c r="X3522" s="4">
        <v>519.92999999999995</v>
      </c>
      <c r="Y3522" s="7" t="e">
        <f t="shared" ca="1" si="74"/>
        <v>#VALUE!</v>
      </c>
    </row>
    <row r="3523" spans="1:25" ht="15" x14ac:dyDescent="0.25">
      <c r="A3523" s="4">
        <v>3516</v>
      </c>
      <c r="C3523" s="41" t="s">
        <v>5872</v>
      </c>
      <c r="D3523" s="42"/>
      <c r="E3523" s="5" t="str">
        <f t="shared" si="70"/>
        <v>https://www.screener.in/company//consolidated/</v>
      </c>
      <c r="F3523" s="4">
        <v>443059</v>
      </c>
      <c r="G3523" s="4">
        <v>3832241897</v>
      </c>
      <c r="H3523" s="6" t="e">
        <f t="shared" ca="1" si="71"/>
        <v>#VALUE!</v>
      </c>
      <c r="I3523" s="7" t="str">
        <f ca="1">IFERROR(__xludf.DUMMYFUNCTION("IMPORTXML(E3523,""/html/body/main/div[3]/div[3]/div[2]/ul/li[5]/span[2]/span"")"),"Loading...")</f>
        <v>Loading...</v>
      </c>
      <c r="J3523" s="7" t="str">
        <f ca="1">IFERROR(__xludf.DUMMYFUNCTION("GOOGLEFINANCE(""NSE:""&amp;D3523,""marketcap"")"),"#N/A")</f>
        <v>#N/A</v>
      </c>
      <c r="K3523" s="7">
        <v>992.8</v>
      </c>
      <c r="L3523" s="8" t="str">
        <f ca="1">IFERROR(__xludf.DUMMYFUNCTION("GOOGLEFINANCE(""NSE:""&amp;D3523,""price"")"),"#N/A")</f>
        <v>#N/A</v>
      </c>
      <c r="M3523" s="9" t="e">
        <f t="shared" ca="1" si="72"/>
        <v>#VALUE!</v>
      </c>
      <c r="N3523" s="10" t="e">
        <f t="shared" ca="1" si="73"/>
        <v>#VALUE!</v>
      </c>
      <c r="O3523" s="7" t="str">
        <f ca="1">IFERROR(__xludf.DUMMYFUNCTION("GOOGLEFINANCE(""NSE:""&amp;D3523,""pe"")"),"#N/A")</f>
        <v>#N/A</v>
      </c>
      <c r="P3523" s="7" t="str">
        <f ca="1">IFERROR(__xludf.DUMMYFUNCTION("GOOGLEFINANCE(""NSE:""&amp;D3523,""EPS"")"),"#N/A")</f>
        <v>#N/A</v>
      </c>
      <c r="Q3523" s="7">
        <v>13.5</v>
      </c>
      <c r="R3523" s="7" t="str">
        <f ca="1">IFERROR(__xludf.DUMMYFUNCTION("IMPORTXML(E3523,""/html/body/main/div[3]/div[3]/div[2]/ul/li[7]/span[2]/span"")"),"Loading...")</f>
        <v>Loading...</v>
      </c>
      <c r="S3523" s="7" t="str">
        <f ca="1">IFERROR(__xludf.DUMMYFUNCTION("IMPORTXML(E3523,""/html/body/main/div[3]/div[3]/div[2]/ul/li[8]/span[2]/span"")"),"Loading...")</f>
        <v>Loading...</v>
      </c>
      <c r="T3523" s="4">
        <v>34.6</v>
      </c>
      <c r="U3523" s="4">
        <v>22.7</v>
      </c>
      <c r="V3523" s="4">
        <v>2.6</v>
      </c>
      <c r="W3523" s="4">
        <v>5.7</v>
      </c>
      <c r="X3523" s="4">
        <v>519.92999999999995</v>
      </c>
      <c r="Y3523" s="7" t="e">
        <f t="shared" ca="1" si="74"/>
        <v>#VALUE!</v>
      </c>
    </row>
    <row r="3524" spans="1:25" ht="15" x14ac:dyDescent="0.25">
      <c r="A3524" s="4">
        <v>3517</v>
      </c>
      <c r="C3524" s="41" t="s">
        <v>5873</v>
      </c>
      <c r="D3524" s="42"/>
      <c r="E3524" s="5" t="str">
        <f t="shared" si="70"/>
        <v>https://www.screener.in/company//consolidated/</v>
      </c>
      <c r="F3524" s="4">
        <v>443059</v>
      </c>
      <c r="G3524" s="4">
        <v>3832241897</v>
      </c>
      <c r="H3524" s="6" t="e">
        <f t="shared" ca="1" si="71"/>
        <v>#VALUE!</v>
      </c>
      <c r="I3524" s="7" t="str">
        <f ca="1">IFERROR(__xludf.DUMMYFUNCTION("IMPORTXML(E3524,""/html/body/main/div[3]/div[3]/div[2]/ul/li[5]/span[2]/span"")"),"Loading...")</f>
        <v>Loading...</v>
      </c>
      <c r="J3524" s="7" t="str">
        <f ca="1">IFERROR(__xludf.DUMMYFUNCTION("GOOGLEFINANCE(""NSE:""&amp;D3524,""marketcap"")"),"#N/A")</f>
        <v>#N/A</v>
      </c>
      <c r="K3524" s="7">
        <v>992.8</v>
      </c>
      <c r="L3524" s="8" t="str">
        <f ca="1">IFERROR(__xludf.DUMMYFUNCTION("GOOGLEFINANCE(""NSE:""&amp;D3524,""price"")"),"#N/A")</f>
        <v>#N/A</v>
      </c>
      <c r="M3524" s="9" t="e">
        <f t="shared" ca="1" si="72"/>
        <v>#VALUE!</v>
      </c>
      <c r="N3524" s="10" t="e">
        <f t="shared" ca="1" si="73"/>
        <v>#VALUE!</v>
      </c>
      <c r="O3524" s="7" t="str">
        <f ca="1">IFERROR(__xludf.DUMMYFUNCTION("GOOGLEFINANCE(""NSE:""&amp;D3524,""pe"")"),"#N/A")</f>
        <v>#N/A</v>
      </c>
      <c r="P3524" s="7" t="str">
        <f ca="1">IFERROR(__xludf.DUMMYFUNCTION("GOOGLEFINANCE(""NSE:""&amp;D3524,""EPS"")"),"#N/A")</f>
        <v>#N/A</v>
      </c>
      <c r="Q3524" s="7">
        <v>13.5</v>
      </c>
      <c r="R3524" s="7" t="str">
        <f ca="1">IFERROR(__xludf.DUMMYFUNCTION("IMPORTXML(E3524,""/html/body/main/div[3]/div[3]/div[2]/ul/li[7]/span[2]/span"")"),"Loading...")</f>
        <v>Loading...</v>
      </c>
      <c r="S3524" s="7" t="str">
        <f ca="1">IFERROR(__xludf.DUMMYFUNCTION("IMPORTXML(E3524,""/html/body/main/div[3]/div[3]/div[2]/ul/li[8]/span[2]/span"")"),"Loading...")</f>
        <v>Loading...</v>
      </c>
      <c r="T3524" s="4">
        <v>34.6</v>
      </c>
      <c r="U3524" s="4">
        <v>22.7</v>
      </c>
      <c r="V3524" s="4">
        <v>2.6</v>
      </c>
      <c r="W3524" s="4">
        <v>5.7</v>
      </c>
      <c r="X3524" s="4">
        <v>519.92999999999995</v>
      </c>
      <c r="Y3524" s="7" t="e">
        <f t="shared" ca="1" si="74"/>
        <v>#VALUE!</v>
      </c>
    </row>
    <row r="3525" spans="1:25" ht="15" x14ac:dyDescent="0.25">
      <c r="A3525" s="4">
        <v>3518</v>
      </c>
      <c r="C3525" s="41" t="s">
        <v>5874</v>
      </c>
      <c r="D3525" s="42"/>
      <c r="E3525" s="5" t="str">
        <f t="shared" si="70"/>
        <v>https://www.screener.in/company//consolidated/</v>
      </c>
      <c r="F3525" s="4">
        <v>443059</v>
      </c>
      <c r="G3525" s="4">
        <v>3832241897</v>
      </c>
      <c r="H3525" s="6" t="e">
        <f t="shared" ca="1" si="71"/>
        <v>#VALUE!</v>
      </c>
      <c r="I3525" s="7" t="str">
        <f ca="1">IFERROR(__xludf.DUMMYFUNCTION("IMPORTXML(E3525,""/html/body/main/div[3]/div[3]/div[2]/ul/li[5]/span[2]/span"")"),"Loading...")</f>
        <v>Loading...</v>
      </c>
      <c r="J3525" s="7" t="str">
        <f ca="1">IFERROR(__xludf.DUMMYFUNCTION("GOOGLEFINANCE(""NSE:""&amp;D3525,""marketcap"")"),"#N/A")</f>
        <v>#N/A</v>
      </c>
      <c r="K3525" s="7">
        <v>992.8</v>
      </c>
      <c r="L3525" s="8" t="str">
        <f ca="1">IFERROR(__xludf.DUMMYFUNCTION("GOOGLEFINANCE(""NSE:""&amp;D3525,""price"")"),"#N/A")</f>
        <v>#N/A</v>
      </c>
      <c r="M3525" s="9" t="e">
        <f t="shared" ca="1" si="72"/>
        <v>#VALUE!</v>
      </c>
      <c r="N3525" s="10" t="e">
        <f t="shared" ca="1" si="73"/>
        <v>#VALUE!</v>
      </c>
      <c r="O3525" s="7" t="str">
        <f ca="1">IFERROR(__xludf.DUMMYFUNCTION("GOOGLEFINANCE(""NSE:""&amp;D3525,""pe"")"),"#N/A")</f>
        <v>#N/A</v>
      </c>
      <c r="P3525" s="7" t="str">
        <f ca="1">IFERROR(__xludf.DUMMYFUNCTION("GOOGLEFINANCE(""NSE:""&amp;D3525,""EPS"")"),"#N/A")</f>
        <v>#N/A</v>
      </c>
      <c r="Q3525" s="7">
        <v>13.5</v>
      </c>
      <c r="R3525" s="7" t="str">
        <f ca="1">IFERROR(__xludf.DUMMYFUNCTION("IMPORTXML(E3525,""/html/body/main/div[3]/div[3]/div[2]/ul/li[7]/span[2]/span"")"),"Loading...")</f>
        <v>Loading...</v>
      </c>
      <c r="S3525" s="7" t="str">
        <f ca="1">IFERROR(__xludf.DUMMYFUNCTION("IMPORTXML(E3525,""/html/body/main/div[3]/div[3]/div[2]/ul/li[8]/span[2]/span"")"),"Loading...")</f>
        <v>Loading...</v>
      </c>
      <c r="T3525" s="4">
        <v>34.6</v>
      </c>
      <c r="U3525" s="4">
        <v>22.7</v>
      </c>
      <c r="V3525" s="4">
        <v>2.6</v>
      </c>
      <c r="W3525" s="4">
        <v>5.7</v>
      </c>
      <c r="X3525" s="4">
        <v>519.92999999999995</v>
      </c>
      <c r="Y3525" s="7" t="e">
        <f t="shared" ca="1" si="74"/>
        <v>#VALUE!</v>
      </c>
    </row>
    <row r="3526" spans="1:25" ht="15" x14ac:dyDescent="0.25">
      <c r="A3526" s="4">
        <v>3519</v>
      </c>
      <c r="C3526" s="41" t="s">
        <v>5875</v>
      </c>
      <c r="D3526" s="42"/>
      <c r="E3526" s="5" t="str">
        <f t="shared" si="70"/>
        <v>https://www.screener.in/company//consolidated/</v>
      </c>
      <c r="F3526" s="4">
        <v>443059</v>
      </c>
      <c r="G3526" s="4">
        <v>3832241897</v>
      </c>
      <c r="H3526" s="6" t="e">
        <f t="shared" ca="1" si="71"/>
        <v>#VALUE!</v>
      </c>
      <c r="I3526" s="7" t="str">
        <f ca="1">IFERROR(__xludf.DUMMYFUNCTION("IMPORTXML(E3526,""/html/body/main/div[3]/div[3]/div[2]/ul/li[5]/span[2]/span"")"),"Loading...")</f>
        <v>Loading...</v>
      </c>
      <c r="J3526" s="7" t="str">
        <f ca="1">IFERROR(__xludf.DUMMYFUNCTION("GOOGLEFINANCE(""NSE:""&amp;D3526,""marketcap"")"),"#N/A")</f>
        <v>#N/A</v>
      </c>
      <c r="K3526" s="7">
        <v>992.8</v>
      </c>
      <c r="L3526" s="8" t="str">
        <f ca="1">IFERROR(__xludf.DUMMYFUNCTION("GOOGLEFINANCE(""NSE:""&amp;D3526,""price"")"),"#N/A")</f>
        <v>#N/A</v>
      </c>
      <c r="M3526" s="9" t="e">
        <f t="shared" ca="1" si="72"/>
        <v>#VALUE!</v>
      </c>
      <c r="N3526" s="10" t="e">
        <f t="shared" ca="1" si="73"/>
        <v>#VALUE!</v>
      </c>
      <c r="O3526" s="7" t="str">
        <f ca="1">IFERROR(__xludf.DUMMYFUNCTION("GOOGLEFINANCE(""NSE:""&amp;D3526,""pe"")"),"#N/A")</f>
        <v>#N/A</v>
      </c>
      <c r="P3526" s="7" t="str">
        <f ca="1">IFERROR(__xludf.DUMMYFUNCTION("GOOGLEFINANCE(""NSE:""&amp;D3526,""EPS"")"),"#N/A")</f>
        <v>#N/A</v>
      </c>
      <c r="Q3526" s="7">
        <v>13.5</v>
      </c>
      <c r="R3526" s="7" t="str">
        <f ca="1">IFERROR(__xludf.DUMMYFUNCTION("IMPORTXML(E3526,""/html/body/main/div[3]/div[3]/div[2]/ul/li[7]/span[2]/span"")"),"Loading...")</f>
        <v>Loading...</v>
      </c>
      <c r="S3526" s="7" t="str">
        <f ca="1">IFERROR(__xludf.DUMMYFUNCTION("IMPORTXML(E3526,""/html/body/main/div[3]/div[3]/div[2]/ul/li[8]/span[2]/span"")"),"Loading...")</f>
        <v>Loading...</v>
      </c>
      <c r="T3526" s="4">
        <v>34.6</v>
      </c>
      <c r="U3526" s="4">
        <v>22.7</v>
      </c>
      <c r="V3526" s="4">
        <v>2.6</v>
      </c>
      <c r="W3526" s="4">
        <v>5.7</v>
      </c>
      <c r="X3526" s="4">
        <v>519.92999999999995</v>
      </c>
      <c r="Y3526" s="7" t="e">
        <f t="shared" ca="1" si="74"/>
        <v>#VALUE!</v>
      </c>
    </row>
    <row r="3527" spans="1:25" ht="15" x14ac:dyDescent="0.25">
      <c r="A3527" s="4">
        <v>3520</v>
      </c>
      <c r="C3527" s="41" t="s">
        <v>5876</v>
      </c>
      <c r="D3527" s="42"/>
      <c r="E3527" s="5" t="str">
        <f t="shared" si="70"/>
        <v>https://www.screener.in/company//consolidated/</v>
      </c>
      <c r="F3527" s="4">
        <v>443059</v>
      </c>
      <c r="G3527" s="4">
        <v>3832241897</v>
      </c>
      <c r="H3527" s="6" t="e">
        <f t="shared" ca="1" si="71"/>
        <v>#VALUE!</v>
      </c>
      <c r="I3527" s="7" t="str">
        <f ca="1">IFERROR(__xludf.DUMMYFUNCTION("IMPORTXML(E3527,""/html/body/main/div[3]/div[3]/div[2]/ul/li[5]/span[2]/span"")"),"Loading...")</f>
        <v>Loading...</v>
      </c>
      <c r="J3527" s="7" t="str">
        <f ca="1">IFERROR(__xludf.DUMMYFUNCTION("GOOGLEFINANCE(""NSE:""&amp;D3527,""marketcap"")"),"#N/A")</f>
        <v>#N/A</v>
      </c>
      <c r="K3527" s="7">
        <v>992.8</v>
      </c>
      <c r="L3527" s="8" t="str">
        <f ca="1">IFERROR(__xludf.DUMMYFUNCTION("GOOGLEFINANCE(""NSE:""&amp;D3527,""price"")"),"#N/A")</f>
        <v>#N/A</v>
      </c>
      <c r="M3527" s="9" t="e">
        <f t="shared" ca="1" si="72"/>
        <v>#VALUE!</v>
      </c>
      <c r="N3527" s="10" t="e">
        <f t="shared" ca="1" si="73"/>
        <v>#VALUE!</v>
      </c>
      <c r="O3527" s="7" t="str">
        <f ca="1">IFERROR(__xludf.DUMMYFUNCTION("GOOGLEFINANCE(""NSE:""&amp;D3527,""pe"")"),"#N/A")</f>
        <v>#N/A</v>
      </c>
      <c r="P3527" s="7" t="str">
        <f ca="1">IFERROR(__xludf.DUMMYFUNCTION("GOOGLEFINANCE(""NSE:""&amp;D3527,""EPS"")"),"#N/A")</f>
        <v>#N/A</v>
      </c>
      <c r="Q3527" s="7">
        <v>13.5</v>
      </c>
      <c r="R3527" s="7" t="str">
        <f ca="1">IFERROR(__xludf.DUMMYFUNCTION("IMPORTXML(E3527,""/html/body/main/div[3]/div[3]/div[2]/ul/li[7]/span[2]/span"")"),"Loading...")</f>
        <v>Loading...</v>
      </c>
      <c r="S3527" s="7" t="str">
        <f ca="1">IFERROR(__xludf.DUMMYFUNCTION("IMPORTXML(E3527,""/html/body/main/div[3]/div[3]/div[2]/ul/li[8]/span[2]/span"")"),"Loading...")</f>
        <v>Loading...</v>
      </c>
      <c r="T3527" s="4">
        <v>34.6</v>
      </c>
      <c r="U3527" s="4">
        <v>22.7</v>
      </c>
      <c r="V3527" s="4">
        <v>2.6</v>
      </c>
      <c r="W3527" s="4">
        <v>5.7</v>
      </c>
      <c r="X3527" s="4">
        <v>519.92999999999995</v>
      </c>
      <c r="Y3527" s="7" t="e">
        <f t="shared" ca="1" si="74"/>
        <v>#VALUE!</v>
      </c>
    </row>
    <row r="3528" spans="1:25" ht="15" x14ac:dyDescent="0.25">
      <c r="A3528" s="4">
        <v>3521</v>
      </c>
      <c r="C3528" s="41" t="s">
        <v>5877</v>
      </c>
      <c r="D3528" s="42"/>
      <c r="E3528" s="5" t="str">
        <f t="shared" si="70"/>
        <v>https://www.screener.in/company//consolidated/</v>
      </c>
      <c r="F3528" s="4">
        <v>443059</v>
      </c>
      <c r="G3528" s="4">
        <v>3832241897</v>
      </c>
      <c r="H3528" s="6" t="e">
        <f t="shared" ca="1" si="71"/>
        <v>#VALUE!</v>
      </c>
      <c r="I3528" s="7" t="str">
        <f ca="1">IFERROR(__xludf.DUMMYFUNCTION("IMPORTXML(E3528,""/html/body/main/div[3]/div[3]/div[2]/ul/li[5]/span[2]/span"")"),"Loading...")</f>
        <v>Loading...</v>
      </c>
      <c r="J3528" s="7" t="str">
        <f ca="1">IFERROR(__xludf.DUMMYFUNCTION("GOOGLEFINANCE(""NSE:""&amp;D3528,""marketcap"")"),"#N/A")</f>
        <v>#N/A</v>
      </c>
      <c r="K3528" s="7">
        <v>992.8</v>
      </c>
      <c r="L3528" s="8" t="str">
        <f ca="1">IFERROR(__xludf.DUMMYFUNCTION("GOOGLEFINANCE(""NSE:""&amp;D3528,""price"")"),"#N/A")</f>
        <v>#N/A</v>
      </c>
      <c r="M3528" s="9" t="e">
        <f t="shared" ca="1" si="72"/>
        <v>#VALUE!</v>
      </c>
      <c r="N3528" s="10" t="e">
        <f t="shared" ca="1" si="73"/>
        <v>#VALUE!</v>
      </c>
      <c r="O3528" s="7" t="str">
        <f ca="1">IFERROR(__xludf.DUMMYFUNCTION("GOOGLEFINANCE(""NSE:""&amp;D3528,""pe"")"),"#N/A")</f>
        <v>#N/A</v>
      </c>
      <c r="P3528" s="7" t="str">
        <f ca="1">IFERROR(__xludf.DUMMYFUNCTION("GOOGLEFINANCE(""NSE:""&amp;D3528,""EPS"")"),"#N/A")</f>
        <v>#N/A</v>
      </c>
      <c r="Q3528" s="7">
        <v>13.5</v>
      </c>
      <c r="R3528" s="7" t="str">
        <f ca="1">IFERROR(__xludf.DUMMYFUNCTION("IMPORTXML(E3528,""/html/body/main/div[3]/div[3]/div[2]/ul/li[7]/span[2]/span"")"),"Loading...")</f>
        <v>Loading...</v>
      </c>
      <c r="S3528" s="7" t="str">
        <f ca="1">IFERROR(__xludf.DUMMYFUNCTION("IMPORTXML(E3528,""/html/body/main/div[3]/div[3]/div[2]/ul/li[8]/span[2]/span"")"),"Loading...")</f>
        <v>Loading...</v>
      </c>
      <c r="T3528" s="4">
        <v>34.6</v>
      </c>
      <c r="U3528" s="4">
        <v>22.7</v>
      </c>
      <c r="V3528" s="4">
        <v>2.6</v>
      </c>
      <c r="W3528" s="4">
        <v>5.7</v>
      </c>
      <c r="X3528" s="4">
        <v>519.92999999999995</v>
      </c>
      <c r="Y3528" s="7" t="e">
        <f t="shared" ca="1" si="74"/>
        <v>#VALUE!</v>
      </c>
    </row>
    <row r="3529" spans="1:25" ht="15" x14ac:dyDescent="0.25">
      <c r="A3529" s="4">
        <v>3522</v>
      </c>
      <c r="C3529" s="41" t="s">
        <v>5878</v>
      </c>
      <c r="D3529" s="42"/>
      <c r="E3529" s="5" t="str">
        <f t="shared" si="70"/>
        <v>https://www.screener.in/company//consolidated/</v>
      </c>
      <c r="F3529" s="4">
        <v>443059</v>
      </c>
      <c r="G3529" s="4">
        <v>3832241897</v>
      </c>
      <c r="H3529" s="6" t="e">
        <f t="shared" ca="1" si="71"/>
        <v>#VALUE!</v>
      </c>
      <c r="I3529" s="7" t="str">
        <f ca="1">IFERROR(__xludf.DUMMYFUNCTION("IMPORTXML(E3529,""/html/body/main/div[3]/div[3]/div[2]/ul/li[5]/span[2]/span"")"),"Loading...")</f>
        <v>Loading...</v>
      </c>
      <c r="J3529" s="7" t="str">
        <f ca="1">IFERROR(__xludf.DUMMYFUNCTION("GOOGLEFINANCE(""NSE:""&amp;D3529,""marketcap"")"),"#N/A")</f>
        <v>#N/A</v>
      </c>
      <c r="K3529" s="7">
        <v>992.8</v>
      </c>
      <c r="L3529" s="8" t="str">
        <f ca="1">IFERROR(__xludf.DUMMYFUNCTION("GOOGLEFINANCE(""NSE:""&amp;D3529,""price"")"),"#N/A")</f>
        <v>#N/A</v>
      </c>
      <c r="M3529" s="9" t="e">
        <f t="shared" ca="1" si="72"/>
        <v>#VALUE!</v>
      </c>
      <c r="N3529" s="10" t="e">
        <f t="shared" ca="1" si="73"/>
        <v>#VALUE!</v>
      </c>
      <c r="O3529" s="7" t="str">
        <f ca="1">IFERROR(__xludf.DUMMYFUNCTION("GOOGLEFINANCE(""NSE:""&amp;D3529,""pe"")"),"#N/A")</f>
        <v>#N/A</v>
      </c>
      <c r="P3529" s="7" t="str">
        <f ca="1">IFERROR(__xludf.DUMMYFUNCTION("GOOGLEFINANCE(""NSE:""&amp;D3529,""EPS"")"),"#N/A")</f>
        <v>#N/A</v>
      </c>
      <c r="Q3529" s="7">
        <v>13.5</v>
      </c>
      <c r="R3529" s="7" t="str">
        <f ca="1">IFERROR(__xludf.DUMMYFUNCTION("IMPORTXML(E3529,""/html/body/main/div[3]/div[3]/div[2]/ul/li[7]/span[2]/span"")"),"Loading...")</f>
        <v>Loading...</v>
      </c>
      <c r="S3529" s="7" t="str">
        <f ca="1">IFERROR(__xludf.DUMMYFUNCTION("IMPORTXML(E3529,""/html/body/main/div[3]/div[3]/div[2]/ul/li[8]/span[2]/span"")"),"Loading...")</f>
        <v>Loading...</v>
      </c>
      <c r="T3529" s="4">
        <v>34.6</v>
      </c>
      <c r="U3529" s="4">
        <v>22.7</v>
      </c>
      <c r="V3529" s="4">
        <v>2.6</v>
      </c>
      <c r="W3529" s="4">
        <v>5.7</v>
      </c>
      <c r="X3529" s="4">
        <v>519.92999999999995</v>
      </c>
      <c r="Y3529" s="7" t="e">
        <f t="shared" ca="1" si="74"/>
        <v>#VALUE!</v>
      </c>
    </row>
    <row r="3530" spans="1:25" ht="15" x14ac:dyDescent="0.25">
      <c r="A3530" s="4">
        <v>3523</v>
      </c>
      <c r="C3530" s="41" t="s">
        <v>5879</v>
      </c>
      <c r="D3530" s="42"/>
      <c r="E3530" s="5" t="str">
        <f t="shared" si="70"/>
        <v>https://www.screener.in/company//consolidated/</v>
      </c>
      <c r="F3530" s="4">
        <v>443059</v>
      </c>
      <c r="G3530" s="4">
        <v>3832241897</v>
      </c>
      <c r="H3530" s="6" t="e">
        <f t="shared" ca="1" si="71"/>
        <v>#VALUE!</v>
      </c>
      <c r="I3530" s="7" t="str">
        <f ca="1">IFERROR(__xludf.DUMMYFUNCTION("IMPORTXML(E3530,""/html/body/main/div[3]/div[3]/div[2]/ul/li[5]/span[2]/span"")"),"Loading...")</f>
        <v>Loading...</v>
      </c>
      <c r="J3530" s="7" t="str">
        <f ca="1">IFERROR(__xludf.DUMMYFUNCTION("GOOGLEFINANCE(""NSE:""&amp;D3530,""marketcap"")"),"#N/A")</f>
        <v>#N/A</v>
      </c>
      <c r="K3530" s="7">
        <v>992.8</v>
      </c>
      <c r="L3530" s="8" t="str">
        <f ca="1">IFERROR(__xludf.DUMMYFUNCTION("GOOGLEFINANCE(""NSE:""&amp;D3530,""price"")"),"#N/A")</f>
        <v>#N/A</v>
      </c>
      <c r="M3530" s="9" t="e">
        <f t="shared" ca="1" si="72"/>
        <v>#VALUE!</v>
      </c>
      <c r="N3530" s="10" t="e">
        <f t="shared" ca="1" si="73"/>
        <v>#VALUE!</v>
      </c>
      <c r="O3530" s="7" t="str">
        <f ca="1">IFERROR(__xludf.DUMMYFUNCTION("GOOGLEFINANCE(""NSE:""&amp;D3530,""pe"")"),"#N/A")</f>
        <v>#N/A</v>
      </c>
      <c r="P3530" s="7" t="str">
        <f ca="1">IFERROR(__xludf.DUMMYFUNCTION("GOOGLEFINANCE(""NSE:""&amp;D3530,""EPS"")"),"#N/A")</f>
        <v>#N/A</v>
      </c>
      <c r="Q3530" s="7">
        <v>13.5</v>
      </c>
      <c r="R3530" s="7" t="str">
        <f ca="1">IFERROR(__xludf.DUMMYFUNCTION("IMPORTXML(E3530,""/html/body/main/div[3]/div[3]/div[2]/ul/li[7]/span[2]/span"")"),"Loading...")</f>
        <v>Loading...</v>
      </c>
      <c r="S3530" s="7" t="str">
        <f ca="1">IFERROR(__xludf.DUMMYFUNCTION("IMPORTXML(E3530,""/html/body/main/div[3]/div[3]/div[2]/ul/li[8]/span[2]/span"")"),"Loading...")</f>
        <v>Loading...</v>
      </c>
      <c r="T3530" s="4">
        <v>34.6</v>
      </c>
      <c r="U3530" s="4">
        <v>22.7</v>
      </c>
      <c r="V3530" s="4">
        <v>2.6</v>
      </c>
      <c r="W3530" s="4">
        <v>5.7</v>
      </c>
      <c r="X3530" s="4">
        <v>519.92999999999995</v>
      </c>
      <c r="Y3530" s="7" t="e">
        <f t="shared" ca="1" si="74"/>
        <v>#VALUE!</v>
      </c>
    </row>
    <row r="3531" spans="1:25" ht="15" x14ac:dyDescent="0.25">
      <c r="A3531" s="4">
        <v>3524</v>
      </c>
      <c r="C3531" s="41" t="s">
        <v>5880</v>
      </c>
      <c r="D3531" s="42"/>
      <c r="E3531" s="5" t="str">
        <f t="shared" si="70"/>
        <v>https://www.screener.in/company//consolidated/</v>
      </c>
      <c r="F3531" s="4">
        <v>443059</v>
      </c>
      <c r="G3531" s="4">
        <v>3832241897</v>
      </c>
      <c r="H3531" s="6" t="e">
        <f t="shared" ca="1" si="71"/>
        <v>#VALUE!</v>
      </c>
      <c r="I3531" s="7" t="str">
        <f ca="1">IFERROR(__xludf.DUMMYFUNCTION("IMPORTXML(E3531,""/html/body/main/div[3]/div[3]/div[2]/ul/li[5]/span[2]/span"")"),"Loading...")</f>
        <v>Loading...</v>
      </c>
      <c r="J3531" s="7" t="str">
        <f ca="1">IFERROR(__xludf.DUMMYFUNCTION("GOOGLEFINANCE(""NSE:""&amp;D3531,""marketcap"")"),"#N/A")</f>
        <v>#N/A</v>
      </c>
      <c r="K3531" s="7">
        <v>992.8</v>
      </c>
      <c r="L3531" s="8" t="str">
        <f ca="1">IFERROR(__xludf.DUMMYFUNCTION("GOOGLEFINANCE(""NSE:""&amp;D3531,""price"")"),"#N/A")</f>
        <v>#N/A</v>
      </c>
      <c r="M3531" s="9" t="e">
        <f t="shared" ca="1" si="72"/>
        <v>#VALUE!</v>
      </c>
      <c r="N3531" s="10" t="e">
        <f t="shared" ca="1" si="73"/>
        <v>#VALUE!</v>
      </c>
      <c r="O3531" s="7" t="str">
        <f ca="1">IFERROR(__xludf.DUMMYFUNCTION("GOOGLEFINANCE(""NSE:""&amp;D3531,""pe"")"),"#N/A")</f>
        <v>#N/A</v>
      </c>
      <c r="P3531" s="7" t="str">
        <f ca="1">IFERROR(__xludf.DUMMYFUNCTION("GOOGLEFINANCE(""NSE:""&amp;D3531,""EPS"")"),"#N/A")</f>
        <v>#N/A</v>
      </c>
      <c r="Q3531" s="7">
        <v>13.5</v>
      </c>
      <c r="R3531" s="7" t="str">
        <f ca="1">IFERROR(__xludf.DUMMYFUNCTION("IMPORTXML(E3531,""/html/body/main/div[3]/div[3]/div[2]/ul/li[7]/span[2]/span"")"),"Loading...")</f>
        <v>Loading...</v>
      </c>
      <c r="S3531" s="7" t="str">
        <f ca="1">IFERROR(__xludf.DUMMYFUNCTION("IMPORTXML(E3531,""/html/body/main/div[3]/div[3]/div[2]/ul/li[8]/span[2]/span"")"),"Loading...")</f>
        <v>Loading...</v>
      </c>
      <c r="T3531" s="4">
        <v>34.6</v>
      </c>
      <c r="U3531" s="4">
        <v>22.7</v>
      </c>
      <c r="V3531" s="4">
        <v>2.6</v>
      </c>
      <c r="W3531" s="4">
        <v>5.7</v>
      </c>
      <c r="X3531" s="4">
        <v>519.92999999999995</v>
      </c>
      <c r="Y3531" s="7" t="e">
        <f t="shared" ca="1" si="74"/>
        <v>#VALUE!</v>
      </c>
    </row>
    <row r="3532" spans="1:25" ht="15" x14ac:dyDescent="0.25">
      <c r="A3532" s="4">
        <v>3525</v>
      </c>
      <c r="C3532" s="41" t="s">
        <v>5881</v>
      </c>
      <c r="D3532" s="42"/>
      <c r="E3532" s="5" t="str">
        <f t="shared" si="70"/>
        <v>https://www.screener.in/company//consolidated/</v>
      </c>
      <c r="F3532" s="4">
        <v>443059</v>
      </c>
      <c r="G3532" s="4">
        <v>3832241897</v>
      </c>
      <c r="H3532" s="6" t="e">
        <f t="shared" ca="1" si="71"/>
        <v>#VALUE!</v>
      </c>
      <c r="I3532" s="7" t="str">
        <f ca="1">IFERROR(__xludf.DUMMYFUNCTION("IMPORTXML(E3532,""/html/body/main/div[3]/div[3]/div[2]/ul/li[5]/span[2]/span"")"),"Loading...")</f>
        <v>Loading...</v>
      </c>
      <c r="J3532" s="7" t="str">
        <f ca="1">IFERROR(__xludf.DUMMYFUNCTION("GOOGLEFINANCE(""NSE:""&amp;D3532,""marketcap"")"),"#N/A")</f>
        <v>#N/A</v>
      </c>
      <c r="K3532" s="7">
        <v>992.8</v>
      </c>
      <c r="L3532" s="8" t="str">
        <f ca="1">IFERROR(__xludf.DUMMYFUNCTION("GOOGLEFINANCE(""NSE:""&amp;D3532,""price"")"),"#N/A")</f>
        <v>#N/A</v>
      </c>
      <c r="M3532" s="9" t="e">
        <f t="shared" ca="1" si="72"/>
        <v>#VALUE!</v>
      </c>
      <c r="N3532" s="10" t="e">
        <f t="shared" ca="1" si="73"/>
        <v>#VALUE!</v>
      </c>
      <c r="O3532" s="7" t="str">
        <f ca="1">IFERROR(__xludf.DUMMYFUNCTION("GOOGLEFINANCE(""NSE:""&amp;D3532,""pe"")"),"#N/A")</f>
        <v>#N/A</v>
      </c>
      <c r="P3532" s="7" t="str">
        <f ca="1">IFERROR(__xludf.DUMMYFUNCTION("GOOGLEFINANCE(""NSE:""&amp;D3532,""EPS"")"),"#N/A")</f>
        <v>#N/A</v>
      </c>
      <c r="Q3532" s="7">
        <v>13.5</v>
      </c>
      <c r="R3532" s="7" t="str">
        <f ca="1">IFERROR(__xludf.DUMMYFUNCTION("IMPORTXML(E3532,""/html/body/main/div[3]/div[3]/div[2]/ul/li[7]/span[2]/span"")"),"Loading...")</f>
        <v>Loading...</v>
      </c>
      <c r="S3532" s="7" t="str">
        <f ca="1">IFERROR(__xludf.DUMMYFUNCTION("IMPORTXML(E3532,""/html/body/main/div[3]/div[3]/div[2]/ul/li[8]/span[2]/span"")"),"Loading...")</f>
        <v>Loading...</v>
      </c>
      <c r="T3532" s="4">
        <v>34.6</v>
      </c>
      <c r="U3532" s="4">
        <v>22.7</v>
      </c>
      <c r="V3532" s="4">
        <v>2.6</v>
      </c>
      <c r="W3532" s="4">
        <v>5.7</v>
      </c>
      <c r="X3532" s="4">
        <v>519.92999999999995</v>
      </c>
      <c r="Y3532" s="7" t="e">
        <f t="shared" ca="1" si="74"/>
        <v>#VALUE!</v>
      </c>
    </row>
    <row r="3533" spans="1:25" ht="15" x14ac:dyDescent="0.25">
      <c r="A3533" s="4">
        <v>3526</v>
      </c>
      <c r="C3533" s="41" t="s">
        <v>5882</v>
      </c>
      <c r="D3533" s="42"/>
      <c r="E3533" s="5" t="str">
        <f t="shared" si="70"/>
        <v>https://www.screener.in/company//consolidated/</v>
      </c>
      <c r="F3533" s="4">
        <v>443059</v>
      </c>
      <c r="G3533" s="4">
        <v>3832241897</v>
      </c>
      <c r="H3533" s="6" t="e">
        <f t="shared" ca="1" si="71"/>
        <v>#VALUE!</v>
      </c>
      <c r="I3533" s="7" t="str">
        <f ca="1">IFERROR(__xludf.DUMMYFUNCTION("IMPORTXML(E3533,""/html/body/main/div[3]/div[3]/div[2]/ul/li[5]/span[2]/span"")"),"Loading...")</f>
        <v>Loading...</v>
      </c>
      <c r="J3533" s="7" t="str">
        <f ca="1">IFERROR(__xludf.DUMMYFUNCTION("GOOGLEFINANCE(""NSE:""&amp;D3533,""marketcap"")"),"#N/A")</f>
        <v>#N/A</v>
      </c>
      <c r="K3533" s="7">
        <v>992.8</v>
      </c>
      <c r="L3533" s="8" t="str">
        <f ca="1">IFERROR(__xludf.DUMMYFUNCTION("GOOGLEFINANCE(""NSE:""&amp;D3533,""price"")"),"#N/A")</f>
        <v>#N/A</v>
      </c>
      <c r="M3533" s="9" t="e">
        <f t="shared" ca="1" si="72"/>
        <v>#VALUE!</v>
      </c>
      <c r="N3533" s="10" t="e">
        <f t="shared" ca="1" si="73"/>
        <v>#VALUE!</v>
      </c>
      <c r="O3533" s="7" t="str">
        <f ca="1">IFERROR(__xludf.DUMMYFUNCTION("GOOGLEFINANCE(""NSE:""&amp;D3533,""pe"")"),"#N/A")</f>
        <v>#N/A</v>
      </c>
      <c r="P3533" s="7" t="str">
        <f ca="1">IFERROR(__xludf.DUMMYFUNCTION("GOOGLEFINANCE(""NSE:""&amp;D3533,""EPS"")"),"#N/A")</f>
        <v>#N/A</v>
      </c>
      <c r="Q3533" s="7">
        <v>13.5</v>
      </c>
      <c r="R3533" s="7" t="str">
        <f ca="1">IFERROR(__xludf.DUMMYFUNCTION("IMPORTXML(E3533,""/html/body/main/div[3]/div[3]/div[2]/ul/li[7]/span[2]/span"")"),"Loading...")</f>
        <v>Loading...</v>
      </c>
      <c r="S3533" s="7" t="str">
        <f ca="1">IFERROR(__xludf.DUMMYFUNCTION("IMPORTXML(E3533,""/html/body/main/div[3]/div[3]/div[2]/ul/li[8]/span[2]/span"")"),"Loading...")</f>
        <v>Loading...</v>
      </c>
      <c r="T3533" s="4">
        <v>34.6</v>
      </c>
      <c r="U3533" s="4">
        <v>22.7</v>
      </c>
      <c r="V3533" s="4">
        <v>2.6</v>
      </c>
      <c r="W3533" s="4">
        <v>5.7</v>
      </c>
      <c r="X3533" s="4">
        <v>519.92999999999995</v>
      </c>
      <c r="Y3533" s="7" t="e">
        <f t="shared" ca="1" si="74"/>
        <v>#VALUE!</v>
      </c>
    </row>
    <row r="3534" spans="1:25" ht="15" x14ac:dyDescent="0.25">
      <c r="A3534" s="4">
        <v>3527</v>
      </c>
      <c r="C3534" s="41" t="s">
        <v>5883</v>
      </c>
      <c r="D3534" s="42"/>
      <c r="E3534" s="5" t="str">
        <f t="shared" si="70"/>
        <v>https://www.screener.in/company//consolidated/</v>
      </c>
      <c r="F3534" s="4">
        <v>443059</v>
      </c>
      <c r="G3534" s="4">
        <v>3832241897</v>
      </c>
      <c r="H3534" s="6" t="e">
        <f t="shared" ca="1" si="71"/>
        <v>#VALUE!</v>
      </c>
      <c r="I3534" s="7" t="str">
        <f ca="1">IFERROR(__xludf.DUMMYFUNCTION("IMPORTXML(E3534,""/html/body/main/div[3]/div[3]/div[2]/ul/li[5]/span[2]/span"")"),"Loading...")</f>
        <v>Loading...</v>
      </c>
      <c r="J3534" s="7" t="str">
        <f ca="1">IFERROR(__xludf.DUMMYFUNCTION("GOOGLEFINANCE(""NSE:""&amp;D3534,""marketcap"")"),"#N/A")</f>
        <v>#N/A</v>
      </c>
      <c r="K3534" s="7">
        <v>992.8</v>
      </c>
      <c r="L3534" s="8" t="str">
        <f ca="1">IFERROR(__xludf.DUMMYFUNCTION("GOOGLEFINANCE(""NSE:""&amp;D3534,""price"")"),"#N/A")</f>
        <v>#N/A</v>
      </c>
      <c r="M3534" s="9" t="e">
        <f t="shared" ca="1" si="72"/>
        <v>#VALUE!</v>
      </c>
      <c r="N3534" s="10" t="e">
        <f t="shared" ca="1" si="73"/>
        <v>#VALUE!</v>
      </c>
      <c r="O3534" s="7" t="str">
        <f ca="1">IFERROR(__xludf.DUMMYFUNCTION("GOOGLEFINANCE(""NSE:""&amp;D3534,""pe"")"),"#N/A")</f>
        <v>#N/A</v>
      </c>
      <c r="P3534" s="7" t="str">
        <f ca="1">IFERROR(__xludf.DUMMYFUNCTION("GOOGLEFINANCE(""NSE:""&amp;D3534,""EPS"")"),"#N/A")</f>
        <v>#N/A</v>
      </c>
      <c r="Q3534" s="7">
        <v>13.5</v>
      </c>
      <c r="R3534" s="7" t="str">
        <f ca="1">IFERROR(__xludf.DUMMYFUNCTION("IMPORTXML(E3534,""/html/body/main/div[3]/div[3]/div[2]/ul/li[7]/span[2]/span"")"),"Loading...")</f>
        <v>Loading...</v>
      </c>
      <c r="S3534" s="7" t="str">
        <f ca="1">IFERROR(__xludf.DUMMYFUNCTION("IMPORTXML(E3534,""/html/body/main/div[3]/div[3]/div[2]/ul/li[8]/span[2]/span"")"),"Loading...")</f>
        <v>Loading...</v>
      </c>
      <c r="T3534" s="4">
        <v>34.6</v>
      </c>
      <c r="U3534" s="4">
        <v>22.7</v>
      </c>
      <c r="V3534" s="4">
        <v>2.6</v>
      </c>
      <c r="W3534" s="4">
        <v>5.7</v>
      </c>
      <c r="X3534" s="4">
        <v>519.92999999999995</v>
      </c>
      <c r="Y3534" s="7" t="e">
        <f t="shared" ca="1" si="74"/>
        <v>#VALUE!</v>
      </c>
    </row>
    <row r="3535" spans="1:25" ht="15" x14ac:dyDescent="0.25">
      <c r="A3535" s="4">
        <v>3528</v>
      </c>
      <c r="C3535" s="41" t="s">
        <v>5884</v>
      </c>
      <c r="D3535" s="42"/>
      <c r="E3535" s="5" t="str">
        <f t="shared" si="70"/>
        <v>https://www.screener.in/company//consolidated/</v>
      </c>
      <c r="F3535" s="4">
        <v>443059</v>
      </c>
      <c r="G3535" s="4">
        <v>3832241897</v>
      </c>
      <c r="H3535" s="6" t="e">
        <f t="shared" ca="1" si="71"/>
        <v>#VALUE!</v>
      </c>
      <c r="I3535" s="7" t="str">
        <f ca="1">IFERROR(__xludf.DUMMYFUNCTION("IMPORTXML(E3535,""/html/body/main/div[3]/div[3]/div[2]/ul/li[5]/span[2]/span"")"),"Loading...")</f>
        <v>Loading...</v>
      </c>
      <c r="J3535" s="7" t="str">
        <f ca="1">IFERROR(__xludf.DUMMYFUNCTION("GOOGLEFINANCE(""NSE:""&amp;D3535,""marketcap"")"),"#N/A")</f>
        <v>#N/A</v>
      </c>
      <c r="K3535" s="7">
        <v>992.8</v>
      </c>
      <c r="L3535" s="8" t="str">
        <f ca="1">IFERROR(__xludf.DUMMYFUNCTION("GOOGLEFINANCE(""NSE:""&amp;D3535,""price"")"),"#N/A")</f>
        <v>#N/A</v>
      </c>
      <c r="M3535" s="9" t="e">
        <f t="shared" ca="1" si="72"/>
        <v>#VALUE!</v>
      </c>
      <c r="N3535" s="10" t="e">
        <f t="shared" ca="1" si="73"/>
        <v>#VALUE!</v>
      </c>
      <c r="O3535" s="7" t="str">
        <f ca="1">IFERROR(__xludf.DUMMYFUNCTION("GOOGLEFINANCE(""NSE:""&amp;D3535,""pe"")"),"#N/A")</f>
        <v>#N/A</v>
      </c>
      <c r="P3535" s="7" t="str">
        <f ca="1">IFERROR(__xludf.DUMMYFUNCTION("GOOGLEFINANCE(""NSE:""&amp;D3535,""EPS"")"),"#N/A")</f>
        <v>#N/A</v>
      </c>
      <c r="Q3535" s="7">
        <v>13.5</v>
      </c>
      <c r="R3535" s="7" t="str">
        <f ca="1">IFERROR(__xludf.DUMMYFUNCTION("IMPORTXML(E3535,""/html/body/main/div[3]/div[3]/div[2]/ul/li[7]/span[2]/span"")"),"Loading...")</f>
        <v>Loading...</v>
      </c>
      <c r="S3535" s="7" t="str">
        <f ca="1">IFERROR(__xludf.DUMMYFUNCTION("IMPORTXML(E3535,""/html/body/main/div[3]/div[3]/div[2]/ul/li[8]/span[2]/span"")"),"Loading...")</f>
        <v>Loading...</v>
      </c>
      <c r="T3535" s="4">
        <v>34.6</v>
      </c>
      <c r="U3535" s="4">
        <v>22.7</v>
      </c>
      <c r="V3535" s="4">
        <v>2.6</v>
      </c>
      <c r="W3535" s="4">
        <v>5.7</v>
      </c>
      <c r="X3535" s="4">
        <v>519.92999999999995</v>
      </c>
      <c r="Y3535" s="7" t="e">
        <f t="shared" ca="1" si="74"/>
        <v>#VALUE!</v>
      </c>
    </row>
    <row r="3536" spans="1:25" ht="15" x14ac:dyDescent="0.25">
      <c r="A3536" s="4">
        <v>3529</v>
      </c>
      <c r="C3536" s="41" t="s">
        <v>5885</v>
      </c>
      <c r="D3536" s="42"/>
      <c r="E3536" s="5" t="str">
        <f t="shared" si="70"/>
        <v>https://www.screener.in/company//consolidated/</v>
      </c>
      <c r="F3536" s="4">
        <v>443059</v>
      </c>
      <c r="G3536" s="4">
        <v>3832241897</v>
      </c>
      <c r="H3536" s="6" t="e">
        <f t="shared" ca="1" si="71"/>
        <v>#VALUE!</v>
      </c>
      <c r="I3536" s="7" t="str">
        <f ca="1">IFERROR(__xludf.DUMMYFUNCTION("IMPORTXML(E3536,""/html/body/main/div[3]/div[3]/div[2]/ul/li[5]/span[2]/span"")"),"Loading...")</f>
        <v>Loading...</v>
      </c>
      <c r="J3536" s="7" t="str">
        <f ca="1">IFERROR(__xludf.DUMMYFUNCTION("GOOGLEFINANCE(""NSE:""&amp;D3536,""marketcap"")"),"#N/A")</f>
        <v>#N/A</v>
      </c>
      <c r="K3536" s="7">
        <v>992.8</v>
      </c>
      <c r="L3536" s="8" t="str">
        <f ca="1">IFERROR(__xludf.DUMMYFUNCTION("GOOGLEFINANCE(""NSE:""&amp;D3536,""price"")"),"#N/A")</f>
        <v>#N/A</v>
      </c>
      <c r="M3536" s="9" t="e">
        <f t="shared" ca="1" si="72"/>
        <v>#VALUE!</v>
      </c>
      <c r="N3536" s="10" t="e">
        <f t="shared" ca="1" si="73"/>
        <v>#VALUE!</v>
      </c>
      <c r="O3536" s="7" t="str">
        <f ca="1">IFERROR(__xludf.DUMMYFUNCTION("GOOGLEFINANCE(""NSE:""&amp;D3536,""pe"")"),"#N/A")</f>
        <v>#N/A</v>
      </c>
      <c r="P3536" s="7" t="str">
        <f ca="1">IFERROR(__xludf.DUMMYFUNCTION("GOOGLEFINANCE(""NSE:""&amp;D3536,""EPS"")"),"#N/A")</f>
        <v>#N/A</v>
      </c>
      <c r="Q3536" s="7">
        <v>13.5</v>
      </c>
      <c r="R3536" s="7" t="str">
        <f ca="1">IFERROR(__xludf.DUMMYFUNCTION("IMPORTXML(E3536,""/html/body/main/div[3]/div[3]/div[2]/ul/li[7]/span[2]/span"")"),"Loading...")</f>
        <v>Loading...</v>
      </c>
      <c r="S3536" s="7" t="str">
        <f ca="1">IFERROR(__xludf.DUMMYFUNCTION("IMPORTXML(E3536,""/html/body/main/div[3]/div[3]/div[2]/ul/li[8]/span[2]/span"")"),"Loading...")</f>
        <v>Loading...</v>
      </c>
      <c r="T3536" s="4">
        <v>34.6</v>
      </c>
      <c r="U3536" s="4">
        <v>22.7</v>
      </c>
      <c r="V3536" s="4">
        <v>2.6</v>
      </c>
      <c r="W3536" s="4">
        <v>5.7</v>
      </c>
      <c r="X3536" s="4">
        <v>519.92999999999995</v>
      </c>
      <c r="Y3536" s="7" t="e">
        <f t="shared" ca="1" si="74"/>
        <v>#VALUE!</v>
      </c>
    </row>
    <row r="3537" spans="1:25" ht="15" x14ac:dyDescent="0.25">
      <c r="A3537" s="4">
        <v>3530</v>
      </c>
      <c r="C3537" s="41" t="s">
        <v>5886</v>
      </c>
      <c r="D3537" s="42"/>
      <c r="E3537" s="5" t="str">
        <f t="shared" si="70"/>
        <v>https://www.screener.in/company//consolidated/</v>
      </c>
      <c r="F3537" s="4">
        <v>443059</v>
      </c>
      <c r="G3537" s="4">
        <v>3832241897</v>
      </c>
      <c r="H3537" s="6" t="e">
        <f t="shared" ca="1" si="71"/>
        <v>#VALUE!</v>
      </c>
      <c r="I3537" s="7" t="str">
        <f ca="1">IFERROR(__xludf.DUMMYFUNCTION("IMPORTXML(E3537,""/html/body/main/div[3]/div[3]/div[2]/ul/li[5]/span[2]/span"")"),"Loading...")</f>
        <v>Loading...</v>
      </c>
      <c r="J3537" s="7" t="str">
        <f ca="1">IFERROR(__xludf.DUMMYFUNCTION("GOOGLEFINANCE(""NSE:""&amp;D3537,""marketcap"")"),"#N/A")</f>
        <v>#N/A</v>
      </c>
      <c r="K3537" s="7">
        <v>992.8</v>
      </c>
      <c r="L3537" s="8" t="str">
        <f ca="1">IFERROR(__xludf.DUMMYFUNCTION("GOOGLEFINANCE(""NSE:""&amp;D3537,""price"")"),"#N/A")</f>
        <v>#N/A</v>
      </c>
      <c r="M3537" s="9" t="e">
        <f t="shared" ca="1" si="72"/>
        <v>#VALUE!</v>
      </c>
      <c r="N3537" s="10" t="e">
        <f t="shared" ca="1" si="73"/>
        <v>#VALUE!</v>
      </c>
      <c r="O3537" s="7" t="str">
        <f ca="1">IFERROR(__xludf.DUMMYFUNCTION("GOOGLEFINANCE(""NSE:""&amp;D3537,""pe"")"),"#N/A")</f>
        <v>#N/A</v>
      </c>
      <c r="P3537" s="7" t="str">
        <f ca="1">IFERROR(__xludf.DUMMYFUNCTION("GOOGLEFINANCE(""NSE:""&amp;D3537,""EPS"")"),"#N/A")</f>
        <v>#N/A</v>
      </c>
      <c r="Q3537" s="7">
        <v>13.5</v>
      </c>
      <c r="R3537" s="7" t="str">
        <f ca="1">IFERROR(__xludf.DUMMYFUNCTION("IMPORTXML(E3537,""/html/body/main/div[3]/div[3]/div[2]/ul/li[7]/span[2]/span"")"),"Loading...")</f>
        <v>Loading...</v>
      </c>
      <c r="S3537" s="7" t="str">
        <f ca="1">IFERROR(__xludf.DUMMYFUNCTION("IMPORTXML(E3537,""/html/body/main/div[3]/div[3]/div[2]/ul/li[8]/span[2]/span"")"),"Loading...")</f>
        <v>Loading...</v>
      </c>
      <c r="T3537" s="4">
        <v>34.6</v>
      </c>
      <c r="U3537" s="4">
        <v>22.7</v>
      </c>
      <c r="V3537" s="4">
        <v>2.6</v>
      </c>
      <c r="W3537" s="4">
        <v>5.7</v>
      </c>
      <c r="X3537" s="4">
        <v>519.92999999999995</v>
      </c>
      <c r="Y3537" s="7" t="e">
        <f t="shared" ca="1" si="74"/>
        <v>#VALUE!</v>
      </c>
    </row>
    <row r="3538" spans="1:25" ht="15" x14ac:dyDescent="0.25">
      <c r="A3538" s="4">
        <v>3531</v>
      </c>
      <c r="C3538" s="41" t="s">
        <v>5887</v>
      </c>
      <c r="D3538" s="42"/>
      <c r="E3538" s="5" t="str">
        <f t="shared" si="70"/>
        <v>https://www.screener.in/company//consolidated/</v>
      </c>
      <c r="F3538" s="4">
        <v>443059</v>
      </c>
      <c r="G3538" s="4">
        <v>3832241897</v>
      </c>
      <c r="H3538" s="6" t="e">
        <f t="shared" ca="1" si="71"/>
        <v>#VALUE!</v>
      </c>
      <c r="I3538" s="7" t="str">
        <f ca="1">IFERROR(__xludf.DUMMYFUNCTION("IMPORTXML(E3538,""/html/body/main/div[3]/div[3]/div[2]/ul/li[5]/span[2]/span"")"),"Loading...")</f>
        <v>Loading...</v>
      </c>
      <c r="J3538" s="7" t="str">
        <f ca="1">IFERROR(__xludf.DUMMYFUNCTION("GOOGLEFINANCE(""NSE:""&amp;D3538,""marketcap"")"),"#N/A")</f>
        <v>#N/A</v>
      </c>
      <c r="K3538" s="7">
        <v>992.8</v>
      </c>
      <c r="L3538" s="8" t="str">
        <f ca="1">IFERROR(__xludf.DUMMYFUNCTION("GOOGLEFINANCE(""NSE:""&amp;D3538,""price"")"),"#N/A")</f>
        <v>#N/A</v>
      </c>
      <c r="M3538" s="9" t="e">
        <f t="shared" ca="1" si="72"/>
        <v>#VALUE!</v>
      </c>
      <c r="N3538" s="10" t="e">
        <f t="shared" ca="1" si="73"/>
        <v>#VALUE!</v>
      </c>
      <c r="O3538" s="7" t="str">
        <f ca="1">IFERROR(__xludf.DUMMYFUNCTION("GOOGLEFINANCE(""NSE:""&amp;D3538,""pe"")"),"#N/A")</f>
        <v>#N/A</v>
      </c>
      <c r="P3538" s="7" t="str">
        <f ca="1">IFERROR(__xludf.DUMMYFUNCTION("GOOGLEFINANCE(""NSE:""&amp;D3538,""EPS"")"),"#N/A")</f>
        <v>#N/A</v>
      </c>
      <c r="Q3538" s="7">
        <v>13.5</v>
      </c>
      <c r="R3538" s="7" t="str">
        <f ca="1">IFERROR(__xludf.DUMMYFUNCTION("IMPORTXML(E3538,""/html/body/main/div[3]/div[3]/div[2]/ul/li[7]/span[2]/span"")"),"Loading...")</f>
        <v>Loading...</v>
      </c>
      <c r="S3538" s="7" t="str">
        <f ca="1">IFERROR(__xludf.DUMMYFUNCTION("IMPORTXML(E3538,""/html/body/main/div[3]/div[3]/div[2]/ul/li[8]/span[2]/span"")"),"Loading...")</f>
        <v>Loading...</v>
      </c>
      <c r="T3538" s="4">
        <v>34.6</v>
      </c>
      <c r="U3538" s="4">
        <v>22.7</v>
      </c>
      <c r="V3538" s="4">
        <v>2.6</v>
      </c>
      <c r="W3538" s="4">
        <v>5.7</v>
      </c>
      <c r="X3538" s="4">
        <v>519.92999999999995</v>
      </c>
      <c r="Y3538" s="7" t="e">
        <f t="shared" ca="1" si="74"/>
        <v>#VALUE!</v>
      </c>
    </row>
    <row r="3539" spans="1:25" ht="15" x14ac:dyDescent="0.25">
      <c r="A3539" s="4">
        <v>3532</v>
      </c>
      <c r="C3539" s="41" t="s">
        <v>5888</v>
      </c>
      <c r="D3539" s="42"/>
      <c r="E3539" s="5" t="str">
        <f t="shared" si="70"/>
        <v>https://www.screener.in/company//consolidated/</v>
      </c>
      <c r="F3539" s="4">
        <v>443059</v>
      </c>
      <c r="G3539" s="4">
        <v>3832241897</v>
      </c>
      <c r="H3539" s="6" t="e">
        <f t="shared" ca="1" si="71"/>
        <v>#VALUE!</v>
      </c>
      <c r="I3539" s="7" t="str">
        <f ca="1">IFERROR(__xludf.DUMMYFUNCTION("IMPORTXML(E3539,""/html/body/main/div[3]/div[3]/div[2]/ul/li[5]/span[2]/span"")"),"Loading...")</f>
        <v>Loading...</v>
      </c>
      <c r="J3539" s="7" t="str">
        <f ca="1">IFERROR(__xludf.DUMMYFUNCTION("GOOGLEFINANCE(""NSE:""&amp;D3539,""marketcap"")"),"#N/A")</f>
        <v>#N/A</v>
      </c>
      <c r="K3539" s="7">
        <v>992.8</v>
      </c>
      <c r="L3539" s="8" t="str">
        <f ca="1">IFERROR(__xludf.DUMMYFUNCTION("GOOGLEFINANCE(""NSE:""&amp;D3539,""price"")"),"#N/A")</f>
        <v>#N/A</v>
      </c>
      <c r="M3539" s="9" t="e">
        <f t="shared" ca="1" si="72"/>
        <v>#VALUE!</v>
      </c>
      <c r="N3539" s="10" t="e">
        <f t="shared" ca="1" si="73"/>
        <v>#VALUE!</v>
      </c>
      <c r="O3539" s="7" t="str">
        <f ca="1">IFERROR(__xludf.DUMMYFUNCTION("GOOGLEFINANCE(""NSE:""&amp;D3539,""pe"")"),"#N/A")</f>
        <v>#N/A</v>
      </c>
      <c r="P3539" s="7" t="str">
        <f ca="1">IFERROR(__xludf.DUMMYFUNCTION("GOOGLEFINANCE(""NSE:""&amp;D3539,""EPS"")"),"#N/A")</f>
        <v>#N/A</v>
      </c>
      <c r="Q3539" s="7">
        <v>13.5</v>
      </c>
      <c r="R3539" s="7" t="str">
        <f ca="1">IFERROR(__xludf.DUMMYFUNCTION("IMPORTXML(E3539,""/html/body/main/div[3]/div[3]/div[2]/ul/li[7]/span[2]/span"")"),"Loading...")</f>
        <v>Loading...</v>
      </c>
      <c r="S3539" s="7" t="str">
        <f ca="1">IFERROR(__xludf.DUMMYFUNCTION("IMPORTXML(E3539,""/html/body/main/div[3]/div[3]/div[2]/ul/li[8]/span[2]/span"")"),"Loading...")</f>
        <v>Loading...</v>
      </c>
      <c r="T3539" s="4">
        <v>34.6</v>
      </c>
      <c r="U3539" s="4">
        <v>22.7</v>
      </c>
      <c r="V3539" s="4">
        <v>2.6</v>
      </c>
      <c r="W3539" s="4">
        <v>5.7</v>
      </c>
      <c r="X3539" s="4">
        <v>519.92999999999995</v>
      </c>
      <c r="Y3539" s="7" t="e">
        <f t="shared" ca="1" si="74"/>
        <v>#VALUE!</v>
      </c>
    </row>
    <row r="3540" spans="1:25" ht="15" x14ac:dyDescent="0.25">
      <c r="A3540" s="4">
        <v>3533</v>
      </c>
      <c r="C3540" s="41" t="s">
        <v>5889</v>
      </c>
      <c r="D3540" s="42"/>
      <c r="E3540" s="5" t="str">
        <f t="shared" si="70"/>
        <v>https://www.screener.in/company//consolidated/</v>
      </c>
      <c r="F3540" s="4">
        <v>443059</v>
      </c>
      <c r="G3540" s="4">
        <v>3832241897</v>
      </c>
      <c r="H3540" s="6" t="e">
        <f t="shared" ca="1" si="71"/>
        <v>#VALUE!</v>
      </c>
      <c r="I3540" s="7" t="str">
        <f ca="1">IFERROR(__xludf.DUMMYFUNCTION("IMPORTXML(E3540,""/html/body/main/div[3]/div[3]/div[2]/ul/li[5]/span[2]/span"")"),"Loading...")</f>
        <v>Loading...</v>
      </c>
      <c r="J3540" s="7" t="str">
        <f ca="1">IFERROR(__xludf.DUMMYFUNCTION("GOOGLEFINANCE(""NSE:""&amp;D3540,""marketcap"")"),"#N/A")</f>
        <v>#N/A</v>
      </c>
      <c r="K3540" s="7">
        <v>992.8</v>
      </c>
      <c r="L3540" s="8" t="str">
        <f ca="1">IFERROR(__xludf.DUMMYFUNCTION("GOOGLEFINANCE(""NSE:""&amp;D3540,""price"")"),"#N/A")</f>
        <v>#N/A</v>
      </c>
      <c r="M3540" s="9" t="e">
        <f t="shared" ca="1" si="72"/>
        <v>#VALUE!</v>
      </c>
      <c r="N3540" s="10" t="e">
        <f t="shared" ca="1" si="73"/>
        <v>#VALUE!</v>
      </c>
      <c r="O3540" s="7" t="str">
        <f ca="1">IFERROR(__xludf.DUMMYFUNCTION("GOOGLEFINANCE(""NSE:""&amp;D3540,""pe"")"),"#N/A")</f>
        <v>#N/A</v>
      </c>
      <c r="P3540" s="7" t="str">
        <f ca="1">IFERROR(__xludf.DUMMYFUNCTION("GOOGLEFINANCE(""NSE:""&amp;D3540,""EPS"")"),"#N/A")</f>
        <v>#N/A</v>
      </c>
      <c r="Q3540" s="7">
        <v>13.5</v>
      </c>
      <c r="R3540" s="7" t="str">
        <f ca="1">IFERROR(__xludf.DUMMYFUNCTION("IMPORTXML(E3540,""/html/body/main/div[3]/div[3]/div[2]/ul/li[7]/span[2]/span"")"),"Loading...")</f>
        <v>Loading...</v>
      </c>
      <c r="S3540" s="7" t="str">
        <f ca="1">IFERROR(__xludf.DUMMYFUNCTION("IMPORTXML(E3540,""/html/body/main/div[3]/div[3]/div[2]/ul/li[8]/span[2]/span"")"),"Loading...")</f>
        <v>Loading...</v>
      </c>
      <c r="T3540" s="4">
        <v>34.6</v>
      </c>
      <c r="U3540" s="4">
        <v>22.7</v>
      </c>
      <c r="V3540" s="4">
        <v>2.6</v>
      </c>
      <c r="W3540" s="4">
        <v>5.7</v>
      </c>
      <c r="X3540" s="4">
        <v>519.92999999999995</v>
      </c>
      <c r="Y3540" s="7" t="e">
        <f t="shared" ca="1" si="74"/>
        <v>#VALUE!</v>
      </c>
    </row>
    <row r="3541" spans="1:25" ht="15" x14ac:dyDescent="0.25">
      <c r="A3541" s="4">
        <v>3534</v>
      </c>
      <c r="C3541" s="41" t="s">
        <v>5890</v>
      </c>
      <c r="D3541" s="42"/>
      <c r="E3541" s="5" t="str">
        <f t="shared" si="70"/>
        <v>https://www.screener.in/company//consolidated/</v>
      </c>
      <c r="F3541" s="4">
        <v>443059</v>
      </c>
      <c r="G3541" s="4">
        <v>3832241897</v>
      </c>
      <c r="H3541" s="6" t="e">
        <f t="shared" ca="1" si="71"/>
        <v>#VALUE!</v>
      </c>
      <c r="I3541" s="7" t="str">
        <f ca="1">IFERROR(__xludf.DUMMYFUNCTION("IMPORTXML(E3541,""/html/body/main/div[3]/div[3]/div[2]/ul/li[5]/span[2]/span"")"),"Loading...")</f>
        <v>Loading...</v>
      </c>
      <c r="J3541" s="7" t="str">
        <f ca="1">IFERROR(__xludf.DUMMYFUNCTION("GOOGLEFINANCE(""NSE:""&amp;D3541,""marketcap"")"),"#N/A")</f>
        <v>#N/A</v>
      </c>
      <c r="K3541" s="7">
        <v>992.8</v>
      </c>
      <c r="L3541" s="8" t="str">
        <f ca="1">IFERROR(__xludf.DUMMYFUNCTION("GOOGLEFINANCE(""NSE:""&amp;D3541,""price"")"),"#N/A")</f>
        <v>#N/A</v>
      </c>
      <c r="M3541" s="9" t="e">
        <f t="shared" ca="1" si="72"/>
        <v>#VALUE!</v>
      </c>
      <c r="N3541" s="10" t="e">
        <f t="shared" ca="1" si="73"/>
        <v>#VALUE!</v>
      </c>
      <c r="O3541" s="7" t="str">
        <f ca="1">IFERROR(__xludf.DUMMYFUNCTION("GOOGLEFINANCE(""NSE:""&amp;D3541,""pe"")"),"#N/A")</f>
        <v>#N/A</v>
      </c>
      <c r="P3541" s="7" t="str">
        <f ca="1">IFERROR(__xludf.DUMMYFUNCTION("GOOGLEFINANCE(""NSE:""&amp;D3541,""EPS"")"),"#N/A")</f>
        <v>#N/A</v>
      </c>
      <c r="Q3541" s="7">
        <v>13.5</v>
      </c>
      <c r="R3541" s="7" t="str">
        <f ca="1">IFERROR(__xludf.DUMMYFUNCTION("IMPORTXML(E3541,""/html/body/main/div[3]/div[3]/div[2]/ul/li[7]/span[2]/span"")"),"Loading...")</f>
        <v>Loading...</v>
      </c>
      <c r="S3541" s="7" t="str">
        <f ca="1">IFERROR(__xludf.DUMMYFUNCTION("IMPORTXML(E3541,""/html/body/main/div[3]/div[3]/div[2]/ul/li[8]/span[2]/span"")"),"Loading...")</f>
        <v>Loading...</v>
      </c>
      <c r="T3541" s="4">
        <v>34.6</v>
      </c>
      <c r="U3541" s="4">
        <v>22.7</v>
      </c>
      <c r="V3541" s="4">
        <v>2.6</v>
      </c>
      <c r="W3541" s="4">
        <v>5.7</v>
      </c>
      <c r="X3541" s="4">
        <v>519.92999999999995</v>
      </c>
      <c r="Y3541" s="7" t="e">
        <f t="shared" ca="1" si="74"/>
        <v>#VALUE!</v>
      </c>
    </row>
    <row r="3542" spans="1:25" ht="15" x14ac:dyDescent="0.25">
      <c r="A3542" s="4">
        <v>3535</v>
      </c>
      <c r="C3542" s="41" t="s">
        <v>5891</v>
      </c>
      <c r="D3542" s="42"/>
      <c r="E3542" s="5" t="str">
        <f t="shared" si="70"/>
        <v>https://www.screener.in/company//consolidated/</v>
      </c>
      <c r="F3542" s="4">
        <v>443059</v>
      </c>
      <c r="G3542" s="4">
        <v>3832241897</v>
      </c>
      <c r="H3542" s="6" t="e">
        <f t="shared" ca="1" si="71"/>
        <v>#VALUE!</v>
      </c>
      <c r="I3542" s="7" t="str">
        <f ca="1">IFERROR(__xludf.DUMMYFUNCTION("IMPORTXML(E3542,""/html/body/main/div[3]/div[3]/div[2]/ul/li[5]/span[2]/span"")"),"Loading...")</f>
        <v>Loading...</v>
      </c>
      <c r="J3542" s="7" t="str">
        <f ca="1">IFERROR(__xludf.DUMMYFUNCTION("GOOGLEFINANCE(""NSE:""&amp;D3542,""marketcap"")"),"#N/A")</f>
        <v>#N/A</v>
      </c>
      <c r="K3542" s="7">
        <v>992.8</v>
      </c>
      <c r="L3542" s="8" t="str">
        <f ca="1">IFERROR(__xludf.DUMMYFUNCTION("GOOGLEFINANCE(""NSE:""&amp;D3542,""price"")"),"#N/A")</f>
        <v>#N/A</v>
      </c>
      <c r="M3542" s="9" t="e">
        <f t="shared" ca="1" si="72"/>
        <v>#VALUE!</v>
      </c>
      <c r="N3542" s="10" t="e">
        <f t="shared" ca="1" si="73"/>
        <v>#VALUE!</v>
      </c>
      <c r="O3542" s="7" t="str">
        <f ca="1">IFERROR(__xludf.DUMMYFUNCTION("GOOGLEFINANCE(""NSE:""&amp;D3542,""pe"")"),"#N/A")</f>
        <v>#N/A</v>
      </c>
      <c r="P3542" s="7" t="str">
        <f ca="1">IFERROR(__xludf.DUMMYFUNCTION("GOOGLEFINANCE(""NSE:""&amp;D3542,""EPS"")"),"#N/A")</f>
        <v>#N/A</v>
      </c>
      <c r="Q3542" s="7">
        <v>13.5</v>
      </c>
      <c r="R3542" s="7" t="str">
        <f ca="1">IFERROR(__xludf.DUMMYFUNCTION("IMPORTXML(E3542,""/html/body/main/div[3]/div[3]/div[2]/ul/li[7]/span[2]/span"")"),"Loading...")</f>
        <v>Loading...</v>
      </c>
      <c r="S3542" s="7" t="str">
        <f ca="1">IFERROR(__xludf.DUMMYFUNCTION("IMPORTXML(E3542,""/html/body/main/div[3]/div[3]/div[2]/ul/li[8]/span[2]/span"")"),"Loading...")</f>
        <v>Loading...</v>
      </c>
      <c r="T3542" s="4">
        <v>34.6</v>
      </c>
      <c r="U3542" s="4">
        <v>22.7</v>
      </c>
      <c r="V3542" s="4">
        <v>2.6</v>
      </c>
      <c r="W3542" s="4">
        <v>5.7</v>
      </c>
      <c r="X3542" s="4">
        <v>519.92999999999995</v>
      </c>
      <c r="Y3542" s="7" t="e">
        <f t="shared" ca="1" si="74"/>
        <v>#VALUE!</v>
      </c>
    </row>
    <row r="3543" spans="1:25" ht="15" x14ac:dyDescent="0.25">
      <c r="A3543" s="4">
        <v>3536</v>
      </c>
      <c r="C3543" s="12" t="s">
        <v>5892</v>
      </c>
      <c r="D3543" s="12" t="s">
        <v>5893</v>
      </c>
      <c r="E3543" s="5" t="str">
        <f t="shared" si="70"/>
        <v>https://www.screener.in/company/LYPSAGEMS/consolidated/</v>
      </c>
      <c r="F3543" s="4">
        <v>443059</v>
      </c>
      <c r="G3543" s="4">
        <v>3832241897</v>
      </c>
      <c r="H3543" s="6">
        <f t="shared" ca="1" si="71"/>
        <v>2552.2731034019998</v>
      </c>
      <c r="I3543" s="7" t="str">
        <f ca="1">IFERROR(__xludf.DUMMYFUNCTION("IMPORTXML(E3543,""/html/body/main/div[3]/div[3]/div[2]/ul/li[5]/span[2]/span"")"),"Loading...")</f>
        <v>Loading...</v>
      </c>
      <c r="J3543" s="7">
        <f ca="1">IFERROR(__xludf.DUMMYFUNCTION("GOOGLEFINANCE(""NSE:""&amp;D3543,""marketcap"")"),196363400)</f>
        <v>196363400</v>
      </c>
      <c r="K3543" s="7">
        <v>992.8</v>
      </c>
      <c r="L3543" s="8">
        <f ca="1">IFERROR(__xludf.DUMMYFUNCTION("GOOGLEFINANCE(""NSE:""&amp;D3543,""price"")"),6.66)</f>
        <v>6.66</v>
      </c>
      <c r="M3543" s="9">
        <f t="shared" ca="1" si="72"/>
        <v>-986.14</v>
      </c>
      <c r="N3543" s="10">
        <f t="shared" ca="1" si="73"/>
        <v>-99.329170024174047</v>
      </c>
      <c r="O3543" s="7" t="str">
        <f ca="1">IFERROR(__xludf.DUMMYFUNCTION("GOOGLEFINANCE(""NSE:""&amp;D3543,""pe"")"),"#N/A")</f>
        <v>#N/A</v>
      </c>
      <c r="P3543" s="7">
        <f ca="1">IFERROR(__xludf.DUMMYFUNCTION("GOOGLEFINANCE(""NSE:""&amp;D3543,""EPS"")"),-5.16)</f>
        <v>-5.16</v>
      </c>
      <c r="Q3543" s="7">
        <v>13.5</v>
      </c>
      <c r="R3543" s="7" t="str">
        <f ca="1">IFERROR(__xludf.DUMMYFUNCTION("IMPORTXML(E3543,""/html/body/main/div[3]/div[3]/div[2]/ul/li[7]/span[2]/span"")"),"Loading...")</f>
        <v>Loading...</v>
      </c>
      <c r="S3543" s="7" t="str">
        <f ca="1">IFERROR(__xludf.DUMMYFUNCTION("IMPORTXML(E3543,""/html/body/main/div[3]/div[3]/div[2]/ul/li[8]/span[2]/span"")"),"Loading...")</f>
        <v>Loading...</v>
      </c>
      <c r="T3543" s="4">
        <v>34.6</v>
      </c>
      <c r="U3543" s="4">
        <v>22.7</v>
      </c>
      <c r="V3543" s="4">
        <v>2.6</v>
      </c>
      <c r="W3543" s="4">
        <v>5.7</v>
      </c>
      <c r="X3543" s="4">
        <v>519.92999999999995</v>
      </c>
      <c r="Y3543" s="7">
        <f t="shared" ca="1" si="74"/>
        <v>-513.27</v>
      </c>
    </row>
    <row r="3544" spans="1:25" ht="15" x14ac:dyDescent="0.25">
      <c r="A3544" s="4">
        <v>3537</v>
      </c>
      <c r="C3544" s="41" t="s">
        <v>5894</v>
      </c>
      <c r="D3544" s="42"/>
      <c r="E3544" s="5" t="str">
        <f t="shared" si="70"/>
        <v>https://www.screener.in/company//consolidated/</v>
      </c>
      <c r="F3544" s="4">
        <v>443059</v>
      </c>
      <c r="G3544" s="4">
        <v>3832241897</v>
      </c>
      <c r="H3544" s="6" t="e">
        <f t="shared" ca="1" si="71"/>
        <v>#VALUE!</v>
      </c>
      <c r="I3544" s="7" t="str">
        <f ca="1">IFERROR(__xludf.DUMMYFUNCTION("IMPORTXML(E3544,""/html/body/main/div[3]/div[3]/div[2]/ul/li[5]/span[2]/span"")"),"Loading...")</f>
        <v>Loading...</v>
      </c>
      <c r="J3544" s="7" t="str">
        <f ca="1">IFERROR(__xludf.DUMMYFUNCTION("GOOGLEFINANCE(""NSE:""&amp;D3544,""marketcap"")"),"#N/A")</f>
        <v>#N/A</v>
      </c>
      <c r="K3544" s="7">
        <v>992.8</v>
      </c>
      <c r="L3544" s="8" t="str">
        <f ca="1">IFERROR(__xludf.DUMMYFUNCTION("GOOGLEFINANCE(""NSE:""&amp;D3544,""price"")"),"#N/A")</f>
        <v>#N/A</v>
      </c>
      <c r="M3544" s="9" t="e">
        <f t="shared" ca="1" si="72"/>
        <v>#VALUE!</v>
      </c>
      <c r="N3544" s="10" t="e">
        <f t="shared" ca="1" si="73"/>
        <v>#VALUE!</v>
      </c>
      <c r="O3544" s="7" t="str">
        <f ca="1">IFERROR(__xludf.DUMMYFUNCTION("GOOGLEFINANCE(""NSE:""&amp;D3544,""pe"")"),"#N/A")</f>
        <v>#N/A</v>
      </c>
      <c r="P3544" s="7" t="str">
        <f ca="1">IFERROR(__xludf.DUMMYFUNCTION("GOOGLEFINANCE(""NSE:""&amp;D3544,""EPS"")"),"#N/A")</f>
        <v>#N/A</v>
      </c>
      <c r="Q3544" s="7">
        <v>13.5</v>
      </c>
      <c r="R3544" s="7" t="str">
        <f ca="1">IFERROR(__xludf.DUMMYFUNCTION("IMPORTXML(E3544,""/html/body/main/div[3]/div[3]/div[2]/ul/li[7]/span[2]/span"")"),"Loading...")</f>
        <v>Loading...</v>
      </c>
      <c r="S3544" s="7" t="str">
        <f ca="1">IFERROR(__xludf.DUMMYFUNCTION("IMPORTXML(E3544,""/html/body/main/div[3]/div[3]/div[2]/ul/li[8]/span[2]/span"")"),"Loading...")</f>
        <v>Loading...</v>
      </c>
      <c r="T3544" s="4">
        <v>34.6</v>
      </c>
      <c r="U3544" s="4">
        <v>22.7</v>
      </c>
      <c r="V3544" s="4">
        <v>2.6</v>
      </c>
      <c r="W3544" s="4">
        <v>5.7</v>
      </c>
      <c r="X3544" s="4">
        <v>519.92999999999995</v>
      </c>
      <c r="Y3544" s="7" t="e">
        <f t="shared" ca="1" si="74"/>
        <v>#VALUE!</v>
      </c>
    </row>
    <row r="3545" spans="1:25" ht="15" x14ac:dyDescent="0.25">
      <c r="A3545" s="4">
        <v>3538</v>
      </c>
      <c r="C3545" s="41" t="s">
        <v>5895</v>
      </c>
      <c r="D3545" s="42"/>
      <c r="E3545" s="5" t="str">
        <f t="shared" si="70"/>
        <v>https://www.screener.in/company//consolidated/</v>
      </c>
      <c r="F3545" s="4">
        <v>443059</v>
      </c>
      <c r="G3545" s="4">
        <v>3832241897</v>
      </c>
      <c r="H3545" s="6" t="e">
        <f t="shared" ca="1" si="71"/>
        <v>#VALUE!</v>
      </c>
      <c r="I3545" s="7" t="str">
        <f ca="1">IFERROR(__xludf.DUMMYFUNCTION("IMPORTXML(E3545,""/html/body/main/div[3]/div[3]/div[2]/ul/li[5]/span[2]/span"")"),"Loading...")</f>
        <v>Loading...</v>
      </c>
      <c r="J3545" s="7" t="str">
        <f ca="1">IFERROR(__xludf.DUMMYFUNCTION("GOOGLEFINANCE(""NSE:""&amp;D3545,""marketcap"")"),"#N/A")</f>
        <v>#N/A</v>
      </c>
      <c r="K3545" s="7">
        <v>992.8</v>
      </c>
      <c r="L3545" s="8" t="str">
        <f ca="1">IFERROR(__xludf.DUMMYFUNCTION("GOOGLEFINANCE(""NSE:""&amp;D3545,""price"")"),"#N/A")</f>
        <v>#N/A</v>
      </c>
      <c r="M3545" s="9" t="e">
        <f t="shared" ca="1" si="72"/>
        <v>#VALUE!</v>
      </c>
      <c r="N3545" s="10" t="e">
        <f t="shared" ca="1" si="73"/>
        <v>#VALUE!</v>
      </c>
      <c r="O3545" s="7" t="str">
        <f ca="1">IFERROR(__xludf.DUMMYFUNCTION("GOOGLEFINANCE(""NSE:""&amp;D3545,""pe"")"),"#N/A")</f>
        <v>#N/A</v>
      </c>
      <c r="P3545" s="7" t="str">
        <f ca="1">IFERROR(__xludf.DUMMYFUNCTION("GOOGLEFINANCE(""NSE:""&amp;D3545,""EPS"")"),"#N/A")</f>
        <v>#N/A</v>
      </c>
      <c r="Q3545" s="7">
        <v>13.5</v>
      </c>
      <c r="R3545" s="7" t="str">
        <f ca="1">IFERROR(__xludf.DUMMYFUNCTION("IMPORTXML(E3545,""/html/body/main/div[3]/div[3]/div[2]/ul/li[7]/span[2]/span"")"),"Loading...")</f>
        <v>Loading...</v>
      </c>
      <c r="S3545" s="7" t="str">
        <f ca="1">IFERROR(__xludf.DUMMYFUNCTION("IMPORTXML(E3545,""/html/body/main/div[3]/div[3]/div[2]/ul/li[8]/span[2]/span"")"),"Loading...")</f>
        <v>Loading...</v>
      </c>
      <c r="T3545" s="4">
        <v>34.6</v>
      </c>
      <c r="U3545" s="4">
        <v>22.7</v>
      </c>
      <c r="V3545" s="4">
        <v>2.6</v>
      </c>
      <c r="W3545" s="4">
        <v>5.7</v>
      </c>
      <c r="X3545" s="4">
        <v>519.92999999999995</v>
      </c>
      <c r="Y3545" s="7" t="e">
        <f t="shared" ca="1" si="74"/>
        <v>#VALUE!</v>
      </c>
    </row>
    <row r="3546" spans="1:25" ht="15" x14ac:dyDescent="0.25">
      <c r="A3546" s="4">
        <v>3539</v>
      </c>
      <c r="C3546" s="41" t="s">
        <v>5896</v>
      </c>
      <c r="D3546" s="42"/>
      <c r="E3546" s="5" t="str">
        <f t="shared" si="70"/>
        <v>https://www.screener.in/company//consolidated/</v>
      </c>
      <c r="F3546" s="4">
        <v>443059</v>
      </c>
      <c r="G3546" s="4">
        <v>3832241897</v>
      </c>
      <c r="H3546" s="6" t="e">
        <f t="shared" ca="1" si="71"/>
        <v>#VALUE!</v>
      </c>
      <c r="I3546" s="7" t="str">
        <f ca="1">IFERROR(__xludf.DUMMYFUNCTION("IMPORTXML(E3546,""/html/body/main/div[3]/div[3]/div[2]/ul/li[5]/span[2]/span"")"),"Loading...")</f>
        <v>Loading...</v>
      </c>
      <c r="J3546" s="7" t="str">
        <f ca="1">IFERROR(__xludf.DUMMYFUNCTION("GOOGLEFINANCE(""NSE:""&amp;D3546,""marketcap"")"),"#N/A")</f>
        <v>#N/A</v>
      </c>
      <c r="K3546" s="7">
        <v>992.8</v>
      </c>
      <c r="L3546" s="8" t="str">
        <f ca="1">IFERROR(__xludf.DUMMYFUNCTION("GOOGLEFINANCE(""NSE:""&amp;D3546,""price"")"),"#N/A")</f>
        <v>#N/A</v>
      </c>
      <c r="M3546" s="9" t="e">
        <f t="shared" ca="1" si="72"/>
        <v>#VALUE!</v>
      </c>
      <c r="N3546" s="10" t="e">
        <f t="shared" ca="1" si="73"/>
        <v>#VALUE!</v>
      </c>
      <c r="O3546" s="7" t="str">
        <f ca="1">IFERROR(__xludf.DUMMYFUNCTION("GOOGLEFINANCE(""NSE:""&amp;D3546,""pe"")"),"#N/A")</f>
        <v>#N/A</v>
      </c>
      <c r="P3546" s="7" t="str">
        <f ca="1">IFERROR(__xludf.DUMMYFUNCTION("GOOGLEFINANCE(""NSE:""&amp;D3546,""EPS"")"),"#N/A")</f>
        <v>#N/A</v>
      </c>
      <c r="Q3546" s="7">
        <v>13.5</v>
      </c>
      <c r="R3546" s="7" t="str">
        <f ca="1">IFERROR(__xludf.DUMMYFUNCTION("IMPORTXML(E3546,""/html/body/main/div[3]/div[3]/div[2]/ul/li[7]/span[2]/span"")"),"Loading...")</f>
        <v>Loading...</v>
      </c>
      <c r="S3546" s="7" t="str">
        <f ca="1">IFERROR(__xludf.DUMMYFUNCTION("IMPORTXML(E3546,""/html/body/main/div[3]/div[3]/div[2]/ul/li[8]/span[2]/span"")"),"Loading...")</f>
        <v>Loading...</v>
      </c>
      <c r="T3546" s="4">
        <v>34.6</v>
      </c>
      <c r="U3546" s="4">
        <v>22.7</v>
      </c>
      <c r="V3546" s="4">
        <v>2.6</v>
      </c>
      <c r="W3546" s="4">
        <v>5.7</v>
      </c>
      <c r="X3546" s="4">
        <v>519.92999999999995</v>
      </c>
      <c r="Y3546" s="7" t="e">
        <f t="shared" ca="1" si="74"/>
        <v>#VALUE!</v>
      </c>
    </row>
    <row r="3547" spans="1:25" ht="15" x14ac:dyDescent="0.25">
      <c r="A3547" s="4">
        <v>3540</v>
      </c>
      <c r="C3547" s="41" t="s">
        <v>5897</v>
      </c>
      <c r="D3547" s="42"/>
      <c r="E3547" s="5" t="str">
        <f t="shared" si="70"/>
        <v>https://www.screener.in/company//consolidated/</v>
      </c>
      <c r="F3547" s="4">
        <v>443059</v>
      </c>
      <c r="G3547" s="4">
        <v>3832241897</v>
      </c>
      <c r="H3547" s="6" t="e">
        <f t="shared" ca="1" si="71"/>
        <v>#VALUE!</v>
      </c>
      <c r="I3547" s="7" t="str">
        <f ca="1">IFERROR(__xludf.DUMMYFUNCTION("IMPORTXML(E3547,""/html/body/main/div[3]/div[3]/div[2]/ul/li[5]/span[2]/span"")"),"Loading...")</f>
        <v>Loading...</v>
      </c>
      <c r="J3547" s="7" t="str">
        <f ca="1">IFERROR(__xludf.DUMMYFUNCTION("GOOGLEFINANCE(""NSE:""&amp;D3547,""marketcap"")"),"#N/A")</f>
        <v>#N/A</v>
      </c>
      <c r="K3547" s="7">
        <v>992.8</v>
      </c>
      <c r="L3547" s="8" t="str">
        <f ca="1">IFERROR(__xludf.DUMMYFUNCTION("GOOGLEFINANCE(""NSE:""&amp;D3547,""price"")"),"#N/A")</f>
        <v>#N/A</v>
      </c>
      <c r="M3547" s="9" t="e">
        <f t="shared" ca="1" si="72"/>
        <v>#VALUE!</v>
      </c>
      <c r="N3547" s="10" t="e">
        <f t="shared" ca="1" si="73"/>
        <v>#VALUE!</v>
      </c>
      <c r="O3547" s="7" t="str">
        <f ca="1">IFERROR(__xludf.DUMMYFUNCTION("GOOGLEFINANCE(""NSE:""&amp;D3547,""pe"")"),"#N/A")</f>
        <v>#N/A</v>
      </c>
      <c r="P3547" s="7" t="str">
        <f ca="1">IFERROR(__xludf.DUMMYFUNCTION("GOOGLEFINANCE(""NSE:""&amp;D3547,""EPS"")"),"#N/A")</f>
        <v>#N/A</v>
      </c>
      <c r="Q3547" s="7">
        <v>13.5</v>
      </c>
      <c r="R3547" s="7" t="str">
        <f ca="1">IFERROR(__xludf.DUMMYFUNCTION("IMPORTXML(E3547,""/html/body/main/div[3]/div[3]/div[2]/ul/li[7]/span[2]/span"")"),"Loading...")</f>
        <v>Loading...</v>
      </c>
      <c r="S3547" s="7" t="str">
        <f ca="1">IFERROR(__xludf.DUMMYFUNCTION("IMPORTXML(E3547,""/html/body/main/div[3]/div[3]/div[2]/ul/li[8]/span[2]/span"")"),"Loading...")</f>
        <v>Loading...</v>
      </c>
      <c r="T3547" s="4">
        <v>34.6</v>
      </c>
      <c r="U3547" s="4">
        <v>22.7</v>
      </c>
      <c r="V3547" s="4">
        <v>2.6</v>
      </c>
      <c r="W3547" s="4">
        <v>5.7</v>
      </c>
      <c r="X3547" s="4">
        <v>519.92999999999995</v>
      </c>
      <c r="Y3547" s="7" t="e">
        <f t="shared" ca="1" si="74"/>
        <v>#VALUE!</v>
      </c>
    </row>
    <row r="3548" spans="1:25" ht="15" x14ac:dyDescent="0.25">
      <c r="A3548" s="4">
        <v>3541</v>
      </c>
      <c r="C3548" s="41" t="s">
        <v>5898</v>
      </c>
      <c r="D3548" s="42"/>
      <c r="E3548" s="5" t="str">
        <f t="shared" si="70"/>
        <v>https://www.screener.in/company//consolidated/</v>
      </c>
      <c r="F3548" s="4">
        <v>443059</v>
      </c>
      <c r="G3548" s="4">
        <v>3832241897</v>
      </c>
      <c r="H3548" s="6" t="e">
        <f t="shared" ca="1" si="71"/>
        <v>#VALUE!</v>
      </c>
      <c r="I3548" s="7" t="str">
        <f ca="1">IFERROR(__xludf.DUMMYFUNCTION("IMPORTXML(E3548,""/html/body/main/div[3]/div[3]/div[2]/ul/li[5]/span[2]/span"")"),"Loading...")</f>
        <v>Loading...</v>
      </c>
      <c r="J3548" s="7" t="str">
        <f ca="1">IFERROR(__xludf.DUMMYFUNCTION("GOOGLEFINANCE(""NSE:""&amp;D3548,""marketcap"")"),"#N/A")</f>
        <v>#N/A</v>
      </c>
      <c r="K3548" s="7">
        <v>992.8</v>
      </c>
      <c r="L3548" s="8" t="str">
        <f ca="1">IFERROR(__xludf.DUMMYFUNCTION("GOOGLEFINANCE(""NSE:""&amp;D3548,""price"")"),"#N/A")</f>
        <v>#N/A</v>
      </c>
      <c r="M3548" s="9" t="e">
        <f t="shared" ca="1" si="72"/>
        <v>#VALUE!</v>
      </c>
      <c r="N3548" s="10" t="e">
        <f t="shared" ca="1" si="73"/>
        <v>#VALUE!</v>
      </c>
      <c r="O3548" s="7" t="str">
        <f ca="1">IFERROR(__xludf.DUMMYFUNCTION("GOOGLEFINANCE(""NSE:""&amp;D3548,""pe"")"),"#N/A")</f>
        <v>#N/A</v>
      </c>
      <c r="P3548" s="7" t="str">
        <f ca="1">IFERROR(__xludf.DUMMYFUNCTION("GOOGLEFINANCE(""NSE:""&amp;D3548,""EPS"")"),"#N/A")</f>
        <v>#N/A</v>
      </c>
      <c r="Q3548" s="7">
        <v>13.5</v>
      </c>
      <c r="R3548" s="7" t="str">
        <f ca="1">IFERROR(__xludf.DUMMYFUNCTION("IMPORTXML(E3548,""/html/body/main/div[3]/div[3]/div[2]/ul/li[7]/span[2]/span"")"),"Loading...")</f>
        <v>Loading...</v>
      </c>
      <c r="S3548" s="7" t="str">
        <f ca="1">IFERROR(__xludf.DUMMYFUNCTION("IMPORTXML(E3548,""/html/body/main/div[3]/div[3]/div[2]/ul/li[8]/span[2]/span"")"),"Loading...")</f>
        <v>Loading...</v>
      </c>
      <c r="T3548" s="4">
        <v>34.6</v>
      </c>
      <c r="U3548" s="4">
        <v>22.7</v>
      </c>
      <c r="V3548" s="4">
        <v>2.6</v>
      </c>
      <c r="W3548" s="4">
        <v>5.7</v>
      </c>
      <c r="X3548" s="4">
        <v>519.92999999999995</v>
      </c>
      <c r="Y3548" s="7" t="e">
        <f t="shared" ca="1" si="74"/>
        <v>#VALUE!</v>
      </c>
    </row>
    <row r="3549" spans="1:25" ht="15" x14ac:dyDescent="0.25">
      <c r="A3549" s="4">
        <v>3542</v>
      </c>
      <c r="C3549" s="41" t="s">
        <v>5899</v>
      </c>
      <c r="D3549" s="42"/>
      <c r="E3549" s="5" t="str">
        <f t="shared" si="70"/>
        <v>https://www.screener.in/company//consolidated/</v>
      </c>
      <c r="F3549" s="4">
        <v>443059</v>
      </c>
      <c r="G3549" s="4">
        <v>3832241897</v>
      </c>
      <c r="H3549" s="6" t="e">
        <f t="shared" ca="1" si="71"/>
        <v>#VALUE!</v>
      </c>
      <c r="I3549" s="7" t="str">
        <f ca="1">IFERROR(__xludf.DUMMYFUNCTION("IMPORTXML(E3549,""/html/body/main/div[3]/div[3]/div[2]/ul/li[5]/span[2]/span"")"),"Loading...")</f>
        <v>Loading...</v>
      </c>
      <c r="J3549" s="7" t="str">
        <f ca="1">IFERROR(__xludf.DUMMYFUNCTION("GOOGLEFINANCE(""NSE:""&amp;D3549,""marketcap"")"),"#N/A")</f>
        <v>#N/A</v>
      </c>
      <c r="K3549" s="7">
        <v>992.8</v>
      </c>
      <c r="L3549" s="8" t="str">
        <f ca="1">IFERROR(__xludf.DUMMYFUNCTION("GOOGLEFINANCE(""NSE:""&amp;D3549,""price"")"),"#N/A")</f>
        <v>#N/A</v>
      </c>
      <c r="M3549" s="9" t="e">
        <f t="shared" ca="1" si="72"/>
        <v>#VALUE!</v>
      </c>
      <c r="N3549" s="10" t="e">
        <f t="shared" ca="1" si="73"/>
        <v>#VALUE!</v>
      </c>
      <c r="O3549" s="7" t="str">
        <f ca="1">IFERROR(__xludf.DUMMYFUNCTION("GOOGLEFINANCE(""NSE:""&amp;D3549,""pe"")"),"#N/A")</f>
        <v>#N/A</v>
      </c>
      <c r="P3549" s="7" t="str">
        <f ca="1">IFERROR(__xludf.DUMMYFUNCTION("GOOGLEFINANCE(""NSE:""&amp;D3549,""EPS"")"),"#N/A")</f>
        <v>#N/A</v>
      </c>
      <c r="Q3549" s="7">
        <v>13.5</v>
      </c>
      <c r="R3549" s="7" t="str">
        <f ca="1">IFERROR(__xludf.DUMMYFUNCTION("IMPORTXML(E3549,""/html/body/main/div[3]/div[3]/div[2]/ul/li[7]/span[2]/span"")"),"Loading...")</f>
        <v>Loading...</v>
      </c>
      <c r="S3549" s="7" t="str">
        <f ca="1">IFERROR(__xludf.DUMMYFUNCTION("IMPORTXML(E3549,""/html/body/main/div[3]/div[3]/div[2]/ul/li[8]/span[2]/span"")"),"Loading...")</f>
        <v>Loading...</v>
      </c>
      <c r="T3549" s="4">
        <v>34.6</v>
      </c>
      <c r="U3549" s="4">
        <v>22.7</v>
      </c>
      <c r="V3549" s="4">
        <v>2.6</v>
      </c>
      <c r="W3549" s="4">
        <v>5.7</v>
      </c>
      <c r="X3549" s="4">
        <v>519.92999999999995</v>
      </c>
      <c r="Y3549" s="7" t="e">
        <f t="shared" ca="1" si="74"/>
        <v>#VALUE!</v>
      </c>
    </row>
    <row r="3550" spans="1:25" ht="15" x14ac:dyDescent="0.25">
      <c r="A3550" s="4">
        <v>3543</v>
      </c>
      <c r="C3550" s="41" t="s">
        <v>5900</v>
      </c>
      <c r="D3550" s="42"/>
      <c r="E3550" s="5" t="str">
        <f t="shared" si="70"/>
        <v>https://www.screener.in/company//consolidated/</v>
      </c>
      <c r="F3550" s="4">
        <v>443059</v>
      </c>
      <c r="G3550" s="4">
        <v>3832241897</v>
      </c>
      <c r="H3550" s="6" t="e">
        <f t="shared" ca="1" si="71"/>
        <v>#VALUE!</v>
      </c>
      <c r="I3550" s="7" t="str">
        <f ca="1">IFERROR(__xludf.DUMMYFUNCTION("IMPORTXML(E3550,""/html/body/main/div[3]/div[3]/div[2]/ul/li[5]/span[2]/span"")"),"Loading...")</f>
        <v>Loading...</v>
      </c>
      <c r="J3550" s="7" t="str">
        <f ca="1">IFERROR(__xludf.DUMMYFUNCTION("GOOGLEFINANCE(""NSE:""&amp;D3550,""marketcap"")"),"#N/A")</f>
        <v>#N/A</v>
      </c>
      <c r="K3550" s="7">
        <v>992.8</v>
      </c>
      <c r="L3550" s="8" t="str">
        <f ca="1">IFERROR(__xludf.DUMMYFUNCTION("GOOGLEFINANCE(""NSE:""&amp;D3550,""price"")"),"#N/A")</f>
        <v>#N/A</v>
      </c>
      <c r="M3550" s="9" t="e">
        <f t="shared" ca="1" si="72"/>
        <v>#VALUE!</v>
      </c>
      <c r="N3550" s="10" t="e">
        <f t="shared" ca="1" si="73"/>
        <v>#VALUE!</v>
      </c>
      <c r="O3550" s="7" t="str">
        <f ca="1">IFERROR(__xludf.DUMMYFUNCTION("GOOGLEFINANCE(""NSE:""&amp;D3550,""pe"")"),"#N/A")</f>
        <v>#N/A</v>
      </c>
      <c r="P3550" s="7" t="str">
        <f ca="1">IFERROR(__xludf.DUMMYFUNCTION("GOOGLEFINANCE(""NSE:""&amp;D3550,""EPS"")"),"#N/A")</f>
        <v>#N/A</v>
      </c>
      <c r="Q3550" s="7">
        <v>13.5</v>
      </c>
      <c r="R3550" s="7" t="str">
        <f ca="1">IFERROR(__xludf.DUMMYFUNCTION("IMPORTXML(E3550,""/html/body/main/div[3]/div[3]/div[2]/ul/li[7]/span[2]/span"")"),"Loading...")</f>
        <v>Loading...</v>
      </c>
      <c r="S3550" s="7" t="str">
        <f ca="1">IFERROR(__xludf.DUMMYFUNCTION("IMPORTXML(E3550,""/html/body/main/div[3]/div[3]/div[2]/ul/li[8]/span[2]/span"")"),"Loading...")</f>
        <v>Loading...</v>
      </c>
      <c r="T3550" s="4">
        <v>34.6</v>
      </c>
      <c r="U3550" s="4">
        <v>22.7</v>
      </c>
      <c r="V3550" s="4">
        <v>2.6</v>
      </c>
      <c r="W3550" s="4">
        <v>5.7</v>
      </c>
      <c r="X3550" s="4">
        <v>519.92999999999995</v>
      </c>
      <c r="Y3550" s="7" t="e">
        <f t="shared" ca="1" si="74"/>
        <v>#VALUE!</v>
      </c>
    </row>
    <row r="3551" spans="1:25" ht="15" x14ac:dyDescent="0.25">
      <c r="A3551" s="4">
        <v>3544</v>
      </c>
      <c r="C3551" s="41" t="s">
        <v>5901</v>
      </c>
      <c r="D3551" s="42"/>
      <c r="E3551" s="5" t="str">
        <f t="shared" si="70"/>
        <v>https://www.screener.in/company//consolidated/</v>
      </c>
      <c r="F3551" s="4">
        <v>443059</v>
      </c>
      <c r="G3551" s="4">
        <v>3832241897</v>
      </c>
      <c r="H3551" s="6" t="e">
        <f t="shared" ca="1" si="71"/>
        <v>#VALUE!</v>
      </c>
      <c r="I3551" s="7" t="str">
        <f ca="1">IFERROR(__xludf.DUMMYFUNCTION("IMPORTXML(E3551,""/html/body/main/div[3]/div[3]/div[2]/ul/li[5]/span[2]/span"")"),"Loading...")</f>
        <v>Loading...</v>
      </c>
      <c r="J3551" s="7" t="str">
        <f ca="1">IFERROR(__xludf.DUMMYFUNCTION("GOOGLEFINANCE(""NSE:""&amp;D3551,""marketcap"")"),"#N/A")</f>
        <v>#N/A</v>
      </c>
      <c r="K3551" s="7">
        <v>992.8</v>
      </c>
      <c r="L3551" s="8" t="str">
        <f ca="1">IFERROR(__xludf.DUMMYFUNCTION("GOOGLEFINANCE(""NSE:""&amp;D3551,""price"")"),"#N/A")</f>
        <v>#N/A</v>
      </c>
      <c r="M3551" s="9" t="e">
        <f t="shared" ca="1" si="72"/>
        <v>#VALUE!</v>
      </c>
      <c r="N3551" s="10" t="e">
        <f t="shared" ca="1" si="73"/>
        <v>#VALUE!</v>
      </c>
      <c r="O3551" s="7" t="str">
        <f ca="1">IFERROR(__xludf.DUMMYFUNCTION("GOOGLEFINANCE(""NSE:""&amp;D3551,""pe"")"),"#N/A")</f>
        <v>#N/A</v>
      </c>
      <c r="P3551" s="7" t="str">
        <f ca="1">IFERROR(__xludf.DUMMYFUNCTION("GOOGLEFINANCE(""NSE:""&amp;D3551,""EPS"")"),"#N/A")</f>
        <v>#N/A</v>
      </c>
      <c r="Q3551" s="7">
        <v>13.5</v>
      </c>
      <c r="R3551" s="7" t="str">
        <f ca="1">IFERROR(__xludf.DUMMYFUNCTION("IMPORTXML(E3551,""/html/body/main/div[3]/div[3]/div[2]/ul/li[7]/span[2]/span"")"),"Loading...")</f>
        <v>Loading...</v>
      </c>
      <c r="S3551" s="7" t="str">
        <f ca="1">IFERROR(__xludf.DUMMYFUNCTION("IMPORTXML(E3551,""/html/body/main/div[3]/div[3]/div[2]/ul/li[8]/span[2]/span"")"),"Loading...")</f>
        <v>Loading...</v>
      </c>
      <c r="T3551" s="4">
        <v>34.6</v>
      </c>
      <c r="U3551" s="4">
        <v>22.7</v>
      </c>
      <c r="V3551" s="4">
        <v>2.6</v>
      </c>
      <c r="W3551" s="4">
        <v>5.7</v>
      </c>
      <c r="X3551" s="4">
        <v>519.92999999999995</v>
      </c>
      <c r="Y3551" s="7" t="e">
        <f t="shared" ca="1" si="74"/>
        <v>#VALUE!</v>
      </c>
    </row>
    <row r="3552" spans="1:25" ht="15" x14ac:dyDescent="0.25">
      <c r="A3552" s="4">
        <v>3545</v>
      </c>
      <c r="C3552" s="41" t="s">
        <v>5902</v>
      </c>
      <c r="D3552" s="42"/>
      <c r="E3552" s="5" t="str">
        <f t="shared" si="70"/>
        <v>https://www.screener.in/company//consolidated/</v>
      </c>
      <c r="F3552" s="4">
        <v>443059</v>
      </c>
      <c r="G3552" s="4">
        <v>3832241897</v>
      </c>
      <c r="H3552" s="6" t="e">
        <f t="shared" ca="1" si="71"/>
        <v>#VALUE!</v>
      </c>
      <c r="I3552" s="7" t="str">
        <f ca="1">IFERROR(__xludf.DUMMYFUNCTION("IMPORTXML(E3552,""/html/body/main/div[3]/div[3]/div[2]/ul/li[5]/span[2]/span"")"),"Loading...")</f>
        <v>Loading...</v>
      </c>
      <c r="J3552" s="7" t="str">
        <f ca="1">IFERROR(__xludf.DUMMYFUNCTION("GOOGLEFINANCE(""NSE:""&amp;D3552,""marketcap"")"),"#N/A")</f>
        <v>#N/A</v>
      </c>
      <c r="K3552" s="7">
        <v>992.8</v>
      </c>
      <c r="L3552" s="8" t="str">
        <f ca="1">IFERROR(__xludf.DUMMYFUNCTION("GOOGLEFINANCE(""NSE:""&amp;D3552,""price"")"),"#N/A")</f>
        <v>#N/A</v>
      </c>
      <c r="M3552" s="9" t="e">
        <f t="shared" ca="1" si="72"/>
        <v>#VALUE!</v>
      </c>
      <c r="N3552" s="10" t="e">
        <f t="shared" ca="1" si="73"/>
        <v>#VALUE!</v>
      </c>
      <c r="O3552" s="7" t="str">
        <f ca="1">IFERROR(__xludf.DUMMYFUNCTION("GOOGLEFINANCE(""NSE:""&amp;D3552,""pe"")"),"#N/A")</f>
        <v>#N/A</v>
      </c>
      <c r="P3552" s="7" t="str">
        <f ca="1">IFERROR(__xludf.DUMMYFUNCTION("GOOGLEFINANCE(""NSE:""&amp;D3552,""EPS"")"),"#N/A")</f>
        <v>#N/A</v>
      </c>
      <c r="Q3552" s="7">
        <v>13.5</v>
      </c>
      <c r="R3552" s="7" t="str">
        <f ca="1">IFERROR(__xludf.DUMMYFUNCTION("IMPORTXML(E3552,""/html/body/main/div[3]/div[3]/div[2]/ul/li[7]/span[2]/span"")"),"Loading...")</f>
        <v>Loading...</v>
      </c>
      <c r="S3552" s="7" t="str">
        <f ca="1">IFERROR(__xludf.DUMMYFUNCTION("IMPORTXML(E3552,""/html/body/main/div[3]/div[3]/div[2]/ul/li[8]/span[2]/span"")"),"Loading...")</f>
        <v>Loading...</v>
      </c>
      <c r="T3552" s="4">
        <v>34.6</v>
      </c>
      <c r="U3552" s="4">
        <v>22.7</v>
      </c>
      <c r="V3552" s="4">
        <v>2.6</v>
      </c>
      <c r="W3552" s="4">
        <v>5.7</v>
      </c>
      <c r="X3552" s="4">
        <v>519.92999999999995</v>
      </c>
      <c r="Y3552" s="7" t="e">
        <f t="shared" ca="1" si="74"/>
        <v>#VALUE!</v>
      </c>
    </row>
    <row r="3553" spans="1:25" ht="15" x14ac:dyDescent="0.25">
      <c r="A3553" s="4">
        <v>3546</v>
      </c>
      <c r="C3553" s="41" t="s">
        <v>5903</v>
      </c>
      <c r="D3553" s="42"/>
      <c r="E3553" s="5" t="str">
        <f t="shared" si="70"/>
        <v>https://www.screener.in/company//consolidated/</v>
      </c>
      <c r="F3553" s="4">
        <v>443059</v>
      </c>
      <c r="G3553" s="4">
        <v>3832241897</v>
      </c>
      <c r="H3553" s="6" t="e">
        <f t="shared" ca="1" si="71"/>
        <v>#VALUE!</v>
      </c>
      <c r="I3553" s="7" t="str">
        <f ca="1">IFERROR(__xludf.DUMMYFUNCTION("IMPORTXML(E3553,""/html/body/main/div[3]/div[3]/div[2]/ul/li[5]/span[2]/span"")"),"Loading...")</f>
        <v>Loading...</v>
      </c>
      <c r="J3553" s="7" t="str">
        <f ca="1">IFERROR(__xludf.DUMMYFUNCTION("GOOGLEFINANCE(""NSE:""&amp;D3553,""marketcap"")"),"#N/A")</f>
        <v>#N/A</v>
      </c>
      <c r="K3553" s="7">
        <v>992.8</v>
      </c>
      <c r="L3553" s="8" t="str">
        <f ca="1">IFERROR(__xludf.DUMMYFUNCTION("GOOGLEFINANCE(""NSE:""&amp;D3553,""price"")"),"#N/A")</f>
        <v>#N/A</v>
      </c>
      <c r="M3553" s="9" t="e">
        <f t="shared" ca="1" si="72"/>
        <v>#VALUE!</v>
      </c>
      <c r="N3553" s="10" t="e">
        <f t="shared" ca="1" si="73"/>
        <v>#VALUE!</v>
      </c>
      <c r="O3553" s="7" t="str">
        <f ca="1">IFERROR(__xludf.DUMMYFUNCTION("GOOGLEFINANCE(""NSE:""&amp;D3553,""pe"")"),"#N/A")</f>
        <v>#N/A</v>
      </c>
      <c r="P3553" s="7" t="str">
        <f ca="1">IFERROR(__xludf.DUMMYFUNCTION("GOOGLEFINANCE(""NSE:""&amp;D3553,""EPS"")"),"#N/A")</f>
        <v>#N/A</v>
      </c>
      <c r="Q3553" s="7">
        <v>13.5</v>
      </c>
      <c r="R3553" s="7" t="str">
        <f ca="1">IFERROR(__xludf.DUMMYFUNCTION("IMPORTXML(E3553,""/html/body/main/div[3]/div[3]/div[2]/ul/li[7]/span[2]/span"")"),"Loading...")</f>
        <v>Loading...</v>
      </c>
      <c r="S3553" s="7" t="str">
        <f ca="1">IFERROR(__xludf.DUMMYFUNCTION("IMPORTXML(E3553,""/html/body/main/div[3]/div[3]/div[2]/ul/li[8]/span[2]/span"")"),"Loading...")</f>
        <v>Loading...</v>
      </c>
      <c r="T3553" s="4">
        <v>34.6</v>
      </c>
      <c r="U3553" s="4">
        <v>22.7</v>
      </c>
      <c r="V3553" s="4">
        <v>2.6</v>
      </c>
      <c r="W3553" s="4">
        <v>5.7</v>
      </c>
      <c r="X3553" s="4">
        <v>519.92999999999995</v>
      </c>
      <c r="Y3553" s="7" t="e">
        <f t="shared" ca="1" si="74"/>
        <v>#VALUE!</v>
      </c>
    </row>
    <row r="3554" spans="1:25" ht="15" x14ac:dyDescent="0.25">
      <c r="A3554" s="4">
        <v>3547</v>
      </c>
      <c r="C3554" s="41" t="s">
        <v>5904</v>
      </c>
      <c r="D3554" s="42"/>
      <c r="E3554" s="5" t="str">
        <f t="shared" si="70"/>
        <v>https://www.screener.in/company//consolidated/</v>
      </c>
      <c r="F3554" s="4">
        <v>443059</v>
      </c>
      <c r="G3554" s="4">
        <v>3832241897</v>
      </c>
      <c r="H3554" s="6" t="e">
        <f t="shared" ca="1" si="71"/>
        <v>#VALUE!</v>
      </c>
      <c r="I3554" s="7" t="str">
        <f ca="1">IFERROR(__xludf.DUMMYFUNCTION("IMPORTXML(E3554,""/html/body/main/div[3]/div[3]/div[2]/ul/li[5]/span[2]/span"")"),"Loading...")</f>
        <v>Loading...</v>
      </c>
      <c r="J3554" s="7" t="str">
        <f ca="1">IFERROR(__xludf.DUMMYFUNCTION("GOOGLEFINANCE(""NSE:""&amp;D3554,""marketcap"")"),"#N/A")</f>
        <v>#N/A</v>
      </c>
      <c r="K3554" s="7">
        <v>992.8</v>
      </c>
      <c r="L3554" s="8" t="str">
        <f ca="1">IFERROR(__xludf.DUMMYFUNCTION("GOOGLEFINANCE(""NSE:""&amp;D3554,""price"")"),"#N/A")</f>
        <v>#N/A</v>
      </c>
      <c r="M3554" s="9" t="e">
        <f t="shared" ca="1" si="72"/>
        <v>#VALUE!</v>
      </c>
      <c r="N3554" s="10" t="e">
        <f t="shared" ca="1" si="73"/>
        <v>#VALUE!</v>
      </c>
      <c r="O3554" s="7" t="str">
        <f ca="1">IFERROR(__xludf.DUMMYFUNCTION("GOOGLEFINANCE(""NSE:""&amp;D3554,""pe"")"),"#N/A")</f>
        <v>#N/A</v>
      </c>
      <c r="P3554" s="7" t="str">
        <f ca="1">IFERROR(__xludf.DUMMYFUNCTION("GOOGLEFINANCE(""NSE:""&amp;D3554,""EPS"")"),"#N/A")</f>
        <v>#N/A</v>
      </c>
      <c r="Q3554" s="7">
        <v>13.5</v>
      </c>
      <c r="R3554" s="7" t="str">
        <f ca="1">IFERROR(__xludf.DUMMYFUNCTION("IMPORTXML(E3554,""/html/body/main/div[3]/div[3]/div[2]/ul/li[7]/span[2]/span"")"),"Loading...")</f>
        <v>Loading...</v>
      </c>
      <c r="S3554" s="7" t="str">
        <f ca="1">IFERROR(__xludf.DUMMYFUNCTION("IMPORTXML(E3554,""/html/body/main/div[3]/div[3]/div[2]/ul/li[8]/span[2]/span"")"),"Loading...")</f>
        <v>Loading...</v>
      </c>
      <c r="T3554" s="4">
        <v>34.6</v>
      </c>
      <c r="U3554" s="4">
        <v>22.7</v>
      </c>
      <c r="V3554" s="4">
        <v>2.6</v>
      </c>
      <c r="W3554" s="4">
        <v>5.7</v>
      </c>
      <c r="X3554" s="4">
        <v>519.92999999999995</v>
      </c>
      <c r="Y3554" s="7" t="e">
        <f t="shared" ca="1" si="74"/>
        <v>#VALUE!</v>
      </c>
    </row>
    <row r="3555" spans="1:25" ht="15" x14ac:dyDescent="0.25">
      <c r="A3555" s="4">
        <v>3548</v>
      </c>
      <c r="C3555" s="41" t="s">
        <v>5905</v>
      </c>
      <c r="D3555" s="42"/>
      <c r="E3555" s="5" t="str">
        <f t="shared" si="70"/>
        <v>https://www.screener.in/company//consolidated/</v>
      </c>
      <c r="F3555" s="4">
        <v>443059</v>
      </c>
      <c r="G3555" s="4">
        <v>3832241897</v>
      </c>
      <c r="H3555" s="6" t="e">
        <f t="shared" ca="1" si="71"/>
        <v>#VALUE!</v>
      </c>
      <c r="I3555" s="7" t="str">
        <f ca="1">IFERROR(__xludf.DUMMYFUNCTION("IMPORTXML(E3555,""/html/body/main/div[3]/div[3]/div[2]/ul/li[5]/span[2]/span"")"),"Loading...")</f>
        <v>Loading...</v>
      </c>
      <c r="J3555" s="7" t="str">
        <f ca="1">IFERROR(__xludf.DUMMYFUNCTION("GOOGLEFINANCE(""NSE:""&amp;D3555,""marketcap"")"),"#N/A")</f>
        <v>#N/A</v>
      </c>
      <c r="K3555" s="7">
        <v>992.8</v>
      </c>
      <c r="L3555" s="8" t="str">
        <f ca="1">IFERROR(__xludf.DUMMYFUNCTION("GOOGLEFINANCE(""NSE:""&amp;D3555,""price"")"),"#N/A")</f>
        <v>#N/A</v>
      </c>
      <c r="M3555" s="9" t="e">
        <f t="shared" ca="1" si="72"/>
        <v>#VALUE!</v>
      </c>
      <c r="N3555" s="10" t="e">
        <f t="shared" ca="1" si="73"/>
        <v>#VALUE!</v>
      </c>
      <c r="O3555" s="7" t="str">
        <f ca="1">IFERROR(__xludf.DUMMYFUNCTION("GOOGLEFINANCE(""NSE:""&amp;D3555,""pe"")"),"#N/A")</f>
        <v>#N/A</v>
      </c>
      <c r="P3555" s="7" t="str">
        <f ca="1">IFERROR(__xludf.DUMMYFUNCTION("GOOGLEFINANCE(""NSE:""&amp;D3555,""EPS"")"),"#N/A")</f>
        <v>#N/A</v>
      </c>
      <c r="Q3555" s="7">
        <v>13.5</v>
      </c>
      <c r="R3555" s="7" t="str">
        <f ca="1">IFERROR(__xludf.DUMMYFUNCTION("IMPORTXML(E3555,""/html/body/main/div[3]/div[3]/div[2]/ul/li[7]/span[2]/span"")"),"Loading...")</f>
        <v>Loading...</v>
      </c>
      <c r="S3555" s="7" t="str">
        <f ca="1">IFERROR(__xludf.DUMMYFUNCTION("IMPORTXML(E3555,""/html/body/main/div[3]/div[3]/div[2]/ul/li[8]/span[2]/span"")"),"Loading...")</f>
        <v>Loading...</v>
      </c>
      <c r="T3555" s="4">
        <v>34.6</v>
      </c>
      <c r="U3555" s="4">
        <v>22.7</v>
      </c>
      <c r="V3555" s="4">
        <v>2.6</v>
      </c>
      <c r="W3555" s="4">
        <v>5.7</v>
      </c>
      <c r="X3555" s="4">
        <v>519.92999999999995</v>
      </c>
      <c r="Y3555" s="7" t="e">
        <f t="shared" ca="1" si="74"/>
        <v>#VALUE!</v>
      </c>
    </row>
    <row r="3556" spans="1:25" ht="15" x14ac:dyDescent="0.25">
      <c r="A3556" s="4">
        <v>3549</v>
      </c>
      <c r="C3556" s="41" t="s">
        <v>5906</v>
      </c>
      <c r="D3556" s="42"/>
      <c r="E3556" s="5" t="str">
        <f t="shared" si="70"/>
        <v>https://www.screener.in/company//consolidated/</v>
      </c>
      <c r="F3556" s="4">
        <v>443059</v>
      </c>
      <c r="G3556" s="4">
        <v>3832241897</v>
      </c>
      <c r="H3556" s="6" t="e">
        <f t="shared" ca="1" si="71"/>
        <v>#VALUE!</v>
      </c>
      <c r="I3556" s="7" t="str">
        <f ca="1">IFERROR(__xludf.DUMMYFUNCTION("IMPORTXML(E3556,""/html/body/main/div[3]/div[3]/div[2]/ul/li[5]/span[2]/span"")"),"Loading...")</f>
        <v>Loading...</v>
      </c>
      <c r="J3556" s="7" t="str">
        <f ca="1">IFERROR(__xludf.DUMMYFUNCTION("GOOGLEFINANCE(""NSE:""&amp;D3556,""marketcap"")"),"#N/A")</f>
        <v>#N/A</v>
      </c>
      <c r="K3556" s="7">
        <v>992.8</v>
      </c>
      <c r="L3556" s="8" t="str">
        <f ca="1">IFERROR(__xludf.DUMMYFUNCTION("GOOGLEFINANCE(""NSE:""&amp;D3556,""price"")"),"#N/A")</f>
        <v>#N/A</v>
      </c>
      <c r="M3556" s="9" t="e">
        <f t="shared" ca="1" si="72"/>
        <v>#VALUE!</v>
      </c>
      <c r="N3556" s="10" t="e">
        <f t="shared" ca="1" si="73"/>
        <v>#VALUE!</v>
      </c>
      <c r="O3556" s="7" t="str">
        <f ca="1">IFERROR(__xludf.DUMMYFUNCTION("GOOGLEFINANCE(""NSE:""&amp;D3556,""pe"")"),"#N/A")</f>
        <v>#N/A</v>
      </c>
      <c r="P3556" s="7" t="str">
        <f ca="1">IFERROR(__xludf.DUMMYFUNCTION("GOOGLEFINANCE(""NSE:""&amp;D3556,""EPS"")"),"#N/A")</f>
        <v>#N/A</v>
      </c>
      <c r="Q3556" s="7">
        <v>13.5</v>
      </c>
      <c r="R3556" s="7" t="str">
        <f ca="1">IFERROR(__xludf.DUMMYFUNCTION("IMPORTXML(E3556,""/html/body/main/div[3]/div[3]/div[2]/ul/li[7]/span[2]/span"")"),"Loading...")</f>
        <v>Loading...</v>
      </c>
      <c r="S3556" s="7" t="str">
        <f ca="1">IFERROR(__xludf.DUMMYFUNCTION("IMPORTXML(E3556,""/html/body/main/div[3]/div[3]/div[2]/ul/li[8]/span[2]/span"")"),"Loading...")</f>
        <v>Loading...</v>
      </c>
      <c r="T3556" s="4">
        <v>34.6</v>
      </c>
      <c r="U3556" s="4">
        <v>22.7</v>
      </c>
      <c r="V3556" s="4">
        <v>2.6</v>
      </c>
      <c r="W3556" s="4">
        <v>5.7</v>
      </c>
      <c r="X3556" s="4">
        <v>519.92999999999995</v>
      </c>
      <c r="Y3556" s="7" t="e">
        <f t="shared" ca="1" si="74"/>
        <v>#VALUE!</v>
      </c>
    </row>
    <row r="3557" spans="1:25" ht="15" x14ac:dyDescent="0.25">
      <c r="A3557" s="4">
        <v>3550</v>
      </c>
      <c r="C3557" s="41" t="s">
        <v>5907</v>
      </c>
      <c r="D3557" s="42"/>
      <c r="E3557" s="5" t="str">
        <f t="shared" si="70"/>
        <v>https://www.screener.in/company//consolidated/</v>
      </c>
      <c r="F3557" s="4">
        <v>443059</v>
      </c>
      <c r="G3557" s="4">
        <v>3832241897</v>
      </c>
      <c r="H3557" s="6" t="e">
        <f t="shared" ca="1" si="71"/>
        <v>#VALUE!</v>
      </c>
      <c r="I3557" s="7" t="str">
        <f ca="1">IFERROR(__xludf.DUMMYFUNCTION("IMPORTXML(E3557,""/html/body/main/div[3]/div[3]/div[2]/ul/li[5]/span[2]/span"")"),"Loading...")</f>
        <v>Loading...</v>
      </c>
      <c r="J3557" s="7" t="str">
        <f ca="1">IFERROR(__xludf.DUMMYFUNCTION("GOOGLEFINANCE(""NSE:""&amp;D3557,""marketcap"")"),"#N/A")</f>
        <v>#N/A</v>
      </c>
      <c r="K3557" s="7">
        <v>992.8</v>
      </c>
      <c r="L3557" s="8" t="str">
        <f ca="1">IFERROR(__xludf.DUMMYFUNCTION("GOOGLEFINANCE(""NSE:""&amp;D3557,""price"")"),"#N/A")</f>
        <v>#N/A</v>
      </c>
      <c r="M3557" s="9" t="e">
        <f t="shared" ca="1" si="72"/>
        <v>#VALUE!</v>
      </c>
      <c r="N3557" s="10" t="e">
        <f t="shared" ca="1" si="73"/>
        <v>#VALUE!</v>
      </c>
      <c r="O3557" s="7" t="str">
        <f ca="1">IFERROR(__xludf.DUMMYFUNCTION("GOOGLEFINANCE(""NSE:""&amp;D3557,""pe"")"),"#N/A")</f>
        <v>#N/A</v>
      </c>
      <c r="P3557" s="7" t="str">
        <f ca="1">IFERROR(__xludf.DUMMYFUNCTION("GOOGLEFINANCE(""NSE:""&amp;D3557,""EPS"")"),"#N/A")</f>
        <v>#N/A</v>
      </c>
      <c r="Q3557" s="7">
        <v>13.5</v>
      </c>
      <c r="R3557" s="7" t="str">
        <f ca="1">IFERROR(__xludf.DUMMYFUNCTION("IMPORTXML(E3557,""/html/body/main/div[3]/div[3]/div[2]/ul/li[7]/span[2]/span"")"),"Loading...")</f>
        <v>Loading...</v>
      </c>
      <c r="S3557" s="7" t="str">
        <f ca="1">IFERROR(__xludf.DUMMYFUNCTION("IMPORTXML(E3557,""/html/body/main/div[3]/div[3]/div[2]/ul/li[8]/span[2]/span"")"),"Loading...")</f>
        <v>Loading...</v>
      </c>
      <c r="T3557" s="4">
        <v>34.6</v>
      </c>
      <c r="U3557" s="4">
        <v>22.7</v>
      </c>
      <c r="V3557" s="4">
        <v>2.6</v>
      </c>
      <c r="W3557" s="4">
        <v>5.7</v>
      </c>
      <c r="X3557" s="4">
        <v>519.92999999999995</v>
      </c>
      <c r="Y3557" s="7" t="e">
        <f t="shared" ca="1" si="74"/>
        <v>#VALUE!</v>
      </c>
    </row>
    <row r="3558" spans="1:25" ht="15" x14ac:dyDescent="0.25">
      <c r="A3558" s="4">
        <v>3551</v>
      </c>
      <c r="C3558" s="41" t="s">
        <v>5908</v>
      </c>
      <c r="D3558" s="42"/>
      <c r="E3558" s="5" t="str">
        <f t="shared" si="70"/>
        <v>https://www.screener.in/company//consolidated/</v>
      </c>
      <c r="F3558" s="4">
        <v>443059</v>
      </c>
      <c r="G3558" s="4">
        <v>3832241897</v>
      </c>
      <c r="H3558" s="6" t="e">
        <f t="shared" ca="1" si="71"/>
        <v>#VALUE!</v>
      </c>
      <c r="I3558" s="7" t="str">
        <f ca="1">IFERROR(__xludf.DUMMYFUNCTION("IMPORTXML(E3558,""/html/body/main/div[3]/div[3]/div[2]/ul/li[5]/span[2]/span"")"),"Loading...")</f>
        <v>Loading...</v>
      </c>
      <c r="J3558" s="7" t="str">
        <f ca="1">IFERROR(__xludf.DUMMYFUNCTION("GOOGLEFINANCE(""NSE:""&amp;D3558,""marketcap"")"),"#N/A")</f>
        <v>#N/A</v>
      </c>
      <c r="K3558" s="7">
        <v>992.8</v>
      </c>
      <c r="L3558" s="8" t="str">
        <f ca="1">IFERROR(__xludf.DUMMYFUNCTION("GOOGLEFINANCE(""NSE:""&amp;D3558,""price"")"),"#N/A")</f>
        <v>#N/A</v>
      </c>
      <c r="M3558" s="9" t="e">
        <f t="shared" ca="1" si="72"/>
        <v>#VALUE!</v>
      </c>
      <c r="N3558" s="10" t="e">
        <f t="shared" ca="1" si="73"/>
        <v>#VALUE!</v>
      </c>
      <c r="O3558" s="7" t="str">
        <f ca="1">IFERROR(__xludf.DUMMYFUNCTION("GOOGLEFINANCE(""NSE:""&amp;D3558,""pe"")"),"#N/A")</f>
        <v>#N/A</v>
      </c>
      <c r="P3558" s="7" t="str">
        <f ca="1">IFERROR(__xludf.DUMMYFUNCTION("GOOGLEFINANCE(""NSE:""&amp;D3558,""EPS"")"),"#N/A")</f>
        <v>#N/A</v>
      </c>
      <c r="Q3558" s="7">
        <v>13.5</v>
      </c>
      <c r="R3558" s="7" t="str">
        <f ca="1">IFERROR(__xludf.DUMMYFUNCTION("IMPORTXML(E3558,""/html/body/main/div[3]/div[3]/div[2]/ul/li[7]/span[2]/span"")"),"Loading...")</f>
        <v>Loading...</v>
      </c>
      <c r="S3558" s="7" t="str">
        <f ca="1">IFERROR(__xludf.DUMMYFUNCTION("IMPORTXML(E3558,""/html/body/main/div[3]/div[3]/div[2]/ul/li[8]/span[2]/span"")"),"Loading...")</f>
        <v>Loading...</v>
      </c>
      <c r="T3558" s="4">
        <v>34.6</v>
      </c>
      <c r="U3558" s="4">
        <v>22.7</v>
      </c>
      <c r="V3558" s="4">
        <v>2.6</v>
      </c>
      <c r="W3558" s="4">
        <v>5.7</v>
      </c>
      <c r="X3558" s="4">
        <v>519.92999999999995</v>
      </c>
      <c r="Y3558" s="7" t="e">
        <f t="shared" ca="1" si="74"/>
        <v>#VALUE!</v>
      </c>
    </row>
    <row r="3559" spans="1:25" ht="15" x14ac:dyDescent="0.25">
      <c r="A3559" s="4">
        <v>3552</v>
      </c>
      <c r="C3559" s="41" t="s">
        <v>5909</v>
      </c>
      <c r="D3559" s="42"/>
      <c r="E3559" s="5" t="str">
        <f t="shared" si="70"/>
        <v>https://www.screener.in/company//consolidated/</v>
      </c>
      <c r="F3559" s="4">
        <v>443059</v>
      </c>
      <c r="G3559" s="4">
        <v>3832241897</v>
      </c>
      <c r="H3559" s="6" t="e">
        <f t="shared" ca="1" si="71"/>
        <v>#VALUE!</v>
      </c>
      <c r="I3559" s="7" t="str">
        <f ca="1">IFERROR(__xludf.DUMMYFUNCTION("IMPORTXML(E3559,""/html/body/main/div[3]/div[3]/div[2]/ul/li[5]/span[2]/span"")"),"Loading...")</f>
        <v>Loading...</v>
      </c>
      <c r="J3559" s="7" t="str">
        <f ca="1">IFERROR(__xludf.DUMMYFUNCTION("GOOGLEFINANCE(""NSE:""&amp;D3559,""marketcap"")"),"#N/A")</f>
        <v>#N/A</v>
      </c>
      <c r="K3559" s="7">
        <v>992.8</v>
      </c>
      <c r="L3559" s="8" t="str">
        <f ca="1">IFERROR(__xludf.DUMMYFUNCTION("GOOGLEFINANCE(""NSE:""&amp;D3559,""price"")"),"#N/A")</f>
        <v>#N/A</v>
      </c>
      <c r="M3559" s="9" t="e">
        <f t="shared" ca="1" si="72"/>
        <v>#VALUE!</v>
      </c>
      <c r="N3559" s="10" t="e">
        <f t="shared" ca="1" si="73"/>
        <v>#VALUE!</v>
      </c>
      <c r="O3559" s="7" t="str">
        <f ca="1">IFERROR(__xludf.DUMMYFUNCTION("GOOGLEFINANCE(""NSE:""&amp;D3559,""pe"")"),"#N/A")</f>
        <v>#N/A</v>
      </c>
      <c r="P3559" s="7" t="str">
        <f ca="1">IFERROR(__xludf.DUMMYFUNCTION("GOOGLEFINANCE(""NSE:""&amp;D3559,""EPS"")"),"#N/A")</f>
        <v>#N/A</v>
      </c>
      <c r="Q3559" s="7">
        <v>13.5</v>
      </c>
      <c r="R3559" s="7" t="str">
        <f ca="1">IFERROR(__xludf.DUMMYFUNCTION("IMPORTXML(E3559,""/html/body/main/div[3]/div[3]/div[2]/ul/li[7]/span[2]/span"")"),"Loading...")</f>
        <v>Loading...</v>
      </c>
      <c r="S3559" s="7" t="str">
        <f ca="1">IFERROR(__xludf.DUMMYFUNCTION("IMPORTXML(E3559,""/html/body/main/div[3]/div[3]/div[2]/ul/li[8]/span[2]/span"")"),"Loading...")</f>
        <v>Loading...</v>
      </c>
      <c r="T3559" s="4">
        <v>34.6</v>
      </c>
      <c r="U3559" s="4">
        <v>22.7</v>
      </c>
      <c r="V3559" s="4">
        <v>2.6</v>
      </c>
      <c r="W3559" s="4">
        <v>5.7</v>
      </c>
      <c r="X3559" s="4">
        <v>519.92999999999995</v>
      </c>
      <c r="Y3559" s="7" t="e">
        <f t="shared" ca="1" si="74"/>
        <v>#VALUE!</v>
      </c>
    </row>
    <row r="3560" spans="1:25" ht="15" x14ac:dyDescent="0.25">
      <c r="A3560" s="4">
        <v>3553</v>
      </c>
      <c r="C3560" s="41" t="s">
        <v>5910</v>
      </c>
      <c r="D3560" s="42"/>
      <c r="E3560" s="5" t="str">
        <f t="shared" si="70"/>
        <v>https://www.screener.in/company//consolidated/</v>
      </c>
      <c r="F3560" s="4">
        <v>443059</v>
      </c>
      <c r="G3560" s="4">
        <v>3832241897</v>
      </c>
      <c r="H3560" s="6" t="e">
        <f t="shared" ca="1" si="71"/>
        <v>#VALUE!</v>
      </c>
      <c r="I3560" s="7" t="str">
        <f ca="1">IFERROR(__xludf.DUMMYFUNCTION("IMPORTXML(E3560,""/html/body/main/div[3]/div[3]/div[2]/ul/li[5]/span[2]/span"")"),"Loading...")</f>
        <v>Loading...</v>
      </c>
      <c r="J3560" s="7" t="str">
        <f ca="1">IFERROR(__xludf.DUMMYFUNCTION("GOOGLEFINANCE(""NSE:""&amp;D3560,""marketcap"")"),"#N/A")</f>
        <v>#N/A</v>
      </c>
      <c r="K3560" s="7">
        <v>992.8</v>
      </c>
      <c r="L3560" s="8" t="str">
        <f ca="1">IFERROR(__xludf.DUMMYFUNCTION("GOOGLEFINANCE(""NSE:""&amp;D3560,""price"")"),"#N/A")</f>
        <v>#N/A</v>
      </c>
      <c r="M3560" s="9" t="e">
        <f t="shared" ca="1" si="72"/>
        <v>#VALUE!</v>
      </c>
      <c r="N3560" s="10" t="e">
        <f t="shared" ca="1" si="73"/>
        <v>#VALUE!</v>
      </c>
      <c r="O3560" s="7" t="str">
        <f ca="1">IFERROR(__xludf.DUMMYFUNCTION("GOOGLEFINANCE(""NSE:""&amp;D3560,""pe"")"),"#N/A")</f>
        <v>#N/A</v>
      </c>
      <c r="P3560" s="7" t="str">
        <f ca="1">IFERROR(__xludf.DUMMYFUNCTION("GOOGLEFINANCE(""NSE:""&amp;D3560,""EPS"")"),"#N/A")</f>
        <v>#N/A</v>
      </c>
      <c r="Q3560" s="7">
        <v>13.5</v>
      </c>
      <c r="R3560" s="7" t="str">
        <f ca="1">IFERROR(__xludf.DUMMYFUNCTION("IMPORTXML(E3560,""/html/body/main/div[3]/div[3]/div[2]/ul/li[7]/span[2]/span"")"),"Loading...")</f>
        <v>Loading...</v>
      </c>
      <c r="S3560" s="7" t="str">
        <f ca="1">IFERROR(__xludf.DUMMYFUNCTION("IMPORTXML(E3560,""/html/body/main/div[3]/div[3]/div[2]/ul/li[8]/span[2]/span"")"),"Loading...")</f>
        <v>Loading...</v>
      </c>
      <c r="T3560" s="4">
        <v>34.6</v>
      </c>
      <c r="U3560" s="4">
        <v>22.7</v>
      </c>
      <c r="V3560" s="4">
        <v>2.6</v>
      </c>
      <c r="W3560" s="4">
        <v>5.7</v>
      </c>
      <c r="X3560" s="4">
        <v>519.92999999999995</v>
      </c>
      <c r="Y3560" s="7" t="e">
        <f t="shared" ca="1" si="74"/>
        <v>#VALUE!</v>
      </c>
    </row>
    <row r="3561" spans="1:25" ht="15" x14ac:dyDescent="0.25">
      <c r="A3561" s="4">
        <v>3554</v>
      </c>
      <c r="C3561" s="41" t="s">
        <v>5911</v>
      </c>
      <c r="D3561" s="42"/>
      <c r="E3561" s="5" t="str">
        <f t="shared" si="70"/>
        <v>https://www.screener.in/company//consolidated/</v>
      </c>
      <c r="F3561" s="4">
        <v>443059</v>
      </c>
      <c r="G3561" s="4">
        <v>3832241897</v>
      </c>
      <c r="H3561" s="6" t="e">
        <f t="shared" ca="1" si="71"/>
        <v>#VALUE!</v>
      </c>
      <c r="I3561" s="7" t="str">
        <f ca="1">IFERROR(__xludf.DUMMYFUNCTION("IMPORTXML(E3561,""/html/body/main/div[3]/div[3]/div[2]/ul/li[5]/span[2]/span"")"),"Loading...")</f>
        <v>Loading...</v>
      </c>
      <c r="J3561" s="7" t="str">
        <f ca="1">IFERROR(__xludf.DUMMYFUNCTION("GOOGLEFINANCE(""NSE:""&amp;D3561,""marketcap"")"),"#N/A")</f>
        <v>#N/A</v>
      </c>
      <c r="K3561" s="7">
        <v>992.8</v>
      </c>
      <c r="L3561" s="8" t="str">
        <f ca="1">IFERROR(__xludf.DUMMYFUNCTION("GOOGLEFINANCE(""NSE:""&amp;D3561,""price"")"),"#N/A")</f>
        <v>#N/A</v>
      </c>
      <c r="M3561" s="9" t="e">
        <f t="shared" ca="1" si="72"/>
        <v>#VALUE!</v>
      </c>
      <c r="N3561" s="10" t="e">
        <f t="shared" ca="1" si="73"/>
        <v>#VALUE!</v>
      </c>
      <c r="O3561" s="7" t="str">
        <f ca="1">IFERROR(__xludf.DUMMYFUNCTION("GOOGLEFINANCE(""NSE:""&amp;D3561,""pe"")"),"#N/A")</f>
        <v>#N/A</v>
      </c>
      <c r="P3561" s="7" t="str">
        <f ca="1">IFERROR(__xludf.DUMMYFUNCTION("GOOGLEFINANCE(""NSE:""&amp;D3561,""EPS"")"),"#N/A")</f>
        <v>#N/A</v>
      </c>
      <c r="Q3561" s="7">
        <v>13.5</v>
      </c>
      <c r="R3561" s="7" t="str">
        <f ca="1">IFERROR(__xludf.DUMMYFUNCTION("IMPORTXML(E3561,""/html/body/main/div[3]/div[3]/div[2]/ul/li[7]/span[2]/span"")"),"Loading...")</f>
        <v>Loading...</v>
      </c>
      <c r="S3561" s="7" t="str">
        <f ca="1">IFERROR(__xludf.DUMMYFUNCTION("IMPORTXML(E3561,""/html/body/main/div[3]/div[3]/div[2]/ul/li[8]/span[2]/span"")"),"Loading...")</f>
        <v>Loading...</v>
      </c>
      <c r="T3561" s="4">
        <v>34.6</v>
      </c>
      <c r="U3561" s="4">
        <v>22.7</v>
      </c>
      <c r="V3561" s="4">
        <v>2.6</v>
      </c>
      <c r="W3561" s="4">
        <v>5.7</v>
      </c>
      <c r="X3561" s="4">
        <v>519.92999999999995</v>
      </c>
      <c r="Y3561" s="7" t="e">
        <f t="shared" ca="1" si="74"/>
        <v>#VALUE!</v>
      </c>
    </row>
    <row r="3562" spans="1:25" ht="15" x14ac:dyDescent="0.25">
      <c r="A3562" s="4">
        <v>3555</v>
      </c>
      <c r="C3562" s="41" t="s">
        <v>5912</v>
      </c>
      <c r="D3562" s="42"/>
      <c r="E3562" s="5" t="str">
        <f t="shared" si="70"/>
        <v>https://www.screener.in/company//consolidated/</v>
      </c>
      <c r="F3562" s="4">
        <v>443059</v>
      </c>
      <c r="G3562" s="4">
        <v>3832241897</v>
      </c>
      <c r="H3562" s="6" t="e">
        <f t="shared" ca="1" si="71"/>
        <v>#VALUE!</v>
      </c>
      <c r="I3562" s="7" t="str">
        <f ca="1">IFERROR(__xludf.DUMMYFUNCTION("IMPORTXML(E3562,""/html/body/main/div[3]/div[3]/div[2]/ul/li[5]/span[2]/span"")"),"Loading...")</f>
        <v>Loading...</v>
      </c>
      <c r="J3562" s="7" t="str">
        <f ca="1">IFERROR(__xludf.DUMMYFUNCTION("GOOGLEFINANCE(""NSE:""&amp;D3562,""marketcap"")"),"#N/A")</f>
        <v>#N/A</v>
      </c>
      <c r="K3562" s="7">
        <v>992.8</v>
      </c>
      <c r="L3562" s="8" t="str">
        <f ca="1">IFERROR(__xludf.DUMMYFUNCTION("GOOGLEFINANCE(""NSE:""&amp;D3562,""price"")"),"#N/A")</f>
        <v>#N/A</v>
      </c>
      <c r="M3562" s="9" t="e">
        <f t="shared" ca="1" si="72"/>
        <v>#VALUE!</v>
      </c>
      <c r="N3562" s="10" t="e">
        <f t="shared" ca="1" si="73"/>
        <v>#VALUE!</v>
      </c>
      <c r="O3562" s="7" t="str">
        <f ca="1">IFERROR(__xludf.DUMMYFUNCTION("GOOGLEFINANCE(""NSE:""&amp;D3562,""pe"")"),"#N/A")</f>
        <v>#N/A</v>
      </c>
      <c r="P3562" s="7" t="str">
        <f ca="1">IFERROR(__xludf.DUMMYFUNCTION("GOOGLEFINANCE(""NSE:""&amp;D3562,""EPS"")"),"#N/A")</f>
        <v>#N/A</v>
      </c>
      <c r="Q3562" s="7">
        <v>13.5</v>
      </c>
      <c r="R3562" s="7" t="str">
        <f ca="1">IFERROR(__xludf.DUMMYFUNCTION("IMPORTXML(E3562,""/html/body/main/div[3]/div[3]/div[2]/ul/li[7]/span[2]/span"")"),"Loading...")</f>
        <v>Loading...</v>
      </c>
      <c r="S3562" s="7" t="str">
        <f ca="1">IFERROR(__xludf.DUMMYFUNCTION("IMPORTXML(E3562,""/html/body/main/div[3]/div[3]/div[2]/ul/li[8]/span[2]/span"")"),"Loading...")</f>
        <v>Loading...</v>
      </c>
      <c r="T3562" s="4">
        <v>34.6</v>
      </c>
      <c r="U3562" s="4">
        <v>22.7</v>
      </c>
      <c r="V3562" s="4">
        <v>2.6</v>
      </c>
      <c r="W3562" s="4">
        <v>5.7</v>
      </c>
      <c r="X3562" s="4">
        <v>519.92999999999995</v>
      </c>
      <c r="Y3562" s="7" t="e">
        <f t="shared" ca="1" si="74"/>
        <v>#VALUE!</v>
      </c>
    </row>
    <row r="3563" spans="1:25" ht="15" x14ac:dyDescent="0.25">
      <c r="A3563" s="4">
        <v>3556</v>
      </c>
      <c r="C3563" s="41" t="s">
        <v>5913</v>
      </c>
      <c r="D3563" s="42"/>
      <c r="E3563" s="5" t="str">
        <f t="shared" si="70"/>
        <v>https://www.screener.in/company//consolidated/</v>
      </c>
      <c r="F3563" s="4">
        <v>443059</v>
      </c>
      <c r="G3563" s="4">
        <v>3832241897</v>
      </c>
      <c r="H3563" s="6" t="e">
        <f t="shared" ca="1" si="71"/>
        <v>#VALUE!</v>
      </c>
      <c r="I3563" s="7" t="str">
        <f ca="1">IFERROR(__xludf.DUMMYFUNCTION("IMPORTXML(E3563,""/html/body/main/div[3]/div[3]/div[2]/ul/li[5]/span[2]/span"")"),"Loading...")</f>
        <v>Loading...</v>
      </c>
      <c r="J3563" s="7" t="str">
        <f ca="1">IFERROR(__xludf.DUMMYFUNCTION("GOOGLEFINANCE(""NSE:""&amp;D3563,""marketcap"")"),"#N/A")</f>
        <v>#N/A</v>
      </c>
      <c r="K3563" s="7">
        <v>992.8</v>
      </c>
      <c r="L3563" s="8" t="str">
        <f ca="1">IFERROR(__xludf.DUMMYFUNCTION("GOOGLEFINANCE(""NSE:""&amp;D3563,""price"")"),"#N/A")</f>
        <v>#N/A</v>
      </c>
      <c r="M3563" s="9" t="e">
        <f t="shared" ca="1" si="72"/>
        <v>#VALUE!</v>
      </c>
      <c r="N3563" s="10" t="e">
        <f t="shared" ca="1" si="73"/>
        <v>#VALUE!</v>
      </c>
      <c r="O3563" s="7" t="str">
        <f ca="1">IFERROR(__xludf.DUMMYFUNCTION("GOOGLEFINANCE(""NSE:""&amp;D3563,""pe"")"),"#N/A")</f>
        <v>#N/A</v>
      </c>
      <c r="P3563" s="7" t="str">
        <f ca="1">IFERROR(__xludf.DUMMYFUNCTION("GOOGLEFINANCE(""NSE:""&amp;D3563,""EPS"")"),"#N/A")</f>
        <v>#N/A</v>
      </c>
      <c r="Q3563" s="7">
        <v>13.5</v>
      </c>
      <c r="R3563" s="7" t="str">
        <f ca="1">IFERROR(__xludf.DUMMYFUNCTION("IMPORTXML(E3563,""/html/body/main/div[3]/div[3]/div[2]/ul/li[7]/span[2]/span"")"),"Loading...")</f>
        <v>Loading...</v>
      </c>
      <c r="S3563" s="7" t="str">
        <f ca="1">IFERROR(__xludf.DUMMYFUNCTION("IMPORTXML(E3563,""/html/body/main/div[3]/div[3]/div[2]/ul/li[8]/span[2]/span"")"),"Loading...")</f>
        <v>Loading...</v>
      </c>
      <c r="T3563" s="4">
        <v>34.6</v>
      </c>
      <c r="U3563" s="4">
        <v>22.7</v>
      </c>
      <c r="V3563" s="4">
        <v>2.6</v>
      </c>
      <c r="W3563" s="4">
        <v>5.7</v>
      </c>
      <c r="X3563" s="4">
        <v>519.92999999999995</v>
      </c>
      <c r="Y3563" s="7" t="e">
        <f t="shared" ca="1" si="74"/>
        <v>#VALUE!</v>
      </c>
    </row>
    <row r="3564" spans="1:25" ht="15" x14ac:dyDescent="0.25">
      <c r="A3564" s="4">
        <v>3557</v>
      </c>
      <c r="C3564" s="41" t="s">
        <v>5914</v>
      </c>
      <c r="D3564" s="42"/>
      <c r="E3564" s="5" t="str">
        <f t="shared" si="70"/>
        <v>https://www.screener.in/company//consolidated/</v>
      </c>
      <c r="F3564" s="4">
        <v>443059</v>
      </c>
      <c r="G3564" s="4">
        <v>3832241897</v>
      </c>
      <c r="H3564" s="6" t="e">
        <f t="shared" ca="1" si="71"/>
        <v>#VALUE!</v>
      </c>
      <c r="I3564" s="7" t="str">
        <f ca="1">IFERROR(__xludf.DUMMYFUNCTION("IMPORTXML(E3564,""/html/body/main/div[3]/div[3]/div[2]/ul/li[5]/span[2]/span"")"),"Loading...")</f>
        <v>Loading...</v>
      </c>
      <c r="J3564" s="7" t="str">
        <f ca="1">IFERROR(__xludf.DUMMYFUNCTION("GOOGLEFINANCE(""NSE:""&amp;D3564,""marketcap"")"),"#N/A")</f>
        <v>#N/A</v>
      </c>
      <c r="K3564" s="7">
        <v>992.8</v>
      </c>
      <c r="L3564" s="8" t="str">
        <f ca="1">IFERROR(__xludf.DUMMYFUNCTION("GOOGLEFINANCE(""NSE:""&amp;D3564,""price"")"),"#N/A")</f>
        <v>#N/A</v>
      </c>
      <c r="M3564" s="9" t="e">
        <f t="shared" ca="1" si="72"/>
        <v>#VALUE!</v>
      </c>
      <c r="N3564" s="10" t="e">
        <f t="shared" ca="1" si="73"/>
        <v>#VALUE!</v>
      </c>
      <c r="O3564" s="7" t="str">
        <f ca="1">IFERROR(__xludf.DUMMYFUNCTION("GOOGLEFINANCE(""NSE:""&amp;D3564,""pe"")"),"#N/A")</f>
        <v>#N/A</v>
      </c>
      <c r="P3564" s="7" t="str">
        <f ca="1">IFERROR(__xludf.DUMMYFUNCTION("GOOGLEFINANCE(""NSE:""&amp;D3564,""EPS"")"),"#N/A")</f>
        <v>#N/A</v>
      </c>
      <c r="Q3564" s="7">
        <v>13.5</v>
      </c>
      <c r="R3564" s="7" t="str">
        <f ca="1">IFERROR(__xludf.DUMMYFUNCTION("IMPORTXML(E3564,""/html/body/main/div[3]/div[3]/div[2]/ul/li[7]/span[2]/span"")"),"Loading...")</f>
        <v>Loading...</v>
      </c>
      <c r="S3564" s="7" t="str">
        <f ca="1">IFERROR(__xludf.DUMMYFUNCTION("IMPORTXML(E3564,""/html/body/main/div[3]/div[3]/div[2]/ul/li[8]/span[2]/span"")"),"Loading...")</f>
        <v>Loading...</v>
      </c>
      <c r="T3564" s="4">
        <v>34.6</v>
      </c>
      <c r="U3564" s="4">
        <v>22.7</v>
      </c>
      <c r="V3564" s="4">
        <v>2.6</v>
      </c>
      <c r="W3564" s="4">
        <v>5.7</v>
      </c>
      <c r="X3564" s="4">
        <v>519.92999999999995</v>
      </c>
      <c r="Y3564" s="7" t="e">
        <f t="shared" ca="1" si="74"/>
        <v>#VALUE!</v>
      </c>
    </row>
    <row r="3565" spans="1:25" ht="15" x14ac:dyDescent="0.25">
      <c r="A3565" s="4">
        <v>3558</v>
      </c>
      <c r="C3565" s="41" t="s">
        <v>5915</v>
      </c>
      <c r="D3565" s="42"/>
      <c r="E3565" s="5" t="str">
        <f t="shared" si="70"/>
        <v>https://www.screener.in/company//consolidated/</v>
      </c>
      <c r="F3565" s="4">
        <v>443059</v>
      </c>
      <c r="G3565" s="4">
        <v>3832241897</v>
      </c>
      <c r="H3565" s="6" t="e">
        <f t="shared" ca="1" si="71"/>
        <v>#VALUE!</v>
      </c>
      <c r="I3565" s="7" t="str">
        <f ca="1">IFERROR(__xludf.DUMMYFUNCTION("IMPORTXML(E3565,""/html/body/main/div[3]/div[3]/div[2]/ul/li[5]/span[2]/span"")"),"Loading...")</f>
        <v>Loading...</v>
      </c>
      <c r="J3565" s="7" t="str">
        <f ca="1">IFERROR(__xludf.DUMMYFUNCTION("GOOGLEFINANCE(""NSE:""&amp;D3565,""marketcap"")"),"#N/A")</f>
        <v>#N/A</v>
      </c>
      <c r="K3565" s="7">
        <v>992.8</v>
      </c>
      <c r="L3565" s="8" t="str">
        <f ca="1">IFERROR(__xludf.DUMMYFUNCTION("GOOGLEFINANCE(""NSE:""&amp;D3565,""price"")"),"#N/A")</f>
        <v>#N/A</v>
      </c>
      <c r="M3565" s="9" t="e">
        <f t="shared" ca="1" si="72"/>
        <v>#VALUE!</v>
      </c>
      <c r="N3565" s="10" t="e">
        <f t="shared" ca="1" si="73"/>
        <v>#VALUE!</v>
      </c>
      <c r="O3565" s="7" t="str">
        <f ca="1">IFERROR(__xludf.DUMMYFUNCTION("GOOGLEFINANCE(""NSE:""&amp;D3565,""pe"")"),"#N/A")</f>
        <v>#N/A</v>
      </c>
      <c r="P3565" s="7" t="str">
        <f ca="1">IFERROR(__xludf.DUMMYFUNCTION("GOOGLEFINANCE(""NSE:""&amp;D3565,""EPS"")"),"#N/A")</f>
        <v>#N/A</v>
      </c>
      <c r="Q3565" s="7">
        <v>13.5</v>
      </c>
      <c r="R3565" s="7" t="str">
        <f ca="1">IFERROR(__xludf.DUMMYFUNCTION("IMPORTXML(E3565,""/html/body/main/div[3]/div[3]/div[2]/ul/li[7]/span[2]/span"")"),"Loading...")</f>
        <v>Loading...</v>
      </c>
      <c r="S3565" s="7" t="str">
        <f ca="1">IFERROR(__xludf.DUMMYFUNCTION("IMPORTXML(E3565,""/html/body/main/div[3]/div[3]/div[2]/ul/li[8]/span[2]/span"")"),"Loading...")</f>
        <v>Loading...</v>
      </c>
      <c r="T3565" s="4">
        <v>34.6</v>
      </c>
      <c r="U3565" s="4">
        <v>22.7</v>
      </c>
      <c r="V3565" s="4">
        <v>2.6</v>
      </c>
      <c r="W3565" s="4">
        <v>5.7</v>
      </c>
      <c r="X3565" s="4">
        <v>519.92999999999995</v>
      </c>
      <c r="Y3565" s="7" t="e">
        <f t="shared" ca="1" si="74"/>
        <v>#VALUE!</v>
      </c>
    </row>
    <row r="3566" spans="1:25" ht="15" x14ac:dyDescent="0.25">
      <c r="A3566" s="4">
        <v>3560</v>
      </c>
      <c r="C3566" s="12" t="s">
        <v>5916</v>
      </c>
      <c r="D3566" s="12" t="s">
        <v>5917</v>
      </c>
      <c r="E3566" s="5" t="str">
        <f t="shared" si="70"/>
        <v>https://www.screener.in/company/BOHRAIND/consolidated/</v>
      </c>
      <c r="F3566" s="4">
        <v>443059</v>
      </c>
      <c r="G3566" s="4">
        <v>3832241897</v>
      </c>
      <c r="H3566" s="6">
        <f t="shared" ca="1" si="71"/>
        <v>9193.5483109029992</v>
      </c>
      <c r="I3566" s="7" t="str">
        <f ca="1">IFERROR(__xludf.DUMMYFUNCTION("IMPORTXML(E3566,""/html/body/main/div[3]/div[3]/div[2]/ul/li[5]/span[2]/span"")"),"Loading...")</f>
        <v>Loading...</v>
      </c>
      <c r="J3566" s="7">
        <f ca="1">IFERROR(__xludf.DUMMYFUNCTION("GOOGLEFINANCE(""NSE:""&amp;D3566,""marketcap"")"),507919873)</f>
        <v>507919873</v>
      </c>
      <c r="K3566" s="7">
        <v>992.8</v>
      </c>
      <c r="L3566" s="8">
        <f ca="1">IFERROR(__xludf.DUMMYFUNCTION("GOOGLEFINANCE(""NSE:""&amp;D3566,""price"")"),23.99)</f>
        <v>23.99</v>
      </c>
      <c r="M3566" s="9">
        <f t="shared" ca="1" si="72"/>
        <v>-968.81</v>
      </c>
      <c r="N3566" s="10">
        <f t="shared" ca="1" si="73"/>
        <v>-97.583601933924257</v>
      </c>
      <c r="O3566" s="7" t="str">
        <f ca="1">IFERROR(__xludf.DUMMYFUNCTION("GOOGLEFINANCE(""NSE:""&amp;D3566,""pe"")"),"#N/A")</f>
        <v>#N/A</v>
      </c>
      <c r="P3566" s="7">
        <f ca="1">IFERROR(__xludf.DUMMYFUNCTION("GOOGLEFINANCE(""NSE:""&amp;D3566,""EPS"")"),-2.5)</f>
        <v>-2.5</v>
      </c>
      <c r="Q3566" s="7">
        <v>13.5</v>
      </c>
      <c r="R3566" s="7" t="str">
        <f ca="1">IFERROR(__xludf.DUMMYFUNCTION("IMPORTXML(E3566,""/html/body/main/div[3]/div[3]/div[2]/ul/li[7]/span[2]/span"")"),"Loading...")</f>
        <v>Loading...</v>
      </c>
      <c r="S3566" s="7" t="str">
        <f ca="1">IFERROR(__xludf.DUMMYFUNCTION("IMPORTXML(E3566,""/html/body/main/div[3]/div[3]/div[2]/ul/li[8]/span[2]/span"")"),"Loading...")</f>
        <v>Loading...</v>
      </c>
      <c r="T3566" s="4">
        <v>34.6</v>
      </c>
      <c r="U3566" s="4">
        <v>22.7</v>
      </c>
      <c r="V3566" s="4">
        <v>2.6</v>
      </c>
      <c r="W3566" s="4">
        <v>5.7</v>
      </c>
      <c r="X3566" s="4">
        <v>519.92999999999995</v>
      </c>
      <c r="Y3566" s="7">
        <f t="shared" ca="1" si="74"/>
        <v>-495.93999999999994</v>
      </c>
    </row>
    <row r="3567" spans="1:25" ht="15" x14ac:dyDescent="0.25">
      <c r="A3567" s="4">
        <v>3561</v>
      </c>
      <c r="C3567" s="12" t="s">
        <v>5918</v>
      </c>
      <c r="D3567" s="12" t="s">
        <v>5919</v>
      </c>
      <c r="E3567" s="5" t="str">
        <f t="shared" si="70"/>
        <v>https://www.screener.in/company/SHYAMTEL/consolidated/</v>
      </c>
      <c r="F3567" s="4">
        <v>443059</v>
      </c>
      <c r="G3567" s="4">
        <v>3832241897</v>
      </c>
      <c r="H3567" s="6">
        <f t="shared" ca="1" si="71"/>
        <v>5330.6484787270001</v>
      </c>
      <c r="I3567" s="7" t="str">
        <f ca="1">IFERROR(__xludf.DUMMYFUNCTION("IMPORTXML(E3567,""/html/body/main/div[3]/div[3]/div[2]/ul/li[5]/span[2]/span"")"),"Loading...")</f>
        <v>Loading...</v>
      </c>
      <c r="J3567" s="7">
        <f ca="1">IFERROR(__xludf.DUMMYFUNCTION("GOOGLEFINANCE(""NSE:""&amp;D3567,""marketcap"")"),156765700)</f>
        <v>156765700</v>
      </c>
      <c r="K3567" s="7">
        <v>992.8</v>
      </c>
      <c r="L3567" s="8">
        <f ca="1">IFERROR(__xludf.DUMMYFUNCTION("GOOGLEFINANCE(""NSE:""&amp;D3567,""price"")"),13.91)</f>
        <v>13.91</v>
      </c>
      <c r="M3567" s="9">
        <f t="shared" ca="1" si="72"/>
        <v>-978.89</v>
      </c>
      <c r="N3567" s="10">
        <f t="shared" ca="1" si="73"/>
        <v>-98.59891216760677</v>
      </c>
      <c r="O3567" s="7" t="str">
        <f ca="1">IFERROR(__xludf.DUMMYFUNCTION("GOOGLEFINANCE(""NSE:""&amp;D3567,""pe"")"),"#N/A")</f>
        <v>#N/A</v>
      </c>
      <c r="P3567" s="7">
        <f ca="1">IFERROR(__xludf.DUMMYFUNCTION("GOOGLEFINANCE(""NSE:""&amp;D3567,""EPS"")"),-4.76)</f>
        <v>-4.76</v>
      </c>
      <c r="Q3567" s="7">
        <v>13.5</v>
      </c>
      <c r="R3567" s="7" t="str">
        <f ca="1">IFERROR(__xludf.DUMMYFUNCTION("IMPORTXML(E3567,""/html/body/main/div[3]/div[3]/div[2]/ul/li[7]/span[2]/span"")"),"Loading...")</f>
        <v>Loading...</v>
      </c>
      <c r="S3567" s="7" t="str">
        <f ca="1">IFERROR(__xludf.DUMMYFUNCTION("IMPORTXML(E3567,""/html/body/main/div[3]/div[3]/div[2]/ul/li[8]/span[2]/span"")"),"Loading...")</f>
        <v>Loading...</v>
      </c>
      <c r="T3567" s="4">
        <v>34.6</v>
      </c>
      <c r="U3567" s="4">
        <v>22.7</v>
      </c>
      <c r="V3567" s="4">
        <v>2.6</v>
      </c>
      <c r="W3567" s="4">
        <v>5.7</v>
      </c>
      <c r="X3567" s="4">
        <v>519.92999999999995</v>
      </c>
      <c r="Y3567" s="7">
        <f t="shared" ca="1" si="74"/>
        <v>-506.01999999999992</v>
      </c>
    </row>
    <row r="3568" spans="1:25" ht="15" x14ac:dyDescent="0.25">
      <c r="A3568" s="4">
        <v>3562</v>
      </c>
      <c r="C3568" s="41" t="s">
        <v>5920</v>
      </c>
      <c r="D3568" s="42"/>
      <c r="E3568" s="5" t="str">
        <f t="shared" si="70"/>
        <v>https://www.screener.in/company//consolidated/</v>
      </c>
      <c r="F3568" s="4">
        <v>443059</v>
      </c>
      <c r="G3568" s="4">
        <v>3832241897</v>
      </c>
      <c r="H3568" s="6" t="e">
        <f t="shared" ca="1" si="71"/>
        <v>#VALUE!</v>
      </c>
      <c r="I3568" s="7" t="str">
        <f ca="1">IFERROR(__xludf.DUMMYFUNCTION("IMPORTXML(E3568,""/html/body/main/div[3]/div[3]/div[2]/ul/li[5]/span[2]/span"")"),"Loading...")</f>
        <v>Loading...</v>
      </c>
      <c r="J3568" s="7" t="str">
        <f ca="1">IFERROR(__xludf.DUMMYFUNCTION("GOOGLEFINANCE(""NSE:""&amp;D3568,""marketcap"")"),"#N/A")</f>
        <v>#N/A</v>
      </c>
      <c r="K3568" s="7">
        <v>992.8</v>
      </c>
      <c r="L3568" s="8" t="str">
        <f ca="1">IFERROR(__xludf.DUMMYFUNCTION("GOOGLEFINANCE(""NSE:""&amp;D3568,""price"")"),"#N/A")</f>
        <v>#N/A</v>
      </c>
      <c r="M3568" s="9" t="e">
        <f t="shared" ca="1" si="72"/>
        <v>#VALUE!</v>
      </c>
      <c r="N3568" s="10" t="e">
        <f t="shared" ca="1" si="73"/>
        <v>#VALUE!</v>
      </c>
      <c r="O3568" s="7" t="str">
        <f ca="1">IFERROR(__xludf.DUMMYFUNCTION("GOOGLEFINANCE(""NSE:""&amp;D3568,""pe"")"),"#N/A")</f>
        <v>#N/A</v>
      </c>
      <c r="P3568" s="7" t="str">
        <f ca="1">IFERROR(__xludf.DUMMYFUNCTION("GOOGLEFINANCE(""NSE:""&amp;D3568,""EPS"")"),"#N/A")</f>
        <v>#N/A</v>
      </c>
      <c r="Q3568" s="7">
        <v>13.5</v>
      </c>
      <c r="R3568" s="7" t="str">
        <f ca="1">IFERROR(__xludf.DUMMYFUNCTION("IMPORTXML(E3568,""/html/body/main/div[3]/div[3]/div[2]/ul/li[7]/span[2]/span"")"),"Loading...")</f>
        <v>Loading...</v>
      </c>
      <c r="S3568" s="7" t="str">
        <f ca="1">IFERROR(__xludf.DUMMYFUNCTION("IMPORTXML(E3568,""/html/body/main/div[3]/div[3]/div[2]/ul/li[8]/span[2]/span"")"),"Loading...")</f>
        <v>Loading...</v>
      </c>
      <c r="T3568" s="4">
        <v>34.6</v>
      </c>
      <c r="U3568" s="4">
        <v>22.7</v>
      </c>
      <c r="V3568" s="4">
        <v>2.6</v>
      </c>
      <c r="W3568" s="4">
        <v>5.7</v>
      </c>
      <c r="X3568" s="4">
        <v>519.92999999999995</v>
      </c>
      <c r="Y3568" s="7" t="e">
        <f t="shared" ca="1" si="74"/>
        <v>#VALUE!</v>
      </c>
    </row>
    <row r="3569" spans="1:25" ht="15" x14ac:dyDescent="0.25">
      <c r="A3569" s="4">
        <v>3563</v>
      </c>
      <c r="C3569" s="41" t="s">
        <v>5921</v>
      </c>
      <c r="D3569" s="42"/>
      <c r="E3569" s="5" t="str">
        <f t="shared" si="70"/>
        <v>https://www.screener.in/company//consolidated/</v>
      </c>
      <c r="F3569" s="4">
        <v>443059</v>
      </c>
      <c r="G3569" s="4">
        <v>3832241897</v>
      </c>
      <c r="H3569" s="6" t="e">
        <f t="shared" ca="1" si="71"/>
        <v>#VALUE!</v>
      </c>
      <c r="I3569" s="7" t="str">
        <f ca="1">IFERROR(__xludf.DUMMYFUNCTION("IMPORTXML(E3569,""/html/body/main/div[3]/div[3]/div[2]/ul/li[5]/span[2]/span"")"),"Loading...")</f>
        <v>Loading...</v>
      </c>
      <c r="J3569" s="7" t="str">
        <f ca="1">IFERROR(__xludf.DUMMYFUNCTION("GOOGLEFINANCE(""NSE:""&amp;D3569,""marketcap"")"),"#N/A")</f>
        <v>#N/A</v>
      </c>
      <c r="K3569" s="7">
        <v>992.8</v>
      </c>
      <c r="L3569" s="8" t="str">
        <f ca="1">IFERROR(__xludf.DUMMYFUNCTION("GOOGLEFINANCE(""NSE:""&amp;D3569,""price"")"),"#N/A")</f>
        <v>#N/A</v>
      </c>
      <c r="M3569" s="9" t="e">
        <f t="shared" ca="1" si="72"/>
        <v>#VALUE!</v>
      </c>
      <c r="N3569" s="10" t="e">
        <f t="shared" ca="1" si="73"/>
        <v>#VALUE!</v>
      </c>
      <c r="O3569" s="7" t="str">
        <f ca="1">IFERROR(__xludf.DUMMYFUNCTION("GOOGLEFINANCE(""NSE:""&amp;D3569,""pe"")"),"#N/A")</f>
        <v>#N/A</v>
      </c>
      <c r="P3569" s="7" t="str">
        <f ca="1">IFERROR(__xludf.DUMMYFUNCTION("GOOGLEFINANCE(""NSE:""&amp;D3569,""EPS"")"),"#N/A")</f>
        <v>#N/A</v>
      </c>
      <c r="Q3569" s="7">
        <v>13.5</v>
      </c>
      <c r="R3569" s="7" t="str">
        <f ca="1">IFERROR(__xludf.DUMMYFUNCTION("IMPORTXML(E3569,""/html/body/main/div[3]/div[3]/div[2]/ul/li[7]/span[2]/span"")"),"Loading...")</f>
        <v>Loading...</v>
      </c>
      <c r="S3569" s="7" t="str">
        <f ca="1">IFERROR(__xludf.DUMMYFUNCTION("IMPORTXML(E3569,""/html/body/main/div[3]/div[3]/div[2]/ul/li[8]/span[2]/span"")"),"Loading...")</f>
        <v>Loading...</v>
      </c>
      <c r="T3569" s="4">
        <v>34.6</v>
      </c>
      <c r="U3569" s="4">
        <v>22.7</v>
      </c>
      <c r="V3569" s="4">
        <v>2.6</v>
      </c>
      <c r="W3569" s="4">
        <v>5.7</v>
      </c>
      <c r="X3569" s="4">
        <v>519.92999999999995</v>
      </c>
      <c r="Y3569" s="7" t="e">
        <f t="shared" ca="1" si="74"/>
        <v>#VALUE!</v>
      </c>
    </row>
    <row r="3570" spans="1:25" ht="15" x14ac:dyDescent="0.25">
      <c r="A3570" s="4">
        <v>3564</v>
      </c>
      <c r="C3570" s="41" t="s">
        <v>5922</v>
      </c>
      <c r="D3570" s="42"/>
      <c r="E3570" s="5" t="str">
        <f t="shared" si="70"/>
        <v>https://www.screener.in/company//consolidated/</v>
      </c>
      <c r="F3570" s="4">
        <v>443059</v>
      </c>
      <c r="G3570" s="4">
        <v>3832241897</v>
      </c>
      <c r="H3570" s="6" t="e">
        <f t="shared" ca="1" si="71"/>
        <v>#VALUE!</v>
      </c>
      <c r="I3570" s="7" t="str">
        <f ca="1">IFERROR(__xludf.DUMMYFUNCTION("IMPORTXML(E3570,""/html/body/main/div[3]/div[3]/div[2]/ul/li[5]/span[2]/span"")"),"Loading...")</f>
        <v>Loading...</v>
      </c>
      <c r="J3570" s="7" t="str">
        <f ca="1">IFERROR(__xludf.DUMMYFUNCTION("GOOGLEFINANCE(""NSE:""&amp;D3570,""marketcap"")"),"#N/A")</f>
        <v>#N/A</v>
      </c>
      <c r="K3570" s="7">
        <v>992.8</v>
      </c>
      <c r="L3570" s="8" t="str">
        <f ca="1">IFERROR(__xludf.DUMMYFUNCTION("GOOGLEFINANCE(""NSE:""&amp;D3570,""price"")"),"#N/A")</f>
        <v>#N/A</v>
      </c>
      <c r="M3570" s="9" t="e">
        <f t="shared" ca="1" si="72"/>
        <v>#VALUE!</v>
      </c>
      <c r="N3570" s="10" t="e">
        <f t="shared" ca="1" si="73"/>
        <v>#VALUE!</v>
      </c>
      <c r="O3570" s="7" t="str">
        <f ca="1">IFERROR(__xludf.DUMMYFUNCTION("GOOGLEFINANCE(""NSE:""&amp;D3570,""pe"")"),"#N/A")</f>
        <v>#N/A</v>
      </c>
      <c r="P3570" s="7" t="str">
        <f ca="1">IFERROR(__xludf.DUMMYFUNCTION("GOOGLEFINANCE(""NSE:""&amp;D3570,""EPS"")"),"#N/A")</f>
        <v>#N/A</v>
      </c>
      <c r="Q3570" s="7">
        <v>13.5</v>
      </c>
      <c r="R3570" s="7" t="str">
        <f ca="1">IFERROR(__xludf.DUMMYFUNCTION("IMPORTXML(E3570,""/html/body/main/div[3]/div[3]/div[2]/ul/li[7]/span[2]/span"")"),"Loading...")</f>
        <v>Loading...</v>
      </c>
      <c r="S3570" s="7" t="str">
        <f ca="1">IFERROR(__xludf.DUMMYFUNCTION("IMPORTXML(E3570,""/html/body/main/div[3]/div[3]/div[2]/ul/li[8]/span[2]/span"")"),"Loading...")</f>
        <v>Loading...</v>
      </c>
      <c r="T3570" s="4">
        <v>34.6</v>
      </c>
      <c r="U3570" s="4">
        <v>22.7</v>
      </c>
      <c r="V3570" s="4">
        <v>2.6</v>
      </c>
      <c r="W3570" s="4">
        <v>5.7</v>
      </c>
      <c r="X3570" s="4">
        <v>519.92999999999995</v>
      </c>
      <c r="Y3570" s="7" t="e">
        <f t="shared" ca="1" si="74"/>
        <v>#VALUE!</v>
      </c>
    </row>
    <row r="3571" spans="1:25" ht="15" x14ac:dyDescent="0.25">
      <c r="A3571" s="4">
        <v>3565</v>
      </c>
      <c r="C3571" s="41" t="s">
        <v>5923</v>
      </c>
      <c r="D3571" s="42"/>
      <c r="E3571" s="5" t="str">
        <f t="shared" si="70"/>
        <v>https://www.screener.in/company//consolidated/</v>
      </c>
      <c r="F3571" s="4">
        <v>443059</v>
      </c>
      <c r="G3571" s="4">
        <v>3832241897</v>
      </c>
      <c r="H3571" s="6" t="e">
        <f t="shared" ca="1" si="71"/>
        <v>#VALUE!</v>
      </c>
      <c r="I3571" s="7" t="str">
        <f ca="1">IFERROR(__xludf.DUMMYFUNCTION("IMPORTXML(E3571,""/html/body/main/div[3]/div[3]/div[2]/ul/li[5]/span[2]/span"")"),"Loading...")</f>
        <v>Loading...</v>
      </c>
      <c r="J3571" s="7" t="str">
        <f ca="1">IFERROR(__xludf.DUMMYFUNCTION("GOOGLEFINANCE(""NSE:""&amp;D3571,""marketcap"")"),"#N/A")</f>
        <v>#N/A</v>
      </c>
      <c r="K3571" s="7">
        <v>992.8</v>
      </c>
      <c r="L3571" s="8" t="str">
        <f ca="1">IFERROR(__xludf.DUMMYFUNCTION("GOOGLEFINANCE(""NSE:""&amp;D3571,""price"")"),"#N/A")</f>
        <v>#N/A</v>
      </c>
      <c r="M3571" s="9" t="e">
        <f t="shared" ca="1" si="72"/>
        <v>#VALUE!</v>
      </c>
      <c r="N3571" s="10" t="e">
        <f t="shared" ca="1" si="73"/>
        <v>#VALUE!</v>
      </c>
      <c r="O3571" s="7" t="str">
        <f ca="1">IFERROR(__xludf.DUMMYFUNCTION("GOOGLEFINANCE(""NSE:""&amp;D3571,""pe"")"),"#N/A")</f>
        <v>#N/A</v>
      </c>
      <c r="P3571" s="7" t="str">
        <f ca="1">IFERROR(__xludf.DUMMYFUNCTION("GOOGLEFINANCE(""NSE:""&amp;D3571,""EPS"")"),"#N/A")</f>
        <v>#N/A</v>
      </c>
      <c r="Q3571" s="7">
        <v>13.5</v>
      </c>
      <c r="R3571" s="7" t="str">
        <f ca="1">IFERROR(__xludf.DUMMYFUNCTION("IMPORTXML(E3571,""/html/body/main/div[3]/div[3]/div[2]/ul/li[7]/span[2]/span"")"),"Loading...")</f>
        <v>Loading...</v>
      </c>
      <c r="S3571" s="7" t="str">
        <f ca="1">IFERROR(__xludf.DUMMYFUNCTION("IMPORTXML(E3571,""/html/body/main/div[3]/div[3]/div[2]/ul/li[8]/span[2]/span"")"),"Loading...")</f>
        <v>Loading...</v>
      </c>
      <c r="T3571" s="4">
        <v>34.6</v>
      </c>
      <c r="U3571" s="4">
        <v>22.7</v>
      </c>
      <c r="V3571" s="4">
        <v>2.6</v>
      </c>
      <c r="W3571" s="4">
        <v>5.7</v>
      </c>
      <c r="X3571" s="4">
        <v>519.92999999999995</v>
      </c>
      <c r="Y3571" s="7" t="e">
        <f t="shared" ca="1" si="74"/>
        <v>#VALUE!</v>
      </c>
    </row>
    <row r="3572" spans="1:25" ht="15" x14ac:dyDescent="0.25">
      <c r="A3572" s="4">
        <v>3566</v>
      </c>
      <c r="C3572" s="41" t="s">
        <v>5924</v>
      </c>
      <c r="D3572" s="42"/>
      <c r="E3572" s="5" t="str">
        <f t="shared" si="70"/>
        <v>https://www.screener.in/company//consolidated/</v>
      </c>
      <c r="F3572" s="4">
        <v>443059</v>
      </c>
      <c r="G3572" s="4">
        <v>3832241897</v>
      </c>
      <c r="H3572" s="6" t="e">
        <f t="shared" ca="1" si="71"/>
        <v>#VALUE!</v>
      </c>
      <c r="I3572" s="7" t="str">
        <f ca="1">IFERROR(__xludf.DUMMYFUNCTION("IMPORTXML(E3572,""/html/body/main/div[3]/div[3]/div[2]/ul/li[5]/span[2]/span"")"),"Loading...")</f>
        <v>Loading...</v>
      </c>
      <c r="J3572" s="7" t="str">
        <f ca="1">IFERROR(__xludf.DUMMYFUNCTION("GOOGLEFINANCE(""NSE:""&amp;D3572,""marketcap"")"),"#N/A")</f>
        <v>#N/A</v>
      </c>
      <c r="K3572" s="7">
        <v>992.8</v>
      </c>
      <c r="L3572" s="8" t="str">
        <f ca="1">IFERROR(__xludf.DUMMYFUNCTION("GOOGLEFINANCE(""NSE:""&amp;D3572,""price"")"),"#N/A")</f>
        <v>#N/A</v>
      </c>
      <c r="M3572" s="9" t="e">
        <f t="shared" ca="1" si="72"/>
        <v>#VALUE!</v>
      </c>
      <c r="N3572" s="10" t="e">
        <f t="shared" ca="1" si="73"/>
        <v>#VALUE!</v>
      </c>
      <c r="O3572" s="7" t="str">
        <f ca="1">IFERROR(__xludf.DUMMYFUNCTION("GOOGLEFINANCE(""NSE:""&amp;D3572,""pe"")"),"#N/A")</f>
        <v>#N/A</v>
      </c>
      <c r="P3572" s="7" t="str">
        <f ca="1">IFERROR(__xludf.DUMMYFUNCTION("GOOGLEFINANCE(""NSE:""&amp;D3572,""EPS"")"),"#N/A")</f>
        <v>#N/A</v>
      </c>
      <c r="Q3572" s="7">
        <v>13.5</v>
      </c>
      <c r="R3572" s="7" t="str">
        <f ca="1">IFERROR(__xludf.DUMMYFUNCTION("IMPORTXML(E3572,""/html/body/main/div[3]/div[3]/div[2]/ul/li[7]/span[2]/span"")"),"Loading...")</f>
        <v>Loading...</v>
      </c>
      <c r="S3572" s="7" t="str">
        <f ca="1">IFERROR(__xludf.DUMMYFUNCTION("IMPORTXML(E3572,""/html/body/main/div[3]/div[3]/div[2]/ul/li[8]/span[2]/span"")"),"Loading...")</f>
        <v>Loading...</v>
      </c>
      <c r="T3572" s="4">
        <v>34.6</v>
      </c>
      <c r="U3572" s="4">
        <v>22.7</v>
      </c>
      <c r="V3572" s="4">
        <v>2.6</v>
      </c>
      <c r="W3572" s="4">
        <v>5.7</v>
      </c>
      <c r="X3572" s="4">
        <v>519.92999999999995</v>
      </c>
      <c r="Y3572" s="7" t="e">
        <f t="shared" ca="1" si="74"/>
        <v>#VALUE!</v>
      </c>
    </row>
    <row r="3573" spans="1:25" ht="15" x14ac:dyDescent="0.25">
      <c r="A3573" s="4">
        <v>3567</v>
      </c>
      <c r="C3573" s="41" t="s">
        <v>5925</v>
      </c>
      <c r="D3573" s="42"/>
      <c r="E3573" s="5" t="str">
        <f t="shared" si="70"/>
        <v>https://www.screener.in/company//consolidated/</v>
      </c>
      <c r="F3573" s="4">
        <v>443059</v>
      </c>
      <c r="G3573" s="4">
        <v>3832241897</v>
      </c>
      <c r="H3573" s="6" t="e">
        <f t="shared" ca="1" si="71"/>
        <v>#VALUE!</v>
      </c>
      <c r="I3573" s="7" t="str">
        <f ca="1">IFERROR(__xludf.DUMMYFUNCTION("IMPORTXML(E3573,""/html/body/main/div[3]/div[3]/div[2]/ul/li[5]/span[2]/span"")"),"Loading...")</f>
        <v>Loading...</v>
      </c>
      <c r="J3573" s="7" t="str">
        <f ca="1">IFERROR(__xludf.DUMMYFUNCTION("GOOGLEFINANCE(""NSE:""&amp;D3573,""marketcap"")"),"#N/A")</f>
        <v>#N/A</v>
      </c>
      <c r="K3573" s="7">
        <v>992.8</v>
      </c>
      <c r="L3573" s="8" t="str">
        <f ca="1">IFERROR(__xludf.DUMMYFUNCTION("GOOGLEFINANCE(""NSE:""&amp;D3573,""price"")"),"#N/A")</f>
        <v>#N/A</v>
      </c>
      <c r="M3573" s="9" t="e">
        <f t="shared" ca="1" si="72"/>
        <v>#VALUE!</v>
      </c>
      <c r="N3573" s="10" t="e">
        <f t="shared" ca="1" si="73"/>
        <v>#VALUE!</v>
      </c>
      <c r="O3573" s="7" t="str">
        <f ca="1">IFERROR(__xludf.DUMMYFUNCTION("GOOGLEFINANCE(""NSE:""&amp;D3573,""pe"")"),"#N/A")</f>
        <v>#N/A</v>
      </c>
      <c r="P3573" s="7" t="str">
        <f ca="1">IFERROR(__xludf.DUMMYFUNCTION("GOOGLEFINANCE(""NSE:""&amp;D3573,""EPS"")"),"#N/A")</f>
        <v>#N/A</v>
      </c>
      <c r="Q3573" s="7">
        <v>13.5</v>
      </c>
      <c r="R3573" s="7" t="str">
        <f ca="1">IFERROR(__xludf.DUMMYFUNCTION("IMPORTXML(E3573,""/html/body/main/div[3]/div[3]/div[2]/ul/li[7]/span[2]/span"")"),"Loading...")</f>
        <v>Loading...</v>
      </c>
      <c r="S3573" s="7" t="str">
        <f ca="1">IFERROR(__xludf.DUMMYFUNCTION("IMPORTXML(E3573,""/html/body/main/div[3]/div[3]/div[2]/ul/li[8]/span[2]/span"")"),"Loading...")</f>
        <v>Loading...</v>
      </c>
      <c r="T3573" s="4">
        <v>34.6</v>
      </c>
      <c r="U3573" s="4">
        <v>22.7</v>
      </c>
      <c r="V3573" s="4">
        <v>2.6</v>
      </c>
      <c r="W3573" s="4">
        <v>5.7</v>
      </c>
      <c r="X3573" s="4">
        <v>519.92999999999995</v>
      </c>
      <c r="Y3573" s="7" t="e">
        <f t="shared" ca="1" si="74"/>
        <v>#VALUE!</v>
      </c>
    </row>
    <row r="3574" spans="1:25" ht="15" x14ac:dyDescent="0.25">
      <c r="A3574" s="4">
        <v>3568</v>
      </c>
      <c r="C3574" s="41" t="s">
        <v>5926</v>
      </c>
      <c r="D3574" s="42"/>
      <c r="E3574" s="5" t="str">
        <f t="shared" si="70"/>
        <v>https://www.screener.in/company//consolidated/</v>
      </c>
      <c r="F3574" s="4">
        <v>443059</v>
      </c>
      <c r="G3574" s="4">
        <v>3832241897</v>
      </c>
      <c r="H3574" s="6" t="e">
        <f t="shared" ca="1" si="71"/>
        <v>#VALUE!</v>
      </c>
      <c r="I3574" s="7" t="str">
        <f ca="1">IFERROR(__xludf.DUMMYFUNCTION("IMPORTXML(E3574,""/html/body/main/div[3]/div[3]/div[2]/ul/li[5]/span[2]/span"")"),"Loading...")</f>
        <v>Loading...</v>
      </c>
      <c r="J3574" s="7" t="str">
        <f ca="1">IFERROR(__xludf.DUMMYFUNCTION("GOOGLEFINANCE(""NSE:""&amp;D3574,""marketcap"")"),"#N/A")</f>
        <v>#N/A</v>
      </c>
      <c r="K3574" s="7">
        <v>992.8</v>
      </c>
      <c r="L3574" s="8" t="str">
        <f ca="1">IFERROR(__xludf.DUMMYFUNCTION("GOOGLEFINANCE(""NSE:""&amp;D3574,""price"")"),"#N/A")</f>
        <v>#N/A</v>
      </c>
      <c r="M3574" s="9" t="e">
        <f t="shared" ca="1" si="72"/>
        <v>#VALUE!</v>
      </c>
      <c r="N3574" s="10" t="e">
        <f t="shared" ca="1" si="73"/>
        <v>#VALUE!</v>
      </c>
      <c r="O3574" s="7" t="str">
        <f ca="1">IFERROR(__xludf.DUMMYFUNCTION("GOOGLEFINANCE(""NSE:""&amp;D3574,""pe"")"),"#N/A")</f>
        <v>#N/A</v>
      </c>
      <c r="P3574" s="7" t="str">
        <f ca="1">IFERROR(__xludf.DUMMYFUNCTION("GOOGLEFINANCE(""NSE:""&amp;D3574,""EPS"")"),"#N/A")</f>
        <v>#N/A</v>
      </c>
      <c r="Q3574" s="7">
        <v>13.5</v>
      </c>
      <c r="R3574" s="7" t="str">
        <f ca="1">IFERROR(__xludf.DUMMYFUNCTION("IMPORTXML(E3574,""/html/body/main/div[3]/div[3]/div[2]/ul/li[7]/span[2]/span"")"),"Loading...")</f>
        <v>Loading...</v>
      </c>
      <c r="S3574" s="7" t="str">
        <f ca="1">IFERROR(__xludf.DUMMYFUNCTION("IMPORTXML(E3574,""/html/body/main/div[3]/div[3]/div[2]/ul/li[8]/span[2]/span"")"),"Loading...")</f>
        <v>Loading...</v>
      </c>
      <c r="T3574" s="4">
        <v>34.6</v>
      </c>
      <c r="U3574" s="4">
        <v>22.7</v>
      </c>
      <c r="V3574" s="4">
        <v>2.6</v>
      </c>
      <c r="W3574" s="4">
        <v>5.7</v>
      </c>
      <c r="X3574" s="4">
        <v>519.92999999999995</v>
      </c>
      <c r="Y3574" s="7" t="e">
        <f t="shared" ca="1" si="74"/>
        <v>#VALUE!</v>
      </c>
    </row>
    <row r="3575" spans="1:25" ht="15" x14ac:dyDescent="0.25">
      <c r="A3575" s="4">
        <v>3569</v>
      </c>
      <c r="C3575" s="41" t="s">
        <v>5927</v>
      </c>
      <c r="D3575" s="42"/>
      <c r="E3575" s="5" t="str">
        <f t="shared" si="70"/>
        <v>https://www.screener.in/company//consolidated/</v>
      </c>
      <c r="F3575" s="4">
        <v>443059</v>
      </c>
      <c r="G3575" s="4">
        <v>3832241897</v>
      </c>
      <c r="H3575" s="6" t="e">
        <f t="shared" ca="1" si="71"/>
        <v>#VALUE!</v>
      </c>
      <c r="I3575" s="7" t="str">
        <f ca="1">IFERROR(__xludf.DUMMYFUNCTION("IMPORTXML(E3575,""/html/body/main/div[3]/div[3]/div[2]/ul/li[5]/span[2]/span"")"),"Loading...")</f>
        <v>Loading...</v>
      </c>
      <c r="J3575" s="7" t="str">
        <f ca="1">IFERROR(__xludf.DUMMYFUNCTION("GOOGLEFINANCE(""NSE:""&amp;D3575,""marketcap"")"),"#N/A")</f>
        <v>#N/A</v>
      </c>
      <c r="K3575" s="7">
        <v>992.8</v>
      </c>
      <c r="L3575" s="8" t="str">
        <f ca="1">IFERROR(__xludf.DUMMYFUNCTION("GOOGLEFINANCE(""NSE:""&amp;D3575,""price"")"),"#N/A")</f>
        <v>#N/A</v>
      </c>
      <c r="M3575" s="9" t="e">
        <f t="shared" ca="1" si="72"/>
        <v>#VALUE!</v>
      </c>
      <c r="N3575" s="10" t="e">
        <f t="shared" ca="1" si="73"/>
        <v>#VALUE!</v>
      </c>
      <c r="O3575" s="7" t="str">
        <f ca="1">IFERROR(__xludf.DUMMYFUNCTION("GOOGLEFINANCE(""NSE:""&amp;D3575,""pe"")"),"#N/A")</f>
        <v>#N/A</v>
      </c>
      <c r="P3575" s="7" t="str">
        <f ca="1">IFERROR(__xludf.DUMMYFUNCTION("GOOGLEFINANCE(""NSE:""&amp;D3575,""EPS"")"),"#N/A")</f>
        <v>#N/A</v>
      </c>
      <c r="Q3575" s="7">
        <v>13.5</v>
      </c>
      <c r="R3575" s="7" t="str">
        <f ca="1">IFERROR(__xludf.DUMMYFUNCTION("IMPORTXML(E3575,""/html/body/main/div[3]/div[3]/div[2]/ul/li[7]/span[2]/span"")"),"Loading...")</f>
        <v>Loading...</v>
      </c>
      <c r="S3575" s="7" t="str">
        <f ca="1">IFERROR(__xludf.DUMMYFUNCTION("IMPORTXML(E3575,""/html/body/main/div[3]/div[3]/div[2]/ul/li[8]/span[2]/span"")"),"Loading...")</f>
        <v>Loading...</v>
      </c>
      <c r="T3575" s="4">
        <v>34.6</v>
      </c>
      <c r="U3575" s="4">
        <v>22.7</v>
      </c>
      <c r="V3575" s="4">
        <v>2.6</v>
      </c>
      <c r="W3575" s="4">
        <v>5.7</v>
      </c>
      <c r="X3575" s="4">
        <v>519.92999999999995</v>
      </c>
      <c r="Y3575" s="7" t="e">
        <f t="shared" ca="1" si="74"/>
        <v>#VALUE!</v>
      </c>
    </row>
    <row r="3576" spans="1:25" ht="15" x14ac:dyDescent="0.25">
      <c r="A3576" s="4">
        <v>3570</v>
      </c>
      <c r="C3576" s="41" t="s">
        <v>5928</v>
      </c>
      <c r="D3576" s="42"/>
      <c r="E3576" s="5" t="str">
        <f t="shared" si="70"/>
        <v>https://www.screener.in/company//consolidated/</v>
      </c>
      <c r="F3576" s="4">
        <v>443059</v>
      </c>
      <c r="G3576" s="4">
        <v>3832241897</v>
      </c>
      <c r="H3576" s="6" t="e">
        <f t="shared" ca="1" si="71"/>
        <v>#VALUE!</v>
      </c>
      <c r="I3576" s="7" t="str">
        <f ca="1">IFERROR(__xludf.DUMMYFUNCTION("IMPORTXML(E3576,""/html/body/main/div[3]/div[3]/div[2]/ul/li[5]/span[2]/span"")"),"Loading...")</f>
        <v>Loading...</v>
      </c>
      <c r="J3576" s="7" t="str">
        <f ca="1">IFERROR(__xludf.DUMMYFUNCTION("GOOGLEFINANCE(""NSE:""&amp;D3576,""marketcap"")"),"#N/A")</f>
        <v>#N/A</v>
      </c>
      <c r="K3576" s="7">
        <v>992.8</v>
      </c>
      <c r="L3576" s="8" t="str">
        <f ca="1">IFERROR(__xludf.DUMMYFUNCTION("GOOGLEFINANCE(""NSE:""&amp;D3576,""price"")"),"#N/A")</f>
        <v>#N/A</v>
      </c>
      <c r="M3576" s="9" t="e">
        <f t="shared" ca="1" si="72"/>
        <v>#VALUE!</v>
      </c>
      <c r="N3576" s="10" t="e">
        <f t="shared" ca="1" si="73"/>
        <v>#VALUE!</v>
      </c>
      <c r="O3576" s="7" t="str">
        <f ca="1">IFERROR(__xludf.DUMMYFUNCTION("GOOGLEFINANCE(""NSE:""&amp;D3576,""pe"")"),"#N/A")</f>
        <v>#N/A</v>
      </c>
      <c r="P3576" s="7" t="str">
        <f ca="1">IFERROR(__xludf.DUMMYFUNCTION("GOOGLEFINANCE(""NSE:""&amp;D3576,""EPS"")"),"#N/A")</f>
        <v>#N/A</v>
      </c>
      <c r="Q3576" s="7">
        <v>13.5</v>
      </c>
      <c r="R3576" s="7" t="str">
        <f ca="1">IFERROR(__xludf.DUMMYFUNCTION("IMPORTXML(E3576,""/html/body/main/div[3]/div[3]/div[2]/ul/li[7]/span[2]/span"")"),"Loading...")</f>
        <v>Loading...</v>
      </c>
      <c r="S3576" s="7" t="str">
        <f ca="1">IFERROR(__xludf.DUMMYFUNCTION("IMPORTXML(E3576,""/html/body/main/div[3]/div[3]/div[2]/ul/li[8]/span[2]/span"")"),"Loading...")</f>
        <v>Loading...</v>
      </c>
      <c r="T3576" s="4">
        <v>34.6</v>
      </c>
      <c r="U3576" s="4">
        <v>22.7</v>
      </c>
      <c r="V3576" s="4">
        <v>2.6</v>
      </c>
      <c r="W3576" s="4">
        <v>5.7</v>
      </c>
      <c r="X3576" s="4">
        <v>519.92999999999995</v>
      </c>
      <c r="Y3576" s="7" t="e">
        <f t="shared" ca="1" si="74"/>
        <v>#VALUE!</v>
      </c>
    </row>
    <row r="3577" spans="1:25" ht="15" x14ac:dyDescent="0.25">
      <c r="A3577" s="4">
        <v>3571</v>
      </c>
      <c r="C3577" s="12" t="s">
        <v>5929</v>
      </c>
      <c r="D3577" s="37"/>
      <c r="E3577" s="5" t="str">
        <f t="shared" si="70"/>
        <v>https://www.screener.in/company//consolidated/</v>
      </c>
      <c r="F3577" s="4">
        <v>443059</v>
      </c>
      <c r="G3577" s="4">
        <v>3832241897</v>
      </c>
      <c r="H3577" s="6" t="e">
        <f t="shared" ca="1" si="71"/>
        <v>#VALUE!</v>
      </c>
      <c r="I3577" s="7" t="str">
        <f ca="1">IFERROR(__xludf.DUMMYFUNCTION("IMPORTXML(E3577,""/html/body/main/div[3]/div[3]/div[2]/ul/li[5]/span[2]/span"")"),"Loading...")</f>
        <v>Loading...</v>
      </c>
      <c r="J3577" s="7" t="str">
        <f ca="1">IFERROR(__xludf.DUMMYFUNCTION("GOOGLEFINANCE(""NSE:""&amp;D3577,""marketcap"")"),"#N/A")</f>
        <v>#N/A</v>
      </c>
      <c r="K3577" s="7">
        <v>992.8</v>
      </c>
      <c r="L3577" s="8" t="str">
        <f ca="1">IFERROR(__xludf.DUMMYFUNCTION("GOOGLEFINANCE(""NSE:""&amp;D3577,""price"")"),"#N/A")</f>
        <v>#N/A</v>
      </c>
      <c r="M3577" s="9" t="e">
        <f t="shared" ca="1" si="72"/>
        <v>#VALUE!</v>
      </c>
      <c r="N3577" s="10" t="e">
        <f t="shared" ca="1" si="73"/>
        <v>#VALUE!</v>
      </c>
      <c r="O3577" s="7" t="str">
        <f ca="1">IFERROR(__xludf.DUMMYFUNCTION("GOOGLEFINANCE(""NSE:""&amp;D3577,""pe"")"),"#N/A")</f>
        <v>#N/A</v>
      </c>
      <c r="P3577" s="7" t="str">
        <f ca="1">IFERROR(__xludf.DUMMYFUNCTION("GOOGLEFINANCE(""NSE:""&amp;D3577,""EPS"")"),"#N/A")</f>
        <v>#N/A</v>
      </c>
      <c r="Q3577" s="7">
        <v>13.5</v>
      </c>
      <c r="R3577" s="7" t="str">
        <f ca="1">IFERROR(__xludf.DUMMYFUNCTION("IMPORTXML(E3577,""/html/body/main/div[3]/div[3]/div[2]/ul/li[7]/span[2]/span"")"),"Loading...")</f>
        <v>Loading...</v>
      </c>
      <c r="S3577" s="7" t="str">
        <f ca="1">IFERROR(__xludf.DUMMYFUNCTION("IMPORTXML(E3577,""/html/body/main/div[3]/div[3]/div[2]/ul/li[8]/span[2]/span"")"),"Loading...")</f>
        <v>Loading...</v>
      </c>
      <c r="T3577" s="4">
        <v>34.6</v>
      </c>
      <c r="U3577" s="4">
        <v>22.7</v>
      </c>
      <c r="V3577" s="4">
        <v>2.6</v>
      </c>
      <c r="W3577" s="4">
        <v>5.7</v>
      </c>
      <c r="X3577" s="4">
        <v>519.92999999999995</v>
      </c>
      <c r="Y3577" s="7" t="e">
        <f t="shared" ca="1" si="74"/>
        <v>#VALUE!</v>
      </c>
    </row>
    <row r="3578" spans="1:25" ht="15" x14ac:dyDescent="0.25">
      <c r="A3578" s="4">
        <v>3572</v>
      </c>
      <c r="C3578" s="41" t="s">
        <v>5930</v>
      </c>
      <c r="D3578" s="42"/>
      <c r="E3578" s="5" t="str">
        <f t="shared" si="70"/>
        <v>https://www.screener.in/company//consolidated/</v>
      </c>
      <c r="F3578" s="4">
        <v>443059</v>
      </c>
      <c r="G3578" s="4">
        <v>3832241897</v>
      </c>
      <c r="H3578" s="6" t="e">
        <f t="shared" ca="1" si="71"/>
        <v>#VALUE!</v>
      </c>
      <c r="I3578" s="7" t="str">
        <f ca="1">IFERROR(__xludf.DUMMYFUNCTION("IMPORTXML(E3578,""/html/body/main/div[3]/div[3]/div[2]/ul/li[5]/span[2]/span"")"),"Loading...")</f>
        <v>Loading...</v>
      </c>
      <c r="J3578" s="7" t="str">
        <f ca="1">IFERROR(__xludf.DUMMYFUNCTION("GOOGLEFINANCE(""NSE:""&amp;D3578,""marketcap"")"),"#N/A")</f>
        <v>#N/A</v>
      </c>
      <c r="K3578" s="7">
        <v>992.8</v>
      </c>
      <c r="L3578" s="8" t="str">
        <f ca="1">IFERROR(__xludf.DUMMYFUNCTION("GOOGLEFINANCE(""NSE:""&amp;D3578,""price"")"),"#N/A")</f>
        <v>#N/A</v>
      </c>
      <c r="M3578" s="9" t="e">
        <f t="shared" ca="1" si="72"/>
        <v>#VALUE!</v>
      </c>
      <c r="N3578" s="10" t="e">
        <f t="shared" ca="1" si="73"/>
        <v>#VALUE!</v>
      </c>
      <c r="O3578" s="7" t="str">
        <f ca="1">IFERROR(__xludf.DUMMYFUNCTION("GOOGLEFINANCE(""NSE:""&amp;D3578,""pe"")"),"#N/A")</f>
        <v>#N/A</v>
      </c>
      <c r="P3578" s="7" t="str">
        <f ca="1">IFERROR(__xludf.DUMMYFUNCTION("GOOGLEFINANCE(""NSE:""&amp;D3578,""EPS"")"),"#N/A")</f>
        <v>#N/A</v>
      </c>
      <c r="Q3578" s="7">
        <v>13.5</v>
      </c>
      <c r="R3578" s="7" t="str">
        <f ca="1">IFERROR(__xludf.DUMMYFUNCTION("IMPORTXML(E3578,""/html/body/main/div[3]/div[3]/div[2]/ul/li[7]/span[2]/span"")"),"Loading...")</f>
        <v>Loading...</v>
      </c>
      <c r="S3578" s="7" t="str">
        <f ca="1">IFERROR(__xludf.DUMMYFUNCTION("IMPORTXML(E3578,""/html/body/main/div[3]/div[3]/div[2]/ul/li[8]/span[2]/span"")"),"Loading...")</f>
        <v>Loading...</v>
      </c>
      <c r="T3578" s="4">
        <v>34.6</v>
      </c>
      <c r="U3578" s="4">
        <v>22.7</v>
      </c>
      <c r="V3578" s="4">
        <v>2.6</v>
      </c>
      <c r="W3578" s="4">
        <v>5.7</v>
      </c>
      <c r="X3578" s="4">
        <v>519.92999999999995</v>
      </c>
      <c r="Y3578" s="7" t="e">
        <f t="shared" ca="1" si="74"/>
        <v>#VALUE!</v>
      </c>
    </row>
    <row r="3579" spans="1:25" ht="15" x14ac:dyDescent="0.25">
      <c r="A3579" s="4">
        <v>3573</v>
      </c>
      <c r="C3579" s="41" t="s">
        <v>5931</v>
      </c>
      <c r="D3579" s="42"/>
      <c r="E3579" s="5" t="str">
        <f t="shared" si="70"/>
        <v>https://www.screener.in/company//consolidated/</v>
      </c>
      <c r="F3579" s="4">
        <v>443059</v>
      </c>
      <c r="G3579" s="4">
        <v>3832241897</v>
      </c>
      <c r="H3579" s="6" t="e">
        <f t="shared" ca="1" si="71"/>
        <v>#VALUE!</v>
      </c>
      <c r="I3579" s="7" t="str">
        <f ca="1">IFERROR(__xludf.DUMMYFUNCTION("IMPORTXML(E3579,""/html/body/main/div[3]/div[3]/div[2]/ul/li[5]/span[2]/span"")"),"Loading...")</f>
        <v>Loading...</v>
      </c>
      <c r="J3579" s="7" t="str">
        <f ca="1">IFERROR(__xludf.DUMMYFUNCTION("GOOGLEFINANCE(""NSE:""&amp;D3579,""marketcap"")"),"#N/A")</f>
        <v>#N/A</v>
      </c>
      <c r="K3579" s="7">
        <v>992.8</v>
      </c>
      <c r="L3579" s="8" t="str">
        <f ca="1">IFERROR(__xludf.DUMMYFUNCTION("GOOGLEFINANCE(""NSE:""&amp;D3579,""price"")"),"#N/A")</f>
        <v>#N/A</v>
      </c>
      <c r="M3579" s="9" t="e">
        <f t="shared" ca="1" si="72"/>
        <v>#VALUE!</v>
      </c>
      <c r="N3579" s="10" t="e">
        <f t="shared" ca="1" si="73"/>
        <v>#VALUE!</v>
      </c>
      <c r="O3579" s="7" t="str">
        <f ca="1">IFERROR(__xludf.DUMMYFUNCTION("GOOGLEFINANCE(""NSE:""&amp;D3579,""pe"")"),"#N/A")</f>
        <v>#N/A</v>
      </c>
      <c r="P3579" s="7" t="str">
        <f ca="1">IFERROR(__xludf.DUMMYFUNCTION("GOOGLEFINANCE(""NSE:""&amp;D3579,""EPS"")"),"#N/A")</f>
        <v>#N/A</v>
      </c>
      <c r="Q3579" s="7">
        <v>13.5</v>
      </c>
      <c r="R3579" s="7" t="str">
        <f ca="1">IFERROR(__xludf.DUMMYFUNCTION("IMPORTXML(E3579,""/html/body/main/div[3]/div[3]/div[2]/ul/li[7]/span[2]/span"")"),"Loading...")</f>
        <v>Loading...</v>
      </c>
      <c r="S3579" s="7" t="str">
        <f ca="1">IFERROR(__xludf.DUMMYFUNCTION("IMPORTXML(E3579,""/html/body/main/div[3]/div[3]/div[2]/ul/li[8]/span[2]/span"")"),"Loading...")</f>
        <v>Loading...</v>
      </c>
      <c r="T3579" s="4">
        <v>34.6</v>
      </c>
      <c r="U3579" s="4">
        <v>22.7</v>
      </c>
      <c r="V3579" s="4">
        <v>2.6</v>
      </c>
      <c r="W3579" s="4">
        <v>5.7</v>
      </c>
      <c r="X3579" s="4">
        <v>519.92999999999995</v>
      </c>
      <c r="Y3579" s="7" t="e">
        <f t="shared" ca="1" si="74"/>
        <v>#VALUE!</v>
      </c>
    </row>
    <row r="3580" spans="1:25" ht="15" x14ac:dyDescent="0.25">
      <c r="A3580" s="4">
        <v>3574</v>
      </c>
      <c r="C3580" s="41" t="s">
        <v>5932</v>
      </c>
      <c r="D3580" s="42"/>
      <c r="E3580" s="5" t="str">
        <f t="shared" si="70"/>
        <v>https://www.screener.in/company//consolidated/</v>
      </c>
      <c r="F3580" s="4">
        <v>443059</v>
      </c>
      <c r="G3580" s="4">
        <v>3832241897</v>
      </c>
      <c r="H3580" s="6" t="e">
        <f t="shared" ca="1" si="71"/>
        <v>#VALUE!</v>
      </c>
      <c r="I3580" s="7" t="str">
        <f ca="1">IFERROR(__xludf.DUMMYFUNCTION("IMPORTXML(E3580,""/html/body/main/div[3]/div[3]/div[2]/ul/li[5]/span[2]/span"")"),"Loading...")</f>
        <v>Loading...</v>
      </c>
      <c r="J3580" s="7" t="str">
        <f ca="1">IFERROR(__xludf.DUMMYFUNCTION("GOOGLEFINANCE(""NSE:""&amp;D3580,""marketcap"")"),"#N/A")</f>
        <v>#N/A</v>
      </c>
      <c r="K3580" s="7">
        <v>992.8</v>
      </c>
      <c r="L3580" s="8" t="str">
        <f ca="1">IFERROR(__xludf.DUMMYFUNCTION("GOOGLEFINANCE(""NSE:""&amp;D3580,""price"")"),"#N/A")</f>
        <v>#N/A</v>
      </c>
      <c r="M3580" s="9" t="e">
        <f t="shared" ca="1" si="72"/>
        <v>#VALUE!</v>
      </c>
      <c r="N3580" s="10" t="e">
        <f t="shared" ca="1" si="73"/>
        <v>#VALUE!</v>
      </c>
      <c r="O3580" s="7" t="str">
        <f ca="1">IFERROR(__xludf.DUMMYFUNCTION("GOOGLEFINANCE(""NSE:""&amp;D3580,""pe"")"),"#N/A")</f>
        <v>#N/A</v>
      </c>
      <c r="P3580" s="7" t="str">
        <f ca="1">IFERROR(__xludf.DUMMYFUNCTION("GOOGLEFINANCE(""NSE:""&amp;D3580,""EPS"")"),"#N/A")</f>
        <v>#N/A</v>
      </c>
      <c r="Q3580" s="7">
        <v>13.5</v>
      </c>
      <c r="R3580" s="7" t="str">
        <f ca="1">IFERROR(__xludf.DUMMYFUNCTION("IMPORTXML(E3580,""/html/body/main/div[3]/div[3]/div[2]/ul/li[7]/span[2]/span"")"),"Loading...")</f>
        <v>Loading...</v>
      </c>
      <c r="S3580" s="7" t="str">
        <f ca="1">IFERROR(__xludf.DUMMYFUNCTION("IMPORTXML(E3580,""/html/body/main/div[3]/div[3]/div[2]/ul/li[8]/span[2]/span"")"),"Loading...")</f>
        <v>Loading...</v>
      </c>
      <c r="T3580" s="4">
        <v>34.6</v>
      </c>
      <c r="U3580" s="4">
        <v>22.7</v>
      </c>
      <c r="V3580" s="4">
        <v>2.6</v>
      </c>
      <c r="W3580" s="4">
        <v>5.7</v>
      </c>
      <c r="X3580" s="4">
        <v>519.92999999999995</v>
      </c>
      <c r="Y3580" s="7" t="e">
        <f t="shared" ca="1" si="74"/>
        <v>#VALUE!</v>
      </c>
    </row>
    <row r="3581" spans="1:25" ht="15" x14ac:dyDescent="0.25">
      <c r="A3581" s="4">
        <v>3575</v>
      </c>
      <c r="C3581" s="41" t="s">
        <v>5933</v>
      </c>
      <c r="D3581" s="42"/>
      <c r="E3581" s="5" t="str">
        <f t="shared" si="70"/>
        <v>https://www.screener.in/company//consolidated/</v>
      </c>
      <c r="F3581" s="4">
        <v>443059</v>
      </c>
      <c r="G3581" s="4">
        <v>3832241897</v>
      </c>
      <c r="H3581" s="6" t="e">
        <f t="shared" ca="1" si="71"/>
        <v>#VALUE!</v>
      </c>
      <c r="I3581" s="7" t="str">
        <f ca="1">IFERROR(__xludf.DUMMYFUNCTION("IMPORTXML(E3581,""/html/body/main/div[3]/div[3]/div[2]/ul/li[5]/span[2]/span"")"),"Loading...")</f>
        <v>Loading...</v>
      </c>
      <c r="J3581" s="7" t="str">
        <f ca="1">IFERROR(__xludf.DUMMYFUNCTION("GOOGLEFINANCE(""NSE:""&amp;D3581,""marketcap"")"),"#N/A")</f>
        <v>#N/A</v>
      </c>
      <c r="K3581" s="7">
        <v>992.8</v>
      </c>
      <c r="L3581" s="8" t="str">
        <f ca="1">IFERROR(__xludf.DUMMYFUNCTION("GOOGLEFINANCE(""NSE:""&amp;D3581,""price"")"),"#N/A")</f>
        <v>#N/A</v>
      </c>
      <c r="M3581" s="9" t="e">
        <f t="shared" ca="1" si="72"/>
        <v>#VALUE!</v>
      </c>
      <c r="N3581" s="10" t="e">
        <f t="shared" ca="1" si="73"/>
        <v>#VALUE!</v>
      </c>
      <c r="O3581" s="7" t="str">
        <f ca="1">IFERROR(__xludf.DUMMYFUNCTION("GOOGLEFINANCE(""NSE:""&amp;D3581,""pe"")"),"#N/A")</f>
        <v>#N/A</v>
      </c>
      <c r="P3581" s="7" t="str">
        <f ca="1">IFERROR(__xludf.DUMMYFUNCTION("GOOGLEFINANCE(""NSE:""&amp;D3581,""EPS"")"),"#N/A")</f>
        <v>#N/A</v>
      </c>
      <c r="Q3581" s="7">
        <v>13.5</v>
      </c>
      <c r="R3581" s="7" t="str">
        <f ca="1">IFERROR(__xludf.DUMMYFUNCTION("IMPORTXML(E3581,""/html/body/main/div[3]/div[3]/div[2]/ul/li[7]/span[2]/span"")"),"Loading...")</f>
        <v>Loading...</v>
      </c>
      <c r="S3581" s="7" t="str">
        <f ca="1">IFERROR(__xludf.DUMMYFUNCTION("IMPORTXML(E3581,""/html/body/main/div[3]/div[3]/div[2]/ul/li[8]/span[2]/span"")"),"Loading...")</f>
        <v>Loading...</v>
      </c>
      <c r="T3581" s="4">
        <v>34.6</v>
      </c>
      <c r="U3581" s="4">
        <v>22.7</v>
      </c>
      <c r="V3581" s="4">
        <v>2.6</v>
      </c>
      <c r="W3581" s="4">
        <v>5.7</v>
      </c>
      <c r="X3581" s="4">
        <v>519.92999999999995</v>
      </c>
      <c r="Y3581" s="7" t="e">
        <f t="shared" ca="1" si="74"/>
        <v>#VALUE!</v>
      </c>
    </row>
    <row r="3582" spans="1:25" ht="15" x14ac:dyDescent="0.25">
      <c r="A3582" s="4">
        <v>3576</v>
      </c>
      <c r="C3582" s="41" t="s">
        <v>5934</v>
      </c>
      <c r="D3582" s="42"/>
      <c r="E3582" s="5" t="str">
        <f t="shared" si="70"/>
        <v>https://www.screener.in/company//consolidated/</v>
      </c>
      <c r="F3582" s="4">
        <v>443059</v>
      </c>
      <c r="G3582" s="4">
        <v>3832241897</v>
      </c>
      <c r="H3582" s="6" t="e">
        <f t="shared" ca="1" si="71"/>
        <v>#VALUE!</v>
      </c>
      <c r="I3582" s="7" t="str">
        <f ca="1">IFERROR(__xludf.DUMMYFUNCTION("IMPORTXML(E3582,""/html/body/main/div[3]/div[3]/div[2]/ul/li[5]/span[2]/span"")"),"Loading...")</f>
        <v>Loading...</v>
      </c>
      <c r="J3582" s="7" t="str">
        <f ca="1">IFERROR(__xludf.DUMMYFUNCTION("GOOGLEFINANCE(""NSE:""&amp;D3582,""marketcap"")"),"#N/A")</f>
        <v>#N/A</v>
      </c>
      <c r="K3582" s="7">
        <v>992.8</v>
      </c>
      <c r="L3582" s="8" t="str">
        <f ca="1">IFERROR(__xludf.DUMMYFUNCTION("GOOGLEFINANCE(""NSE:""&amp;D3582,""price"")"),"#N/A")</f>
        <v>#N/A</v>
      </c>
      <c r="M3582" s="9" t="e">
        <f t="shared" ca="1" si="72"/>
        <v>#VALUE!</v>
      </c>
      <c r="N3582" s="10" t="e">
        <f t="shared" ca="1" si="73"/>
        <v>#VALUE!</v>
      </c>
      <c r="O3582" s="7" t="str">
        <f ca="1">IFERROR(__xludf.DUMMYFUNCTION("GOOGLEFINANCE(""NSE:""&amp;D3582,""pe"")"),"#N/A")</f>
        <v>#N/A</v>
      </c>
      <c r="P3582" s="7" t="str">
        <f ca="1">IFERROR(__xludf.DUMMYFUNCTION("GOOGLEFINANCE(""NSE:""&amp;D3582,""EPS"")"),"#N/A")</f>
        <v>#N/A</v>
      </c>
      <c r="Q3582" s="7">
        <v>13.5</v>
      </c>
      <c r="R3582" s="7" t="str">
        <f ca="1">IFERROR(__xludf.DUMMYFUNCTION("IMPORTXML(E3582,""/html/body/main/div[3]/div[3]/div[2]/ul/li[7]/span[2]/span"")"),"Loading...")</f>
        <v>Loading...</v>
      </c>
      <c r="S3582" s="7" t="str">
        <f ca="1">IFERROR(__xludf.DUMMYFUNCTION("IMPORTXML(E3582,""/html/body/main/div[3]/div[3]/div[2]/ul/li[8]/span[2]/span"")"),"Loading...")</f>
        <v>Loading...</v>
      </c>
      <c r="T3582" s="4">
        <v>34.6</v>
      </c>
      <c r="U3582" s="4">
        <v>22.7</v>
      </c>
      <c r="V3582" s="4">
        <v>2.6</v>
      </c>
      <c r="W3582" s="4">
        <v>5.7</v>
      </c>
      <c r="X3582" s="4">
        <v>519.92999999999995</v>
      </c>
      <c r="Y3582" s="7" t="e">
        <f t="shared" ca="1" si="74"/>
        <v>#VALUE!</v>
      </c>
    </row>
    <row r="3583" spans="1:25" ht="15" x14ac:dyDescent="0.25">
      <c r="A3583" s="4">
        <v>3577</v>
      </c>
      <c r="C3583" s="41" t="s">
        <v>5935</v>
      </c>
      <c r="D3583" s="42"/>
      <c r="E3583" s="5" t="str">
        <f t="shared" si="70"/>
        <v>https://www.screener.in/company//consolidated/</v>
      </c>
      <c r="F3583" s="4">
        <v>443059</v>
      </c>
      <c r="G3583" s="4">
        <v>3832241897</v>
      </c>
      <c r="H3583" s="6" t="e">
        <f t="shared" ca="1" si="71"/>
        <v>#VALUE!</v>
      </c>
      <c r="I3583" s="7" t="str">
        <f ca="1">IFERROR(__xludf.DUMMYFUNCTION("IMPORTXML(E3583,""/html/body/main/div[3]/div[3]/div[2]/ul/li[5]/span[2]/span"")"),"Loading...")</f>
        <v>Loading...</v>
      </c>
      <c r="J3583" s="7" t="str">
        <f ca="1">IFERROR(__xludf.DUMMYFUNCTION("GOOGLEFINANCE(""NSE:""&amp;D3583,""marketcap"")"),"#N/A")</f>
        <v>#N/A</v>
      </c>
      <c r="K3583" s="7">
        <v>992.8</v>
      </c>
      <c r="L3583" s="8" t="str">
        <f ca="1">IFERROR(__xludf.DUMMYFUNCTION("GOOGLEFINANCE(""NSE:""&amp;D3583,""price"")"),"#N/A")</f>
        <v>#N/A</v>
      </c>
      <c r="M3583" s="9" t="e">
        <f t="shared" ca="1" si="72"/>
        <v>#VALUE!</v>
      </c>
      <c r="N3583" s="10" t="e">
        <f t="shared" ca="1" si="73"/>
        <v>#VALUE!</v>
      </c>
      <c r="O3583" s="7" t="str">
        <f ca="1">IFERROR(__xludf.DUMMYFUNCTION("GOOGLEFINANCE(""NSE:""&amp;D3583,""pe"")"),"#N/A")</f>
        <v>#N/A</v>
      </c>
      <c r="P3583" s="7" t="str">
        <f ca="1">IFERROR(__xludf.DUMMYFUNCTION("GOOGLEFINANCE(""NSE:""&amp;D3583,""EPS"")"),"#N/A")</f>
        <v>#N/A</v>
      </c>
      <c r="Q3583" s="7">
        <v>13.5</v>
      </c>
      <c r="R3583" s="7" t="str">
        <f ca="1">IFERROR(__xludf.DUMMYFUNCTION("IMPORTXML(E3583,""/html/body/main/div[3]/div[3]/div[2]/ul/li[7]/span[2]/span"")"),"Loading...")</f>
        <v>Loading...</v>
      </c>
      <c r="S3583" s="7" t="str">
        <f ca="1">IFERROR(__xludf.DUMMYFUNCTION("IMPORTXML(E3583,""/html/body/main/div[3]/div[3]/div[2]/ul/li[8]/span[2]/span"")"),"Loading...")</f>
        <v>Loading...</v>
      </c>
      <c r="T3583" s="4">
        <v>34.6</v>
      </c>
      <c r="U3583" s="4">
        <v>22.7</v>
      </c>
      <c r="V3583" s="4">
        <v>2.6</v>
      </c>
      <c r="W3583" s="4">
        <v>5.7</v>
      </c>
      <c r="X3583" s="4">
        <v>519.92999999999995</v>
      </c>
      <c r="Y3583" s="7" t="e">
        <f t="shared" ca="1" si="74"/>
        <v>#VALUE!</v>
      </c>
    </row>
    <row r="3584" spans="1:25" ht="15" x14ac:dyDescent="0.25">
      <c r="A3584" s="4">
        <v>3578</v>
      </c>
      <c r="C3584" s="41" t="s">
        <v>5936</v>
      </c>
      <c r="D3584" s="42"/>
      <c r="E3584" s="5" t="str">
        <f t="shared" si="70"/>
        <v>https://www.screener.in/company//consolidated/</v>
      </c>
      <c r="F3584" s="4">
        <v>443059</v>
      </c>
      <c r="G3584" s="4">
        <v>3832241897</v>
      </c>
      <c r="H3584" s="6" t="e">
        <f t="shared" ca="1" si="71"/>
        <v>#VALUE!</v>
      </c>
      <c r="I3584" s="7" t="str">
        <f ca="1">IFERROR(__xludf.DUMMYFUNCTION("IMPORTXML(E3584,""/html/body/main/div[3]/div[3]/div[2]/ul/li[5]/span[2]/span"")"),"Loading...")</f>
        <v>Loading...</v>
      </c>
      <c r="J3584" s="7" t="str">
        <f ca="1">IFERROR(__xludf.DUMMYFUNCTION("GOOGLEFINANCE(""NSE:""&amp;D3584,""marketcap"")"),"#N/A")</f>
        <v>#N/A</v>
      </c>
      <c r="K3584" s="7">
        <v>992.8</v>
      </c>
      <c r="L3584" s="8" t="str">
        <f ca="1">IFERROR(__xludf.DUMMYFUNCTION("GOOGLEFINANCE(""NSE:""&amp;D3584,""price"")"),"#N/A")</f>
        <v>#N/A</v>
      </c>
      <c r="M3584" s="9" t="e">
        <f t="shared" ca="1" si="72"/>
        <v>#VALUE!</v>
      </c>
      <c r="N3584" s="10" t="e">
        <f t="shared" ca="1" si="73"/>
        <v>#VALUE!</v>
      </c>
      <c r="O3584" s="7" t="str">
        <f ca="1">IFERROR(__xludf.DUMMYFUNCTION("GOOGLEFINANCE(""NSE:""&amp;D3584,""pe"")"),"#N/A")</f>
        <v>#N/A</v>
      </c>
      <c r="P3584" s="7" t="str">
        <f ca="1">IFERROR(__xludf.DUMMYFUNCTION("GOOGLEFINANCE(""NSE:""&amp;D3584,""EPS"")"),"#N/A")</f>
        <v>#N/A</v>
      </c>
      <c r="Q3584" s="7">
        <v>13.5</v>
      </c>
      <c r="R3584" s="7" t="str">
        <f ca="1">IFERROR(__xludf.DUMMYFUNCTION("IMPORTXML(E3584,""/html/body/main/div[3]/div[3]/div[2]/ul/li[7]/span[2]/span"")"),"Loading...")</f>
        <v>Loading...</v>
      </c>
      <c r="S3584" s="7" t="str">
        <f ca="1">IFERROR(__xludf.DUMMYFUNCTION("IMPORTXML(E3584,""/html/body/main/div[3]/div[3]/div[2]/ul/li[8]/span[2]/span"")"),"Loading...")</f>
        <v>Loading...</v>
      </c>
      <c r="T3584" s="4">
        <v>34.6</v>
      </c>
      <c r="U3584" s="4">
        <v>22.7</v>
      </c>
      <c r="V3584" s="4">
        <v>2.6</v>
      </c>
      <c r="W3584" s="4">
        <v>5.7</v>
      </c>
      <c r="X3584" s="4">
        <v>519.92999999999995</v>
      </c>
      <c r="Y3584" s="7" t="e">
        <f t="shared" ca="1" si="74"/>
        <v>#VALUE!</v>
      </c>
    </row>
    <row r="3585" spans="1:25" ht="15" x14ac:dyDescent="0.25">
      <c r="A3585" s="4">
        <v>3579</v>
      </c>
      <c r="C3585" s="41" t="s">
        <v>5937</v>
      </c>
      <c r="D3585" s="42"/>
      <c r="E3585" s="5" t="str">
        <f t="shared" si="70"/>
        <v>https://www.screener.in/company//consolidated/</v>
      </c>
      <c r="F3585" s="4">
        <v>443059</v>
      </c>
      <c r="G3585" s="4">
        <v>3832241897</v>
      </c>
      <c r="H3585" s="6" t="e">
        <f t="shared" ca="1" si="71"/>
        <v>#VALUE!</v>
      </c>
      <c r="I3585" s="7" t="str">
        <f ca="1">IFERROR(__xludf.DUMMYFUNCTION("IMPORTXML(E3585,""/html/body/main/div[3]/div[3]/div[2]/ul/li[5]/span[2]/span"")"),"Loading...")</f>
        <v>Loading...</v>
      </c>
      <c r="J3585" s="7" t="str">
        <f ca="1">IFERROR(__xludf.DUMMYFUNCTION("GOOGLEFINANCE(""NSE:""&amp;D3585,""marketcap"")"),"#N/A")</f>
        <v>#N/A</v>
      </c>
      <c r="K3585" s="7">
        <v>992.8</v>
      </c>
      <c r="L3585" s="8" t="str">
        <f ca="1">IFERROR(__xludf.DUMMYFUNCTION("GOOGLEFINANCE(""NSE:""&amp;D3585,""price"")"),"#N/A")</f>
        <v>#N/A</v>
      </c>
      <c r="M3585" s="9" t="e">
        <f t="shared" ca="1" si="72"/>
        <v>#VALUE!</v>
      </c>
      <c r="N3585" s="10" t="e">
        <f t="shared" ca="1" si="73"/>
        <v>#VALUE!</v>
      </c>
      <c r="O3585" s="7" t="str">
        <f ca="1">IFERROR(__xludf.DUMMYFUNCTION("GOOGLEFINANCE(""NSE:""&amp;D3585,""pe"")"),"#N/A")</f>
        <v>#N/A</v>
      </c>
      <c r="P3585" s="7" t="str">
        <f ca="1">IFERROR(__xludf.DUMMYFUNCTION("GOOGLEFINANCE(""NSE:""&amp;D3585,""EPS"")"),"#N/A")</f>
        <v>#N/A</v>
      </c>
      <c r="Q3585" s="7">
        <v>13.5</v>
      </c>
      <c r="R3585" s="7" t="str">
        <f ca="1">IFERROR(__xludf.DUMMYFUNCTION("IMPORTXML(E3585,""/html/body/main/div[3]/div[3]/div[2]/ul/li[7]/span[2]/span"")"),"Loading...")</f>
        <v>Loading...</v>
      </c>
      <c r="S3585" s="7" t="str">
        <f ca="1">IFERROR(__xludf.DUMMYFUNCTION("IMPORTXML(E3585,""/html/body/main/div[3]/div[3]/div[2]/ul/li[8]/span[2]/span"")"),"Loading...")</f>
        <v>Loading...</v>
      </c>
      <c r="T3585" s="4">
        <v>34.6</v>
      </c>
      <c r="U3585" s="4">
        <v>22.7</v>
      </c>
      <c r="V3585" s="4">
        <v>2.6</v>
      </c>
      <c r="W3585" s="4">
        <v>5.7</v>
      </c>
      <c r="X3585" s="4">
        <v>519.92999999999995</v>
      </c>
      <c r="Y3585" s="7" t="e">
        <f t="shared" ca="1" si="74"/>
        <v>#VALUE!</v>
      </c>
    </row>
    <row r="3586" spans="1:25" ht="15" x14ac:dyDescent="0.25">
      <c r="A3586" s="4">
        <v>3580</v>
      </c>
      <c r="C3586" s="41" t="s">
        <v>5938</v>
      </c>
      <c r="D3586" s="42"/>
      <c r="E3586" s="5" t="str">
        <f t="shared" si="70"/>
        <v>https://www.screener.in/company//consolidated/</v>
      </c>
      <c r="F3586" s="4">
        <v>443059</v>
      </c>
      <c r="G3586" s="4">
        <v>3832241897</v>
      </c>
      <c r="H3586" s="6" t="e">
        <f t="shared" ca="1" si="71"/>
        <v>#VALUE!</v>
      </c>
      <c r="I3586" s="7" t="str">
        <f ca="1">IFERROR(__xludf.DUMMYFUNCTION("IMPORTXML(E3586,""/html/body/main/div[3]/div[3]/div[2]/ul/li[5]/span[2]/span"")"),"Loading...")</f>
        <v>Loading...</v>
      </c>
      <c r="J3586" s="7" t="str">
        <f ca="1">IFERROR(__xludf.DUMMYFUNCTION("GOOGLEFINANCE(""NSE:""&amp;D3586,""marketcap"")"),"#N/A")</f>
        <v>#N/A</v>
      </c>
      <c r="K3586" s="7">
        <v>992.8</v>
      </c>
      <c r="L3586" s="8" t="str">
        <f ca="1">IFERROR(__xludf.DUMMYFUNCTION("GOOGLEFINANCE(""NSE:""&amp;D3586,""price"")"),"#N/A")</f>
        <v>#N/A</v>
      </c>
      <c r="M3586" s="9" t="e">
        <f t="shared" ca="1" si="72"/>
        <v>#VALUE!</v>
      </c>
      <c r="N3586" s="10" t="e">
        <f t="shared" ca="1" si="73"/>
        <v>#VALUE!</v>
      </c>
      <c r="O3586" s="7" t="str">
        <f ca="1">IFERROR(__xludf.DUMMYFUNCTION("GOOGLEFINANCE(""NSE:""&amp;D3586,""pe"")"),"#N/A")</f>
        <v>#N/A</v>
      </c>
      <c r="P3586" s="7" t="str">
        <f ca="1">IFERROR(__xludf.DUMMYFUNCTION("GOOGLEFINANCE(""NSE:""&amp;D3586,""EPS"")"),"#N/A")</f>
        <v>#N/A</v>
      </c>
      <c r="Q3586" s="7">
        <v>13.5</v>
      </c>
      <c r="R3586" s="7" t="str">
        <f ca="1">IFERROR(__xludf.DUMMYFUNCTION("IMPORTXML(E3586,""/html/body/main/div[3]/div[3]/div[2]/ul/li[7]/span[2]/span"")"),"Loading...")</f>
        <v>Loading...</v>
      </c>
      <c r="S3586" s="7" t="str">
        <f ca="1">IFERROR(__xludf.DUMMYFUNCTION("IMPORTXML(E3586,""/html/body/main/div[3]/div[3]/div[2]/ul/li[8]/span[2]/span"")"),"Loading...")</f>
        <v>Loading...</v>
      </c>
      <c r="T3586" s="4">
        <v>34.6</v>
      </c>
      <c r="U3586" s="4">
        <v>22.7</v>
      </c>
      <c r="V3586" s="4">
        <v>2.6</v>
      </c>
      <c r="W3586" s="4">
        <v>5.7</v>
      </c>
      <c r="X3586" s="4">
        <v>519.92999999999995</v>
      </c>
      <c r="Y3586" s="7" t="e">
        <f t="shared" ca="1" si="74"/>
        <v>#VALUE!</v>
      </c>
    </row>
    <row r="3587" spans="1:25" ht="15" x14ac:dyDescent="0.25">
      <c r="A3587" s="4">
        <v>3581</v>
      </c>
      <c r="C3587" s="41" t="s">
        <v>5939</v>
      </c>
      <c r="D3587" s="42"/>
      <c r="E3587" s="5" t="str">
        <f t="shared" si="70"/>
        <v>https://www.screener.in/company//consolidated/</v>
      </c>
      <c r="F3587" s="4">
        <v>443059</v>
      </c>
      <c r="G3587" s="4">
        <v>3832241897</v>
      </c>
      <c r="H3587" s="6" t="e">
        <f t="shared" ca="1" si="71"/>
        <v>#VALUE!</v>
      </c>
      <c r="I3587" s="7" t="str">
        <f ca="1">IFERROR(__xludf.DUMMYFUNCTION("IMPORTXML(E3587,""/html/body/main/div[3]/div[3]/div[2]/ul/li[5]/span[2]/span"")"),"Loading...")</f>
        <v>Loading...</v>
      </c>
      <c r="J3587" s="7" t="str">
        <f ca="1">IFERROR(__xludf.DUMMYFUNCTION("GOOGLEFINANCE(""NSE:""&amp;D3587,""marketcap"")"),"#N/A")</f>
        <v>#N/A</v>
      </c>
      <c r="K3587" s="7">
        <v>992.8</v>
      </c>
      <c r="L3587" s="8" t="str">
        <f ca="1">IFERROR(__xludf.DUMMYFUNCTION("GOOGLEFINANCE(""NSE:""&amp;D3587,""price"")"),"#N/A")</f>
        <v>#N/A</v>
      </c>
      <c r="M3587" s="9" t="e">
        <f t="shared" ca="1" si="72"/>
        <v>#VALUE!</v>
      </c>
      <c r="N3587" s="10" t="e">
        <f t="shared" ca="1" si="73"/>
        <v>#VALUE!</v>
      </c>
      <c r="O3587" s="7" t="str">
        <f ca="1">IFERROR(__xludf.DUMMYFUNCTION("GOOGLEFINANCE(""NSE:""&amp;D3587,""pe"")"),"#N/A")</f>
        <v>#N/A</v>
      </c>
      <c r="P3587" s="7" t="str">
        <f ca="1">IFERROR(__xludf.DUMMYFUNCTION("GOOGLEFINANCE(""NSE:""&amp;D3587,""EPS"")"),"#N/A")</f>
        <v>#N/A</v>
      </c>
      <c r="Q3587" s="7">
        <v>13.5</v>
      </c>
      <c r="R3587" s="7" t="str">
        <f ca="1">IFERROR(__xludf.DUMMYFUNCTION("IMPORTXML(E3587,""/html/body/main/div[3]/div[3]/div[2]/ul/li[7]/span[2]/span"")"),"Loading...")</f>
        <v>Loading...</v>
      </c>
      <c r="S3587" s="7" t="str">
        <f ca="1">IFERROR(__xludf.DUMMYFUNCTION("IMPORTXML(E3587,""/html/body/main/div[3]/div[3]/div[2]/ul/li[8]/span[2]/span"")"),"Loading...")</f>
        <v>Loading...</v>
      </c>
      <c r="T3587" s="4">
        <v>34.6</v>
      </c>
      <c r="U3587" s="4">
        <v>22.7</v>
      </c>
      <c r="V3587" s="4">
        <v>2.6</v>
      </c>
      <c r="W3587" s="4">
        <v>5.7</v>
      </c>
      <c r="X3587" s="4">
        <v>519.92999999999995</v>
      </c>
      <c r="Y3587" s="7" t="e">
        <f t="shared" ca="1" si="74"/>
        <v>#VALUE!</v>
      </c>
    </row>
    <row r="3588" spans="1:25" ht="15" x14ac:dyDescent="0.25">
      <c r="A3588" s="4">
        <v>3582</v>
      </c>
      <c r="C3588" s="41" t="s">
        <v>5940</v>
      </c>
      <c r="D3588" s="42"/>
      <c r="E3588" s="5" t="str">
        <f t="shared" si="70"/>
        <v>https://www.screener.in/company//consolidated/</v>
      </c>
      <c r="F3588" s="4">
        <v>443059</v>
      </c>
      <c r="G3588" s="4">
        <v>3832241897</v>
      </c>
      <c r="H3588" s="6" t="e">
        <f t="shared" ca="1" si="71"/>
        <v>#VALUE!</v>
      </c>
      <c r="I3588" s="7" t="str">
        <f ca="1">IFERROR(__xludf.DUMMYFUNCTION("IMPORTXML(E3588,""/html/body/main/div[3]/div[3]/div[2]/ul/li[5]/span[2]/span"")"),"Loading...")</f>
        <v>Loading...</v>
      </c>
      <c r="J3588" s="7" t="str">
        <f ca="1">IFERROR(__xludf.DUMMYFUNCTION("GOOGLEFINANCE(""NSE:""&amp;D3588,""marketcap"")"),"#N/A")</f>
        <v>#N/A</v>
      </c>
      <c r="K3588" s="7">
        <v>992.8</v>
      </c>
      <c r="L3588" s="8" t="str">
        <f ca="1">IFERROR(__xludf.DUMMYFUNCTION("GOOGLEFINANCE(""NSE:""&amp;D3588,""price"")"),"#N/A")</f>
        <v>#N/A</v>
      </c>
      <c r="M3588" s="9" t="e">
        <f t="shared" ca="1" si="72"/>
        <v>#VALUE!</v>
      </c>
      <c r="N3588" s="10" t="e">
        <f t="shared" ca="1" si="73"/>
        <v>#VALUE!</v>
      </c>
      <c r="O3588" s="7" t="str">
        <f ca="1">IFERROR(__xludf.DUMMYFUNCTION("GOOGLEFINANCE(""NSE:""&amp;D3588,""pe"")"),"#N/A")</f>
        <v>#N/A</v>
      </c>
      <c r="P3588" s="7" t="str">
        <f ca="1">IFERROR(__xludf.DUMMYFUNCTION("GOOGLEFINANCE(""NSE:""&amp;D3588,""EPS"")"),"#N/A")</f>
        <v>#N/A</v>
      </c>
      <c r="Q3588" s="7">
        <v>13.5</v>
      </c>
      <c r="R3588" s="7" t="str">
        <f ca="1">IFERROR(__xludf.DUMMYFUNCTION("IMPORTXML(E3588,""/html/body/main/div[3]/div[3]/div[2]/ul/li[7]/span[2]/span"")"),"Loading...")</f>
        <v>Loading...</v>
      </c>
      <c r="S3588" s="7" t="str">
        <f ca="1">IFERROR(__xludf.DUMMYFUNCTION("IMPORTXML(E3588,""/html/body/main/div[3]/div[3]/div[2]/ul/li[8]/span[2]/span"")"),"Loading...")</f>
        <v>Loading...</v>
      </c>
      <c r="T3588" s="4">
        <v>34.6</v>
      </c>
      <c r="U3588" s="4">
        <v>22.7</v>
      </c>
      <c r="V3588" s="4">
        <v>2.6</v>
      </c>
      <c r="W3588" s="4">
        <v>5.7</v>
      </c>
      <c r="X3588" s="4">
        <v>519.92999999999995</v>
      </c>
      <c r="Y3588" s="7" t="e">
        <f t="shared" ca="1" si="74"/>
        <v>#VALUE!</v>
      </c>
    </row>
    <row r="3589" spans="1:25" ht="15" x14ac:dyDescent="0.25">
      <c r="A3589" s="4">
        <v>3583</v>
      </c>
      <c r="C3589" s="41" t="s">
        <v>5941</v>
      </c>
      <c r="D3589" s="42"/>
      <c r="E3589" s="5" t="str">
        <f t="shared" si="70"/>
        <v>https://www.screener.in/company//consolidated/</v>
      </c>
      <c r="F3589" s="4">
        <v>443059</v>
      </c>
      <c r="G3589" s="4">
        <v>3832241897</v>
      </c>
      <c r="H3589" s="6" t="e">
        <f t="shared" ca="1" si="71"/>
        <v>#VALUE!</v>
      </c>
      <c r="I3589" s="7" t="str">
        <f ca="1">IFERROR(__xludf.DUMMYFUNCTION("IMPORTXML(E3589,""/html/body/main/div[3]/div[3]/div[2]/ul/li[5]/span[2]/span"")"),"Loading...")</f>
        <v>Loading...</v>
      </c>
      <c r="J3589" s="7" t="str">
        <f ca="1">IFERROR(__xludf.DUMMYFUNCTION("GOOGLEFINANCE(""NSE:""&amp;D3589,""marketcap"")"),"#N/A")</f>
        <v>#N/A</v>
      </c>
      <c r="K3589" s="7">
        <v>992.8</v>
      </c>
      <c r="L3589" s="8" t="str">
        <f ca="1">IFERROR(__xludf.DUMMYFUNCTION("GOOGLEFINANCE(""NSE:""&amp;D3589,""price"")"),"#N/A")</f>
        <v>#N/A</v>
      </c>
      <c r="M3589" s="9" t="e">
        <f t="shared" ca="1" si="72"/>
        <v>#VALUE!</v>
      </c>
      <c r="N3589" s="10" t="e">
        <f t="shared" ca="1" si="73"/>
        <v>#VALUE!</v>
      </c>
      <c r="O3589" s="7" t="str">
        <f ca="1">IFERROR(__xludf.DUMMYFUNCTION("GOOGLEFINANCE(""NSE:""&amp;D3589,""pe"")"),"#N/A")</f>
        <v>#N/A</v>
      </c>
      <c r="P3589" s="7" t="str">
        <f ca="1">IFERROR(__xludf.DUMMYFUNCTION("GOOGLEFINANCE(""NSE:""&amp;D3589,""EPS"")"),"#N/A")</f>
        <v>#N/A</v>
      </c>
      <c r="Q3589" s="7">
        <v>13.5</v>
      </c>
      <c r="R3589" s="7" t="str">
        <f ca="1">IFERROR(__xludf.DUMMYFUNCTION("IMPORTXML(E3589,""/html/body/main/div[3]/div[3]/div[2]/ul/li[7]/span[2]/span"")"),"Loading...")</f>
        <v>Loading...</v>
      </c>
      <c r="S3589" s="7" t="str">
        <f ca="1">IFERROR(__xludf.DUMMYFUNCTION("IMPORTXML(E3589,""/html/body/main/div[3]/div[3]/div[2]/ul/li[8]/span[2]/span"")"),"Loading...")</f>
        <v>Loading...</v>
      </c>
      <c r="T3589" s="4">
        <v>34.6</v>
      </c>
      <c r="U3589" s="4">
        <v>22.7</v>
      </c>
      <c r="V3589" s="4">
        <v>2.6</v>
      </c>
      <c r="W3589" s="4">
        <v>5.7</v>
      </c>
      <c r="X3589" s="4">
        <v>519.92999999999995</v>
      </c>
      <c r="Y3589" s="7" t="e">
        <f t="shared" ca="1" si="74"/>
        <v>#VALUE!</v>
      </c>
    </row>
    <row r="3590" spans="1:25" ht="15" x14ac:dyDescent="0.25">
      <c r="A3590" s="4">
        <v>3584</v>
      </c>
      <c r="C3590" s="41" t="s">
        <v>5942</v>
      </c>
      <c r="D3590" s="42"/>
      <c r="E3590" s="5" t="str">
        <f t="shared" si="70"/>
        <v>https://www.screener.in/company//consolidated/</v>
      </c>
      <c r="F3590" s="4">
        <v>443059</v>
      </c>
      <c r="G3590" s="4">
        <v>3832241897</v>
      </c>
      <c r="H3590" s="6" t="e">
        <f t="shared" ca="1" si="71"/>
        <v>#VALUE!</v>
      </c>
      <c r="I3590" s="7" t="str">
        <f ca="1">IFERROR(__xludf.DUMMYFUNCTION("IMPORTXML(E3590,""/html/body/main/div[3]/div[3]/div[2]/ul/li[5]/span[2]/span"")"),"Loading...")</f>
        <v>Loading...</v>
      </c>
      <c r="J3590" s="7" t="str">
        <f ca="1">IFERROR(__xludf.DUMMYFUNCTION("GOOGLEFINANCE(""NSE:""&amp;D3590,""marketcap"")"),"#N/A")</f>
        <v>#N/A</v>
      </c>
      <c r="K3590" s="7">
        <v>992.8</v>
      </c>
      <c r="L3590" s="8" t="str">
        <f ca="1">IFERROR(__xludf.DUMMYFUNCTION("GOOGLEFINANCE(""NSE:""&amp;D3590,""price"")"),"#N/A")</f>
        <v>#N/A</v>
      </c>
      <c r="M3590" s="9" t="e">
        <f t="shared" ca="1" si="72"/>
        <v>#VALUE!</v>
      </c>
      <c r="N3590" s="10" t="e">
        <f t="shared" ca="1" si="73"/>
        <v>#VALUE!</v>
      </c>
      <c r="O3590" s="7" t="str">
        <f ca="1">IFERROR(__xludf.DUMMYFUNCTION("GOOGLEFINANCE(""NSE:""&amp;D3590,""pe"")"),"#N/A")</f>
        <v>#N/A</v>
      </c>
      <c r="P3590" s="7" t="str">
        <f ca="1">IFERROR(__xludf.DUMMYFUNCTION("GOOGLEFINANCE(""NSE:""&amp;D3590,""EPS"")"),"#N/A")</f>
        <v>#N/A</v>
      </c>
      <c r="Q3590" s="7">
        <v>13.5</v>
      </c>
      <c r="R3590" s="7" t="str">
        <f ca="1">IFERROR(__xludf.DUMMYFUNCTION("IMPORTXML(E3590,""/html/body/main/div[3]/div[3]/div[2]/ul/li[7]/span[2]/span"")"),"Loading...")</f>
        <v>Loading...</v>
      </c>
      <c r="S3590" s="7" t="str">
        <f ca="1">IFERROR(__xludf.DUMMYFUNCTION("IMPORTXML(E3590,""/html/body/main/div[3]/div[3]/div[2]/ul/li[8]/span[2]/span"")"),"Loading...")</f>
        <v>Loading...</v>
      </c>
      <c r="T3590" s="4">
        <v>34.6</v>
      </c>
      <c r="U3590" s="4">
        <v>22.7</v>
      </c>
      <c r="V3590" s="4">
        <v>2.6</v>
      </c>
      <c r="W3590" s="4">
        <v>5.7</v>
      </c>
      <c r="X3590" s="4">
        <v>519.92999999999995</v>
      </c>
      <c r="Y3590" s="7" t="e">
        <f t="shared" ca="1" si="74"/>
        <v>#VALUE!</v>
      </c>
    </row>
    <row r="3591" spans="1:25" ht="15" x14ac:dyDescent="0.25">
      <c r="A3591" s="4">
        <v>3585</v>
      </c>
      <c r="C3591" s="41" t="s">
        <v>5943</v>
      </c>
      <c r="D3591" s="42"/>
      <c r="E3591" s="5" t="str">
        <f t="shared" si="70"/>
        <v>https://www.screener.in/company//consolidated/</v>
      </c>
      <c r="F3591" s="4">
        <v>443059</v>
      </c>
      <c r="G3591" s="4">
        <v>3832241897</v>
      </c>
      <c r="H3591" s="6" t="e">
        <f t="shared" ca="1" si="71"/>
        <v>#VALUE!</v>
      </c>
      <c r="I3591" s="7" t="str">
        <f ca="1">IFERROR(__xludf.DUMMYFUNCTION("IMPORTXML(E3591,""/html/body/main/div[3]/div[3]/div[2]/ul/li[5]/span[2]/span"")"),"Loading...")</f>
        <v>Loading...</v>
      </c>
      <c r="J3591" s="7" t="str">
        <f ca="1">IFERROR(__xludf.DUMMYFUNCTION("GOOGLEFINANCE(""NSE:""&amp;D3591,""marketcap"")"),"#N/A")</f>
        <v>#N/A</v>
      </c>
      <c r="K3591" s="7">
        <v>992.8</v>
      </c>
      <c r="L3591" s="8" t="str">
        <f ca="1">IFERROR(__xludf.DUMMYFUNCTION("GOOGLEFINANCE(""NSE:""&amp;D3591,""price"")"),"#N/A")</f>
        <v>#N/A</v>
      </c>
      <c r="M3591" s="9" t="e">
        <f t="shared" ca="1" si="72"/>
        <v>#VALUE!</v>
      </c>
      <c r="N3591" s="10" t="e">
        <f t="shared" ca="1" si="73"/>
        <v>#VALUE!</v>
      </c>
      <c r="O3591" s="7" t="str">
        <f ca="1">IFERROR(__xludf.DUMMYFUNCTION("GOOGLEFINANCE(""NSE:""&amp;D3591,""pe"")"),"#N/A")</f>
        <v>#N/A</v>
      </c>
      <c r="P3591" s="7" t="str">
        <f ca="1">IFERROR(__xludf.DUMMYFUNCTION("GOOGLEFINANCE(""NSE:""&amp;D3591,""EPS"")"),"#N/A")</f>
        <v>#N/A</v>
      </c>
      <c r="Q3591" s="7">
        <v>13.5</v>
      </c>
      <c r="R3591" s="7" t="str">
        <f ca="1">IFERROR(__xludf.DUMMYFUNCTION("IMPORTXML(E3591,""/html/body/main/div[3]/div[3]/div[2]/ul/li[7]/span[2]/span"")"),"Loading...")</f>
        <v>Loading...</v>
      </c>
      <c r="S3591" s="7" t="str">
        <f ca="1">IFERROR(__xludf.DUMMYFUNCTION("IMPORTXML(E3591,""/html/body/main/div[3]/div[3]/div[2]/ul/li[8]/span[2]/span"")"),"Loading...")</f>
        <v>Loading...</v>
      </c>
      <c r="T3591" s="4">
        <v>34.6</v>
      </c>
      <c r="U3591" s="4">
        <v>22.7</v>
      </c>
      <c r="V3591" s="4">
        <v>2.6</v>
      </c>
      <c r="W3591" s="4">
        <v>5.7</v>
      </c>
      <c r="X3591" s="4">
        <v>519.92999999999995</v>
      </c>
      <c r="Y3591" s="7" t="e">
        <f t="shared" ca="1" si="74"/>
        <v>#VALUE!</v>
      </c>
    </row>
    <row r="3592" spans="1:25" ht="15" x14ac:dyDescent="0.25">
      <c r="A3592" s="4">
        <v>3586</v>
      </c>
      <c r="C3592" s="41" t="s">
        <v>5944</v>
      </c>
      <c r="D3592" s="42"/>
      <c r="E3592" s="5" t="str">
        <f t="shared" si="70"/>
        <v>https://www.screener.in/company//consolidated/</v>
      </c>
      <c r="F3592" s="4">
        <v>443059</v>
      </c>
      <c r="G3592" s="4">
        <v>3832241897</v>
      </c>
      <c r="H3592" s="6" t="e">
        <f t="shared" ca="1" si="71"/>
        <v>#VALUE!</v>
      </c>
      <c r="I3592" s="7" t="str">
        <f ca="1">IFERROR(__xludf.DUMMYFUNCTION("IMPORTXML(E3592,""/html/body/main/div[3]/div[3]/div[2]/ul/li[5]/span[2]/span"")"),"Loading...")</f>
        <v>Loading...</v>
      </c>
      <c r="J3592" s="7" t="str">
        <f ca="1">IFERROR(__xludf.DUMMYFUNCTION("GOOGLEFINANCE(""NSE:""&amp;D3592,""marketcap"")"),"#N/A")</f>
        <v>#N/A</v>
      </c>
      <c r="K3592" s="7">
        <v>992.8</v>
      </c>
      <c r="L3592" s="8" t="str">
        <f ca="1">IFERROR(__xludf.DUMMYFUNCTION("GOOGLEFINANCE(""NSE:""&amp;D3592,""price"")"),"#N/A")</f>
        <v>#N/A</v>
      </c>
      <c r="M3592" s="9" t="e">
        <f t="shared" ca="1" si="72"/>
        <v>#VALUE!</v>
      </c>
      <c r="N3592" s="10" t="e">
        <f t="shared" ca="1" si="73"/>
        <v>#VALUE!</v>
      </c>
      <c r="O3592" s="7" t="str">
        <f ca="1">IFERROR(__xludf.DUMMYFUNCTION("GOOGLEFINANCE(""NSE:""&amp;D3592,""pe"")"),"#N/A")</f>
        <v>#N/A</v>
      </c>
      <c r="P3592" s="7" t="str">
        <f ca="1">IFERROR(__xludf.DUMMYFUNCTION("GOOGLEFINANCE(""NSE:""&amp;D3592,""EPS"")"),"#N/A")</f>
        <v>#N/A</v>
      </c>
      <c r="Q3592" s="7">
        <v>13.5</v>
      </c>
      <c r="R3592" s="7" t="str">
        <f ca="1">IFERROR(__xludf.DUMMYFUNCTION("IMPORTXML(E3592,""/html/body/main/div[3]/div[3]/div[2]/ul/li[7]/span[2]/span"")"),"Loading...")</f>
        <v>Loading...</v>
      </c>
      <c r="S3592" s="7" t="str">
        <f ca="1">IFERROR(__xludf.DUMMYFUNCTION("IMPORTXML(E3592,""/html/body/main/div[3]/div[3]/div[2]/ul/li[8]/span[2]/span"")"),"Loading...")</f>
        <v>Loading...</v>
      </c>
      <c r="T3592" s="4">
        <v>34.6</v>
      </c>
      <c r="U3592" s="4">
        <v>22.7</v>
      </c>
      <c r="V3592" s="4">
        <v>2.6</v>
      </c>
      <c r="W3592" s="4">
        <v>5.7</v>
      </c>
      <c r="X3592" s="4">
        <v>519.92999999999995</v>
      </c>
      <c r="Y3592" s="7" t="e">
        <f t="shared" ca="1" si="74"/>
        <v>#VALUE!</v>
      </c>
    </row>
    <row r="3593" spans="1:25" ht="15" x14ac:dyDescent="0.25">
      <c r="A3593" s="4">
        <v>3587</v>
      </c>
      <c r="C3593" s="41" t="s">
        <v>5945</v>
      </c>
      <c r="D3593" s="42"/>
      <c r="E3593" s="5" t="str">
        <f t="shared" si="70"/>
        <v>https://www.screener.in/company//consolidated/</v>
      </c>
      <c r="F3593" s="4">
        <v>443059</v>
      </c>
      <c r="G3593" s="4">
        <v>3832241897</v>
      </c>
      <c r="H3593" s="6" t="e">
        <f t="shared" ca="1" si="71"/>
        <v>#VALUE!</v>
      </c>
      <c r="I3593" s="7" t="str">
        <f ca="1">IFERROR(__xludf.DUMMYFUNCTION("IMPORTXML(E3593,""/html/body/main/div[3]/div[3]/div[2]/ul/li[5]/span[2]/span"")"),"Loading...")</f>
        <v>Loading...</v>
      </c>
      <c r="J3593" s="7" t="str">
        <f ca="1">IFERROR(__xludf.DUMMYFUNCTION("GOOGLEFINANCE(""NSE:""&amp;D3593,""marketcap"")"),"#N/A")</f>
        <v>#N/A</v>
      </c>
      <c r="K3593" s="7">
        <v>992.8</v>
      </c>
      <c r="L3593" s="8" t="str">
        <f ca="1">IFERROR(__xludf.DUMMYFUNCTION("GOOGLEFINANCE(""NSE:""&amp;D3593,""price"")"),"#N/A")</f>
        <v>#N/A</v>
      </c>
      <c r="M3593" s="9" t="e">
        <f t="shared" ca="1" si="72"/>
        <v>#VALUE!</v>
      </c>
      <c r="N3593" s="10" t="e">
        <f t="shared" ca="1" si="73"/>
        <v>#VALUE!</v>
      </c>
      <c r="O3593" s="7" t="str">
        <f ca="1">IFERROR(__xludf.DUMMYFUNCTION("GOOGLEFINANCE(""NSE:""&amp;D3593,""pe"")"),"#N/A")</f>
        <v>#N/A</v>
      </c>
      <c r="P3593" s="7" t="str">
        <f ca="1">IFERROR(__xludf.DUMMYFUNCTION("GOOGLEFINANCE(""NSE:""&amp;D3593,""EPS"")"),"#N/A")</f>
        <v>#N/A</v>
      </c>
      <c r="Q3593" s="7">
        <v>13.5</v>
      </c>
      <c r="R3593" s="7" t="str">
        <f ca="1">IFERROR(__xludf.DUMMYFUNCTION("IMPORTXML(E3593,""/html/body/main/div[3]/div[3]/div[2]/ul/li[7]/span[2]/span"")"),"Loading...")</f>
        <v>Loading...</v>
      </c>
      <c r="S3593" s="7" t="str">
        <f ca="1">IFERROR(__xludf.DUMMYFUNCTION("IMPORTXML(E3593,""/html/body/main/div[3]/div[3]/div[2]/ul/li[8]/span[2]/span"")"),"Loading...")</f>
        <v>Loading...</v>
      </c>
      <c r="T3593" s="4">
        <v>34.6</v>
      </c>
      <c r="U3593" s="4">
        <v>22.7</v>
      </c>
      <c r="V3593" s="4">
        <v>2.6</v>
      </c>
      <c r="W3593" s="4">
        <v>5.7</v>
      </c>
      <c r="X3593" s="4">
        <v>519.92999999999995</v>
      </c>
      <c r="Y3593" s="7" t="e">
        <f t="shared" ca="1" si="74"/>
        <v>#VALUE!</v>
      </c>
    </row>
    <row r="3594" spans="1:25" ht="15" x14ac:dyDescent="0.25">
      <c r="A3594" s="4">
        <v>3588</v>
      </c>
      <c r="C3594" s="41" t="s">
        <v>5946</v>
      </c>
      <c r="D3594" s="42"/>
      <c r="E3594" s="5" t="str">
        <f t="shared" si="70"/>
        <v>https://www.screener.in/company//consolidated/</v>
      </c>
      <c r="F3594" s="4">
        <v>443059</v>
      </c>
      <c r="G3594" s="4">
        <v>3832241897</v>
      </c>
      <c r="H3594" s="6" t="e">
        <f t="shared" ca="1" si="71"/>
        <v>#VALUE!</v>
      </c>
      <c r="I3594" s="7" t="str">
        <f ca="1">IFERROR(__xludf.DUMMYFUNCTION("IMPORTXML(E3594,""/html/body/main/div[3]/div[3]/div[2]/ul/li[5]/span[2]/span"")"),"Loading...")</f>
        <v>Loading...</v>
      </c>
      <c r="J3594" s="7" t="str">
        <f ca="1">IFERROR(__xludf.DUMMYFUNCTION("GOOGLEFINANCE(""NSE:""&amp;D3594,""marketcap"")"),"#N/A")</f>
        <v>#N/A</v>
      </c>
      <c r="K3594" s="7">
        <v>992.8</v>
      </c>
      <c r="L3594" s="8" t="str">
        <f ca="1">IFERROR(__xludf.DUMMYFUNCTION("GOOGLEFINANCE(""NSE:""&amp;D3594,""price"")"),"#N/A")</f>
        <v>#N/A</v>
      </c>
      <c r="M3594" s="9" t="e">
        <f t="shared" ca="1" si="72"/>
        <v>#VALUE!</v>
      </c>
      <c r="N3594" s="10" t="e">
        <f t="shared" ca="1" si="73"/>
        <v>#VALUE!</v>
      </c>
      <c r="O3594" s="7" t="str">
        <f ca="1">IFERROR(__xludf.DUMMYFUNCTION("GOOGLEFINANCE(""NSE:""&amp;D3594,""pe"")"),"#N/A")</f>
        <v>#N/A</v>
      </c>
      <c r="P3594" s="7" t="str">
        <f ca="1">IFERROR(__xludf.DUMMYFUNCTION("GOOGLEFINANCE(""NSE:""&amp;D3594,""EPS"")"),"#N/A")</f>
        <v>#N/A</v>
      </c>
      <c r="Q3594" s="7">
        <v>13.5</v>
      </c>
      <c r="R3594" s="7" t="str">
        <f ca="1">IFERROR(__xludf.DUMMYFUNCTION("IMPORTXML(E3594,""/html/body/main/div[3]/div[3]/div[2]/ul/li[7]/span[2]/span"")"),"Loading...")</f>
        <v>Loading...</v>
      </c>
      <c r="S3594" s="7" t="str">
        <f ca="1">IFERROR(__xludf.DUMMYFUNCTION("IMPORTXML(E3594,""/html/body/main/div[3]/div[3]/div[2]/ul/li[8]/span[2]/span"")"),"Loading...")</f>
        <v>Loading...</v>
      </c>
      <c r="T3594" s="4">
        <v>34.6</v>
      </c>
      <c r="U3594" s="4">
        <v>22.7</v>
      </c>
      <c r="V3594" s="4">
        <v>2.6</v>
      </c>
      <c r="W3594" s="4">
        <v>5.7</v>
      </c>
      <c r="X3594" s="4">
        <v>519.92999999999995</v>
      </c>
      <c r="Y3594" s="7" t="e">
        <f t="shared" ca="1" si="74"/>
        <v>#VALUE!</v>
      </c>
    </row>
    <row r="3595" spans="1:25" ht="15" x14ac:dyDescent="0.25">
      <c r="A3595" s="4">
        <v>3589</v>
      </c>
      <c r="C3595" s="41" t="s">
        <v>5947</v>
      </c>
      <c r="D3595" s="42"/>
      <c r="E3595" s="5" t="str">
        <f t="shared" si="70"/>
        <v>https://www.screener.in/company//consolidated/</v>
      </c>
      <c r="F3595" s="4">
        <v>443059</v>
      </c>
      <c r="G3595" s="4">
        <v>3832241897</v>
      </c>
      <c r="H3595" s="6" t="e">
        <f t="shared" ca="1" si="71"/>
        <v>#VALUE!</v>
      </c>
      <c r="I3595" s="7" t="str">
        <f ca="1">IFERROR(__xludf.DUMMYFUNCTION("IMPORTXML(E3595,""/html/body/main/div[3]/div[3]/div[2]/ul/li[5]/span[2]/span"")"),"Loading...")</f>
        <v>Loading...</v>
      </c>
      <c r="J3595" s="7" t="str">
        <f ca="1">IFERROR(__xludf.DUMMYFUNCTION("GOOGLEFINANCE(""NSE:""&amp;D3595,""marketcap"")"),"#N/A")</f>
        <v>#N/A</v>
      </c>
      <c r="K3595" s="7">
        <v>992.8</v>
      </c>
      <c r="L3595" s="8" t="str">
        <f ca="1">IFERROR(__xludf.DUMMYFUNCTION("GOOGLEFINANCE(""NSE:""&amp;D3595,""price"")"),"#N/A")</f>
        <v>#N/A</v>
      </c>
      <c r="M3595" s="9" t="e">
        <f t="shared" ca="1" si="72"/>
        <v>#VALUE!</v>
      </c>
      <c r="N3595" s="10" t="e">
        <f t="shared" ca="1" si="73"/>
        <v>#VALUE!</v>
      </c>
      <c r="O3595" s="7" t="str">
        <f ca="1">IFERROR(__xludf.DUMMYFUNCTION("GOOGLEFINANCE(""NSE:""&amp;D3595,""pe"")"),"#N/A")</f>
        <v>#N/A</v>
      </c>
      <c r="P3595" s="7" t="str">
        <f ca="1">IFERROR(__xludf.DUMMYFUNCTION("GOOGLEFINANCE(""NSE:""&amp;D3595,""EPS"")"),"#N/A")</f>
        <v>#N/A</v>
      </c>
      <c r="Q3595" s="7">
        <v>13.5</v>
      </c>
      <c r="R3595" s="7" t="str">
        <f ca="1">IFERROR(__xludf.DUMMYFUNCTION("IMPORTXML(E3595,""/html/body/main/div[3]/div[3]/div[2]/ul/li[7]/span[2]/span"")"),"Loading...")</f>
        <v>Loading...</v>
      </c>
      <c r="S3595" s="7" t="str">
        <f ca="1">IFERROR(__xludf.DUMMYFUNCTION("IMPORTXML(E3595,""/html/body/main/div[3]/div[3]/div[2]/ul/li[8]/span[2]/span"")"),"Loading...")</f>
        <v>Loading...</v>
      </c>
      <c r="T3595" s="4">
        <v>34.6</v>
      </c>
      <c r="U3595" s="4">
        <v>22.7</v>
      </c>
      <c r="V3595" s="4">
        <v>2.6</v>
      </c>
      <c r="W3595" s="4">
        <v>5.7</v>
      </c>
      <c r="X3595" s="4">
        <v>519.92999999999995</v>
      </c>
      <c r="Y3595" s="7" t="e">
        <f t="shared" ca="1" si="74"/>
        <v>#VALUE!</v>
      </c>
    </row>
    <row r="3596" spans="1:25" ht="15" x14ac:dyDescent="0.25">
      <c r="A3596" s="4">
        <v>3590</v>
      </c>
      <c r="C3596" s="41" t="s">
        <v>5948</v>
      </c>
      <c r="D3596" s="42"/>
      <c r="E3596" s="5" t="str">
        <f t="shared" si="70"/>
        <v>https://www.screener.in/company//consolidated/</v>
      </c>
      <c r="F3596" s="4">
        <v>443059</v>
      </c>
      <c r="G3596" s="4">
        <v>3832241897</v>
      </c>
      <c r="H3596" s="6" t="e">
        <f t="shared" ca="1" si="71"/>
        <v>#VALUE!</v>
      </c>
      <c r="I3596" s="7" t="str">
        <f ca="1">IFERROR(__xludf.DUMMYFUNCTION("IMPORTXML(E3596,""/html/body/main/div[3]/div[3]/div[2]/ul/li[5]/span[2]/span"")"),"Loading...")</f>
        <v>Loading...</v>
      </c>
      <c r="J3596" s="7" t="str">
        <f ca="1">IFERROR(__xludf.DUMMYFUNCTION("GOOGLEFINANCE(""NSE:""&amp;D3596,""marketcap"")"),"#N/A")</f>
        <v>#N/A</v>
      </c>
      <c r="K3596" s="7">
        <v>992.8</v>
      </c>
      <c r="L3596" s="8" t="str">
        <f ca="1">IFERROR(__xludf.DUMMYFUNCTION("GOOGLEFINANCE(""NSE:""&amp;D3596,""price"")"),"#N/A")</f>
        <v>#N/A</v>
      </c>
      <c r="M3596" s="9" t="e">
        <f t="shared" ca="1" si="72"/>
        <v>#VALUE!</v>
      </c>
      <c r="N3596" s="10" t="e">
        <f t="shared" ca="1" si="73"/>
        <v>#VALUE!</v>
      </c>
      <c r="O3596" s="7" t="str">
        <f ca="1">IFERROR(__xludf.DUMMYFUNCTION("GOOGLEFINANCE(""NSE:""&amp;D3596,""pe"")"),"#N/A")</f>
        <v>#N/A</v>
      </c>
      <c r="P3596" s="7" t="str">
        <f ca="1">IFERROR(__xludf.DUMMYFUNCTION("GOOGLEFINANCE(""NSE:""&amp;D3596,""EPS"")"),"#N/A")</f>
        <v>#N/A</v>
      </c>
      <c r="Q3596" s="7">
        <v>13.5</v>
      </c>
      <c r="R3596" s="7" t="str">
        <f ca="1">IFERROR(__xludf.DUMMYFUNCTION("IMPORTXML(E3596,""/html/body/main/div[3]/div[3]/div[2]/ul/li[7]/span[2]/span"")"),"Loading...")</f>
        <v>Loading...</v>
      </c>
      <c r="S3596" s="7" t="str">
        <f ca="1">IFERROR(__xludf.DUMMYFUNCTION("IMPORTXML(E3596,""/html/body/main/div[3]/div[3]/div[2]/ul/li[8]/span[2]/span"")"),"Loading...")</f>
        <v>Loading...</v>
      </c>
      <c r="T3596" s="4">
        <v>34.6</v>
      </c>
      <c r="U3596" s="4">
        <v>22.7</v>
      </c>
      <c r="V3596" s="4">
        <v>2.6</v>
      </c>
      <c r="W3596" s="4">
        <v>5.7</v>
      </c>
      <c r="X3596" s="4">
        <v>519.92999999999995</v>
      </c>
      <c r="Y3596" s="7" t="e">
        <f t="shared" ca="1" si="74"/>
        <v>#VALUE!</v>
      </c>
    </row>
    <row r="3597" spans="1:25" ht="15" x14ac:dyDescent="0.25">
      <c r="A3597" s="4">
        <v>3591</v>
      </c>
      <c r="C3597" s="41" t="s">
        <v>5949</v>
      </c>
      <c r="D3597" s="42"/>
      <c r="E3597" s="5" t="str">
        <f t="shared" si="70"/>
        <v>https://www.screener.in/company//consolidated/</v>
      </c>
      <c r="F3597" s="4">
        <v>443059</v>
      </c>
      <c r="G3597" s="4">
        <v>3832241897</v>
      </c>
      <c r="H3597" s="6" t="e">
        <f t="shared" ca="1" si="71"/>
        <v>#VALUE!</v>
      </c>
      <c r="I3597" s="7" t="str">
        <f ca="1">IFERROR(__xludf.DUMMYFUNCTION("IMPORTXML(E3597,""/html/body/main/div[3]/div[3]/div[2]/ul/li[5]/span[2]/span"")"),"Loading...")</f>
        <v>Loading...</v>
      </c>
      <c r="J3597" s="7" t="str">
        <f ca="1">IFERROR(__xludf.DUMMYFUNCTION("GOOGLEFINANCE(""NSE:""&amp;D3597,""marketcap"")"),"#N/A")</f>
        <v>#N/A</v>
      </c>
      <c r="K3597" s="7">
        <v>992.8</v>
      </c>
      <c r="L3597" s="8" t="str">
        <f ca="1">IFERROR(__xludf.DUMMYFUNCTION("GOOGLEFINANCE(""NSE:""&amp;D3597,""price"")"),"#N/A")</f>
        <v>#N/A</v>
      </c>
      <c r="M3597" s="9" t="e">
        <f t="shared" ca="1" si="72"/>
        <v>#VALUE!</v>
      </c>
      <c r="N3597" s="10" t="e">
        <f t="shared" ca="1" si="73"/>
        <v>#VALUE!</v>
      </c>
      <c r="O3597" s="7" t="str">
        <f ca="1">IFERROR(__xludf.DUMMYFUNCTION("GOOGLEFINANCE(""NSE:""&amp;D3597,""pe"")"),"#N/A")</f>
        <v>#N/A</v>
      </c>
      <c r="P3597" s="7" t="str">
        <f ca="1">IFERROR(__xludf.DUMMYFUNCTION("GOOGLEFINANCE(""NSE:""&amp;D3597,""EPS"")"),"#N/A")</f>
        <v>#N/A</v>
      </c>
      <c r="Q3597" s="7">
        <v>13.5</v>
      </c>
      <c r="R3597" s="7" t="str">
        <f ca="1">IFERROR(__xludf.DUMMYFUNCTION("IMPORTXML(E3597,""/html/body/main/div[3]/div[3]/div[2]/ul/li[7]/span[2]/span"")"),"Loading...")</f>
        <v>Loading...</v>
      </c>
      <c r="S3597" s="7" t="str">
        <f ca="1">IFERROR(__xludf.DUMMYFUNCTION("IMPORTXML(E3597,""/html/body/main/div[3]/div[3]/div[2]/ul/li[8]/span[2]/span"")"),"Loading...")</f>
        <v>Loading...</v>
      </c>
      <c r="T3597" s="4">
        <v>34.6</v>
      </c>
      <c r="U3597" s="4">
        <v>22.7</v>
      </c>
      <c r="V3597" s="4">
        <v>2.6</v>
      </c>
      <c r="W3597" s="4">
        <v>5.7</v>
      </c>
      <c r="X3597" s="4">
        <v>519.92999999999995</v>
      </c>
      <c r="Y3597" s="7" t="e">
        <f t="shared" ca="1" si="74"/>
        <v>#VALUE!</v>
      </c>
    </row>
    <row r="3598" spans="1:25" ht="15" x14ac:dyDescent="0.25">
      <c r="A3598" s="4">
        <v>3592</v>
      </c>
      <c r="C3598" s="41" t="s">
        <v>5950</v>
      </c>
      <c r="D3598" s="42"/>
      <c r="E3598" s="5" t="str">
        <f t="shared" si="70"/>
        <v>https://www.screener.in/company//consolidated/</v>
      </c>
      <c r="F3598" s="4">
        <v>443059</v>
      </c>
      <c r="G3598" s="4">
        <v>3832241897</v>
      </c>
      <c r="H3598" s="6" t="e">
        <f t="shared" ca="1" si="71"/>
        <v>#VALUE!</v>
      </c>
      <c r="I3598" s="7" t="str">
        <f ca="1">IFERROR(__xludf.DUMMYFUNCTION("IMPORTXML(E3598,""/html/body/main/div[3]/div[3]/div[2]/ul/li[5]/span[2]/span"")"),"Loading...")</f>
        <v>Loading...</v>
      </c>
      <c r="J3598" s="7" t="str">
        <f ca="1">IFERROR(__xludf.DUMMYFUNCTION("GOOGLEFINANCE(""NSE:""&amp;D3598,""marketcap"")"),"#N/A")</f>
        <v>#N/A</v>
      </c>
      <c r="K3598" s="7">
        <v>992.8</v>
      </c>
      <c r="L3598" s="8" t="str">
        <f ca="1">IFERROR(__xludf.DUMMYFUNCTION("GOOGLEFINANCE(""NSE:""&amp;D3598,""price"")"),"#N/A")</f>
        <v>#N/A</v>
      </c>
      <c r="M3598" s="9" t="e">
        <f t="shared" ca="1" si="72"/>
        <v>#VALUE!</v>
      </c>
      <c r="N3598" s="10" t="e">
        <f t="shared" ca="1" si="73"/>
        <v>#VALUE!</v>
      </c>
      <c r="O3598" s="7" t="str">
        <f ca="1">IFERROR(__xludf.DUMMYFUNCTION("GOOGLEFINANCE(""NSE:""&amp;D3598,""pe"")"),"#N/A")</f>
        <v>#N/A</v>
      </c>
      <c r="P3598" s="7" t="str">
        <f ca="1">IFERROR(__xludf.DUMMYFUNCTION("GOOGLEFINANCE(""NSE:""&amp;D3598,""EPS"")"),"#N/A")</f>
        <v>#N/A</v>
      </c>
      <c r="Q3598" s="7">
        <v>13.5</v>
      </c>
      <c r="R3598" s="7" t="str">
        <f ca="1">IFERROR(__xludf.DUMMYFUNCTION("IMPORTXML(E3598,""/html/body/main/div[3]/div[3]/div[2]/ul/li[7]/span[2]/span"")"),"Loading...")</f>
        <v>Loading...</v>
      </c>
      <c r="S3598" s="7" t="str">
        <f ca="1">IFERROR(__xludf.DUMMYFUNCTION("IMPORTXML(E3598,""/html/body/main/div[3]/div[3]/div[2]/ul/li[8]/span[2]/span"")"),"Loading...")</f>
        <v>Loading...</v>
      </c>
      <c r="T3598" s="4">
        <v>34.6</v>
      </c>
      <c r="U3598" s="4">
        <v>22.7</v>
      </c>
      <c r="V3598" s="4">
        <v>2.6</v>
      </c>
      <c r="W3598" s="4">
        <v>5.7</v>
      </c>
      <c r="X3598" s="4">
        <v>519.92999999999995</v>
      </c>
      <c r="Y3598" s="7" t="e">
        <f t="shared" ca="1" si="74"/>
        <v>#VALUE!</v>
      </c>
    </row>
    <row r="3599" spans="1:25" ht="15" x14ac:dyDescent="0.25">
      <c r="A3599" s="4">
        <v>3593</v>
      </c>
      <c r="C3599" s="41" t="s">
        <v>5951</v>
      </c>
      <c r="D3599" s="42"/>
      <c r="E3599" s="5" t="str">
        <f t="shared" si="70"/>
        <v>https://www.screener.in/company//consolidated/</v>
      </c>
      <c r="F3599" s="4">
        <v>443059</v>
      </c>
      <c r="G3599" s="4">
        <v>3832241897</v>
      </c>
      <c r="H3599" s="6" t="e">
        <f t="shared" ca="1" si="71"/>
        <v>#VALUE!</v>
      </c>
      <c r="I3599" s="7" t="str">
        <f ca="1">IFERROR(__xludf.DUMMYFUNCTION("IMPORTXML(E3599,""/html/body/main/div[3]/div[3]/div[2]/ul/li[5]/span[2]/span"")"),"Loading...")</f>
        <v>Loading...</v>
      </c>
      <c r="J3599" s="7" t="str">
        <f ca="1">IFERROR(__xludf.DUMMYFUNCTION("GOOGLEFINANCE(""NSE:""&amp;D3599,""marketcap"")"),"#N/A")</f>
        <v>#N/A</v>
      </c>
      <c r="K3599" s="7">
        <v>992.8</v>
      </c>
      <c r="L3599" s="8" t="str">
        <f ca="1">IFERROR(__xludf.DUMMYFUNCTION("GOOGLEFINANCE(""NSE:""&amp;D3599,""price"")"),"#N/A")</f>
        <v>#N/A</v>
      </c>
      <c r="M3599" s="9" t="e">
        <f t="shared" ca="1" si="72"/>
        <v>#VALUE!</v>
      </c>
      <c r="N3599" s="10" t="e">
        <f t="shared" ca="1" si="73"/>
        <v>#VALUE!</v>
      </c>
      <c r="O3599" s="7" t="str">
        <f ca="1">IFERROR(__xludf.DUMMYFUNCTION("GOOGLEFINANCE(""NSE:""&amp;D3599,""pe"")"),"#N/A")</f>
        <v>#N/A</v>
      </c>
      <c r="P3599" s="7" t="str">
        <f ca="1">IFERROR(__xludf.DUMMYFUNCTION("GOOGLEFINANCE(""NSE:""&amp;D3599,""EPS"")"),"#N/A")</f>
        <v>#N/A</v>
      </c>
      <c r="Q3599" s="7">
        <v>13.5</v>
      </c>
      <c r="R3599" s="7" t="str">
        <f ca="1">IFERROR(__xludf.DUMMYFUNCTION("IMPORTXML(E3599,""/html/body/main/div[3]/div[3]/div[2]/ul/li[7]/span[2]/span"")"),"Loading...")</f>
        <v>Loading...</v>
      </c>
      <c r="S3599" s="7" t="str">
        <f ca="1">IFERROR(__xludf.DUMMYFUNCTION("IMPORTXML(E3599,""/html/body/main/div[3]/div[3]/div[2]/ul/li[8]/span[2]/span"")"),"Loading...")</f>
        <v>Loading...</v>
      </c>
      <c r="T3599" s="4">
        <v>34.6</v>
      </c>
      <c r="U3599" s="4">
        <v>22.7</v>
      </c>
      <c r="V3599" s="4">
        <v>2.6</v>
      </c>
      <c r="W3599" s="4">
        <v>5.7</v>
      </c>
      <c r="X3599" s="4">
        <v>519.92999999999995</v>
      </c>
      <c r="Y3599" s="7" t="e">
        <f t="shared" ca="1" si="74"/>
        <v>#VALUE!</v>
      </c>
    </row>
    <row r="3600" spans="1:25" ht="15" x14ac:dyDescent="0.25">
      <c r="A3600" s="4">
        <v>3594</v>
      </c>
      <c r="C3600" s="41" t="s">
        <v>5952</v>
      </c>
      <c r="D3600" s="42"/>
      <c r="E3600" s="5" t="str">
        <f t="shared" si="70"/>
        <v>https://www.screener.in/company//consolidated/</v>
      </c>
      <c r="F3600" s="4">
        <v>443059</v>
      </c>
      <c r="G3600" s="4">
        <v>3832241897</v>
      </c>
      <c r="H3600" s="6" t="e">
        <f t="shared" ca="1" si="71"/>
        <v>#VALUE!</v>
      </c>
      <c r="I3600" s="7" t="str">
        <f ca="1">IFERROR(__xludf.DUMMYFUNCTION("IMPORTXML(E3600,""/html/body/main/div[3]/div[3]/div[2]/ul/li[5]/span[2]/span"")"),"Loading...")</f>
        <v>Loading...</v>
      </c>
      <c r="J3600" s="7" t="str">
        <f ca="1">IFERROR(__xludf.DUMMYFUNCTION("GOOGLEFINANCE(""NSE:""&amp;D3600,""marketcap"")"),"#N/A")</f>
        <v>#N/A</v>
      </c>
      <c r="K3600" s="7">
        <v>992.8</v>
      </c>
      <c r="L3600" s="8" t="str">
        <f ca="1">IFERROR(__xludf.DUMMYFUNCTION("GOOGLEFINANCE(""NSE:""&amp;D3600,""price"")"),"#N/A")</f>
        <v>#N/A</v>
      </c>
      <c r="M3600" s="9" t="e">
        <f t="shared" ca="1" si="72"/>
        <v>#VALUE!</v>
      </c>
      <c r="N3600" s="10" t="e">
        <f t="shared" ca="1" si="73"/>
        <v>#VALUE!</v>
      </c>
      <c r="O3600" s="7" t="str">
        <f ca="1">IFERROR(__xludf.DUMMYFUNCTION("GOOGLEFINANCE(""NSE:""&amp;D3600,""pe"")"),"#N/A")</f>
        <v>#N/A</v>
      </c>
      <c r="P3600" s="7" t="str">
        <f ca="1">IFERROR(__xludf.DUMMYFUNCTION("GOOGLEFINANCE(""NSE:""&amp;D3600,""EPS"")"),"#N/A")</f>
        <v>#N/A</v>
      </c>
      <c r="Q3600" s="7">
        <v>13.5</v>
      </c>
      <c r="R3600" s="7" t="str">
        <f ca="1">IFERROR(__xludf.DUMMYFUNCTION("IMPORTXML(E3600,""/html/body/main/div[3]/div[3]/div[2]/ul/li[7]/span[2]/span"")"),"Loading...")</f>
        <v>Loading...</v>
      </c>
      <c r="S3600" s="7" t="str">
        <f ca="1">IFERROR(__xludf.DUMMYFUNCTION("IMPORTXML(E3600,""/html/body/main/div[3]/div[3]/div[2]/ul/li[8]/span[2]/span"")"),"Loading...")</f>
        <v>Loading...</v>
      </c>
      <c r="T3600" s="4">
        <v>34.6</v>
      </c>
      <c r="U3600" s="4">
        <v>22.7</v>
      </c>
      <c r="V3600" s="4">
        <v>2.6</v>
      </c>
      <c r="W3600" s="4">
        <v>5.7</v>
      </c>
      <c r="X3600" s="4">
        <v>519.92999999999995</v>
      </c>
      <c r="Y3600" s="7" t="e">
        <f t="shared" ca="1" si="74"/>
        <v>#VALUE!</v>
      </c>
    </row>
    <row r="3601" spans="1:25" ht="15" x14ac:dyDescent="0.25">
      <c r="A3601" s="4">
        <v>3595</v>
      </c>
      <c r="C3601" s="41" t="s">
        <v>5953</v>
      </c>
      <c r="D3601" s="42"/>
      <c r="E3601" s="5" t="str">
        <f t="shared" si="70"/>
        <v>https://www.screener.in/company//consolidated/</v>
      </c>
      <c r="F3601" s="4">
        <v>443059</v>
      </c>
      <c r="G3601" s="4">
        <v>3832241897</v>
      </c>
      <c r="H3601" s="6" t="e">
        <f t="shared" ca="1" si="71"/>
        <v>#VALUE!</v>
      </c>
      <c r="I3601" s="7" t="str">
        <f ca="1">IFERROR(__xludf.DUMMYFUNCTION("IMPORTXML(E3601,""/html/body/main/div[3]/div[3]/div[2]/ul/li[5]/span[2]/span"")"),"Loading...")</f>
        <v>Loading...</v>
      </c>
      <c r="J3601" s="7" t="str">
        <f ca="1">IFERROR(__xludf.DUMMYFUNCTION("GOOGLEFINANCE(""NSE:""&amp;D3601,""marketcap"")"),"#N/A")</f>
        <v>#N/A</v>
      </c>
      <c r="K3601" s="7">
        <v>992.8</v>
      </c>
      <c r="L3601" s="8" t="str">
        <f ca="1">IFERROR(__xludf.DUMMYFUNCTION("GOOGLEFINANCE(""NSE:""&amp;D3601,""price"")"),"#N/A")</f>
        <v>#N/A</v>
      </c>
      <c r="M3601" s="9" t="e">
        <f t="shared" ca="1" si="72"/>
        <v>#VALUE!</v>
      </c>
      <c r="N3601" s="10" t="e">
        <f t="shared" ca="1" si="73"/>
        <v>#VALUE!</v>
      </c>
      <c r="O3601" s="7" t="str">
        <f ca="1">IFERROR(__xludf.DUMMYFUNCTION("GOOGLEFINANCE(""NSE:""&amp;D3601,""pe"")"),"#N/A")</f>
        <v>#N/A</v>
      </c>
      <c r="P3601" s="7" t="str">
        <f ca="1">IFERROR(__xludf.DUMMYFUNCTION("GOOGLEFINANCE(""NSE:""&amp;D3601,""EPS"")"),"#N/A")</f>
        <v>#N/A</v>
      </c>
      <c r="Q3601" s="7">
        <v>13.5</v>
      </c>
      <c r="R3601" s="7" t="str">
        <f ca="1">IFERROR(__xludf.DUMMYFUNCTION("IMPORTXML(E3601,""/html/body/main/div[3]/div[3]/div[2]/ul/li[7]/span[2]/span"")"),"Loading...")</f>
        <v>Loading...</v>
      </c>
      <c r="S3601" s="7" t="str">
        <f ca="1">IFERROR(__xludf.DUMMYFUNCTION("IMPORTXML(E3601,""/html/body/main/div[3]/div[3]/div[2]/ul/li[8]/span[2]/span"")"),"Loading...")</f>
        <v>Loading...</v>
      </c>
      <c r="T3601" s="4">
        <v>34.6</v>
      </c>
      <c r="U3601" s="4">
        <v>22.7</v>
      </c>
      <c r="V3601" s="4">
        <v>2.6</v>
      </c>
      <c r="W3601" s="4">
        <v>5.7</v>
      </c>
      <c r="X3601" s="4">
        <v>519.92999999999995</v>
      </c>
      <c r="Y3601" s="7" t="e">
        <f t="shared" ca="1" si="74"/>
        <v>#VALUE!</v>
      </c>
    </row>
    <row r="3602" spans="1:25" ht="15" x14ac:dyDescent="0.25">
      <c r="A3602" s="4">
        <v>3596</v>
      </c>
      <c r="C3602" s="41" t="s">
        <v>5954</v>
      </c>
      <c r="D3602" s="42"/>
      <c r="E3602" s="5" t="str">
        <f t="shared" si="70"/>
        <v>https://www.screener.in/company//consolidated/</v>
      </c>
      <c r="F3602" s="4">
        <v>443059</v>
      </c>
      <c r="G3602" s="4">
        <v>3832241897</v>
      </c>
      <c r="H3602" s="6" t="e">
        <f t="shared" ca="1" si="71"/>
        <v>#VALUE!</v>
      </c>
      <c r="I3602" s="7" t="str">
        <f ca="1">IFERROR(__xludf.DUMMYFUNCTION("IMPORTXML(E3602,""/html/body/main/div[3]/div[3]/div[2]/ul/li[5]/span[2]/span"")"),"Loading...")</f>
        <v>Loading...</v>
      </c>
      <c r="J3602" s="7" t="str">
        <f ca="1">IFERROR(__xludf.DUMMYFUNCTION("GOOGLEFINANCE(""NSE:""&amp;D3602,""marketcap"")"),"#N/A")</f>
        <v>#N/A</v>
      </c>
      <c r="K3602" s="7">
        <v>992.8</v>
      </c>
      <c r="L3602" s="8" t="str">
        <f ca="1">IFERROR(__xludf.DUMMYFUNCTION("GOOGLEFINANCE(""NSE:""&amp;D3602,""price"")"),"#N/A")</f>
        <v>#N/A</v>
      </c>
      <c r="M3602" s="9" t="e">
        <f t="shared" ca="1" si="72"/>
        <v>#VALUE!</v>
      </c>
      <c r="N3602" s="10" t="e">
        <f t="shared" ca="1" si="73"/>
        <v>#VALUE!</v>
      </c>
      <c r="O3602" s="7" t="str">
        <f ca="1">IFERROR(__xludf.DUMMYFUNCTION("GOOGLEFINANCE(""NSE:""&amp;D3602,""pe"")"),"#N/A")</f>
        <v>#N/A</v>
      </c>
      <c r="P3602" s="7" t="str">
        <f ca="1">IFERROR(__xludf.DUMMYFUNCTION("GOOGLEFINANCE(""NSE:""&amp;D3602,""EPS"")"),"#N/A")</f>
        <v>#N/A</v>
      </c>
      <c r="Q3602" s="7">
        <v>13.5</v>
      </c>
      <c r="R3602" s="7" t="str">
        <f ca="1">IFERROR(__xludf.DUMMYFUNCTION("IMPORTXML(E3602,""/html/body/main/div[3]/div[3]/div[2]/ul/li[7]/span[2]/span"")"),"Loading...")</f>
        <v>Loading...</v>
      </c>
      <c r="S3602" s="7" t="str">
        <f ca="1">IFERROR(__xludf.DUMMYFUNCTION("IMPORTXML(E3602,""/html/body/main/div[3]/div[3]/div[2]/ul/li[8]/span[2]/span"")"),"Loading...")</f>
        <v>Loading...</v>
      </c>
      <c r="T3602" s="4">
        <v>34.6</v>
      </c>
      <c r="U3602" s="4">
        <v>22.7</v>
      </c>
      <c r="V3602" s="4">
        <v>2.6</v>
      </c>
      <c r="W3602" s="4">
        <v>5.7</v>
      </c>
      <c r="X3602" s="4">
        <v>519.92999999999995</v>
      </c>
      <c r="Y3602" s="7" t="e">
        <f t="shared" ca="1" si="74"/>
        <v>#VALUE!</v>
      </c>
    </row>
    <row r="3603" spans="1:25" ht="15" x14ac:dyDescent="0.25">
      <c r="A3603" s="4">
        <v>3597</v>
      </c>
      <c r="C3603" s="41" t="s">
        <v>5955</v>
      </c>
      <c r="D3603" s="42"/>
      <c r="E3603" s="5" t="str">
        <f t="shared" si="70"/>
        <v>https://www.screener.in/company//consolidated/</v>
      </c>
      <c r="F3603" s="4">
        <v>443059</v>
      </c>
      <c r="G3603" s="4">
        <v>3832241897</v>
      </c>
      <c r="H3603" s="6" t="e">
        <f t="shared" ca="1" si="71"/>
        <v>#VALUE!</v>
      </c>
      <c r="I3603" s="7" t="str">
        <f ca="1">IFERROR(__xludf.DUMMYFUNCTION("IMPORTXML(E3603,""/html/body/main/div[3]/div[3]/div[2]/ul/li[5]/span[2]/span"")"),"Loading...")</f>
        <v>Loading...</v>
      </c>
      <c r="J3603" s="7" t="str">
        <f ca="1">IFERROR(__xludf.DUMMYFUNCTION("GOOGLEFINANCE(""NSE:""&amp;D3603,""marketcap"")"),"#N/A")</f>
        <v>#N/A</v>
      </c>
      <c r="K3603" s="7">
        <v>992.8</v>
      </c>
      <c r="L3603" s="8" t="str">
        <f ca="1">IFERROR(__xludf.DUMMYFUNCTION("GOOGLEFINANCE(""NSE:""&amp;D3603,""price"")"),"#N/A")</f>
        <v>#N/A</v>
      </c>
      <c r="M3603" s="9" t="e">
        <f t="shared" ca="1" si="72"/>
        <v>#VALUE!</v>
      </c>
      <c r="N3603" s="10" t="e">
        <f t="shared" ca="1" si="73"/>
        <v>#VALUE!</v>
      </c>
      <c r="O3603" s="7" t="str">
        <f ca="1">IFERROR(__xludf.DUMMYFUNCTION("GOOGLEFINANCE(""NSE:""&amp;D3603,""pe"")"),"#N/A")</f>
        <v>#N/A</v>
      </c>
      <c r="P3603" s="7" t="str">
        <f ca="1">IFERROR(__xludf.DUMMYFUNCTION("GOOGLEFINANCE(""NSE:""&amp;D3603,""EPS"")"),"#N/A")</f>
        <v>#N/A</v>
      </c>
      <c r="Q3603" s="7">
        <v>13.5</v>
      </c>
      <c r="R3603" s="7" t="str">
        <f ca="1">IFERROR(__xludf.DUMMYFUNCTION("IMPORTXML(E3603,""/html/body/main/div[3]/div[3]/div[2]/ul/li[7]/span[2]/span"")"),"Loading...")</f>
        <v>Loading...</v>
      </c>
      <c r="S3603" s="7" t="str">
        <f ca="1">IFERROR(__xludf.DUMMYFUNCTION("IMPORTXML(E3603,""/html/body/main/div[3]/div[3]/div[2]/ul/li[8]/span[2]/span"")"),"Loading...")</f>
        <v>Loading...</v>
      </c>
      <c r="T3603" s="4">
        <v>34.6</v>
      </c>
      <c r="U3603" s="4">
        <v>22.7</v>
      </c>
      <c r="V3603" s="4">
        <v>2.6</v>
      </c>
      <c r="W3603" s="4">
        <v>5.7</v>
      </c>
      <c r="X3603" s="4">
        <v>519.92999999999995</v>
      </c>
      <c r="Y3603" s="7" t="e">
        <f t="shared" ca="1" si="74"/>
        <v>#VALUE!</v>
      </c>
    </row>
    <row r="3604" spans="1:25" ht="15" x14ac:dyDescent="0.25">
      <c r="A3604" s="4">
        <v>3598</v>
      </c>
      <c r="C3604" s="41" t="s">
        <v>5956</v>
      </c>
      <c r="D3604" s="42"/>
      <c r="E3604" s="5" t="str">
        <f t="shared" si="70"/>
        <v>https://www.screener.in/company//consolidated/</v>
      </c>
      <c r="F3604" s="4">
        <v>443059</v>
      </c>
      <c r="G3604" s="4">
        <v>3832241897</v>
      </c>
      <c r="H3604" s="6" t="e">
        <f t="shared" ca="1" si="71"/>
        <v>#VALUE!</v>
      </c>
      <c r="I3604" s="7" t="str">
        <f ca="1">IFERROR(__xludf.DUMMYFUNCTION("IMPORTXML(E3604,""/html/body/main/div[3]/div[3]/div[2]/ul/li[5]/span[2]/span"")"),"Loading...")</f>
        <v>Loading...</v>
      </c>
      <c r="J3604" s="7" t="str">
        <f ca="1">IFERROR(__xludf.DUMMYFUNCTION("GOOGLEFINANCE(""NSE:""&amp;D3604,""marketcap"")"),"#N/A")</f>
        <v>#N/A</v>
      </c>
      <c r="K3604" s="7">
        <v>992.8</v>
      </c>
      <c r="L3604" s="8" t="str">
        <f ca="1">IFERROR(__xludf.DUMMYFUNCTION("GOOGLEFINANCE(""NSE:""&amp;D3604,""price"")"),"#N/A")</f>
        <v>#N/A</v>
      </c>
      <c r="M3604" s="9" t="e">
        <f t="shared" ca="1" si="72"/>
        <v>#VALUE!</v>
      </c>
      <c r="N3604" s="10" t="e">
        <f t="shared" ca="1" si="73"/>
        <v>#VALUE!</v>
      </c>
      <c r="O3604" s="7" t="str">
        <f ca="1">IFERROR(__xludf.DUMMYFUNCTION("GOOGLEFINANCE(""NSE:""&amp;D3604,""pe"")"),"#N/A")</f>
        <v>#N/A</v>
      </c>
      <c r="P3604" s="7" t="str">
        <f ca="1">IFERROR(__xludf.DUMMYFUNCTION("GOOGLEFINANCE(""NSE:""&amp;D3604,""EPS"")"),"#N/A")</f>
        <v>#N/A</v>
      </c>
      <c r="Q3604" s="7">
        <v>13.5</v>
      </c>
      <c r="R3604" s="7" t="str">
        <f ca="1">IFERROR(__xludf.DUMMYFUNCTION("IMPORTXML(E3604,""/html/body/main/div[3]/div[3]/div[2]/ul/li[7]/span[2]/span"")"),"Loading...")</f>
        <v>Loading...</v>
      </c>
      <c r="S3604" s="7" t="str">
        <f ca="1">IFERROR(__xludf.DUMMYFUNCTION("IMPORTXML(E3604,""/html/body/main/div[3]/div[3]/div[2]/ul/li[8]/span[2]/span"")"),"Loading...")</f>
        <v>Loading...</v>
      </c>
      <c r="T3604" s="4">
        <v>34.6</v>
      </c>
      <c r="U3604" s="4">
        <v>22.7</v>
      </c>
      <c r="V3604" s="4">
        <v>2.6</v>
      </c>
      <c r="W3604" s="4">
        <v>5.7</v>
      </c>
      <c r="X3604" s="4">
        <v>519.92999999999995</v>
      </c>
      <c r="Y3604" s="7" t="e">
        <f t="shared" ca="1" si="74"/>
        <v>#VALUE!</v>
      </c>
    </row>
    <row r="3605" spans="1:25" ht="15" x14ac:dyDescent="0.25">
      <c r="A3605" s="4">
        <v>3599</v>
      </c>
      <c r="C3605" s="41" t="s">
        <v>5957</v>
      </c>
      <c r="D3605" s="42"/>
      <c r="E3605" s="5" t="str">
        <f t="shared" si="70"/>
        <v>https://www.screener.in/company//consolidated/</v>
      </c>
      <c r="F3605" s="4">
        <v>443059</v>
      </c>
      <c r="G3605" s="4">
        <v>3832241897</v>
      </c>
      <c r="H3605" s="6" t="e">
        <f t="shared" ca="1" si="71"/>
        <v>#VALUE!</v>
      </c>
      <c r="I3605" s="7" t="str">
        <f ca="1">IFERROR(__xludf.DUMMYFUNCTION("IMPORTXML(E3605,""/html/body/main/div[3]/div[3]/div[2]/ul/li[5]/span[2]/span"")"),"Loading...")</f>
        <v>Loading...</v>
      </c>
      <c r="J3605" s="7" t="str">
        <f ca="1">IFERROR(__xludf.DUMMYFUNCTION("GOOGLEFINANCE(""NSE:""&amp;D3605,""marketcap"")"),"#N/A")</f>
        <v>#N/A</v>
      </c>
      <c r="K3605" s="7">
        <v>992.8</v>
      </c>
      <c r="L3605" s="8" t="str">
        <f ca="1">IFERROR(__xludf.DUMMYFUNCTION("GOOGLEFINANCE(""NSE:""&amp;D3605,""price"")"),"#N/A")</f>
        <v>#N/A</v>
      </c>
      <c r="M3605" s="9" t="e">
        <f t="shared" ca="1" si="72"/>
        <v>#VALUE!</v>
      </c>
      <c r="N3605" s="10" t="e">
        <f t="shared" ca="1" si="73"/>
        <v>#VALUE!</v>
      </c>
      <c r="O3605" s="7" t="str">
        <f ca="1">IFERROR(__xludf.DUMMYFUNCTION("GOOGLEFINANCE(""NSE:""&amp;D3605,""pe"")"),"#N/A")</f>
        <v>#N/A</v>
      </c>
      <c r="P3605" s="7" t="str">
        <f ca="1">IFERROR(__xludf.DUMMYFUNCTION("GOOGLEFINANCE(""NSE:""&amp;D3605,""EPS"")"),"#N/A")</f>
        <v>#N/A</v>
      </c>
      <c r="Q3605" s="7">
        <v>13.5</v>
      </c>
      <c r="R3605" s="7" t="str">
        <f ca="1">IFERROR(__xludf.DUMMYFUNCTION("IMPORTXML(E3605,""/html/body/main/div[3]/div[3]/div[2]/ul/li[7]/span[2]/span"")"),"Loading...")</f>
        <v>Loading...</v>
      </c>
      <c r="S3605" s="7" t="str">
        <f ca="1">IFERROR(__xludf.DUMMYFUNCTION("IMPORTXML(E3605,""/html/body/main/div[3]/div[3]/div[2]/ul/li[8]/span[2]/span"")"),"Loading...")</f>
        <v>Loading...</v>
      </c>
      <c r="T3605" s="4">
        <v>34.6</v>
      </c>
      <c r="U3605" s="4">
        <v>22.7</v>
      </c>
      <c r="V3605" s="4">
        <v>2.6</v>
      </c>
      <c r="W3605" s="4">
        <v>5.7</v>
      </c>
      <c r="X3605" s="4">
        <v>519.92999999999995</v>
      </c>
      <c r="Y3605" s="7" t="e">
        <f t="shared" ca="1" si="74"/>
        <v>#VALUE!</v>
      </c>
    </row>
    <row r="3606" spans="1:25" ht="15" x14ac:dyDescent="0.25">
      <c r="A3606" s="4">
        <v>3600</v>
      </c>
      <c r="C3606" s="41" t="s">
        <v>5958</v>
      </c>
      <c r="D3606" s="42"/>
      <c r="E3606" s="5" t="str">
        <f t="shared" si="70"/>
        <v>https://www.screener.in/company//consolidated/</v>
      </c>
      <c r="F3606" s="4">
        <v>443059</v>
      </c>
      <c r="G3606" s="4">
        <v>3832241897</v>
      </c>
      <c r="H3606" s="6" t="e">
        <f t="shared" ca="1" si="71"/>
        <v>#VALUE!</v>
      </c>
      <c r="I3606" s="7" t="str">
        <f ca="1">IFERROR(__xludf.DUMMYFUNCTION("IMPORTXML(E3606,""/html/body/main/div[3]/div[3]/div[2]/ul/li[5]/span[2]/span"")"),"Loading...")</f>
        <v>Loading...</v>
      </c>
      <c r="J3606" s="7" t="str">
        <f ca="1">IFERROR(__xludf.DUMMYFUNCTION("GOOGLEFINANCE(""NSE:""&amp;D3606,""marketcap"")"),"#N/A")</f>
        <v>#N/A</v>
      </c>
      <c r="K3606" s="7">
        <v>992.8</v>
      </c>
      <c r="L3606" s="8" t="str">
        <f ca="1">IFERROR(__xludf.DUMMYFUNCTION("GOOGLEFINANCE(""NSE:""&amp;D3606,""price"")"),"#N/A")</f>
        <v>#N/A</v>
      </c>
      <c r="M3606" s="9" t="e">
        <f t="shared" ca="1" si="72"/>
        <v>#VALUE!</v>
      </c>
      <c r="N3606" s="10" t="e">
        <f t="shared" ca="1" si="73"/>
        <v>#VALUE!</v>
      </c>
      <c r="O3606" s="7" t="str">
        <f ca="1">IFERROR(__xludf.DUMMYFUNCTION("GOOGLEFINANCE(""NSE:""&amp;D3606,""pe"")"),"#N/A")</f>
        <v>#N/A</v>
      </c>
      <c r="P3606" s="7" t="str">
        <f ca="1">IFERROR(__xludf.DUMMYFUNCTION("GOOGLEFINANCE(""NSE:""&amp;D3606,""EPS"")"),"#N/A")</f>
        <v>#N/A</v>
      </c>
      <c r="Q3606" s="7">
        <v>13.5</v>
      </c>
      <c r="R3606" s="7" t="str">
        <f ca="1">IFERROR(__xludf.DUMMYFUNCTION("IMPORTXML(E3606,""/html/body/main/div[3]/div[3]/div[2]/ul/li[7]/span[2]/span"")"),"Loading...")</f>
        <v>Loading...</v>
      </c>
      <c r="S3606" s="7" t="str">
        <f ca="1">IFERROR(__xludf.DUMMYFUNCTION("IMPORTXML(E3606,""/html/body/main/div[3]/div[3]/div[2]/ul/li[8]/span[2]/span"")"),"Loading...")</f>
        <v>Loading...</v>
      </c>
      <c r="T3606" s="4">
        <v>34.6</v>
      </c>
      <c r="U3606" s="4">
        <v>22.7</v>
      </c>
      <c r="V3606" s="4">
        <v>2.6</v>
      </c>
      <c r="W3606" s="4">
        <v>5.7</v>
      </c>
      <c r="X3606" s="4">
        <v>519.92999999999995</v>
      </c>
      <c r="Y3606" s="7" t="e">
        <f t="shared" ca="1" si="74"/>
        <v>#VALUE!</v>
      </c>
    </row>
    <row r="3607" spans="1:25" ht="15" x14ac:dyDescent="0.25">
      <c r="A3607" s="4">
        <v>3601</v>
      </c>
      <c r="C3607" s="41" t="s">
        <v>5959</v>
      </c>
      <c r="D3607" s="42"/>
      <c r="E3607" s="5" t="str">
        <f t="shared" si="70"/>
        <v>https://www.screener.in/company//consolidated/</v>
      </c>
      <c r="F3607" s="4">
        <v>443059</v>
      </c>
      <c r="G3607" s="4">
        <v>3832241897</v>
      </c>
      <c r="H3607" s="6" t="e">
        <f t="shared" ca="1" si="71"/>
        <v>#VALUE!</v>
      </c>
      <c r="I3607" s="7" t="str">
        <f ca="1">IFERROR(__xludf.DUMMYFUNCTION("IMPORTXML(E3607,""/html/body/main/div[3]/div[3]/div[2]/ul/li[5]/span[2]/span"")"),"Loading...")</f>
        <v>Loading...</v>
      </c>
      <c r="J3607" s="7" t="str">
        <f ca="1">IFERROR(__xludf.DUMMYFUNCTION("GOOGLEFINANCE(""NSE:""&amp;D3607,""marketcap"")"),"#N/A")</f>
        <v>#N/A</v>
      </c>
      <c r="K3607" s="7">
        <v>992.8</v>
      </c>
      <c r="L3607" s="8" t="str">
        <f ca="1">IFERROR(__xludf.DUMMYFUNCTION("GOOGLEFINANCE(""NSE:""&amp;D3607,""price"")"),"#N/A")</f>
        <v>#N/A</v>
      </c>
      <c r="M3607" s="9" t="e">
        <f t="shared" ca="1" si="72"/>
        <v>#VALUE!</v>
      </c>
      <c r="N3607" s="10" t="e">
        <f t="shared" ca="1" si="73"/>
        <v>#VALUE!</v>
      </c>
      <c r="O3607" s="7" t="str">
        <f ca="1">IFERROR(__xludf.DUMMYFUNCTION("GOOGLEFINANCE(""NSE:""&amp;D3607,""pe"")"),"#N/A")</f>
        <v>#N/A</v>
      </c>
      <c r="P3607" s="7" t="str">
        <f ca="1">IFERROR(__xludf.DUMMYFUNCTION("GOOGLEFINANCE(""NSE:""&amp;D3607,""EPS"")"),"#N/A")</f>
        <v>#N/A</v>
      </c>
      <c r="Q3607" s="7">
        <v>13.5</v>
      </c>
      <c r="R3607" s="7" t="str">
        <f ca="1">IFERROR(__xludf.DUMMYFUNCTION("IMPORTXML(E3607,""/html/body/main/div[3]/div[3]/div[2]/ul/li[7]/span[2]/span"")"),"Loading...")</f>
        <v>Loading...</v>
      </c>
      <c r="S3607" s="7" t="str">
        <f ca="1">IFERROR(__xludf.DUMMYFUNCTION("IMPORTXML(E3607,""/html/body/main/div[3]/div[3]/div[2]/ul/li[8]/span[2]/span"")"),"Loading...")</f>
        <v>Loading...</v>
      </c>
      <c r="T3607" s="4">
        <v>34.6</v>
      </c>
      <c r="U3607" s="4">
        <v>22.7</v>
      </c>
      <c r="V3607" s="4">
        <v>2.6</v>
      </c>
      <c r="W3607" s="4">
        <v>5.7</v>
      </c>
      <c r="X3607" s="4">
        <v>519.92999999999995</v>
      </c>
      <c r="Y3607" s="7" t="e">
        <f t="shared" ca="1" si="74"/>
        <v>#VALUE!</v>
      </c>
    </row>
    <row r="3608" spans="1:25" ht="15" x14ac:dyDescent="0.25">
      <c r="A3608" s="4">
        <v>3602</v>
      </c>
      <c r="C3608" s="41" t="s">
        <v>5960</v>
      </c>
      <c r="D3608" s="42"/>
      <c r="E3608" s="5" t="str">
        <f t="shared" si="70"/>
        <v>https://www.screener.in/company//consolidated/</v>
      </c>
      <c r="F3608" s="4">
        <v>443059</v>
      </c>
      <c r="G3608" s="4">
        <v>3832241897</v>
      </c>
      <c r="H3608" s="6" t="e">
        <f t="shared" ca="1" si="71"/>
        <v>#VALUE!</v>
      </c>
      <c r="I3608" s="7" t="str">
        <f ca="1">IFERROR(__xludf.DUMMYFUNCTION("IMPORTXML(E3608,""/html/body/main/div[3]/div[3]/div[2]/ul/li[5]/span[2]/span"")"),"Loading...")</f>
        <v>Loading...</v>
      </c>
      <c r="J3608" s="7" t="str">
        <f ca="1">IFERROR(__xludf.DUMMYFUNCTION("GOOGLEFINANCE(""NSE:""&amp;D3608,""marketcap"")"),"#N/A")</f>
        <v>#N/A</v>
      </c>
      <c r="K3608" s="7">
        <v>992.8</v>
      </c>
      <c r="L3608" s="8" t="str">
        <f ca="1">IFERROR(__xludf.DUMMYFUNCTION("GOOGLEFINANCE(""NSE:""&amp;D3608,""price"")"),"#N/A")</f>
        <v>#N/A</v>
      </c>
      <c r="M3608" s="9" t="e">
        <f t="shared" ca="1" si="72"/>
        <v>#VALUE!</v>
      </c>
      <c r="N3608" s="10" t="e">
        <f t="shared" ca="1" si="73"/>
        <v>#VALUE!</v>
      </c>
      <c r="O3608" s="7" t="str">
        <f ca="1">IFERROR(__xludf.DUMMYFUNCTION("GOOGLEFINANCE(""NSE:""&amp;D3608,""pe"")"),"#N/A")</f>
        <v>#N/A</v>
      </c>
      <c r="P3608" s="7" t="str">
        <f ca="1">IFERROR(__xludf.DUMMYFUNCTION("GOOGLEFINANCE(""NSE:""&amp;D3608,""EPS"")"),"#N/A")</f>
        <v>#N/A</v>
      </c>
      <c r="Q3608" s="7">
        <v>13.5</v>
      </c>
      <c r="R3608" s="7" t="str">
        <f ca="1">IFERROR(__xludf.DUMMYFUNCTION("IMPORTXML(E3608,""/html/body/main/div[3]/div[3]/div[2]/ul/li[7]/span[2]/span"")"),"Loading...")</f>
        <v>Loading...</v>
      </c>
      <c r="S3608" s="7" t="str">
        <f ca="1">IFERROR(__xludf.DUMMYFUNCTION("IMPORTXML(E3608,""/html/body/main/div[3]/div[3]/div[2]/ul/li[8]/span[2]/span"")"),"Loading...")</f>
        <v>Loading...</v>
      </c>
      <c r="T3608" s="4">
        <v>34.6</v>
      </c>
      <c r="U3608" s="4">
        <v>22.7</v>
      </c>
      <c r="V3608" s="4">
        <v>2.6</v>
      </c>
      <c r="W3608" s="4">
        <v>5.7</v>
      </c>
      <c r="X3608" s="4">
        <v>519.92999999999995</v>
      </c>
      <c r="Y3608" s="7" t="e">
        <f t="shared" ca="1" si="74"/>
        <v>#VALUE!</v>
      </c>
    </row>
    <row r="3609" spans="1:25" ht="15" x14ac:dyDescent="0.25">
      <c r="A3609" s="4">
        <v>3603</v>
      </c>
      <c r="C3609" s="41" t="s">
        <v>5961</v>
      </c>
      <c r="D3609" s="42"/>
      <c r="E3609" s="5" t="str">
        <f t="shared" si="70"/>
        <v>https://www.screener.in/company//consolidated/</v>
      </c>
      <c r="F3609" s="4">
        <v>443059</v>
      </c>
      <c r="G3609" s="4">
        <v>3832241897</v>
      </c>
      <c r="H3609" s="6" t="e">
        <f t="shared" ca="1" si="71"/>
        <v>#VALUE!</v>
      </c>
      <c r="I3609" s="7" t="str">
        <f ca="1">IFERROR(__xludf.DUMMYFUNCTION("IMPORTXML(E3609,""/html/body/main/div[3]/div[3]/div[2]/ul/li[5]/span[2]/span"")"),"Loading...")</f>
        <v>Loading...</v>
      </c>
      <c r="J3609" s="7" t="str">
        <f ca="1">IFERROR(__xludf.DUMMYFUNCTION("GOOGLEFINANCE(""NSE:""&amp;D3609,""marketcap"")"),"#N/A")</f>
        <v>#N/A</v>
      </c>
      <c r="K3609" s="7">
        <v>992.8</v>
      </c>
      <c r="L3609" s="8" t="str">
        <f ca="1">IFERROR(__xludf.DUMMYFUNCTION("GOOGLEFINANCE(""NSE:""&amp;D3609,""price"")"),"#N/A")</f>
        <v>#N/A</v>
      </c>
      <c r="M3609" s="9" t="e">
        <f t="shared" ca="1" si="72"/>
        <v>#VALUE!</v>
      </c>
      <c r="N3609" s="10" t="e">
        <f t="shared" ca="1" si="73"/>
        <v>#VALUE!</v>
      </c>
      <c r="O3609" s="7" t="str">
        <f ca="1">IFERROR(__xludf.DUMMYFUNCTION("GOOGLEFINANCE(""NSE:""&amp;D3609,""pe"")"),"#N/A")</f>
        <v>#N/A</v>
      </c>
      <c r="P3609" s="7" t="str">
        <f ca="1">IFERROR(__xludf.DUMMYFUNCTION("GOOGLEFINANCE(""NSE:""&amp;D3609,""EPS"")"),"#N/A")</f>
        <v>#N/A</v>
      </c>
      <c r="Q3609" s="7">
        <v>13.5</v>
      </c>
      <c r="R3609" s="7" t="str">
        <f ca="1">IFERROR(__xludf.DUMMYFUNCTION("IMPORTXML(E3609,""/html/body/main/div[3]/div[3]/div[2]/ul/li[7]/span[2]/span"")"),"Loading...")</f>
        <v>Loading...</v>
      </c>
      <c r="S3609" s="7" t="str">
        <f ca="1">IFERROR(__xludf.DUMMYFUNCTION("IMPORTXML(E3609,""/html/body/main/div[3]/div[3]/div[2]/ul/li[8]/span[2]/span"")"),"Loading...")</f>
        <v>Loading...</v>
      </c>
      <c r="T3609" s="4">
        <v>34.6</v>
      </c>
      <c r="U3609" s="4">
        <v>22.7</v>
      </c>
      <c r="V3609" s="4">
        <v>2.6</v>
      </c>
      <c r="W3609" s="4">
        <v>5.7</v>
      </c>
      <c r="X3609" s="4">
        <v>519.92999999999995</v>
      </c>
      <c r="Y3609" s="7" t="e">
        <f t="shared" ca="1" si="74"/>
        <v>#VALUE!</v>
      </c>
    </row>
    <row r="3610" spans="1:25" ht="15" x14ac:dyDescent="0.25">
      <c r="A3610" s="4">
        <v>3604</v>
      </c>
      <c r="C3610" s="12" t="s">
        <v>5962</v>
      </c>
      <c r="D3610" s="37"/>
      <c r="E3610" s="5" t="str">
        <f t="shared" si="70"/>
        <v>https://www.screener.in/company//consolidated/</v>
      </c>
      <c r="F3610" s="4">
        <v>443059</v>
      </c>
      <c r="G3610" s="4">
        <v>3832241897</v>
      </c>
      <c r="H3610" s="6" t="e">
        <f t="shared" ca="1" si="71"/>
        <v>#VALUE!</v>
      </c>
      <c r="I3610" s="7" t="str">
        <f ca="1">IFERROR(__xludf.DUMMYFUNCTION("IMPORTXML(E3610,""/html/body/main/div[3]/div[3]/div[2]/ul/li[5]/span[2]/span"")"),"Loading...")</f>
        <v>Loading...</v>
      </c>
      <c r="J3610" s="7" t="str">
        <f ca="1">IFERROR(__xludf.DUMMYFUNCTION("GOOGLEFINANCE(""NSE:""&amp;D3610,""marketcap"")"),"#N/A")</f>
        <v>#N/A</v>
      </c>
      <c r="K3610" s="7">
        <v>992.8</v>
      </c>
      <c r="L3610" s="8" t="str">
        <f ca="1">IFERROR(__xludf.DUMMYFUNCTION("GOOGLEFINANCE(""NSE:""&amp;D3610,""price"")"),"#N/A")</f>
        <v>#N/A</v>
      </c>
      <c r="M3610" s="9" t="e">
        <f t="shared" ca="1" si="72"/>
        <v>#VALUE!</v>
      </c>
      <c r="N3610" s="10" t="e">
        <f t="shared" ca="1" si="73"/>
        <v>#VALUE!</v>
      </c>
      <c r="O3610" s="7" t="str">
        <f ca="1">IFERROR(__xludf.DUMMYFUNCTION("GOOGLEFINANCE(""NSE:""&amp;D3610,""pe"")"),"#N/A")</f>
        <v>#N/A</v>
      </c>
      <c r="P3610" s="7" t="str">
        <f ca="1">IFERROR(__xludf.DUMMYFUNCTION("GOOGLEFINANCE(""NSE:""&amp;D3610,""EPS"")"),"#N/A")</f>
        <v>#N/A</v>
      </c>
      <c r="Q3610" s="7">
        <v>13.5</v>
      </c>
      <c r="R3610" s="7" t="str">
        <f ca="1">IFERROR(__xludf.DUMMYFUNCTION("IMPORTXML(E3610,""/html/body/main/div[3]/div[3]/div[2]/ul/li[7]/span[2]/span"")"),"Loading...")</f>
        <v>Loading...</v>
      </c>
      <c r="S3610" s="7" t="str">
        <f ca="1">IFERROR(__xludf.DUMMYFUNCTION("IMPORTXML(E3610,""/html/body/main/div[3]/div[3]/div[2]/ul/li[8]/span[2]/span"")"),"Loading...")</f>
        <v>Loading...</v>
      </c>
      <c r="T3610" s="4">
        <v>34.6</v>
      </c>
      <c r="U3610" s="4">
        <v>22.7</v>
      </c>
      <c r="V3610" s="4">
        <v>2.6</v>
      </c>
      <c r="W3610" s="4">
        <v>5.7</v>
      </c>
      <c r="X3610" s="4">
        <v>519.92999999999995</v>
      </c>
      <c r="Y3610" s="7" t="e">
        <f t="shared" ca="1" si="74"/>
        <v>#VALUE!</v>
      </c>
    </row>
    <row r="3611" spans="1:25" ht="15" x14ac:dyDescent="0.25">
      <c r="A3611" s="4">
        <v>3605</v>
      </c>
      <c r="C3611" s="41" t="s">
        <v>5963</v>
      </c>
      <c r="D3611" s="42"/>
      <c r="E3611" s="5" t="str">
        <f t="shared" si="70"/>
        <v>https://www.screener.in/company//consolidated/</v>
      </c>
      <c r="F3611" s="4">
        <v>443059</v>
      </c>
      <c r="G3611" s="4">
        <v>3832241897</v>
      </c>
      <c r="H3611" s="6" t="e">
        <f t="shared" ca="1" si="71"/>
        <v>#VALUE!</v>
      </c>
      <c r="I3611" s="7" t="str">
        <f ca="1">IFERROR(__xludf.DUMMYFUNCTION("IMPORTXML(E3611,""/html/body/main/div[3]/div[3]/div[2]/ul/li[5]/span[2]/span"")"),"Loading...")</f>
        <v>Loading...</v>
      </c>
      <c r="J3611" s="7" t="str">
        <f ca="1">IFERROR(__xludf.DUMMYFUNCTION("GOOGLEFINANCE(""NSE:""&amp;D3611,""marketcap"")"),"#N/A")</f>
        <v>#N/A</v>
      </c>
      <c r="K3611" s="7">
        <v>992.8</v>
      </c>
      <c r="L3611" s="8" t="str">
        <f ca="1">IFERROR(__xludf.DUMMYFUNCTION("GOOGLEFINANCE(""NSE:""&amp;D3611,""price"")"),"#N/A")</f>
        <v>#N/A</v>
      </c>
      <c r="M3611" s="9" t="e">
        <f t="shared" ca="1" si="72"/>
        <v>#VALUE!</v>
      </c>
      <c r="N3611" s="10" t="e">
        <f t="shared" ca="1" si="73"/>
        <v>#VALUE!</v>
      </c>
      <c r="O3611" s="7" t="str">
        <f ca="1">IFERROR(__xludf.DUMMYFUNCTION("GOOGLEFINANCE(""NSE:""&amp;D3611,""pe"")"),"#N/A")</f>
        <v>#N/A</v>
      </c>
      <c r="P3611" s="7" t="str">
        <f ca="1">IFERROR(__xludf.DUMMYFUNCTION("GOOGLEFINANCE(""NSE:""&amp;D3611,""EPS"")"),"#N/A")</f>
        <v>#N/A</v>
      </c>
      <c r="Q3611" s="7">
        <v>13.5</v>
      </c>
      <c r="R3611" s="7" t="str">
        <f ca="1">IFERROR(__xludf.DUMMYFUNCTION("IMPORTXML(E3611,""/html/body/main/div[3]/div[3]/div[2]/ul/li[7]/span[2]/span"")"),"Loading...")</f>
        <v>Loading...</v>
      </c>
      <c r="S3611" s="7" t="str">
        <f ca="1">IFERROR(__xludf.DUMMYFUNCTION("IMPORTXML(E3611,""/html/body/main/div[3]/div[3]/div[2]/ul/li[8]/span[2]/span"")"),"Loading...")</f>
        <v>Loading...</v>
      </c>
      <c r="T3611" s="4">
        <v>34.6</v>
      </c>
      <c r="U3611" s="4">
        <v>22.7</v>
      </c>
      <c r="V3611" s="4">
        <v>2.6</v>
      </c>
      <c r="W3611" s="4">
        <v>5.7</v>
      </c>
      <c r="X3611" s="4">
        <v>519.92999999999995</v>
      </c>
      <c r="Y3611" s="7" t="e">
        <f t="shared" ca="1" si="74"/>
        <v>#VALUE!</v>
      </c>
    </row>
    <row r="3612" spans="1:25" ht="15" x14ac:dyDescent="0.25">
      <c r="A3612" s="4">
        <v>3606</v>
      </c>
      <c r="C3612" s="41" t="s">
        <v>5964</v>
      </c>
      <c r="D3612" s="42"/>
      <c r="E3612" s="5" t="str">
        <f t="shared" si="70"/>
        <v>https://www.screener.in/company//consolidated/</v>
      </c>
      <c r="F3612" s="4">
        <v>443059</v>
      </c>
      <c r="G3612" s="4">
        <v>3832241897</v>
      </c>
      <c r="H3612" s="6" t="e">
        <f t="shared" ca="1" si="71"/>
        <v>#VALUE!</v>
      </c>
      <c r="I3612" s="7" t="str">
        <f ca="1">IFERROR(__xludf.DUMMYFUNCTION("IMPORTXML(E3612,""/html/body/main/div[3]/div[3]/div[2]/ul/li[5]/span[2]/span"")"),"Loading...")</f>
        <v>Loading...</v>
      </c>
      <c r="J3612" s="7" t="str">
        <f ca="1">IFERROR(__xludf.DUMMYFUNCTION("GOOGLEFINANCE(""NSE:""&amp;D3612,""marketcap"")"),"#N/A")</f>
        <v>#N/A</v>
      </c>
      <c r="K3612" s="7">
        <v>992.8</v>
      </c>
      <c r="L3612" s="8" t="str">
        <f ca="1">IFERROR(__xludf.DUMMYFUNCTION("GOOGLEFINANCE(""NSE:""&amp;D3612,""price"")"),"#N/A")</f>
        <v>#N/A</v>
      </c>
      <c r="M3612" s="9" t="e">
        <f t="shared" ca="1" si="72"/>
        <v>#VALUE!</v>
      </c>
      <c r="N3612" s="10" t="e">
        <f t="shared" ca="1" si="73"/>
        <v>#VALUE!</v>
      </c>
      <c r="O3612" s="7" t="str">
        <f ca="1">IFERROR(__xludf.DUMMYFUNCTION("GOOGLEFINANCE(""NSE:""&amp;D3612,""pe"")"),"#N/A")</f>
        <v>#N/A</v>
      </c>
      <c r="P3612" s="7" t="str">
        <f ca="1">IFERROR(__xludf.DUMMYFUNCTION("GOOGLEFINANCE(""NSE:""&amp;D3612,""EPS"")"),"#N/A")</f>
        <v>#N/A</v>
      </c>
      <c r="Q3612" s="7">
        <v>13.5</v>
      </c>
      <c r="R3612" s="7" t="str">
        <f ca="1">IFERROR(__xludf.DUMMYFUNCTION("IMPORTXML(E3612,""/html/body/main/div[3]/div[3]/div[2]/ul/li[7]/span[2]/span"")"),"Loading...")</f>
        <v>Loading...</v>
      </c>
      <c r="S3612" s="7" t="str">
        <f ca="1">IFERROR(__xludf.DUMMYFUNCTION("IMPORTXML(E3612,""/html/body/main/div[3]/div[3]/div[2]/ul/li[8]/span[2]/span"")"),"Loading...")</f>
        <v>Loading...</v>
      </c>
      <c r="T3612" s="4">
        <v>34.6</v>
      </c>
      <c r="U3612" s="4">
        <v>22.7</v>
      </c>
      <c r="V3612" s="4">
        <v>2.6</v>
      </c>
      <c r="W3612" s="4">
        <v>5.7</v>
      </c>
      <c r="X3612" s="4">
        <v>519.92999999999995</v>
      </c>
      <c r="Y3612" s="7" t="e">
        <f t="shared" ca="1" si="74"/>
        <v>#VALUE!</v>
      </c>
    </row>
    <row r="3613" spans="1:25" ht="15" x14ac:dyDescent="0.25">
      <c r="A3613" s="4">
        <v>3607</v>
      </c>
      <c r="C3613" s="41" t="s">
        <v>5965</v>
      </c>
      <c r="D3613" s="42"/>
      <c r="E3613" s="5" t="str">
        <f t="shared" si="70"/>
        <v>https://www.screener.in/company//consolidated/</v>
      </c>
      <c r="F3613" s="4">
        <v>443059</v>
      </c>
      <c r="G3613" s="4">
        <v>3832241897</v>
      </c>
      <c r="H3613" s="6" t="e">
        <f t="shared" ca="1" si="71"/>
        <v>#VALUE!</v>
      </c>
      <c r="I3613" s="7" t="str">
        <f ca="1">IFERROR(__xludf.DUMMYFUNCTION("IMPORTXML(E3613,""/html/body/main/div[3]/div[3]/div[2]/ul/li[5]/span[2]/span"")"),"Loading...")</f>
        <v>Loading...</v>
      </c>
      <c r="J3613" s="7" t="str">
        <f ca="1">IFERROR(__xludf.DUMMYFUNCTION("GOOGLEFINANCE(""NSE:""&amp;D3613,""marketcap"")"),"#N/A")</f>
        <v>#N/A</v>
      </c>
      <c r="K3613" s="7">
        <v>992.8</v>
      </c>
      <c r="L3613" s="8" t="str">
        <f ca="1">IFERROR(__xludf.DUMMYFUNCTION("GOOGLEFINANCE(""NSE:""&amp;D3613,""price"")"),"#N/A")</f>
        <v>#N/A</v>
      </c>
      <c r="M3613" s="9" t="e">
        <f t="shared" ca="1" si="72"/>
        <v>#VALUE!</v>
      </c>
      <c r="N3613" s="10" t="e">
        <f t="shared" ca="1" si="73"/>
        <v>#VALUE!</v>
      </c>
      <c r="O3613" s="7" t="str">
        <f ca="1">IFERROR(__xludf.DUMMYFUNCTION("GOOGLEFINANCE(""NSE:""&amp;D3613,""pe"")"),"#N/A")</f>
        <v>#N/A</v>
      </c>
      <c r="P3613" s="7" t="str">
        <f ca="1">IFERROR(__xludf.DUMMYFUNCTION("GOOGLEFINANCE(""NSE:""&amp;D3613,""EPS"")"),"#N/A")</f>
        <v>#N/A</v>
      </c>
      <c r="Q3613" s="7">
        <v>13.5</v>
      </c>
      <c r="R3613" s="7" t="str">
        <f ca="1">IFERROR(__xludf.DUMMYFUNCTION("IMPORTXML(E3613,""/html/body/main/div[3]/div[3]/div[2]/ul/li[7]/span[2]/span"")"),"Loading...")</f>
        <v>Loading...</v>
      </c>
      <c r="S3613" s="7" t="str">
        <f ca="1">IFERROR(__xludf.DUMMYFUNCTION("IMPORTXML(E3613,""/html/body/main/div[3]/div[3]/div[2]/ul/li[8]/span[2]/span"")"),"Loading...")</f>
        <v>Loading...</v>
      </c>
      <c r="T3613" s="4">
        <v>34.6</v>
      </c>
      <c r="U3613" s="4">
        <v>22.7</v>
      </c>
      <c r="V3613" s="4">
        <v>2.6</v>
      </c>
      <c r="W3613" s="4">
        <v>5.7</v>
      </c>
      <c r="X3613" s="4">
        <v>519.92999999999995</v>
      </c>
      <c r="Y3613" s="7" t="e">
        <f t="shared" ca="1" si="74"/>
        <v>#VALUE!</v>
      </c>
    </row>
    <row r="3614" spans="1:25" ht="15" x14ac:dyDescent="0.25">
      <c r="A3614" s="4">
        <v>3608</v>
      </c>
      <c r="C3614" s="41" t="s">
        <v>5966</v>
      </c>
      <c r="D3614" s="42"/>
      <c r="E3614" s="5" t="str">
        <f t="shared" si="70"/>
        <v>https://www.screener.in/company//consolidated/</v>
      </c>
      <c r="F3614" s="4">
        <v>443059</v>
      </c>
      <c r="G3614" s="4">
        <v>3832241897</v>
      </c>
      <c r="H3614" s="6" t="e">
        <f t="shared" ca="1" si="71"/>
        <v>#VALUE!</v>
      </c>
      <c r="I3614" s="7" t="str">
        <f ca="1">IFERROR(__xludf.DUMMYFUNCTION("IMPORTXML(E3614,""/html/body/main/div[3]/div[3]/div[2]/ul/li[5]/span[2]/span"")"),"Loading...")</f>
        <v>Loading...</v>
      </c>
      <c r="J3614" s="7" t="str">
        <f ca="1">IFERROR(__xludf.DUMMYFUNCTION("GOOGLEFINANCE(""NSE:""&amp;D3614,""marketcap"")"),"#N/A")</f>
        <v>#N/A</v>
      </c>
      <c r="K3614" s="7">
        <v>992.8</v>
      </c>
      <c r="L3614" s="8" t="str">
        <f ca="1">IFERROR(__xludf.DUMMYFUNCTION("GOOGLEFINANCE(""NSE:""&amp;D3614,""price"")"),"#N/A")</f>
        <v>#N/A</v>
      </c>
      <c r="M3614" s="9" t="e">
        <f t="shared" ca="1" si="72"/>
        <v>#VALUE!</v>
      </c>
      <c r="N3614" s="10" t="e">
        <f t="shared" ca="1" si="73"/>
        <v>#VALUE!</v>
      </c>
      <c r="O3614" s="7" t="str">
        <f ca="1">IFERROR(__xludf.DUMMYFUNCTION("GOOGLEFINANCE(""NSE:""&amp;D3614,""pe"")"),"#N/A")</f>
        <v>#N/A</v>
      </c>
      <c r="P3614" s="7" t="str">
        <f ca="1">IFERROR(__xludf.DUMMYFUNCTION("GOOGLEFINANCE(""NSE:""&amp;D3614,""EPS"")"),"#N/A")</f>
        <v>#N/A</v>
      </c>
      <c r="Q3614" s="7">
        <v>13.5</v>
      </c>
      <c r="R3614" s="7" t="str">
        <f ca="1">IFERROR(__xludf.DUMMYFUNCTION("IMPORTXML(E3614,""/html/body/main/div[3]/div[3]/div[2]/ul/li[7]/span[2]/span"")"),"Loading...")</f>
        <v>Loading...</v>
      </c>
      <c r="S3614" s="7" t="str">
        <f ca="1">IFERROR(__xludf.DUMMYFUNCTION("IMPORTXML(E3614,""/html/body/main/div[3]/div[3]/div[2]/ul/li[8]/span[2]/span"")"),"Loading...")</f>
        <v>Loading...</v>
      </c>
      <c r="T3614" s="4">
        <v>34.6</v>
      </c>
      <c r="U3614" s="4">
        <v>22.7</v>
      </c>
      <c r="V3614" s="4">
        <v>2.6</v>
      </c>
      <c r="W3614" s="4">
        <v>5.7</v>
      </c>
      <c r="X3614" s="4">
        <v>519.92999999999995</v>
      </c>
      <c r="Y3614" s="7" t="e">
        <f t="shared" ca="1" si="74"/>
        <v>#VALUE!</v>
      </c>
    </row>
    <row r="3615" spans="1:25" ht="15" x14ac:dyDescent="0.25">
      <c r="A3615" s="4">
        <v>3609</v>
      </c>
      <c r="C3615" s="12" t="s">
        <v>5967</v>
      </c>
      <c r="D3615" s="12" t="s">
        <v>5968</v>
      </c>
      <c r="E3615" s="5" t="str">
        <f t="shared" si="70"/>
        <v>https://www.screener.in/company/NORBTEAEXP/consolidated/</v>
      </c>
      <c r="F3615" s="4">
        <v>443059</v>
      </c>
      <c r="G3615" s="4">
        <v>3832241897</v>
      </c>
      <c r="H3615" s="6">
        <f t="shared" ca="1" si="71"/>
        <v>16915.515733358003</v>
      </c>
      <c r="I3615" s="7" t="str">
        <f ca="1">IFERROR(__xludf.DUMMYFUNCTION("IMPORTXML(E3615,""/html/body/main/div[3]/div[3]/div[2]/ul/li[5]/span[2]/span"")"),"Loading...")</f>
        <v>Loading...</v>
      </c>
      <c r="J3615" s="7">
        <f ca="1">IFERROR(__xludf.DUMMYFUNCTION("GOOGLEFINANCE(""NSE:""&amp;D3615,""marketcap"")"),672748700)</f>
        <v>672748700</v>
      </c>
      <c r="K3615" s="7">
        <v>992.8</v>
      </c>
      <c r="L3615" s="8">
        <f ca="1">IFERROR(__xludf.DUMMYFUNCTION("GOOGLEFINANCE(""NSE:""&amp;D3615,""price"")"),44.14)</f>
        <v>44.14</v>
      </c>
      <c r="M3615" s="9">
        <f t="shared" ca="1" si="72"/>
        <v>-948.66</v>
      </c>
      <c r="N3615" s="10">
        <f t="shared" ca="1" si="73"/>
        <v>-95.553988718775187</v>
      </c>
      <c r="O3615" s="7">
        <f ca="1">IFERROR(__xludf.DUMMYFUNCTION("GOOGLEFINANCE(""NSE:""&amp;D3615,""pe"")"),156.64)</f>
        <v>156.63999999999999</v>
      </c>
      <c r="P3615" s="7">
        <f ca="1">IFERROR(__xludf.DUMMYFUNCTION("GOOGLEFINANCE(""NSE:""&amp;D3615,""EPS"")"),0.28)</f>
        <v>0.28000000000000003</v>
      </c>
      <c r="Q3615" s="7">
        <v>13.5</v>
      </c>
      <c r="R3615" s="7" t="str">
        <f ca="1">IFERROR(__xludf.DUMMYFUNCTION("IMPORTXML(E3615,""/html/body/main/div[3]/div[3]/div[2]/ul/li[7]/span[2]/span"")"),"Loading...")</f>
        <v>Loading...</v>
      </c>
      <c r="S3615" s="7" t="str">
        <f ca="1">IFERROR(__xludf.DUMMYFUNCTION("IMPORTXML(E3615,""/html/body/main/div[3]/div[3]/div[2]/ul/li[8]/span[2]/span"")"),"Loading...")</f>
        <v>Loading...</v>
      </c>
      <c r="T3615" s="4">
        <v>34.6</v>
      </c>
      <c r="U3615" s="4">
        <v>22.7</v>
      </c>
      <c r="V3615" s="4">
        <v>2.6</v>
      </c>
      <c r="W3615" s="4">
        <v>5.7</v>
      </c>
      <c r="X3615" s="4">
        <v>519.92999999999995</v>
      </c>
      <c r="Y3615" s="7">
        <f t="shared" ca="1" si="74"/>
        <v>-475.78999999999996</v>
      </c>
    </row>
    <row r="3616" spans="1:25" ht="15" x14ac:dyDescent="0.25">
      <c r="A3616" s="4">
        <v>3610</v>
      </c>
      <c r="C3616" s="41" t="s">
        <v>5969</v>
      </c>
      <c r="D3616" s="42"/>
      <c r="E3616" s="5" t="str">
        <f t="shared" si="70"/>
        <v>https://www.screener.in/company//consolidated/</v>
      </c>
      <c r="F3616" s="4">
        <v>443059</v>
      </c>
      <c r="G3616" s="4">
        <v>3832241897</v>
      </c>
      <c r="H3616" s="6" t="e">
        <f t="shared" ca="1" si="71"/>
        <v>#VALUE!</v>
      </c>
      <c r="I3616" s="7" t="str">
        <f ca="1">IFERROR(__xludf.DUMMYFUNCTION("IMPORTXML(E3616,""/html/body/main/div[3]/div[3]/div[2]/ul/li[5]/span[2]/span"")"),"Loading...")</f>
        <v>Loading...</v>
      </c>
      <c r="J3616" s="7" t="str">
        <f ca="1">IFERROR(__xludf.DUMMYFUNCTION("GOOGLEFINANCE(""NSE:""&amp;D3616,""marketcap"")"),"#N/A")</f>
        <v>#N/A</v>
      </c>
      <c r="K3616" s="7">
        <v>992.8</v>
      </c>
      <c r="L3616" s="8" t="str">
        <f ca="1">IFERROR(__xludf.DUMMYFUNCTION("GOOGLEFINANCE(""NSE:""&amp;D3616,""price"")"),"#N/A")</f>
        <v>#N/A</v>
      </c>
      <c r="M3616" s="9" t="e">
        <f t="shared" ca="1" si="72"/>
        <v>#VALUE!</v>
      </c>
      <c r="N3616" s="10" t="e">
        <f t="shared" ca="1" si="73"/>
        <v>#VALUE!</v>
      </c>
      <c r="O3616" s="7" t="str">
        <f ca="1">IFERROR(__xludf.DUMMYFUNCTION("GOOGLEFINANCE(""NSE:""&amp;D3616,""pe"")"),"#N/A")</f>
        <v>#N/A</v>
      </c>
      <c r="P3616" s="7" t="str">
        <f ca="1">IFERROR(__xludf.DUMMYFUNCTION("GOOGLEFINANCE(""NSE:""&amp;D3616,""EPS"")"),"#N/A")</f>
        <v>#N/A</v>
      </c>
      <c r="Q3616" s="7">
        <v>13.5</v>
      </c>
      <c r="R3616" s="7" t="str">
        <f ca="1">IFERROR(__xludf.DUMMYFUNCTION("IMPORTXML(E3616,""/html/body/main/div[3]/div[3]/div[2]/ul/li[7]/span[2]/span"")"),"Loading...")</f>
        <v>Loading...</v>
      </c>
      <c r="S3616" s="7" t="str">
        <f ca="1">IFERROR(__xludf.DUMMYFUNCTION("IMPORTXML(E3616,""/html/body/main/div[3]/div[3]/div[2]/ul/li[8]/span[2]/span"")"),"Loading...")</f>
        <v>Loading...</v>
      </c>
      <c r="T3616" s="4">
        <v>34.6</v>
      </c>
      <c r="U3616" s="4">
        <v>22.7</v>
      </c>
      <c r="V3616" s="4">
        <v>2.6</v>
      </c>
      <c r="W3616" s="4">
        <v>5.7</v>
      </c>
      <c r="X3616" s="4">
        <v>519.92999999999995</v>
      </c>
      <c r="Y3616" s="7" t="e">
        <f t="shared" ca="1" si="74"/>
        <v>#VALUE!</v>
      </c>
    </row>
    <row r="3617" spans="1:25" ht="15" x14ac:dyDescent="0.25">
      <c r="A3617" s="4">
        <v>3611</v>
      </c>
      <c r="C3617" s="41" t="s">
        <v>5970</v>
      </c>
      <c r="D3617" s="42"/>
      <c r="E3617" s="5" t="str">
        <f t="shared" si="70"/>
        <v>https://www.screener.in/company//consolidated/</v>
      </c>
      <c r="F3617" s="4">
        <v>443059</v>
      </c>
      <c r="G3617" s="4">
        <v>3832241897</v>
      </c>
      <c r="H3617" s="6" t="e">
        <f t="shared" ca="1" si="71"/>
        <v>#VALUE!</v>
      </c>
      <c r="I3617" s="7" t="str">
        <f ca="1">IFERROR(__xludf.DUMMYFUNCTION("IMPORTXML(E3617,""/html/body/main/div[3]/div[3]/div[2]/ul/li[5]/span[2]/span"")"),"Loading...")</f>
        <v>Loading...</v>
      </c>
      <c r="J3617" s="7" t="str">
        <f ca="1">IFERROR(__xludf.DUMMYFUNCTION("GOOGLEFINANCE(""NSE:""&amp;D3617,""marketcap"")"),"#N/A")</f>
        <v>#N/A</v>
      </c>
      <c r="K3617" s="7">
        <v>992.8</v>
      </c>
      <c r="L3617" s="8" t="str">
        <f ca="1">IFERROR(__xludf.DUMMYFUNCTION("GOOGLEFINANCE(""NSE:""&amp;D3617,""price"")"),"#N/A")</f>
        <v>#N/A</v>
      </c>
      <c r="M3617" s="9" t="e">
        <f t="shared" ca="1" si="72"/>
        <v>#VALUE!</v>
      </c>
      <c r="N3617" s="10" t="e">
        <f t="shared" ca="1" si="73"/>
        <v>#VALUE!</v>
      </c>
      <c r="O3617" s="7" t="str">
        <f ca="1">IFERROR(__xludf.DUMMYFUNCTION("GOOGLEFINANCE(""NSE:""&amp;D3617,""pe"")"),"#N/A")</f>
        <v>#N/A</v>
      </c>
      <c r="P3617" s="7" t="str">
        <f ca="1">IFERROR(__xludf.DUMMYFUNCTION("GOOGLEFINANCE(""NSE:""&amp;D3617,""EPS"")"),"#N/A")</f>
        <v>#N/A</v>
      </c>
      <c r="Q3617" s="7">
        <v>13.5</v>
      </c>
      <c r="R3617" s="7" t="str">
        <f ca="1">IFERROR(__xludf.DUMMYFUNCTION("IMPORTXML(E3617,""/html/body/main/div[3]/div[3]/div[2]/ul/li[7]/span[2]/span"")"),"Loading...")</f>
        <v>Loading...</v>
      </c>
      <c r="S3617" s="7" t="str">
        <f ca="1">IFERROR(__xludf.DUMMYFUNCTION("IMPORTXML(E3617,""/html/body/main/div[3]/div[3]/div[2]/ul/li[8]/span[2]/span"")"),"Loading...")</f>
        <v>Loading...</v>
      </c>
      <c r="T3617" s="4">
        <v>34.6</v>
      </c>
      <c r="U3617" s="4">
        <v>22.7</v>
      </c>
      <c r="V3617" s="4">
        <v>2.6</v>
      </c>
      <c r="W3617" s="4">
        <v>5.7</v>
      </c>
      <c r="X3617" s="4">
        <v>519.92999999999995</v>
      </c>
      <c r="Y3617" s="7" t="e">
        <f t="shared" ca="1" si="74"/>
        <v>#VALUE!</v>
      </c>
    </row>
    <row r="3618" spans="1:25" ht="15" x14ac:dyDescent="0.25">
      <c r="A3618" s="4">
        <v>3612</v>
      </c>
      <c r="C3618" s="41" t="s">
        <v>5971</v>
      </c>
      <c r="D3618" s="42"/>
      <c r="E3618" s="5" t="str">
        <f t="shared" si="70"/>
        <v>https://www.screener.in/company//consolidated/</v>
      </c>
      <c r="F3618" s="4">
        <v>443059</v>
      </c>
      <c r="G3618" s="4">
        <v>3832241897</v>
      </c>
      <c r="H3618" s="6" t="e">
        <f t="shared" ca="1" si="71"/>
        <v>#VALUE!</v>
      </c>
      <c r="I3618" s="7" t="str">
        <f ca="1">IFERROR(__xludf.DUMMYFUNCTION("IMPORTXML(E3618,""/html/body/main/div[3]/div[3]/div[2]/ul/li[5]/span[2]/span"")"),"Loading...")</f>
        <v>Loading...</v>
      </c>
      <c r="J3618" s="7" t="str">
        <f ca="1">IFERROR(__xludf.DUMMYFUNCTION("GOOGLEFINANCE(""NSE:""&amp;D3618,""marketcap"")"),"#N/A")</f>
        <v>#N/A</v>
      </c>
      <c r="K3618" s="7">
        <v>992.8</v>
      </c>
      <c r="L3618" s="8" t="str">
        <f ca="1">IFERROR(__xludf.DUMMYFUNCTION("GOOGLEFINANCE(""NSE:""&amp;D3618,""price"")"),"#N/A")</f>
        <v>#N/A</v>
      </c>
      <c r="M3618" s="9" t="e">
        <f t="shared" ca="1" si="72"/>
        <v>#VALUE!</v>
      </c>
      <c r="N3618" s="10" t="e">
        <f t="shared" ca="1" si="73"/>
        <v>#VALUE!</v>
      </c>
      <c r="O3618" s="7" t="str">
        <f ca="1">IFERROR(__xludf.DUMMYFUNCTION("GOOGLEFINANCE(""NSE:""&amp;D3618,""pe"")"),"#N/A")</f>
        <v>#N/A</v>
      </c>
      <c r="P3618" s="7" t="str">
        <f ca="1">IFERROR(__xludf.DUMMYFUNCTION("GOOGLEFINANCE(""NSE:""&amp;D3618,""EPS"")"),"#N/A")</f>
        <v>#N/A</v>
      </c>
      <c r="Q3618" s="7">
        <v>13.5</v>
      </c>
      <c r="R3618" s="7" t="str">
        <f ca="1">IFERROR(__xludf.DUMMYFUNCTION("IMPORTXML(E3618,""/html/body/main/div[3]/div[3]/div[2]/ul/li[7]/span[2]/span"")"),"Loading...")</f>
        <v>Loading...</v>
      </c>
      <c r="S3618" s="7" t="str">
        <f ca="1">IFERROR(__xludf.DUMMYFUNCTION("IMPORTXML(E3618,""/html/body/main/div[3]/div[3]/div[2]/ul/li[8]/span[2]/span"")"),"Loading...")</f>
        <v>Loading...</v>
      </c>
      <c r="T3618" s="4">
        <v>34.6</v>
      </c>
      <c r="U3618" s="4">
        <v>22.7</v>
      </c>
      <c r="V3618" s="4">
        <v>2.6</v>
      </c>
      <c r="W3618" s="4">
        <v>5.7</v>
      </c>
      <c r="X3618" s="4">
        <v>519.92999999999995</v>
      </c>
      <c r="Y3618" s="7" t="e">
        <f t="shared" ca="1" si="74"/>
        <v>#VALUE!</v>
      </c>
    </row>
    <row r="3619" spans="1:25" ht="15" x14ac:dyDescent="0.25">
      <c r="A3619" s="4">
        <v>3613</v>
      </c>
      <c r="C3619" s="41" t="s">
        <v>5972</v>
      </c>
      <c r="D3619" s="42"/>
      <c r="E3619" s="5" t="str">
        <f t="shared" si="70"/>
        <v>https://www.screener.in/company//consolidated/</v>
      </c>
      <c r="F3619" s="4">
        <v>443059</v>
      </c>
      <c r="G3619" s="4">
        <v>3832241897</v>
      </c>
      <c r="H3619" s="6" t="e">
        <f t="shared" ca="1" si="71"/>
        <v>#VALUE!</v>
      </c>
      <c r="I3619" s="7" t="str">
        <f ca="1">IFERROR(__xludf.DUMMYFUNCTION("IMPORTXML(E3619,""/html/body/main/div[3]/div[3]/div[2]/ul/li[5]/span[2]/span"")"),"Loading...")</f>
        <v>Loading...</v>
      </c>
      <c r="J3619" s="7" t="str">
        <f ca="1">IFERROR(__xludf.DUMMYFUNCTION("GOOGLEFINANCE(""NSE:""&amp;D3619,""marketcap"")"),"#N/A")</f>
        <v>#N/A</v>
      </c>
      <c r="K3619" s="7">
        <v>992.8</v>
      </c>
      <c r="L3619" s="8" t="str">
        <f ca="1">IFERROR(__xludf.DUMMYFUNCTION("GOOGLEFINANCE(""NSE:""&amp;D3619,""price"")"),"#N/A")</f>
        <v>#N/A</v>
      </c>
      <c r="M3619" s="9" t="e">
        <f t="shared" ca="1" si="72"/>
        <v>#VALUE!</v>
      </c>
      <c r="N3619" s="10" t="e">
        <f t="shared" ca="1" si="73"/>
        <v>#VALUE!</v>
      </c>
      <c r="O3619" s="7" t="str">
        <f ca="1">IFERROR(__xludf.DUMMYFUNCTION("GOOGLEFINANCE(""NSE:""&amp;D3619,""pe"")"),"#N/A")</f>
        <v>#N/A</v>
      </c>
      <c r="P3619" s="7" t="str">
        <f ca="1">IFERROR(__xludf.DUMMYFUNCTION("GOOGLEFINANCE(""NSE:""&amp;D3619,""EPS"")"),"#N/A")</f>
        <v>#N/A</v>
      </c>
      <c r="Q3619" s="7">
        <v>13.5</v>
      </c>
      <c r="R3619" s="7" t="str">
        <f ca="1">IFERROR(__xludf.DUMMYFUNCTION("IMPORTXML(E3619,""/html/body/main/div[3]/div[3]/div[2]/ul/li[7]/span[2]/span"")"),"Loading...")</f>
        <v>Loading...</v>
      </c>
      <c r="S3619" s="7" t="str">
        <f ca="1">IFERROR(__xludf.DUMMYFUNCTION("IMPORTXML(E3619,""/html/body/main/div[3]/div[3]/div[2]/ul/li[8]/span[2]/span"")"),"Loading...")</f>
        <v>Loading...</v>
      </c>
      <c r="T3619" s="4">
        <v>34.6</v>
      </c>
      <c r="U3619" s="4">
        <v>22.7</v>
      </c>
      <c r="V3619" s="4">
        <v>2.6</v>
      </c>
      <c r="W3619" s="4">
        <v>5.7</v>
      </c>
      <c r="X3619" s="4">
        <v>519.92999999999995</v>
      </c>
      <c r="Y3619" s="7" t="e">
        <f t="shared" ca="1" si="74"/>
        <v>#VALUE!</v>
      </c>
    </row>
    <row r="3620" spans="1:25" ht="15" x14ac:dyDescent="0.25">
      <c r="A3620" s="4">
        <v>3614</v>
      </c>
      <c r="C3620" s="41" t="s">
        <v>5973</v>
      </c>
      <c r="D3620" s="42"/>
      <c r="E3620" s="5" t="str">
        <f t="shared" si="70"/>
        <v>https://www.screener.in/company//consolidated/</v>
      </c>
      <c r="F3620" s="4">
        <v>443059</v>
      </c>
      <c r="G3620" s="4">
        <v>3832241897</v>
      </c>
      <c r="H3620" s="6" t="e">
        <f t="shared" ca="1" si="71"/>
        <v>#VALUE!</v>
      </c>
      <c r="I3620" s="7" t="str">
        <f ca="1">IFERROR(__xludf.DUMMYFUNCTION("IMPORTXML(E3620,""/html/body/main/div[3]/div[3]/div[2]/ul/li[5]/span[2]/span"")"),"Loading...")</f>
        <v>Loading...</v>
      </c>
      <c r="J3620" s="7" t="str">
        <f ca="1">IFERROR(__xludf.DUMMYFUNCTION("GOOGLEFINANCE(""NSE:""&amp;D3620,""marketcap"")"),"#N/A")</f>
        <v>#N/A</v>
      </c>
      <c r="K3620" s="7">
        <v>992.8</v>
      </c>
      <c r="L3620" s="8" t="str">
        <f ca="1">IFERROR(__xludf.DUMMYFUNCTION("GOOGLEFINANCE(""NSE:""&amp;D3620,""price"")"),"#N/A")</f>
        <v>#N/A</v>
      </c>
      <c r="M3620" s="9" t="e">
        <f t="shared" ca="1" si="72"/>
        <v>#VALUE!</v>
      </c>
      <c r="N3620" s="10" t="e">
        <f t="shared" ca="1" si="73"/>
        <v>#VALUE!</v>
      </c>
      <c r="O3620" s="7" t="str">
        <f ca="1">IFERROR(__xludf.DUMMYFUNCTION("GOOGLEFINANCE(""NSE:""&amp;D3620,""pe"")"),"#N/A")</f>
        <v>#N/A</v>
      </c>
      <c r="P3620" s="7" t="str">
        <f ca="1">IFERROR(__xludf.DUMMYFUNCTION("GOOGLEFINANCE(""NSE:""&amp;D3620,""EPS"")"),"#N/A")</f>
        <v>#N/A</v>
      </c>
      <c r="Q3620" s="7">
        <v>13.5</v>
      </c>
      <c r="R3620" s="7" t="str">
        <f ca="1">IFERROR(__xludf.DUMMYFUNCTION("IMPORTXML(E3620,""/html/body/main/div[3]/div[3]/div[2]/ul/li[7]/span[2]/span"")"),"Loading...")</f>
        <v>Loading...</v>
      </c>
      <c r="S3620" s="7" t="str">
        <f ca="1">IFERROR(__xludf.DUMMYFUNCTION("IMPORTXML(E3620,""/html/body/main/div[3]/div[3]/div[2]/ul/li[8]/span[2]/span"")"),"Loading...")</f>
        <v>Loading...</v>
      </c>
      <c r="T3620" s="4">
        <v>34.6</v>
      </c>
      <c r="U3620" s="4">
        <v>22.7</v>
      </c>
      <c r="V3620" s="4">
        <v>2.6</v>
      </c>
      <c r="W3620" s="4">
        <v>5.7</v>
      </c>
      <c r="X3620" s="4">
        <v>519.92999999999995</v>
      </c>
      <c r="Y3620" s="7" t="e">
        <f t="shared" ca="1" si="74"/>
        <v>#VALUE!</v>
      </c>
    </row>
    <row r="3621" spans="1:25" ht="15" x14ac:dyDescent="0.25">
      <c r="A3621" s="4">
        <v>3615</v>
      </c>
      <c r="C3621" s="41" t="s">
        <v>5974</v>
      </c>
      <c r="D3621" s="42"/>
      <c r="E3621" s="5" t="str">
        <f t="shared" si="70"/>
        <v>https://www.screener.in/company//consolidated/</v>
      </c>
      <c r="F3621" s="4">
        <v>443059</v>
      </c>
      <c r="G3621" s="4">
        <v>3832241897</v>
      </c>
      <c r="H3621" s="6" t="e">
        <f t="shared" ca="1" si="71"/>
        <v>#VALUE!</v>
      </c>
      <c r="I3621" s="7" t="str">
        <f ca="1">IFERROR(__xludf.DUMMYFUNCTION("IMPORTXML(E3621,""/html/body/main/div[3]/div[3]/div[2]/ul/li[5]/span[2]/span"")"),"Loading...")</f>
        <v>Loading...</v>
      </c>
      <c r="J3621" s="7" t="str">
        <f ca="1">IFERROR(__xludf.DUMMYFUNCTION("GOOGLEFINANCE(""NSE:""&amp;D3621,""marketcap"")"),"#N/A")</f>
        <v>#N/A</v>
      </c>
      <c r="K3621" s="7">
        <v>992.8</v>
      </c>
      <c r="L3621" s="8" t="str">
        <f ca="1">IFERROR(__xludf.DUMMYFUNCTION("GOOGLEFINANCE(""NSE:""&amp;D3621,""price"")"),"#N/A")</f>
        <v>#N/A</v>
      </c>
      <c r="M3621" s="9" t="e">
        <f t="shared" ca="1" si="72"/>
        <v>#VALUE!</v>
      </c>
      <c r="N3621" s="10" t="e">
        <f t="shared" ca="1" si="73"/>
        <v>#VALUE!</v>
      </c>
      <c r="O3621" s="7" t="str">
        <f ca="1">IFERROR(__xludf.DUMMYFUNCTION("GOOGLEFINANCE(""NSE:""&amp;D3621,""pe"")"),"#N/A")</f>
        <v>#N/A</v>
      </c>
      <c r="P3621" s="7" t="str">
        <f ca="1">IFERROR(__xludf.DUMMYFUNCTION("GOOGLEFINANCE(""NSE:""&amp;D3621,""EPS"")"),"#N/A")</f>
        <v>#N/A</v>
      </c>
      <c r="Q3621" s="7">
        <v>13.5</v>
      </c>
      <c r="R3621" s="7" t="str">
        <f ca="1">IFERROR(__xludf.DUMMYFUNCTION("IMPORTXML(E3621,""/html/body/main/div[3]/div[3]/div[2]/ul/li[7]/span[2]/span"")"),"Loading...")</f>
        <v>Loading...</v>
      </c>
      <c r="S3621" s="7" t="str">
        <f ca="1">IFERROR(__xludf.DUMMYFUNCTION("IMPORTXML(E3621,""/html/body/main/div[3]/div[3]/div[2]/ul/li[8]/span[2]/span"")"),"Loading...")</f>
        <v>Loading...</v>
      </c>
      <c r="T3621" s="4">
        <v>34.6</v>
      </c>
      <c r="U3621" s="4">
        <v>22.7</v>
      </c>
      <c r="V3621" s="4">
        <v>2.6</v>
      </c>
      <c r="W3621" s="4">
        <v>5.7</v>
      </c>
      <c r="X3621" s="4">
        <v>519.92999999999995</v>
      </c>
      <c r="Y3621" s="7" t="e">
        <f t="shared" ca="1" si="74"/>
        <v>#VALUE!</v>
      </c>
    </row>
    <row r="3622" spans="1:25" ht="15" x14ac:dyDescent="0.25">
      <c r="A3622" s="4">
        <v>3616</v>
      </c>
      <c r="C3622" s="41" t="s">
        <v>5975</v>
      </c>
      <c r="D3622" s="42"/>
      <c r="E3622" s="5" t="str">
        <f t="shared" si="70"/>
        <v>https://www.screener.in/company//consolidated/</v>
      </c>
      <c r="F3622" s="4">
        <v>443059</v>
      </c>
      <c r="G3622" s="4">
        <v>3832241897</v>
      </c>
      <c r="H3622" s="6" t="e">
        <f t="shared" ca="1" si="71"/>
        <v>#VALUE!</v>
      </c>
      <c r="I3622" s="7" t="str">
        <f ca="1">IFERROR(__xludf.DUMMYFUNCTION("IMPORTXML(E3622,""/html/body/main/div[3]/div[3]/div[2]/ul/li[5]/span[2]/span"")"),"Loading...")</f>
        <v>Loading...</v>
      </c>
      <c r="J3622" s="7" t="str">
        <f ca="1">IFERROR(__xludf.DUMMYFUNCTION("GOOGLEFINANCE(""NSE:""&amp;D3622,""marketcap"")"),"#N/A")</f>
        <v>#N/A</v>
      </c>
      <c r="K3622" s="7">
        <v>992.8</v>
      </c>
      <c r="L3622" s="8" t="str">
        <f ca="1">IFERROR(__xludf.DUMMYFUNCTION("GOOGLEFINANCE(""NSE:""&amp;D3622,""price"")"),"#N/A")</f>
        <v>#N/A</v>
      </c>
      <c r="M3622" s="9" t="e">
        <f t="shared" ca="1" si="72"/>
        <v>#VALUE!</v>
      </c>
      <c r="N3622" s="10" t="e">
        <f t="shared" ca="1" si="73"/>
        <v>#VALUE!</v>
      </c>
      <c r="O3622" s="7" t="str">
        <f ca="1">IFERROR(__xludf.DUMMYFUNCTION("GOOGLEFINANCE(""NSE:""&amp;D3622,""pe"")"),"#N/A")</f>
        <v>#N/A</v>
      </c>
      <c r="P3622" s="7" t="str">
        <f ca="1">IFERROR(__xludf.DUMMYFUNCTION("GOOGLEFINANCE(""NSE:""&amp;D3622,""EPS"")"),"#N/A")</f>
        <v>#N/A</v>
      </c>
      <c r="Q3622" s="7">
        <v>13.5</v>
      </c>
      <c r="R3622" s="7" t="str">
        <f ca="1">IFERROR(__xludf.DUMMYFUNCTION("IMPORTXML(E3622,""/html/body/main/div[3]/div[3]/div[2]/ul/li[7]/span[2]/span"")"),"Loading...")</f>
        <v>Loading...</v>
      </c>
      <c r="S3622" s="7" t="str">
        <f ca="1">IFERROR(__xludf.DUMMYFUNCTION("IMPORTXML(E3622,""/html/body/main/div[3]/div[3]/div[2]/ul/li[8]/span[2]/span"")"),"Loading...")</f>
        <v>Loading...</v>
      </c>
      <c r="T3622" s="4">
        <v>34.6</v>
      </c>
      <c r="U3622" s="4">
        <v>22.7</v>
      </c>
      <c r="V3622" s="4">
        <v>2.6</v>
      </c>
      <c r="W3622" s="4">
        <v>5.7</v>
      </c>
      <c r="X3622" s="4">
        <v>519.92999999999995</v>
      </c>
      <c r="Y3622" s="7" t="e">
        <f t="shared" ca="1" si="74"/>
        <v>#VALUE!</v>
      </c>
    </row>
    <row r="3623" spans="1:25" ht="15" x14ac:dyDescent="0.25">
      <c r="A3623" s="4">
        <v>3617</v>
      </c>
      <c r="C3623" s="41" t="s">
        <v>5976</v>
      </c>
      <c r="D3623" s="42"/>
      <c r="E3623" s="5" t="str">
        <f t="shared" si="70"/>
        <v>https://www.screener.in/company//consolidated/</v>
      </c>
      <c r="F3623" s="4">
        <v>443059</v>
      </c>
      <c r="G3623" s="4">
        <v>3832241897</v>
      </c>
      <c r="H3623" s="6" t="e">
        <f t="shared" ca="1" si="71"/>
        <v>#VALUE!</v>
      </c>
      <c r="I3623" s="7" t="str">
        <f ca="1">IFERROR(__xludf.DUMMYFUNCTION("IMPORTXML(E3623,""/html/body/main/div[3]/div[3]/div[2]/ul/li[5]/span[2]/span"")"),"Loading...")</f>
        <v>Loading...</v>
      </c>
      <c r="J3623" s="7" t="str">
        <f ca="1">IFERROR(__xludf.DUMMYFUNCTION("GOOGLEFINANCE(""NSE:""&amp;D3623,""marketcap"")"),"#N/A")</f>
        <v>#N/A</v>
      </c>
      <c r="K3623" s="7">
        <v>992.8</v>
      </c>
      <c r="L3623" s="8" t="str">
        <f ca="1">IFERROR(__xludf.DUMMYFUNCTION("GOOGLEFINANCE(""NSE:""&amp;D3623,""price"")"),"#N/A")</f>
        <v>#N/A</v>
      </c>
      <c r="M3623" s="9" t="e">
        <f t="shared" ca="1" si="72"/>
        <v>#VALUE!</v>
      </c>
      <c r="N3623" s="10" t="e">
        <f t="shared" ca="1" si="73"/>
        <v>#VALUE!</v>
      </c>
      <c r="O3623" s="7" t="str">
        <f ca="1">IFERROR(__xludf.DUMMYFUNCTION("GOOGLEFINANCE(""NSE:""&amp;D3623,""pe"")"),"#N/A")</f>
        <v>#N/A</v>
      </c>
      <c r="P3623" s="7" t="str">
        <f ca="1">IFERROR(__xludf.DUMMYFUNCTION("GOOGLEFINANCE(""NSE:""&amp;D3623,""EPS"")"),"#N/A")</f>
        <v>#N/A</v>
      </c>
      <c r="Q3623" s="7">
        <v>13.5</v>
      </c>
      <c r="R3623" s="7" t="str">
        <f ca="1">IFERROR(__xludf.DUMMYFUNCTION("IMPORTXML(E3623,""/html/body/main/div[3]/div[3]/div[2]/ul/li[7]/span[2]/span"")"),"Loading...")</f>
        <v>Loading...</v>
      </c>
      <c r="S3623" s="7" t="str">
        <f ca="1">IFERROR(__xludf.DUMMYFUNCTION("IMPORTXML(E3623,""/html/body/main/div[3]/div[3]/div[2]/ul/li[8]/span[2]/span"")"),"Loading...")</f>
        <v>Loading...</v>
      </c>
      <c r="T3623" s="4">
        <v>34.6</v>
      </c>
      <c r="U3623" s="4">
        <v>22.7</v>
      </c>
      <c r="V3623" s="4">
        <v>2.6</v>
      </c>
      <c r="W3623" s="4">
        <v>5.7</v>
      </c>
      <c r="X3623" s="4">
        <v>519.92999999999995</v>
      </c>
      <c r="Y3623" s="7" t="e">
        <f t="shared" ca="1" si="74"/>
        <v>#VALUE!</v>
      </c>
    </row>
    <row r="3624" spans="1:25" ht="15" x14ac:dyDescent="0.25">
      <c r="A3624" s="4">
        <v>3618</v>
      </c>
      <c r="C3624" s="41" t="s">
        <v>5977</v>
      </c>
      <c r="D3624" s="42"/>
      <c r="E3624" s="5" t="str">
        <f t="shared" si="70"/>
        <v>https://www.screener.in/company//consolidated/</v>
      </c>
      <c r="F3624" s="4">
        <v>443059</v>
      </c>
      <c r="G3624" s="4">
        <v>3832241897</v>
      </c>
      <c r="H3624" s="6" t="e">
        <f t="shared" ca="1" si="71"/>
        <v>#VALUE!</v>
      </c>
      <c r="I3624" s="7" t="str">
        <f ca="1">IFERROR(__xludf.DUMMYFUNCTION("IMPORTXML(E3624,""/html/body/main/div[3]/div[3]/div[2]/ul/li[5]/span[2]/span"")"),"Loading...")</f>
        <v>Loading...</v>
      </c>
      <c r="J3624" s="7" t="str">
        <f ca="1">IFERROR(__xludf.DUMMYFUNCTION("GOOGLEFINANCE(""NSE:""&amp;D3624,""marketcap"")"),"#N/A")</f>
        <v>#N/A</v>
      </c>
      <c r="K3624" s="7">
        <v>992.8</v>
      </c>
      <c r="L3624" s="8" t="str">
        <f ca="1">IFERROR(__xludf.DUMMYFUNCTION("GOOGLEFINANCE(""NSE:""&amp;D3624,""price"")"),"#N/A")</f>
        <v>#N/A</v>
      </c>
      <c r="M3624" s="9" t="e">
        <f t="shared" ca="1" si="72"/>
        <v>#VALUE!</v>
      </c>
      <c r="N3624" s="10" t="e">
        <f t="shared" ca="1" si="73"/>
        <v>#VALUE!</v>
      </c>
      <c r="O3624" s="7" t="str">
        <f ca="1">IFERROR(__xludf.DUMMYFUNCTION("GOOGLEFINANCE(""NSE:""&amp;D3624,""pe"")"),"#N/A")</f>
        <v>#N/A</v>
      </c>
      <c r="P3624" s="7" t="str">
        <f ca="1">IFERROR(__xludf.DUMMYFUNCTION("GOOGLEFINANCE(""NSE:""&amp;D3624,""EPS"")"),"#N/A")</f>
        <v>#N/A</v>
      </c>
      <c r="Q3624" s="7">
        <v>13.5</v>
      </c>
      <c r="R3624" s="7" t="str">
        <f ca="1">IFERROR(__xludf.DUMMYFUNCTION("IMPORTXML(E3624,""/html/body/main/div[3]/div[3]/div[2]/ul/li[7]/span[2]/span"")"),"Loading...")</f>
        <v>Loading...</v>
      </c>
      <c r="S3624" s="7" t="str">
        <f ca="1">IFERROR(__xludf.DUMMYFUNCTION("IMPORTXML(E3624,""/html/body/main/div[3]/div[3]/div[2]/ul/li[8]/span[2]/span"")"),"Loading...")</f>
        <v>Loading...</v>
      </c>
      <c r="T3624" s="4">
        <v>34.6</v>
      </c>
      <c r="U3624" s="4">
        <v>22.7</v>
      </c>
      <c r="V3624" s="4">
        <v>2.6</v>
      </c>
      <c r="W3624" s="4">
        <v>5.7</v>
      </c>
      <c r="X3624" s="4">
        <v>519.92999999999995</v>
      </c>
      <c r="Y3624" s="7" t="e">
        <f t="shared" ca="1" si="74"/>
        <v>#VALUE!</v>
      </c>
    </row>
    <row r="3625" spans="1:25" ht="15" x14ac:dyDescent="0.25">
      <c r="A3625" s="4">
        <v>3619</v>
      </c>
      <c r="C3625" s="41" t="s">
        <v>5978</v>
      </c>
      <c r="D3625" s="42"/>
      <c r="E3625" s="5" t="str">
        <f t="shared" si="70"/>
        <v>https://www.screener.in/company//consolidated/</v>
      </c>
      <c r="F3625" s="4">
        <v>443059</v>
      </c>
      <c r="G3625" s="4">
        <v>3832241897</v>
      </c>
      <c r="H3625" s="6" t="e">
        <f t="shared" ca="1" si="71"/>
        <v>#VALUE!</v>
      </c>
      <c r="I3625" s="7" t="str">
        <f ca="1">IFERROR(__xludf.DUMMYFUNCTION("IMPORTXML(E3625,""/html/body/main/div[3]/div[3]/div[2]/ul/li[5]/span[2]/span"")"),"Loading...")</f>
        <v>Loading...</v>
      </c>
      <c r="J3625" s="7" t="str">
        <f ca="1">IFERROR(__xludf.DUMMYFUNCTION("GOOGLEFINANCE(""NSE:""&amp;D3625,""marketcap"")"),"#N/A")</f>
        <v>#N/A</v>
      </c>
      <c r="K3625" s="7">
        <v>992.8</v>
      </c>
      <c r="L3625" s="8" t="str">
        <f ca="1">IFERROR(__xludf.DUMMYFUNCTION("GOOGLEFINANCE(""NSE:""&amp;D3625,""price"")"),"#N/A")</f>
        <v>#N/A</v>
      </c>
      <c r="M3625" s="9" t="e">
        <f t="shared" ca="1" si="72"/>
        <v>#VALUE!</v>
      </c>
      <c r="N3625" s="10" t="e">
        <f t="shared" ca="1" si="73"/>
        <v>#VALUE!</v>
      </c>
      <c r="O3625" s="7" t="str">
        <f ca="1">IFERROR(__xludf.DUMMYFUNCTION("GOOGLEFINANCE(""NSE:""&amp;D3625,""pe"")"),"#N/A")</f>
        <v>#N/A</v>
      </c>
      <c r="P3625" s="7" t="str">
        <f ca="1">IFERROR(__xludf.DUMMYFUNCTION("GOOGLEFINANCE(""NSE:""&amp;D3625,""EPS"")"),"#N/A")</f>
        <v>#N/A</v>
      </c>
      <c r="Q3625" s="7">
        <v>13.5</v>
      </c>
      <c r="R3625" s="7" t="str">
        <f ca="1">IFERROR(__xludf.DUMMYFUNCTION("IMPORTXML(E3625,""/html/body/main/div[3]/div[3]/div[2]/ul/li[7]/span[2]/span"")"),"Loading...")</f>
        <v>Loading...</v>
      </c>
      <c r="S3625" s="7" t="str">
        <f ca="1">IFERROR(__xludf.DUMMYFUNCTION("IMPORTXML(E3625,""/html/body/main/div[3]/div[3]/div[2]/ul/li[8]/span[2]/span"")"),"Loading...")</f>
        <v>Loading...</v>
      </c>
      <c r="T3625" s="4">
        <v>34.6</v>
      </c>
      <c r="U3625" s="4">
        <v>22.7</v>
      </c>
      <c r="V3625" s="4">
        <v>2.6</v>
      </c>
      <c r="W3625" s="4">
        <v>5.7</v>
      </c>
      <c r="X3625" s="4">
        <v>519.92999999999995</v>
      </c>
      <c r="Y3625" s="7" t="e">
        <f t="shared" ca="1" si="74"/>
        <v>#VALUE!</v>
      </c>
    </row>
    <row r="3626" spans="1:25" ht="15" x14ac:dyDescent="0.25">
      <c r="A3626" s="4">
        <v>3620</v>
      </c>
      <c r="C3626" s="41" t="s">
        <v>5979</v>
      </c>
      <c r="D3626" s="42"/>
      <c r="E3626" s="5" t="str">
        <f t="shared" si="70"/>
        <v>https://www.screener.in/company//consolidated/</v>
      </c>
      <c r="F3626" s="4">
        <v>443059</v>
      </c>
      <c r="G3626" s="4">
        <v>3832241897</v>
      </c>
      <c r="H3626" s="6" t="e">
        <f t="shared" ca="1" si="71"/>
        <v>#VALUE!</v>
      </c>
      <c r="I3626" s="7" t="str">
        <f ca="1">IFERROR(__xludf.DUMMYFUNCTION("IMPORTXML(E3626,""/html/body/main/div[3]/div[3]/div[2]/ul/li[5]/span[2]/span"")"),"Loading...")</f>
        <v>Loading...</v>
      </c>
      <c r="J3626" s="7" t="str">
        <f ca="1">IFERROR(__xludf.DUMMYFUNCTION("GOOGLEFINANCE(""NSE:""&amp;D3626,""marketcap"")"),"#N/A")</f>
        <v>#N/A</v>
      </c>
      <c r="K3626" s="7">
        <v>992.8</v>
      </c>
      <c r="L3626" s="8" t="str">
        <f ca="1">IFERROR(__xludf.DUMMYFUNCTION("GOOGLEFINANCE(""NSE:""&amp;D3626,""price"")"),"#N/A")</f>
        <v>#N/A</v>
      </c>
      <c r="M3626" s="9" t="e">
        <f t="shared" ca="1" si="72"/>
        <v>#VALUE!</v>
      </c>
      <c r="N3626" s="10" t="e">
        <f t="shared" ca="1" si="73"/>
        <v>#VALUE!</v>
      </c>
      <c r="O3626" s="7" t="str">
        <f ca="1">IFERROR(__xludf.DUMMYFUNCTION("GOOGLEFINANCE(""NSE:""&amp;D3626,""pe"")"),"#N/A")</f>
        <v>#N/A</v>
      </c>
      <c r="P3626" s="7" t="str">
        <f ca="1">IFERROR(__xludf.DUMMYFUNCTION("GOOGLEFINANCE(""NSE:""&amp;D3626,""EPS"")"),"#N/A")</f>
        <v>#N/A</v>
      </c>
      <c r="Q3626" s="7">
        <v>13.5</v>
      </c>
      <c r="R3626" s="7" t="str">
        <f ca="1">IFERROR(__xludf.DUMMYFUNCTION("IMPORTXML(E3626,""/html/body/main/div[3]/div[3]/div[2]/ul/li[7]/span[2]/span"")"),"Loading...")</f>
        <v>Loading...</v>
      </c>
      <c r="S3626" s="7" t="str">
        <f ca="1">IFERROR(__xludf.DUMMYFUNCTION("IMPORTXML(E3626,""/html/body/main/div[3]/div[3]/div[2]/ul/li[8]/span[2]/span"")"),"Loading...")</f>
        <v>Loading...</v>
      </c>
      <c r="T3626" s="4">
        <v>34.6</v>
      </c>
      <c r="U3626" s="4">
        <v>22.7</v>
      </c>
      <c r="V3626" s="4">
        <v>2.6</v>
      </c>
      <c r="W3626" s="4">
        <v>5.7</v>
      </c>
      <c r="X3626" s="4">
        <v>519.92999999999995</v>
      </c>
      <c r="Y3626" s="7" t="e">
        <f t="shared" ca="1" si="74"/>
        <v>#VALUE!</v>
      </c>
    </row>
    <row r="3627" spans="1:25" ht="15" x14ac:dyDescent="0.25">
      <c r="A3627" s="4">
        <v>3621</v>
      </c>
      <c r="C3627" s="41" t="s">
        <v>5980</v>
      </c>
      <c r="D3627" s="42"/>
      <c r="E3627" s="5" t="str">
        <f t="shared" si="70"/>
        <v>https://www.screener.in/company//consolidated/</v>
      </c>
      <c r="F3627" s="4">
        <v>443059</v>
      </c>
      <c r="G3627" s="4">
        <v>3832241897</v>
      </c>
      <c r="H3627" s="6" t="e">
        <f t="shared" ca="1" si="71"/>
        <v>#VALUE!</v>
      </c>
      <c r="I3627" s="7" t="str">
        <f ca="1">IFERROR(__xludf.DUMMYFUNCTION("IMPORTXML(E3627,""/html/body/main/div[3]/div[3]/div[2]/ul/li[5]/span[2]/span"")"),"Loading...")</f>
        <v>Loading...</v>
      </c>
      <c r="J3627" s="7" t="str">
        <f ca="1">IFERROR(__xludf.DUMMYFUNCTION("GOOGLEFINANCE(""NSE:""&amp;D3627,""marketcap"")"),"#N/A")</f>
        <v>#N/A</v>
      </c>
      <c r="K3627" s="7">
        <v>992.8</v>
      </c>
      <c r="L3627" s="8" t="str">
        <f ca="1">IFERROR(__xludf.DUMMYFUNCTION("GOOGLEFINANCE(""NSE:""&amp;D3627,""price"")"),"#N/A")</f>
        <v>#N/A</v>
      </c>
      <c r="M3627" s="9" t="e">
        <f t="shared" ca="1" si="72"/>
        <v>#VALUE!</v>
      </c>
      <c r="N3627" s="10" t="e">
        <f t="shared" ca="1" si="73"/>
        <v>#VALUE!</v>
      </c>
      <c r="O3627" s="7" t="str">
        <f ca="1">IFERROR(__xludf.DUMMYFUNCTION("GOOGLEFINANCE(""NSE:""&amp;D3627,""pe"")"),"#N/A")</f>
        <v>#N/A</v>
      </c>
      <c r="P3627" s="7" t="str">
        <f ca="1">IFERROR(__xludf.DUMMYFUNCTION("GOOGLEFINANCE(""NSE:""&amp;D3627,""EPS"")"),"#N/A")</f>
        <v>#N/A</v>
      </c>
      <c r="Q3627" s="7">
        <v>13.5</v>
      </c>
      <c r="R3627" s="7" t="str">
        <f ca="1">IFERROR(__xludf.DUMMYFUNCTION("IMPORTXML(E3627,""/html/body/main/div[3]/div[3]/div[2]/ul/li[7]/span[2]/span"")"),"Loading...")</f>
        <v>Loading...</v>
      </c>
      <c r="S3627" s="7" t="str">
        <f ca="1">IFERROR(__xludf.DUMMYFUNCTION("IMPORTXML(E3627,""/html/body/main/div[3]/div[3]/div[2]/ul/li[8]/span[2]/span"")"),"Loading...")</f>
        <v>Loading...</v>
      </c>
      <c r="T3627" s="4">
        <v>34.6</v>
      </c>
      <c r="U3627" s="4">
        <v>22.7</v>
      </c>
      <c r="V3627" s="4">
        <v>2.6</v>
      </c>
      <c r="W3627" s="4">
        <v>5.7</v>
      </c>
      <c r="X3627" s="4">
        <v>519.92999999999995</v>
      </c>
      <c r="Y3627" s="7" t="e">
        <f t="shared" ca="1" si="74"/>
        <v>#VALUE!</v>
      </c>
    </row>
    <row r="3628" spans="1:25" ht="15" x14ac:dyDescent="0.25">
      <c r="A3628" s="4">
        <v>3622</v>
      </c>
      <c r="C3628" s="41" t="s">
        <v>5981</v>
      </c>
      <c r="D3628" s="42"/>
      <c r="E3628" s="5" t="str">
        <f t="shared" si="70"/>
        <v>https://www.screener.in/company//consolidated/</v>
      </c>
      <c r="F3628" s="4">
        <v>443059</v>
      </c>
      <c r="G3628" s="4">
        <v>3832241897</v>
      </c>
      <c r="H3628" s="6" t="e">
        <f t="shared" ca="1" si="71"/>
        <v>#VALUE!</v>
      </c>
      <c r="I3628" s="7" t="str">
        <f ca="1">IFERROR(__xludf.DUMMYFUNCTION("IMPORTXML(E3628,""/html/body/main/div[3]/div[3]/div[2]/ul/li[5]/span[2]/span"")"),"Loading...")</f>
        <v>Loading...</v>
      </c>
      <c r="J3628" s="7" t="str">
        <f ca="1">IFERROR(__xludf.DUMMYFUNCTION("GOOGLEFINANCE(""NSE:""&amp;D3628,""marketcap"")"),"#N/A")</f>
        <v>#N/A</v>
      </c>
      <c r="K3628" s="7">
        <v>992.8</v>
      </c>
      <c r="L3628" s="8" t="str">
        <f ca="1">IFERROR(__xludf.DUMMYFUNCTION("GOOGLEFINANCE(""NSE:""&amp;D3628,""price"")"),"#N/A")</f>
        <v>#N/A</v>
      </c>
      <c r="M3628" s="9" t="e">
        <f t="shared" ca="1" si="72"/>
        <v>#VALUE!</v>
      </c>
      <c r="N3628" s="10" t="e">
        <f t="shared" ca="1" si="73"/>
        <v>#VALUE!</v>
      </c>
      <c r="O3628" s="7" t="str">
        <f ca="1">IFERROR(__xludf.DUMMYFUNCTION("GOOGLEFINANCE(""NSE:""&amp;D3628,""pe"")"),"#N/A")</f>
        <v>#N/A</v>
      </c>
      <c r="P3628" s="7" t="str">
        <f ca="1">IFERROR(__xludf.DUMMYFUNCTION("GOOGLEFINANCE(""NSE:""&amp;D3628,""EPS"")"),"#N/A")</f>
        <v>#N/A</v>
      </c>
      <c r="Q3628" s="7">
        <v>13.5</v>
      </c>
      <c r="R3628" s="7" t="str">
        <f ca="1">IFERROR(__xludf.DUMMYFUNCTION("IMPORTXML(E3628,""/html/body/main/div[3]/div[3]/div[2]/ul/li[7]/span[2]/span"")"),"Loading...")</f>
        <v>Loading...</v>
      </c>
      <c r="S3628" s="7" t="str">
        <f ca="1">IFERROR(__xludf.DUMMYFUNCTION("IMPORTXML(E3628,""/html/body/main/div[3]/div[3]/div[2]/ul/li[8]/span[2]/span"")"),"Loading...")</f>
        <v>Loading...</v>
      </c>
      <c r="T3628" s="4">
        <v>34.6</v>
      </c>
      <c r="U3628" s="4">
        <v>22.7</v>
      </c>
      <c r="V3628" s="4">
        <v>2.6</v>
      </c>
      <c r="W3628" s="4">
        <v>5.7</v>
      </c>
      <c r="X3628" s="4">
        <v>519.92999999999995</v>
      </c>
      <c r="Y3628" s="7" t="e">
        <f t="shared" ca="1" si="74"/>
        <v>#VALUE!</v>
      </c>
    </row>
    <row r="3629" spans="1:25" ht="15" x14ac:dyDescent="0.25">
      <c r="A3629" s="4">
        <v>3623</v>
      </c>
      <c r="C3629" s="41" t="s">
        <v>5982</v>
      </c>
      <c r="D3629" s="42"/>
      <c r="E3629" s="5" t="str">
        <f t="shared" si="70"/>
        <v>https://www.screener.in/company//consolidated/</v>
      </c>
      <c r="F3629" s="4">
        <v>443059</v>
      </c>
      <c r="G3629" s="4">
        <v>3832241897</v>
      </c>
      <c r="H3629" s="6" t="e">
        <f t="shared" ca="1" si="71"/>
        <v>#VALUE!</v>
      </c>
      <c r="I3629" s="7" t="str">
        <f ca="1">IFERROR(__xludf.DUMMYFUNCTION("IMPORTXML(E3629,""/html/body/main/div[3]/div[3]/div[2]/ul/li[5]/span[2]/span"")"),"Loading...")</f>
        <v>Loading...</v>
      </c>
      <c r="J3629" s="7" t="str">
        <f ca="1">IFERROR(__xludf.DUMMYFUNCTION("GOOGLEFINANCE(""NSE:""&amp;D3629,""marketcap"")"),"#N/A")</f>
        <v>#N/A</v>
      </c>
      <c r="K3629" s="7">
        <v>992.8</v>
      </c>
      <c r="L3629" s="8" t="str">
        <f ca="1">IFERROR(__xludf.DUMMYFUNCTION("GOOGLEFINANCE(""NSE:""&amp;D3629,""price"")"),"#N/A")</f>
        <v>#N/A</v>
      </c>
      <c r="M3629" s="9" t="e">
        <f t="shared" ca="1" si="72"/>
        <v>#VALUE!</v>
      </c>
      <c r="N3629" s="10" t="e">
        <f t="shared" ca="1" si="73"/>
        <v>#VALUE!</v>
      </c>
      <c r="O3629" s="7" t="str">
        <f ca="1">IFERROR(__xludf.DUMMYFUNCTION("GOOGLEFINANCE(""NSE:""&amp;D3629,""pe"")"),"#N/A")</f>
        <v>#N/A</v>
      </c>
      <c r="P3629" s="7" t="str">
        <f ca="1">IFERROR(__xludf.DUMMYFUNCTION("GOOGLEFINANCE(""NSE:""&amp;D3629,""EPS"")"),"#N/A")</f>
        <v>#N/A</v>
      </c>
      <c r="Q3629" s="7">
        <v>13.5</v>
      </c>
      <c r="R3629" s="7" t="str">
        <f ca="1">IFERROR(__xludf.DUMMYFUNCTION("IMPORTXML(E3629,""/html/body/main/div[3]/div[3]/div[2]/ul/li[7]/span[2]/span"")"),"Loading...")</f>
        <v>Loading...</v>
      </c>
      <c r="S3629" s="7" t="str">
        <f ca="1">IFERROR(__xludf.DUMMYFUNCTION("IMPORTXML(E3629,""/html/body/main/div[3]/div[3]/div[2]/ul/li[8]/span[2]/span"")"),"Loading...")</f>
        <v>Loading...</v>
      </c>
      <c r="T3629" s="4">
        <v>34.6</v>
      </c>
      <c r="U3629" s="4">
        <v>22.7</v>
      </c>
      <c r="V3629" s="4">
        <v>2.6</v>
      </c>
      <c r="W3629" s="4">
        <v>5.7</v>
      </c>
      <c r="X3629" s="4">
        <v>519.92999999999995</v>
      </c>
      <c r="Y3629" s="7" t="e">
        <f t="shared" ca="1" si="74"/>
        <v>#VALUE!</v>
      </c>
    </row>
    <row r="3630" spans="1:25" ht="15" x14ac:dyDescent="0.25">
      <c r="A3630" s="4">
        <v>3624</v>
      </c>
      <c r="C3630" s="41" t="s">
        <v>5983</v>
      </c>
      <c r="D3630" s="42"/>
      <c r="E3630" s="5" t="str">
        <f t="shared" si="70"/>
        <v>https://www.screener.in/company//consolidated/</v>
      </c>
      <c r="F3630" s="4">
        <v>443059</v>
      </c>
      <c r="G3630" s="4">
        <v>3832241897</v>
      </c>
      <c r="H3630" s="6" t="e">
        <f t="shared" ca="1" si="71"/>
        <v>#VALUE!</v>
      </c>
      <c r="I3630" s="7" t="str">
        <f ca="1">IFERROR(__xludf.DUMMYFUNCTION("IMPORTXML(E3630,""/html/body/main/div[3]/div[3]/div[2]/ul/li[5]/span[2]/span"")"),"Loading...")</f>
        <v>Loading...</v>
      </c>
      <c r="J3630" s="7" t="str">
        <f ca="1">IFERROR(__xludf.DUMMYFUNCTION("GOOGLEFINANCE(""NSE:""&amp;D3630,""marketcap"")"),"#N/A")</f>
        <v>#N/A</v>
      </c>
      <c r="K3630" s="7">
        <v>992.8</v>
      </c>
      <c r="L3630" s="8" t="str">
        <f ca="1">IFERROR(__xludf.DUMMYFUNCTION("GOOGLEFINANCE(""NSE:""&amp;D3630,""price"")"),"#N/A")</f>
        <v>#N/A</v>
      </c>
      <c r="M3630" s="9" t="e">
        <f t="shared" ca="1" si="72"/>
        <v>#VALUE!</v>
      </c>
      <c r="N3630" s="10" t="e">
        <f t="shared" ca="1" si="73"/>
        <v>#VALUE!</v>
      </c>
      <c r="O3630" s="7" t="str">
        <f ca="1">IFERROR(__xludf.DUMMYFUNCTION("GOOGLEFINANCE(""NSE:""&amp;D3630,""pe"")"),"#N/A")</f>
        <v>#N/A</v>
      </c>
      <c r="P3630" s="7" t="str">
        <f ca="1">IFERROR(__xludf.DUMMYFUNCTION("GOOGLEFINANCE(""NSE:""&amp;D3630,""EPS"")"),"#N/A")</f>
        <v>#N/A</v>
      </c>
      <c r="Q3630" s="7">
        <v>13.5</v>
      </c>
      <c r="R3630" s="7" t="str">
        <f ca="1">IFERROR(__xludf.DUMMYFUNCTION("IMPORTXML(E3630,""/html/body/main/div[3]/div[3]/div[2]/ul/li[7]/span[2]/span"")"),"Loading...")</f>
        <v>Loading...</v>
      </c>
      <c r="S3630" s="7" t="str">
        <f ca="1">IFERROR(__xludf.DUMMYFUNCTION("IMPORTXML(E3630,""/html/body/main/div[3]/div[3]/div[2]/ul/li[8]/span[2]/span"")"),"Loading...")</f>
        <v>Loading...</v>
      </c>
      <c r="T3630" s="4">
        <v>34.6</v>
      </c>
      <c r="U3630" s="4">
        <v>22.7</v>
      </c>
      <c r="V3630" s="4">
        <v>2.6</v>
      </c>
      <c r="W3630" s="4">
        <v>5.7</v>
      </c>
      <c r="X3630" s="4">
        <v>519.92999999999995</v>
      </c>
      <c r="Y3630" s="7" t="e">
        <f t="shared" ca="1" si="74"/>
        <v>#VALUE!</v>
      </c>
    </row>
    <row r="3631" spans="1:25" ht="15" x14ac:dyDescent="0.25">
      <c r="A3631" s="4">
        <v>3626</v>
      </c>
      <c r="C3631" s="41" t="s">
        <v>5984</v>
      </c>
      <c r="D3631" s="42"/>
      <c r="E3631" s="5" t="str">
        <f t="shared" si="70"/>
        <v>https://www.screener.in/company//consolidated/</v>
      </c>
      <c r="F3631" s="4">
        <v>443059</v>
      </c>
      <c r="G3631" s="4">
        <v>3832241897</v>
      </c>
      <c r="H3631" s="6" t="e">
        <f t="shared" ca="1" si="71"/>
        <v>#VALUE!</v>
      </c>
      <c r="I3631" s="7" t="str">
        <f ca="1">IFERROR(__xludf.DUMMYFUNCTION("IMPORTXML(E3631,""/html/body/main/div[3]/div[3]/div[2]/ul/li[5]/span[2]/span"")"),"Loading...")</f>
        <v>Loading...</v>
      </c>
      <c r="J3631" s="7" t="str">
        <f ca="1">IFERROR(__xludf.DUMMYFUNCTION("GOOGLEFINANCE(""NSE:""&amp;D3631,""marketcap"")"),"#N/A")</f>
        <v>#N/A</v>
      </c>
      <c r="K3631" s="7">
        <v>992.8</v>
      </c>
      <c r="L3631" s="8" t="str">
        <f ca="1">IFERROR(__xludf.DUMMYFUNCTION("GOOGLEFINANCE(""NSE:""&amp;D3631,""price"")"),"#N/A")</f>
        <v>#N/A</v>
      </c>
      <c r="M3631" s="9" t="e">
        <f t="shared" ca="1" si="72"/>
        <v>#VALUE!</v>
      </c>
      <c r="N3631" s="10" t="e">
        <f t="shared" ca="1" si="73"/>
        <v>#VALUE!</v>
      </c>
      <c r="O3631" s="7" t="str">
        <f ca="1">IFERROR(__xludf.DUMMYFUNCTION("GOOGLEFINANCE(""NSE:""&amp;D3631,""pe"")"),"#N/A")</f>
        <v>#N/A</v>
      </c>
      <c r="P3631" s="7" t="str">
        <f ca="1">IFERROR(__xludf.DUMMYFUNCTION("GOOGLEFINANCE(""NSE:""&amp;D3631,""EPS"")"),"#N/A")</f>
        <v>#N/A</v>
      </c>
      <c r="Q3631" s="7">
        <v>13.5</v>
      </c>
      <c r="R3631" s="7" t="str">
        <f ca="1">IFERROR(__xludf.DUMMYFUNCTION("IMPORTXML(E3631,""/html/body/main/div[3]/div[3]/div[2]/ul/li[7]/span[2]/span"")"),"Loading...")</f>
        <v>Loading...</v>
      </c>
      <c r="S3631" s="7" t="str">
        <f ca="1">IFERROR(__xludf.DUMMYFUNCTION("IMPORTXML(E3631,""/html/body/main/div[3]/div[3]/div[2]/ul/li[8]/span[2]/span"")"),"Loading...")</f>
        <v>Loading...</v>
      </c>
      <c r="T3631" s="4">
        <v>34.6</v>
      </c>
      <c r="U3631" s="4">
        <v>22.7</v>
      </c>
      <c r="V3631" s="4">
        <v>2.6</v>
      </c>
      <c r="W3631" s="4">
        <v>5.7</v>
      </c>
      <c r="X3631" s="4">
        <v>519.92999999999995</v>
      </c>
      <c r="Y3631" s="7" t="e">
        <f t="shared" ca="1" si="74"/>
        <v>#VALUE!</v>
      </c>
    </row>
    <row r="3632" spans="1:25" ht="15" x14ac:dyDescent="0.25">
      <c r="A3632" s="4">
        <v>3627</v>
      </c>
      <c r="C3632" s="41" t="s">
        <v>5985</v>
      </c>
      <c r="D3632" s="42"/>
      <c r="E3632" s="5" t="str">
        <f t="shared" si="70"/>
        <v>https://www.screener.in/company//consolidated/</v>
      </c>
      <c r="F3632" s="4">
        <v>443059</v>
      </c>
      <c r="G3632" s="4">
        <v>3832241897</v>
      </c>
      <c r="H3632" s="6" t="e">
        <f t="shared" ca="1" si="71"/>
        <v>#VALUE!</v>
      </c>
      <c r="I3632" s="7" t="str">
        <f ca="1">IFERROR(__xludf.DUMMYFUNCTION("IMPORTXML(E3632,""/html/body/main/div[3]/div[3]/div[2]/ul/li[5]/span[2]/span"")"),"Loading...")</f>
        <v>Loading...</v>
      </c>
      <c r="J3632" s="7" t="str">
        <f ca="1">IFERROR(__xludf.DUMMYFUNCTION("GOOGLEFINANCE(""NSE:""&amp;D3632,""marketcap"")"),"#N/A")</f>
        <v>#N/A</v>
      </c>
      <c r="K3632" s="7">
        <v>992.8</v>
      </c>
      <c r="L3632" s="8" t="str">
        <f ca="1">IFERROR(__xludf.DUMMYFUNCTION("GOOGLEFINANCE(""NSE:""&amp;D3632,""price"")"),"#N/A")</f>
        <v>#N/A</v>
      </c>
      <c r="M3632" s="9" t="e">
        <f t="shared" ca="1" si="72"/>
        <v>#VALUE!</v>
      </c>
      <c r="N3632" s="10" t="e">
        <f t="shared" ca="1" si="73"/>
        <v>#VALUE!</v>
      </c>
      <c r="O3632" s="7" t="str">
        <f ca="1">IFERROR(__xludf.DUMMYFUNCTION("GOOGLEFINANCE(""NSE:""&amp;D3632,""pe"")"),"#N/A")</f>
        <v>#N/A</v>
      </c>
      <c r="P3632" s="7" t="str">
        <f ca="1">IFERROR(__xludf.DUMMYFUNCTION("GOOGLEFINANCE(""NSE:""&amp;D3632,""EPS"")"),"#N/A")</f>
        <v>#N/A</v>
      </c>
      <c r="Q3632" s="7">
        <v>13.5</v>
      </c>
      <c r="R3632" s="7" t="str">
        <f ca="1">IFERROR(__xludf.DUMMYFUNCTION("IMPORTXML(E3632,""/html/body/main/div[3]/div[3]/div[2]/ul/li[7]/span[2]/span"")"),"Loading...")</f>
        <v>Loading...</v>
      </c>
      <c r="S3632" s="7" t="str">
        <f ca="1">IFERROR(__xludf.DUMMYFUNCTION("IMPORTXML(E3632,""/html/body/main/div[3]/div[3]/div[2]/ul/li[8]/span[2]/span"")"),"Loading...")</f>
        <v>Loading...</v>
      </c>
      <c r="T3632" s="4">
        <v>34.6</v>
      </c>
      <c r="U3632" s="4">
        <v>22.7</v>
      </c>
      <c r="V3632" s="4">
        <v>2.6</v>
      </c>
      <c r="W3632" s="4">
        <v>5.7</v>
      </c>
      <c r="X3632" s="4">
        <v>519.92999999999995</v>
      </c>
      <c r="Y3632" s="7" t="e">
        <f t="shared" ca="1" si="74"/>
        <v>#VALUE!</v>
      </c>
    </row>
    <row r="3633" spans="1:25" ht="15" x14ac:dyDescent="0.25">
      <c r="A3633" s="4">
        <v>3628</v>
      </c>
      <c r="C3633" s="41" t="s">
        <v>5986</v>
      </c>
      <c r="D3633" s="42"/>
      <c r="E3633" s="5" t="str">
        <f t="shared" si="70"/>
        <v>https://www.screener.in/company//consolidated/</v>
      </c>
      <c r="F3633" s="4">
        <v>443059</v>
      </c>
      <c r="G3633" s="4">
        <v>3832241897</v>
      </c>
      <c r="H3633" s="6" t="e">
        <f t="shared" ca="1" si="71"/>
        <v>#VALUE!</v>
      </c>
      <c r="I3633" s="7" t="str">
        <f ca="1">IFERROR(__xludf.DUMMYFUNCTION("IMPORTXML(E3633,""/html/body/main/div[3]/div[3]/div[2]/ul/li[5]/span[2]/span"")"),"Loading...")</f>
        <v>Loading...</v>
      </c>
      <c r="J3633" s="7" t="str">
        <f ca="1">IFERROR(__xludf.DUMMYFUNCTION("GOOGLEFINANCE(""NSE:""&amp;D3633,""marketcap"")"),"#N/A")</f>
        <v>#N/A</v>
      </c>
      <c r="K3633" s="7">
        <v>992.8</v>
      </c>
      <c r="L3633" s="8" t="str">
        <f ca="1">IFERROR(__xludf.DUMMYFUNCTION("GOOGLEFINANCE(""NSE:""&amp;D3633,""price"")"),"#N/A")</f>
        <v>#N/A</v>
      </c>
      <c r="M3633" s="9" t="e">
        <f t="shared" ca="1" si="72"/>
        <v>#VALUE!</v>
      </c>
      <c r="N3633" s="10" t="e">
        <f t="shared" ca="1" si="73"/>
        <v>#VALUE!</v>
      </c>
      <c r="O3633" s="7" t="str">
        <f ca="1">IFERROR(__xludf.DUMMYFUNCTION("GOOGLEFINANCE(""NSE:""&amp;D3633,""pe"")"),"#N/A")</f>
        <v>#N/A</v>
      </c>
      <c r="P3633" s="7" t="str">
        <f ca="1">IFERROR(__xludf.DUMMYFUNCTION("GOOGLEFINANCE(""NSE:""&amp;D3633,""EPS"")"),"#N/A")</f>
        <v>#N/A</v>
      </c>
      <c r="Q3633" s="7">
        <v>13.5</v>
      </c>
      <c r="R3633" s="7" t="str">
        <f ca="1">IFERROR(__xludf.DUMMYFUNCTION("IMPORTXML(E3633,""/html/body/main/div[3]/div[3]/div[2]/ul/li[7]/span[2]/span"")"),"Loading...")</f>
        <v>Loading...</v>
      </c>
      <c r="S3633" s="7" t="str">
        <f ca="1">IFERROR(__xludf.DUMMYFUNCTION("IMPORTXML(E3633,""/html/body/main/div[3]/div[3]/div[2]/ul/li[8]/span[2]/span"")"),"Loading...")</f>
        <v>Loading...</v>
      </c>
      <c r="T3633" s="4">
        <v>34.6</v>
      </c>
      <c r="U3633" s="4">
        <v>22.7</v>
      </c>
      <c r="V3633" s="4">
        <v>2.6</v>
      </c>
      <c r="W3633" s="4">
        <v>5.7</v>
      </c>
      <c r="X3633" s="4">
        <v>519.92999999999995</v>
      </c>
      <c r="Y3633" s="7" t="e">
        <f t="shared" ca="1" si="74"/>
        <v>#VALUE!</v>
      </c>
    </row>
    <row r="3634" spans="1:25" ht="15" x14ac:dyDescent="0.25">
      <c r="A3634" s="4">
        <v>3629</v>
      </c>
      <c r="C3634" s="41" t="s">
        <v>5987</v>
      </c>
      <c r="D3634" s="42"/>
      <c r="E3634" s="5" t="str">
        <f t="shared" si="70"/>
        <v>https://www.screener.in/company//consolidated/</v>
      </c>
      <c r="F3634" s="4">
        <v>443059</v>
      </c>
      <c r="G3634" s="4">
        <v>3832241897</v>
      </c>
      <c r="H3634" s="6" t="e">
        <f t="shared" ca="1" si="71"/>
        <v>#VALUE!</v>
      </c>
      <c r="I3634" s="7" t="str">
        <f ca="1">IFERROR(__xludf.DUMMYFUNCTION("IMPORTXML(E3634,""/html/body/main/div[3]/div[3]/div[2]/ul/li[5]/span[2]/span"")"),"Loading...")</f>
        <v>Loading...</v>
      </c>
      <c r="J3634" s="7" t="str">
        <f ca="1">IFERROR(__xludf.DUMMYFUNCTION("GOOGLEFINANCE(""NSE:""&amp;D3634,""marketcap"")"),"#N/A")</f>
        <v>#N/A</v>
      </c>
      <c r="K3634" s="7">
        <v>992.8</v>
      </c>
      <c r="L3634" s="8" t="str">
        <f ca="1">IFERROR(__xludf.DUMMYFUNCTION("GOOGLEFINANCE(""NSE:""&amp;D3634,""price"")"),"#N/A")</f>
        <v>#N/A</v>
      </c>
      <c r="M3634" s="9" t="e">
        <f t="shared" ca="1" si="72"/>
        <v>#VALUE!</v>
      </c>
      <c r="N3634" s="10" t="e">
        <f t="shared" ca="1" si="73"/>
        <v>#VALUE!</v>
      </c>
      <c r="O3634" s="7" t="str">
        <f ca="1">IFERROR(__xludf.DUMMYFUNCTION("GOOGLEFINANCE(""NSE:""&amp;D3634,""pe"")"),"#N/A")</f>
        <v>#N/A</v>
      </c>
      <c r="P3634" s="7" t="str">
        <f ca="1">IFERROR(__xludf.DUMMYFUNCTION("GOOGLEFINANCE(""NSE:""&amp;D3634,""EPS"")"),"#N/A")</f>
        <v>#N/A</v>
      </c>
      <c r="Q3634" s="7">
        <v>13.5</v>
      </c>
      <c r="R3634" s="7" t="str">
        <f ca="1">IFERROR(__xludf.DUMMYFUNCTION("IMPORTXML(E3634,""/html/body/main/div[3]/div[3]/div[2]/ul/li[7]/span[2]/span"")"),"Loading...")</f>
        <v>Loading...</v>
      </c>
      <c r="S3634" s="7" t="str">
        <f ca="1">IFERROR(__xludf.DUMMYFUNCTION("IMPORTXML(E3634,""/html/body/main/div[3]/div[3]/div[2]/ul/li[8]/span[2]/span"")"),"Loading...")</f>
        <v>Loading...</v>
      </c>
      <c r="T3634" s="4">
        <v>34.6</v>
      </c>
      <c r="U3634" s="4">
        <v>22.7</v>
      </c>
      <c r="V3634" s="4">
        <v>2.6</v>
      </c>
      <c r="W3634" s="4">
        <v>5.7</v>
      </c>
      <c r="X3634" s="4">
        <v>519.92999999999995</v>
      </c>
      <c r="Y3634" s="7" t="e">
        <f t="shared" ca="1" si="74"/>
        <v>#VALUE!</v>
      </c>
    </row>
    <row r="3635" spans="1:25" ht="15" x14ac:dyDescent="0.25">
      <c r="A3635" s="4">
        <v>3630</v>
      </c>
      <c r="C3635" s="41" t="s">
        <v>5988</v>
      </c>
      <c r="D3635" s="42"/>
      <c r="E3635" s="5" t="str">
        <f t="shared" si="70"/>
        <v>https://www.screener.in/company//consolidated/</v>
      </c>
      <c r="F3635" s="4">
        <v>443059</v>
      </c>
      <c r="G3635" s="4">
        <v>3832241897</v>
      </c>
      <c r="H3635" s="6" t="e">
        <f t="shared" ca="1" si="71"/>
        <v>#VALUE!</v>
      </c>
      <c r="I3635" s="7" t="str">
        <f ca="1">IFERROR(__xludf.DUMMYFUNCTION("IMPORTXML(E3635,""/html/body/main/div[3]/div[3]/div[2]/ul/li[5]/span[2]/span"")"),"Loading...")</f>
        <v>Loading...</v>
      </c>
      <c r="J3635" s="7" t="str">
        <f ca="1">IFERROR(__xludf.DUMMYFUNCTION("GOOGLEFINANCE(""NSE:""&amp;D3635,""marketcap"")"),"#N/A")</f>
        <v>#N/A</v>
      </c>
      <c r="K3635" s="7">
        <v>992.8</v>
      </c>
      <c r="L3635" s="8" t="str">
        <f ca="1">IFERROR(__xludf.DUMMYFUNCTION("GOOGLEFINANCE(""NSE:""&amp;D3635,""price"")"),"#N/A")</f>
        <v>#N/A</v>
      </c>
      <c r="M3635" s="9" t="e">
        <f t="shared" ca="1" si="72"/>
        <v>#VALUE!</v>
      </c>
      <c r="N3635" s="10" t="e">
        <f t="shared" ca="1" si="73"/>
        <v>#VALUE!</v>
      </c>
      <c r="O3635" s="7" t="str">
        <f ca="1">IFERROR(__xludf.DUMMYFUNCTION("GOOGLEFINANCE(""NSE:""&amp;D3635,""pe"")"),"#N/A")</f>
        <v>#N/A</v>
      </c>
      <c r="P3635" s="7" t="str">
        <f ca="1">IFERROR(__xludf.DUMMYFUNCTION("GOOGLEFINANCE(""NSE:""&amp;D3635,""EPS"")"),"#N/A")</f>
        <v>#N/A</v>
      </c>
      <c r="Q3635" s="7">
        <v>13.5</v>
      </c>
      <c r="R3635" s="7" t="str">
        <f ca="1">IFERROR(__xludf.DUMMYFUNCTION("IMPORTXML(E3635,""/html/body/main/div[3]/div[3]/div[2]/ul/li[7]/span[2]/span"")"),"Loading...")</f>
        <v>Loading...</v>
      </c>
      <c r="S3635" s="7" t="str">
        <f ca="1">IFERROR(__xludf.DUMMYFUNCTION("IMPORTXML(E3635,""/html/body/main/div[3]/div[3]/div[2]/ul/li[8]/span[2]/span"")"),"Loading...")</f>
        <v>Loading...</v>
      </c>
      <c r="T3635" s="4">
        <v>34.6</v>
      </c>
      <c r="U3635" s="4">
        <v>22.7</v>
      </c>
      <c r="V3635" s="4">
        <v>2.6</v>
      </c>
      <c r="W3635" s="4">
        <v>5.7</v>
      </c>
      <c r="X3635" s="4">
        <v>519.92999999999995</v>
      </c>
      <c r="Y3635" s="7" t="e">
        <f t="shared" ca="1" si="74"/>
        <v>#VALUE!</v>
      </c>
    </row>
    <row r="3636" spans="1:25" ht="15" x14ac:dyDescent="0.25">
      <c r="A3636" s="4">
        <v>3631</v>
      </c>
      <c r="C3636" s="41" t="s">
        <v>5989</v>
      </c>
      <c r="D3636" s="42"/>
      <c r="E3636" s="5" t="str">
        <f t="shared" si="70"/>
        <v>https://www.screener.in/company//consolidated/</v>
      </c>
      <c r="F3636" s="4">
        <v>443059</v>
      </c>
      <c r="G3636" s="4">
        <v>3832241897</v>
      </c>
      <c r="H3636" s="6" t="e">
        <f t="shared" ca="1" si="71"/>
        <v>#VALUE!</v>
      </c>
      <c r="I3636" s="7" t="str">
        <f ca="1">IFERROR(__xludf.DUMMYFUNCTION("IMPORTXML(E3636,""/html/body/main/div[3]/div[3]/div[2]/ul/li[5]/span[2]/span"")"),"Loading...")</f>
        <v>Loading...</v>
      </c>
      <c r="J3636" s="7" t="str">
        <f ca="1">IFERROR(__xludf.DUMMYFUNCTION("GOOGLEFINANCE(""NSE:""&amp;D3636,""marketcap"")"),"#N/A")</f>
        <v>#N/A</v>
      </c>
      <c r="K3636" s="7">
        <v>992.8</v>
      </c>
      <c r="L3636" s="8" t="str">
        <f ca="1">IFERROR(__xludf.DUMMYFUNCTION("GOOGLEFINANCE(""NSE:""&amp;D3636,""price"")"),"#N/A")</f>
        <v>#N/A</v>
      </c>
      <c r="M3636" s="9" t="e">
        <f t="shared" ca="1" si="72"/>
        <v>#VALUE!</v>
      </c>
      <c r="N3636" s="10" t="e">
        <f t="shared" ca="1" si="73"/>
        <v>#VALUE!</v>
      </c>
      <c r="O3636" s="7" t="str">
        <f ca="1">IFERROR(__xludf.DUMMYFUNCTION("GOOGLEFINANCE(""NSE:""&amp;D3636,""pe"")"),"#N/A")</f>
        <v>#N/A</v>
      </c>
      <c r="P3636" s="7" t="str">
        <f ca="1">IFERROR(__xludf.DUMMYFUNCTION("GOOGLEFINANCE(""NSE:""&amp;D3636,""EPS"")"),"#N/A")</f>
        <v>#N/A</v>
      </c>
      <c r="Q3636" s="7">
        <v>13.5</v>
      </c>
      <c r="R3636" s="7" t="str">
        <f ca="1">IFERROR(__xludf.DUMMYFUNCTION("IMPORTXML(E3636,""/html/body/main/div[3]/div[3]/div[2]/ul/li[7]/span[2]/span"")"),"Loading...")</f>
        <v>Loading...</v>
      </c>
      <c r="S3636" s="7" t="str">
        <f ca="1">IFERROR(__xludf.DUMMYFUNCTION("IMPORTXML(E3636,""/html/body/main/div[3]/div[3]/div[2]/ul/li[8]/span[2]/span"")"),"Loading...")</f>
        <v>Loading...</v>
      </c>
      <c r="T3636" s="4">
        <v>34.6</v>
      </c>
      <c r="U3636" s="4">
        <v>22.7</v>
      </c>
      <c r="V3636" s="4">
        <v>2.6</v>
      </c>
      <c r="W3636" s="4">
        <v>5.7</v>
      </c>
      <c r="X3636" s="4">
        <v>519.92999999999995</v>
      </c>
      <c r="Y3636" s="7" t="e">
        <f t="shared" ca="1" si="74"/>
        <v>#VALUE!</v>
      </c>
    </row>
    <row r="3637" spans="1:25" ht="15" x14ac:dyDescent="0.25">
      <c r="A3637" s="4">
        <v>3632</v>
      </c>
      <c r="C3637" s="41" t="s">
        <v>5990</v>
      </c>
      <c r="D3637" s="42"/>
      <c r="E3637" s="5" t="str">
        <f t="shared" si="70"/>
        <v>https://www.screener.in/company//consolidated/</v>
      </c>
      <c r="F3637" s="4">
        <v>443059</v>
      </c>
      <c r="G3637" s="4">
        <v>3832241897</v>
      </c>
      <c r="H3637" s="6" t="e">
        <f t="shared" ca="1" si="71"/>
        <v>#VALUE!</v>
      </c>
      <c r="I3637" s="7" t="str">
        <f ca="1">IFERROR(__xludf.DUMMYFUNCTION("IMPORTXML(E3637,""/html/body/main/div[3]/div[3]/div[2]/ul/li[5]/span[2]/span"")"),"Loading...")</f>
        <v>Loading...</v>
      </c>
      <c r="J3637" s="7" t="str">
        <f ca="1">IFERROR(__xludf.DUMMYFUNCTION("GOOGLEFINANCE(""NSE:""&amp;D3637,""marketcap"")"),"#N/A")</f>
        <v>#N/A</v>
      </c>
      <c r="K3637" s="7">
        <v>992.8</v>
      </c>
      <c r="L3637" s="8" t="str">
        <f ca="1">IFERROR(__xludf.DUMMYFUNCTION("GOOGLEFINANCE(""NSE:""&amp;D3637,""price"")"),"#N/A")</f>
        <v>#N/A</v>
      </c>
      <c r="M3637" s="9" t="e">
        <f t="shared" ca="1" si="72"/>
        <v>#VALUE!</v>
      </c>
      <c r="N3637" s="10" t="e">
        <f t="shared" ca="1" si="73"/>
        <v>#VALUE!</v>
      </c>
      <c r="O3637" s="7" t="str">
        <f ca="1">IFERROR(__xludf.DUMMYFUNCTION("GOOGLEFINANCE(""NSE:""&amp;D3637,""pe"")"),"#N/A")</f>
        <v>#N/A</v>
      </c>
      <c r="P3637" s="7" t="str">
        <f ca="1">IFERROR(__xludf.DUMMYFUNCTION("GOOGLEFINANCE(""NSE:""&amp;D3637,""EPS"")"),"#N/A")</f>
        <v>#N/A</v>
      </c>
      <c r="Q3637" s="7">
        <v>13.5</v>
      </c>
      <c r="R3637" s="7" t="str">
        <f ca="1">IFERROR(__xludf.DUMMYFUNCTION("IMPORTXML(E3637,""/html/body/main/div[3]/div[3]/div[2]/ul/li[7]/span[2]/span"")"),"Loading...")</f>
        <v>Loading...</v>
      </c>
      <c r="S3637" s="7" t="str">
        <f ca="1">IFERROR(__xludf.DUMMYFUNCTION("IMPORTXML(E3637,""/html/body/main/div[3]/div[3]/div[2]/ul/li[8]/span[2]/span"")"),"Loading...")</f>
        <v>Loading...</v>
      </c>
      <c r="T3637" s="4">
        <v>34.6</v>
      </c>
      <c r="U3637" s="4">
        <v>22.7</v>
      </c>
      <c r="V3637" s="4">
        <v>2.6</v>
      </c>
      <c r="W3637" s="4">
        <v>5.7</v>
      </c>
      <c r="X3637" s="4">
        <v>519.92999999999995</v>
      </c>
      <c r="Y3637" s="7" t="e">
        <f t="shared" ca="1" si="74"/>
        <v>#VALUE!</v>
      </c>
    </row>
    <row r="3638" spans="1:25" ht="15" x14ac:dyDescent="0.25">
      <c r="A3638" s="4">
        <v>3633</v>
      </c>
      <c r="C3638" s="41" t="s">
        <v>5991</v>
      </c>
      <c r="D3638" s="42"/>
      <c r="E3638" s="5" t="str">
        <f t="shared" si="70"/>
        <v>https://www.screener.in/company//consolidated/</v>
      </c>
      <c r="F3638" s="4">
        <v>443059</v>
      </c>
      <c r="G3638" s="4">
        <v>3832241897</v>
      </c>
      <c r="H3638" s="6" t="e">
        <f t="shared" ca="1" si="71"/>
        <v>#VALUE!</v>
      </c>
      <c r="I3638" s="7" t="str">
        <f ca="1">IFERROR(__xludf.DUMMYFUNCTION("IMPORTXML(E3638,""/html/body/main/div[3]/div[3]/div[2]/ul/li[5]/span[2]/span"")"),"Loading...")</f>
        <v>Loading...</v>
      </c>
      <c r="J3638" s="7" t="str">
        <f ca="1">IFERROR(__xludf.DUMMYFUNCTION("GOOGLEFINANCE(""NSE:""&amp;D3638,""marketcap"")"),"#N/A")</f>
        <v>#N/A</v>
      </c>
      <c r="K3638" s="7">
        <v>992.8</v>
      </c>
      <c r="L3638" s="8" t="str">
        <f ca="1">IFERROR(__xludf.DUMMYFUNCTION("GOOGLEFINANCE(""NSE:""&amp;D3638,""price"")"),"#N/A")</f>
        <v>#N/A</v>
      </c>
      <c r="M3638" s="9" t="e">
        <f t="shared" ca="1" si="72"/>
        <v>#VALUE!</v>
      </c>
      <c r="N3638" s="10" t="e">
        <f t="shared" ca="1" si="73"/>
        <v>#VALUE!</v>
      </c>
      <c r="O3638" s="7" t="str">
        <f ca="1">IFERROR(__xludf.DUMMYFUNCTION("GOOGLEFINANCE(""NSE:""&amp;D3638,""pe"")"),"#N/A")</f>
        <v>#N/A</v>
      </c>
      <c r="P3638" s="7" t="str">
        <f ca="1">IFERROR(__xludf.DUMMYFUNCTION("GOOGLEFINANCE(""NSE:""&amp;D3638,""EPS"")"),"#N/A")</f>
        <v>#N/A</v>
      </c>
      <c r="Q3638" s="7">
        <v>13.5</v>
      </c>
      <c r="R3638" s="7" t="str">
        <f ca="1">IFERROR(__xludf.DUMMYFUNCTION("IMPORTXML(E3638,""/html/body/main/div[3]/div[3]/div[2]/ul/li[7]/span[2]/span"")"),"Loading...")</f>
        <v>Loading...</v>
      </c>
      <c r="S3638" s="7" t="str">
        <f ca="1">IFERROR(__xludf.DUMMYFUNCTION("IMPORTXML(E3638,""/html/body/main/div[3]/div[3]/div[2]/ul/li[8]/span[2]/span"")"),"Loading...")</f>
        <v>Loading...</v>
      </c>
      <c r="T3638" s="4">
        <v>34.6</v>
      </c>
      <c r="U3638" s="4">
        <v>22.7</v>
      </c>
      <c r="V3638" s="4">
        <v>2.6</v>
      </c>
      <c r="W3638" s="4">
        <v>5.7</v>
      </c>
      <c r="X3638" s="4">
        <v>519.92999999999995</v>
      </c>
      <c r="Y3638" s="7" t="e">
        <f t="shared" ca="1" si="74"/>
        <v>#VALUE!</v>
      </c>
    </row>
    <row r="3639" spans="1:25" ht="15" x14ac:dyDescent="0.25">
      <c r="A3639" s="4">
        <v>3634</v>
      </c>
      <c r="C3639" s="41" t="s">
        <v>5992</v>
      </c>
      <c r="D3639" s="42"/>
      <c r="E3639" s="5" t="str">
        <f t="shared" si="70"/>
        <v>https://www.screener.in/company//consolidated/</v>
      </c>
      <c r="F3639" s="4">
        <v>443059</v>
      </c>
      <c r="G3639" s="4">
        <v>3832241897</v>
      </c>
      <c r="H3639" s="6" t="e">
        <f t="shared" ca="1" si="71"/>
        <v>#VALUE!</v>
      </c>
      <c r="I3639" s="7" t="str">
        <f ca="1">IFERROR(__xludf.DUMMYFUNCTION("IMPORTXML(E3639,""/html/body/main/div[3]/div[3]/div[2]/ul/li[5]/span[2]/span"")"),"Loading...")</f>
        <v>Loading...</v>
      </c>
      <c r="J3639" s="7" t="str">
        <f ca="1">IFERROR(__xludf.DUMMYFUNCTION("GOOGLEFINANCE(""NSE:""&amp;D3639,""marketcap"")"),"#N/A")</f>
        <v>#N/A</v>
      </c>
      <c r="K3639" s="7">
        <v>992.8</v>
      </c>
      <c r="L3639" s="8" t="str">
        <f ca="1">IFERROR(__xludf.DUMMYFUNCTION("GOOGLEFINANCE(""NSE:""&amp;D3639,""price"")"),"#N/A")</f>
        <v>#N/A</v>
      </c>
      <c r="M3639" s="9" t="e">
        <f t="shared" ca="1" si="72"/>
        <v>#VALUE!</v>
      </c>
      <c r="N3639" s="10" t="e">
        <f t="shared" ca="1" si="73"/>
        <v>#VALUE!</v>
      </c>
      <c r="O3639" s="7" t="str">
        <f ca="1">IFERROR(__xludf.DUMMYFUNCTION("GOOGLEFINANCE(""NSE:""&amp;D3639,""pe"")"),"#N/A")</f>
        <v>#N/A</v>
      </c>
      <c r="P3639" s="7" t="str">
        <f ca="1">IFERROR(__xludf.DUMMYFUNCTION("GOOGLEFINANCE(""NSE:""&amp;D3639,""EPS"")"),"#N/A")</f>
        <v>#N/A</v>
      </c>
      <c r="Q3639" s="7">
        <v>13.5</v>
      </c>
      <c r="R3639" s="7" t="str">
        <f ca="1">IFERROR(__xludf.DUMMYFUNCTION("IMPORTXML(E3639,""/html/body/main/div[3]/div[3]/div[2]/ul/li[7]/span[2]/span"")"),"Loading...")</f>
        <v>Loading...</v>
      </c>
      <c r="S3639" s="7" t="str">
        <f ca="1">IFERROR(__xludf.DUMMYFUNCTION("IMPORTXML(E3639,""/html/body/main/div[3]/div[3]/div[2]/ul/li[8]/span[2]/span"")"),"Loading...")</f>
        <v>Loading...</v>
      </c>
      <c r="T3639" s="4">
        <v>34.6</v>
      </c>
      <c r="U3639" s="4">
        <v>22.7</v>
      </c>
      <c r="V3639" s="4">
        <v>2.6</v>
      </c>
      <c r="W3639" s="4">
        <v>5.7</v>
      </c>
      <c r="X3639" s="4">
        <v>519.92999999999995</v>
      </c>
      <c r="Y3639" s="7" t="e">
        <f t="shared" ca="1" si="74"/>
        <v>#VALUE!</v>
      </c>
    </row>
    <row r="3640" spans="1:25" ht="15" x14ac:dyDescent="0.25">
      <c r="A3640" s="4">
        <v>3635</v>
      </c>
      <c r="C3640" s="41" t="s">
        <v>5993</v>
      </c>
      <c r="D3640" s="42"/>
      <c r="E3640" s="5" t="str">
        <f t="shared" si="70"/>
        <v>https://www.screener.in/company//consolidated/</v>
      </c>
      <c r="F3640" s="4">
        <v>443059</v>
      </c>
      <c r="G3640" s="4">
        <v>3832241897</v>
      </c>
      <c r="H3640" s="6" t="e">
        <f t="shared" ca="1" si="71"/>
        <v>#VALUE!</v>
      </c>
      <c r="I3640" s="7" t="str">
        <f ca="1">IFERROR(__xludf.DUMMYFUNCTION("IMPORTXML(E3640,""/html/body/main/div[3]/div[3]/div[2]/ul/li[5]/span[2]/span"")"),"Loading...")</f>
        <v>Loading...</v>
      </c>
      <c r="J3640" s="7" t="str">
        <f ca="1">IFERROR(__xludf.DUMMYFUNCTION("GOOGLEFINANCE(""NSE:""&amp;D3640,""marketcap"")"),"#N/A")</f>
        <v>#N/A</v>
      </c>
      <c r="K3640" s="7">
        <v>992.8</v>
      </c>
      <c r="L3640" s="8" t="str">
        <f ca="1">IFERROR(__xludf.DUMMYFUNCTION("GOOGLEFINANCE(""NSE:""&amp;D3640,""price"")"),"#N/A")</f>
        <v>#N/A</v>
      </c>
      <c r="M3640" s="9" t="e">
        <f t="shared" ca="1" si="72"/>
        <v>#VALUE!</v>
      </c>
      <c r="N3640" s="10" t="e">
        <f t="shared" ca="1" si="73"/>
        <v>#VALUE!</v>
      </c>
      <c r="O3640" s="7" t="str">
        <f ca="1">IFERROR(__xludf.DUMMYFUNCTION("GOOGLEFINANCE(""NSE:""&amp;D3640,""pe"")"),"#N/A")</f>
        <v>#N/A</v>
      </c>
      <c r="P3640" s="7" t="str">
        <f ca="1">IFERROR(__xludf.DUMMYFUNCTION("GOOGLEFINANCE(""NSE:""&amp;D3640,""EPS"")"),"#N/A")</f>
        <v>#N/A</v>
      </c>
      <c r="Q3640" s="7">
        <v>13.5</v>
      </c>
      <c r="R3640" s="7" t="str">
        <f ca="1">IFERROR(__xludf.DUMMYFUNCTION("IMPORTXML(E3640,""/html/body/main/div[3]/div[3]/div[2]/ul/li[7]/span[2]/span"")"),"Loading...")</f>
        <v>Loading...</v>
      </c>
      <c r="S3640" s="7" t="str">
        <f ca="1">IFERROR(__xludf.DUMMYFUNCTION("IMPORTXML(E3640,""/html/body/main/div[3]/div[3]/div[2]/ul/li[8]/span[2]/span"")"),"Loading...")</f>
        <v>Loading...</v>
      </c>
      <c r="T3640" s="4">
        <v>34.6</v>
      </c>
      <c r="U3640" s="4">
        <v>22.7</v>
      </c>
      <c r="V3640" s="4">
        <v>2.6</v>
      </c>
      <c r="W3640" s="4">
        <v>5.7</v>
      </c>
      <c r="X3640" s="4">
        <v>519.92999999999995</v>
      </c>
      <c r="Y3640" s="7" t="e">
        <f t="shared" ca="1" si="74"/>
        <v>#VALUE!</v>
      </c>
    </row>
    <row r="3641" spans="1:25" ht="15" x14ac:dyDescent="0.25">
      <c r="A3641" s="4">
        <v>3636</v>
      </c>
      <c r="C3641" s="41" t="s">
        <v>5994</v>
      </c>
      <c r="D3641" s="42"/>
      <c r="E3641" s="5" t="str">
        <f t="shared" si="70"/>
        <v>https://www.screener.in/company//consolidated/</v>
      </c>
      <c r="F3641" s="4">
        <v>443059</v>
      </c>
      <c r="G3641" s="4">
        <v>3832241897</v>
      </c>
      <c r="H3641" s="6" t="e">
        <f t="shared" ca="1" si="71"/>
        <v>#VALUE!</v>
      </c>
      <c r="I3641" s="7" t="str">
        <f ca="1">IFERROR(__xludf.DUMMYFUNCTION("IMPORTXML(E3641,""/html/body/main/div[3]/div[3]/div[2]/ul/li[5]/span[2]/span"")"),"Loading...")</f>
        <v>Loading...</v>
      </c>
      <c r="J3641" s="7" t="str">
        <f ca="1">IFERROR(__xludf.DUMMYFUNCTION("GOOGLEFINANCE(""NSE:""&amp;D3641,""marketcap"")"),"#N/A")</f>
        <v>#N/A</v>
      </c>
      <c r="K3641" s="7">
        <v>992.8</v>
      </c>
      <c r="L3641" s="8" t="str">
        <f ca="1">IFERROR(__xludf.DUMMYFUNCTION("GOOGLEFINANCE(""NSE:""&amp;D3641,""price"")"),"#N/A")</f>
        <v>#N/A</v>
      </c>
      <c r="M3641" s="9" t="e">
        <f t="shared" ca="1" si="72"/>
        <v>#VALUE!</v>
      </c>
      <c r="N3641" s="10" t="e">
        <f t="shared" ca="1" si="73"/>
        <v>#VALUE!</v>
      </c>
      <c r="O3641" s="7" t="str">
        <f ca="1">IFERROR(__xludf.DUMMYFUNCTION("GOOGLEFINANCE(""NSE:""&amp;D3641,""pe"")"),"#N/A")</f>
        <v>#N/A</v>
      </c>
      <c r="P3641" s="7" t="str">
        <f ca="1">IFERROR(__xludf.DUMMYFUNCTION("GOOGLEFINANCE(""NSE:""&amp;D3641,""EPS"")"),"#N/A")</f>
        <v>#N/A</v>
      </c>
      <c r="Q3641" s="7">
        <v>13.5</v>
      </c>
      <c r="R3641" s="7" t="str">
        <f ca="1">IFERROR(__xludf.DUMMYFUNCTION("IMPORTXML(E3641,""/html/body/main/div[3]/div[3]/div[2]/ul/li[7]/span[2]/span"")"),"Loading...")</f>
        <v>Loading...</v>
      </c>
      <c r="S3641" s="7" t="str">
        <f ca="1">IFERROR(__xludf.DUMMYFUNCTION("IMPORTXML(E3641,""/html/body/main/div[3]/div[3]/div[2]/ul/li[8]/span[2]/span"")"),"Loading...")</f>
        <v>Loading...</v>
      </c>
      <c r="T3641" s="4">
        <v>34.6</v>
      </c>
      <c r="U3641" s="4">
        <v>22.7</v>
      </c>
      <c r="V3641" s="4">
        <v>2.6</v>
      </c>
      <c r="W3641" s="4">
        <v>5.7</v>
      </c>
      <c r="X3641" s="4">
        <v>519.92999999999995</v>
      </c>
      <c r="Y3641" s="7" t="e">
        <f t="shared" ca="1" si="74"/>
        <v>#VALUE!</v>
      </c>
    </row>
    <row r="3642" spans="1:25" ht="15" x14ac:dyDescent="0.25">
      <c r="A3642" s="4">
        <v>3637</v>
      </c>
      <c r="C3642" s="41" t="s">
        <v>5995</v>
      </c>
      <c r="D3642" s="42"/>
      <c r="E3642" s="5" t="str">
        <f t="shared" si="70"/>
        <v>https://www.screener.in/company//consolidated/</v>
      </c>
      <c r="F3642" s="4">
        <v>443059</v>
      </c>
      <c r="G3642" s="4">
        <v>3832241897</v>
      </c>
      <c r="H3642" s="6" t="e">
        <f t="shared" ca="1" si="71"/>
        <v>#VALUE!</v>
      </c>
      <c r="I3642" s="7" t="str">
        <f ca="1">IFERROR(__xludf.DUMMYFUNCTION("IMPORTXML(E3642,""/html/body/main/div[3]/div[3]/div[2]/ul/li[5]/span[2]/span"")"),"Loading...")</f>
        <v>Loading...</v>
      </c>
      <c r="J3642" s="7" t="str">
        <f ca="1">IFERROR(__xludf.DUMMYFUNCTION("GOOGLEFINANCE(""NSE:""&amp;D3642,""marketcap"")"),"#N/A")</f>
        <v>#N/A</v>
      </c>
      <c r="K3642" s="7">
        <v>992.8</v>
      </c>
      <c r="L3642" s="8" t="str">
        <f ca="1">IFERROR(__xludf.DUMMYFUNCTION("GOOGLEFINANCE(""NSE:""&amp;D3642,""price"")"),"#N/A")</f>
        <v>#N/A</v>
      </c>
      <c r="M3642" s="9" t="e">
        <f t="shared" ca="1" si="72"/>
        <v>#VALUE!</v>
      </c>
      <c r="N3642" s="10" t="e">
        <f t="shared" ca="1" si="73"/>
        <v>#VALUE!</v>
      </c>
      <c r="O3642" s="7" t="str">
        <f ca="1">IFERROR(__xludf.DUMMYFUNCTION("GOOGLEFINANCE(""NSE:""&amp;D3642,""pe"")"),"#N/A")</f>
        <v>#N/A</v>
      </c>
      <c r="P3642" s="7" t="str">
        <f ca="1">IFERROR(__xludf.DUMMYFUNCTION("GOOGLEFINANCE(""NSE:""&amp;D3642,""EPS"")"),"#N/A")</f>
        <v>#N/A</v>
      </c>
      <c r="Q3642" s="7">
        <v>13.5</v>
      </c>
      <c r="R3642" s="7" t="str">
        <f ca="1">IFERROR(__xludf.DUMMYFUNCTION("IMPORTXML(E3642,""/html/body/main/div[3]/div[3]/div[2]/ul/li[7]/span[2]/span"")"),"Loading...")</f>
        <v>Loading...</v>
      </c>
      <c r="S3642" s="7" t="str">
        <f ca="1">IFERROR(__xludf.DUMMYFUNCTION("IMPORTXML(E3642,""/html/body/main/div[3]/div[3]/div[2]/ul/li[8]/span[2]/span"")"),"Loading...")</f>
        <v>Loading...</v>
      </c>
      <c r="T3642" s="4">
        <v>34.6</v>
      </c>
      <c r="U3642" s="4">
        <v>22.7</v>
      </c>
      <c r="V3642" s="4">
        <v>2.6</v>
      </c>
      <c r="W3642" s="4">
        <v>5.7</v>
      </c>
      <c r="X3642" s="4">
        <v>519.92999999999995</v>
      </c>
      <c r="Y3642" s="7" t="e">
        <f t="shared" ca="1" si="74"/>
        <v>#VALUE!</v>
      </c>
    </row>
    <row r="3643" spans="1:25" ht="15" x14ac:dyDescent="0.25">
      <c r="A3643" s="4">
        <v>3638</v>
      </c>
      <c r="C3643" s="41" t="s">
        <v>5996</v>
      </c>
      <c r="D3643" s="42"/>
      <c r="E3643" s="5" t="str">
        <f t="shared" si="70"/>
        <v>https://www.screener.in/company//consolidated/</v>
      </c>
      <c r="F3643" s="4">
        <v>443059</v>
      </c>
      <c r="G3643" s="4">
        <v>3832241897</v>
      </c>
      <c r="H3643" s="6" t="e">
        <f t="shared" ca="1" si="71"/>
        <v>#VALUE!</v>
      </c>
      <c r="I3643" s="7" t="str">
        <f ca="1">IFERROR(__xludf.DUMMYFUNCTION("IMPORTXML(E3643,""/html/body/main/div[3]/div[3]/div[2]/ul/li[5]/span[2]/span"")"),"Loading...")</f>
        <v>Loading...</v>
      </c>
      <c r="J3643" s="7" t="str">
        <f ca="1">IFERROR(__xludf.DUMMYFUNCTION("GOOGLEFINANCE(""NSE:""&amp;D3643,""marketcap"")"),"#N/A")</f>
        <v>#N/A</v>
      </c>
      <c r="K3643" s="7">
        <v>992.8</v>
      </c>
      <c r="L3643" s="8" t="str">
        <f ca="1">IFERROR(__xludf.DUMMYFUNCTION("GOOGLEFINANCE(""NSE:""&amp;D3643,""price"")"),"#N/A")</f>
        <v>#N/A</v>
      </c>
      <c r="M3643" s="9" t="e">
        <f t="shared" ca="1" si="72"/>
        <v>#VALUE!</v>
      </c>
      <c r="N3643" s="10" t="e">
        <f t="shared" ca="1" si="73"/>
        <v>#VALUE!</v>
      </c>
      <c r="O3643" s="7" t="str">
        <f ca="1">IFERROR(__xludf.DUMMYFUNCTION("GOOGLEFINANCE(""NSE:""&amp;D3643,""pe"")"),"#N/A")</f>
        <v>#N/A</v>
      </c>
      <c r="P3643" s="7" t="str">
        <f ca="1">IFERROR(__xludf.DUMMYFUNCTION("GOOGLEFINANCE(""NSE:""&amp;D3643,""EPS"")"),"#N/A")</f>
        <v>#N/A</v>
      </c>
      <c r="Q3643" s="7">
        <v>13.5</v>
      </c>
      <c r="R3643" s="7" t="str">
        <f ca="1">IFERROR(__xludf.DUMMYFUNCTION("IMPORTXML(E3643,""/html/body/main/div[3]/div[3]/div[2]/ul/li[7]/span[2]/span"")"),"Loading...")</f>
        <v>Loading...</v>
      </c>
      <c r="S3643" s="7" t="str">
        <f ca="1">IFERROR(__xludf.DUMMYFUNCTION("IMPORTXML(E3643,""/html/body/main/div[3]/div[3]/div[2]/ul/li[8]/span[2]/span"")"),"Loading...")</f>
        <v>Loading...</v>
      </c>
      <c r="T3643" s="4">
        <v>34.6</v>
      </c>
      <c r="U3643" s="4">
        <v>22.7</v>
      </c>
      <c r="V3643" s="4">
        <v>2.6</v>
      </c>
      <c r="W3643" s="4">
        <v>5.7</v>
      </c>
      <c r="X3643" s="4">
        <v>519.92999999999995</v>
      </c>
      <c r="Y3643" s="7" t="e">
        <f t="shared" ca="1" si="74"/>
        <v>#VALUE!</v>
      </c>
    </row>
    <row r="3644" spans="1:25" ht="15" x14ac:dyDescent="0.25">
      <c r="A3644" s="4">
        <v>3639</v>
      </c>
      <c r="C3644" s="41" t="s">
        <v>5997</v>
      </c>
      <c r="D3644" s="42"/>
      <c r="E3644" s="5" t="str">
        <f t="shared" si="70"/>
        <v>https://www.screener.in/company//consolidated/</v>
      </c>
      <c r="F3644" s="4">
        <v>443059</v>
      </c>
      <c r="G3644" s="4">
        <v>3832241897</v>
      </c>
      <c r="H3644" s="6" t="e">
        <f t="shared" ca="1" si="71"/>
        <v>#VALUE!</v>
      </c>
      <c r="I3644" s="7" t="str">
        <f ca="1">IFERROR(__xludf.DUMMYFUNCTION("IMPORTXML(E3644,""/html/body/main/div[3]/div[3]/div[2]/ul/li[5]/span[2]/span"")"),"Loading...")</f>
        <v>Loading...</v>
      </c>
      <c r="J3644" s="7" t="str">
        <f ca="1">IFERROR(__xludf.DUMMYFUNCTION("GOOGLEFINANCE(""NSE:""&amp;D3644,""marketcap"")"),"#N/A")</f>
        <v>#N/A</v>
      </c>
      <c r="K3644" s="7">
        <v>992.8</v>
      </c>
      <c r="L3644" s="8" t="str">
        <f ca="1">IFERROR(__xludf.DUMMYFUNCTION("GOOGLEFINANCE(""NSE:""&amp;D3644,""price"")"),"#N/A")</f>
        <v>#N/A</v>
      </c>
      <c r="M3644" s="9" t="e">
        <f t="shared" ca="1" si="72"/>
        <v>#VALUE!</v>
      </c>
      <c r="N3644" s="10" t="e">
        <f t="shared" ca="1" si="73"/>
        <v>#VALUE!</v>
      </c>
      <c r="O3644" s="7" t="str">
        <f ca="1">IFERROR(__xludf.DUMMYFUNCTION("GOOGLEFINANCE(""NSE:""&amp;D3644,""pe"")"),"#N/A")</f>
        <v>#N/A</v>
      </c>
      <c r="P3644" s="7" t="str">
        <f ca="1">IFERROR(__xludf.DUMMYFUNCTION("GOOGLEFINANCE(""NSE:""&amp;D3644,""EPS"")"),"#N/A")</f>
        <v>#N/A</v>
      </c>
      <c r="Q3644" s="7">
        <v>13.5</v>
      </c>
      <c r="R3644" s="7" t="str">
        <f ca="1">IFERROR(__xludf.DUMMYFUNCTION("IMPORTXML(E3644,""/html/body/main/div[3]/div[3]/div[2]/ul/li[7]/span[2]/span"")"),"Loading...")</f>
        <v>Loading...</v>
      </c>
      <c r="S3644" s="7" t="str">
        <f ca="1">IFERROR(__xludf.DUMMYFUNCTION("IMPORTXML(E3644,""/html/body/main/div[3]/div[3]/div[2]/ul/li[8]/span[2]/span"")"),"Loading...")</f>
        <v>Loading...</v>
      </c>
      <c r="T3644" s="4">
        <v>34.6</v>
      </c>
      <c r="U3644" s="4">
        <v>22.7</v>
      </c>
      <c r="V3644" s="4">
        <v>2.6</v>
      </c>
      <c r="W3644" s="4">
        <v>5.7</v>
      </c>
      <c r="X3644" s="4">
        <v>519.92999999999995</v>
      </c>
      <c r="Y3644" s="7" t="e">
        <f t="shared" ca="1" si="74"/>
        <v>#VALUE!</v>
      </c>
    </row>
    <row r="3645" spans="1:25" ht="15" x14ac:dyDescent="0.25">
      <c r="A3645" s="4">
        <v>3640</v>
      </c>
      <c r="C3645" s="41" t="s">
        <v>5998</v>
      </c>
      <c r="D3645" s="42"/>
      <c r="E3645" s="5" t="str">
        <f t="shared" si="70"/>
        <v>https://www.screener.in/company//consolidated/</v>
      </c>
      <c r="F3645" s="4">
        <v>443059</v>
      </c>
      <c r="G3645" s="4">
        <v>3832241897</v>
      </c>
      <c r="H3645" s="6" t="e">
        <f t="shared" ca="1" si="71"/>
        <v>#VALUE!</v>
      </c>
      <c r="I3645" s="7" t="str">
        <f ca="1">IFERROR(__xludf.DUMMYFUNCTION("IMPORTXML(E3645,""/html/body/main/div[3]/div[3]/div[2]/ul/li[5]/span[2]/span"")"),"Loading...")</f>
        <v>Loading...</v>
      </c>
      <c r="J3645" s="7" t="str">
        <f ca="1">IFERROR(__xludf.DUMMYFUNCTION("GOOGLEFINANCE(""NSE:""&amp;D3645,""marketcap"")"),"#N/A")</f>
        <v>#N/A</v>
      </c>
      <c r="K3645" s="7">
        <v>992.8</v>
      </c>
      <c r="L3645" s="8" t="str">
        <f ca="1">IFERROR(__xludf.DUMMYFUNCTION("GOOGLEFINANCE(""NSE:""&amp;D3645,""price"")"),"#N/A")</f>
        <v>#N/A</v>
      </c>
      <c r="M3645" s="9" t="e">
        <f t="shared" ca="1" si="72"/>
        <v>#VALUE!</v>
      </c>
      <c r="N3645" s="10" t="e">
        <f t="shared" ca="1" si="73"/>
        <v>#VALUE!</v>
      </c>
      <c r="O3645" s="7" t="str">
        <f ca="1">IFERROR(__xludf.DUMMYFUNCTION("GOOGLEFINANCE(""NSE:""&amp;D3645,""pe"")"),"#N/A")</f>
        <v>#N/A</v>
      </c>
      <c r="P3645" s="7" t="str">
        <f ca="1">IFERROR(__xludf.DUMMYFUNCTION("GOOGLEFINANCE(""NSE:""&amp;D3645,""EPS"")"),"#N/A")</f>
        <v>#N/A</v>
      </c>
      <c r="Q3645" s="7">
        <v>13.5</v>
      </c>
      <c r="R3645" s="7" t="str">
        <f ca="1">IFERROR(__xludf.DUMMYFUNCTION("IMPORTXML(E3645,""/html/body/main/div[3]/div[3]/div[2]/ul/li[7]/span[2]/span"")"),"Loading...")</f>
        <v>Loading...</v>
      </c>
      <c r="S3645" s="7" t="str">
        <f ca="1">IFERROR(__xludf.DUMMYFUNCTION("IMPORTXML(E3645,""/html/body/main/div[3]/div[3]/div[2]/ul/li[8]/span[2]/span"")"),"Loading...")</f>
        <v>Loading...</v>
      </c>
      <c r="T3645" s="4">
        <v>34.6</v>
      </c>
      <c r="U3645" s="4">
        <v>22.7</v>
      </c>
      <c r="V3645" s="4">
        <v>2.6</v>
      </c>
      <c r="W3645" s="4">
        <v>5.7</v>
      </c>
      <c r="X3645" s="4">
        <v>519.92999999999995</v>
      </c>
      <c r="Y3645" s="7" t="e">
        <f t="shared" ca="1" si="74"/>
        <v>#VALUE!</v>
      </c>
    </row>
    <row r="3646" spans="1:25" ht="15" x14ac:dyDescent="0.25">
      <c r="A3646" s="4">
        <v>3641</v>
      </c>
      <c r="C3646" s="41" t="s">
        <v>5999</v>
      </c>
      <c r="D3646" s="42"/>
      <c r="E3646" s="5" t="str">
        <f t="shared" si="70"/>
        <v>https://www.screener.in/company//consolidated/</v>
      </c>
      <c r="F3646" s="4">
        <v>443059</v>
      </c>
      <c r="G3646" s="4">
        <v>3832241897</v>
      </c>
      <c r="H3646" s="6" t="e">
        <f t="shared" ca="1" si="71"/>
        <v>#VALUE!</v>
      </c>
      <c r="I3646" s="7" t="str">
        <f ca="1">IFERROR(__xludf.DUMMYFUNCTION("IMPORTXML(E3646,""/html/body/main/div[3]/div[3]/div[2]/ul/li[5]/span[2]/span"")"),"Loading...")</f>
        <v>Loading...</v>
      </c>
      <c r="J3646" s="7" t="str">
        <f ca="1">IFERROR(__xludf.DUMMYFUNCTION("GOOGLEFINANCE(""NSE:""&amp;D3646,""marketcap"")"),"#N/A")</f>
        <v>#N/A</v>
      </c>
      <c r="K3646" s="7">
        <v>992.8</v>
      </c>
      <c r="L3646" s="8" t="str">
        <f ca="1">IFERROR(__xludf.DUMMYFUNCTION("GOOGLEFINANCE(""NSE:""&amp;D3646,""price"")"),"#N/A")</f>
        <v>#N/A</v>
      </c>
      <c r="M3646" s="9" t="e">
        <f t="shared" ca="1" si="72"/>
        <v>#VALUE!</v>
      </c>
      <c r="N3646" s="10" t="e">
        <f t="shared" ca="1" si="73"/>
        <v>#VALUE!</v>
      </c>
      <c r="O3646" s="7" t="str">
        <f ca="1">IFERROR(__xludf.DUMMYFUNCTION("GOOGLEFINANCE(""NSE:""&amp;D3646,""pe"")"),"#N/A")</f>
        <v>#N/A</v>
      </c>
      <c r="P3646" s="7" t="str">
        <f ca="1">IFERROR(__xludf.DUMMYFUNCTION("GOOGLEFINANCE(""NSE:""&amp;D3646,""EPS"")"),"#N/A")</f>
        <v>#N/A</v>
      </c>
      <c r="Q3646" s="7">
        <v>13.5</v>
      </c>
      <c r="R3646" s="7" t="str">
        <f ca="1">IFERROR(__xludf.DUMMYFUNCTION("IMPORTXML(E3646,""/html/body/main/div[3]/div[3]/div[2]/ul/li[7]/span[2]/span"")"),"Loading...")</f>
        <v>Loading...</v>
      </c>
      <c r="S3646" s="7" t="str">
        <f ca="1">IFERROR(__xludf.DUMMYFUNCTION("IMPORTXML(E3646,""/html/body/main/div[3]/div[3]/div[2]/ul/li[8]/span[2]/span"")"),"Loading...")</f>
        <v>Loading...</v>
      </c>
      <c r="T3646" s="4">
        <v>34.6</v>
      </c>
      <c r="U3646" s="4">
        <v>22.7</v>
      </c>
      <c r="V3646" s="4">
        <v>2.6</v>
      </c>
      <c r="W3646" s="4">
        <v>5.7</v>
      </c>
      <c r="X3646" s="4">
        <v>519.92999999999995</v>
      </c>
      <c r="Y3646" s="7" t="e">
        <f t="shared" ca="1" si="74"/>
        <v>#VALUE!</v>
      </c>
    </row>
    <row r="3647" spans="1:25" ht="15" x14ac:dyDescent="0.25">
      <c r="A3647" s="4">
        <v>3642</v>
      </c>
      <c r="C3647" s="41" t="s">
        <v>6000</v>
      </c>
      <c r="D3647" s="42"/>
      <c r="E3647" s="5" t="str">
        <f t="shared" si="70"/>
        <v>https://www.screener.in/company//consolidated/</v>
      </c>
      <c r="F3647" s="4">
        <v>443059</v>
      </c>
      <c r="G3647" s="4">
        <v>3832241897</v>
      </c>
      <c r="H3647" s="6" t="e">
        <f t="shared" ca="1" si="71"/>
        <v>#VALUE!</v>
      </c>
      <c r="I3647" s="7" t="str">
        <f ca="1">IFERROR(__xludf.DUMMYFUNCTION("IMPORTXML(E3647,""/html/body/main/div[3]/div[3]/div[2]/ul/li[5]/span[2]/span"")"),"Loading...")</f>
        <v>Loading...</v>
      </c>
      <c r="J3647" s="7" t="str">
        <f ca="1">IFERROR(__xludf.DUMMYFUNCTION("GOOGLEFINANCE(""NSE:""&amp;D3647,""marketcap"")"),"#N/A")</f>
        <v>#N/A</v>
      </c>
      <c r="K3647" s="7">
        <v>992.8</v>
      </c>
      <c r="L3647" s="8" t="str">
        <f ca="1">IFERROR(__xludf.DUMMYFUNCTION("GOOGLEFINANCE(""NSE:""&amp;D3647,""price"")"),"#N/A")</f>
        <v>#N/A</v>
      </c>
      <c r="M3647" s="9" t="e">
        <f t="shared" ca="1" si="72"/>
        <v>#VALUE!</v>
      </c>
      <c r="N3647" s="10" t="e">
        <f t="shared" ca="1" si="73"/>
        <v>#VALUE!</v>
      </c>
      <c r="O3647" s="7" t="str">
        <f ca="1">IFERROR(__xludf.DUMMYFUNCTION("GOOGLEFINANCE(""NSE:""&amp;D3647,""pe"")"),"#N/A")</f>
        <v>#N/A</v>
      </c>
      <c r="P3647" s="7" t="str">
        <f ca="1">IFERROR(__xludf.DUMMYFUNCTION("GOOGLEFINANCE(""NSE:""&amp;D3647,""EPS"")"),"#N/A")</f>
        <v>#N/A</v>
      </c>
      <c r="Q3647" s="7">
        <v>13.5</v>
      </c>
      <c r="R3647" s="7" t="str">
        <f ca="1">IFERROR(__xludf.DUMMYFUNCTION("IMPORTXML(E3647,""/html/body/main/div[3]/div[3]/div[2]/ul/li[7]/span[2]/span"")"),"Loading...")</f>
        <v>Loading...</v>
      </c>
      <c r="S3647" s="7" t="str">
        <f ca="1">IFERROR(__xludf.DUMMYFUNCTION("IMPORTXML(E3647,""/html/body/main/div[3]/div[3]/div[2]/ul/li[8]/span[2]/span"")"),"Loading...")</f>
        <v>Loading...</v>
      </c>
      <c r="T3647" s="4">
        <v>34.6</v>
      </c>
      <c r="U3647" s="4">
        <v>22.7</v>
      </c>
      <c r="V3647" s="4">
        <v>2.6</v>
      </c>
      <c r="W3647" s="4">
        <v>5.7</v>
      </c>
      <c r="X3647" s="4">
        <v>519.92999999999995</v>
      </c>
      <c r="Y3647" s="7" t="e">
        <f t="shared" ca="1" si="74"/>
        <v>#VALUE!</v>
      </c>
    </row>
    <row r="3648" spans="1:25" ht="15" x14ac:dyDescent="0.25">
      <c r="A3648" s="4">
        <v>3643</v>
      </c>
      <c r="C3648" s="41" t="s">
        <v>6001</v>
      </c>
      <c r="D3648" s="42"/>
      <c r="E3648" s="5" t="str">
        <f t="shared" si="70"/>
        <v>https://www.screener.in/company//consolidated/</v>
      </c>
      <c r="F3648" s="4">
        <v>443059</v>
      </c>
      <c r="G3648" s="4">
        <v>3832241897</v>
      </c>
      <c r="H3648" s="6" t="e">
        <f t="shared" ca="1" si="71"/>
        <v>#VALUE!</v>
      </c>
      <c r="I3648" s="7" t="str">
        <f ca="1">IFERROR(__xludf.DUMMYFUNCTION("IMPORTXML(E3648,""/html/body/main/div[3]/div[3]/div[2]/ul/li[5]/span[2]/span"")"),"Loading...")</f>
        <v>Loading...</v>
      </c>
      <c r="J3648" s="7" t="str">
        <f ca="1">IFERROR(__xludf.DUMMYFUNCTION("GOOGLEFINANCE(""NSE:""&amp;D3648,""marketcap"")"),"#N/A")</f>
        <v>#N/A</v>
      </c>
      <c r="K3648" s="7">
        <v>992.8</v>
      </c>
      <c r="L3648" s="8" t="str">
        <f ca="1">IFERROR(__xludf.DUMMYFUNCTION("GOOGLEFINANCE(""NSE:""&amp;D3648,""price"")"),"#N/A")</f>
        <v>#N/A</v>
      </c>
      <c r="M3648" s="9" t="e">
        <f t="shared" ca="1" si="72"/>
        <v>#VALUE!</v>
      </c>
      <c r="N3648" s="10" t="e">
        <f t="shared" ca="1" si="73"/>
        <v>#VALUE!</v>
      </c>
      <c r="O3648" s="7" t="str">
        <f ca="1">IFERROR(__xludf.DUMMYFUNCTION("GOOGLEFINANCE(""NSE:""&amp;D3648,""pe"")"),"#N/A")</f>
        <v>#N/A</v>
      </c>
      <c r="P3648" s="7" t="str">
        <f ca="1">IFERROR(__xludf.DUMMYFUNCTION("GOOGLEFINANCE(""NSE:""&amp;D3648,""EPS"")"),"#N/A")</f>
        <v>#N/A</v>
      </c>
      <c r="Q3648" s="7">
        <v>13.5</v>
      </c>
      <c r="R3648" s="7" t="str">
        <f ca="1">IFERROR(__xludf.DUMMYFUNCTION("IMPORTXML(E3648,""/html/body/main/div[3]/div[3]/div[2]/ul/li[7]/span[2]/span"")"),"Loading...")</f>
        <v>Loading...</v>
      </c>
      <c r="S3648" s="7" t="str">
        <f ca="1">IFERROR(__xludf.DUMMYFUNCTION("IMPORTXML(E3648,""/html/body/main/div[3]/div[3]/div[2]/ul/li[8]/span[2]/span"")"),"Loading...")</f>
        <v>Loading...</v>
      </c>
      <c r="T3648" s="4">
        <v>34.6</v>
      </c>
      <c r="U3648" s="4">
        <v>22.7</v>
      </c>
      <c r="V3648" s="4">
        <v>2.6</v>
      </c>
      <c r="W3648" s="4">
        <v>5.7</v>
      </c>
      <c r="X3648" s="4">
        <v>519.92999999999995</v>
      </c>
      <c r="Y3648" s="7" t="e">
        <f t="shared" ca="1" si="74"/>
        <v>#VALUE!</v>
      </c>
    </row>
    <row r="3649" spans="1:25" ht="15" x14ac:dyDescent="0.25">
      <c r="A3649" s="4">
        <v>3644</v>
      </c>
      <c r="C3649" s="41" t="s">
        <v>6002</v>
      </c>
      <c r="D3649" s="42"/>
      <c r="E3649" s="5" t="str">
        <f t="shared" si="70"/>
        <v>https://www.screener.in/company//consolidated/</v>
      </c>
      <c r="F3649" s="4">
        <v>443059</v>
      </c>
      <c r="G3649" s="4">
        <v>3832241897</v>
      </c>
      <c r="H3649" s="6" t="e">
        <f t="shared" ca="1" si="71"/>
        <v>#VALUE!</v>
      </c>
      <c r="I3649" s="7" t="str">
        <f ca="1">IFERROR(__xludf.DUMMYFUNCTION("IMPORTXML(E3649,""/html/body/main/div[3]/div[3]/div[2]/ul/li[5]/span[2]/span"")"),"Loading...")</f>
        <v>Loading...</v>
      </c>
      <c r="J3649" s="7" t="str">
        <f ca="1">IFERROR(__xludf.DUMMYFUNCTION("GOOGLEFINANCE(""NSE:""&amp;D3649,""marketcap"")"),"#N/A")</f>
        <v>#N/A</v>
      </c>
      <c r="K3649" s="7">
        <v>992.8</v>
      </c>
      <c r="L3649" s="8" t="str">
        <f ca="1">IFERROR(__xludf.DUMMYFUNCTION("GOOGLEFINANCE(""NSE:""&amp;D3649,""price"")"),"#N/A")</f>
        <v>#N/A</v>
      </c>
      <c r="M3649" s="9" t="e">
        <f t="shared" ca="1" si="72"/>
        <v>#VALUE!</v>
      </c>
      <c r="N3649" s="10" t="e">
        <f t="shared" ca="1" si="73"/>
        <v>#VALUE!</v>
      </c>
      <c r="O3649" s="7" t="str">
        <f ca="1">IFERROR(__xludf.DUMMYFUNCTION("GOOGLEFINANCE(""NSE:""&amp;D3649,""pe"")"),"#N/A")</f>
        <v>#N/A</v>
      </c>
      <c r="P3649" s="7" t="str">
        <f ca="1">IFERROR(__xludf.DUMMYFUNCTION("GOOGLEFINANCE(""NSE:""&amp;D3649,""EPS"")"),"#N/A")</f>
        <v>#N/A</v>
      </c>
      <c r="Q3649" s="7">
        <v>13.5</v>
      </c>
      <c r="R3649" s="7" t="str">
        <f ca="1">IFERROR(__xludf.DUMMYFUNCTION("IMPORTXML(E3649,""/html/body/main/div[3]/div[3]/div[2]/ul/li[7]/span[2]/span"")"),"Loading...")</f>
        <v>Loading...</v>
      </c>
      <c r="S3649" s="7" t="str">
        <f ca="1">IFERROR(__xludf.DUMMYFUNCTION("IMPORTXML(E3649,""/html/body/main/div[3]/div[3]/div[2]/ul/li[8]/span[2]/span"")"),"Loading...")</f>
        <v>Loading...</v>
      </c>
      <c r="T3649" s="4">
        <v>34.6</v>
      </c>
      <c r="U3649" s="4">
        <v>22.7</v>
      </c>
      <c r="V3649" s="4">
        <v>2.6</v>
      </c>
      <c r="W3649" s="4">
        <v>5.7</v>
      </c>
      <c r="X3649" s="4">
        <v>519.92999999999995</v>
      </c>
      <c r="Y3649" s="7" t="e">
        <f t="shared" ca="1" si="74"/>
        <v>#VALUE!</v>
      </c>
    </row>
    <row r="3650" spans="1:25" ht="15" x14ac:dyDescent="0.25">
      <c r="A3650" s="4">
        <v>3645</v>
      </c>
      <c r="C3650" s="12" t="s">
        <v>6003</v>
      </c>
      <c r="D3650" s="37"/>
      <c r="E3650" s="5" t="str">
        <f t="shared" si="70"/>
        <v>https://www.screener.in/company//consolidated/</v>
      </c>
      <c r="F3650" s="4">
        <v>443059</v>
      </c>
      <c r="G3650" s="4">
        <v>3832241897</v>
      </c>
      <c r="H3650" s="6" t="e">
        <f t="shared" ca="1" si="71"/>
        <v>#VALUE!</v>
      </c>
      <c r="I3650" s="7" t="str">
        <f ca="1">IFERROR(__xludf.DUMMYFUNCTION("IMPORTXML(E3650,""/html/body/main/div[3]/div[3]/div[2]/ul/li[5]/span[2]/span"")"),"Loading...")</f>
        <v>Loading...</v>
      </c>
      <c r="J3650" s="7" t="str">
        <f ca="1">IFERROR(__xludf.DUMMYFUNCTION("GOOGLEFINANCE(""NSE:""&amp;D3650,""marketcap"")"),"#N/A")</f>
        <v>#N/A</v>
      </c>
      <c r="K3650" s="7">
        <v>992.8</v>
      </c>
      <c r="L3650" s="8" t="str">
        <f ca="1">IFERROR(__xludf.DUMMYFUNCTION("GOOGLEFINANCE(""NSE:""&amp;D3650,""price"")"),"#N/A")</f>
        <v>#N/A</v>
      </c>
      <c r="M3650" s="9" t="e">
        <f t="shared" ca="1" si="72"/>
        <v>#VALUE!</v>
      </c>
      <c r="N3650" s="10" t="e">
        <f t="shared" ca="1" si="73"/>
        <v>#VALUE!</v>
      </c>
      <c r="O3650" s="7" t="str">
        <f ca="1">IFERROR(__xludf.DUMMYFUNCTION("GOOGLEFINANCE(""NSE:""&amp;D3650,""pe"")"),"#N/A")</f>
        <v>#N/A</v>
      </c>
      <c r="P3650" s="7" t="str">
        <f ca="1">IFERROR(__xludf.DUMMYFUNCTION("GOOGLEFINANCE(""NSE:""&amp;D3650,""EPS"")"),"#N/A")</f>
        <v>#N/A</v>
      </c>
      <c r="Q3650" s="7">
        <v>13.5</v>
      </c>
      <c r="R3650" s="7" t="str">
        <f ca="1">IFERROR(__xludf.DUMMYFUNCTION("IMPORTXML(E3650,""/html/body/main/div[3]/div[3]/div[2]/ul/li[7]/span[2]/span"")"),"Loading...")</f>
        <v>Loading...</v>
      </c>
      <c r="S3650" s="7" t="str">
        <f ca="1">IFERROR(__xludf.DUMMYFUNCTION("IMPORTXML(E3650,""/html/body/main/div[3]/div[3]/div[2]/ul/li[8]/span[2]/span"")"),"Loading...")</f>
        <v>Loading...</v>
      </c>
      <c r="T3650" s="4">
        <v>34.6</v>
      </c>
      <c r="U3650" s="4">
        <v>22.7</v>
      </c>
      <c r="V3650" s="4">
        <v>2.6</v>
      </c>
      <c r="W3650" s="4">
        <v>5.7</v>
      </c>
      <c r="X3650" s="4">
        <v>519.92999999999995</v>
      </c>
      <c r="Y3650" s="7" t="e">
        <f t="shared" ca="1" si="74"/>
        <v>#VALUE!</v>
      </c>
    </row>
    <row r="3651" spans="1:25" ht="15" x14ac:dyDescent="0.25">
      <c r="A3651" s="4">
        <v>3646</v>
      </c>
      <c r="C3651" s="41" t="s">
        <v>6004</v>
      </c>
      <c r="D3651" s="42"/>
      <c r="E3651" s="5" t="str">
        <f t="shared" si="70"/>
        <v>https://www.screener.in/company//consolidated/</v>
      </c>
      <c r="F3651" s="4">
        <v>443059</v>
      </c>
      <c r="G3651" s="4">
        <v>3832241897</v>
      </c>
      <c r="H3651" s="6" t="e">
        <f t="shared" ca="1" si="71"/>
        <v>#VALUE!</v>
      </c>
      <c r="I3651" s="7" t="str">
        <f ca="1">IFERROR(__xludf.DUMMYFUNCTION("IMPORTXML(E3651,""/html/body/main/div[3]/div[3]/div[2]/ul/li[5]/span[2]/span"")"),"Loading...")</f>
        <v>Loading...</v>
      </c>
      <c r="J3651" s="7" t="str">
        <f ca="1">IFERROR(__xludf.DUMMYFUNCTION("GOOGLEFINANCE(""NSE:""&amp;D3651,""marketcap"")"),"#N/A")</f>
        <v>#N/A</v>
      </c>
      <c r="K3651" s="7">
        <v>992.8</v>
      </c>
      <c r="L3651" s="8" t="str">
        <f ca="1">IFERROR(__xludf.DUMMYFUNCTION("GOOGLEFINANCE(""NSE:""&amp;D3651,""price"")"),"#N/A")</f>
        <v>#N/A</v>
      </c>
      <c r="M3651" s="9" t="e">
        <f t="shared" ca="1" si="72"/>
        <v>#VALUE!</v>
      </c>
      <c r="N3651" s="10" t="e">
        <f t="shared" ca="1" si="73"/>
        <v>#VALUE!</v>
      </c>
      <c r="O3651" s="7" t="str">
        <f ca="1">IFERROR(__xludf.DUMMYFUNCTION("GOOGLEFINANCE(""NSE:""&amp;D3651,""pe"")"),"#N/A")</f>
        <v>#N/A</v>
      </c>
      <c r="P3651" s="7" t="str">
        <f ca="1">IFERROR(__xludf.DUMMYFUNCTION("GOOGLEFINANCE(""NSE:""&amp;D3651,""EPS"")"),"#N/A")</f>
        <v>#N/A</v>
      </c>
      <c r="Q3651" s="7">
        <v>13.5</v>
      </c>
      <c r="R3651" s="7" t="str">
        <f ca="1">IFERROR(__xludf.DUMMYFUNCTION("IMPORTXML(E3651,""/html/body/main/div[3]/div[3]/div[2]/ul/li[7]/span[2]/span"")"),"Loading...")</f>
        <v>Loading...</v>
      </c>
      <c r="S3651" s="7" t="str">
        <f ca="1">IFERROR(__xludf.DUMMYFUNCTION("IMPORTXML(E3651,""/html/body/main/div[3]/div[3]/div[2]/ul/li[8]/span[2]/span"")"),"Loading...")</f>
        <v>Loading...</v>
      </c>
      <c r="T3651" s="4">
        <v>34.6</v>
      </c>
      <c r="U3651" s="4">
        <v>22.7</v>
      </c>
      <c r="V3651" s="4">
        <v>2.6</v>
      </c>
      <c r="W3651" s="4">
        <v>5.7</v>
      </c>
      <c r="X3651" s="4">
        <v>519.92999999999995</v>
      </c>
      <c r="Y3651" s="7" t="e">
        <f t="shared" ca="1" si="74"/>
        <v>#VALUE!</v>
      </c>
    </row>
    <row r="3652" spans="1:25" ht="15" x14ac:dyDescent="0.25">
      <c r="A3652" s="4">
        <v>3647</v>
      </c>
      <c r="C3652" s="41" t="s">
        <v>6005</v>
      </c>
      <c r="D3652" s="42"/>
      <c r="E3652" s="5" t="str">
        <f t="shared" si="70"/>
        <v>https://www.screener.in/company//consolidated/</v>
      </c>
      <c r="F3652" s="4">
        <v>443059</v>
      </c>
      <c r="G3652" s="4">
        <v>3832241897</v>
      </c>
      <c r="H3652" s="6" t="e">
        <f t="shared" ca="1" si="71"/>
        <v>#VALUE!</v>
      </c>
      <c r="I3652" s="7" t="str">
        <f ca="1">IFERROR(__xludf.DUMMYFUNCTION("IMPORTXML(E3652,""/html/body/main/div[3]/div[3]/div[2]/ul/li[5]/span[2]/span"")"),"Loading...")</f>
        <v>Loading...</v>
      </c>
      <c r="J3652" s="7" t="str">
        <f ca="1">IFERROR(__xludf.DUMMYFUNCTION("GOOGLEFINANCE(""NSE:""&amp;D3652,""marketcap"")"),"#N/A")</f>
        <v>#N/A</v>
      </c>
      <c r="K3652" s="7">
        <v>992.8</v>
      </c>
      <c r="L3652" s="8" t="str">
        <f ca="1">IFERROR(__xludf.DUMMYFUNCTION("GOOGLEFINANCE(""NSE:""&amp;D3652,""price"")"),"#N/A")</f>
        <v>#N/A</v>
      </c>
      <c r="M3652" s="9" t="e">
        <f t="shared" ca="1" si="72"/>
        <v>#VALUE!</v>
      </c>
      <c r="N3652" s="10" t="e">
        <f t="shared" ca="1" si="73"/>
        <v>#VALUE!</v>
      </c>
      <c r="O3652" s="7" t="str">
        <f ca="1">IFERROR(__xludf.DUMMYFUNCTION("GOOGLEFINANCE(""NSE:""&amp;D3652,""pe"")"),"#N/A")</f>
        <v>#N/A</v>
      </c>
      <c r="P3652" s="7" t="str">
        <f ca="1">IFERROR(__xludf.DUMMYFUNCTION("GOOGLEFINANCE(""NSE:""&amp;D3652,""EPS"")"),"#N/A")</f>
        <v>#N/A</v>
      </c>
      <c r="Q3652" s="7">
        <v>13.5</v>
      </c>
      <c r="R3652" s="7" t="str">
        <f ca="1">IFERROR(__xludf.DUMMYFUNCTION("IMPORTXML(E3652,""/html/body/main/div[3]/div[3]/div[2]/ul/li[7]/span[2]/span"")"),"Loading...")</f>
        <v>Loading...</v>
      </c>
      <c r="S3652" s="7" t="str">
        <f ca="1">IFERROR(__xludf.DUMMYFUNCTION("IMPORTXML(E3652,""/html/body/main/div[3]/div[3]/div[2]/ul/li[8]/span[2]/span"")"),"Loading...")</f>
        <v>Loading...</v>
      </c>
      <c r="T3652" s="4">
        <v>34.6</v>
      </c>
      <c r="U3652" s="4">
        <v>22.7</v>
      </c>
      <c r="V3652" s="4">
        <v>2.6</v>
      </c>
      <c r="W3652" s="4">
        <v>5.7</v>
      </c>
      <c r="X3652" s="4">
        <v>519.92999999999995</v>
      </c>
      <c r="Y3652" s="7" t="e">
        <f t="shared" ca="1" si="74"/>
        <v>#VALUE!</v>
      </c>
    </row>
    <row r="3653" spans="1:25" ht="15" x14ac:dyDescent="0.25">
      <c r="A3653" s="4">
        <v>3648</v>
      </c>
      <c r="C3653" s="41" t="s">
        <v>6006</v>
      </c>
      <c r="D3653" s="42"/>
      <c r="E3653" s="5" t="str">
        <f t="shared" si="70"/>
        <v>https://www.screener.in/company//consolidated/</v>
      </c>
      <c r="F3653" s="4">
        <v>443059</v>
      </c>
      <c r="G3653" s="4">
        <v>3832241897</v>
      </c>
      <c r="H3653" s="6" t="e">
        <f t="shared" ca="1" si="71"/>
        <v>#VALUE!</v>
      </c>
      <c r="I3653" s="7" t="str">
        <f ca="1">IFERROR(__xludf.DUMMYFUNCTION("IMPORTXML(E3653,""/html/body/main/div[3]/div[3]/div[2]/ul/li[5]/span[2]/span"")"),"Loading...")</f>
        <v>Loading...</v>
      </c>
      <c r="J3653" s="7" t="str">
        <f ca="1">IFERROR(__xludf.DUMMYFUNCTION("GOOGLEFINANCE(""NSE:""&amp;D3653,""marketcap"")"),"#N/A")</f>
        <v>#N/A</v>
      </c>
      <c r="K3653" s="7">
        <v>992.8</v>
      </c>
      <c r="L3653" s="8" t="str">
        <f ca="1">IFERROR(__xludf.DUMMYFUNCTION("GOOGLEFINANCE(""NSE:""&amp;D3653,""price"")"),"#N/A")</f>
        <v>#N/A</v>
      </c>
      <c r="M3653" s="9" t="e">
        <f t="shared" ca="1" si="72"/>
        <v>#VALUE!</v>
      </c>
      <c r="N3653" s="10" t="e">
        <f t="shared" ca="1" si="73"/>
        <v>#VALUE!</v>
      </c>
      <c r="O3653" s="7" t="str">
        <f ca="1">IFERROR(__xludf.DUMMYFUNCTION("GOOGLEFINANCE(""NSE:""&amp;D3653,""pe"")"),"#N/A")</f>
        <v>#N/A</v>
      </c>
      <c r="P3653" s="7" t="str">
        <f ca="1">IFERROR(__xludf.DUMMYFUNCTION("GOOGLEFINANCE(""NSE:""&amp;D3653,""EPS"")"),"#N/A")</f>
        <v>#N/A</v>
      </c>
      <c r="Q3653" s="7">
        <v>13.5</v>
      </c>
      <c r="R3653" s="7" t="str">
        <f ca="1">IFERROR(__xludf.DUMMYFUNCTION("IMPORTXML(E3653,""/html/body/main/div[3]/div[3]/div[2]/ul/li[7]/span[2]/span"")"),"Loading...")</f>
        <v>Loading...</v>
      </c>
      <c r="S3653" s="7" t="str">
        <f ca="1">IFERROR(__xludf.DUMMYFUNCTION("IMPORTXML(E3653,""/html/body/main/div[3]/div[3]/div[2]/ul/li[8]/span[2]/span"")"),"Loading...")</f>
        <v>Loading...</v>
      </c>
      <c r="T3653" s="4">
        <v>34.6</v>
      </c>
      <c r="U3653" s="4">
        <v>22.7</v>
      </c>
      <c r="V3653" s="4">
        <v>2.6</v>
      </c>
      <c r="W3653" s="4">
        <v>5.7</v>
      </c>
      <c r="X3653" s="4">
        <v>519.92999999999995</v>
      </c>
      <c r="Y3653" s="7" t="e">
        <f t="shared" ca="1" si="74"/>
        <v>#VALUE!</v>
      </c>
    </row>
    <row r="3654" spans="1:25" ht="15" x14ac:dyDescent="0.25">
      <c r="A3654" s="4">
        <v>3649</v>
      </c>
      <c r="C3654" s="41" t="s">
        <v>6007</v>
      </c>
      <c r="D3654" s="42"/>
      <c r="E3654" s="5" t="str">
        <f t="shared" si="70"/>
        <v>https://www.screener.in/company//consolidated/</v>
      </c>
      <c r="F3654" s="4">
        <v>443059</v>
      </c>
      <c r="G3654" s="4">
        <v>3832241897</v>
      </c>
      <c r="H3654" s="6" t="e">
        <f t="shared" ca="1" si="71"/>
        <v>#VALUE!</v>
      </c>
      <c r="I3654" s="7" t="str">
        <f ca="1">IFERROR(__xludf.DUMMYFUNCTION("IMPORTXML(E3654,""/html/body/main/div[3]/div[3]/div[2]/ul/li[5]/span[2]/span"")"),"Loading...")</f>
        <v>Loading...</v>
      </c>
      <c r="J3654" s="7" t="str">
        <f ca="1">IFERROR(__xludf.DUMMYFUNCTION("GOOGLEFINANCE(""NSE:""&amp;D3654,""marketcap"")"),"#N/A")</f>
        <v>#N/A</v>
      </c>
      <c r="K3654" s="7">
        <v>992.8</v>
      </c>
      <c r="L3654" s="8" t="str">
        <f ca="1">IFERROR(__xludf.DUMMYFUNCTION("GOOGLEFINANCE(""NSE:""&amp;D3654,""price"")"),"#N/A")</f>
        <v>#N/A</v>
      </c>
      <c r="M3654" s="9" t="e">
        <f t="shared" ca="1" si="72"/>
        <v>#VALUE!</v>
      </c>
      <c r="N3654" s="10" t="e">
        <f t="shared" ca="1" si="73"/>
        <v>#VALUE!</v>
      </c>
      <c r="O3654" s="7" t="str">
        <f ca="1">IFERROR(__xludf.DUMMYFUNCTION("GOOGLEFINANCE(""NSE:""&amp;D3654,""pe"")"),"#N/A")</f>
        <v>#N/A</v>
      </c>
      <c r="P3654" s="7" t="str">
        <f ca="1">IFERROR(__xludf.DUMMYFUNCTION("GOOGLEFINANCE(""NSE:""&amp;D3654,""EPS"")"),"#N/A")</f>
        <v>#N/A</v>
      </c>
      <c r="Q3654" s="7">
        <v>13.5</v>
      </c>
      <c r="R3654" s="7" t="str">
        <f ca="1">IFERROR(__xludf.DUMMYFUNCTION("IMPORTXML(E3654,""/html/body/main/div[3]/div[3]/div[2]/ul/li[7]/span[2]/span"")"),"Loading...")</f>
        <v>Loading...</v>
      </c>
      <c r="S3654" s="7" t="str">
        <f ca="1">IFERROR(__xludf.DUMMYFUNCTION("IMPORTXML(E3654,""/html/body/main/div[3]/div[3]/div[2]/ul/li[8]/span[2]/span"")"),"Loading...")</f>
        <v>Loading...</v>
      </c>
      <c r="T3654" s="4">
        <v>34.6</v>
      </c>
      <c r="U3654" s="4">
        <v>22.7</v>
      </c>
      <c r="V3654" s="4">
        <v>2.6</v>
      </c>
      <c r="W3654" s="4">
        <v>5.7</v>
      </c>
      <c r="X3654" s="4">
        <v>519.92999999999995</v>
      </c>
      <c r="Y3654" s="7" t="e">
        <f t="shared" ca="1" si="74"/>
        <v>#VALUE!</v>
      </c>
    </row>
    <row r="3655" spans="1:25" ht="15" x14ac:dyDescent="0.25">
      <c r="A3655" s="4">
        <v>3650</v>
      </c>
      <c r="C3655" s="41" t="s">
        <v>6008</v>
      </c>
      <c r="D3655" s="42"/>
      <c r="E3655" s="5" t="str">
        <f t="shared" si="70"/>
        <v>https://www.screener.in/company//consolidated/</v>
      </c>
      <c r="F3655" s="4">
        <v>443059</v>
      </c>
      <c r="G3655" s="4">
        <v>3832241897</v>
      </c>
      <c r="H3655" s="6" t="e">
        <f t="shared" ca="1" si="71"/>
        <v>#VALUE!</v>
      </c>
      <c r="I3655" s="7" t="str">
        <f ca="1">IFERROR(__xludf.DUMMYFUNCTION("IMPORTXML(E3655,""/html/body/main/div[3]/div[3]/div[2]/ul/li[5]/span[2]/span"")"),"Loading...")</f>
        <v>Loading...</v>
      </c>
      <c r="J3655" s="7" t="str">
        <f ca="1">IFERROR(__xludf.DUMMYFUNCTION("GOOGLEFINANCE(""NSE:""&amp;D3655,""marketcap"")"),"#N/A")</f>
        <v>#N/A</v>
      </c>
      <c r="K3655" s="7">
        <v>992.8</v>
      </c>
      <c r="L3655" s="8" t="str">
        <f ca="1">IFERROR(__xludf.DUMMYFUNCTION("GOOGLEFINANCE(""NSE:""&amp;D3655,""price"")"),"#N/A")</f>
        <v>#N/A</v>
      </c>
      <c r="M3655" s="9" t="e">
        <f t="shared" ca="1" si="72"/>
        <v>#VALUE!</v>
      </c>
      <c r="N3655" s="10" t="e">
        <f t="shared" ca="1" si="73"/>
        <v>#VALUE!</v>
      </c>
      <c r="O3655" s="7" t="str">
        <f ca="1">IFERROR(__xludf.DUMMYFUNCTION("GOOGLEFINANCE(""NSE:""&amp;D3655,""pe"")"),"#N/A")</f>
        <v>#N/A</v>
      </c>
      <c r="P3655" s="7" t="str">
        <f ca="1">IFERROR(__xludf.DUMMYFUNCTION("GOOGLEFINANCE(""NSE:""&amp;D3655,""EPS"")"),"#N/A")</f>
        <v>#N/A</v>
      </c>
      <c r="Q3655" s="7">
        <v>13.5</v>
      </c>
      <c r="R3655" s="7" t="str">
        <f ca="1">IFERROR(__xludf.DUMMYFUNCTION("IMPORTXML(E3655,""/html/body/main/div[3]/div[3]/div[2]/ul/li[7]/span[2]/span"")"),"Loading...")</f>
        <v>Loading...</v>
      </c>
      <c r="S3655" s="7" t="str">
        <f ca="1">IFERROR(__xludf.DUMMYFUNCTION("IMPORTXML(E3655,""/html/body/main/div[3]/div[3]/div[2]/ul/li[8]/span[2]/span"")"),"Loading...")</f>
        <v>Loading...</v>
      </c>
      <c r="T3655" s="4">
        <v>34.6</v>
      </c>
      <c r="U3655" s="4">
        <v>22.7</v>
      </c>
      <c r="V3655" s="4">
        <v>2.6</v>
      </c>
      <c r="W3655" s="4">
        <v>5.7</v>
      </c>
      <c r="X3655" s="4">
        <v>519.92999999999995</v>
      </c>
      <c r="Y3655" s="7" t="e">
        <f t="shared" ca="1" si="74"/>
        <v>#VALUE!</v>
      </c>
    </row>
    <row r="3656" spans="1:25" ht="15" x14ac:dyDescent="0.25">
      <c r="A3656" s="4">
        <v>3651</v>
      </c>
      <c r="C3656" s="12" t="s">
        <v>6009</v>
      </c>
      <c r="D3656" s="37"/>
      <c r="E3656" s="5" t="str">
        <f t="shared" si="70"/>
        <v>https://www.screener.in/company//consolidated/</v>
      </c>
      <c r="F3656" s="4">
        <v>443059</v>
      </c>
      <c r="G3656" s="4">
        <v>3832241897</v>
      </c>
      <c r="H3656" s="6" t="e">
        <f t="shared" ca="1" si="71"/>
        <v>#VALUE!</v>
      </c>
      <c r="I3656" s="7" t="str">
        <f ca="1">IFERROR(__xludf.DUMMYFUNCTION("IMPORTXML(E3656,""/html/body/main/div[3]/div[3]/div[2]/ul/li[5]/span[2]/span"")"),"Loading...")</f>
        <v>Loading...</v>
      </c>
      <c r="J3656" s="7" t="str">
        <f ca="1">IFERROR(__xludf.DUMMYFUNCTION("GOOGLEFINANCE(""NSE:""&amp;D3656,""marketcap"")"),"#N/A")</f>
        <v>#N/A</v>
      </c>
      <c r="K3656" s="7">
        <v>992.8</v>
      </c>
      <c r="L3656" s="8" t="str">
        <f ca="1">IFERROR(__xludf.DUMMYFUNCTION("GOOGLEFINANCE(""NSE:""&amp;D3656,""price"")"),"#N/A")</f>
        <v>#N/A</v>
      </c>
      <c r="M3656" s="9" t="e">
        <f t="shared" ca="1" si="72"/>
        <v>#VALUE!</v>
      </c>
      <c r="N3656" s="10" t="e">
        <f t="shared" ca="1" si="73"/>
        <v>#VALUE!</v>
      </c>
      <c r="O3656" s="7" t="str">
        <f ca="1">IFERROR(__xludf.DUMMYFUNCTION("GOOGLEFINANCE(""NSE:""&amp;D3656,""pe"")"),"#N/A")</f>
        <v>#N/A</v>
      </c>
      <c r="P3656" s="7" t="str">
        <f ca="1">IFERROR(__xludf.DUMMYFUNCTION("GOOGLEFINANCE(""NSE:""&amp;D3656,""EPS"")"),"#N/A")</f>
        <v>#N/A</v>
      </c>
      <c r="Q3656" s="7">
        <v>13.5</v>
      </c>
      <c r="R3656" s="7" t="str">
        <f ca="1">IFERROR(__xludf.DUMMYFUNCTION("IMPORTXML(E3656,""/html/body/main/div[3]/div[3]/div[2]/ul/li[7]/span[2]/span"")"),"Loading...")</f>
        <v>Loading...</v>
      </c>
      <c r="S3656" s="7" t="str">
        <f ca="1">IFERROR(__xludf.DUMMYFUNCTION("IMPORTXML(E3656,""/html/body/main/div[3]/div[3]/div[2]/ul/li[8]/span[2]/span"")"),"Loading...")</f>
        <v>Loading...</v>
      </c>
      <c r="T3656" s="4">
        <v>34.6</v>
      </c>
      <c r="U3656" s="4">
        <v>22.7</v>
      </c>
      <c r="V3656" s="4">
        <v>2.6</v>
      </c>
      <c r="W3656" s="4">
        <v>5.7</v>
      </c>
      <c r="X3656" s="4">
        <v>519.92999999999995</v>
      </c>
      <c r="Y3656" s="7" t="e">
        <f t="shared" ca="1" si="74"/>
        <v>#VALUE!</v>
      </c>
    </row>
    <row r="3657" spans="1:25" ht="15" x14ac:dyDescent="0.25">
      <c r="A3657" s="4">
        <v>3652</v>
      </c>
      <c r="C3657" s="41" t="s">
        <v>6010</v>
      </c>
      <c r="D3657" s="42"/>
      <c r="E3657" s="5" t="str">
        <f t="shared" si="70"/>
        <v>https://www.screener.in/company//consolidated/</v>
      </c>
      <c r="F3657" s="4">
        <v>443059</v>
      </c>
      <c r="G3657" s="4">
        <v>3832241897</v>
      </c>
      <c r="H3657" s="6" t="e">
        <f t="shared" ca="1" si="71"/>
        <v>#VALUE!</v>
      </c>
      <c r="I3657" s="7" t="str">
        <f ca="1">IFERROR(__xludf.DUMMYFUNCTION("IMPORTXML(E3657,""/html/body/main/div[3]/div[3]/div[2]/ul/li[5]/span[2]/span"")"),"Loading...")</f>
        <v>Loading...</v>
      </c>
      <c r="J3657" s="7" t="str">
        <f ca="1">IFERROR(__xludf.DUMMYFUNCTION("GOOGLEFINANCE(""NSE:""&amp;D3657,""marketcap"")"),"#N/A")</f>
        <v>#N/A</v>
      </c>
      <c r="K3657" s="7">
        <v>992.8</v>
      </c>
      <c r="L3657" s="8" t="str">
        <f ca="1">IFERROR(__xludf.DUMMYFUNCTION("GOOGLEFINANCE(""NSE:""&amp;D3657,""price"")"),"#N/A")</f>
        <v>#N/A</v>
      </c>
      <c r="M3657" s="9" t="e">
        <f t="shared" ca="1" si="72"/>
        <v>#VALUE!</v>
      </c>
      <c r="N3657" s="10" t="e">
        <f t="shared" ca="1" si="73"/>
        <v>#VALUE!</v>
      </c>
      <c r="O3657" s="7" t="str">
        <f ca="1">IFERROR(__xludf.DUMMYFUNCTION("GOOGLEFINANCE(""NSE:""&amp;D3657,""pe"")"),"#N/A")</f>
        <v>#N/A</v>
      </c>
      <c r="P3657" s="7" t="str">
        <f ca="1">IFERROR(__xludf.DUMMYFUNCTION("GOOGLEFINANCE(""NSE:""&amp;D3657,""EPS"")"),"#N/A")</f>
        <v>#N/A</v>
      </c>
      <c r="Q3657" s="7">
        <v>13.5</v>
      </c>
      <c r="R3657" s="7" t="str">
        <f ca="1">IFERROR(__xludf.DUMMYFUNCTION("IMPORTXML(E3657,""/html/body/main/div[3]/div[3]/div[2]/ul/li[7]/span[2]/span"")"),"Loading...")</f>
        <v>Loading...</v>
      </c>
      <c r="S3657" s="7" t="str">
        <f ca="1">IFERROR(__xludf.DUMMYFUNCTION("IMPORTXML(E3657,""/html/body/main/div[3]/div[3]/div[2]/ul/li[8]/span[2]/span"")"),"Loading...")</f>
        <v>Loading...</v>
      </c>
      <c r="T3657" s="4">
        <v>34.6</v>
      </c>
      <c r="U3657" s="4">
        <v>22.7</v>
      </c>
      <c r="V3657" s="4">
        <v>2.6</v>
      </c>
      <c r="W3657" s="4">
        <v>5.7</v>
      </c>
      <c r="X3657" s="4">
        <v>519.92999999999995</v>
      </c>
      <c r="Y3657" s="7" t="e">
        <f t="shared" ca="1" si="74"/>
        <v>#VALUE!</v>
      </c>
    </row>
    <row r="3658" spans="1:25" ht="15" x14ac:dyDescent="0.25">
      <c r="A3658" s="4">
        <v>3653</v>
      </c>
      <c r="C3658" s="41" t="s">
        <v>6011</v>
      </c>
      <c r="D3658" s="42"/>
      <c r="E3658" s="5" t="str">
        <f t="shared" si="70"/>
        <v>https://www.screener.in/company//consolidated/</v>
      </c>
      <c r="F3658" s="4">
        <v>443059</v>
      </c>
      <c r="G3658" s="4">
        <v>3832241897</v>
      </c>
      <c r="H3658" s="6" t="e">
        <f t="shared" ca="1" si="71"/>
        <v>#VALUE!</v>
      </c>
      <c r="I3658" s="7" t="str">
        <f ca="1">IFERROR(__xludf.DUMMYFUNCTION("IMPORTXML(E3658,""/html/body/main/div[3]/div[3]/div[2]/ul/li[5]/span[2]/span"")"),"Loading...")</f>
        <v>Loading...</v>
      </c>
      <c r="J3658" s="7" t="str">
        <f ca="1">IFERROR(__xludf.DUMMYFUNCTION("GOOGLEFINANCE(""NSE:""&amp;D3658,""marketcap"")"),"#N/A")</f>
        <v>#N/A</v>
      </c>
      <c r="K3658" s="7">
        <v>992.8</v>
      </c>
      <c r="L3658" s="8" t="str">
        <f ca="1">IFERROR(__xludf.DUMMYFUNCTION("GOOGLEFINANCE(""NSE:""&amp;D3658,""price"")"),"#N/A")</f>
        <v>#N/A</v>
      </c>
      <c r="M3658" s="9" t="e">
        <f t="shared" ca="1" si="72"/>
        <v>#VALUE!</v>
      </c>
      <c r="N3658" s="10" t="e">
        <f t="shared" ca="1" si="73"/>
        <v>#VALUE!</v>
      </c>
      <c r="O3658" s="7" t="str">
        <f ca="1">IFERROR(__xludf.DUMMYFUNCTION("GOOGLEFINANCE(""NSE:""&amp;D3658,""pe"")"),"#N/A")</f>
        <v>#N/A</v>
      </c>
      <c r="P3658" s="7" t="str">
        <f ca="1">IFERROR(__xludf.DUMMYFUNCTION("GOOGLEFINANCE(""NSE:""&amp;D3658,""EPS"")"),"#N/A")</f>
        <v>#N/A</v>
      </c>
      <c r="Q3658" s="7">
        <v>13.5</v>
      </c>
      <c r="R3658" s="7" t="str">
        <f ca="1">IFERROR(__xludf.DUMMYFUNCTION("IMPORTXML(E3658,""/html/body/main/div[3]/div[3]/div[2]/ul/li[7]/span[2]/span"")"),"Loading...")</f>
        <v>Loading...</v>
      </c>
      <c r="S3658" s="7" t="str">
        <f ca="1">IFERROR(__xludf.DUMMYFUNCTION("IMPORTXML(E3658,""/html/body/main/div[3]/div[3]/div[2]/ul/li[8]/span[2]/span"")"),"Loading...")</f>
        <v>Loading...</v>
      </c>
      <c r="T3658" s="4">
        <v>34.6</v>
      </c>
      <c r="U3658" s="4">
        <v>22.7</v>
      </c>
      <c r="V3658" s="4">
        <v>2.6</v>
      </c>
      <c r="W3658" s="4">
        <v>5.7</v>
      </c>
      <c r="X3658" s="4">
        <v>519.92999999999995</v>
      </c>
      <c r="Y3658" s="7" t="e">
        <f t="shared" ca="1" si="74"/>
        <v>#VALUE!</v>
      </c>
    </row>
    <row r="3659" spans="1:25" ht="15" x14ac:dyDescent="0.25">
      <c r="A3659" s="4">
        <v>3654</v>
      </c>
      <c r="C3659" s="41" t="s">
        <v>6012</v>
      </c>
      <c r="D3659" s="42"/>
      <c r="E3659" s="5" t="str">
        <f t="shared" si="70"/>
        <v>https://www.screener.in/company//consolidated/</v>
      </c>
      <c r="F3659" s="4">
        <v>443059</v>
      </c>
      <c r="G3659" s="4">
        <v>3832241897</v>
      </c>
      <c r="H3659" s="6" t="e">
        <f t="shared" ca="1" si="71"/>
        <v>#VALUE!</v>
      </c>
      <c r="I3659" s="7" t="str">
        <f ca="1">IFERROR(__xludf.DUMMYFUNCTION("IMPORTXML(E3659,""/html/body/main/div[3]/div[3]/div[2]/ul/li[5]/span[2]/span"")"),"Loading...")</f>
        <v>Loading...</v>
      </c>
      <c r="J3659" s="7" t="str">
        <f ca="1">IFERROR(__xludf.DUMMYFUNCTION("GOOGLEFINANCE(""NSE:""&amp;D3659,""marketcap"")"),"#N/A")</f>
        <v>#N/A</v>
      </c>
      <c r="K3659" s="7">
        <v>992.8</v>
      </c>
      <c r="L3659" s="8" t="str">
        <f ca="1">IFERROR(__xludf.DUMMYFUNCTION("GOOGLEFINANCE(""NSE:""&amp;D3659,""price"")"),"#N/A")</f>
        <v>#N/A</v>
      </c>
      <c r="M3659" s="9" t="e">
        <f t="shared" ca="1" si="72"/>
        <v>#VALUE!</v>
      </c>
      <c r="N3659" s="10" t="e">
        <f t="shared" ca="1" si="73"/>
        <v>#VALUE!</v>
      </c>
      <c r="O3659" s="7" t="str">
        <f ca="1">IFERROR(__xludf.DUMMYFUNCTION("GOOGLEFINANCE(""NSE:""&amp;D3659,""pe"")"),"#N/A")</f>
        <v>#N/A</v>
      </c>
      <c r="P3659" s="7" t="str">
        <f ca="1">IFERROR(__xludf.DUMMYFUNCTION("GOOGLEFINANCE(""NSE:""&amp;D3659,""EPS"")"),"#N/A")</f>
        <v>#N/A</v>
      </c>
      <c r="Q3659" s="7">
        <v>13.5</v>
      </c>
      <c r="R3659" s="7" t="str">
        <f ca="1">IFERROR(__xludf.DUMMYFUNCTION("IMPORTXML(E3659,""/html/body/main/div[3]/div[3]/div[2]/ul/li[7]/span[2]/span"")"),"Loading...")</f>
        <v>Loading...</v>
      </c>
      <c r="S3659" s="7" t="str">
        <f ca="1">IFERROR(__xludf.DUMMYFUNCTION("IMPORTXML(E3659,""/html/body/main/div[3]/div[3]/div[2]/ul/li[8]/span[2]/span"")"),"Loading...")</f>
        <v>Loading...</v>
      </c>
      <c r="T3659" s="4">
        <v>34.6</v>
      </c>
      <c r="U3659" s="4">
        <v>22.7</v>
      </c>
      <c r="V3659" s="4">
        <v>2.6</v>
      </c>
      <c r="W3659" s="4">
        <v>5.7</v>
      </c>
      <c r="X3659" s="4">
        <v>519.92999999999995</v>
      </c>
      <c r="Y3659" s="7" t="e">
        <f t="shared" ca="1" si="74"/>
        <v>#VALUE!</v>
      </c>
    </row>
    <row r="3660" spans="1:25" ht="15" x14ac:dyDescent="0.25">
      <c r="A3660" s="4">
        <v>3655</v>
      </c>
      <c r="C3660" s="12" t="s">
        <v>6013</v>
      </c>
      <c r="D3660" s="12" t="s">
        <v>6014</v>
      </c>
      <c r="E3660" s="5" t="str">
        <f t="shared" si="70"/>
        <v>https://www.screener.in/company/OMKARCHEM/consolidated/</v>
      </c>
      <c r="F3660" s="4">
        <v>443059</v>
      </c>
      <c r="G3660" s="4">
        <v>3832241897</v>
      </c>
      <c r="H3660" s="6">
        <f t="shared" ca="1" si="71"/>
        <v>2471.7960235650003</v>
      </c>
      <c r="I3660" s="7" t="str">
        <f ca="1">IFERROR(__xludf.DUMMYFUNCTION("IMPORTXML(E3660,""/html/body/main/div[3]/div[3]/div[2]/ul/li[5]/span[2]/span"")"),"Loading...")</f>
        <v>Loading...</v>
      </c>
      <c r="J3660" s="7">
        <f ca="1">IFERROR(__xludf.DUMMYFUNCTION("GOOGLEFINANCE(""NSE:""&amp;D3660,""marketcap"")"),132728100)</f>
        <v>132728100</v>
      </c>
      <c r="K3660" s="7">
        <v>992.8</v>
      </c>
      <c r="L3660" s="8">
        <f ca="1">IFERROR(__xludf.DUMMYFUNCTION("GOOGLEFINANCE(""NSE:""&amp;D3660,""price"")"),6.45)</f>
        <v>6.45</v>
      </c>
      <c r="M3660" s="9">
        <f t="shared" ca="1" si="72"/>
        <v>-986.34999999999991</v>
      </c>
      <c r="N3660" s="10">
        <f t="shared" ca="1" si="73"/>
        <v>-99.350322320709111</v>
      </c>
      <c r="O3660" s="7" t="str">
        <f ca="1">IFERROR(__xludf.DUMMYFUNCTION("GOOGLEFINANCE(""NSE:""&amp;D3660,""pe"")"),"#N/A")</f>
        <v>#N/A</v>
      </c>
      <c r="P3660" s="7" t="str">
        <f ca="1">IFERROR(__xludf.DUMMYFUNCTION("GOOGLEFINANCE(""NSE:""&amp;D3660,""EPS"")"),"#N/A")</f>
        <v>#N/A</v>
      </c>
      <c r="Q3660" s="7">
        <v>13.5</v>
      </c>
      <c r="R3660" s="7" t="str">
        <f ca="1">IFERROR(__xludf.DUMMYFUNCTION("IMPORTXML(E3660,""/html/body/main/div[3]/div[3]/div[2]/ul/li[7]/span[2]/span"")"),"Loading...")</f>
        <v>Loading...</v>
      </c>
      <c r="S3660" s="7" t="str">
        <f ca="1">IFERROR(__xludf.DUMMYFUNCTION("IMPORTXML(E3660,""/html/body/main/div[3]/div[3]/div[2]/ul/li[8]/span[2]/span"")"),"Loading...")</f>
        <v>Loading...</v>
      </c>
      <c r="T3660" s="4">
        <v>34.6</v>
      </c>
      <c r="U3660" s="4">
        <v>22.7</v>
      </c>
      <c r="V3660" s="4">
        <v>2.6</v>
      </c>
      <c r="W3660" s="4">
        <v>5.7</v>
      </c>
      <c r="X3660" s="4">
        <v>519.92999999999995</v>
      </c>
      <c r="Y3660" s="7">
        <f t="shared" ca="1" si="74"/>
        <v>-513.4799999999999</v>
      </c>
    </row>
    <row r="3661" spans="1:25" ht="15" x14ac:dyDescent="0.25">
      <c r="A3661" s="4">
        <v>3656</v>
      </c>
      <c r="C3661" s="41" t="s">
        <v>6015</v>
      </c>
      <c r="D3661" s="42"/>
      <c r="E3661" s="5" t="str">
        <f t="shared" si="70"/>
        <v>https://www.screener.in/company//consolidated/</v>
      </c>
      <c r="F3661" s="4">
        <v>443059</v>
      </c>
      <c r="G3661" s="4">
        <v>3832241897</v>
      </c>
      <c r="H3661" s="6" t="e">
        <f t="shared" ca="1" si="71"/>
        <v>#VALUE!</v>
      </c>
      <c r="I3661" s="7" t="str">
        <f ca="1">IFERROR(__xludf.DUMMYFUNCTION("IMPORTXML(E3661,""/html/body/main/div[3]/div[3]/div[2]/ul/li[5]/span[2]/span"")"),"Loading...")</f>
        <v>Loading...</v>
      </c>
      <c r="J3661" s="7" t="str">
        <f ca="1">IFERROR(__xludf.DUMMYFUNCTION("GOOGLEFINANCE(""NSE:""&amp;D3661,""marketcap"")"),"#N/A")</f>
        <v>#N/A</v>
      </c>
      <c r="K3661" s="7">
        <v>992.8</v>
      </c>
      <c r="L3661" s="8" t="str">
        <f ca="1">IFERROR(__xludf.DUMMYFUNCTION("GOOGLEFINANCE(""NSE:""&amp;D3661,""price"")"),"#N/A")</f>
        <v>#N/A</v>
      </c>
      <c r="M3661" s="9" t="e">
        <f t="shared" ca="1" si="72"/>
        <v>#VALUE!</v>
      </c>
      <c r="N3661" s="10" t="e">
        <f t="shared" ca="1" si="73"/>
        <v>#VALUE!</v>
      </c>
      <c r="O3661" s="7" t="str">
        <f ca="1">IFERROR(__xludf.DUMMYFUNCTION("GOOGLEFINANCE(""NSE:""&amp;D3661,""pe"")"),"#N/A")</f>
        <v>#N/A</v>
      </c>
      <c r="P3661" s="7" t="str">
        <f ca="1">IFERROR(__xludf.DUMMYFUNCTION("GOOGLEFINANCE(""NSE:""&amp;D3661,""EPS"")"),"#N/A")</f>
        <v>#N/A</v>
      </c>
      <c r="Q3661" s="7">
        <v>13.5</v>
      </c>
      <c r="R3661" s="7" t="str">
        <f ca="1">IFERROR(__xludf.DUMMYFUNCTION("IMPORTXML(E3661,""/html/body/main/div[3]/div[3]/div[2]/ul/li[7]/span[2]/span"")"),"Loading...")</f>
        <v>Loading...</v>
      </c>
      <c r="S3661" s="7" t="str">
        <f ca="1">IFERROR(__xludf.DUMMYFUNCTION("IMPORTXML(E3661,""/html/body/main/div[3]/div[3]/div[2]/ul/li[8]/span[2]/span"")"),"Loading...")</f>
        <v>Loading...</v>
      </c>
      <c r="T3661" s="4">
        <v>34.6</v>
      </c>
      <c r="U3661" s="4">
        <v>22.7</v>
      </c>
      <c r="V3661" s="4">
        <v>2.6</v>
      </c>
      <c r="W3661" s="4">
        <v>5.7</v>
      </c>
      <c r="X3661" s="4">
        <v>519.92999999999995</v>
      </c>
      <c r="Y3661" s="7" t="e">
        <f t="shared" ca="1" si="74"/>
        <v>#VALUE!</v>
      </c>
    </row>
    <row r="3662" spans="1:25" ht="15" x14ac:dyDescent="0.25">
      <c r="A3662" s="4">
        <v>3657</v>
      </c>
      <c r="C3662" s="41" t="s">
        <v>6016</v>
      </c>
      <c r="D3662" s="42"/>
      <c r="E3662" s="5" t="str">
        <f t="shared" si="70"/>
        <v>https://www.screener.in/company//consolidated/</v>
      </c>
      <c r="F3662" s="4">
        <v>443059</v>
      </c>
      <c r="G3662" s="4">
        <v>3832241897</v>
      </c>
      <c r="H3662" s="6" t="e">
        <f t="shared" ca="1" si="71"/>
        <v>#VALUE!</v>
      </c>
      <c r="I3662" s="7" t="str">
        <f ca="1">IFERROR(__xludf.DUMMYFUNCTION("IMPORTXML(E3662,""/html/body/main/div[3]/div[3]/div[2]/ul/li[5]/span[2]/span"")"),"Loading...")</f>
        <v>Loading...</v>
      </c>
      <c r="J3662" s="7" t="str">
        <f ca="1">IFERROR(__xludf.DUMMYFUNCTION("GOOGLEFINANCE(""NSE:""&amp;D3662,""marketcap"")"),"#N/A")</f>
        <v>#N/A</v>
      </c>
      <c r="K3662" s="7">
        <v>992.8</v>
      </c>
      <c r="L3662" s="8" t="str">
        <f ca="1">IFERROR(__xludf.DUMMYFUNCTION("GOOGLEFINANCE(""NSE:""&amp;D3662,""price"")"),"#N/A")</f>
        <v>#N/A</v>
      </c>
      <c r="M3662" s="9" t="e">
        <f t="shared" ca="1" si="72"/>
        <v>#VALUE!</v>
      </c>
      <c r="N3662" s="10" t="e">
        <f t="shared" ca="1" si="73"/>
        <v>#VALUE!</v>
      </c>
      <c r="O3662" s="7" t="str">
        <f ca="1">IFERROR(__xludf.DUMMYFUNCTION("GOOGLEFINANCE(""NSE:""&amp;D3662,""pe"")"),"#N/A")</f>
        <v>#N/A</v>
      </c>
      <c r="P3662" s="7" t="str">
        <f ca="1">IFERROR(__xludf.DUMMYFUNCTION("GOOGLEFINANCE(""NSE:""&amp;D3662,""EPS"")"),"#N/A")</f>
        <v>#N/A</v>
      </c>
      <c r="Q3662" s="7">
        <v>13.5</v>
      </c>
      <c r="R3662" s="7" t="str">
        <f ca="1">IFERROR(__xludf.DUMMYFUNCTION("IMPORTXML(E3662,""/html/body/main/div[3]/div[3]/div[2]/ul/li[7]/span[2]/span"")"),"Loading...")</f>
        <v>Loading...</v>
      </c>
      <c r="S3662" s="7" t="str">
        <f ca="1">IFERROR(__xludf.DUMMYFUNCTION("IMPORTXML(E3662,""/html/body/main/div[3]/div[3]/div[2]/ul/li[8]/span[2]/span"")"),"Loading...")</f>
        <v>Loading...</v>
      </c>
      <c r="T3662" s="4">
        <v>34.6</v>
      </c>
      <c r="U3662" s="4">
        <v>22.7</v>
      </c>
      <c r="V3662" s="4">
        <v>2.6</v>
      </c>
      <c r="W3662" s="4">
        <v>5.7</v>
      </c>
      <c r="X3662" s="4">
        <v>519.92999999999995</v>
      </c>
      <c r="Y3662" s="7" t="e">
        <f t="shared" ca="1" si="74"/>
        <v>#VALUE!</v>
      </c>
    </row>
    <row r="3663" spans="1:25" ht="15" x14ac:dyDescent="0.25">
      <c r="A3663" s="4">
        <v>3658</v>
      </c>
      <c r="C3663" s="41" t="s">
        <v>6017</v>
      </c>
      <c r="D3663" s="42"/>
      <c r="E3663" s="5" t="str">
        <f t="shared" si="70"/>
        <v>https://www.screener.in/company//consolidated/</v>
      </c>
      <c r="F3663" s="4">
        <v>443059</v>
      </c>
      <c r="G3663" s="4">
        <v>3832241897</v>
      </c>
      <c r="H3663" s="6" t="e">
        <f t="shared" ca="1" si="71"/>
        <v>#VALUE!</v>
      </c>
      <c r="I3663" s="7" t="str">
        <f ca="1">IFERROR(__xludf.DUMMYFUNCTION("IMPORTXML(E3663,""/html/body/main/div[3]/div[3]/div[2]/ul/li[5]/span[2]/span"")"),"Loading...")</f>
        <v>Loading...</v>
      </c>
      <c r="J3663" s="7" t="str">
        <f ca="1">IFERROR(__xludf.DUMMYFUNCTION("GOOGLEFINANCE(""NSE:""&amp;D3663,""marketcap"")"),"#N/A")</f>
        <v>#N/A</v>
      </c>
      <c r="K3663" s="7">
        <v>992.8</v>
      </c>
      <c r="L3663" s="8" t="str">
        <f ca="1">IFERROR(__xludf.DUMMYFUNCTION("GOOGLEFINANCE(""NSE:""&amp;D3663,""price"")"),"#N/A")</f>
        <v>#N/A</v>
      </c>
      <c r="M3663" s="9" t="e">
        <f t="shared" ca="1" si="72"/>
        <v>#VALUE!</v>
      </c>
      <c r="N3663" s="10" t="e">
        <f t="shared" ca="1" si="73"/>
        <v>#VALUE!</v>
      </c>
      <c r="O3663" s="7" t="str">
        <f ca="1">IFERROR(__xludf.DUMMYFUNCTION("GOOGLEFINANCE(""NSE:""&amp;D3663,""pe"")"),"#N/A")</f>
        <v>#N/A</v>
      </c>
      <c r="P3663" s="7" t="str">
        <f ca="1">IFERROR(__xludf.DUMMYFUNCTION("GOOGLEFINANCE(""NSE:""&amp;D3663,""EPS"")"),"#N/A")</f>
        <v>#N/A</v>
      </c>
      <c r="Q3663" s="7">
        <v>13.5</v>
      </c>
      <c r="R3663" s="7" t="str">
        <f ca="1">IFERROR(__xludf.DUMMYFUNCTION("IMPORTXML(E3663,""/html/body/main/div[3]/div[3]/div[2]/ul/li[7]/span[2]/span"")"),"Loading...")</f>
        <v>Loading...</v>
      </c>
      <c r="S3663" s="7" t="str">
        <f ca="1">IFERROR(__xludf.DUMMYFUNCTION("IMPORTXML(E3663,""/html/body/main/div[3]/div[3]/div[2]/ul/li[8]/span[2]/span"")"),"Loading...")</f>
        <v>Loading...</v>
      </c>
      <c r="T3663" s="4">
        <v>34.6</v>
      </c>
      <c r="U3663" s="4">
        <v>22.7</v>
      </c>
      <c r="V3663" s="4">
        <v>2.6</v>
      </c>
      <c r="W3663" s="4">
        <v>5.7</v>
      </c>
      <c r="X3663" s="4">
        <v>519.92999999999995</v>
      </c>
      <c r="Y3663" s="7" t="e">
        <f t="shared" ca="1" si="74"/>
        <v>#VALUE!</v>
      </c>
    </row>
    <row r="3664" spans="1:25" ht="15" x14ac:dyDescent="0.25">
      <c r="A3664" s="4">
        <v>3659</v>
      </c>
      <c r="C3664" s="41" t="s">
        <v>6018</v>
      </c>
      <c r="D3664" s="42"/>
      <c r="E3664" s="5" t="str">
        <f t="shared" si="70"/>
        <v>https://www.screener.in/company//consolidated/</v>
      </c>
      <c r="F3664" s="4">
        <v>443059</v>
      </c>
      <c r="G3664" s="4">
        <v>3832241897</v>
      </c>
      <c r="H3664" s="6" t="e">
        <f t="shared" ca="1" si="71"/>
        <v>#VALUE!</v>
      </c>
      <c r="I3664" s="7" t="str">
        <f ca="1">IFERROR(__xludf.DUMMYFUNCTION("IMPORTXML(E3664,""/html/body/main/div[3]/div[3]/div[2]/ul/li[5]/span[2]/span"")"),"Loading...")</f>
        <v>Loading...</v>
      </c>
      <c r="J3664" s="7" t="str">
        <f ca="1">IFERROR(__xludf.DUMMYFUNCTION("GOOGLEFINANCE(""NSE:""&amp;D3664,""marketcap"")"),"#N/A")</f>
        <v>#N/A</v>
      </c>
      <c r="K3664" s="7">
        <v>992.8</v>
      </c>
      <c r="L3664" s="8" t="str">
        <f ca="1">IFERROR(__xludf.DUMMYFUNCTION("GOOGLEFINANCE(""NSE:""&amp;D3664,""price"")"),"#N/A")</f>
        <v>#N/A</v>
      </c>
      <c r="M3664" s="9" t="e">
        <f t="shared" ca="1" si="72"/>
        <v>#VALUE!</v>
      </c>
      <c r="N3664" s="10" t="e">
        <f t="shared" ca="1" si="73"/>
        <v>#VALUE!</v>
      </c>
      <c r="O3664" s="7" t="str">
        <f ca="1">IFERROR(__xludf.DUMMYFUNCTION("GOOGLEFINANCE(""NSE:""&amp;D3664,""pe"")"),"#N/A")</f>
        <v>#N/A</v>
      </c>
      <c r="P3664" s="7" t="str">
        <f ca="1">IFERROR(__xludf.DUMMYFUNCTION("GOOGLEFINANCE(""NSE:""&amp;D3664,""EPS"")"),"#N/A")</f>
        <v>#N/A</v>
      </c>
      <c r="Q3664" s="7">
        <v>13.5</v>
      </c>
      <c r="R3664" s="7" t="str">
        <f ca="1">IFERROR(__xludf.DUMMYFUNCTION("IMPORTXML(E3664,""/html/body/main/div[3]/div[3]/div[2]/ul/li[7]/span[2]/span"")"),"Loading...")</f>
        <v>Loading...</v>
      </c>
      <c r="S3664" s="7" t="str">
        <f ca="1">IFERROR(__xludf.DUMMYFUNCTION("IMPORTXML(E3664,""/html/body/main/div[3]/div[3]/div[2]/ul/li[8]/span[2]/span"")"),"Loading...")</f>
        <v>Loading...</v>
      </c>
      <c r="T3664" s="4">
        <v>34.6</v>
      </c>
      <c r="U3664" s="4">
        <v>22.7</v>
      </c>
      <c r="V3664" s="4">
        <v>2.6</v>
      </c>
      <c r="W3664" s="4">
        <v>5.7</v>
      </c>
      <c r="X3664" s="4">
        <v>519.92999999999995</v>
      </c>
      <c r="Y3664" s="7" t="e">
        <f t="shared" ca="1" si="74"/>
        <v>#VALUE!</v>
      </c>
    </row>
    <row r="3665" spans="1:25" ht="15" x14ac:dyDescent="0.25">
      <c r="A3665" s="4">
        <v>3660</v>
      </c>
      <c r="C3665" s="41" t="s">
        <v>6019</v>
      </c>
      <c r="D3665" s="42"/>
      <c r="E3665" s="5" t="str">
        <f t="shared" si="70"/>
        <v>https://www.screener.in/company//consolidated/</v>
      </c>
      <c r="F3665" s="4">
        <v>443059</v>
      </c>
      <c r="G3665" s="4">
        <v>3832241897</v>
      </c>
      <c r="H3665" s="6" t="e">
        <f t="shared" ca="1" si="71"/>
        <v>#VALUE!</v>
      </c>
      <c r="I3665" s="7" t="str">
        <f ca="1">IFERROR(__xludf.DUMMYFUNCTION("IMPORTXML(E3665,""/html/body/main/div[3]/div[3]/div[2]/ul/li[5]/span[2]/span"")"),"Loading...")</f>
        <v>Loading...</v>
      </c>
      <c r="J3665" s="7" t="str">
        <f ca="1">IFERROR(__xludf.DUMMYFUNCTION("GOOGLEFINANCE(""NSE:""&amp;D3665,""marketcap"")"),"#N/A")</f>
        <v>#N/A</v>
      </c>
      <c r="K3665" s="7">
        <v>992.8</v>
      </c>
      <c r="L3665" s="8" t="str">
        <f ca="1">IFERROR(__xludf.DUMMYFUNCTION("GOOGLEFINANCE(""NSE:""&amp;D3665,""price"")"),"#N/A")</f>
        <v>#N/A</v>
      </c>
      <c r="M3665" s="9" t="e">
        <f t="shared" ca="1" si="72"/>
        <v>#VALUE!</v>
      </c>
      <c r="N3665" s="10" t="e">
        <f t="shared" ca="1" si="73"/>
        <v>#VALUE!</v>
      </c>
      <c r="O3665" s="7" t="str">
        <f ca="1">IFERROR(__xludf.DUMMYFUNCTION("GOOGLEFINANCE(""NSE:""&amp;D3665,""pe"")"),"#N/A")</f>
        <v>#N/A</v>
      </c>
      <c r="P3665" s="7" t="str">
        <f ca="1">IFERROR(__xludf.DUMMYFUNCTION("GOOGLEFINANCE(""NSE:""&amp;D3665,""EPS"")"),"#N/A")</f>
        <v>#N/A</v>
      </c>
      <c r="Q3665" s="7">
        <v>13.5</v>
      </c>
      <c r="R3665" s="7" t="str">
        <f ca="1">IFERROR(__xludf.DUMMYFUNCTION("IMPORTXML(E3665,""/html/body/main/div[3]/div[3]/div[2]/ul/li[7]/span[2]/span"")"),"Loading...")</f>
        <v>Loading...</v>
      </c>
      <c r="S3665" s="7" t="str">
        <f ca="1">IFERROR(__xludf.DUMMYFUNCTION("IMPORTXML(E3665,""/html/body/main/div[3]/div[3]/div[2]/ul/li[8]/span[2]/span"")"),"Loading...")</f>
        <v>Loading...</v>
      </c>
      <c r="T3665" s="4">
        <v>34.6</v>
      </c>
      <c r="U3665" s="4">
        <v>22.7</v>
      </c>
      <c r="V3665" s="4">
        <v>2.6</v>
      </c>
      <c r="W3665" s="4">
        <v>5.7</v>
      </c>
      <c r="X3665" s="4">
        <v>519.92999999999995</v>
      </c>
      <c r="Y3665" s="7" t="e">
        <f t="shared" ca="1" si="74"/>
        <v>#VALUE!</v>
      </c>
    </row>
    <row r="3666" spans="1:25" ht="15" x14ac:dyDescent="0.25">
      <c r="A3666" s="4">
        <v>3661</v>
      </c>
      <c r="C3666" s="41" t="s">
        <v>6020</v>
      </c>
      <c r="D3666" s="42"/>
      <c r="E3666" s="5" t="str">
        <f t="shared" si="70"/>
        <v>https://www.screener.in/company//consolidated/</v>
      </c>
      <c r="F3666" s="4">
        <v>443059</v>
      </c>
      <c r="G3666" s="4">
        <v>3832241897</v>
      </c>
      <c r="H3666" s="6" t="e">
        <f t="shared" ca="1" si="71"/>
        <v>#VALUE!</v>
      </c>
      <c r="I3666" s="7" t="str">
        <f ca="1">IFERROR(__xludf.DUMMYFUNCTION("IMPORTXML(E3666,""/html/body/main/div[3]/div[3]/div[2]/ul/li[5]/span[2]/span"")"),"Loading...")</f>
        <v>Loading...</v>
      </c>
      <c r="J3666" s="7" t="str">
        <f ca="1">IFERROR(__xludf.DUMMYFUNCTION("GOOGLEFINANCE(""NSE:""&amp;D3666,""marketcap"")"),"#N/A")</f>
        <v>#N/A</v>
      </c>
      <c r="K3666" s="7">
        <v>992.8</v>
      </c>
      <c r="L3666" s="8" t="str">
        <f ca="1">IFERROR(__xludf.DUMMYFUNCTION("GOOGLEFINANCE(""NSE:""&amp;D3666,""price"")"),"#N/A")</f>
        <v>#N/A</v>
      </c>
      <c r="M3666" s="9" t="e">
        <f t="shared" ca="1" si="72"/>
        <v>#VALUE!</v>
      </c>
      <c r="N3666" s="10" t="e">
        <f t="shared" ca="1" si="73"/>
        <v>#VALUE!</v>
      </c>
      <c r="O3666" s="7" t="str">
        <f ca="1">IFERROR(__xludf.DUMMYFUNCTION("GOOGLEFINANCE(""NSE:""&amp;D3666,""pe"")"),"#N/A")</f>
        <v>#N/A</v>
      </c>
      <c r="P3666" s="7" t="str">
        <f ca="1">IFERROR(__xludf.DUMMYFUNCTION("GOOGLEFINANCE(""NSE:""&amp;D3666,""EPS"")"),"#N/A")</f>
        <v>#N/A</v>
      </c>
      <c r="Q3666" s="7">
        <v>13.5</v>
      </c>
      <c r="R3666" s="7" t="str">
        <f ca="1">IFERROR(__xludf.DUMMYFUNCTION("IMPORTXML(E3666,""/html/body/main/div[3]/div[3]/div[2]/ul/li[7]/span[2]/span"")"),"Loading...")</f>
        <v>Loading...</v>
      </c>
      <c r="S3666" s="7" t="str">
        <f ca="1">IFERROR(__xludf.DUMMYFUNCTION("IMPORTXML(E3666,""/html/body/main/div[3]/div[3]/div[2]/ul/li[8]/span[2]/span"")"),"Loading...")</f>
        <v>Loading...</v>
      </c>
      <c r="T3666" s="4">
        <v>34.6</v>
      </c>
      <c r="U3666" s="4">
        <v>22.7</v>
      </c>
      <c r="V3666" s="4">
        <v>2.6</v>
      </c>
      <c r="W3666" s="4">
        <v>5.7</v>
      </c>
      <c r="X3666" s="4">
        <v>519.92999999999995</v>
      </c>
      <c r="Y3666" s="7" t="e">
        <f t="shared" ca="1" si="74"/>
        <v>#VALUE!</v>
      </c>
    </row>
    <row r="3667" spans="1:25" ht="15" x14ac:dyDescent="0.25">
      <c r="A3667" s="4">
        <v>3662</v>
      </c>
      <c r="C3667" s="41" t="s">
        <v>6021</v>
      </c>
      <c r="D3667" s="42"/>
      <c r="E3667" s="5" t="str">
        <f t="shared" si="70"/>
        <v>https://www.screener.in/company//consolidated/</v>
      </c>
      <c r="F3667" s="4">
        <v>443059</v>
      </c>
      <c r="G3667" s="4">
        <v>3832241897</v>
      </c>
      <c r="H3667" s="6" t="e">
        <f t="shared" ca="1" si="71"/>
        <v>#VALUE!</v>
      </c>
      <c r="I3667" s="7" t="str">
        <f ca="1">IFERROR(__xludf.DUMMYFUNCTION("IMPORTXML(E3667,""/html/body/main/div[3]/div[3]/div[2]/ul/li[5]/span[2]/span"")"),"Loading...")</f>
        <v>Loading...</v>
      </c>
      <c r="J3667" s="7" t="str">
        <f ca="1">IFERROR(__xludf.DUMMYFUNCTION("GOOGLEFINANCE(""NSE:""&amp;D3667,""marketcap"")"),"#N/A")</f>
        <v>#N/A</v>
      </c>
      <c r="K3667" s="7">
        <v>992.8</v>
      </c>
      <c r="L3667" s="8" t="str">
        <f ca="1">IFERROR(__xludf.DUMMYFUNCTION("GOOGLEFINANCE(""NSE:""&amp;D3667,""price"")"),"#N/A")</f>
        <v>#N/A</v>
      </c>
      <c r="M3667" s="9" t="e">
        <f t="shared" ca="1" si="72"/>
        <v>#VALUE!</v>
      </c>
      <c r="N3667" s="10" t="e">
        <f t="shared" ca="1" si="73"/>
        <v>#VALUE!</v>
      </c>
      <c r="O3667" s="7" t="str">
        <f ca="1">IFERROR(__xludf.DUMMYFUNCTION("GOOGLEFINANCE(""NSE:""&amp;D3667,""pe"")"),"#N/A")</f>
        <v>#N/A</v>
      </c>
      <c r="P3667" s="7" t="str">
        <f ca="1">IFERROR(__xludf.DUMMYFUNCTION("GOOGLEFINANCE(""NSE:""&amp;D3667,""EPS"")"),"#N/A")</f>
        <v>#N/A</v>
      </c>
      <c r="Q3667" s="7">
        <v>13.5</v>
      </c>
      <c r="R3667" s="7" t="str">
        <f ca="1">IFERROR(__xludf.DUMMYFUNCTION("IMPORTXML(E3667,""/html/body/main/div[3]/div[3]/div[2]/ul/li[7]/span[2]/span"")"),"Loading...")</f>
        <v>Loading...</v>
      </c>
      <c r="S3667" s="7" t="str">
        <f ca="1">IFERROR(__xludf.DUMMYFUNCTION("IMPORTXML(E3667,""/html/body/main/div[3]/div[3]/div[2]/ul/li[8]/span[2]/span"")"),"Loading...")</f>
        <v>Loading...</v>
      </c>
      <c r="T3667" s="4">
        <v>34.6</v>
      </c>
      <c r="U3667" s="4">
        <v>22.7</v>
      </c>
      <c r="V3667" s="4">
        <v>2.6</v>
      </c>
      <c r="W3667" s="4">
        <v>5.7</v>
      </c>
      <c r="X3667" s="4">
        <v>519.92999999999995</v>
      </c>
      <c r="Y3667" s="7" t="e">
        <f t="shared" ca="1" si="74"/>
        <v>#VALUE!</v>
      </c>
    </row>
    <row r="3668" spans="1:25" ht="15" x14ac:dyDescent="0.25">
      <c r="A3668" s="4">
        <v>3663</v>
      </c>
      <c r="C3668" s="41" t="s">
        <v>6022</v>
      </c>
      <c r="D3668" s="42"/>
      <c r="E3668" s="5" t="str">
        <f t="shared" si="70"/>
        <v>https://www.screener.in/company//consolidated/</v>
      </c>
      <c r="F3668" s="4">
        <v>443059</v>
      </c>
      <c r="G3668" s="4">
        <v>3832241897</v>
      </c>
      <c r="H3668" s="6" t="e">
        <f t="shared" ca="1" si="71"/>
        <v>#VALUE!</v>
      </c>
      <c r="I3668" s="7" t="str">
        <f ca="1">IFERROR(__xludf.DUMMYFUNCTION("IMPORTXML(E3668,""/html/body/main/div[3]/div[3]/div[2]/ul/li[5]/span[2]/span"")"),"Loading...")</f>
        <v>Loading...</v>
      </c>
      <c r="J3668" s="7" t="str">
        <f ca="1">IFERROR(__xludf.DUMMYFUNCTION("GOOGLEFINANCE(""NSE:""&amp;D3668,""marketcap"")"),"#N/A")</f>
        <v>#N/A</v>
      </c>
      <c r="K3668" s="7">
        <v>992.8</v>
      </c>
      <c r="L3668" s="8" t="str">
        <f ca="1">IFERROR(__xludf.DUMMYFUNCTION("GOOGLEFINANCE(""NSE:""&amp;D3668,""price"")"),"#N/A")</f>
        <v>#N/A</v>
      </c>
      <c r="M3668" s="9" t="e">
        <f t="shared" ca="1" si="72"/>
        <v>#VALUE!</v>
      </c>
      <c r="N3668" s="10" t="e">
        <f t="shared" ca="1" si="73"/>
        <v>#VALUE!</v>
      </c>
      <c r="O3668" s="7" t="str">
        <f ca="1">IFERROR(__xludf.DUMMYFUNCTION("GOOGLEFINANCE(""NSE:""&amp;D3668,""pe"")"),"#N/A")</f>
        <v>#N/A</v>
      </c>
      <c r="P3668" s="7" t="str">
        <f ca="1">IFERROR(__xludf.DUMMYFUNCTION("GOOGLEFINANCE(""NSE:""&amp;D3668,""EPS"")"),"#N/A")</f>
        <v>#N/A</v>
      </c>
      <c r="Q3668" s="7">
        <v>13.5</v>
      </c>
      <c r="R3668" s="7" t="str">
        <f ca="1">IFERROR(__xludf.DUMMYFUNCTION("IMPORTXML(E3668,""/html/body/main/div[3]/div[3]/div[2]/ul/li[7]/span[2]/span"")"),"Loading...")</f>
        <v>Loading...</v>
      </c>
      <c r="S3668" s="7" t="str">
        <f ca="1">IFERROR(__xludf.DUMMYFUNCTION("IMPORTXML(E3668,""/html/body/main/div[3]/div[3]/div[2]/ul/li[8]/span[2]/span"")"),"Loading...")</f>
        <v>Loading...</v>
      </c>
      <c r="T3668" s="4">
        <v>34.6</v>
      </c>
      <c r="U3668" s="4">
        <v>22.7</v>
      </c>
      <c r="V3668" s="4">
        <v>2.6</v>
      </c>
      <c r="W3668" s="4">
        <v>5.7</v>
      </c>
      <c r="X3668" s="4">
        <v>519.92999999999995</v>
      </c>
      <c r="Y3668" s="7" t="e">
        <f t="shared" ca="1" si="74"/>
        <v>#VALUE!</v>
      </c>
    </row>
    <row r="3669" spans="1:25" ht="15" x14ac:dyDescent="0.25">
      <c r="A3669" s="4">
        <v>3664</v>
      </c>
      <c r="C3669" s="41" t="s">
        <v>6023</v>
      </c>
      <c r="D3669" s="42"/>
      <c r="E3669" s="5" t="str">
        <f t="shared" si="70"/>
        <v>https://www.screener.in/company//consolidated/</v>
      </c>
      <c r="F3669" s="4">
        <v>443059</v>
      </c>
      <c r="G3669" s="4">
        <v>3832241897</v>
      </c>
      <c r="H3669" s="6" t="e">
        <f t="shared" ca="1" si="71"/>
        <v>#VALUE!</v>
      </c>
      <c r="I3669" s="7" t="str">
        <f ca="1">IFERROR(__xludf.DUMMYFUNCTION("IMPORTXML(E3669,""/html/body/main/div[3]/div[3]/div[2]/ul/li[5]/span[2]/span"")"),"Loading...")</f>
        <v>Loading...</v>
      </c>
      <c r="J3669" s="7" t="str">
        <f ca="1">IFERROR(__xludf.DUMMYFUNCTION("GOOGLEFINANCE(""NSE:""&amp;D3669,""marketcap"")"),"#N/A")</f>
        <v>#N/A</v>
      </c>
      <c r="K3669" s="7">
        <v>992.8</v>
      </c>
      <c r="L3669" s="8" t="str">
        <f ca="1">IFERROR(__xludf.DUMMYFUNCTION("GOOGLEFINANCE(""NSE:""&amp;D3669,""price"")"),"#N/A")</f>
        <v>#N/A</v>
      </c>
      <c r="M3669" s="9" t="e">
        <f t="shared" ca="1" si="72"/>
        <v>#VALUE!</v>
      </c>
      <c r="N3669" s="10" t="e">
        <f t="shared" ca="1" si="73"/>
        <v>#VALUE!</v>
      </c>
      <c r="O3669" s="7" t="str">
        <f ca="1">IFERROR(__xludf.DUMMYFUNCTION("GOOGLEFINANCE(""NSE:""&amp;D3669,""pe"")"),"#N/A")</f>
        <v>#N/A</v>
      </c>
      <c r="P3669" s="7" t="str">
        <f ca="1">IFERROR(__xludf.DUMMYFUNCTION("GOOGLEFINANCE(""NSE:""&amp;D3669,""EPS"")"),"#N/A")</f>
        <v>#N/A</v>
      </c>
      <c r="Q3669" s="7">
        <v>13.5</v>
      </c>
      <c r="R3669" s="7" t="str">
        <f ca="1">IFERROR(__xludf.DUMMYFUNCTION("IMPORTXML(E3669,""/html/body/main/div[3]/div[3]/div[2]/ul/li[7]/span[2]/span"")"),"Loading...")</f>
        <v>Loading...</v>
      </c>
      <c r="S3669" s="7" t="str">
        <f ca="1">IFERROR(__xludf.DUMMYFUNCTION("IMPORTXML(E3669,""/html/body/main/div[3]/div[3]/div[2]/ul/li[8]/span[2]/span"")"),"Loading...")</f>
        <v>Loading...</v>
      </c>
      <c r="T3669" s="4">
        <v>34.6</v>
      </c>
      <c r="U3669" s="4">
        <v>22.7</v>
      </c>
      <c r="V3669" s="4">
        <v>2.6</v>
      </c>
      <c r="W3669" s="4">
        <v>5.7</v>
      </c>
      <c r="X3669" s="4">
        <v>519.92999999999995</v>
      </c>
      <c r="Y3669" s="7" t="e">
        <f t="shared" ca="1" si="74"/>
        <v>#VALUE!</v>
      </c>
    </row>
    <row r="3670" spans="1:25" ht="15" x14ac:dyDescent="0.25">
      <c r="A3670" s="4">
        <v>3665</v>
      </c>
      <c r="C3670" s="41" t="s">
        <v>6024</v>
      </c>
      <c r="D3670" s="42"/>
      <c r="E3670" s="5" t="str">
        <f t="shared" si="70"/>
        <v>https://www.screener.in/company//consolidated/</v>
      </c>
      <c r="F3670" s="4">
        <v>443059</v>
      </c>
      <c r="G3670" s="4">
        <v>3832241897</v>
      </c>
      <c r="H3670" s="6" t="e">
        <f t="shared" ca="1" si="71"/>
        <v>#VALUE!</v>
      </c>
      <c r="I3670" s="7" t="str">
        <f ca="1">IFERROR(__xludf.DUMMYFUNCTION("IMPORTXML(E3670,""/html/body/main/div[3]/div[3]/div[2]/ul/li[5]/span[2]/span"")"),"Loading...")</f>
        <v>Loading...</v>
      </c>
      <c r="J3670" s="7" t="str">
        <f ca="1">IFERROR(__xludf.DUMMYFUNCTION("GOOGLEFINANCE(""NSE:""&amp;D3670,""marketcap"")"),"#N/A")</f>
        <v>#N/A</v>
      </c>
      <c r="K3670" s="7">
        <v>992.8</v>
      </c>
      <c r="L3670" s="8" t="str">
        <f ca="1">IFERROR(__xludf.DUMMYFUNCTION("GOOGLEFINANCE(""NSE:""&amp;D3670,""price"")"),"#N/A")</f>
        <v>#N/A</v>
      </c>
      <c r="M3670" s="9" t="e">
        <f t="shared" ca="1" si="72"/>
        <v>#VALUE!</v>
      </c>
      <c r="N3670" s="10" t="e">
        <f t="shared" ca="1" si="73"/>
        <v>#VALUE!</v>
      </c>
      <c r="O3670" s="7" t="str">
        <f ca="1">IFERROR(__xludf.DUMMYFUNCTION("GOOGLEFINANCE(""NSE:""&amp;D3670,""pe"")"),"#N/A")</f>
        <v>#N/A</v>
      </c>
      <c r="P3670" s="7" t="str">
        <f ca="1">IFERROR(__xludf.DUMMYFUNCTION("GOOGLEFINANCE(""NSE:""&amp;D3670,""EPS"")"),"#N/A")</f>
        <v>#N/A</v>
      </c>
      <c r="Q3670" s="7">
        <v>13.5</v>
      </c>
      <c r="R3670" s="7" t="str">
        <f ca="1">IFERROR(__xludf.DUMMYFUNCTION("IMPORTXML(E3670,""/html/body/main/div[3]/div[3]/div[2]/ul/li[7]/span[2]/span"")"),"Loading...")</f>
        <v>Loading...</v>
      </c>
      <c r="S3670" s="7" t="str">
        <f ca="1">IFERROR(__xludf.DUMMYFUNCTION("IMPORTXML(E3670,""/html/body/main/div[3]/div[3]/div[2]/ul/li[8]/span[2]/span"")"),"Loading...")</f>
        <v>Loading...</v>
      </c>
      <c r="T3670" s="4">
        <v>34.6</v>
      </c>
      <c r="U3670" s="4">
        <v>22.7</v>
      </c>
      <c r="V3670" s="4">
        <v>2.6</v>
      </c>
      <c r="W3670" s="4">
        <v>5.7</v>
      </c>
      <c r="X3670" s="4">
        <v>519.92999999999995</v>
      </c>
      <c r="Y3670" s="7" t="e">
        <f t="shared" ca="1" si="74"/>
        <v>#VALUE!</v>
      </c>
    </row>
    <row r="3671" spans="1:25" ht="15" x14ac:dyDescent="0.25">
      <c r="A3671" s="4">
        <v>3666</v>
      </c>
      <c r="C3671" s="41" t="s">
        <v>6025</v>
      </c>
      <c r="D3671" s="42"/>
      <c r="E3671" s="5" t="str">
        <f t="shared" si="70"/>
        <v>https://www.screener.in/company//consolidated/</v>
      </c>
      <c r="F3671" s="4">
        <v>443059</v>
      </c>
      <c r="G3671" s="4">
        <v>3832241897</v>
      </c>
      <c r="H3671" s="6" t="e">
        <f t="shared" ca="1" si="71"/>
        <v>#VALUE!</v>
      </c>
      <c r="I3671" s="7" t="str">
        <f ca="1">IFERROR(__xludf.DUMMYFUNCTION("IMPORTXML(E3671,""/html/body/main/div[3]/div[3]/div[2]/ul/li[5]/span[2]/span"")"),"Loading...")</f>
        <v>Loading...</v>
      </c>
      <c r="J3671" s="7" t="str">
        <f ca="1">IFERROR(__xludf.DUMMYFUNCTION("GOOGLEFINANCE(""NSE:""&amp;D3671,""marketcap"")"),"#N/A")</f>
        <v>#N/A</v>
      </c>
      <c r="K3671" s="7">
        <v>992.8</v>
      </c>
      <c r="L3671" s="8" t="str">
        <f ca="1">IFERROR(__xludf.DUMMYFUNCTION("GOOGLEFINANCE(""NSE:""&amp;D3671,""price"")"),"#N/A")</f>
        <v>#N/A</v>
      </c>
      <c r="M3671" s="9" t="e">
        <f t="shared" ca="1" si="72"/>
        <v>#VALUE!</v>
      </c>
      <c r="N3671" s="10" t="e">
        <f t="shared" ca="1" si="73"/>
        <v>#VALUE!</v>
      </c>
      <c r="O3671" s="7" t="str">
        <f ca="1">IFERROR(__xludf.DUMMYFUNCTION("GOOGLEFINANCE(""NSE:""&amp;D3671,""pe"")"),"#N/A")</f>
        <v>#N/A</v>
      </c>
      <c r="P3671" s="7" t="str">
        <f ca="1">IFERROR(__xludf.DUMMYFUNCTION("GOOGLEFINANCE(""NSE:""&amp;D3671,""EPS"")"),"#N/A")</f>
        <v>#N/A</v>
      </c>
      <c r="Q3671" s="7">
        <v>13.5</v>
      </c>
      <c r="R3671" s="7" t="str">
        <f ca="1">IFERROR(__xludf.DUMMYFUNCTION("IMPORTXML(E3671,""/html/body/main/div[3]/div[3]/div[2]/ul/li[7]/span[2]/span"")"),"Loading...")</f>
        <v>Loading...</v>
      </c>
      <c r="S3671" s="7" t="str">
        <f ca="1">IFERROR(__xludf.DUMMYFUNCTION("IMPORTXML(E3671,""/html/body/main/div[3]/div[3]/div[2]/ul/li[8]/span[2]/span"")"),"Loading...")</f>
        <v>Loading...</v>
      </c>
      <c r="T3671" s="4">
        <v>34.6</v>
      </c>
      <c r="U3671" s="4">
        <v>22.7</v>
      </c>
      <c r="V3671" s="4">
        <v>2.6</v>
      </c>
      <c r="W3671" s="4">
        <v>5.7</v>
      </c>
      <c r="X3671" s="4">
        <v>519.92999999999995</v>
      </c>
      <c r="Y3671" s="7" t="e">
        <f t="shared" ca="1" si="74"/>
        <v>#VALUE!</v>
      </c>
    </row>
    <row r="3672" spans="1:25" ht="15" x14ac:dyDescent="0.25">
      <c r="A3672" s="4">
        <v>3667</v>
      </c>
      <c r="C3672" s="12" t="s">
        <v>6026</v>
      </c>
      <c r="D3672" s="37"/>
      <c r="E3672" s="5" t="str">
        <f t="shared" si="70"/>
        <v>https://www.screener.in/company//consolidated/</v>
      </c>
      <c r="F3672" s="4">
        <v>443059</v>
      </c>
      <c r="G3672" s="4">
        <v>3832241897</v>
      </c>
      <c r="H3672" s="6" t="e">
        <f t="shared" ca="1" si="71"/>
        <v>#VALUE!</v>
      </c>
      <c r="I3672" s="7" t="str">
        <f ca="1">IFERROR(__xludf.DUMMYFUNCTION("IMPORTXML(E3672,""/html/body/main/div[3]/div[3]/div[2]/ul/li[5]/span[2]/span"")"),"Loading...")</f>
        <v>Loading...</v>
      </c>
      <c r="J3672" s="7" t="str">
        <f ca="1">IFERROR(__xludf.DUMMYFUNCTION("GOOGLEFINANCE(""NSE:""&amp;D3672,""marketcap"")"),"#N/A")</f>
        <v>#N/A</v>
      </c>
      <c r="K3672" s="7">
        <v>992.8</v>
      </c>
      <c r="L3672" s="8" t="str">
        <f ca="1">IFERROR(__xludf.DUMMYFUNCTION("GOOGLEFINANCE(""NSE:""&amp;D3672,""price"")"),"#N/A")</f>
        <v>#N/A</v>
      </c>
      <c r="M3672" s="9" t="e">
        <f t="shared" ca="1" si="72"/>
        <v>#VALUE!</v>
      </c>
      <c r="N3672" s="10" t="e">
        <f t="shared" ca="1" si="73"/>
        <v>#VALUE!</v>
      </c>
      <c r="O3672" s="7" t="str">
        <f ca="1">IFERROR(__xludf.DUMMYFUNCTION("GOOGLEFINANCE(""NSE:""&amp;D3672,""pe"")"),"#N/A")</f>
        <v>#N/A</v>
      </c>
      <c r="P3672" s="7" t="str">
        <f ca="1">IFERROR(__xludf.DUMMYFUNCTION("GOOGLEFINANCE(""NSE:""&amp;D3672,""EPS"")"),"#N/A")</f>
        <v>#N/A</v>
      </c>
      <c r="Q3672" s="7">
        <v>13.5</v>
      </c>
      <c r="R3672" s="7" t="str">
        <f ca="1">IFERROR(__xludf.DUMMYFUNCTION("IMPORTXML(E3672,""/html/body/main/div[3]/div[3]/div[2]/ul/li[7]/span[2]/span"")"),"Loading...")</f>
        <v>Loading...</v>
      </c>
      <c r="S3672" s="7" t="str">
        <f ca="1">IFERROR(__xludf.DUMMYFUNCTION("IMPORTXML(E3672,""/html/body/main/div[3]/div[3]/div[2]/ul/li[8]/span[2]/span"")"),"Loading...")</f>
        <v>Loading...</v>
      </c>
      <c r="T3672" s="4">
        <v>34.6</v>
      </c>
      <c r="U3672" s="4">
        <v>22.7</v>
      </c>
      <c r="V3672" s="4">
        <v>2.6</v>
      </c>
      <c r="W3672" s="4">
        <v>5.7</v>
      </c>
      <c r="X3672" s="4">
        <v>519.92999999999995</v>
      </c>
      <c r="Y3672" s="7" t="e">
        <f t="shared" ca="1" si="74"/>
        <v>#VALUE!</v>
      </c>
    </row>
    <row r="3673" spans="1:25" ht="15" x14ac:dyDescent="0.25">
      <c r="A3673" s="4">
        <v>3668</v>
      </c>
      <c r="C3673" s="41" t="s">
        <v>6027</v>
      </c>
      <c r="D3673" s="42"/>
      <c r="E3673" s="5" t="str">
        <f t="shared" si="70"/>
        <v>https://www.screener.in/company//consolidated/</v>
      </c>
      <c r="F3673" s="4">
        <v>443059</v>
      </c>
      <c r="G3673" s="4">
        <v>3832241897</v>
      </c>
      <c r="H3673" s="6" t="e">
        <f t="shared" ca="1" si="71"/>
        <v>#VALUE!</v>
      </c>
      <c r="I3673" s="7" t="str">
        <f ca="1">IFERROR(__xludf.DUMMYFUNCTION("IMPORTXML(E3673,""/html/body/main/div[3]/div[3]/div[2]/ul/li[5]/span[2]/span"")"),"Loading...")</f>
        <v>Loading...</v>
      </c>
      <c r="J3673" s="7" t="str">
        <f ca="1">IFERROR(__xludf.DUMMYFUNCTION("GOOGLEFINANCE(""NSE:""&amp;D3673,""marketcap"")"),"#N/A")</f>
        <v>#N/A</v>
      </c>
      <c r="K3673" s="7">
        <v>992.8</v>
      </c>
      <c r="L3673" s="8" t="str">
        <f ca="1">IFERROR(__xludf.DUMMYFUNCTION("GOOGLEFINANCE(""NSE:""&amp;D3673,""price"")"),"#N/A")</f>
        <v>#N/A</v>
      </c>
      <c r="M3673" s="9" t="e">
        <f t="shared" ca="1" si="72"/>
        <v>#VALUE!</v>
      </c>
      <c r="N3673" s="10" t="e">
        <f t="shared" ca="1" si="73"/>
        <v>#VALUE!</v>
      </c>
      <c r="O3673" s="7" t="str">
        <f ca="1">IFERROR(__xludf.DUMMYFUNCTION("GOOGLEFINANCE(""NSE:""&amp;D3673,""pe"")"),"#N/A")</f>
        <v>#N/A</v>
      </c>
      <c r="P3673" s="7" t="str">
        <f ca="1">IFERROR(__xludf.DUMMYFUNCTION("GOOGLEFINANCE(""NSE:""&amp;D3673,""EPS"")"),"#N/A")</f>
        <v>#N/A</v>
      </c>
      <c r="Q3673" s="7">
        <v>13.5</v>
      </c>
      <c r="R3673" s="7" t="str">
        <f ca="1">IFERROR(__xludf.DUMMYFUNCTION("IMPORTXML(E3673,""/html/body/main/div[3]/div[3]/div[2]/ul/li[7]/span[2]/span"")"),"Loading...")</f>
        <v>Loading...</v>
      </c>
      <c r="S3673" s="7" t="str">
        <f ca="1">IFERROR(__xludf.DUMMYFUNCTION("IMPORTXML(E3673,""/html/body/main/div[3]/div[3]/div[2]/ul/li[8]/span[2]/span"")"),"Loading...")</f>
        <v>Loading...</v>
      </c>
      <c r="T3673" s="4">
        <v>34.6</v>
      </c>
      <c r="U3673" s="4">
        <v>22.7</v>
      </c>
      <c r="V3673" s="4">
        <v>2.6</v>
      </c>
      <c r="W3673" s="4">
        <v>5.7</v>
      </c>
      <c r="X3673" s="4">
        <v>519.92999999999995</v>
      </c>
      <c r="Y3673" s="7" t="e">
        <f t="shared" ca="1" si="74"/>
        <v>#VALUE!</v>
      </c>
    </row>
    <row r="3674" spans="1:25" ht="15" x14ac:dyDescent="0.25">
      <c r="A3674" s="4">
        <v>3669</v>
      </c>
      <c r="C3674" s="41" t="s">
        <v>6028</v>
      </c>
      <c r="D3674" s="42"/>
      <c r="E3674" s="5" t="str">
        <f t="shared" si="70"/>
        <v>https://www.screener.in/company//consolidated/</v>
      </c>
      <c r="F3674" s="4">
        <v>443059</v>
      </c>
      <c r="G3674" s="4">
        <v>3832241897</v>
      </c>
      <c r="H3674" s="6" t="e">
        <f t="shared" ca="1" si="71"/>
        <v>#VALUE!</v>
      </c>
      <c r="I3674" s="7" t="str">
        <f ca="1">IFERROR(__xludf.DUMMYFUNCTION("IMPORTXML(E3674,""/html/body/main/div[3]/div[3]/div[2]/ul/li[5]/span[2]/span"")"),"Loading...")</f>
        <v>Loading...</v>
      </c>
      <c r="J3674" s="7" t="str">
        <f ca="1">IFERROR(__xludf.DUMMYFUNCTION("GOOGLEFINANCE(""NSE:""&amp;D3674,""marketcap"")"),"#N/A")</f>
        <v>#N/A</v>
      </c>
      <c r="K3674" s="7">
        <v>992.8</v>
      </c>
      <c r="L3674" s="8" t="str">
        <f ca="1">IFERROR(__xludf.DUMMYFUNCTION("GOOGLEFINANCE(""NSE:""&amp;D3674,""price"")"),"#N/A")</f>
        <v>#N/A</v>
      </c>
      <c r="M3674" s="9" t="e">
        <f t="shared" ca="1" si="72"/>
        <v>#VALUE!</v>
      </c>
      <c r="N3674" s="10" t="e">
        <f t="shared" ca="1" si="73"/>
        <v>#VALUE!</v>
      </c>
      <c r="O3674" s="7" t="str">
        <f ca="1">IFERROR(__xludf.DUMMYFUNCTION("GOOGLEFINANCE(""NSE:""&amp;D3674,""pe"")"),"#N/A")</f>
        <v>#N/A</v>
      </c>
      <c r="P3674" s="7" t="str">
        <f ca="1">IFERROR(__xludf.DUMMYFUNCTION("GOOGLEFINANCE(""NSE:""&amp;D3674,""EPS"")"),"#N/A")</f>
        <v>#N/A</v>
      </c>
      <c r="Q3674" s="7">
        <v>13.5</v>
      </c>
      <c r="R3674" s="7" t="str">
        <f ca="1">IFERROR(__xludf.DUMMYFUNCTION("IMPORTXML(E3674,""/html/body/main/div[3]/div[3]/div[2]/ul/li[7]/span[2]/span"")"),"Loading...")</f>
        <v>Loading...</v>
      </c>
      <c r="S3674" s="7" t="str">
        <f ca="1">IFERROR(__xludf.DUMMYFUNCTION("IMPORTXML(E3674,""/html/body/main/div[3]/div[3]/div[2]/ul/li[8]/span[2]/span"")"),"Loading...")</f>
        <v>Loading...</v>
      </c>
      <c r="T3674" s="4">
        <v>34.6</v>
      </c>
      <c r="U3674" s="4">
        <v>22.7</v>
      </c>
      <c r="V3674" s="4">
        <v>2.6</v>
      </c>
      <c r="W3674" s="4">
        <v>5.7</v>
      </c>
      <c r="X3674" s="4">
        <v>519.92999999999995</v>
      </c>
      <c r="Y3674" s="7" t="e">
        <f t="shared" ca="1" si="74"/>
        <v>#VALUE!</v>
      </c>
    </row>
    <row r="3675" spans="1:25" ht="15" x14ac:dyDescent="0.25">
      <c r="A3675" s="4">
        <v>3670</v>
      </c>
      <c r="C3675" s="41" t="s">
        <v>6029</v>
      </c>
      <c r="D3675" s="42"/>
      <c r="E3675" s="5" t="str">
        <f t="shared" si="70"/>
        <v>https://www.screener.in/company//consolidated/</v>
      </c>
      <c r="F3675" s="4">
        <v>443059</v>
      </c>
      <c r="G3675" s="4">
        <v>3832241897</v>
      </c>
      <c r="H3675" s="6" t="e">
        <f t="shared" ca="1" si="71"/>
        <v>#VALUE!</v>
      </c>
      <c r="I3675" s="7" t="str">
        <f ca="1">IFERROR(__xludf.DUMMYFUNCTION("IMPORTXML(E3675,""/html/body/main/div[3]/div[3]/div[2]/ul/li[5]/span[2]/span"")"),"Loading...")</f>
        <v>Loading...</v>
      </c>
      <c r="J3675" s="7" t="str">
        <f ca="1">IFERROR(__xludf.DUMMYFUNCTION("GOOGLEFINANCE(""NSE:""&amp;D3675,""marketcap"")"),"#N/A")</f>
        <v>#N/A</v>
      </c>
      <c r="K3675" s="7">
        <v>992.8</v>
      </c>
      <c r="L3675" s="8" t="str">
        <f ca="1">IFERROR(__xludf.DUMMYFUNCTION("GOOGLEFINANCE(""NSE:""&amp;D3675,""price"")"),"#N/A")</f>
        <v>#N/A</v>
      </c>
      <c r="M3675" s="9" t="e">
        <f t="shared" ca="1" si="72"/>
        <v>#VALUE!</v>
      </c>
      <c r="N3675" s="10" t="e">
        <f t="shared" ca="1" si="73"/>
        <v>#VALUE!</v>
      </c>
      <c r="O3675" s="7" t="str">
        <f ca="1">IFERROR(__xludf.DUMMYFUNCTION("GOOGLEFINANCE(""NSE:""&amp;D3675,""pe"")"),"#N/A")</f>
        <v>#N/A</v>
      </c>
      <c r="P3675" s="7" t="str">
        <f ca="1">IFERROR(__xludf.DUMMYFUNCTION("GOOGLEFINANCE(""NSE:""&amp;D3675,""EPS"")"),"#N/A")</f>
        <v>#N/A</v>
      </c>
      <c r="Q3675" s="7">
        <v>13.5</v>
      </c>
      <c r="R3675" s="7" t="str">
        <f ca="1">IFERROR(__xludf.DUMMYFUNCTION("IMPORTXML(E3675,""/html/body/main/div[3]/div[3]/div[2]/ul/li[7]/span[2]/span"")"),"Loading...")</f>
        <v>Loading...</v>
      </c>
      <c r="S3675" s="7" t="str">
        <f ca="1">IFERROR(__xludf.DUMMYFUNCTION("IMPORTXML(E3675,""/html/body/main/div[3]/div[3]/div[2]/ul/li[8]/span[2]/span"")"),"Loading...")</f>
        <v>Loading...</v>
      </c>
      <c r="T3675" s="4">
        <v>34.6</v>
      </c>
      <c r="U3675" s="4">
        <v>22.7</v>
      </c>
      <c r="V3675" s="4">
        <v>2.6</v>
      </c>
      <c r="W3675" s="4">
        <v>5.7</v>
      </c>
      <c r="X3675" s="4">
        <v>519.92999999999995</v>
      </c>
      <c r="Y3675" s="7" t="e">
        <f t="shared" ca="1" si="74"/>
        <v>#VALUE!</v>
      </c>
    </row>
    <row r="3676" spans="1:25" ht="15" x14ac:dyDescent="0.25">
      <c r="A3676" s="4">
        <v>3671</v>
      </c>
      <c r="C3676" s="41" t="s">
        <v>6030</v>
      </c>
      <c r="D3676" s="42"/>
      <c r="E3676" s="5" t="str">
        <f t="shared" si="70"/>
        <v>https://www.screener.in/company//consolidated/</v>
      </c>
      <c r="F3676" s="4">
        <v>443059</v>
      </c>
      <c r="G3676" s="4">
        <v>3832241897</v>
      </c>
      <c r="H3676" s="6" t="e">
        <f t="shared" ca="1" si="71"/>
        <v>#VALUE!</v>
      </c>
      <c r="I3676" s="7" t="str">
        <f ca="1">IFERROR(__xludf.DUMMYFUNCTION("IMPORTXML(E3676,""/html/body/main/div[3]/div[3]/div[2]/ul/li[5]/span[2]/span"")"),"Loading...")</f>
        <v>Loading...</v>
      </c>
      <c r="J3676" s="7" t="str">
        <f ca="1">IFERROR(__xludf.DUMMYFUNCTION("GOOGLEFINANCE(""NSE:""&amp;D3676,""marketcap"")"),"#N/A")</f>
        <v>#N/A</v>
      </c>
      <c r="K3676" s="7">
        <v>992.8</v>
      </c>
      <c r="L3676" s="8" t="str">
        <f ca="1">IFERROR(__xludf.DUMMYFUNCTION("GOOGLEFINANCE(""NSE:""&amp;D3676,""price"")"),"#N/A")</f>
        <v>#N/A</v>
      </c>
      <c r="M3676" s="9" t="e">
        <f t="shared" ca="1" si="72"/>
        <v>#VALUE!</v>
      </c>
      <c r="N3676" s="10" t="e">
        <f t="shared" ca="1" si="73"/>
        <v>#VALUE!</v>
      </c>
      <c r="O3676" s="7" t="str">
        <f ca="1">IFERROR(__xludf.DUMMYFUNCTION("GOOGLEFINANCE(""NSE:""&amp;D3676,""pe"")"),"#N/A")</f>
        <v>#N/A</v>
      </c>
      <c r="P3676" s="7" t="str">
        <f ca="1">IFERROR(__xludf.DUMMYFUNCTION("GOOGLEFINANCE(""NSE:""&amp;D3676,""EPS"")"),"#N/A")</f>
        <v>#N/A</v>
      </c>
      <c r="Q3676" s="7">
        <v>13.5</v>
      </c>
      <c r="R3676" s="7" t="str">
        <f ca="1">IFERROR(__xludf.DUMMYFUNCTION("IMPORTXML(E3676,""/html/body/main/div[3]/div[3]/div[2]/ul/li[7]/span[2]/span"")"),"Loading...")</f>
        <v>Loading...</v>
      </c>
      <c r="S3676" s="7" t="str">
        <f ca="1">IFERROR(__xludf.DUMMYFUNCTION("IMPORTXML(E3676,""/html/body/main/div[3]/div[3]/div[2]/ul/li[8]/span[2]/span"")"),"Loading...")</f>
        <v>Loading...</v>
      </c>
      <c r="T3676" s="4">
        <v>34.6</v>
      </c>
      <c r="U3676" s="4">
        <v>22.7</v>
      </c>
      <c r="V3676" s="4">
        <v>2.6</v>
      </c>
      <c r="W3676" s="4">
        <v>5.7</v>
      </c>
      <c r="X3676" s="4">
        <v>519.92999999999995</v>
      </c>
      <c r="Y3676" s="7" t="e">
        <f t="shared" ca="1" si="74"/>
        <v>#VALUE!</v>
      </c>
    </row>
    <row r="3677" spans="1:25" ht="15" x14ac:dyDescent="0.25">
      <c r="A3677" s="4">
        <v>3672</v>
      </c>
      <c r="C3677" s="41" t="s">
        <v>6031</v>
      </c>
      <c r="D3677" s="42"/>
      <c r="E3677" s="5" t="str">
        <f t="shared" si="70"/>
        <v>https://www.screener.in/company//consolidated/</v>
      </c>
      <c r="F3677" s="4">
        <v>443059</v>
      </c>
      <c r="G3677" s="4">
        <v>3832241897</v>
      </c>
      <c r="H3677" s="6" t="e">
        <f t="shared" ca="1" si="71"/>
        <v>#VALUE!</v>
      </c>
      <c r="I3677" s="7" t="str">
        <f ca="1">IFERROR(__xludf.DUMMYFUNCTION("IMPORTXML(E3677,""/html/body/main/div[3]/div[3]/div[2]/ul/li[5]/span[2]/span"")"),"Loading...")</f>
        <v>Loading...</v>
      </c>
      <c r="J3677" s="7" t="str">
        <f ca="1">IFERROR(__xludf.DUMMYFUNCTION("GOOGLEFINANCE(""NSE:""&amp;D3677,""marketcap"")"),"#N/A")</f>
        <v>#N/A</v>
      </c>
      <c r="K3677" s="7">
        <v>992.8</v>
      </c>
      <c r="L3677" s="8" t="str">
        <f ca="1">IFERROR(__xludf.DUMMYFUNCTION("GOOGLEFINANCE(""NSE:""&amp;D3677,""price"")"),"#N/A")</f>
        <v>#N/A</v>
      </c>
      <c r="M3677" s="9" t="e">
        <f t="shared" ca="1" si="72"/>
        <v>#VALUE!</v>
      </c>
      <c r="N3677" s="10" t="e">
        <f t="shared" ca="1" si="73"/>
        <v>#VALUE!</v>
      </c>
      <c r="O3677" s="7" t="str">
        <f ca="1">IFERROR(__xludf.DUMMYFUNCTION("GOOGLEFINANCE(""NSE:""&amp;D3677,""pe"")"),"#N/A")</f>
        <v>#N/A</v>
      </c>
      <c r="P3677" s="7" t="str">
        <f ca="1">IFERROR(__xludf.DUMMYFUNCTION("GOOGLEFINANCE(""NSE:""&amp;D3677,""EPS"")"),"#N/A")</f>
        <v>#N/A</v>
      </c>
      <c r="Q3677" s="7">
        <v>13.5</v>
      </c>
      <c r="R3677" s="7" t="str">
        <f ca="1">IFERROR(__xludf.DUMMYFUNCTION("IMPORTXML(E3677,""/html/body/main/div[3]/div[3]/div[2]/ul/li[7]/span[2]/span"")"),"Loading...")</f>
        <v>Loading...</v>
      </c>
      <c r="S3677" s="7" t="str">
        <f ca="1">IFERROR(__xludf.DUMMYFUNCTION("IMPORTXML(E3677,""/html/body/main/div[3]/div[3]/div[2]/ul/li[8]/span[2]/span"")"),"Loading...")</f>
        <v>Loading...</v>
      </c>
      <c r="T3677" s="4">
        <v>34.6</v>
      </c>
      <c r="U3677" s="4">
        <v>22.7</v>
      </c>
      <c r="V3677" s="4">
        <v>2.6</v>
      </c>
      <c r="W3677" s="4">
        <v>5.7</v>
      </c>
      <c r="X3677" s="4">
        <v>519.92999999999995</v>
      </c>
      <c r="Y3677" s="7" t="e">
        <f t="shared" ca="1" si="74"/>
        <v>#VALUE!</v>
      </c>
    </row>
    <row r="3678" spans="1:25" ht="15" x14ac:dyDescent="0.25">
      <c r="A3678" s="4">
        <v>3673</v>
      </c>
      <c r="C3678" s="41" t="s">
        <v>6032</v>
      </c>
      <c r="D3678" s="42"/>
      <c r="E3678" s="5" t="str">
        <f t="shared" si="70"/>
        <v>https://www.screener.in/company//consolidated/</v>
      </c>
      <c r="F3678" s="4">
        <v>443059</v>
      </c>
      <c r="G3678" s="4">
        <v>3832241897</v>
      </c>
      <c r="H3678" s="6" t="e">
        <f t="shared" ca="1" si="71"/>
        <v>#VALUE!</v>
      </c>
      <c r="I3678" s="7" t="str">
        <f ca="1">IFERROR(__xludf.DUMMYFUNCTION("IMPORTXML(E3678,""/html/body/main/div[3]/div[3]/div[2]/ul/li[5]/span[2]/span"")"),"Loading...")</f>
        <v>Loading...</v>
      </c>
      <c r="J3678" s="7" t="str">
        <f ca="1">IFERROR(__xludf.DUMMYFUNCTION("GOOGLEFINANCE(""NSE:""&amp;D3678,""marketcap"")"),"#N/A")</f>
        <v>#N/A</v>
      </c>
      <c r="K3678" s="7">
        <v>992.8</v>
      </c>
      <c r="L3678" s="8" t="str">
        <f ca="1">IFERROR(__xludf.DUMMYFUNCTION("GOOGLEFINANCE(""NSE:""&amp;D3678,""price"")"),"#N/A")</f>
        <v>#N/A</v>
      </c>
      <c r="M3678" s="9" t="e">
        <f t="shared" ca="1" si="72"/>
        <v>#VALUE!</v>
      </c>
      <c r="N3678" s="10" t="e">
        <f t="shared" ca="1" si="73"/>
        <v>#VALUE!</v>
      </c>
      <c r="O3678" s="7" t="str">
        <f ca="1">IFERROR(__xludf.DUMMYFUNCTION("GOOGLEFINANCE(""NSE:""&amp;D3678,""pe"")"),"#N/A")</f>
        <v>#N/A</v>
      </c>
      <c r="P3678" s="7" t="str">
        <f ca="1">IFERROR(__xludf.DUMMYFUNCTION("GOOGLEFINANCE(""NSE:""&amp;D3678,""EPS"")"),"#N/A")</f>
        <v>#N/A</v>
      </c>
      <c r="Q3678" s="7">
        <v>13.5</v>
      </c>
      <c r="R3678" s="7" t="str">
        <f ca="1">IFERROR(__xludf.DUMMYFUNCTION("IMPORTXML(E3678,""/html/body/main/div[3]/div[3]/div[2]/ul/li[7]/span[2]/span"")"),"Loading...")</f>
        <v>Loading...</v>
      </c>
      <c r="S3678" s="7" t="str">
        <f ca="1">IFERROR(__xludf.DUMMYFUNCTION("IMPORTXML(E3678,""/html/body/main/div[3]/div[3]/div[2]/ul/li[8]/span[2]/span"")"),"Loading...")</f>
        <v>Loading...</v>
      </c>
      <c r="T3678" s="4">
        <v>34.6</v>
      </c>
      <c r="U3678" s="4">
        <v>22.7</v>
      </c>
      <c r="V3678" s="4">
        <v>2.6</v>
      </c>
      <c r="W3678" s="4">
        <v>5.7</v>
      </c>
      <c r="X3678" s="4">
        <v>519.92999999999995</v>
      </c>
      <c r="Y3678" s="7" t="e">
        <f t="shared" ca="1" si="74"/>
        <v>#VALUE!</v>
      </c>
    </row>
    <row r="3679" spans="1:25" ht="15" x14ac:dyDescent="0.25">
      <c r="A3679" s="4">
        <v>3674</v>
      </c>
      <c r="C3679" s="41" t="s">
        <v>6033</v>
      </c>
      <c r="D3679" s="42"/>
      <c r="E3679" s="5" t="str">
        <f t="shared" si="70"/>
        <v>https://www.screener.in/company//consolidated/</v>
      </c>
      <c r="F3679" s="4">
        <v>443059</v>
      </c>
      <c r="G3679" s="4">
        <v>3832241897</v>
      </c>
      <c r="H3679" s="6" t="e">
        <f t="shared" ca="1" si="71"/>
        <v>#VALUE!</v>
      </c>
      <c r="I3679" s="7" t="str">
        <f ca="1">IFERROR(__xludf.DUMMYFUNCTION("IMPORTXML(E3679,""/html/body/main/div[3]/div[3]/div[2]/ul/li[5]/span[2]/span"")"),"Loading...")</f>
        <v>Loading...</v>
      </c>
      <c r="J3679" s="7" t="str">
        <f ca="1">IFERROR(__xludf.DUMMYFUNCTION("GOOGLEFINANCE(""NSE:""&amp;D3679,""marketcap"")"),"#N/A")</f>
        <v>#N/A</v>
      </c>
      <c r="K3679" s="7">
        <v>992.8</v>
      </c>
      <c r="L3679" s="8" t="str">
        <f ca="1">IFERROR(__xludf.DUMMYFUNCTION("GOOGLEFINANCE(""NSE:""&amp;D3679,""price"")"),"#N/A")</f>
        <v>#N/A</v>
      </c>
      <c r="M3679" s="9" t="e">
        <f t="shared" ca="1" si="72"/>
        <v>#VALUE!</v>
      </c>
      <c r="N3679" s="10" t="e">
        <f t="shared" ca="1" si="73"/>
        <v>#VALUE!</v>
      </c>
      <c r="O3679" s="7" t="str">
        <f ca="1">IFERROR(__xludf.DUMMYFUNCTION("GOOGLEFINANCE(""NSE:""&amp;D3679,""pe"")"),"#N/A")</f>
        <v>#N/A</v>
      </c>
      <c r="P3679" s="7" t="str">
        <f ca="1">IFERROR(__xludf.DUMMYFUNCTION("GOOGLEFINANCE(""NSE:""&amp;D3679,""EPS"")"),"#N/A")</f>
        <v>#N/A</v>
      </c>
      <c r="Q3679" s="7">
        <v>13.5</v>
      </c>
      <c r="R3679" s="7" t="str">
        <f ca="1">IFERROR(__xludf.DUMMYFUNCTION("IMPORTXML(E3679,""/html/body/main/div[3]/div[3]/div[2]/ul/li[7]/span[2]/span"")"),"Loading...")</f>
        <v>Loading...</v>
      </c>
      <c r="S3679" s="7" t="str">
        <f ca="1">IFERROR(__xludf.DUMMYFUNCTION("IMPORTXML(E3679,""/html/body/main/div[3]/div[3]/div[2]/ul/li[8]/span[2]/span"")"),"Loading...")</f>
        <v>Loading...</v>
      </c>
      <c r="T3679" s="4">
        <v>34.6</v>
      </c>
      <c r="U3679" s="4">
        <v>22.7</v>
      </c>
      <c r="V3679" s="4">
        <v>2.6</v>
      </c>
      <c r="W3679" s="4">
        <v>5.7</v>
      </c>
      <c r="X3679" s="4">
        <v>519.92999999999995</v>
      </c>
      <c r="Y3679" s="7" t="e">
        <f t="shared" ca="1" si="74"/>
        <v>#VALUE!</v>
      </c>
    </row>
    <row r="3680" spans="1:25" ht="15" x14ac:dyDescent="0.25">
      <c r="A3680" s="4">
        <v>3675</v>
      </c>
      <c r="C3680" s="41" t="s">
        <v>6034</v>
      </c>
      <c r="D3680" s="42"/>
      <c r="E3680" s="5" t="str">
        <f t="shared" si="70"/>
        <v>https://www.screener.in/company//consolidated/</v>
      </c>
      <c r="F3680" s="4">
        <v>443059</v>
      </c>
      <c r="G3680" s="4">
        <v>3832241897</v>
      </c>
      <c r="H3680" s="6" t="e">
        <f t="shared" ca="1" si="71"/>
        <v>#VALUE!</v>
      </c>
      <c r="I3680" s="7" t="str">
        <f ca="1">IFERROR(__xludf.DUMMYFUNCTION("IMPORTXML(E3680,""/html/body/main/div[3]/div[3]/div[2]/ul/li[5]/span[2]/span"")"),"Loading...")</f>
        <v>Loading...</v>
      </c>
      <c r="J3680" s="7" t="str">
        <f ca="1">IFERROR(__xludf.DUMMYFUNCTION("GOOGLEFINANCE(""NSE:""&amp;D3680,""marketcap"")"),"#N/A")</f>
        <v>#N/A</v>
      </c>
      <c r="K3680" s="7">
        <v>992.8</v>
      </c>
      <c r="L3680" s="8" t="str">
        <f ca="1">IFERROR(__xludf.DUMMYFUNCTION("GOOGLEFINANCE(""NSE:""&amp;D3680,""price"")"),"#N/A")</f>
        <v>#N/A</v>
      </c>
      <c r="M3680" s="9" t="e">
        <f t="shared" ca="1" si="72"/>
        <v>#VALUE!</v>
      </c>
      <c r="N3680" s="10" t="e">
        <f t="shared" ca="1" si="73"/>
        <v>#VALUE!</v>
      </c>
      <c r="O3680" s="7" t="str">
        <f ca="1">IFERROR(__xludf.DUMMYFUNCTION("GOOGLEFINANCE(""NSE:""&amp;D3680,""pe"")"),"#N/A")</f>
        <v>#N/A</v>
      </c>
      <c r="P3680" s="7" t="str">
        <f ca="1">IFERROR(__xludf.DUMMYFUNCTION("GOOGLEFINANCE(""NSE:""&amp;D3680,""EPS"")"),"#N/A")</f>
        <v>#N/A</v>
      </c>
      <c r="Q3680" s="7">
        <v>13.5</v>
      </c>
      <c r="R3680" s="7" t="str">
        <f ca="1">IFERROR(__xludf.DUMMYFUNCTION("IMPORTXML(E3680,""/html/body/main/div[3]/div[3]/div[2]/ul/li[7]/span[2]/span"")"),"Loading...")</f>
        <v>Loading...</v>
      </c>
      <c r="S3680" s="7" t="str">
        <f ca="1">IFERROR(__xludf.DUMMYFUNCTION("IMPORTXML(E3680,""/html/body/main/div[3]/div[3]/div[2]/ul/li[8]/span[2]/span"")"),"Loading...")</f>
        <v>Loading...</v>
      </c>
      <c r="T3680" s="4">
        <v>34.6</v>
      </c>
      <c r="U3680" s="4">
        <v>22.7</v>
      </c>
      <c r="V3680" s="4">
        <v>2.6</v>
      </c>
      <c r="W3680" s="4">
        <v>5.7</v>
      </c>
      <c r="X3680" s="4">
        <v>519.92999999999995</v>
      </c>
      <c r="Y3680" s="7" t="e">
        <f t="shared" ca="1" si="74"/>
        <v>#VALUE!</v>
      </c>
    </row>
    <row r="3681" spans="1:25" ht="15" x14ac:dyDescent="0.25">
      <c r="A3681" s="4">
        <v>3676</v>
      </c>
      <c r="C3681" s="41" t="s">
        <v>6035</v>
      </c>
      <c r="D3681" s="42"/>
      <c r="E3681" s="5" t="str">
        <f t="shared" si="70"/>
        <v>https://www.screener.in/company//consolidated/</v>
      </c>
      <c r="F3681" s="4">
        <v>443059</v>
      </c>
      <c r="G3681" s="4">
        <v>3832241897</v>
      </c>
      <c r="H3681" s="6" t="e">
        <f t="shared" ca="1" si="71"/>
        <v>#VALUE!</v>
      </c>
      <c r="I3681" s="7" t="str">
        <f ca="1">IFERROR(__xludf.DUMMYFUNCTION("IMPORTXML(E3681,""/html/body/main/div[3]/div[3]/div[2]/ul/li[5]/span[2]/span"")"),"Loading...")</f>
        <v>Loading...</v>
      </c>
      <c r="J3681" s="7" t="str">
        <f ca="1">IFERROR(__xludf.DUMMYFUNCTION("GOOGLEFINANCE(""NSE:""&amp;D3681,""marketcap"")"),"#N/A")</f>
        <v>#N/A</v>
      </c>
      <c r="K3681" s="7">
        <v>992.8</v>
      </c>
      <c r="L3681" s="8" t="str">
        <f ca="1">IFERROR(__xludf.DUMMYFUNCTION("GOOGLEFINANCE(""NSE:""&amp;D3681,""price"")"),"#N/A")</f>
        <v>#N/A</v>
      </c>
      <c r="M3681" s="9" t="e">
        <f t="shared" ca="1" si="72"/>
        <v>#VALUE!</v>
      </c>
      <c r="N3681" s="10" t="e">
        <f t="shared" ca="1" si="73"/>
        <v>#VALUE!</v>
      </c>
      <c r="O3681" s="7" t="str">
        <f ca="1">IFERROR(__xludf.DUMMYFUNCTION("GOOGLEFINANCE(""NSE:""&amp;D3681,""pe"")"),"#N/A")</f>
        <v>#N/A</v>
      </c>
      <c r="P3681" s="7" t="str">
        <f ca="1">IFERROR(__xludf.DUMMYFUNCTION("GOOGLEFINANCE(""NSE:""&amp;D3681,""EPS"")"),"#N/A")</f>
        <v>#N/A</v>
      </c>
      <c r="Q3681" s="7">
        <v>13.5</v>
      </c>
      <c r="R3681" s="7" t="str">
        <f ca="1">IFERROR(__xludf.DUMMYFUNCTION("IMPORTXML(E3681,""/html/body/main/div[3]/div[3]/div[2]/ul/li[7]/span[2]/span"")"),"Loading...")</f>
        <v>Loading...</v>
      </c>
      <c r="S3681" s="7" t="str">
        <f ca="1">IFERROR(__xludf.DUMMYFUNCTION("IMPORTXML(E3681,""/html/body/main/div[3]/div[3]/div[2]/ul/li[8]/span[2]/span"")"),"Loading...")</f>
        <v>Loading...</v>
      </c>
      <c r="T3681" s="4">
        <v>34.6</v>
      </c>
      <c r="U3681" s="4">
        <v>22.7</v>
      </c>
      <c r="V3681" s="4">
        <v>2.6</v>
      </c>
      <c r="W3681" s="4">
        <v>5.7</v>
      </c>
      <c r="X3681" s="4">
        <v>519.92999999999995</v>
      </c>
      <c r="Y3681" s="7" t="e">
        <f t="shared" ca="1" si="74"/>
        <v>#VALUE!</v>
      </c>
    </row>
    <row r="3682" spans="1:25" ht="15" x14ac:dyDescent="0.25">
      <c r="A3682" s="4">
        <v>3677</v>
      </c>
      <c r="C3682" s="41" t="s">
        <v>6036</v>
      </c>
      <c r="D3682" s="42"/>
      <c r="E3682" s="5" t="str">
        <f t="shared" si="70"/>
        <v>https://www.screener.in/company//consolidated/</v>
      </c>
      <c r="F3682" s="4">
        <v>443059</v>
      </c>
      <c r="G3682" s="4">
        <v>3832241897</v>
      </c>
      <c r="H3682" s="6" t="e">
        <f t="shared" ca="1" si="71"/>
        <v>#VALUE!</v>
      </c>
      <c r="I3682" s="7" t="str">
        <f ca="1">IFERROR(__xludf.DUMMYFUNCTION("IMPORTXML(E3682,""/html/body/main/div[3]/div[3]/div[2]/ul/li[5]/span[2]/span"")"),"Loading...")</f>
        <v>Loading...</v>
      </c>
      <c r="J3682" s="7" t="str">
        <f ca="1">IFERROR(__xludf.DUMMYFUNCTION("GOOGLEFINANCE(""NSE:""&amp;D3682,""marketcap"")"),"#N/A")</f>
        <v>#N/A</v>
      </c>
      <c r="K3682" s="7">
        <v>992.8</v>
      </c>
      <c r="L3682" s="8" t="str">
        <f ca="1">IFERROR(__xludf.DUMMYFUNCTION("GOOGLEFINANCE(""NSE:""&amp;D3682,""price"")"),"#N/A")</f>
        <v>#N/A</v>
      </c>
      <c r="M3682" s="9" t="e">
        <f t="shared" ca="1" si="72"/>
        <v>#VALUE!</v>
      </c>
      <c r="N3682" s="10" t="e">
        <f t="shared" ca="1" si="73"/>
        <v>#VALUE!</v>
      </c>
      <c r="O3682" s="7" t="str">
        <f ca="1">IFERROR(__xludf.DUMMYFUNCTION("GOOGLEFINANCE(""NSE:""&amp;D3682,""pe"")"),"#N/A")</f>
        <v>#N/A</v>
      </c>
      <c r="P3682" s="7" t="str">
        <f ca="1">IFERROR(__xludf.DUMMYFUNCTION("GOOGLEFINANCE(""NSE:""&amp;D3682,""EPS"")"),"#N/A")</f>
        <v>#N/A</v>
      </c>
      <c r="Q3682" s="7">
        <v>13.5</v>
      </c>
      <c r="R3682" s="7" t="str">
        <f ca="1">IFERROR(__xludf.DUMMYFUNCTION("IMPORTXML(E3682,""/html/body/main/div[3]/div[3]/div[2]/ul/li[7]/span[2]/span"")"),"Loading...")</f>
        <v>Loading...</v>
      </c>
      <c r="S3682" s="7" t="str">
        <f ca="1">IFERROR(__xludf.DUMMYFUNCTION("IMPORTXML(E3682,""/html/body/main/div[3]/div[3]/div[2]/ul/li[8]/span[2]/span"")"),"Loading...")</f>
        <v>Loading...</v>
      </c>
      <c r="T3682" s="4">
        <v>34.6</v>
      </c>
      <c r="U3682" s="4">
        <v>22.7</v>
      </c>
      <c r="V3682" s="4">
        <v>2.6</v>
      </c>
      <c r="W3682" s="4">
        <v>5.7</v>
      </c>
      <c r="X3682" s="4">
        <v>519.92999999999995</v>
      </c>
      <c r="Y3682" s="7" t="e">
        <f t="shared" ca="1" si="74"/>
        <v>#VALUE!</v>
      </c>
    </row>
    <row r="3683" spans="1:25" ht="15" x14ac:dyDescent="0.25">
      <c r="A3683" s="4">
        <v>3678</v>
      </c>
      <c r="C3683" s="12" t="s">
        <v>6037</v>
      </c>
      <c r="D3683" s="12" t="s">
        <v>6038</v>
      </c>
      <c r="E3683" s="5" t="str">
        <f t="shared" si="70"/>
        <v>https://www.screener.in/company/TCIFINANCE/consolidated/</v>
      </c>
      <c r="F3683" s="4">
        <v>443059</v>
      </c>
      <c r="G3683" s="4">
        <v>3832241897</v>
      </c>
      <c r="H3683" s="6">
        <f t="shared" ca="1" si="71"/>
        <v>5081.5527554219998</v>
      </c>
      <c r="I3683" s="7" t="str">
        <f ca="1">IFERROR(__xludf.DUMMYFUNCTION("IMPORTXML(E3683,""/html/body/main/div[3]/div[3]/div[2]/ul/li[5]/span[2]/span"")"),"Loading...")</f>
        <v>Loading...</v>
      </c>
      <c r="J3683" s="7">
        <f ca="1">IFERROR(__xludf.DUMMYFUNCTION("GOOGLEFINANCE(""NSE:""&amp;D3683,""marketcap"")"),170689220)</f>
        <v>170689220</v>
      </c>
      <c r="K3683" s="7">
        <v>992.8</v>
      </c>
      <c r="L3683" s="8">
        <f ca="1">IFERROR(__xludf.DUMMYFUNCTION("GOOGLEFINANCE(""NSE:""&amp;D3683,""price"")"),13.26)</f>
        <v>13.26</v>
      </c>
      <c r="M3683" s="9">
        <f t="shared" ca="1" si="72"/>
        <v>-979.54</v>
      </c>
      <c r="N3683" s="10">
        <f t="shared" ca="1" si="73"/>
        <v>-98.664383561643831</v>
      </c>
      <c r="O3683" s="7">
        <f ca="1">IFERROR(__xludf.DUMMYFUNCTION("GOOGLEFINANCE(""NSE:""&amp;D3683,""pe"")"),4.65)</f>
        <v>4.6500000000000004</v>
      </c>
      <c r="P3683" s="7">
        <f ca="1">IFERROR(__xludf.DUMMYFUNCTION("GOOGLEFINANCE(""NSE:""&amp;D3683,""EPS"")"),2.85)</f>
        <v>2.85</v>
      </c>
      <c r="Q3683" s="7">
        <v>13.5</v>
      </c>
      <c r="R3683" s="7" t="str">
        <f ca="1">IFERROR(__xludf.DUMMYFUNCTION("IMPORTXML(E3683,""/html/body/main/div[3]/div[3]/div[2]/ul/li[7]/span[2]/span"")"),"Loading...")</f>
        <v>Loading...</v>
      </c>
      <c r="S3683" s="7" t="str">
        <f ca="1">IFERROR(__xludf.DUMMYFUNCTION("IMPORTXML(E3683,""/html/body/main/div[3]/div[3]/div[2]/ul/li[8]/span[2]/span"")"),"Loading...")</f>
        <v>Loading...</v>
      </c>
      <c r="T3683" s="4">
        <v>34.6</v>
      </c>
      <c r="U3683" s="4">
        <v>22.7</v>
      </c>
      <c r="V3683" s="4">
        <v>2.6</v>
      </c>
      <c r="W3683" s="4">
        <v>5.7</v>
      </c>
      <c r="X3683" s="4">
        <v>519.92999999999995</v>
      </c>
      <c r="Y3683" s="7">
        <f t="shared" ca="1" si="74"/>
        <v>-506.66999999999996</v>
      </c>
    </row>
    <row r="3684" spans="1:25" ht="15" x14ac:dyDescent="0.25">
      <c r="A3684" s="4">
        <v>3679</v>
      </c>
      <c r="C3684" s="41" t="s">
        <v>6039</v>
      </c>
      <c r="D3684" s="42"/>
      <c r="E3684" s="5" t="str">
        <f t="shared" si="70"/>
        <v>https://www.screener.in/company//consolidated/</v>
      </c>
      <c r="F3684" s="4">
        <v>443059</v>
      </c>
      <c r="G3684" s="4">
        <v>3832241897</v>
      </c>
      <c r="H3684" s="6" t="e">
        <f t="shared" ca="1" si="71"/>
        <v>#VALUE!</v>
      </c>
      <c r="I3684" s="7" t="str">
        <f ca="1">IFERROR(__xludf.DUMMYFUNCTION("IMPORTXML(E3684,""/html/body/main/div[3]/div[3]/div[2]/ul/li[5]/span[2]/span"")"),"Loading...")</f>
        <v>Loading...</v>
      </c>
      <c r="J3684" s="7" t="str">
        <f ca="1">IFERROR(__xludf.DUMMYFUNCTION("GOOGLEFINANCE(""NSE:""&amp;D3684,""marketcap"")"),"#N/A")</f>
        <v>#N/A</v>
      </c>
      <c r="K3684" s="7">
        <v>992.8</v>
      </c>
      <c r="L3684" s="8" t="str">
        <f ca="1">IFERROR(__xludf.DUMMYFUNCTION("GOOGLEFINANCE(""NSE:""&amp;D3684,""price"")"),"#N/A")</f>
        <v>#N/A</v>
      </c>
      <c r="M3684" s="9" t="e">
        <f t="shared" ca="1" si="72"/>
        <v>#VALUE!</v>
      </c>
      <c r="N3684" s="10" t="e">
        <f t="shared" ca="1" si="73"/>
        <v>#VALUE!</v>
      </c>
      <c r="O3684" s="7" t="str">
        <f ca="1">IFERROR(__xludf.DUMMYFUNCTION("GOOGLEFINANCE(""NSE:""&amp;D3684,""pe"")"),"#N/A")</f>
        <v>#N/A</v>
      </c>
      <c r="P3684" s="7" t="str">
        <f ca="1">IFERROR(__xludf.DUMMYFUNCTION("GOOGLEFINANCE(""NSE:""&amp;D3684,""EPS"")"),"#N/A")</f>
        <v>#N/A</v>
      </c>
      <c r="Q3684" s="7">
        <v>13.5</v>
      </c>
      <c r="R3684" s="7" t="str">
        <f ca="1">IFERROR(__xludf.DUMMYFUNCTION("IMPORTXML(E3684,""/html/body/main/div[3]/div[3]/div[2]/ul/li[7]/span[2]/span"")"),"Loading...")</f>
        <v>Loading...</v>
      </c>
      <c r="S3684" s="7" t="str">
        <f ca="1">IFERROR(__xludf.DUMMYFUNCTION("IMPORTXML(E3684,""/html/body/main/div[3]/div[3]/div[2]/ul/li[8]/span[2]/span"")"),"Loading...")</f>
        <v>Loading...</v>
      </c>
      <c r="T3684" s="4">
        <v>34.6</v>
      </c>
      <c r="U3684" s="4">
        <v>22.7</v>
      </c>
      <c r="V3684" s="4">
        <v>2.6</v>
      </c>
      <c r="W3684" s="4">
        <v>5.7</v>
      </c>
      <c r="X3684" s="4">
        <v>519.92999999999995</v>
      </c>
      <c r="Y3684" s="7" t="e">
        <f t="shared" ca="1" si="74"/>
        <v>#VALUE!</v>
      </c>
    </row>
    <row r="3685" spans="1:25" ht="15" x14ac:dyDescent="0.25">
      <c r="A3685" s="4">
        <v>3680</v>
      </c>
      <c r="C3685" s="41" t="s">
        <v>6040</v>
      </c>
      <c r="D3685" s="42"/>
      <c r="E3685" s="5" t="str">
        <f t="shared" si="70"/>
        <v>https://www.screener.in/company//consolidated/</v>
      </c>
      <c r="F3685" s="4">
        <v>443059</v>
      </c>
      <c r="G3685" s="4">
        <v>3832241897</v>
      </c>
      <c r="H3685" s="6" t="e">
        <f t="shared" ca="1" si="71"/>
        <v>#VALUE!</v>
      </c>
      <c r="I3685" s="7" t="str">
        <f ca="1">IFERROR(__xludf.DUMMYFUNCTION("IMPORTXML(E3685,""/html/body/main/div[3]/div[3]/div[2]/ul/li[5]/span[2]/span"")"),"Loading...")</f>
        <v>Loading...</v>
      </c>
      <c r="J3685" s="7" t="str">
        <f ca="1">IFERROR(__xludf.DUMMYFUNCTION("GOOGLEFINANCE(""NSE:""&amp;D3685,""marketcap"")"),"#N/A")</f>
        <v>#N/A</v>
      </c>
      <c r="K3685" s="7">
        <v>992.8</v>
      </c>
      <c r="L3685" s="8" t="str">
        <f ca="1">IFERROR(__xludf.DUMMYFUNCTION("GOOGLEFINANCE(""NSE:""&amp;D3685,""price"")"),"#N/A")</f>
        <v>#N/A</v>
      </c>
      <c r="M3685" s="9" t="e">
        <f t="shared" ca="1" si="72"/>
        <v>#VALUE!</v>
      </c>
      <c r="N3685" s="10" t="e">
        <f t="shared" ca="1" si="73"/>
        <v>#VALUE!</v>
      </c>
      <c r="O3685" s="7" t="str">
        <f ca="1">IFERROR(__xludf.DUMMYFUNCTION("GOOGLEFINANCE(""NSE:""&amp;D3685,""pe"")"),"#N/A")</f>
        <v>#N/A</v>
      </c>
      <c r="P3685" s="7" t="str">
        <f ca="1">IFERROR(__xludf.DUMMYFUNCTION("GOOGLEFINANCE(""NSE:""&amp;D3685,""EPS"")"),"#N/A")</f>
        <v>#N/A</v>
      </c>
      <c r="Q3685" s="7">
        <v>13.5</v>
      </c>
      <c r="R3685" s="7" t="str">
        <f ca="1">IFERROR(__xludf.DUMMYFUNCTION("IMPORTXML(E3685,""/html/body/main/div[3]/div[3]/div[2]/ul/li[7]/span[2]/span"")"),"Loading...")</f>
        <v>Loading...</v>
      </c>
      <c r="S3685" s="7" t="str">
        <f ca="1">IFERROR(__xludf.DUMMYFUNCTION("IMPORTXML(E3685,""/html/body/main/div[3]/div[3]/div[2]/ul/li[8]/span[2]/span"")"),"Loading...")</f>
        <v>Loading...</v>
      </c>
      <c r="T3685" s="4">
        <v>34.6</v>
      </c>
      <c r="U3685" s="4">
        <v>22.7</v>
      </c>
      <c r="V3685" s="4">
        <v>2.6</v>
      </c>
      <c r="W3685" s="4">
        <v>5.7</v>
      </c>
      <c r="X3685" s="4">
        <v>519.92999999999995</v>
      </c>
      <c r="Y3685" s="7" t="e">
        <f t="shared" ca="1" si="74"/>
        <v>#VALUE!</v>
      </c>
    </row>
    <row r="3686" spans="1:25" ht="15" x14ac:dyDescent="0.25">
      <c r="A3686" s="4">
        <v>3681</v>
      </c>
      <c r="C3686" s="12" t="s">
        <v>6041</v>
      </c>
      <c r="D3686" s="12" t="s">
        <v>6042</v>
      </c>
      <c r="E3686" s="5" t="str">
        <f t="shared" si="70"/>
        <v>https://www.screener.in/company/SHANTI/consolidated/</v>
      </c>
      <c r="F3686" s="4">
        <v>443059</v>
      </c>
      <c r="G3686" s="4">
        <v>3832241897</v>
      </c>
      <c r="H3686" s="6">
        <f t="shared" ca="1" si="71"/>
        <v>3747.9325752659997</v>
      </c>
      <c r="I3686" s="7" t="str">
        <f ca="1">IFERROR(__xludf.DUMMYFUNCTION("IMPORTXML(E3686,""/html/body/main/div[3]/div[3]/div[2]/ul/li[5]/span[2]/span"")"),"Loading...")</f>
        <v>Loading...</v>
      </c>
      <c r="J3686" s="7">
        <f ca="1">IFERROR(__xludf.DUMMYFUNCTION("GOOGLEFINANCE(""NSE:""&amp;D3686,""marketcap"")"),108616677)</f>
        <v>108616677</v>
      </c>
      <c r="K3686" s="7">
        <v>992.8</v>
      </c>
      <c r="L3686" s="8">
        <f ca="1">IFERROR(__xludf.DUMMYFUNCTION("GOOGLEFINANCE(""NSE:""&amp;D3686,""price"")"),9.78)</f>
        <v>9.7799999999999994</v>
      </c>
      <c r="M3686" s="9">
        <f t="shared" ca="1" si="72"/>
        <v>-983.02</v>
      </c>
      <c r="N3686" s="10">
        <f t="shared" ca="1" si="73"/>
        <v>-99.014907332796128</v>
      </c>
      <c r="O3686" s="7" t="str">
        <f ca="1">IFERROR(__xludf.DUMMYFUNCTION("GOOGLEFINANCE(""NSE:""&amp;D3686,""pe"")"),"#N/A")</f>
        <v>#N/A</v>
      </c>
      <c r="P3686" s="7">
        <f ca="1">IFERROR(__xludf.DUMMYFUNCTION("GOOGLEFINANCE(""NSE:""&amp;D3686,""EPS"")"),-2.11)</f>
        <v>-2.11</v>
      </c>
      <c r="Q3686" s="7">
        <v>13.5</v>
      </c>
      <c r="R3686" s="7" t="str">
        <f ca="1">IFERROR(__xludf.DUMMYFUNCTION("IMPORTXML(E3686,""/html/body/main/div[3]/div[3]/div[2]/ul/li[7]/span[2]/span"")"),"Loading...")</f>
        <v>Loading...</v>
      </c>
      <c r="S3686" s="7" t="str">
        <f ca="1">IFERROR(__xludf.DUMMYFUNCTION("IMPORTXML(E3686,""/html/body/main/div[3]/div[3]/div[2]/ul/li[8]/span[2]/span"")"),"Loading...")</f>
        <v>Loading...</v>
      </c>
      <c r="T3686" s="4">
        <v>34.6</v>
      </c>
      <c r="U3686" s="4">
        <v>22.7</v>
      </c>
      <c r="V3686" s="4">
        <v>2.6</v>
      </c>
      <c r="W3686" s="4">
        <v>5.7</v>
      </c>
      <c r="X3686" s="4">
        <v>519.92999999999995</v>
      </c>
      <c r="Y3686" s="7">
        <f t="shared" ca="1" si="74"/>
        <v>-510.15</v>
      </c>
    </row>
    <row r="3687" spans="1:25" ht="15" x14ac:dyDescent="0.25">
      <c r="A3687" s="4">
        <v>3682</v>
      </c>
      <c r="C3687" s="41" t="s">
        <v>6043</v>
      </c>
      <c r="D3687" s="42"/>
      <c r="E3687" s="5" t="str">
        <f t="shared" si="70"/>
        <v>https://www.screener.in/company//consolidated/</v>
      </c>
      <c r="F3687" s="4">
        <v>443059</v>
      </c>
      <c r="G3687" s="4">
        <v>3832241897</v>
      </c>
      <c r="H3687" s="6" t="e">
        <f t="shared" ca="1" si="71"/>
        <v>#VALUE!</v>
      </c>
      <c r="I3687" s="7" t="str">
        <f ca="1">IFERROR(__xludf.DUMMYFUNCTION("IMPORTXML(E3687,""/html/body/main/div[3]/div[3]/div[2]/ul/li[5]/span[2]/span"")"),"Loading...")</f>
        <v>Loading...</v>
      </c>
      <c r="J3687" s="7" t="str">
        <f ca="1">IFERROR(__xludf.DUMMYFUNCTION("GOOGLEFINANCE(""NSE:""&amp;D3687,""marketcap"")"),"#N/A")</f>
        <v>#N/A</v>
      </c>
      <c r="K3687" s="7">
        <v>992.8</v>
      </c>
      <c r="L3687" s="8" t="str">
        <f ca="1">IFERROR(__xludf.DUMMYFUNCTION("GOOGLEFINANCE(""NSE:""&amp;D3687,""price"")"),"#N/A")</f>
        <v>#N/A</v>
      </c>
      <c r="M3687" s="9" t="e">
        <f t="shared" ca="1" si="72"/>
        <v>#VALUE!</v>
      </c>
      <c r="N3687" s="10" t="e">
        <f t="shared" ca="1" si="73"/>
        <v>#VALUE!</v>
      </c>
      <c r="O3687" s="7" t="str">
        <f ca="1">IFERROR(__xludf.DUMMYFUNCTION("GOOGLEFINANCE(""NSE:""&amp;D3687,""pe"")"),"#N/A")</f>
        <v>#N/A</v>
      </c>
      <c r="P3687" s="7" t="str">
        <f ca="1">IFERROR(__xludf.DUMMYFUNCTION("GOOGLEFINANCE(""NSE:""&amp;D3687,""EPS"")"),"#N/A")</f>
        <v>#N/A</v>
      </c>
      <c r="Q3687" s="7">
        <v>13.5</v>
      </c>
      <c r="R3687" s="7" t="str">
        <f ca="1">IFERROR(__xludf.DUMMYFUNCTION("IMPORTXML(E3687,""/html/body/main/div[3]/div[3]/div[2]/ul/li[7]/span[2]/span"")"),"Loading...")</f>
        <v>Loading...</v>
      </c>
      <c r="S3687" s="7" t="str">
        <f ca="1">IFERROR(__xludf.DUMMYFUNCTION("IMPORTXML(E3687,""/html/body/main/div[3]/div[3]/div[2]/ul/li[8]/span[2]/span"")"),"Loading...")</f>
        <v>Loading...</v>
      </c>
      <c r="T3687" s="4">
        <v>34.6</v>
      </c>
      <c r="U3687" s="4">
        <v>22.7</v>
      </c>
      <c r="V3687" s="4">
        <v>2.6</v>
      </c>
      <c r="W3687" s="4">
        <v>5.7</v>
      </c>
      <c r="X3687" s="4">
        <v>519.92999999999995</v>
      </c>
      <c r="Y3687" s="7" t="e">
        <f t="shared" ca="1" si="74"/>
        <v>#VALUE!</v>
      </c>
    </row>
    <row r="3688" spans="1:25" ht="15" x14ac:dyDescent="0.25">
      <c r="A3688" s="4">
        <v>3683</v>
      </c>
      <c r="C3688" s="41" t="s">
        <v>6044</v>
      </c>
      <c r="D3688" s="42"/>
      <c r="E3688" s="5" t="str">
        <f t="shared" si="70"/>
        <v>https://www.screener.in/company//consolidated/</v>
      </c>
      <c r="F3688" s="4">
        <v>443059</v>
      </c>
      <c r="G3688" s="4">
        <v>3832241897</v>
      </c>
      <c r="H3688" s="6" t="e">
        <f t="shared" ca="1" si="71"/>
        <v>#VALUE!</v>
      </c>
      <c r="I3688" s="7" t="str">
        <f ca="1">IFERROR(__xludf.DUMMYFUNCTION("IMPORTXML(E3688,""/html/body/main/div[3]/div[3]/div[2]/ul/li[5]/span[2]/span"")"),"Loading...")</f>
        <v>Loading...</v>
      </c>
      <c r="J3688" s="7" t="str">
        <f ca="1">IFERROR(__xludf.DUMMYFUNCTION("GOOGLEFINANCE(""NSE:""&amp;D3688,""marketcap"")"),"#N/A")</f>
        <v>#N/A</v>
      </c>
      <c r="K3688" s="7">
        <v>992.8</v>
      </c>
      <c r="L3688" s="8" t="str">
        <f ca="1">IFERROR(__xludf.DUMMYFUNCTION("GOOGLEFINANCE(""NSE:""&amp;D3688,""price"")"),"#N/A")</f>
        <v>#N/A</v>
      </c>
      <c r="M3688" s="9" t="e">
        <f t="shared" ca="1" si="72"/>
        <v>#VALUE!</v>
      </c>
      <c r="N3688" s="10" t="e">
        <f t="shared" ca="1" si="73"/>
        <v>#VALUE!</v>
      </c>
      <c r="O3688" s="7" t="str">
        <f ca="1">IFERROR(__xludf.DUMMYFUNCTION("GOOGLEFINANCE(""NSE:""&amp;D3688,""pe"")"),"#N/A")</f>
        <v>#N/A</v>
      </c>
      <c r="P3688" s="7" t="str">
        <f ca="1">IFERROR(__xludf.DUMMYFUNCTION("GOOGLEFINANCE(""NSE:""&amp;D3688,""EPS"")"),"#N/A")</f>
        <v>#N/A</v>
      </c>
      <c r="Q3688" s="7">
        <v>13.5</v>
      </c>
      <c r="R3688" s="7" t="str">
        <f ca="1">IFERROR(__xludf.DUMMYFUNCTION("IMPORTXML(E3688,""/html/body/main/div[3]/div[3]/div[2]/ul/li[7]/span[2]/span"")"),"Loading...")</f>
        <v>Loading...</v>
      </c>
      <c r="S3688" s="7" t="str">
        <f ca="1">IFERROR(__xludf.DUMMYFUNCTION("IMPORTXML(E3688,""/html/body/main/div[3]/div[3]/div[2]/ul/li[8]/span[2]/span"")"),"Loading...")</f>
        <v>Loading...</v>
      </c>
      <c r="T3688" s="4">
        <v>34.6</v>
      </c>
      <c r="U3688" s="4">
        <v>22.7</v>
      </c>
      <c r="V3688" s="4">
        <v>2.6</v>
      </c>
      <c r="W3688" s="4">
        <v>5.7</v>
      </c>
      <c r="X3688" s="4">
        <v>519.92999999999995</v>
      </c>
      <c r="Y3688" s="7" t="e">
        <f t="shared" ca="1" si="74"/>
        <v>#VALUE!</v>
      </c>
    </row>
    <row r="3689" spans="1:25" ht="15" x14ac:dyDescent="0.25">
      <c r="A3689" s="4">
        <v>3684</v>
      </c>
      <c r="C3689" s="41" t="s">
        <v>6045</v>
      </c>
      <c r="D3689" s="42"/>
      <c r="E3689" s="5" t="str">
        <f t="shared" si="70"/>
        <v>https://www.screener.in/company//consolidated/</v>
      </c>
      <c r="F3689" s="4">
        <v>443059</v>
      </c>
      <c r="G3689" s="4">
        <v>3832241897</v>
      </c>
      <c r="H3689" s="6" t="e">
        <f t="shared" ca="1" si="71"/>
        <v>#VALUE!</v>
      </c>
      <c r="I3689" s="7" t="str">
        <f ca="1">IFERROR(__xludf.DUMMYFUNCTION("IMPORTXML(E3689,""/html/body/main/div[3]/div[3]/div[2]/ul/li[5]/span[2]/span"")"),"Loading...")</f>
        <v>Loading...</v>
      </c>
      <c r="J3689" s="7" t="str">
        <f ca="1">IFERROR(__xludf.DUMMYFUNCTION("GOOGLEFINANCE(""NSE:""&amp;D3689,""marketcap"")"),"#N/A")</f>
        <v>#N/A</v>
      </c>
      <c r="K3689" s="7">
        <v>992.8</v>
      </c>
      <c r="L3689" s="8" t="str">
        <f ca="1">IFERROR(__xludf.DUMMYFUNCTION("GOOGLEFINANCE(""NSE:""&amp;D3689,""price"")"),"#N/A")</f>
        <v>#N/A</v>
      </c>
      <c r="M3689" s="9" t="e">
        <f t="shared" ca="1" si="72"/>
        <v>#VALUE!</v>
      </c>
      <c r="N3689" s="10" t="e">
        <f t="shared" ca="1" si="73"/>
        <v>#VALUE!</v>
      </c>
      <c r="O3689" s="7" t="str">
        <f ca="1">IFERROR(__xludf.DUMMYFUNCTION("GOOGLEFINANCE(""NSE:""&amp;D3689,""pe"")"),"#N/A")</f>
        <v>#N/A</v>
      </c>
      <c r="P3689" s="7" t="str">
        <f ca="1">IFERROR(__xludf.DUMMYFUNCTION("GOOGLEFINANCE(""NSE:""&amp;D3689,""EPS"")"),"#N/A")</f>
        <v>#N/A</v>
      </c>
      <c r="Q3689" s="7">
        <v>13.5</v>
      </c>
      <c r="R3689" s="7" t="str">
        <f ca="1">IFERROR(__xludf.DUMMYFUNCTION("IMPORTXML(E3689,""/html/body/main/div[3]/div[3]/div[2]/ul/li[7]/span[2]/span"")"),"Loading...")</f>
        <v>Loading...</v>
      </c>
      <c r="S3689" s="7" t="str">
        <f ca="1">IFERROR(__xludf.DUMMYFUNCTION("IMPORTXML(E3689,""/html/body/main/div[3]/div[3]/div[2]/ul/li[8]/span[2]/span"")"),"Loading...")</f>
        <v>Loading...</v>
      </c>
      <c r="T3689" s="4">
        <v>34.6</v>
      </c>
      <c r="U3689" s="4">
        <v>22.7</v>
      </c>
      <c r="V3689" s="4">
        <v>2.6</v>
      </c>
      <c r="W3689" s="4">
        <v>5.7</v>
      </c>
      <c r="X3689" s="4">
        <v>519.92999999999995</v>
      </c>
      <c r="Y3689" s="7" t="e">
        <f t="shared" ca="1" si="74"/>
        <v>#VALUE!</v>
      </c>
    </row>
    <row r="3690" spans="1:25" ht="15" x14ac:dyDescent="0.25">
      <c r="A3690" s="4">
        <v>3685</v>
      </c>
      <c r="C3690" s="41" t="s">
        <v>6046</v>
      </c>
      <c r="D3690" s="42"/>
      <c r="E3690" s="5" t="str">
        <f t="shared" si="70"/>
        <v>https://www.screener.in/company//consolidated/</v>
      </c>
      <c r="F3690" s="4">
        <v>443059</v>
      </c>
      <c r="G3690" s="4">
        <v>3832241897</v>
      </c>
      <c r="H3690" s="6" t="e">
        <f t="shared" ca="1" si="71"/>
        <v>#VALUE!</v>
      </c>
      <c r="I3690" s="7" t="str">
        <f ca="1">IFERROR(__xludf.DUMMYFUNCTION("IMPORTXML(E3690,""/html/body/main/div[3]/div[3]/div[2]/ul/li[5]/span[2]/span"")"),"Loading...")</f>
        <v>Loading...</v>
      </c>
      <c r="J3690" s="7" t="str">
        <f ca="1">IFERROR(__xludf.DUMMYFUNCTION("GOOGLEFINANCE(""NSE:""&amp;D3690,""marketcap"")"),"#N/A")</f>
        <v>#N/A</v>
      </c>
      <c r="K3690" s="7">
        <v>992.8</v>
      </c>
      <c r="L3690" s="8" t="str">
        <f ca="1">IFERROR(__xludf.DUMMYFUNCTION("GOOGLEFINANCE(""NSE:""&amp;D3690,""price"")"),"#N/A")</f>
        <v>#N/A</v>
      </c>
      <c r="M3690" s="9" t="e">
        <f t="shared" ca="1" si="72"/>
        <v>#VALUE!</v>
      </c>
      <c r="N3690" s="10" t="e">
        <f t="shared" ca="1" si="73"/>
        <v>#VALUE!</v>
      </c>
      <c r="O3690" s="7" t="str">
        <f ca="1">IFERROR(__xludf.DUMMYFUNCTION("GOOGLEFINANCE(""NSE:""&amp;D3690,""pe"")"),"#N/A")</f>
        <v>#N/A</v>
      </c>
      <c r="P3690" s="7" t="str">
        <f ca="1">IFERROR(__xludf.DUMMYFUNCTION("GOOGLEFINANCE(""NSE:""&amp;D3690,""EPS"")"),"#N/A")</f>
        <v>#N/A</v>
      </c>
      <c r="Q3690" s="7">
        <v>13.5</v>
      </c>
      <c r="R3690" s="7" t="str">
        <f ca="1">IFERROR(__xludf.DUMMYFUNCTION("IMPORTXML(E3690,""/html/body/main/div[3]/div[3]/div[2]/ul/li[7]/span[2]/span"")"),"Loading...")</f>
        <v>Loading...</v>
      </c>
      <c r="S3690" s="7" t="str">
        <f ca="1">IFERROR(__xludf.DUMMYFUNCTION("IMPORTXML(E3690,""/html/body/main/div[3]/div[3]/div[2]/ul/li[8]/span[2]/span"")"),"Loading...")</f>
        <v>Loading...</v>
      </c>
      <c r="T3690" s="4">
        <v>34.6</v>
      </c>
      <c r="U3690" s="4">
        <v>22.7</v>
      </c>
      <c r="V3690" s="4">
        <v>2.6</v>
      </c>
      <c r="W3690" s="4">
        <v>5.7</v>
      </c>
      <c r="X3690" s="4">
        <v>519.92999999999995</v>
      </c>
      <c r="Y3690" s="7" t="e">
        <f t="shared" ca="1" si="74"/>
        <v>#VALUE!</v>
      </c>
    </row>
    <row r="3691" spans="1:25" ht="15" x14ac:dyDescent="0.25">
      <c r="A3691" s="4">
        <v>3686</v>
      </c>
      <c r="C3691" s="41" t="s">
        <v>6047</v>
      </c>
      <c r="D3691" s="42"/>
      <c r="E3691" s="5" t="str">
        <f t="shared" si="70"/>
        <v>https://www.screener.in/company//consolidated/</v>
      </c>
      <c r="F3691" s="4">
        <v>443059</v>
      </c>
      <c r="G3691" s="4">
        <v>3832241897</v>
      </c>
      <c r="H3691" s="6" t="e">
        <f t="shared" ca="1" si="71"/>
        <v>#VALUE!</v>
      </c>
      <c r="I3691" s="7" t="str">
        <f ca="1">IFERROR(__xludf.DUMMYFUNCTION("IMPORTXML(E3691,""/html/body/main/div[3]/div[3]/div[2]/ul/li[5]/span[2]/span"")"),"Loading...")</f>
        <v>Loading...</v>
      </c>
      <c r="J3691" s="7" t="str">
        <f ca="1">IFERROR(__xludf.DUMMYFUNCTION("GOOGLEFINANCE(""NSE:""&amp;D3691,""marketcap"")"),"#N/A")</f>
        <v>#N/A</v>
      </c>
      <c r="K3691" s="7">
        <v>992.8</v>
      </c>
      <c r="L3691" s="8" t="str">
        <f ca="1">IFERROR(__xludf.DUMMYFUNCTION("GOOGLEFINANCE(""NSE:""&amp;D3691,""price"")"),"#N/A")</f>
        <v>#N/A</v>
      </c>
      <c r="M3691" s="9" t="e">
        <f t="shared" ca="1" si="72"/>
        <v>#VALUE!</v>
      </c>
      <c r="N3691" s="10" t="e">
        <f t="shared" ca="1" si="73"/>
        <v>#VALUE!</v>
      </c>
      <c r="O3691" s="7" t="str">
        <f ca="1">IFERROR(__xludf.DUMMYFUNCTION("GOOGLEFINANCE(""NSE:""&amp;D3691,""pe"")"),"#N/A")</f>
        <v>#N/A</v>
      </c>
      <c r="P3691" s="7" t="str">
        <f ca="1">IFERROR(__xludf.DUMMYFUNCTION("GOOGLEFINANCE(""NSE:""&amp;D3691,""EPS"")"),"#N/A")</f>
        <v>#N/A</v>
      </c>
      <c r="Q3691" s="7">
        <v>13.5</v>
      </c>
      <c r="R3691" s="7" t="str">
        <f ca="1">IFERROR(__xludf.DUMMYFUNCTION("IMPORTXML(E3691,""/html/body/main/div[3]/div[3]/div[2]/ul/li[7]/span[2]/span"")"),"Loading...")</f>
        <v>Loading...</v>
      </c>
      <c r="S3691" s="7" t="str">
        <f ca="1">IFERROR(__xludf.DUMMYFUNCTION("IMPORTXML(E3691,""/html/body/main/div[3]/div[3]/div[2]/ul/li[8]/span[2]/span"")"),"Loading...")</f>
        <v>Loading...</v>
      </c>
      <c r="T3691" s="4">
        <v>34.6</v>
      </c>
      <c r="U3691" s="4">
        <v>22.7</v>
      </c>
      <c r="V3691" s="4">
        <v>2.6</v>
      </c>
      <c r="W3691" s="4">
        <v>5.7</v>
      </c>
      <c r="X3691" s="4">
        <v>519.92999999999995</v>
      </c>
      <c r="Y3691" s="7" t="e">
        <f t="shared" ca="1" si="74"/>
        <v>#VALUE!</v>
      </c>
    </row>
    <row r="3692" spans="1:25" ht="15" x14ac:dyDescent="0.25">
      <c r="A3692" s="4">
        <v>3687</v>
      </c>
      <c r="C3692" s="41" t="s">
        <v>6048</v>
      </c>
      <c r="D3692" s="42"/>
      <c r="E3692" s="5" t="str">
        <f t="shared" si="70"/>
        <v>https://www.screener.in/company//consolidated/</v>
      </c>
      <c r="F3692" s="4">
        <v>443059</v>
      </c>
      <c r="G3692" s="4">
        <v>3832241897</v>
      </c>
      <c r="H3692" s="6" t="e">
        <f t="shared" ca="1" si="71"/>
        <v>#VALUE!</v>
      </c>
      <c r="I3692" s="7" t="str">
        <f ca="1">IFERROR(__xludf.DUMMYFUNCTION("IMPORTXML(E3692,""/html/body/main/div[3]/div[3]/div[2]/ul/li[5]/span[2]/span"")"),"Loading...")</f>
        <v>Loading...</v>
      </c>
      <c r="J3692" s="7" t="str">
        <f ca="1">IFERROR(__xludf.DUMMYFUNCTION("GOOGLEFINANCE(""NSE:""&amp;D3692,""marketcap"")"),"#N/A")</f>
        <v>#N/A</v>
      </c>
      <c r="K3692" s="7">
        <v>992.8</v>
      </c>
      <c r="L3692" s="8" t="str">
        <f ca="1">IFERROR(__xludf.DUMMYFUNCTION("GOOGLEFINANCE(""NSE:""&amp;D3692,""price"")"),"#N/A")</f>
        <v>#N/A</v>
      </c>
      <c r="M3692" s="9" t="e">
        <f t="shared" ca="1" si="72"/>
        <v>#VALUE!</v>
      </c>
      <c r="N3692" s="10" t="e">
        <f t="shared" ca="1" si="73"/>
        <v>#VALUE!</v>
      </c>
      <c r="O3692" s="7" t="str">
        <f ca="1">IFERROR(__xludf.DUMMYFUNCTION("GOOGLEFINANCE(""NSE:""&amp;D3692,""pe"")"),"#N/A")</f>
        <v>#N/A</v>
      </c>
      <c r="P3692" s="7" t="str">
        <f ca="1">IFERROR(__xludf.DUMMYFUNCTION("GOOGLEFINANCE(""NSE:""&amp;D3692,""EPS"")"),"#N/A")</f>
        <v>#N/A</v>
      </c>
      <c r="Q3692" s="7">
        <v>13.5</v>
      </c>
      <c r="R3692" s="7" t="str">
        <f ca="1">IFERROR(__xludf.DUMMYFUNCTION("IMPORTXML(E3692,""/html/body/main/div[3]/div[3]/div[2]/ul/li[7]/span[2]/span"")"),"Loading...")</f>
        <v>Loading...</v>
      </c>
      <c r="S3692" s="7" t="str">
        <f ca="1">IFERROR(__xludf.DUMMYFUNCTION("IMPORTXML(E3692,""/html/body/main/div[3]/div[3]/div[2]/ul/li[8]/span[2]/span"")"),"Loading...")</f>
        <v>Loading...</v>
      </c>
      <c r="T3692" s="4">
        <v>34.6</v>
      </c>
      <c r="U3692" s="4">
        <v>22.7</v>
      </c>
      <c r="V3692" s="4">
        <v>2.6</v>
      </c>
      <c r="W3692" s="4">
        <v>5.7</v>
      </c>
      <c r="X3692" s="4">
        <v>519.92999999999995</v>
      </c>
      <c r="Y3692" s="7" t="e">
        <f t="shared" ca="1" si="74"/>
        <v>#VALUE!</v>
      </c>
    </row>
    <row r="3693" spans="1:25" ht="15" x14ac:dyDescent="0.25">
      <c r="A3693" s="4">
        <v>3688</v>
      </c>
      <c r="C3693" s="41" t="s">
        <v>6049</v>
      </c>
      <c r="D3693" s="42"/>
      <c r="E3693" s="5" t="str">
        <f t="shared" si="70"/>
        <v>https://www.screener.in/company//consolidated/</v>
      </c>
      <c r="F3693" s="4">
        <v>443059</v>
      </c>
      <c r="G3693" s="4">
        <v>3832241897</v>
      </c>
      <c r="H3693" s="6" t="e">
        <f t="shared" ca="1" si="71"/>
        <v>#VALUE!</v>
      </c>
      <c r="I3693" s="7" t="str">
        <f ca="1">IFERROR(__xludf.DUMMYFUNCTION("IMPORTXML(E3693,""/html/body/main/div[3]/div[3]/div[2]/ul/li[5]/span[2]/span"")"),"Loading...")</f>
        <v>Loading...</v>
      </c>
      <c r="J3693" s="7" t="str">
        <f ca="1">IFERROR(__xludf.DUMMYFUNCTION("GOOGLEFINANCE(""NSE:""&amp;D3693,""marketcap"")"),"#N/A")</f>
        <v>#N/A</v>
      </c>
      <c r="K3693" s="7">
        <v>992.8</v>
      </c>
      <c r="L3693" s="8" t="str">
        <f ca="1">IFERROR(__xludf.DUMMYFUNCTION("GOOGLEFINANCE(""NSE:""&amp;D3693,""price"")"),"#N/A")</f>
        <v>#N/A</v>
      </c>
      <c r="M3693" s="9" t="e">
        <f t="shared" ca="1" si="72"/>
        <v>#VALUE!</v>
      </c>
      <c r="N3693" s="10" t="e">
        <f t="shared" ca="1" si="73"/>
        <v>#VALUE!</v>
      </c>
      <c r="O3693" s="7" t="str">
        <f ca="1">IFERROR(__xludf.DUMMYFUNCTION("GOOGLEFINANCE(""NSE:""&amp;D3693,""pe"")"),"#N/A")</f>
        <v>#N/A</v>
      </c>
      <c r="P3693" s="7" t="str">
        <f ca="1">IFERROR(__xludf.DUMMYFUNCTION("GOOGLEFINANCE(""NSE:""&amp;D3693,""EPS"")"),"#N/A")</f>
        <v>#N/A</v>
      </c>
      <c r="Q3693" s="7">
        <v>13.5</v>
      </c>
      <c r="R3693" s="7" t="str">
        <f ca="1">IFERROR(__xludf.DUMMYFUNCTION("IMPORTXML(E3693,""/html/body/main/div[3]/div[3]/div[2]/ul/li[7]/span[2]/span"")"),"Loading...")</f>
        <v>Loading...</v>
      </c>
      <c r="S3693" s="7" t="str">
        <f ca="1">IFERROR(__xludf.DUMMYFUNCTION("IMPORTXML(E3693,""/html/body/main/div[3]/div[3]/div[2]/ul/li[8]/span[2]/span"")"),"Loading...")</f>
        <v>Loading...</v>
      </c>
      <c r="T3693" s="4">
        <v>34.6</v>
      </c>
      <c r="U3693" s="4">
        <v>22.7</v>
      </c>
      <c r="V3693" s="4">
        <v>2.6</v>
      </c>
      <c r="W3693" s="4">
        <v>5.7</v>
      </c>
      <c r="X3693" s="4">
        <v>519.92999999999995</v>
      </c>
      <c r="Y3693" s="7" t="e">
        <f t="shared" ca="1" si="74"/>
        <v>#VALUE!</v>
      </c>
    </row>
    <row r="3694" spans="1:25" ht="15" x14ac:dyDescent="0.25">
      <c r="A3694" s="4">
        <v>3689</v>
      </c>
      <c r="C3694" s="41" t="s">
        <v>6050</v>
      </c>
      <c r="D3694" s="42"/>
      <c r="E3694" s="5" t="str">
        <f t="shared" si="70"/>
        <v>https://www.screener.in/company//consolidated/</v>
      </c>
      <c r="F3694" s="4">
        <v>443059</v>
      </c>
      <c r="G3694" s="4">
        <v>3832241897</v>
      </c>
      <c r="H3694" s="6" t="e">
        <f t="shared" ca="1" si="71"/>
        <v>#VALUE!</v>
      </c>
      <c r="I3694" s="7" t="str">
        <f ca="1">IFERROR(__xludf.DUMMYFUNCTION("IMPORTXML(E3694,""/html/body/main/div[3]/div[3]/div[2]/ul/li[5]/span[2]/span"")"),"Loading...")</f>
        <v>Loading...</v>
      </c>
      <c r="J3694" s="7" t="str">
        <f ca="1">IFERROR(__xludf.DUMMYFUNCTION("GOOGLEFINANCE(""NSE:""&amp;D3694,""marketcap"")"),"#N/A")</f>
        <v>#N/A</v>
      </c>
      <c r="K3694" s="7">
        <v>992.8</v>
      </c>
      <c r="L3694" s="8" t="str">
        <f ca="1">IFERROR(__xludf.DUMMYFUNCTION("GOOGLEFINANCE(""NSE:""&amp;D3694,""price"")"),"#N/A")</f>
        <v>#N/A</v>
      </c>
      <c r="M3694" s="9" t="e">
        <f t="shared" ca="1" si="72"/>
        <v>#VALUE!</v>
      </c>
      <c r="N3694" s="10" t="e">
        <f t="shared" ca="1" si="73"/>
        <v>#VALUE!</v>
      </c>
      <c r="O3694" s="7" t="str">
        <f ca="1">IFERROR(__xludf.DUMMYFUNCTION("GOOGLEFINANCE(""NSE:""&amp;D3694,""pe"")"),"#N/A")</f>
        <v>#N/A</v>
      </c>
      <c r="P3694" s="7" t="str">
        <f ca="1">IFERROR(__xludf.DUMMYFUNCTION("GOOGLEFINANCE(""NSE:""&amp;D3694,""EPS"")"),"#N/A")</f>
        <v>#N/A</v>
      </c>
      <c r="Q3694" s="7">
        <v>13.5</v>
      </c>
      <c r="R3694" s="7" t="str">
        <f ca="1">IFERROR(__xludf.DUMMYFUNCTION("IMPORTXML(E3694,""/html/body/main/div[3]/div[3]/div[2]/ul/li[7]/span[2]/span"")"),"Loading...")</f>
        <v>Loading...</v>
      </c>
      <c r="S3694" s="7" t="str">
        <f ca="1">IFERROR(__xludf.DUMMYFUNCTION("IMPORTXML(E3694,""/html/body/main/div[3]/div[3]/div[2]/ul/li[8]/span[2]/span"")"),"Loading...")</f>
        <v>Loading...</v>
      </c>
      <c r="T3694" s="4">
        <v>34.6</v>
      </c>
      <c r="U3694" s="4">
        <v>22.7</v>
      </c>
      <c r="V3694" s="4">
        <v>2.6</v>
      </c>
      <c r="W3694" s="4">
        <v>5.7</v>
      </c>
      <c r="X3694" s="4">
        <v>519.92999999999995</v>
      </c>
      <c r="Y3694" s="7" t="e">
        <f t="shared" ca="1" si="74"/>
        <v>#VALUE!</v>
      </c>
    </row>
    <row r="3695" spans="1:25" ht="15" x14ac:dyDescent="0.25">
      <c r="A3695" s="4">
        <v>3690</v>
      </c>
      <c r="C3695" s="41" t="s">
        <v>6051</v>
      </c>
      <c r="D3695" s="42"/>
      <c r="E3695" s="5" t="str">
        <f t="shared" si="70"/>
        <v>https://www.screener.in/company//consolidated/</v>
      </c>
      <c r="F3695" s="4">
        <v>443059</v>
      </c>
      <c r="G3695" s="4">
        <v>3832241897</v>
      </c>
      <c r="H3695" s="6" t="e">
        <f t="shared" ca="1" si="71"/>
        <v>#VALUE!</v>
      </c>
      <c r="I3695" s="7" t="str">
        <f ca="1">IFERROR(__xludf.DUMMYFUNCTION("IMPORTXML(E3695,""/html/body/main/div[3]/div[3]/div[2]/ul/li[5]/span[2]/span"")"),"Loading...")</f>
        <v>Loading...</v>
      </c>
      <c r="J3695" s="7" t="str">
        <f ca="1">IFERROR(__xludf.DUMMYFUNCTION("GOOGLEFINANCE(""NSE:""&amp;D3695,""marketcap"")"),"#N/A")</f>
        <v>#N/A</v>
      </c>
      <c r="K3695" s="7">
        <v>992.8</v>
      </c>
      <c r="L3695" s="8" t="str">
        <f ca="1">IFERROR(__xludf.DUMMYFUNCTION("GOOGLEFINANCE(""NSE:""&amp;D3695,""price"")"),"#N/A")</f>
        <v>#N/A</v>
      </c>
      <c r="M3695" s="9" t="e">
        <f t="shared" ca="1" si="72"/>
        <v>#VALUE!</v>
      </c>
      <c r="N3695" s="10" t="e">
        <f t="shared" ca="1" si="73"/>
        <v>#VALUE!</v>
      </c>
      <c r="O3695" s="7" t="str">
        <f ca="1">IFERROR(__xludf.DUMMYFUNCTION("GOOGLEFINANCE(""NSE:""&amp;D3695,""pe"")"),"#N/A")</f>
        <v>#N/A</v>
      </c>
      <c r="P3695" s="7" t="str">
        <f ca="1">IFERROR(__xludf.DUMMYFUNCTION("GOOGLEFINANCE(""NSE:""&amp;D3695,""EPS"")"),"#N/A")</f>
        <v>#N/A</v>
      </c>
      <c r="Q3695" s="7">
        <v>13.5</v>
      </c>
      <c r="R3695" s="7" t="str">
        <f ca="1">IFERROR(__xludf.DUMMYFUNCTION("IMPORTXML(E3695,""/html/body/main/div[3]/div[3]/div[2]/ul/li[7]/span[2]/span"")"),"Loading...")</f>
        <v>Loading...</v>
      </c>
      <c r="S3695" s="7" t="str">
        <f ca="1">IFERROR(__xludf.DUMMYFUNCTION("IMPORTXML(E3695,""/html/body/main/div[3]/div[3]/div[2]/ul/li[8]/span[2]/span"")"),"Loading...")</f>
        <v>Loading...</v>
      </c>
      <c r="T3695" s="4">
        <v>34.6</v>
      </c>
      <c r="U3695" s="4">
        <v>22.7</v>
      </c>
      <c r="V3695" s="4">
        <v>2.6</v>
      </c>
      <c r="W3695" s="4">
        <v>5.7</v>
      </c>
      <c r="X3695" s="4">
        <v>519.92999999999995</v>
      </c>
      <c r="Y3695" s="7" t="e">
        <f t="shared" ca="1" si="74"/>
        <v>#VALUE!</v>
      </c>
    </row>
    <row r="3696" spans="1:25" ht="15" x14ac:dyDescent="0.25">
      <c r="A3696" s="4">
        <v>3691</v>
      </c>
      <c r="C3696" s="41" t="s">
        <v>6052</v>
      </c>
      <c r="D3696" s="42"/>
      <c r="E3696" s="5" t="str">
        <f t="shared" si="70"/>
        <v>https://www.screener.in/company//consolidated/</v>
      </c>
      <c r="F3696" s="4">
        <v>443059</v>
      </c>
      <c r="G3696" s="4">
        <v>3832241897</v>
      </c>
      <c r="H3696" s="6" t="e">
        <f t="shared" ca="1" si="71"/>
        <v>#VALUE!</v>
      </c>
      <c r="I3696" s="7" t="str">
        <f ca="1">IFERROR(__xludf.DUMMYFUNCTION("IMPORTXML(E3696,""/html/body/main/div[3]/div[3]/div[2]/ul/li[5]/span[2]/span"")"),"Loading...")</f>
        <v>Loading...</v>
      </c>
      <c r="J3696" s="7" t="str">
        <f ca="1">IFERROR(__xludf.DUMMYFUNCTION("GOOGLEFINANCE(""NSE:""&amp;D3696,""marketcap"")"),"#N/A")</f>
        <v>#N/A</v>
      </c>
      <c r="K3696" s="7">
        <v>992.8</v>
      </c>
      <c r="L3696" s="8" t="str">
        <f ca="1">IFERROR(__xludf.DUMMYFUNCTION("GOOGLEFINANCE(""NSE:""&amp;D3696,""price"")"),"#N/A")</f>
        <v>#N/A</v>
      </c>
      <c r="M3696" s="9" t="e">
        <f t="shared" ca="1" si="72"/>
        <v>#VALUE!</v>
      </c>
      <c r="N3696" s="10" t="e">
        <f t="shared" ca="1" si="73"/>
        <v>#VALUE!</v>
      </c>
      <c r="O3696" s="7" t="str">
        <f ca="1">IFERROR(__xludf.DUMMYFUNCTION("GOOGLEFINANCE(""NSE:""&amp;D3696,""pe"")"),"#N/A")</f>
        <v>#N/A</v>
      </c>
      <c r="P3696" s="7" t="str">
        <f ca="1">IFERROR(__xludf.DUMMYFUNCTION("GOOGLEFINANCE(""NSE:""&amp;D3696,""EPS"")"),"#N/A")</f>
        <v>#N/A</v>
      </c>
      <c r="Q3696" s="7">
        <v>13.5</v>
      </c>
      <c r="R3696" s="7" t="str">
        <f ca="1">IFERROR(__xludf.DUMMYFUNCTION("IMPORTXML(E3696,""/html/body/main/div[3]/div[3]/div[2]/ul/li[7]/span[2]/span"")"),"Loading...")</f>
        <v>Loading...</v>
      </c>
      <c r="S3696" s="7" t="str">
        <f ca="1">IFERROR(__xludf.DUMMYFUNCTION("IMPORTXML(E3696,""/html/body/main/div[3]/div[3]/div[2]/ul/li[8]/span[2]/span"")"),"Loading...")</f>
        <v>Loading...</v>
      </c>
      <c r="T3696" s="4">
        <v>34.6</v>
      </c>
      <c r="U3696" s="4">
        <v>22.7</v>
      </c>
      <c r="V3696" s="4">
        <v>2.6</v>
      </c>
      <c r="W3696" s="4">
        <v>5.7</v>
      </c>
      <c r="X3696" s="4">
        <v>519.92999999999995</v>
      </c>
      <c r="Y3696" s="7" t="e">
        <f t="shared" ca="1" si="74"/>
        <v>#VALUE!</v>
      </c>
    </row>
    <row r="3697" spans="1:25" ht="15" x14ac:dyDescent="0.25">
      <c r="A3697" s="4">
        <v>3692</v>
      </c>
      <c r="C3697" s="41" t="s">
        <v>6053</v>
      </c>
      <c r="D3697" s="42"/>
      <c r="E3697" s="5" t="str">
        <f t="shared" si="70"/>
        <v>https://www.screener.in/company//consolidated/</v>
      </c>
      <c r="F3697" s="4">
        <v>443059</v>
      </c>
      <c r="G3697" s="4">
        <v>3832241897</v>
      </c>
      <c r="H3697" s="6" t="e">
        <f t="shared" ca="1" si="71"/>
        <v>#VALUE!</v>
      </c>
      <c r="I3697" s="7" t="str">
        <f ca="1">IFERROR(__xludf.DUMMYFUNCTION("IMPORTXML(E3697,""/html/body/main/div[3]/div[3]/div[2]/ul/li[5]/span[2]/span"")"),"Loading...")</f>
        <v>Loading...</v>
      </c>
      <c r="J3697" s="7" t="str">
        <f ca="1">IFERROR(__xludf.DUMMYFUNCTION("GOOGLEFINANCE(""NSE:""&amp;D3697,""marketcap"")"),"#N/A")</f>
        <v>#N/A</v>
      </c>
      <c r="K3697" s="7">
        <v>992.8</v>
      </c>
      <c r="L3697" s="8" t="str">
        <f ca="1">IFERROR(__xludf.DUMMYFUNCTION("GOOGLEFINANCE(""NSE:""&amp;D3697,""price"")"),"#N/A")</f>
        <v>#N/A</v>
      </c>
      <c r="M3697" s="9" t="e">
        <f t="shared" ca="1" si="72"/>
        <v>#VALUE!</v>
      </c>
      <c r="N3697" s="10" t="e">
        <f t="shared" ca="1" si="73"/>
        <v>#VALUE!</v>
      </c>
      <c r="O3697" s="7" t="str">
        <f ca="1">IFERROR(__xludf.DUMMYFUNCTION("GOOGLEFINANCE(""NSE:""&amp;D3697,""pe"")"),"#N/A")</f>
        <v>#N/A</v>
      </c>
      <c r="P3697" s="7" t="str">
        <f ca="1">IFERROR(__xludf.DUMMYFUNCTION("GOOGLEFINANCE(""NSE:""&amp;D3697,""EPS"")"),"#N/A")</f>
        <v>#N/A</v>
      </c>
      <c r="Q3697" s="7">
        <v>13.5</v>
      </c>
      <c r="R3697" s="7" t="str">
        <f ca="1">IFERROR(__xludf.DUMMYFUNCTION("IMPORTXML(E3697,""/html/body/main/div[3]/div[3]/div[2]/ul/li[7]/span[2]/span"")"),"Loading...")</f>
        <v>Loading...</v>
      </c>
      <c r="S3697" s="7" t="str">
        <f ca="1">IFERROR(__xludf.DUMMYFUNCTION("IMPORTXML(E3697,""/html/body/main/div[3]/div[3]/div[2]/ul/li[8]/span[2]/span"")"),"Loading...")</f>
        <v>Loading...</v>
      </c>
      <c r="T3697" s="4">
        <v>34.6</v>
      </c>
      <c r="U3697" s="4">
        <v>22.7</v>
      </c>
      <c r="V3697" s="4">
        <v>2.6</v>
      </c>
      <c r="W3697" s="4">
        <v>5.7</v>
      </c>
      <c r="X3697" s="4">
        <v>519.92999999999995</v>
      </c>
      <c r="Y3697" s="7" t="e">
        <f t="shared" ca="1" si="74"/>
        <v>#VALUE!</v>
      </c>
    </row>
    <row r="3698" spans="1:25" ht="15" x14ac:dyDescent="0.25">
      <c r="A3698" s="4">
        <v>3693</v>
      </c>
      <c r="C3698" s="41" t="s">
        <v>6054</v>
      </c>
      <c r="D3698" s="42"/>
      <c r="E3698" s="5" t="str">
        <f t="shared" si="70"/>
        <v>https://www.screener.in/company//consolidated/</v>
      </c>
      <c r="F3698" s="4">
        <v>443059</v>
      </c>
      <c r="G3698" s="4">
        <v>3832241897</v>
      </c>
      <c r="H3698" s="6" t="e">
        <f t="shared" ca="1" si="71"/>
        <v>#VALUE!</v>
      </c>
      <c r="I3698" s="7" t="str">
        <f ca="1">IFERROR(__xludf.DUMMYFUNCTION("IMPORTXML(E3698,""/html/body/main/div[3]/div[3]/div[2]/ul/li[5]/span[2]/span"")"),"Loading...")</f>
        <v>Loading...</v>
      </c>
      <c r="J3698" s="7" t="str">
        <f ca="1">IFERROR(__xludf.DUMMYFUNCTION("GOOGLEFINANCE(""NSE:""&amp;D3698,""marketcap"")"),"#N/A")</f>
        <v>#N/A</v>
      </c>
      <c r="K3698" s="7">
        <v>992.8</v>
      </c>
      <c r="L3698" s="8" t="str">
        <f ca="1">IFERROR(__xludf.DUMMYFUNCTION("GOOGLEFINANCE(""NSE:""&amp;D3698,""price"")"),"#N/A")</f>
        <v>#N/A</v>
      </c>
      <c r="M3698" s="9" t="e">
        <f t="shared" ca="1" si="72"/>
        <v>#VALUE!</v>
      </c>
      <c r="N3698" s="10" t="e">
        <f t="shared" ca="1" si="73"/>
        <v>#VALUE!</v>
      </c>
      <c r="O3698" s="7" t="str">
        <f ca="1">IFERROR(__xludf.DUMMYFUNCTION("GOOGLEFINANCE(""NSE:""&amp;D3698,""pe"")"),"#N/A")</f>
        <v>#N/A</v>
      </c>
      <c r="P3698" s="7" t="str">
        <f ca="1">IFERROR(__xludf.DUMMYFUNCTION("GOOGLEFINANCE(""NSE:""&amp;D3698,""EPS"")"),"#N/A")</f>
        <v>#N/A</v>
      </c>
      <c r="Q3698" s="7">
        <v>13.5</v>
      </c>
      <c r="R3698" s="7" t="str">
        <f ca="1">IFERROR(__xludf.DUMMYFUNCTION("IMPORTXML(E3698,""/html/body/main/div[3]/div[3]/div[2]/ul/li[7]/span[2]/span"")"),"Loading...")</f>
        <v>Loading...</v>
      </c>
      <c r="S3698" s="7" t="str">
        <f ca="1">IFERROR(__xludf.DUMMYFUNCTION("IMPORTXML(E3698,""/html/body/main/div[3]/div[3]/div[2]/ul/li[8]/span[2]/span"")"),"Loading...")</f>
        <v>Loading...</v>
      </c>
      <c r="T3698" s="4">
        <v>34.6</v>
      </c>
      <c r="U3698" s="4">
        <v>22.7</v>
      </c>
      <c r="V3698" s="4">
        <v>2.6</v>
      </c>
      <c r="W3698" s="4">
        <v>5.7</v>
      </c>
      <c r="X3698" s="4">
        <v>519.92999999999995</v>
      </c>
      <c r="Y3698" s="7" t="e">
        <f t="shared" ca="1" si="74"/>
        <v>#VALUE!</v>
      </c>
    </row>
    <row r="3699" spans="1:25" ht="15" x14ac:dyDescent="0.25">
      <c r="A3699" s="4">
        <v>3694</v>
      </c>
      <c r="C3699" s="41" t="s">
        <v>6055</v>
      </c>
      <c r="D3699" s="42"/>
      <c r="E3699" s="5" t="str">
        <f t="shared" si="70"/>
        <v>https://www.screener.in/company//consolidated/</v>
      </c>
      <c r="F3699" s="4">
        <v>443059</v>
      </c>
      <c r="G3699" s="4">
        <v>3832241897</v>
      </c>
      <c r="H3699" s="6" t="e">
        <f t="shared" ca="1" si="71"/>
        <v>#VALUE!</v>
      </c>
      <c r="I3699" s="7" t="str">
        <f ca="1">IFERROR(__xludf.DUMMYFUNCTION("IMPORTXML(E3699,""/html/body/main/div[3]/div[3]/div[2]/ul/li[5]/span[2]/span"")"),"Loading...")</f>
        <v>Loading...</v>
      </c>
      <c r="J3699" s="7" t="str">
        <f ca="1">IFERROR(__xludf.DUMMYFUNCTION("GOOGLEFINANCE(""NSE:""&amp;D3699,""marketcap"")"),"#N/A")</f>
        <v>#N/A</v>
      </c>
      <c r="K3699" s="7">
        <v>992.8</v>
      </c>
      <c r="L3699" s="8" t="str">
        <f ca="1">IFERROR(__xludf.DUMMYFUNCTION("GOOGLEFINANCE(""NSE:""&amp;D3699,""price"")"),"#N/A")</f>
        <v>#N/A</v>
      </c>
      <c r="M3699" s="9" t="e">
        <f t="shared" ca="1" si="72"/>
        <v>#VALUE!</v>
      </c>
      <c r="N3699" s="10" t="e">
        <f t="shared" ca="1" si="73"/>
        <v>#VALUE!</v>
      </c>
      <c r="O3699" s="7" t="str">
        <f ca="1">IFERROR(__xludf.DUMMYFUNCTION("GOOGLEFINANCE(""NSE:""&amp;D3699,""pe"")"),"#N/A")</f>
        <v>#N/A</v>
      </c>
      <c r="P3699" s="7" t="str">
        <f ca="1">IFERROR(__xludf.DUMMYFUNCTION("GOOGLEFINANCE(""NSE:""&amp;D3699,""EPS"")"),"#N/A")</f>
        <v>#N/A</v>
      </c>
      <c r="Q3699" s="7">
        <v>13.5</v>
      </c>
      <c r="R3699" s="7" t="str">
        <f ca="1">IFERROR(__xludf.DUMMYFUNCTION("IMPORTXML(E3699,""/html/body/main/div[3]/div[3]/div[2]/ul/li[7]/span[2]/span"")"),"Loading...")</f>
        <v>Loading...</v>
      </c>
      <c r="S3699" s="7" t="str">
        <f ca="1">IFERROR(__xludf.DUMMYFUNCTION("IMPORTXML(E3699,""/html/body/main/div[3]/div[3]/div[2]/ul/li[8]/span[2]/span"")"),"Loading...")</f>
        <v>Loading...</v>
      </c>
      <c r="T3699" s="4">
        <v>34.6</v>
      </c>
      <c r="U3699" s="4">
        <v>22.7</v>
      </c>
      <c r="V3699" s="4">
        <v>2.6</v>
      </c>
      <c r="W3699" s="4">
        <v>5.7</v>
      </c>
      <c r="X3699" s="4">
        <v>519.92999999999995</v>
      </c>
      <c r="Y3699" s="7" t="e">
        <f t="shared" ca="1" si="74"/>
        <v>#VALUE!</v>
      </c>
    </row>
    <row r="3700" spans="1:25" ht="15" x14ac:dyDescent="0.25">
      <c r="A3700" s="4">
        <v>3695</v>
      </c>
      <c r="C3700" s="41" t="s">
        <v>6056</v>
      </c>
      <c r="D3700" s="42"/>
      <c r="E3700" s="5" t="str">
        <f t="shared" si="70"/>
        <v>https://www.screener.in/company//consolidated/</v>
      </c>
      <c r="F3700" s="4">
        <v>443059</v>
      </c>
      <c r="G3700" s="4">
        <v>3832241897</v>
      </c>
      <c r="H3700" s="6" t="e">
        <f t="shared" ca="1" si="71"/>
        <v>#VALUE!</v>
      </c>
      <c r="I3700" s="7" t="str">
        <f ca="1">IFERROR(__xludf.DUMMYFUNCTION("IMPORTXML(E3700,""/html/body/main/div[3]/div[3]/div[2]/ul/li[5]/span[2]/span"")"),"Loading...")</f>
        <v>Loading...</v>
      </c>
      <c r="J3700" s="7" t="str">
        <f ca="1">IFERROR(__xludf.DUMMYFUNCTION("GOOGLEFINANCE(""NSE:""&amp;D3700,""marketcap"")"),"#N/A")</f>
        <v>#N/A</v>
      </c>
      <c r="K3700" s="7">
        <v>992.8</v>
      </c>
      <c r="L3700" s="8" t="str">
        <f ca="1">IFERROR(__xludf.DUMMYFUNCTION("GOOGLEFINANCE(""NSE:""&amp;D3700,""price"")"),"#N/A")</f>
        <v>#N/A</v>
      </c>
      <c r="M3700" s="9" t="e">
        <f t="shared" ca="1" si="72"/>
        <v>#VALUE!</v>
      </c>
      <c r="N3700" s="10" t="e">
        <f t="shared" ca="1" si="73"/>
        <v>#VALUE!</v>
      </c>
      <c r="O3700" s="7" t="str">
        <f ca="1">IFERROR(__xludf.DUMMYFUNCTION("GOOGLEFINANCE(""NSE:""&amp;D3700,""pe"")"),"#N/A")</f>
        <v>#N/A</v>
      </c>
      <c r="P3700" s="7" t="str">
        <f ca="1">IFERROR(__xludf.DUMMYFUNCTION("GOOGLEFINANCE(""NSE:""&amp;D3700,""EPS"")"),"#N/A")</f>
        <v>#N/A</v>
      </c>
      <c r="Q3700" s="7">
        <v>13.5</v>
      </c>
      <c r="R3700" s="7" t="str">
        <f ca="1">IFERROR(__xludf.DUMMYFUNCTION("IMPORTXML(E3700,""/html/body/main/div[3]/div[3]/div[2]/ul/li[7]/span[2]/span"")"),"Loading...")</f>
        <v>Loading...</v>
      </c>
      <c r="S3700" s="7" t="str">
        <f ca="1">IFERROR(__xludf.DUMMYFUNCTION("IMPORTXML(E3700,""/html/body/main/div[3]/div[3]/div[2]/ul/li[8]/span[2]/span"")"),"Loading...")</f>
        <v>Loading...</v>
      </c>
      <c r="T3700" s="4">
        <v>34.6</v>
      </c>
      <c r="U3700" s="4">
        <v>22.7</v>
      </c>
      <c r="V3700" s="4">
        <v>2.6</v>
      </c>
      <c r="W3700" s="4">
        <v>5.7</v>
      </c>
      <c r="X3700" s="4">
        <v>519.92999999999995</v>
      </c>
      <c r="Y3700" s="7" t="e">
        <f t="shared" ca="1" si="74"/>
        <v>#VALUE!</v>
      </c>
    </row>
    <row r="3701" spans="1:25" ht="15" x14ac:dyDescent="0.25">
      <c r="A3701" s="4">
        <v>3696</v>
      </c>
      <c r="C3701" s="41" t="s">
        <v>6057</v>
      </c>
      <c r="D3701" s="42"/>
      <c r="E3701" s="5" t="str">
        <f t="shared" si="70"/>
        <v>https://www.screener.in/company//consolidated/</v>
      </c>
      <c r="F3701" s="4">
        <v>443059</v>
      </c>
      <c r="G3701" s="4">
        <v>3832241897</v>
      </c>
      <c r="H3701" s="6" t="e">
        <f t="shared" ca="1" si="71"/>
        <v>#VALUE!</v>
      </c>
      <c r="I3701" s="7" t="str">
        <f ca="1">IFERROR(__xludf.DUMMYFUNCTION("IMPORTXML(E3701,""/html/body/main/div[3]/div[3]/div[2]/ul/li[5]/span[2]/span"")"),"Loading...")</f>
        <v>Loading...</v>
      </c>
      <c r="J3701" s="7" t="str">
        <f ca="1">IFERROR(__xludf.DUMMYFUNCTION("GOOGLEFINANCE(""NSE:""&amp;D3701,""marketcap"")"),"#N/A")</f>
        <v>#N/A</v>
      </c>
      <c r="K3701" s="7">
        <v>992.8</v>
      </c>
      <c r="L3701" s="8" t="str">
        <f ca="1">IFERROR(__xludf.DUMMYFUNCTION("GOOGLEFINANCE(""NSE:""&amp;D3701,""price"")"),"#N/A")</f>
        <v>#N/A</v>
      </c>
      <c r="M3701" s="9" t="e">
        <f t="shared" ca="1" si="72"/>
        <v>#VALUE!</v>
      </c>
      <c r="N3701" s="10" t="e">
        <f t="shared" ca="1" si="73"/>
        <v>#VALUE!</v>
      </c>
      <c r="O3701" s="7" t="str">
        <f ca="1">IFERROR(__xludf.DUMMYFUNCTION("GOOGLEFINANCE(""NSE:""&amp;D3701,""pe"")"),"#N/A")</f>
        <v>#N/A</v>
      </c>
      <c r="P3701" s="7" t="str">
        <f ca="1">IFERROR(__xludf.DUMMYFUNCTION("GOOGLEFINANCE(""NSE:""&amp;D3701,""EPS"")"),"#N/A")</f>
        <v>#N/A</v>
      </c>
      <c r="Q3701" s="7">
        <v>13.5</v>
      </c>
      <c r="R3701" s="7" t="str">
        <f ca="1">IFERROR(__xludf.DUMMYFUNCTION("IMPORTXML(E3701,""/html/body/main/div[3]/div[3]/div[2]/ul/li[7]/span[2]/span"")"),"Loading...")</f>
        <v>Loading...</v>
      </c>
      <c r="S3701" s="7" t="str">
        <f ca="1">IFERROR(__xludf.DUMMYFUNCTION("IMPORTXML(E3701,""/html/body/main/div[3]/div[3]/div[2]/ul/li[8]/span[2]/span"")"),"Loading...")</f>
        <v>Loading...</v>
      </c>
      <c r="T3701" s="4">
        <v>34.6</v>
      </c>
      <c r="U3701" s="4">
        <v>22.7</v>
      </c>
      <c r="V3701" s="4">
        <v>2.6</v>
      </c>
      <c r="W3701" s="4">
        <v>5.7</v>
      </c>
      <c r="X3701" s="4">
        <v>519.92999999999995</v>
      </c>
      <c r="Y3701" s="7" t="e">
        <f t="shared" ca="1" si="74"/>
        <v>#VALUE!</v>
      </c>
    </row>
    <row r="3702" spans="1:25" ht="15" x14ac:dyDescent="0.25">
      <c r="A3702" s="4">
        <v>3697</v>
      </c>
      <c r="C3702" s="41" t="s">
        <v>6058</v>
      </c>
      <c r="D3702" s="42"/>
      <c r="E3702" s="5" t="str">
        <f t="shared" si="70"/>
        <v>https://www.screener.in/company//consolidated/</v>
      </c>
      <c r="F3702" s="4">
        <v>443059</v>
      </c>
      <c r="G3702" s="4">
        <v>3832241897</v>
      </c>
      <c r="H3702" s="6" t="e">
        <f t="shared" ca="1" si="71"/>
        <v>#VALUE!</v>
      </c>
      <c r="I3702" s="7" t="str">
        <f ca="1">IFERROR(__xludf.DUMMYFUNCTION("IMPORTXML(E3702,""/html/body/main/div[3]/div[3]/div[2]/ul/li[5]/span[2]/span"")"),"Loading...")</f>
        <v>Loading...</v>
      </c>
      <c r="J3702" s="7" t="str">
        <f ca="1">IFERROR(__xludf.DUMMYFUNCTION("GOOGLEFINANCE(""NSE:""&amp;D3702,""marketcap"")"),"#N/A")</f>
        <v>#N/A</v>
      </c>
      <c r="K3702" s="7">
        <v>992.8</v>
      </c>
      <c r="L3702" s="8" t="str">
        <f ca="1">IFERROR(__xludf.DUMMYFUNCTION("GOOGLEFINANCE(""NSE:""&amp;D3702,""price"")"),"#N/A")</f>
        <v>#N/A</v>
      </c>
      <c r="M3702" s="9" t="e">
        <f t="shared" ca="1" si="72"/>
        <v>#VALUE!</v>
      </c>
      <c r="N3702" s="10" t="e">
        <f t="shared" ca="1" si="73"/>
        <v>#VALUE!</v>
      </c>
      <c r="O3702" s="7" t="str">
        <f ca="1">IFERROR(__xludf.DUMMYFUNCTION("GOOGLEFINANCE(""NSE:""&amp;D3702,""pe"")"),"#N/A")</f>
        <v>#N/A</v>
      </c>
      <c r="P3702" s="7" t="str">
        <f ca="1">IFERROR(__xludf.DUMMYFUNCTION("GOOGLEFINANCE(""NSE:""&amp;D3702,""EPS"")"),"#N/A")</f>
        <v>#N/A</v>
      </c>
      <c r="Q3702" s="7">
        <v>13.5</v>
      </c>
      <c r="R3702" s="7" t="str">
        <f ca="1">IFERROR(__xludf.DUMMYFUNCTION("IMPORTXML(E3702,""/html/body/main/div[3]/div[3]/div[2]/ul/li[7]/span[2]/span"")"),"Loading...")</f>
        <v>Loading...</v>
      </c>
      <c r="S3702" s="7" t="str">
        <f ca="1">IFERROR(__xludf.DUMMYFUNCTION("IMPORTXML(E3702,""/html/body/main/div[3]/div[3]/div[2]/ul/li[8]/span[2]/span"")"),"Loading...")</f>
        <v>Loading...</v>
      </c>
      <c r="T3702" s="4">
        <v>34.6</v>
      </c>
      <c r="U3702" s="4">
        <v>22.7</v>
      </c>
      <c r="V3702" s="4">
        <v>2.6</v>
      </c>
      <c r="W3702" s="4">
        <v>5.7</v>
      </c>
      <c r="X3702" s="4">
        <v>519.92999999999995</v>
      </c>
      <c r="Y3702" s="7" t="e">
        <f t="shared" ca="1" si="74"/>
        <v>#VALUE!</v>
      </c>
    </row>
    <row r="3703" spans="1:25" ht="15" x14ac:dyDescent="0.25">
      <c r="A3703" s="4">
        <v>3698</v>
      </c>
      <c r="C3703" s="41" t="s">
        <v>6059</v>
      </c>
      <c r="D3703" s="42"/>
      <c r="E3703" s="5" t="str">
        <f t="shared" si="70"/>
        <v>https://www.screener.in/company//consolidated/</v>
      </c>
      <c r="F3703" s="4">
        <v>443059</v>
      </c>
      <c r="G3703" s="4">
        <v>3832241897</v>
      </c>
      <c r="H3703" s="6" t="e">
        <f t="shared" ca="1" si="71"/>
        <v>#VALUE!</v>
      </c>
      <c r="I3703" s="7" t="str">
        <f ca="1">IFERROR(__xludf.DUMMYFUNCTION("IMPORTXML(E3703,""/html/body/main/div[3]/div[3]/div[2]/ul/li[5]/span[2]/span"")"),"Loading...")</f>
        <v>Loading...</v>
      </c>
      <c r="J3703" s="7" t="str">
        <f ca="1">IFERROR(__xludf.DUMMYFUNCTION("GOOGLEFINANCE(""NSE:""&amp;D3703,""marketcap"")"),"#N/A")</f>
        <v>#N/A</v>
      </c>
      <c r="K3703" s="7">
        <v>992.8</v>
      </c>
      <c r="L3703" s="8" t="str">
        <f ca="1">IFERROR(__xludf.DUMMYFUNCTION("GOOGLEFINANCE(""NSE:""&amp;D3703,""price"")"),"#N/A")</f>
        <v>#N/A</v>
      </c>
      <c r="M3703" s="9" t="e">
        <f t="shared" ca="1" si="72"/>
        <v>#VALUE!</v>
      </c>
      <c r="N3703" s="10" t="e">
        <f t="shared" ca="1" si="73"/>
        <v>#VALUE!</v>
      </c>
      <c r="O3703" s="7" t="str">
        <f ca="1">IFERROR(__xludf.DUMMYFUNCTION("GOOGLEFINANCE(""NSE:""&amp;D3703,""pe"")"),"#N/A")</f>
        <v>#N/A</v>
      </c>
      <c r="P3703" s="7" t="str">
        <f ca="1">IFERROR(__xludf.DUMMYFUNCTION("GOOGLEFINANCE(""NSE:""&amp;D3703,""EPS"")"),"#N/A")</f>
        <v>#N/A</v>
      </c>
      <c r="Q3703" s="7">
        <v>13.5</v>
      </c>
      <c r="R3703" s="7" t="str">
        <f ca="1">IFERROR(__xludf.DUMMYFUNCTION("IMPORTXML(E3703,""/html/body/main/div[3]/div[3]/div[2]/ul/li[7]/span[2]/span"")"),"Loading...")</f>
        <v>Loading...</v>
      </c>
      <c r="S3703" s="7" t="str">
        <f ca="1">IFERROR(__xludf.DUMMYFUNCTION("IMPORTXML(E3703,""/html/body/main/div[3]/div[3]/div[2]/ul/li[8]/span[2]/span"")"),"Loading...")</f>
        <v>Loading...</v>
      </c>
      <c r="T3703" s="4">
        <v>34.6</v>
      </c>
      <c r="U3703" s="4">
        <v>22.7</v>
      </c>
      <c r="V3703" s="4">
        <v>2.6</v>
      </c>
      <c r="W3703" s="4">
        <v>5.7</v>
      </c>
      <c r="X3703" s="4">
        <v>519.92999999999995</v>
      </c>
      <c r="Y3703" s="7" t="e">
        <f t="shared" ca="1" si="74"/>
        <v>#VALUE!</v>
      </c>
    </row>
    <row r="3704" spans="1:25" ht="15" x14ac:dyDescent="0.25">
      <c r="A3704" s="4">
        <v>3699</v>
      </c>
      <c r="C3704" s="41" t="s">
        <v>6060</v>
      </c>
      <c r="D3704" s="42"/>
      <c r="E3704" s="5" t="str">
        <f t="shared" si="70"/>
        <v>https://www.screener.in/company//consolidated/</v>
      </c>
      <c r="F3704" s="4">
        <v>443059</v>
      </c>
      <c r="G3704" s="4">
        <v>3832241897</v>
      </c>
      <c r="H3704" s="6" t="e">
        <f t="shared" ca="1" si="71"/>
        <v>#VALUE!</v>
      </c>
      <c r="I3704" s="7" t="str">
        <f ca="1">IFERROR(__xludf.DUMMYFUNCTION("IMPORTXML(E3704,""/html/body/main/div[3]/div[3]/div[2]/ul/li[5]/span[2]/span"")"),"Loading...")</f>
        <v>Loading...</v>
      </c>
      <c r="J3704" s="7" t="str">
        <f ca="1">IFERROR(__xludf.DUMMYFUNCTION("GOOGLEFINANCE(""NSE:""&amp;D3704,""marketcap"")"),"#N/A")</f>
        <v>#N/A</v>
      </c>
      <c r="K3704" s="7">
        <v>992.8</v>
      </c>
      <c r="L3704" s="8" t="str">
        <f ca="1">IFERROR(__xludf.DUMMYFUNCTION("GOOGLEFINANCE(""NSE:""&amp;D3704,""price"")"),"#N/A")</f>
        <v>#N/A</v>
      </c>
      <c r="M3704" s="9" t="e">
        <f t="shared" ca="1" si="72"/>
        <v>#VALUE!</v>
      </c>
      <c r="N3704" s="10" t="e">
        <f t="shared" ca="1" si="73"/>
        <v>#VALUE!</v>
      </c>
      <c r="O3704" s="7" t="str">
        <f ca="1">IFERROR(__xludf.DUMMYFUNCTION("GOOGLEFINANCE(""NSE:""&amp;D3704,""pe"")"),"#N/A")</f>
        <v>#N/A</v>
      </c>
      <c r="P3704" s="7" t="str">
        <f ca="1">IFERROR(__xludf.DUMMYFUNCTION("GOOGLEFINANCE(""NSE:""&amp;D3704,""EPS"")"),"#N/A")</f>
        <v>#N/A</v>
      </c>
      <c r="Q3704" s="7">
        <v>13.5</v>
      </c>
      <c r="R3704" s="7" t="str">
        <f ca="1">IFERROR(__xludf.DUMMYFUNCTION("IMPORTXML(E3704,""/html/body/main/div[3]/div[3]/div[2]/ul/li[7]/span[2]/span"")"),"Loading...")</f>
        <v>Loading...</v>
      </c>
      <c r="S3704" s="7" t="str">
        <f ca="1">IFERROR(__xludf.DUMMYFUNCTION("IMPORTXML(E3704,""/html/body/main/div[3]/div[3]/div[2]/ul/li[8]/span[2]/span"")"),"Loading...")</f>
        <v>Loading...</v>
      </c>
      <c r="T3704" s="4">
        <v>34.6</v>
      </c>
      <c r="U3704" s="4">
        <v>22.7</v>
      </c>
      <c r="V3704" s="4">
        <v>2.6</v>
      </c>
      <c r="W3704" s="4">
        <v>5.7</v>
      </c>
      <c r="X3704" s="4">
        <v>519.92999999999995</v>
      </c>
      <c r="Y3704" s="7" t="e">
        <f t="shared" ca="1" si="74"/>
        <v>#VALUE!</v>
      </c>
    </row>
    <row r="3705" spans="1:25" ht="15" x14ac:dyDescent="0.25">
      <c r="A3705" s="4">
        <v>3700</v>
      </c>
      <c r="C3705" s="41" t="s">
        <v>6061</v>
      </c>
      <c r="D3705" s="42"/>
      <c r="E3705" s="5" t="str">
        <f t="shared" si="70"/>
        <v>https://www.screener.in/company//consolidated/</v>
      </c>
      <c r="F3705" s="4">
        <v>443059</v>
      </c>
      <c r="G3705" s="4">
        <v>3832241897</v>
      </c>
      <c r="H3705" s="6" t="e">
        <f t="shared" ca="1" si="71"/>
        <v>#VALUE!</v>
      </c>
      <c r="I3705" s="7" t="str">
        <f ca="1">IFERROR(__xludf.DUMMYFUNCTION("IMPORTXML(E3705,""/html/body/main/div[3]/div[3]/div[2]/ul/li[5]/span[2]/span"")"),"Loading...")</f>
        <v>Loading...</v>
      </c>
      <c r="J3705" s="7" t="str">
        <f ca="1">IFERROR(__xludf.DUMMYFUNCTION("GOOGLEFINANCE(""NSE:""&amp;D3705,""marketcap"")"),"#N/A")</f>
        <v>#N/A</v>
      </c>
      <c r="K3705" s="7">
        <v>992.8</v>
      </c>
      <c r="L3705" s="8" t="str">
        <f ca="1">IFERROR(__xludf.DUMMYFUNCTION("GOOGLEFINANCE(""NSE:""&amp;D3705,""price"")"),"#N/A")</f>
        <v>#N/A</v>
      </c>
      <c r="M3705" s="9" t="e">
        <f t="shared" ca="1" si="72"/>
        <v>#VALUE!</v>
      </c>
      <c r="N3705" s="10" t="e">
        <f t="shared" ca="1" si="73"/>
        <v>#VALUE!</v>
      </c>
      <c r="O3705" s="7" t="str">
        <f ca="1">IFERROR(__xludf.DUMMYFUNCTION("GOOGLEFINANCE(""NSE:""&amp;D3705,""pe"")"),"#N/A")</f>
        <v>#N/A</v>
      </c>
      <c r="P3705" s="7" t="str">
        <f ca="1">IFERROR(__xludf.DUMMYFUNCTION("GOOGLEFINANCE(""NSE:""&amp;D3705,""EPS"")"),"#N/A")</f>
        <v>#N/A</v>
      </c>
      <c r="Q3705" s="7">
        <v>13.5</v>
      </c>
      <c r="R3705" s="7" t="str">
        <f ca="1">IFERROR(__xludf.DUMMYFUNCTION("IMPORTXML(E3705,""/html/body/main/div[3]/div[3]/div[2]/ul/li[7]/span[2]/span"")"),"Loading...")</f>
        <v>Loading...</v>
      </c>
      <c r="S3705" s="7" t="str">
        <f ca="1">IFERROR(__xludf.DUMMYFUNCTION("IMPORTXML(E3705,""/html/body/main/div[3]/div[3]/div[2]/ul/li[8]/span[2]/span"")"),"Loading...")</f>
        <v>Loading...</v>
      </c>
      <c r="T3705" s="4">
        <v>34.6</v>
      </c>
      <c r="U3705" s="4">
        <v>22.7</v>
      </c>
      <c r="V3705" s="4">
        <v>2.6</v>
      </c>
      <c r="W3705" s="4">
        <v>5.7</v>
      </c>
      <c r="X3705" s="4">
        <v>519.92999999999995</v>
      </c>
      <c r="Y3705" s="7" t="e">
        <f t="shared" ca="1" si="74"/>
        <v>#VALUE!</v>
      </c>
    </row>
    <row r="3706" spans="1:25" ht="15" x14ac:dyDescent="0.25">
      <c r="A3706" s="4">
        <v>3701</v>
      </c>
      <c r="C3706" s="41" t="s">
        <v>6062</v>
      </c>
      <c r="D3706" s="42"/>
      <c r="E3706" s="5" t="str">
        <f t="shared" si="70"/>
        <v>https://www.screener.in/company//consolidated/</v>
      </c>
      <c r="F3706" s="4">
        <v>443059</v>
      </c>
      <c r="G3706" s="4">
        <v>3832241897</v>
      </c>
      <c r="H3706" s="6" t="e">
        <f t="shared" ca="1" si="71"/>
        <v>#VALUE!</v>
      </c>
      <c r="I3706" s="7" t="str">
        <f ca="1">IFERROR(__xludf.DUMMYFUNCTION("IMPORTXML(E3706,""/html/body/main/div[3]/div[3]/div[2]/ul/li[5]/span[2]/span"")"),"Loading...")</f>
        <v>Loading...</v>
      </c>
      <c r="J3706" s="7" t="str">
        <f ca="1">IFERROR(__xludf.DUMMYFUNCTION("GOOGLEFINANCE(""NSE:""&amp;D3706,""marketcap"")"),"#N/A")</f>
        <v>#N/A</v>
      </c>
      <c r="K3706" s="7">
        <v>992.8</v>
      </c>
      <c r="L3706" s="8" t="str">
        <f ca="1">IFERROR(__xludf.DUMMYFUNCTION("GOOGLEFINANCE(""NSE:""&amp;D3706,""price"")"),"#N/A")</f>
        <v>#N/A</v>
      </c>
      <c r="M3706" s="9" t="e">
        <f t="shared" ca="1" si="72"/>
        <v>#VALUE!</v>
      </c>
      <c r="N3706" s="10" t="e">
        <f t="shared" ca="1" si="73"/>
        <v>#VALUE!</v>
      </c>
      <c r="O3706" s="7" t="str">
        <f ca="1">IFERROR(__xludf.DUMMYFUNCTION("GOOGLEFINANCE(""NSE:""&amp;D3706,""pe"")"),"#N/A")</f>
        <v>#N/A</v>
      </c>
      <c r="P3706" s="7" t="str">
        <f ca="1">IFERROR(__xludf.DUMMYFUNCTION("GOOGLEFINANCE(""NSE:""&amp;D3706,""EPS"")"),"#N/A")</f>
        <v>#N/A</v>
      </c>
      <c r="Q3706" s="7">
        <v>13.5</v>
      </c>
      <c r="R3706" s="7" t="str">
        <f ca="1">IFERROR(__xludf.DUMMYFUNCTION("IMPORTXML(E3706,""/html/body/main/div[3]/div[3]/div[2]/ul/li[7]/span[2]/span"")"),"Loading...")</f>
        <v>Loading...</v>
      </c>
      <c r="S3706" s="7" t="str">
        <f ca="1">IFERROR(__xludf.DUMMYFUNCTION("IMPORTXML(E3706,""/html/body/main/div[3]/div[3]/div[2]/ul/li[8]/span[2]/span"")"),"Loading...")</f>
        <v>Loading...</v>
      </c>
      <c r="T3706" s="4">
        <v>34.6</v>
      </c>
      <c r="U3706" s="4">
        <v>22.7</v>
      </c>
      <c r="V3706" s="4">
        <v>2.6</v>
      </c>
      <c r="W3706" s="4">
        <v>5.7</v>
      </c>
      <c r="X3706" s="4">
        <v>519.92999999999995</v>
      </c>
      <c r="Y3706" s="7" t="e">
        <f t="shared" ca="1" si="74"/>
        <v>#VALUE!</v>
      </c>
    </row>
    <row r="3707" spans="1:25" ht="15" x14ac:dyDescent="0.25">
      <c r="A3707" s="4">
        <v>3702</v>
      </c>
      <c r="C3707" s="41" t="s">
        <v>6063</v>
      </c>
      <c r="D3707" s="42"/>
      <c r="E3707" s="5" t="str">
        <f t="shared" si="70"/>
        <v>https://www.screener.in/company//consolidated/</v>
      </c>
      <c r="F3707" s="4">
        <v>443059</v>
      </c>
      <c r="G3707" s="4">
        <v>3832241897</v>
      </c>
      <c r="H3707" s="6" t="e">
        <f t="shared" ca="1" si="71"/>
        <v>#VALUE!</v>
      </c>
      <c r="I3707" s="7" t="str">
        <f ca="1">IFERROR(__xludf.DUMMYFUNCTION("IMPORTXML(E3707,""/html/body/main/div[3]/div[3]/div[2]/ul/li[5]/span[2]/span"")"),"Loading...")</f>
        <v>Loading...</v>
      </c>
      <c r="J3707" s="7" t="str">
        <f ca="1">IFERROR(__xludf.DUMMYFUNCTION("GOOGLEFINANCE(""NSE:""&amp;D3707,""marketcap"")"),"#N/A")</f>
        <v>#N/A</v>
      </c>
      <c r="K3707" s="7">
        <v>992.8</v>
      </c>
      <c r="L3707" s="8" t="str">
        <f ca="1">IFERROR(__xludf.DUMMYFUNCTION("GOOGLEFINANCE(""NSE:""&amp;D3707,""price"")"),"#N/A")</f>
        <v>#N/A</v>
      </c>
      <c r="M3707" s="9" t="e">
        <f t="shared" ca="1" si="72"/>
        <v>#VALUE!</v>
      </c>
      <c r="N3707" s="10" t="e">
        <f t="shared" ca="1" si="73"/>
        <v>#VALUE!</v>
      </c>
      <c r="O3707" s="7" t="str">
        <f ca="1">IFERROR(__xludf.DUMMYFUNCTION("GOOGLEFINANCE(""NSE:""&amp;D3707,""pe"")"),"#N/A")</f>
        <v>#N/A</v>
      </c>
      <c r="P3707" s="7" t="str">
        <f ca="1">IFERROR(__xludf.DUMMYFUNCTION("GOOGLEFINANCE(""NSE:""&amp;D3707,""EPS"")"),"#N/A")</f>
        <v>#N/A</v>
      </c>
      <c r="Q3707" s="7">
        <v>13.5</v>
      </c>
      <c r="R3707" s="7" t="str">
        <f ca="1">IFERROR(__xludf.DUMMYFUNCTION("IMPORTXML(E3707,""/html/body/main/div[3]/div[3]/div[2]/ul/li[7]/span[2]/span"")"),"Loading...")</f>
        <v>Loading...</v>
      </c>
      <c r="S3707" s="7" t="str">
        <f ca="1">IFERROR(__xludf.DUMMYFUNCTION("IMPORTXML(E3707,""/html/body/main/div[3]/div[3]/div[2]/ul/li[8]/span[2]/span"")"),"Loading...")</f>
        <v>Loading...</v>
      </c>
      <c r="T3707" s="4">
        <v>34.6</v>
      </c>
      <c r="U3707" s="4">
        <v>22.7</v>
      </c>
      <c r="V3707" s="4">
        <v>2.6</v>
      </c>
      <c r="W3707" s="4">
        <v>5.7</v>
      </c>
      <c r="X3707" s="4">
        <v>519.92999999999995</v>
      </c>
      <c r="Y3707" s="7" t="e">
        <f t="shared" ca="1" si="74"/>
        <v>#VALUE!</v>
      </c>
    </row>
    <row r="3708" spans="1:25" ht="15" x14ac:dyDescent="0.25">
      <c r="A3708" s="4">
        <v>3703</v>
      </c>
      <c r="C3708" s="12" t="s">
        <v>6064</v>
      </c>
      <c r="D3708" s="37"/>
      <c r="E3708" s="5" t="str">
        <f t="shared" si="70"/>
        <v>https://www.screener.in/company//consolidated/</v>
      </c>
      <c r="F3708" s="4">
        <v>443059</v>
      </c>
      <c r="G3708" s="4">
        <v>3832241897</v>
      </c>
      <c r="H3708" s="6" t="e">
        <f t="shared" ca="1" si="71"/>
        <v>#VALUE!</v>
      </c>
      <c r="I3708" s="7" t="str">
        <f ca="1">IFERROR(__xludf.DUMMYFUNCTION("IMPORTXML(E3708,""/html/body/main/div[3]/div[3]/div[2]/ul/li[5]/span[2]/span"")"),"Loading...")</f>
        <v>Loading...</v>
      </c>
      <c r="J3708" s="7" t="str">
        <f ca="1">IFERROR(__xludf.DUMMYFUNCTION("GOOGLEFINANCE(""NSE:""&amp;D3708,""marketcap"")"),"#N/A")</f>
        <v>#N/A</v>
      </c>
      <c r="K3708" s="7">
        <v>992.8</v>
      </c>
      <c r="L3708" s="8" t="str">
        <f ca="1">IFERROR(__xludf.DUMMYFUNCTION("GOOGLEFINANCE(""NSE:""&amp;D3708,""price"")"),"#N/A")</f>
        <v>#N/A</v>
      </c>
      <c r="M3708" s="9" t="e">
        <f t="shared" ca="1" si="72"/>
        <v>#VALUE!</v>
      </c>
      <c r="N3708" s="10" t="e">
        <f t="shared" ca="1" si="73"/>
        <v>#VALUE!</v>
      </c>
      <c r="O3708" s="7" t="str">
        <f ca="1">IFERROR(__xludf.DUMMYFUNCTION("GOOGLEFINANCE(""NSE:""&amp;D3708,""pe"")"),"#N/A")</f>
        <v>#N/A</v>
      </c>
      <c r="P3708" s="7" t="str">
        <f ca="1">IFERROR(__xludf.DUMMYFUNCTION("GOOGLEFINANCE(""NSE:""&amp;D3708,""EPS"")"),"#N/A")</f>
        <v>#N/A</v>
      </c>
      <c r="Q3708" s="7">
        <v>13.5</v>
      </c>
      <c r="R3708" s="7" t="str">
        <f ca="1">IFERROR(__xludf.DUMMYFUNCTION("IMPORTXML(E3708,""/html/body/main/div[3]/div[3]/div[2]/ul/li[7]/span[2]/span"")"),"Loading...")</f>
        <v>Loading...</v>
      </c>
      <c r="S3708" s="7" t="str">
        <f ca="1">IFERROR(__xludf.DUMMYFUNCTION("IMPORTXML(E3708,""/html/body/main/div[3]/div[3]/div[2]/ul/li[8]/span[2]/span"")"),"Loading...")</f>
        <v>Loading...</v>
      </c>
      <c r="T3708" s="4">
        <v>34.6</v>
      </c>
      <c r="U3708" s="4">
        <v>22.7</v>
      </c>
      <c r="V3708" s="4">
        <v>2.6</v>
      </c>
      <c r="W3708" s="4">
        <v>5.7</v>
      </c>
      <c r="X3708" s="4">
        <v>519.92999999999995</v>
      </c>
      <c r="Y3708" s="7" t="e">
        <f t="shared" ca="1" si="74"/>
        <v>#VALUE!</v>
      </c>
    </row>
    <row r="3709" spans="1:25" ht="15" x14ac:dyDescent="0.25">
      <c r="A3709" s="4">
        <v>3704</v>
      </c>
      <c r="C3709" s="41" t="s">
        <v>6065</v>
      </c>
      <c r="D3709" s="42"/>
      <c r="E3709" s="5" t="str">
        <f t="shared" si="70"/>
        <v>https://www.screener.in/company//consolidated/</v>
      </c>
      <c r="F3709" s="4">
        <v>443059</v>
      </c>
      <c r="G3709" s="4">
        <v>3832241897</v>
      </c>
      <c r="H3709" s="6" t="e">
        <f t="shared" ca="1" si="71"/>
        <v>#VALUE!</v>
      </c>
      <c r="I3709" s="7" t="str">
        <f ca="1">IFERROR(__xludf.DUMMYFUNCTION("IMPORTXML(E3709,""/html/body/main/div[3]/div[3]/div[2]/ul/li[5]/span[2]/span"")"),"Loading...")</f>
        <v>Loading...</v>
      </c>
      <c r="J3709" s="7" t="str">
        <f ca="1">IFERROR(__xludf.DUMMYFUNCTION("GOOGLEFINANCE(""NSE:""&amp;D3709,""marketcap"")"),"#N/A")</f>
        <v>#N/A</v>
      </c>
      <c r="K3709" s="7">
        <v>992.8</v>
      </c>
      <c r="L3709" s="8" t="str">
        <f ca="1">IFERROR(__xludf.DUMMYFUNCTION("GOOGLEFINANCE(""NSE:""&amp;D3709,""price"")"),"#N/A")</f>
        <v>#N/A</v>
      </c>
      <c r="M3709" s="9" t="e">
        <f t="shared" ca="1" si="72"/>
        <v>#VALUE!</v>
      </c>
      <c r="N3709" s="10" t="e">
        <f t="shared" ca="1" si="73"/>
        <v>#VALUE!</v>
      </c>
      <c r="O3709" s="7" t="str">
        <f ca="1">IFERROR(__xludf.DUMMYFUNCTION("GOOGLEFINANCE(""NSE:""&amp;D3709,""pe"")"),"#N/A")</f>
        <v>#N/A</v>
      </c>
      <c r="P3709" s="7" t="str">
        <f ca="1">IFERROR(__xludf.DUMMYFUNCTION("GOOGLEFINANCE(""NSE:""&amp;D3709,""EPS"")"),"#N/A")</f>
        <v>#N/A</v>
      </c>
      <c r="Q3709" s="7">
        <v>13.5</v>
      </c>
      <c r="R3709" s="7" t="str">
        <f ca="1">IFERROR(__xludf.DUMMYFUNCTION("IMPORTXML(E3709,""/html/body/main/div[3]/div[3]/div[2]/ul/li[7]/span[2]/span"")"),"Loading...")</f>
        <v>Loading...</v>
      </c>
      <c r="S3709" s="7" t="str">
        <f ca="1">IFERROR(__xludf.DUMMYFUNCTION("IMPORTXML(E3709,""/html/body/main/div[3]/div[3]/div[2]/ul/li[8]/span[2]/span"")"),"Loading...")</f>
        <v>Loading...</v>
      </c>
      <c r="T3709" s="4">
        <v>34.6</v>
      </c>
      <c r="U3709" s="4">
        <v>22.7</v>
      </c>
      <c r="V3709" s="4">
        <v>2.6</v>
      </c>
      <c r="W3709" s="4">
        <v>5.7</v>
      </c>
      <c r="X3709" s="4">
        <v>519.92999999999995</v>
      </c>
      <c r="Y3709" s="7" t="e">
        <f t="shared" ca="1" si="74"/>
        <v>#VALUE!</v>
      </c>
    </row>
    <row r="3710" spans="1:25" ht="15" x14ac:dyDescent="0.25">
      <c r="A3710" s="4">
        <v>3705</v>
      </c>
      <c r="C3710" s="41" t="s">
        <v>6066</v>
      </c>
      <c r="D3710" s="42"/>
      <c r="E3710" s="5" t="str">
        <f t="shared" si="70"/>
        <v>https://www.screener.in/company//consolidated/</v>
      </c>
      <c r="F3710" s="4">
        <v>443059</v>
      </c>
      <c r="G3710" s="4">
        <v>3832241897</v>
      </c>
      <c r="H3710" s="6" t="e">
        <f t="shared" ca="1" si="71"/>
        <v>#VALUE!</v>
      </c>
      <c r="I3710" s="7" t="str">
        <f ca="1">IFERROR(__xludf.DUMMYFUNCTION("IMPORTXML(E3710,""/html/body/main/div[3]/div[3]/div[2]/ul/li[5]/span[2]/span"")"),"Loading...")</f>
        <v>Loading...</v>
      </c>
      <c r="J3710" s="7" t="str">
        <f ca="1">IFERROR(__xludf.DUMMYFUNCTION("GOOGLEFINANCE(""NSE:""&amp;D3710,""marketcap"")"),"#N/A")</f>
        <v>#N/A</v>
      </c>
      <c r="K3710" s="7">
        <v>992.8</v>
      </c>
      <c r="L3710" s="8" t="str">
        <f ca="1">IFERROR(__xludf.DUMMYFUNCTION("GOOGLEFINANCE(""NSE:""&amp;D3710,""price"")"),"#N/A")</f>
        <v>#N/A</v>
      </c>
      <c r="M3710" s="9" t="e">
        <f t="shared" ca="1" si="72"/>
        <v>#VALUE!</v>
      </c>
      <c r="N3710" s="10" t="e">
        <f t="shared" ca="1" si="73"/>
        <v>#VALUE!</v>
      </c>
      <c r="O3710" s="7" t="str">
        <f ca="1">IFERROR(__xludf.DUMMYFUNCTION("GOOGLEFINANCE(""NSE:""&amp;D3710,""pe"")"),"#N/A")</f>
        <v>#N/A</v>
      </c>
      <c r="P3710" s="7" t="str">
        <f ca="1">IFERROR(__xludf.DUMMYFUNCTION("GOOGLEFINANCE(""NSE:""&amp;D3710,""EPS"")"),"#N/A")</f>
        <v>#N/A</v>
      </c>
      <c r="Q3710" s="7">
        <v>13.5</v>
      </c>
      <c r="R3710" s="7" t="str">
        <f ca="1">IFERROR(__xludf.DUMMYFUNCTION("IMPORTXML(E3710,""/html/body/main/div[3]/div[3]/div[2]/ul/li[7]/span[2]/span"")"),"Loading...")</f>
        <v>Loading...</v>
      </c>
      <c r="S3710" s="7" t="str">
        <f ca="1">IFERROR(__xludf.DUMMYFUNCTION("IMPORTXML(E3710,""/html/body/main/div[3]/div[3]/div[2]/ul/li[8]/span[2]/span"")"),"Loading...")</f>
        <v>Loading...</v>
      </c>
      <c r="T3710" s="4">
        <v>34.6</v>
      </c>
      <c r="U3710" s="4">
        <v>22.7</v>
      </c>
      <c r="V3710" s="4">
        <v>2.6</v>
      </c>
      <c r="W3710" s="4">
        <v>5.7</v>
      </c>
      <c r="X3710" s="4">
        <v>519.92999999999995</v>
      </c>
      <c r="Y3710" s="7" t="e">
        <f t="shared" ca="1" si="74"/>
        <v>#VALUE!</v>
      </c>
    </row>
    <row r="3711" spans="1:25" ht="15" x14ac:dyDescent="0.25">
      <c r="A3711" s="4">
        <v>3706</v>
      </c>
      <c r="C3711" s="41" t="s">
        <v>6067</v>
      </c>
      <c r="D3711" s="42"/>
      <c r="E3711" s="5" t="str">
        <f t="shared" si="70"/>
        <v>https://www.screener.in/company//consolidated/</v>
      </c>
      <c r="F3711" s="4">
        <v>443059</v>
      </c>
      <c r="G3711" s="4">
        <v>3832241897</v>
      </c>
      <c r="H3711" s="6" t="e">
        <f t="shared" ca="1" si="71"/>
        <v>#VALUE!</v>
      </c>
      <c r="I3711" s="7" t="str">
        <f ca="1">IFERROR(__xludf.DUMMYFUNCTION("IMPORTXML(E3711,""/html/body/main/div[3]/div[3]/div[2]/ul/li[5]/span[2]/span"")"),"Loading...")</f>
        <v>Loading...</v>
      </c>
      <c r="J3711" s="7" t="str">
        <f ca="1">IFERROR(__xludf.DUMMYFUNCTION("GOOGLEFINANCE(""NSE:""&amp;D3711,""marketcap"")"),"#N/A")</f>
        <v>#N/A</v>
      </c>
      <c r="K3711" s="7">
        <v>992.8</v>
      </c>
      <c r="L3711" s="8" t="str">
        <f ca="1">IFERROR(__xludf.DUMMYFUNCTION("GOOGLEFINANCE(""NSE:""&amp;D3711,""price"")"),"#N/A")</f>
        <v>#N/A</v>
      </c>
      <c r="M3711" s="9" t="e">
        <f t="shared" ca="1" si="72"/>
        <v>#VALUE!</v>
      </c>
      <c r="N3711" s="10" t="e">
        <f t="shared" ca="1" si="73"/>
        <v>#VALUE!</v>
      </c>
      <c r="O3711" s="7" t="str">
        <f ca="1">IFERROR(__xludf.DUMMYFUNCTION("GOOGLEFINANCE(""NSE:""&amp;D3711,""pe"")"),"#N/A")</f>
        <v>#N/A</v>
      </c>
      <c r="P3711" s="7" t="str">
        <f ca="1">IFERROR(__xludf.DUMMYFUNCTION("GOOGLEFINANCE(""NSE:""&amp;D3711,""EPS"")"),"#N/A")</f>
        <v>#N/A</v>
      </c>
      <c r="Q3711" s="7">
        <v>13.5</v>
      </c>
      <c r="R3711" s="7" t="str">
        <f ca="1">IFERROR(__xludf.DUMMYFUNCTION("IMPORTXML(E3711,""/html/body/main/div[3]/div[3]/div[2]/ul/li[7]/span[2]/span"")"),"Loading...")</f>
        <v>Loading...</v>
      </c>
      <c r="S3711" s="7" t="str">
        <f ca="1">IFERROR(__xludf.DUMMYFUNCTION("IMPORTXML(E3711,""/html/body/main/div[3]/div[3]/div[2]/ul/li[8]/span[2]/span"")"),"Loading...")</f>
        <v>Loading...</v>
      </c>
      <c r="T3711" s="4">
        <v>34.6</v>
      </c>
      <c r="U3711" s="4">
        <v>22.7</v>
      </c>
      <c r="V3711" s="4">
        <v>2.6</v>
      </c>
      <c r="W3711" s="4">
        <v>5.7</v>
      </c>
      <c r="X3711" s="4">
        <v>519.92999999999995</v>
      </c>
      <c r="Y3711" s="7" t="e">
        <f t="shared" ca="1" si="74"/>
        <v>#VALUE!</v>
      </c>
    </row>
    <row r="3712" spans="1:25" ht="15" x14ac:dyDescent="0.25">
      <c r="A3712" s="4">
        <v>3707</v>
      </c>
      <c r="C3712" s="41" t="s">
        <v>6068</v>
      </c>
      <c r="D3712" s="42"/>
      <c r="E3712" s="5" t="str">
        <f t="shared" si="70"/>
        <v>https://www.screener.in/company//consolidated/</v>
      </c>
      <c r="F3712" s="4">
        <v>443059</v>
      </c>
      <c r="G3712" s="4">
        <v>3832241897</v>
      </c>
      <c r="H3712" s="6" t="e">
        <f t="shared" ca="1" si="71"/>
        <v>#VALUE!</v>
      </c>
      <c r="I3712" s="7" t="str">
        <f ca="1">IFERROR(__xludf.DUMMYFUNCTION("IMPORTXML(E3712,""/html/body/main/div[3]/div[3]/div[2]/ul/li[5]/span[2]/span"")"),"Loading...")</f>
        <v>Loading...</v>
      </c>
      <c r="J3712" s="7" t="str">
        <f ca="1">IFERROR(__xludf.DUMMYFUNCTION("GOOGLEFINANCE(""NSE:""&amp;D3712,""marketcap"")"),"#N/A")</f>
        <v>#N/A</v>
      </c>
      <c r="K3712" s="7">
        <v>992.8</v>
      </c>
      <c r="L3712" s="8" t="str">
        <f ca="1">IFERROR(__xludf.DUMMYFUNCTION("GOOGLEFINANCE(""NSE:""&amp;D3712,""price"")"),"#N/A")</f>
        <v>#N/A</v>
      </c>
      <c r="M3712" s="9" t="e">
        <f t="shared" ca="1" si="72"/>
        <v>#VALUE!</v>
      </c>
      <c r="N3712" s="10" t="e">
        <f t="shared" ca="1" si="73"/>
        <v>#VALUE!</v>
      </c>
      <c r="O3712" s="7" t="str">
        <f ca="1">IFERROR(__xludf.DUMMYFUNCTION("GOOGLEFINANCE(""NSE:""&amp;D3712,""pe"")"),"#N/A")</f>
        <v>#N/A</v>
      </c>
      <c r="P3712" s="7" t="str">
        <f ca="1">IFERROR(__xludf.DUMMYFUNCTION("GOOGLEFINANCE(""NSE:""&amp;D3712,""EPS"")"),"#N/A")</f>
        <v>#N/A</v>
      </c>
      <c r="Q3712" s="7">
        <v>13.5</v>
      </c>
      <c r="R3712" s="7" t="str">
        <f ca="1">IFERROR(__xludf.DUMMYFUNCTION("IMPORTXML(E3712,""/html/body/main/div[3]/div[3]/div[2]/ul/li[7]/span[2]/span"")"),"Loading...")</f>
        <v>Loading...</v>
      </c>
      <c r="S3712" s="7" t="str">
        <f ca="1">IFERROR(__xludf.DUMMYFUNCTION("IMPORTXML(E3712,""/html/body/main/div[3]/div[3]/div[2]/ul/li[8]/span[2]/span"")"),"Loading...")</f>
        <v>Loading...</v>
      </c>
      <c r="T3712" s="4">
        <v>34.6</v>
      </c>
      <c r="U3712" s="4">
        <v>22.7</v>
      </c>
      <c r="V3712" s="4">
        <v>2.6</v>
      </c>
      <c r="W3712" s="4">
        <v>5.7</v>
      </c>
      <c r="X3712" s="4">
        <v>519.92999999999995</v>
      </c>
      <c r="Y3712" s="7" t="e">
        <f t="shared" ca="1" si="74"/>
        <v>#VALUE!</v>
      </c>
    </row>
    <row r="3713" spans="1:25" ht="15" x14ac:dyDescent="0.25">
      <c r="A3713" s="4">
        <v>3708</v>
      </c>
      <c r="C3713" s="41" t="s">
        <v>6069</v>
      </c>
      <c r="D3713" s="42"/>
      <c r="E3713" s="5" t="str">
        <f t="shared" si="70"/>
        <v>https://www.screener.in/company//consolidated/</v>
      </c>
      <c r="F3713" s="4">
        <v>443059</v>
      </c>
      <c r="G3713" s="4">
        <v>3832241897</v>
      </c>
      <c r="H3713" s="6" t="e">
        <f t="shared" ca="1" si="71"/>
        <v>#VALUE!</v>
      </c>
      <c r="I3713" s="7" t="str">
        <f ca="1">IFERROR(__xludf.DUMMYFUNCTION("IMPORTXML(E3713,""/html/body/main/div[3]/div[3]/div[2]/ul/li[5]/span[2]/span"")"),"Loading...")</f>
        <v>Loading...</v>
      </c>
      <c r="J3713" s="7" t="str">
        <f ca="1">IFERROR(__xludf.DUMMYFUNCTION("GOOGLEFINANCE(""NSE:""&amp;D3713,""marketcap"")"),"#N/A")</f>
        <v>#N/A</v>
      </c>
      <c r="K3713" s="7">
        <v>992.8</v>
      </c>
      <c r="L3713" s="8" t="str">
        <f ca="1">IFERROR(__xludf.DUMMYFUNCTION("GOOGLEFINANCE(""NSE:""&amp;D3713,""price"")"),"#N/A")</f>
        <v>#N/A</v>
      </c>
      <c r="M3713" s="9" t="e">
        <f t="shared" ca="1" si="72"/>
        <v>#VALUE!</v>
      </c>
      <c r="N3713" s="10" t="e">
        <f t="shared" ca="1" si="73"/>
        <v>#VALUE!</v>
      </c>
      <c r="O3713" s="7" t="str">
        <f ca="1">IFERROR(__xludf.DUMMYFUNCTION("GOOGLEFINANCE(""NSE:""&amp;D3713,""pe"")"),"#N/A")</f>
        <v>#N/A</v>
      </c>
      <c r="P3713" s="7" t="str">
        <f ca="1">IFERROR(__xludf.DUMMYFUNCTION("GOOGLEFINANCE(""NSE:""&amp;D3713,""EPS"")"),"#N/A")</f>
        <v>#N/A</v>
      </c>
      <c r="Q3713" s="7">
        <v>13.5</v>
      </c>
      <c r="R3713" s="7" t="str">
        <f ca="1">IFERROR(__xludf.DUMMYFUNCTION("IMPORTXML(E3713,""/html/body/main/div[3]/div[3]/div[2]/ul/li[7]/span[2]/span"")"),"Loading...")</f>
        <v>Loading...</v>
      </c>
      <c r="S3713" s="7" t="str">
        <f ca="1">IFERROR(__xludf.DUMMYFUNCTION("IMPORTXML(E3713,""/html/body/main/div[3]/div[3]/div[2]/ul/li[8]/span[2]/span"")"),"Loading...")</f>
        <v>Loading...</v>
      </c>
      <c r="T3713" s="4">
        <v>34.6</v>
      </c>
      <c r="U3713" s="4">
        <v>22.7</v>
      </c>
      <c r="V3713" s="4">
        <v>2.6</v>
      </c>
      <c r="W3713" s="4">
        <v>5.7</v>
      </c>
      <c r="X3713" s="4">
        <v>519.92999999999995</v>
      </c>
      <c r="Y3713" s="7" t="e">
        <f t="shared" ca="1" si="74"/>
        <v>#VALUE!</v>
      </c>
    </row>
    <row r="3714" spans="1:25" ht="15" x14ac:dyDescent="0.25">
      <c r="A3714" s="4">
        <v>3709</v>
      </c>
      <c r="C3714" s="41" t="s">
        <v>6070</v>
      </c>
      <c r="D3714" s="42"/>
      <c r="E3714" s="5" t="str">
        <f t="shared" si="70"/>
        <v>https://www.screener.in/company//consolidated/</v>
      </c>
      <c r="F3714" s="4">
        <v>443059</v>
      </c>
      <c r="G3714" s="4">
        <v>3832241897</v>
      </c>
      <c r="H3714" s="6" t="e">
        <f t="shared" ca="1" si="71"/>
        <v>#VALUE!</v>
      </c>
      <c r="I3714" s="7" t="str">
        <f ca="1">IFERROR(__xludf.DUMMYFUNCTION("IMPORTXML(E3714,""/html/body/main/div[3]/div[3]/div[2]/ul/li[5]/span[2]/span"")"),"Loading...")</f>
        <v>Loading...</v>
      </c>
      <c r="J3714" s="7" t="str">
        <f ca="1">IFERROR(__xludf.DUMMYFUNCTION("GOOGLEFINANCE(""NSE:""&amp;D3714,""marketcap"")"),"#N/A")</f>
        <v>#N/A</v>
      </c>
      <c r="K3714" s="7">
        <v>992.8</v>
      </c>
      <c r="L3714" s="8" t="str">
        <f ca="1">IFERROR(__xludf.DUMMYFUNCTION("GOOGLEFINANCE(""NSE:""&amp;D3714,""price"")"),"#N/A")</f>
        <v>#N/A</v>
      </c>
      <c r="M3714" s="9" t="e">
        <f t="shared" ca="1" si="72"/>
        <v>#VALUE!</v>
      </c>
      <c r="N3714" s="10" t="e">
        <f t="shared" ca="1" si="73"/>
        <v>#VALUE!</v>
      </c>
      <c r="O3714" s="7" t="str">
        <f ca="1">IFERROR(__xludf.DUMMYFUNCTION("GOOGLEFINANCE(""NSE:""&amp;D3714,""pe"")"),"#N/A")</f>
        <v>#N/A</v>
      </c>
      <c r="P3714" s="7" t="str">
        <f ca="1">IFERROR(__xludf.DUMMYFUNCTION("GOOGLEFINANCE(""NSE:""&amp;D3714,""EPS"")"),"#N/A")</f>
        <v>#N/A</v>
      </c>
      <c r="Q3714" s="7">
        <v>13.5</v>
      </c>
      <c r="R3714" s="7" t="str">
        <f ca="1">IFERROR(__xludf.DUMMYFUNCTION("IMPORTXML(E3714,""/html/body/main/div[3]/div[3]/div[2]/ul/li[7]/span[2]/span"")"),"Loading...")</f>
        <v>Loading...</v>
      </c>
      <c r="S3714" s="7" t="str">
        <f ca="1">IFERROR(__xludf.DUMMYFUNCTION("IMPORTXML(E3714,""/html/body/main/div[3]/div[3]/div[2]/ul/li[8]/span[2]/span"")"),"Loading...")</f>
        <v>Loading...</v>
      </c>
      <c r="T3714" s="4">
        <v>34.6</v>
      </c>
      <c r="U3714" s="4">
        <v>22.7</v>
      </c>
      <c r="V3714" s="4">
        <v>2.6</v>
      </c>
      <c r="W3714" s="4">
        <v>5.7</v>
      </c>
      <c r="X3714" s="4">
        <v>519.92999999999995</v>
      </c>
      <c r="Y3714" s="7" t="e">
        <f t="shared" ca="1" si="74"/>
        <v>#VALUE!</v>
      </c>
    </row>
    <row r="3715" spans="1:25" ht="15" x14ac:dyDescent="0.25">
      <c r="A3715" s="4">
        <v>3710</v>
      </c>
      <c r="C3715" s="41" t="s">
        <v>6071</v>
      </c>
      <c r="D3715" s="42"/>
      <c r="E3715" s="5" t="str">
        <f t="shared" si="70"/>
        <v>https://www.screener.in/company//consolidated/</v>
      </c>
      <c r="F3715" s="4">
        <v>443059</v>
      </c>
      <c r="G3715" s="4">
        <v>3832241897</v>
      </c>
      <c r="H3715" s="6" t="e">
        <f t="shared" ca="1" si="71"/>
        <v>#VALUE!</v>
      </c>
      <c r="I3715" s="7" t="str">
        <f ca="1">IFERROR(__xludf.DUMMYFUNCTION("IMPORTXML(E3715,""/html/body/main/div[3]/div[3]/div[2]/ul/li[5]/span[2]/span"")"),"Loading...")</f>
        <v>Loading...</v>
      </c>
      <c r="J3715" s="7" t="str">
        <f ca="1">IFERROR(__xludf.DUMMYFUNCTION("GOOGLEFINANCE(""NSE:""&amp;D3715,""marketcap"")"),"#N/A")</f>
        <v>#N/A</v>
      </c>
      <c r="K3715" s="7">
        <v>992.8</v>
      </c>
      <c r="L3715" s="8" t="str">
        <f ca="1">IFERROR(__xludf.DUMMYFUNCTION("GOOGLEFINANCE(""NSE:""&amp;D3715,""price"")"),"#N/A")</f>
        <v>#N/A</v>
      </c>
      <c r="M3715" s="9" t="e">
        <f t="shared" ca="1" si="72"/>
        <v>#VALUE!</v>
      </c>
      <c r="N3715" s="10" t="e">
        <f t="shared" ca="1" si="73"/>
        <v>#VALUE!</v>
      </c>
      <c r="O3715" s="7" t="str">
        <f ca="1">IFERROR(__xludf.DUMMYFUNCTION("GOOGLEFINANCE(""NSE:""&amp;D3715,""pe"")"),"#N/A")</f>
        <v>#N/A</v>
      </c>
      <c r="P3715" s="7" t="str">
        <f ca="1">IFERROR(__xludf.DUMMYFUNCTION("GOOGLEFINANCE(""NSE:""&amp;D3715,""EPS"")"),"#N/A")</f>
        <v>#N/A</v>
      </c>
      <c r="Q3715" s="7">
        <v>13.5</v>
      </c>
      <c r="R3715" s="7" t="str">
        <f ca="1">IFERROR(__xludf.DUMMYFUNCTION("IMPORTXML(E3715,""/html/body/main/div[3]/div[3]/div[2]/ul/li[7]/span[2]/span"")"),"Loading...")</f>
        <v>Loading...</v>
      </c>
      <c r="S3715" s="7" t="str">
        <f ca="1">IFERROR(__xludf.DUMMYFUNCTION("IMPORTXML(E3715,""/html/body/main/div[3]/div[3]/div[2]/ul/li[8]/span[2]/span"")"),"Loading...")</f>
        <v>Loading...</v>
      </c>
      <c r="T3715" s="4">
        <v>34.6</v>
      </c>
      <c r="U3715" s="4">
        <v>22.7</v>
      </c>
      <c r="V3715" s="4">
        <v>2.6</v>
      </c>
      <c r="W3715" s="4">
        <v>5.7</v>
      </c>
      <c r="X3715" s="4">
        <v>519.92999999999995</v>
      </c>
      <c r="Y3715" s="7" t="e">
        <f t="shared" ca="1" si="74"/>
        <v>#VALUE!</v>
      </c>
    </row>
    <row r="3716" spans="1:25" ht="15" x14ac:dyDescent="0.25">
      <c r="A3716" s="4">
        <v>3711</v>
      </c>
      <c r="C3716" s="41" t="s">
        <v>6072</v>
      </c>
      <c r="D3716" s="42"/>
      <c r="E3716" s="5" t="str">
        <f t="shared" si="70"/>
        <v>https://www.screener.in/company//consolidated/</v>
      </c>
      <c r="F3716" s="4">
        <v>443059</v>
      </c>
      <c r="G3716" s="4">
        <v>3832241897</v>
      </c>
      <c r="H3716" s="6" t="e">
        <f t="shared" ca="1" si="71"/>
        <v>#VALUE!</v>
      </c>
      <c r="I3716" s="7" t="str">
        <f ca="1">IFERROR(__xludf.DUMMYFUNCTION("IMPORTXML(E3716,""/html/body/main/div[3]/div[3]/div[2]/ul/li[5]/span[2]/span"")"),"Loading...")</f>
        <v>Loading...</v>
      </c>
      <c r="J3716" s="7" t="str">
        <f ca="1">IFERROR(__xludf.DUMMYFUNCTION("GOOGLEFINANCE(""NSE:""&amp;D3716,""marketcap"")"),"#N/A")</f>
        <v>#N/A</v>
      </c>
      <c r="K3716" s="7">
        <v>992.8</v>
      </c>
      <c r="L3716" s="8" t="str">
        <f ca="1">IFERROR(__xludf.DUMMYFUNCTION("GOOGLEFINANCE(""NSE:""&amp;D3716,""price"")"),"#N/A")</f>
        <v>#N/A</v>
      </c>
      <c r="M3716" s="9" t="e">
        <f t="shared" ca="1" si="72"/>
        <v>#VALUE!</v>
      </c>
      <c r="N3716" s="10" t="e">
        <f t="shared" ca="1" si="73"/>
        <v>#VALUE!</v>
      </c>
      <c r="O3716" s="7" t="str">
        <f ca="1">IFERROR(__xludf.DUMMYFUNCTION("GOOGLEFINANCE(""NSE:""&amp;D3716,""pe"")"),"#N/A")</f>
        <v>#N/A</v>
      </c>
      <c r="P3716" s="7" t="str">
        <f ca="1">IFERROR(__xludf.DUMMYFUNCTION("GOOGLEFINANCE(""NSE:""&amp;D3716,""EPS"")"),"#N/A")</f>
        <v>#N/A</v>
      </c>
      <c r="Q3716" s="7">
        <v>13.5</v>
      </c>
      <c r="R3716" s="7" t="str">
        <f ca="1">IFERROR(__xludf.DUMMYFUNCTION("IMPORTXML(E3716,""/html/body/main/div[3]/div[3]/div[2]/ul/li[7]/span[2]/span"")"),"Loading...")</f>
        <v>Loading...</v>
      </c>
      <c r="S3716" s="7" t="str">
        <f ca="1">IFERROR(__xludf.DUMMYFUNCTION("IMPORTXML(E3716,""/html/body/main/div[3]/div[3]/div[2]/ul/li[8]/span[2]/span"")"),"Loading...")</f>
        <v>Loading...</v>
      </c>
      <c r="T3716" s="4">
        <v>34.6</v>
      </c>
      <c r="U3716" s="4">
        <v>22.7</v>
      </c>
      <c r="V3716" s="4">
        <v>2.6</v>
      </c>
      <c r="W3716" s="4">
        <v>5.7</v>
      </c>
      <c r="X3716" s="4">
        <v>519.92999999999995</v>
      </c>
      <c r="Y3716" s="7" t="e">
        <f t="shared" ca="1" si="74"/>
        <v>#VALUE!</v>
      </c>
    </row>
    <row r="3717" spans="1:25" ht="15" x14ac:dyDescent="0.25">
      <c r="A3717" s="4">
        <v>3712</v>
      </c>
      <c r="C3717" s="41" t="s">
        <v>6073</v>
      </c>
      <c r="D3717" s="42"/>
      <c r="E3717" s="5" t="str">
        <f t="shared" si="70"/>
        <v>https://www.screener.in/company//consolidated/</v>
      </c>
      <c r="F3717" s="4">
        <v>443059</v>
      </c>
      <c r="G3717" s="4">
        <v>3832241897</v>
      </c>
      <c r="H3717" s="6" t="e">
        <f t="shared" ca="1" si="71"/>
        <v>#VALUE!</v>
      </c>
      <c r="I3717" s="7" t="str">
        <f ca="1">IFERROR(__xludf.DUMMYFUNCTION("IMPORTXML(E3717,""/html/body/main/div[3]/div[3]/div[2]/ul/li[5]/span[2]/span"")"),"Loading...")</f>
        <v>Loading...</v>
      </c>
      <c r="J3717" s="7" t="str">
        <f ca="1">IFERROR(__xludf.DUMMYFUNCTION("GOOGLEFINANCE(""NSE:""&amp;D3717,""marketcap"")"),"#N/A")</f>
        <v>#N/A</v>
      </c>
      <c r="K3717" s="7">
        <v>992.8</v>
      </c>
      <c r="L3717" s="8" t="str">
        <f ca="1">IFERROR(__xludf.DUMMYFUNCTION("GOOGLEFINANCE(""NSE:""&amp;D3717,""price"")"),"#N/A")</f>
        <v>#N/A</v>
      </c>
      <c r="M3717" s="9" t="e">
        <f t="shared" ca="1" si="72"/>
        <v>#VALUE!</v>
      </c>
      <c r="N3717" s="10" t="e">
        <f t="shared" ca="1" si="73"/>
        <v>#VALUE!</v>
      </c>
      <c r="O3717" s="7" t="str">
        <f ca="1">IFERROR(__xludf.DUMMYFUNCTION("GOOGLEFINANCE(""NSE:""&amp;D3717,""pe"")"),"#N/A")</f>
        <v>#N/A</v>
      </c>
      <c r="P3717" s="7" t="str">
        <f ca="1">IFERROR(__xludf.DUMMYFUNCTION("GOOGLEFINANCE(""NSE:""&amp;D3717,""EPS"")"),"#N/A")</f>
        <v>#N/A</v>
      </c>
      <c r="Q3717" s="7">
        <v>13.5</v>
      </c>
      <c r="R3717" s="7" t="str">
        <f ca="1">IFERROR(__xludf.DUMMYFUNCTION("IMPORTXML(E3717,""/html/body/main/div[3]/div[3]/div[2]/ul/li[7]/span[2]/span"")"),"Loading...")</f>
        <v>Loading...</v>
      </c>
      <c r="S3717" s="7" t="str">
        <f ca="1">IFERROR(__xludf.DUMMYFUNCTION("IMPORTXML(E3717,""/html/body/main/div[3]/div[3]/div[2]/ul/li[8]/span[2]/span"")"),"Loading...")</f>
        <v>Loading...</v>
      </c>
      <c r="T3717" s="4">
        <v>34.6</v>
      </c>
      <c r="U3717" s="4">
        <v>22.7</v>
      </c>
      <c r="V3717" s="4">
        <v>2.6</v>
      </c>
      <c r="W3717" s="4">
        <v>5.7</v>
      </c>
      <c r="X3717" s="4">
        <v>519.92999999999995</v>
      </c>
      <c r="Y3717" s="7" t="e">
        <f t="shared" ca="1" si="74"/>
        <v>#VALUE!</v>
      </c>
    </row>
    <row r="3718" spans="1:25" ht="15" x14ac:dyDescent="0.25">
      <c r="A3718" s="4">
        <v>3713</v>
      </c>
      <c r="C3718" s="41" t="s">
        <v>6074</v>
      </c>
      <c r="D3718" s="42"/>
      <c r="E3718" s="5" t="str">
        <f t="shared" si="70"/>
        <v>https://www.screener.in/company//consolidated/</v>
      </c>
      <c r="F3718" s="4">
        <v>443059</v>
      </c>
      <c r="G3718" s="4">
        <v>3832241897</v>
      </c>
      <c r="H3718" s="6" t="e">
        <f t="shared" ca="1" si="71"/>
        <v>#VALUE!</v>
      </c>
      <c r="I3718" s="7" t="str">
        <f ca="1">IFERROR(__xludf.DUMMYFUNCTION("IMPORTXML(E3718,""/html/body/main/div[3]/div[3]/div[2]/ul/li[5]/span[2]/span"")"),"Loading...")</f>
        <v>Loading...</v>
      </c>
      <c r="J3718" s="7" t="str">
        <f ca="1">IFERROR(__xludf.DUMMYFUNCTION("GOOGLEFINANCE(""NSE:""&amp;D3718,""marketcap"")"),"#N/A")</f>
        <v>#N/A</v>
      </c>
      <c r="K3718" s="7">
        <v>992.8</v>
      </c>
      <c r="L3718" s="8" t="str">
        <f ca="1">IFERROR(__xludf.DUMMYFUNCTION("GOOGLEFINANCE(""NSE:""&amp;D3718,""price"")"),"#N/A")</f>
        <v>#N/A</v>
      </c>
      <c r="M3718" s="9" t="e">
        <f t="shared" ca="1" si="72"/>
        <v>#VALUE!</v>
      </c>
      <c r="N3718" s="10" t="e">
        <f t="shared" ca="1" si="73"/>
        <v>#VALUE!</v>
      </c>
      <c r="O3718" s="7" t="str">
        <f ca="1">IFERROR(__xludf.DUMMYFUNCTION("GOOGLEFINANCE(""NSE:""&amp;D3718,""pe"")"),"#N/A")</f>
        <v>#N/A</v>
      </c>
      <c r="P3718" s="7" t="str">
        <f ca="1">IFERROR(__xludf.DUMMYFUNCTION("GOOGLEFINANCE(""NSE:""&amp;D3718,""EPS"")"),"#N/A")</f>
        <v>#N/A</v>
      </c>
      <c r="Q3718" s="7">
        <v>13.5</v>
      </c>
      <c r="R3718" s="7" t="str">
        <f ca="1">IFERROR(__xludf.DUMMYFUNCTION("IMPORTXML(E3718,""/html/body/main/div[3]/div[3]/div[2]/ul/li[7]/span[2]/span"")"),"Loading...")</f>
        <v>Loading...</v>
      </c>
      <c r="S3718" s="7" t="str">
        <f ca="1">IFERROR(__xludf.DUMMYFUNCTION("IMPORTXML(E3718,""/html/body/main/div[3]/div[3]/div[2]/ul/li[8]/span[2]/span"")"),"Loading...")</f>
        <v>Loading...</v>
      </c>
      <c r="T3718" s="4">
        <v>34.6</v>
      </c>
      <c r="U3718" s="4">
        <v>22.7</v>
      </c>
      <c r="V3718" s="4">
        <v>2.6</v>
      </c>
      <c r="W3718" s="4">
        <v>5.7</v>
      </c>
      <c r="X3718" s="4">
        <v>519.92999999999995</v>
      </c>
      <c r="Y3718" s="7" t="e">
        <f t="shared" ca="1" si="74"/>
        <v>#VALUE!</v>
      </c>
    </row>
    <row r="3719" spans="1:25" ht="15" x14ac:dyDescent="0.25">
      <c r="A3719" s="4">
        <v>3714</v>
      </c>
      <c r="C3719" s="41" t="s">
        <v>6075</v>
      </c>
      <c r="D3719" s="42"/>
      <c r="E3719" s="5" t="str">
        <f t="shared" si="70"/>
        <v>https://www.screener.in/company//consolidated/</v>
      </c>
      <c r="F3719" s="4">
        <v>443059</v>
      </c>
      <c r="G3719" s="4">
        <v>3832241897</v>
      </c>
      <c r="H3719" s="6" t="e">
        <f t="shared" ca="1" si="71"/>
        <v>#VALUE!</v>
      </c>
      <c r="I3719" s="7" t="str">
        <f ca="1">IFERROR(__xludf.DUMMYFUNCTION("IMPORTXML(E3719,""/html/body/main/div[3]/div[3]/div[2]/ul/li[5]/span[2]/span"")"),"Loading...")</f>
        <v>Loading...</v>
      </c>
      <c r="J3719" s="7" t="str">
        <f ca="1">IFERROR(__xludf.DUMMYFUNCTION("GOOGLEFINANCE(""NSE:""&amp;D3719,""marketcap"")"),"#N/A")</f>
        <v>#N/A</v>
      </c>
      <c r="K3719" s="7">
        <v>992.8</v>
      </c>
      <c r="L3719" s="8" t="str">
        <f ca="1">IFERROR(__xludf.DUMMYFUNCTION("GOOGLEFINANCE(""NSE:""&amp;D3719,""price"")"),"#N/A")</f>
        <v>#N/A</v>
      </c>
      <c r="M3719" s="9" t="e">
        <f t="shared" ca="1" si="72"/>
        <v>#VALUE!</v>
      </c>
      <c r="N3719" s="10" t="e">
        <f t="shared" ca="1" si="73"/>
        <v>#VALUE!</v>
      </c>
      <c r="O3719" s="7" t="str">
        <f ca="1">IFERROR(__xludf.DUMMYFUNCTION("GOOGLEFINANCE(""NSE:""&amp;D3719,""pe"")"),"#N/A")</f>
        <v>#N/A</v>
      </c>
      <c r="P3719" s="7" t="str">
        <f ca="1">IFERROR(__xludf.DUMMYFUNCTION("GOOGLEFINANCE(""NSE:""&amp;D3719,""EPS"")"),"#N/A")</f>
        <v>#N/A</v>
      </c>
      <c r="Q3719" s="7">
        <v>13.5</v>
      </c>
      <c r="R3719" s="7" t="str">
        <f ca="1">IFERROR(__xludf.DUMMYFUNCTION("IMPORTXML(E3719,""/html/body/main/div[3]/div[3]/div[2]/ul/li[7]/span[2]/span"")"),"Loading...")</f>
        <v>Loading...</v>
      </c>
      <c r="S3719" s="7" t="str">
        <f ca="1">IFERROR(__xludf.DUMMYFUNCTION("IMPORTXML(E3719,""/html/body/main/div[3]/div[3]/div[2]/ul/li[8]/span[2]/span"")"),"Loading...")</f>
        <v>Loading...</v>
      </c>
      <c r="T3719" s="4">
        <v>34.6</v>
      </c>
      <c r="U3719" s="4">
        <v>22.7</v>
      </c>
      <c r="V3719" s="4">
        <v>2.6</v>
      </c>
      <c r="W3719" s="4">
        <v>5.7</v>
      </c>
      <c r="X3719" s="4">
        <v>519.92999999999995</v>
      </c>
      <c r="Y3719" s="7" t="e">
        <f t="shared" ca="1" si="74"/>
        <v>#VALUE!</v>
      </c>
    </row>
    <row r="3720" spans="1:25" ht="15" x14ac:dyDescent="0.25">
      <c r="A3720" s="4">
        <v>3715</v>
      </c>
      <c r="C3720" s="41" t="s">
        <v>6076</v>
      </c>
      <c r="D3720" s="42"/>
      <c r="E3720" s="5" t="str">
        <f t="shared" si="70"/>
        <v>https://www.screener.in/company//consolidated/</v>
      </c>
      <c r="F3720" s="4">
        <v>443059</v>
      </c>
      <c r="G3720" s="4">
        <v>3832241897</v>
      </c>
      <c r="H3720" s="6" t="e">
        <f t="shared" ca="1" si="71"/>
        <v>#VALUE!</v>
      </c>
      <c r="I3720" s="7" t="str">
        <f ca="1">IFERROR(__xludf.DUMMYFUNCTION("IMPORTXML(E3720,""/html/body/main/div[3]/div[3]/div[2]/ul/li[5]/span[2]/span"")"),"Loading...")</f>
        <v>Loading...</v>
      </c>
      <c r="J3720" s="7" t="str">
        <f ca="1">IFERROR(__xludf.DUMMYFUNCTION("GOOGLEFINANCE(""NSE:""&amp;D3720,""marketcap"")"),"#N/A")</f>
        <v>#N/A</v>
      </c>
      <c r="K3720" s="7">
        <v>992.8</v>
      </c>
      <c r="L3720" s="8" t="str">
        <f ca="1">IFERROR(__xludf.DUMMYFUNCTION("GOOGLEFINANCE(""NSE:""&amp;D3720,""price"")"),"#N/A")</f>
        <v>#N/A</v>
      </c>
      <c r="M3720" s="9" t="e">
        <f t="shared" ca="1" si="72"/>
        <v>#VALUE!</v>
      </c>
      <c r="N3720" s="10" t="e">
        <f t="shared" ca="1" si="73"/>
        <v>#VALUE!</v>
      </c>
      <c r="O3720" s="7" t="str">
        <f ca="1">IFERROR(__xludf.DUMMYFUNCTION("GOOGLEFINANCE(""NSE:""&amp;D3720,""pe"")"),"#N/A")</f>
        <v>#N/A</v>
      </c>
      <c r="P3720" s="7" t="str">
        <f ca="1">IFERROR(__xludf.DUMMYFUNCTION("GOOGLEFINANCE(""NSE:""&amp;D3720,""EPS"")"),"#N/A")</f>
        <v>#N/A</v>
      </c>
      <c r="Q3720" s="7">
        <v>13.5</v>
      </c>
      <c r="R3720" s="7" t="str">
        <f ca="1">IFERROR(__xludf.DUMMYFUNCTION("IMPORTXML(E3720,""/html/body/main/div[3]/div[3]/div[2]/ul/li[7]/span[2]/span"")"),"Loading...")</f>
        <v>Loading...</v>
      </c>
      <c r="S3720" s="7" t="str">
        <f ca="1">IFERROR(__xludf.DUMMYFUNCTION("IMPORTXML(E3720,""/html/body/main/div[3]/div[3]/div[2]/ul/li[8]/span[2]/span"")"),"Loading...")</f>
        <v>Loading...</v>
      </c>
      <c r="T3720" s="4">
        <v>34.6</v>
      </c>
      <c r="U3720" s="4">
        <v>22.7</v>
      </c>
      <c r="V3720" s="4">
        <v>2.6</v>
      </c>
      <c r="W3720" s="4">
        <v>5.7</v>
      </c>
      <c r="X3720" s="4">
        <v>519.92999999999995</v>
      </c>
      <c r="Y3720" s="7" t="e">
        <f t="shared" ca="1" si="74"/>
        <v>#VALUE!</v>
      </c>
    </row>
    <row r="3721" spans="1:25" ht="15" x14ac:dyDescent="0.25">
      <c r="A3721" s="4">
        <v>3716</v>
      </c>
      <c r="C3721" s="41" t="s">
        <v>6077</v>
      </c>
      <c r="D3721" s="42"/>
      <c r="E3721" s="5" t="str">
        <f t="shared" si="70"/>
        <v>https://www.screener.in/company//consolidated/</v>
      </c>
      <c r="F3721" s="4">
        <v>443059</v>
      </c>
      <c r="G3721" s="4">
        <v>3832241897</v>
      </c>
      <c r="H3721" s="6" t="e">
        <f t="shared" ca="1" si="71"/>
        <v>#VALUE!</v>
      </c>
      <c r="I3721" s="7" t="str">
        <f ca="1">IFERROR(__xludf.DUMMYFUNCTION("IMPORTXML(E3721,""/html/body/main/div[3]/div[3]/div[2]/ul/li[5]/span[2]/span"")"),"Loading...")</f>
        <v>Loading...</v>
      </c>
      <c r="J3721" s="7" t="str">
        <f ca="1">IFERROR(__xludf.DUMMYFUNCTION("GOOGLEFINANCE(""NSE:""&amp;D3721,""marketcap"")"),"#N/A")</f>
        <v>#N/A</v>
      </c>
      <c r="K3721" s="7">
        <v>992.8</v>
      </c>
      <c r="L3721" s="8" t="str">
        <f ca="1">IFERROR(__xludf.DUMMYFUNCTION("GOOGLEFINANCE(""NSE:""&amp;D3721,""price"")"),"#N/A")</f>
        <v>#N/A</v>
      </c>
      <c r="M3721" s="9" t="e">
        <f t="shared" ca="1" si="72"/>
        <v>#VALUE!</v>
      </c>
      <c r="N3721" s="10" t="e">
        <f t="shared" ca="1" si="73"/>
        <v>#VALUE!</v>
      </c>
      <c r="O3721" s="7" t="str">
        <f ca="1">IFERROR(__xludf.DUMMYFUNCTION("GOOGLEFINANCE(""NSE:""&amp;D3721,""pe"")"),"#N/A")</f>
        <v>#N/A</v>
      </c>
      <c r="P3721" s="7" t="str">
        <f ca="1">IFERROR(__xludf.DUMMYFUNCTION("GOOGLEFINANCE(""NSE:""&amp;D3721,""EPS"")"),"#N/A")</f>
        <v>#N/A</v>
      </c>
      <c r="Q3721" s="7">
        <v>13.5</v>
      </c>
      <c r="R3721" s="7" t="str">
        <f ca="1">IFERROR(__xludf.DUMMYFUNCTION("IMPORTXML(E3721,""/html/body/main/div[3]/div[3]/div[2]/ul/li[7]/span[2]/span"")"),"Loading...")</f>
        <v>Loading...</v>
      </c>
      <c r="S3721" s="7" t="str">
        <f ca="1">IFERROR(__xludf.DUMMYFUNCTION("IMPORTXML(E3721,""/html/body/main/div[3]/div[3]/div[2]/ul/li[8]/span[2]/span"")"),"Loading...")</f>
        <v>Loading...</v>
      </c>
      <c r="T3721" s="4">
        <v>34.6</v>
      </c>
      <c r="U3721" s="4">
        <v>22.7</v>
      </c>
      <c r="V3721" s="4">
        <v>2.6</v>
      </c>
      <c r="W3721" s="4">
        <v>5.7</v>
      </c>
      <c r="X3721" s="4">
        <v>519.92999999999995</v>
      </c>
      <c r="Y3721" s="7" t="e">
        <f t="shared" ca="1" si="74"/>
        <v>#VALUE!</v>
      </c>
    </row>
    <row r="3722" spans="1:25" ht="15" x14ac:dyDescent="0.25">
      <c r="A3722" s="4">
        <v>3717</v>
      </c>
      <c r="C3722" s="41" t="s">
        <v>6078</v>
      </c>
      <c r="D3722" s="42"/>
      <c r="E3722" s="5" t="str">
        <f t="shared" si="70"/>
        <v>https://www.screener.in/company//consolidated/</v>
      </c>
      <c r="F3722" s="4">
        <v>443059</v>
      </c>
      <c r="G3722" s="4">
        <v>3832241897</v>
      </c>
      <c r="H3722" s="6" t="e">
        <f t="shared" ca="1" si="71"/>
        <v>#VALUE!</v>
      </c>
      <c r="I3722" s="7" t="str">
        <f ca="1">IFERROR(__xludf.DUMMYFUNCTION("IMPORTXML(E3722,""/html/body/main/div[3]/div[3]/div[2]/ul/li[5]/span[2]/span"")"),"Loading...")</f>
        <v>Loading...</v>
      </c>
      <c r="J3722" s="7" t="str">
        <f ca="1">IFERROR(__xludf.DUMMYFUNCTION("GOOGLEFINANCE(""NSE:""&amp;D3722,""marketcap"")"),"#N/A")</f>
        <v>#N/A</v>
      </c>
      <c r="K3722" s="7">
        <v>992.8</v>
      </c>
      <c r="L3722" s="8" t="str">
        <f ca="1">IFERROR(__xludf.DUMMYFUNCTION("GOOGLEFINANCE(""NSE:""&amp;D3722,""price"")"),"#N/A")</f>
        <v>#N/A</v>
      </c>
      <c r="M3722" s="9" t="e">
        <f t="shared" ca="1" si="72"/>
        <v>#VALUE!</v>
      </c>
      <c r="N3722" s="10" t="e">
        <f t="shared" ca="1" si="73"/>
        <v>#VALUE!</v>
      </c>
      <c r="O3722" s="7" t="str">
        <f ca="1">IFERROR(__xludf.DUMMYFUNCTION("GOOGLEFINANCE(""NSE:""&amp;D3722,""pe"")"),"#N/A")</f>
        <v>#N/A</v>
      </c>
      <c r="P3722" s="7" t="str">
        <f ca="1">IFERROR(__xludf.DUMMYFUNCTION("GOOGLEFINANCE(""NSE:""&amp;D3722,""EPS"")"),"#N/A")</f>
        <v>#N/A</v>
      </c>
      <c r="Q3722" s="7">
        <v>13.5</v>
      </c>
      <c r="R3722" s="7" t="str">
        <f ca="1">IFERROR(__xludf.DUMMYFUNCTION("IMPORTXML(E3722,""/html/body/main/div[3]/div[3]/div[2]/ul/li[7]/span[2]/span"")"),"Loading...")</f>
        <v>Loading...</v>
      </c>
      <c r="S3722" s="7" t="str">
        <f ca="1">IFERROR(__xludf.DUMMYFUNCTION("IMPORTXML(E3722,""/html/body/main/div[3]/div[3]/div[2]/ul/li[8]/span[2]/span"")"),"Loading...")</f>
        <v>Loading...</v>
      </c>
      <c r="T3722" s="4">
        <v>34.6</v>
      </c>
      <c r="U3722" s="4">
        <v>22.7</v>
      </c>
      <c r="V3722" s="4">
        <v>2.6</v>
      </c>
      <c r="W3722" s="4">
        <v>5.7</v>
      </c>
      <c r="X3722" s="4">
        <v>519.92999999999995</v>
      </c>
      <c r="Y3722" s="7" t="e">
        <f t="shared" ca="1" si="74"/>
        <v>#VALUE!</v>
      </c>
    </row>
    <row r="3723" spans="1:25" ht="15" x14ac:dyDescent="0.25">
      <c r="A3723" s="4">
        <v>3718</v>
      </c>
      <c r="C3723" s="41" t="s">
        <v>6079</v>
      </c>
      <c r="D3723" s="42"/>
      <c r="E3723" s="5" t="str">
        <f t="shared" si="70"/>
        <v>https://www.screener.in/company//consolidated/</v>
      </c>
      <c r="F3723" s="4">
        <v>443059</v>
      </c>
      <c r="G3723" s="4">
        <v>3832241897</v>
      </c>
      <c r="H3723" s="6" t="e">
        <f t="shared" ca="1" si="71"/>
        <v>#VALUE!</v>
      </c>
      <c r="I3723" s="7" t="str">
        <f ca="1">IFERROR(__xludf.DUMMYFUNCTION("IMPORTXML(E3723,""/html/body/main/div[3]/div[3]/div[2]/ul/li[5]/span[2]/span"")"),"Loading...")</f>
        <v>Loading...</v>
      </c>
      <c r="J3723" s="7" t="str">
        <f ca="1">IFERROR(__xludf.DUMMYFUNCTION("GOOGLEFINANCE(""NSE:""&amp;D3723,""marketcap"")"),"#N/A")</f>
        <v>#N/A</v>
      </c>
      <c r="K3723" s="7">
        <v>992.8</v>
      </c>
      <c r="L3723" s="8" t="str">
        <f ca="1">IFERROR(__xludf.DUMMYFUNCTION("GOOGLEFINANCE(""NSE:""&amp;D3723,""price"")"),"#N/A")</f>
        <v>#N/A</v>
      </c>
      <c r="M3723" s="9" t="e">
        <f t="shared" ca="1" si="72"/>
        <v>#VALUE!</v>
      </c>
      <c r="N3723" s="10" t="e">
        <f t="shared" ca="1" si="73"/>
        <v>#VALUE!</v>
      </c>
      <c r="O3723" s="7" t="str">
        <f ca="1">IFERROR(__xludf.DUMMYFUNCTION("GOOGLEFINANCE(""NSE:""&amp;D3723,""pe"")"),"#N/A")</f>
        <v>#N/A</v>
      </c>
      <c r="P3723" s="7" t="str">
        <f ca="1">IFERROR(__xludf.DUMMYFUNCTION("GOOGLEFINANCE(""NSE:""&amp;D3723,""EPS"")"),"#N/A")</f>
        <v>#N/A</v>
      </c>
      <c r="Q3723" s="7">
        <v>13.5</v>
      </c>
      <c r="R3723" s="7" t="str">
        <f ca="1">IFERROR(__xludf.DUMMYFUNCTION("IMPORTXML(E3723,""/html/body/main/div[3]/div[3]/div[2]/ul/li[7]/span[2]/span"")"),"Loading...")</f>
        <v>Loading...</v>
      </c>
      <c r="S3723" s="7" t="str">
        <f ca="1">IFERROR(__xludf.DUMMYFUNCTION("IMPORTXML(E3723,""/html/body/main/div[3]/div[3]/div[2]/ul/li[8]/span[2]/span"")"),"Loading...")</f>
        <v>Loading...</v>
      </c>
      <c r="T3723" s="4">
        <v>34.6</v>
      </c>
      <c r="U3723" s="4">
        <v>22.7</v>
      </c>
      <c r="V3723" s="4">
        <v>2.6</v>
      </c>
      <c r="W3723" s="4">
        <v>5.7</v>
      </c>
      <c r="X3723" s="4">
        <v>519.92999999999995</v>
      </c>
      <c r="Y3723" s="7" t="e">
        <f t="shared" ca="1" si="74"/>
        <v>#VALUE!</v>
      </c>
    </row>
    <row r="3724" spans="1:25" ht="15" x14ac:dyDescent="0.25">
      <c r="A3724" s="4">
        <v>3719</v>
      </c>
      <c r="C3724" s="41" t="s">
        <v>6080</v>
      </c>
      <c r="D3724" s="42"/>
      <c r="E3724" s="5" t="str">
        <f t="shared" si="70"/>
        <v>https://www.screener.in/company//consolidated/</v>
      </c>
      <c r="F3724" s="4">
        <v>443059</v>
      </c>
      <c r="G3724" s="4">
        <v>3832241897</v>
      </c>
      <c r="H3724" s="6" t="e">
        <f t="shared" ca="1" si="71"/>
        <v>#VALUE!</v>
      </c>
      <c r="I3724" s="7" t="str">
        <f ca="1">IFERROR(__xludf.DUMMYFUNCTION("IMPORTXML(E3724,""/html/body/main/div[3]/div[3]/div[2]/ul/li[5]/span[2]/span"")"),"Loading...")</f>
        <v>Loading...</v>
      </c>
      <c r="J3724" s="7" t="str">
        <f ca="1">IFERROR(__xludf.DUMMYFUNCTION("GOOGLEFINANCE(""NSE:""&amp;D3724,""marketcap"")"),"#N/A")</f>
        <v>#N/A</v>
      </c>
      <c r="K3724" s="7">
        <v>992.8</v>
      </c>
      <c r="L3724" s="8" t="str">
        <f ca="1">IFERROR(__xludf.DUMMYFUNCTION("GOOGLEFINANCE(""NSE:""&amp;D3724,""price"")"),"#N/A")</f>
        <v>#N/A</v>
      </c>
      <c r="M3724" s="9" t="e">
        <f t="shared" ca="1" si="72"/>
        <v>#VALUE!</v>
      </c>
      <c r="N3724" s="10" t="e">
        <f t="shared" ca="1" si="73"/>
        <v>#VALUE!</v>
      </c>
      <c r="O3724" s="7" t="str">
        <f ca="1">IFERROR(__xludf.DUMMYFUNCTION("GOOGLEFINANCE(""NSE:""&amp;D3724,""pe"")"),"#N/A")</f>
        <v>#N/A</v>
      </c>
      <c r="P3724" s="7" t="str">
        <f ca="1">IFERROR(__xludf.DUMMYFUNCTION("GOOGLEFINANCE(""NSE:""&amp;D3724,""EPS"")"),"#N/A")</f>
        <v>#N/A</v>
      </c>
      <c r="Q3724" s="7">
        <v>13.5</v>
      </c>
      <c r="R3724" s="7" t="str">
        <f ca="1">IFERROR(__xludf.DUMMYFUNCTION("IMPORTXML(E3724,""/html/body/main/div[3]/div[3]/div[2]/ul/li[7]/span[2]/span"")"),"Loading...")</f>
        <v>Loading...</v>
      </c>
      <c r="S3724" s="7" t="str">
        <f ca="1">IFERROR(__xludf.DUMMYFUNCTION("IMPORTXML(E3724,""/html/body/main/div[3]/div[3]/div[2]/ul/li[8]/span[2]/span"")"),"Loading...")</f>
        <v>Loading...</v>
      </c>
      <c r="T3724" s="4">
        <v>34.6</v>
      </c>
      <c r="U3724" s="4">
        <v>22.7</v>
      </c>
      <c r="V3724" s="4">
        <v>2.6</v>
      </c>
      <c r="W3724" s="4">
        <v>5.7</v>
      </c>
      <c r="X3724" s="4">
        <v>519.92999999999995</v>
      </c>
      <c r="Y3724" s="7" t="e">
        <f t="shared" ca="1" si="74"/>
        <v>#VALUE!</v>
      </c>
    </row>
    <row r="3725" spans="1:25" ht="15" x14ac:dyDescent="0.25">
      <c r="A3725" s="4">
        <v>3720</v>
      </c>
      <c r="C3725" s="41" t="s">
        <v>6081</v>
      </c>
      <c r="D3725" s="42"/>
      <c r="E3725" s="5" t="str">
        <f t="shared" si="70"/>
        <v>https://www.screener.in/company//consolidated/</v>
      </c>
      <c r="F3725" s="4">
        <v>443059</v>
      </c>
      <c r="G3725" s="4">
        <v>3832241897</v>
      </c>
      <c r="H3725" s="6" t="e">
        <f t="shared" ca="1" si="71"/>
        <v>#VALUE!</v>
      </c>
      <c r="I3725" s="7" t="str">
        <f ca="1">IFERROR(__xludf.DUMMYFUNCTION("IMPORTXML(E3725,""/html/body/main/div[3]/div[3]/div[2]/ul/li[5]/span[2]/span"")"),"Loading...")</f>
        <v>Loading...</v>
      </c>
      <c r="J3725" s="7" t="str">
        <f ca="1">IFERROR(__xludf.DUMMYFUNCTION("GOOGLEFINANCE(""NSE:""&amp;D3725,""marketcap"")"),"#N/A")</f>
        <v>#N/A</v>
      </c>
      <c r="K3725" s="7">
        <v>992.8</v>
      </c>
      <c r="L3725" s="8" t="str">
        <f ca="1">IFERROR(__xludf.DUMMYFUNCTION("GOOGLEFINANCE(""NSE:""&amp;D3725,""price"")"),"#N/A")</f>
        <v>#N/A</v>
      </c>
      <c r="M3725" s="9" t="e">
        <f t="shared" ca="1" si="72"/>
        <v>#VALUE!</v>
      </c>
      <c r="N3725" s="10" t="e">
        <f t="shared" ca="1" si="73"/>
        <v>#VALUE!</v>
      </c>
      <c r="O3725" s="7" t="str">
        <f ca="1">IFERROR(__xludf.DUMMYFUNCTION("GOOGLEFINANCE(""NSE:""&amp;D3725,""pe"")"),"#N/A")</f>
        <v>#N/A</v>
      </c>
      <c r="P3725" s="7" t="str">
        <f ca="1">IFERROR(__xludf.DUMMYFUNCTION("GOOGLEFINANCE(""NSE:""&amp;D3725,""EPS"")"),"#N/A")</f>
        <v>#N/A</v>
      </c>
      <c r="Q3725" s="7">
        <v>13.5</v>
      </c>
      <c r="R3725" s="7" t="str">
        <f ca="1">IFERROR(__xludf.DUMMYFUNCTION("IMPORTXML(E3725,""/html/body/main/div[3]/div[3]/div[2]/ul/li[7]/span[2]/span"")"),"Loading...")</f>
        <v>Loading...</v>
      </c>
      <c r="S3725" s="7" t="str">
        <f ca="1">IFERROR(__xludf.DUMMYFUNCTION("IMPORTXML(E3725,""/html/body/main/div[3]/div[3]/div[2]/ul/li[8]/span[2]/span"")"),"Loading...")</f>
        <v>Loading...</v>
      </c>
      <c r="T3725" s="4">
        <v>34.6</v>
      </c>
      <c r="U3725" s="4">
        <v>22.7</v>
      </c>
      <c r="V3725" s="4">
        <v>2.6</v>
      </c>
      <c r="W3725" s="4">
        <v>5.7</v>
      </c>
      <c r="X3725" s="4">
        <v>519.92999999999995</v>
      </c>
      <c r="Y3725" s="7" t="e">
        <f t="shared" ca="1" si="74"/>
        <v>#VALUE!</v>
      </c>
    </row>
    <row r="3726" spans="1:25" ht="15" x14ac:dyDescent="0.25">
      <c r="A3726" s="4">
        <v>3722</v>
      </c>
      <c r="C3726" s="41" t="s">
        <v>6082</v>
      </c>
      <c r="D3726" s="42"/>
      <c r="E3726" s="5" t="str">
        <f t="shared" si="70"/>
        <v>https://www.screener.in/company//consolidated/</v>
      </c>
      <c r="F3726" s="4">
        <v>443059</v>
      </c>
      <c r="G3726" s="4">
        <v>3832241897</v>
      </c>
      <c r="H3726" s="6" t="e">
        <f t="shared" ca="1" si="71"/>
        <v>#VALUE!</v>
      </c>
      <c r="I3726" s="7" t="str">
        <f ca="1">IFERROR(__xludf.DUMMYFUNCTION("IMPORTXML(E3726,""/html/body/main/div[3]/div[3]/div[2]/ul/li[5]/span[2]/span"")"),"Loading...")</f>
        <v>Loading...</v>
      </c>
      <c r="J3726" s="7" t="str">
        <f ca="1">IFERROR(__xludf.DUMMYFUNCTION("GOOGLEFINANCE(""NSE:""&amp;D3726,""marketcap"")"),"#N/A")</f>
        <v>#N/A</v>
      </c>
      <c r="K3726" s="7">
        <v>992.8</v>
      </c>
      <c r="L3726" s="8" t="str">
        <f ca="1">IFERROR(__xludf.DUMMYFUNCTION("GOOGLEFINANCE(""NSE:""&amp;D3726,""price"")"),"#N/A")</f>
        <v>#N/A</v>
      </c>
      <c r="M3726" s="9" t="e">
        <f t="shared" ca="1" si="72"/>
        <v>#VALUE!</v>
      </c>
      <c r="N3726" s="10" t="e">
        <f t="shared" ca="1" si="73"/>
        <v>#VALUE!</v>
      </c>
      <c r="O3726" s="7" t="str">
        <f ca="1">IFERROR(__xludf.DUMMYFUNCTION("GOOGLEFINANCE(""NSE:""&amp;D3726,""pe"")"),"#N/A")</f>
        <v>#N/A</v>
      </c>
      <c r="P3726" s="7" t="str">
        <f ca="1">IFERROR(__xludf.DUMMYFUNCTION("GOOGLEFINANCE(""NSE:""&amp;D3726,""EPS"")"),"#N/A")</f>
        <v>#N/A</v>
      </c>
      <c r="Q3726" s="7">
        <v>13.5</v>
      </c>
      <c r="R3726" s="7" t="str">
        <f ca="1">IFERROR(__xludf.DUMMYFUNCTION("IMPORTXML(E3726,""/html/body/main/div[3]/div[3]/div[2]/ul/li[7]/span[2]/span"")"),"Loading...")</f>
        <v>Loading...</v>
      </c>
      <c r="S3726" s="7" t="str">
        <f ca="1">IFERROR(__xludf.DUMMYFUNCTION("IMPORTXML(E3726,""/html/body/main/div[3]/div[3]/div[2]/ul/li[8]/span[2]/span"")"),"Loading...")</f>
        <v>Loading...</v>
      </c>
      <c r="T3726" s="4">
        <v>34.6</v>
      </c>
      <c r="U3726" s="4">
        <v>22.7</v>
      </c>
      <c r="V3726" s="4">
        <v>2.6</v>
      </c>
      <c r="W3726" s="4">
        <v>5.7</v>
      </c>
      <c r="X3726" s="4">
        <v>519.92999999999995</v>
      </c>
      <c r="Y3726" s="7" t="e">
        <f t="shared" ca="1" si="74"/>
        <v>#VALUE!</v>
      </c>
    </row>
    <row r="3727" spans="1:25" ht="15" x14ac:dyDescent="0.25">
      <c r="A3727" s="4">
        <v>3723</v>
      </c>
      <c r="C3727" s="41" t="s">
        <v>6083</v>
      </c>
      <c r="D3727" s="42"/>
      <c r="E3727" s="5" t="str">
        <f t="shared" si="70"/>
        <v>https://www.screener.in/company//consolidated/</v>
      </c>
      <c r="F3727" s="4">
        <v>443059</v>
      </c>
      <c r="G3727" s="4">
        <v>3832241897</v>
      </c>
      <c r="H3727" s="6" t="e">
        <f t="shared" ca="1" si="71"/>
        <v>#VALUE!</v>
      </c>
      <c r="I3727" s="7" t="str">
        <f ca="1">IFERROR(__xludf.DUMMYFUNCTION("IMPORTXML(E3727,""/html/body/main/div[3]/div[3]/div[2]/ul/li[5]/span[2]/span"")"),"Loading...")</f>
        <v>Loading...</v>
      </c>
      <c r="J3727" s="7" t="str">
        <f ca="1">IFERROR(__xludf.DUMMYFUNCTION("GOOGLEFINANCE(""NSE:""&amp;D3727,""marketcap"")"),"#N/A")</f>
        <v>#N/A</v>
      </c>
      <c r="K3727" s="7">
        <v>992.8</v>
      </c>
      <c r="L3727" s="8" t="str">
        <f ca="1">IFERROR(__xludf.DUMMYFUNCTION("GOOGLEFINANCE(""NSE:""&amp;D3727,""price"")"),"#N/A")</f>
        <v>#N/A</v>
      </c>
      <c r="M3727" s="9" t="e">
        <f t="shared" ca="1" si="72"/>
        <v>#VALUE!</v>
      </c>
      <c r="N3727" s="10" t="e">
        <f t="shared" ca="1" si="73"/>
        <v>#VALUE!</v>
      </c>
      <c r="O3727" s="7" t="str">
        <f ca="1">IFERROR(__xludf.DUMMYFUNCTION("GOOGLEFINANCE(""NSE:""&amp;D3727,""pe"")"),"#N/A")</f>
        <v>#N/A</v>
      </c>
      <c r="P3727" s="7" t="str">
        <f ca="1">IFERROR(__xludf.DUMMYFUNCTION("GOOGLEFINANCE(""NSE:""&amp;D3727,""EPS"")"),"#N/A")</f>
        <v>#N/A</v>
      </c>
      <c r="Q3727" s="7">
        <v>13.5</v>
      </c>
      <c r="R3727" s="7" t="str">
        <f ca="1">IFERROR(__xludf.DUMMYFUNCTION("IMPORTXML(E3727,""/html/body/main/div[3]/div[3]/div[2]/ul/li[7]/span[2]/span"")"),"Loading...")</f>
        <v>Loading...</v>
      </c>
      <c r="S3727" s="7" t="str">
        <f ca="1">IFERROR(__xludf.DUMMYFUNCTION("IMPORTXML(E3727,""/html/body/main/div[3]/div[3]/div[2]/ul/li[8]/span[2]/span"")"),"Loading...")</f>
        <v>Loading...</v>
      </c>
      <c r="T3727" s="4">
        <v>34.6</v>
      </c>
      <c r="U3727" s="4">
        <v>22.7</v>
      </c>
      <c r="V3727" s="4">
        <v>2.6</v>
      </c>
      <c r="W3727" s="4">
        <v>5.7</v>
      </c>
      <c r="X3727" s="4">
        <v>519.92999999999995</v>
      </c>
      <c r="Y3727" s="7" t="e">
        <f t="shared" ca="1" si="74"/>
        <v>#VALUE!</v>
      </c>
    </row>
    <row r="3728" spans="1:25" ht="15" x14ac:dyDescent="0.25">
      <c r="A3728" s="4">
        <v>3724</v>
      </c>
      <c r="C3728" s="41" t="s">
        <v>6084</v>
      </c>
      <c r="D3728" s="42"/>
      <c r="E3728" s="5" t="str">
        <f t="shared" si="70"/>
        <v>https://www.screener.in/company//consolidated/</v>
      </c>
      <c r="F3728" s="4">
        <v>443059</v>
      </c>
      <c r="G3728" s="4">
        <v>3832241897</v>
      </c>
      <c r="H3728" s="6" t="e">
        <f t="shared" ca="1" si="71"/>
        <v>#VALUE!</v>
      </c>
      <c r="I3728" s="7" t="str">
        <f ca="1">IFERROR(__xludf.DUMMYFUNCTION("IMPORTXML(E3728,""/html/body/main/div[3]/div[3]/div[2]/ul/li[5]/span[2]/span"")"),"Loading...")</f>
        <v>Loading...</v>
      </c>
      <c r="J3728" s="7" t="str">
        <f ca="1">IFERROR(__xludf.DUMMYFUNCTION("GOOGLEFINANCE(""NSE:""&amp;D3728,""marketcap"")"),"#N/A")</f>
        <v>#N/A</v>
      </c>
      <c r="K3728" s="7">
        <v>992.8</v>
      </c>
      <c r="L3728" s="8" t="str">
        <f ca="1">IFERROR(__xludf.DUMMYFUNCTION("GOOGLEFINANCE(""NSE:""&amp;D3728,""price"")"),"#N/A")</f>
        <v>#N/A</v>
      </c>
      <c r="M3728" s="9" t="e">
        <f t="shared" ca="1" si="72"/>
        <v>#VALUE!</v>
      </c>
      <c r="N3728" s="10" t="e">
        <f t="shared" ca="1" si="73"/>
        <v>#VALUE!</v>
      </c>
      <c r="O3728" s="7" t="str">
        <f ca="1">IFERROR(__xludf.DUMMYFUNCTION("GOOGLEFINANCE(""NSE:""&amp;D3728,""pe"")"),"#N/A")</f>
        <v>#N/A</v>
      </c>
      <c r="P3728" s="7" t="str">
        <f ca="1">IFERROR(__xludf.DUMMYFUNCTION("GOOGLEFINANCE(""NSE:""&amp;D3728,""EPS"")"),"#N/A")</f>
        <v>#N/A</v>
      </c>
      <c r="Q3728" s="7">
        <v>13.5</v>
      </c>
      <c r="R3728" s="7" t="str">
        <f ca="1">IFERROR(__xludf.DUMMYFUNCTION("IMPORTXML(E3728,""/html/body/main/div[3]/div[3]/div[2]/ul/li[7]/span[2]/span"")"),"Loading...")</f>
        <v>Loading...</v>
      </c>
      <c r="S3728" s="7" t="str">
        <f ca="1">IFERROR(__xludf.DUMMYFUNCTION("IMPORTXML(E3728,""/html/body/main/div[3]/div[3]/div[2]/ul/li[8]/span[2]/span"")"),"Loading...")</f>
        <v>Loading...</v>
      </c>
      <c r="T3728" s="4">
        <v>34.6</v>
      </c>
      <c r="U3728" s="4">
        <v>22.7</v>
      </c>
      <c r="V3728" s="4">
        <v>2.6</v>
      </c>
      <c r="W3728" s="4">
        <v>5.7</v>
      </c>
      <c r="X3728" s="4">
        <v>519.92999999999995</v>
      </c>
      <c r="Y3728" s="7" t="e">
        <f t="shared" ca="1" si="74"/>
        <v>#VALUE!</v>
      </c>
    </row>
    <row r="3729" spans="1:25" ht="15" x14ac:dyDescent="0.25">
      <c r="A3729" s="4">
        <v>3725</v>
      </c>
      <c r="C3729" s="41" t="s">
        <v>6085</v>
      </c>
      <c r="D3729" s="42"/>
      <c r="E3729" s="5" t="str">
        <f t="shared" si="70"/>
        <v>https://www.screener.in/company//consolidated/</v>
      </c>
      <c r="F3729" s="4">
        <v>443059</v>
      </c>
      <c r="G3729" s="4">
        <v>3832241897</v>
      </c>
      <c r="H3729" s="6" t="e">
        <f t="shared" ca="1" si="71"/>
        <v>#VALUE!</v>
      </c>
      <c r="I3729" s="7" t="str">
        <f ca="1">IFERROR(__xludf.DUMMYFUNCTION("IMPORTXML(E3729,""/html/body/main/div[3]/div[3]/div[2]/ul/li[5]/span[2]/span"")"),"Loading...")</f>
        <v>Loading...</v>
      </c>
      <c r="J3729" s="7" t="str">
        <f ca="1">IFERROR(__xludf.DUMMYFUNCTION("GOOGLEFINANCE(""NSE:""&amp;D3729,""marketcap"")"),"#N/A")</f>
        <v>#N/A</v>
      </c>
      <c r="K3729" s="7">
        <v>992.8</v>
      </c>
      <c r="L3729" s="8" t="str">
        <f ca="1">IFERROR(__xludf.DUMMYFUNCTION("GOOGLEFINANCE(""NSE:""&amp;D3729,""price"")"),"#N/A")</f>
        <v>#N/A</v>
      </c>
      <c r="M3729" s="9" t="e">
        <f t="shared" ca="1" si="72"/>
        <v>#VALUE!</v>
      </c>
      <c r="N3729" s="10" t="e">
        <f t="shared" ca="1" si="73"/>
        <v>#VALUE!</v>
      </c>
      <c r="O3729" s="7" t="str">
        <f ca="1">IFERROR(__xludf.DUMMYFUNCTION("GOOGLEFINANCE(""NSE:""&amp;D3729,""pe"")"),"#N/A")</f>
        <v>#N/A</v>
      </c>
      <c r="P3729" s="7" t="str">
        <f ca="1">IFERROR(__xludf.DUMMYFUNCTION("GOOGLEFINANCE(""NSE:""&amp;D3729,""EPS"")"),"#N/A")</f>
        <v>#N/A</v>
      </c>
      <c r="Q3729" s="7">
        <v>13.5</v>
      </c>
      <c r="R3729" s="7" t="str">
        <f ca="1">IFERROR(__xludf.DUMMYFUNCTION("IMPORTXML(E3729,""/html/body/main/div[3]/div[3]/div[2]/ul/li[7]/span[2]/span"")"),"Loading...")</f>
        <v>Loading...</v>
      </c>
      <c r="S3729" s="7" t="str">
        <f ca="1">IFERROR(__xludf.DUMMYFUNCTION("IMPORTXML(E3729,""/html/body/main/div[3]/div[3]/div[2]/ul/li[8]/span[2]/span"")"),"Loading...")</f>
        <v>Loading...</v>
      </c>
      <c r="T3729" s="4">
        <v>34.6</v>
      </c>
      <c r="U3729" s="4">
        <v>22.7</v>
      </c>
      <c r="V3729" s="4">
        <v>2.6</v>
      </c>
      <c r="W3729" s="4">
        <v>5.7</v>
      </c>
      <c r="X3729" s="4">
        <v>519.92999999999995</v>
      </c>
      <c r="Y3729" s="7" t="e">
        <f t="shared" ca="1" si="74"/>
        <v>#VALUE!</v>
      </c>
    </row>
    <row r="3730" spans="1:25" ht="15" x14ac:dyDescent="0.25">
      <c r="A3730" s="4">
        <v>3726</v>
      </c>
      <c r="C3730" s="41" t="s">
        <v>6086</v>
      </c>
      <c r="D3730" s="42"/>
      <c r="E3730" s="5" t="str">
        <f t="shared" si="70"/>
        <v>https://www.screener.in/company//consolidated/</v>
      </c>
      <c r="F3730" s="4">
        <v>443059</v>
      </c>
      <c r="G3730" s="4">
        <v>3832241897</v>
      </c>
      <c r="H3730" s="6" t="e">
        <f t="shared" ca="1" si="71"/>
        <v>#VALUE!</v>
      </c>
      <c r="I3730" s="7" t="str">
        <f ca="1">IFERROR(__xludf.DUMMYFUNCTION("IMPORTXML(E3730,""/html/body/main/div[3]/div[3]/div[2]/ul/li[5]/span[2]/span"")"),"Loading...")</f>
        <v>Loading...</v>
      </c>
      <c r="J3730" s="7" t="str">
        <f ca="1">IFERROR(__xludf.DUMMYFUNCTION("GOOGLEFINANCE(""NSE:""&amp;D3730,""marketcap"")"),"#N/A")</f>
        <v>#N/A</v>
      </c>
      <c r="K3730" s="7">
        <v>992.8</v>
      </c>
      <c r="L3730" s="8" t="str">
        <f ca="1">IFERROR(__xludf.DUMMYFUNCTION("GOOGLEFINANCE(""NSE:""&amp;D3730,""price"")"),"#N/A")</f>
        <v>#N/A</v>
      </c>
      <c r="M3730" s="9" t="e">
        <f t="shared" ca="1" si="72"/>
        <v>#VALUE!</v>
      </c>
      <c r="N3730" s="10" t="e">
        <f t="shared" ca="1" si="73"/>
        <v>#VALUE!</v>
      </c>
      <c r="O3730" s="7" t="str">
        <f ca="1">IFERROR(__xludf.DUMMYFUNCTION("GOOGLEFINANCE(""NSE:""&amp;D3730,""pe"")"),"#N/A")</f>
        <v>#N/A</v>
      </c>
      <c r="P3730" s="7" t="str">
        <f ca="1">IFERROR(__xludf.DUMMYFUNCTION("GOOGLEFINANCE(""NSE:""&amp;D3730,""EPS"")"),"#N/A")</f>
        <v>#N/A</v>
      </c>
      <c r="Q3730" s="7">
        <v>13.5</v>
      </c>
      <c r="R3730" s="7" t="str">
        <f ca="1">IFERROR(__xludf.DUMMYFUNCTION("IMPORTXML(E3730,""/html/body/main/div[3]/div[3]/div[2]/ul/li[7]/span[2]/span"")"),"Loading...")</f>
        <v>Loading...</v>
      </c>
      <c r="S3730" s="7" t="str">
        <f ca="1">IFERROR(__xludf.DUMMYFUNCTION("IMPORTXML(E3730,""/html/body/main/div[3]/div[3]/div[2]/ul/li[8]/span[2]/span"")"),"Loading...")</f>
        <v>Loading...</v>
      </c>
      <c r="T3730" s="4">
        <v>34.6</v>
      </c>
      <c r="U3730" s="4">
        <v>22.7</v>
      </c>
      <c r="V3730" s="4">
        <v>2.6</v>
      </c>
      <c r="W3730" s="4">
        <v>5.7</v>
      </c>
      <c r="X3730" s="4">
        <v>519.92999999999995</v>
      </c>
      <c r="Y3730" s="7" t="e">
        <f t="shared" ca="1" si="74"/>
        <v>#VALUE!</v>
      </c>
    </row>
    <row r="3731" spans="1:25" ht="15" x14ac:dyDescent="0.25">
      <c r="A3731" s="4">
        <v>3727</v>
      </c>
      <c r="C3731" s="41" t="s">
        <v>6087</v>
      </c>
      <c r="D3731" s="42"/>
      <c r="E3731" s="5" t="str">
        <f t="shared" si="70"/>
        <v>https://www.screener.in/company//consolidated/</v>
      </c>
      <c r="F3731" s="4">
        <v>443059</v>
      </c>
      <c r="G3731" s="4">
        <v>3832241897</v>
      </c>
      <c r="H3731" s="6" t="e">
        <f t="shared" ca="1" si="71"/>
        <v>#VALUE!</v>
      </c>
      <c r="I3731" s="7" t="str">
        <f ca="1">IFERROR(__xludf.DUMMYFUNCTION("IMPORTXML(E3731,""/html/body/main/div[3]/div[3]/div[2]/ul/li[5]/span[2]/span"")"),"Loading...")</f>
        <v>Loading...</v>
      </c>
      <c r="J3731" s="7" t="str">
        <f ca="1">IFERROR(__xludf.DUMMYFUNCTION("GOOGLEFINANCE(""NSE:""&amp;D3731,""marketcap"")"),"#N/A")</f>
        <v>#N/A</v>
      </c>
      <c r="K3731" s="7">
        <v>992.8</v>
      </c>
      <c r="L3731" s="8" t="str">
        <f ca="1">IFERROR(__xludf.DUMMYFUNCTION("GOOGLEFINANCE(""NSE:""&amp;D3731,""price"")"),"#N/A")</f>
        <v>#N/A</v>
      </c>
      <c r="M3731" s="9" t="e">
        <f t="shared" ca="1" si="72"/>
        <v>#VALUE!</v>
      </c>
      <c r="N3731" s="10" t="e">
        <f t="shared" ca="1" si="73"/>
        <v>#VALUE!</v>
      </c>
      <c r="O3731" s="7" t="str">
        <f ca="1">IFERROR(__xludf.DUMMYFUNCTION("GOOGLEFINANCE(""NSE:""&amp;D3731,""pe"")"),"#N/A")</f>
        <v>#N/A</v>
      </c>
      <c r="P3731" s="7" t="str">
        <f ca="1">IFERROR(__xludf.DUMMYFUNCTION("GOOGLEFINANCE(""NSE:""&amp;D3731,""EPS"")"),"#N/A")</f>
        <v>#N/A</v>
      </c>
      <c r="Q3731" s="7">
        <v>13.5</v>
      </c>
      <c r="R3731" s="7" t="str">
        <f ca="1">IFERROR(__xludf.DUMMYFUNCTION("IMPORTXML(E3731,""/html/body/main/div[3]/div[3]/div[2]/ul/li[7]/span[2]/span"")"),"Loading...")</f>
        <v>Loading...</v>
      </c>
      <c r="S3731" s="7" t="str">
        <f ca="1">IFERROR(__xludf.DUMMYFUNCTION("IMPORTXML(E3731,""/html/body/main/div[3]/div[3]/div[2]/ul/li[8]/span[2]/span"")"),"Loading...")</f>
        <v>Loading...</v>
      </c>
      <c r="T3731" s="4">
        <v>34.6</v>
      </c>
      <c r="U3731" s="4">
        <v>22.7</v>
      </c>
      <c r="V3731" s="4">
        <v>2.6</v>
      </c>
      <c r="W3731" s="4">
        <v>5.7</v>
      </c>
      <c r="X3731" s="4">
        <v>519.92999999999995</v>
      </c>
      <c r="Y3731" s="7" t="e">
        <f t="shared" ca="1" si="74"/>
        <v>#VALUE!</v>
      </c>
    </row>
    <row r="3732" spans="1:25" ht="15" x14ac:dyDescent="0.25">
      <c r="A3732" s="4">
        <v>3728</v>
      </c>
      <c r="C3732" s="41" t="s">
        <v>6088</v>
      </c>
      <c r="D3732" s="42"/>
      <c r="E3732" s="5" t="str">
        <f t="shared" si="70"/>
        <v>https://www.screener.in/company//consolidated/</v>
      </c>
      <c r="F3732" s="4">
        <v>443059</v>
      </c>
      <c r="G3732" s="4">
        <v>3832241897</v>
      </c>
      <c r="H3732" s="6" t="e">
        <f t="shared" ca="1" si="71"/>
        <v>#VALUE!</v>
      </c>
      <c r="I3732" s="7" t="str">
        <f ca="1">IFERROR(__xludf.DUMMYFUNCTION("IMPORTXML(E3732,""/html/body/main/div[3]/div[3]/div[2]/ul/li[5]/span[2]/span"")"),"Loading...")</f>
        <v>Loading...</v>
      </c>
      <c r="J3732" s="7" t="str">
        <f ca="1">IFERROR(__xludf.DUMMYFUNCTION("GOOGLEFINANCE(""NSE:""&amp;D3732,""marketcap"")"),"#N/A")</f>
        <v>#N/A</v>
      </c>
      <c r="K3732" s="7">
        <v>992.8</v>
      </c>
      <c r="L3732" s="8" t="str">
        <f ca="1">IFERROR(__xludf.DUMMYFUNCTION("GOOGLEFINANCE(""NSE:""&amp;D3732,""price"")"),"#N/A")</f>
        <v>#N/A</v>
      </c>
      <c r="M3732" s="9" t="e">
        <f t="shared" ca="1" si="72"/>
        <v>#VALUE!</v>
      </c>
      <c r="N3732" s="10" t="e">
        <f t="shared" ca="1" si="73"/>
        <v>#VALUE!</v>
      </c>
      <c r="O3732" s="7" t="str">
        <f ca="1">IFERROR(__xludf.DUMMYFUNCTION("GOOGLEFINANCE(""NSE:""&amp;D3732,""pe"")"),"#N/A")</f>
        <v>#N/A</v>
      </c>
      <c r="P3732" s="7" t="str">
        <f ca="1">IFERROR(__xludf.DUMMYFUNCTION("GOOGLEFINANCE(""NSE:""&amp;D3732,""EPS"")"),"#N/A")</f>
        <v>#N/A</v>
      </c>
      <c r="Q3732" s="7">
        <v>13.5</v>
      </c>
      <c r="R3732" s="7" t="str">
        <f ca="1">IFERROR(__xludf.DUMMYFUNCTION("IMPORTXML(E3732,""/html/body/main/div[3]/div[3]/div[2]/ul/li[7]/span[2]/span"")"),"Loading...")</f>
        <v>Loading...</v>
      </c>
      <c r="S3732" s="7" t="str">
        <f ca="1">IFERROR(__xludf.DUMMYFUNCTION("IMPORTXML(E3732,""/html/body/main/div[3]/div[3]/div[2]/ul/li[8]/span[2]/span"")"),"Loading...")</f>
        <v>Loading...</v>
      </c>
      <c r="T3732" s="4">
        <v>34.6</v>
      </c>
      <c r="U3732" s="4">
        <v>22.7</v>
      </c>
      <c r="V3732" s="4">
        <v>2.6</v>
      </c>
      <c r="W3732" s="4">
        <v>5.7</v>
      </c>
      <c r="X3732" s="4">
        <v>519.92999999999995</v>
      </c>
      <c r="Y3732" s="7" t="e">
        <f t="shared" ca="1" si="74"/>
        <v>#VALUE!</v>
      </c>
    </row>
    <row r="3733" spans="1:25" ht="15" x14ac:dyDescent="0.25">
      <c r="A3733" s="4">
        <v>3729</v>
      </c>
      <c r="C3733" s="41" t="s">
        <v>6089</v>
      </c>
      <c r="D3733" s="42"/>
      <c r="E3733" s="5" t="str">
        <f t="shared" ref="E3733:E3987" si="75">"https://www.screener.in/company/"&amp; D3733&amp;"/consolidated/"</f>
        <v>https://www.screener.in/company//consolidated/</v>
      </c>
      <c r="F3733" s="4">
        <v>443059</v>
      </c>
      <c r="G3733" s="4">
        <v>3832241897</v>
      </c>
      <c r="H3733" s="6" t="e">
        <f t="shared" ref="H3733:H3987" ca="1" si="76">(G3733*L3733)/10^7</f>
        <v>#VALUE!</v>
      </c>
      <c r="I3733" s="7" t="str">
        <f ca="1">IFERROR(__xludf.DUMMYFUNCTION("IMPORTXML(E3733,""/html/body/main/div[3]/div[3]/div[2]/ul/li[5]/span[2]/span"")"),"Loading...")</f>
        <v>Loading...</v>
      </c>
      <c r="J3733" s="7" t="str">
        <f ca="1">IFERROR(__xludf.DUMMYFUNCTION("GOOGLEFINANCE(""NSE:""&amp;D3733,""marketcap"")"),"#N/A")</f>
        <v>#N/A</v>
      </c>
      <c r="K3733" s="7">
        <v>992.8</v>
      </c>
      <c r="L3733" s="8" t="str">
        <f ca="1">IFERROR(__xludf.DUMMYFUNCTION("GOOGLEFINANCE(""NSE:""&amp;D3733,""price"")"),"#N/A")</f>
        <v>#N/A</v>
      </c>
      <c r="M3733" s="9" t="e">
        <f t="shared" ref="M3733:M3987" ca="1" si="77">L3733-K3733</f>
        <v>#VALUE!</v>
      </c>
      <c r="N3733" s="10" t="e">
        <f t="shared" ref="N3733:N3987" ca="1" si="78">(M3733/K3733)*100</f>
        <v>#VALUE!</v>
      </c>
      <c r="O3733" s="7" t="str">
        <f ca="1">IFERROR(__xludf.DUMMYFUNCTION("GOOGLEFINANCE(""NSE:""&amp;D3733,""pe"")"),"#N/A")</f>
        <v>#N/A</v>
      </c>
      <c r="P3733" s="7" t="str">
        <f ca="1">IFERROR(__xludf.DUMMYFUNCTION("GOOGLEFINANCE(""NSE:""&amp;D3733,""EPS"")"),"#N/A")</f>
        <v>#N/A</v>
      </c>
      <c r="Q3733" s="7">
        <v>13.5</v>
      </c>
      <c r="R3733" s="7" t="str">
        <f ca="1">IFERROR(__xludf.DUMMYFUNCTION("IMPORTXML(E3733,""/html/body/main/div[3]/div[3]/div[2]/ul/li[7]/span[2]/span"")"),"Loading...")</f>
        <v>Loading...</v>
      </c>
      <c r="S3733" s="7" t="str">
        <f ca="1">IFERROR(__xludf.DUMMYFUNCTION("IMPORTXML(E3733,""/html/body/main/div[3]/div[3]/div[2]/ul/li[8]/span[2]/span"")"),"Loading...")</f>
        <v>Loading...</v>
      </c>
      <c r="T3733" s="4">
        <v>34.6</v>
      </c>
      <c r="U3733" s="4">
        <v>22.7</v>
      </c>
      <c r="V3733" s="4">
        <v>2.6</v>
      </c>
      <c r="W3733" s="4">
        <v>5.7</v>
      </c>
      <c r="X3733" s="4">
        <v>519.92999999999995</v>
      </c>
      <c r="Y3733" s="7" t="e">
        <f t="shared" ref="Y3733:Y3987" ca="1" si="79">L3733-X3733</f>
        <v>#VALUE!</v>
      </c>
    </row>
    <row r="3734" spans="1:25" ht="15" x14ac:dyDescent="0.25">
      <c r="A3734" s="4">
        <v>3730</v>
      </c>
      <c r="C3734" s="41" t="s">
        <v>6090</v>
      </c>
      <c r="D3734" s="42"/>
      <c r="E3734" s="5" t="str">
        <f t="shared" si="75"/>
        <v>https://www.screener.in/company//consolidated/</v>
      </c>
      <c r="F3734" s="4">
        <v>443059</v>
      </c>
      <c r="G3734" s="4">
        <v>3832241897</v>
      </c>
      <c r="H3734" s="6" t="e">
        <f t="shared" ca="1" si="76"/>
        <v>#VALUE!</v>
      </c>
      <c r="I3734" s="7" t="str">
        <f ca="1">IFERROR(__xludf.DUMMYFUNCTION("IMPORTXML(E3734,""/html/body/main/div[3]/div[3]/div[2]/ul/li[5]/span[2]/span"")"),"Loading...")</f>
        <v>Loading...</v>
      </c>
      <c r="J3734" s="7" t="str">
        <f ca="1">IFERROR(__xludf.DUMMYFUNCTION("GOOGLEFINANCE(""NSE:""&amp;D3734,""marketcap"")"),"#N/A")</f>
        <v>#N/A</v>
      </c>
      <c r="K3734" s="7">
        <v>992.8</v>
      </c>
      <c r="L3734" s="8" t="str">
        <f ca="1">IFERROR(__xludf.DUMMYFUNCTION("GOOGLEFINANCE(""NSE:""&amp;D3734,""price"")"),"#N/A")</f>
        <v>#N/A</v>
      </c>
      <c r="M3734" s="9" t="e">
        <f t="shared" ca="1" si="77"/>
        <v>#VALUE!</v>
      </c>
      <c r="N3734" s="10" t="e">
        <f t="shared" ca="1" si="78"/>
        <v>#VALUE!</v>
      </c>
      <c r="O3734" s="7" t="str">
        <f ca="1">IFERROR(__xludf.DUMMYFUNCTION("GOOGLEFINANCE(""NSE:""&amp;D3734,""pe"")"),"#N/A")</f>
        <v>#N/A</v>
      </c>
      <c r="P3734" s="7" t="str">
        <f ca="1">IFERROR(__xludf.DUMMYFUNCTION("GOOGLEFINANCE(""NSE:""&amp;D3734,""EPS"")"),"#N/A")</f>
        <v>#N/A</v>
      </c>
      <c r="Q3734" s="7">
        <v>13.5</v>
      </c>
      <c r="R3734" s="7" t="str">
        <f ca="1">IFERROR(__xludf.DUMMYFUNCTION("IMPORTXML(E3734,""/html/body/main/div[3]/div[3]/div[2]/ul/li[7]/span[2]/span"")"),"Loading...")</f>
        <v>Loading...</v>
      </c>
      <c r="S3734" s="7" t="str">
        <f ca="1">IFERROR(__xludf.DUMMYFUNCTION("IMPORTXML(E3734,""/html/body/main/div[3]/div[3]/div[2]/ul/li[8]/span[2]/span"")"),"Loading...")</f>
        <v>Loading...</v>
      </c>
      <c r="T3734" s="4">
        <v>34.6</v>
      </c>
      <c r="U3734" s="4">
        <v>22.7</v>
      </c>
      <c r="V3734" s="4">
        <v>2.6</v>
      </c>
      <c r="W3734" s="4">
        <v>5.7</v>
      </c>
      <c r="X3734" s="4">
        <v>519.92999999999995</v>
      </c>
      <c r="Y3734" s="7" t="e">
        <f t="shared" ca="1" si="79"/>
        <v>#VALUE!</v>
      </c>
    </row>
    <row r="3735" spans="1:25" ht="15" x14ac:dyDescent="0.25">
      <c r="A3735" s="4">
        <v>3731</v>
      </c>
      <c r="C3735" s="41" t="s">
        <v>6091</v>
      </c>
      <c r="D3735" s="42"/>
      <c r="E3735" s="5" t="str">
        <f t="shared" si="75"/>
        <v>https://www.screener.in/company//consolidated/</v>
      </c>
      <c r="F3735" s="4">
        <v>443059</v>
      </c>
      <c r="G3735" s="4">
        <v>3832241897</v>
      </c>
      <c r="H3735" s="6" t="e">
        <f t="shared" ca="1" si="76"/>
        <v>#VALUE!</v>
      </c>
      <c r="I3735" s="7" t="str">
        <f ca="1">IFERROR(__xludf.DUMMYFUNCTION("IMPORTXML(E3735,""/html/body/main/div[3]/div[3]/div[2]/ul/li[5]/span[2]/span"")"),"Loading...")</f>
        <v>Loading...</v>
      </c>
      <c r="J3735" s="7" t="str">
        <f ca="1">IFERROR(__xludf.DUMMYFUNCTION("GOOGLEFINANCE(""NSE:""&amp;D3735,""marketcap"")"),"#N/A")</f>
        <v>#N/A</v>
      </c>
      <c r="K3735" s="7">
        <v>992.8</v>
      </c>
      <c r="L3735" s="8" t="str">
        <f ca="1">IFERROR(__xludf.DUMMYFUNCTION("GOOGLEFINANCE(""NSE:""&amp;D3735,""price"")"),"#N/A")</f>
        <v>#N/A</v>
      </c>
      <c r="M3735" s="9" t="e">
        <f t="shared" ca="1" si="77"/>
        <v>#VALUE!</v>
      </c>
      <c r="N3735" s="10" t="e">
        <f t="shared" ca="1" si="78"/>
        <v>#VALUE!</v>
      </c>
      <c r="O3735" s="7" t="str">
        <f ca="1">IFERROR(__xludf.DUMMYFUNCTION("GOOGLEFINANCE(""NSE:""&amp;D3735,""pe"")"),"#N/A")</f>
        <v>#N/A</v>
      </c>
      <c r="P3735" s="7" t="str">
        <f ca="1">IFERROR(__xludf.DUMMYFUNCTION("GOOGLEFINANCE(""NSE:""&amp;D3735,""EPS"")"),"#N/A")</f>
        <v>#N/A</v>
      </c>
      <c r="Q3735" s="7">
        <v>13.5</v>
      </c>
      <c r="R3735" s="7" t="str">
        <f ca="1">IFERROR(__xludf.DUMMYFUNCTION("IMPORTXML(E3735,""/html/body/main/div[3]/div[3]/div[2]/ul/li[7]/span[2]/span"")"),"Loading...")</f>
        <v>Loading...</v>
      </c>
      <c r="S3735" s="7" t="str">
        <f ca="1">IFERROR(__xludf.DUMMYFUNCTION("IMPORTXML(E3735,""/html/body/main/div[3]/div[3]/div[2]/ul/li[8]/span[2]/span"")"),"Loading...")</f>
        <v>Loading...</v>
      </c>
      <c r="T3735" s="4">
        <v>34.6</v>
      </c>
      <c r="U3735" s="4">
        <v>22.7</v>
      </c>
      <c r="V3735" s="4">
        <v>2.6</v>
      </c>
      <c r="W3735" s="4">
        <v>5.7</v>
      </c>
      <c r="X3735" s="4">
        <v>519.92999999999995</v>
      </c>
      <c r="Y3735" s="7" t="e">
        <f t="shared" ca="1" si="79"/>
        <v>#VALUE!</v>
      </c>
    </row>
    <row r="3736" spans="1:25" ht="15" x14ac:dyDescent="0.25">
      <c r="A3736" s="4">
        <v>3732</v>
      </c>
      <c r="C3736" s="41" t="s">
        <v>6092</v>
      </c>
      <c r="D3736" s="42"/>
      <c r="E3736" s="5" t="str">
        <f t="shared" si="75"/>
        <v>https://www.screener.in/company//consolidated/</v>
      </c>
      <c r="F3736" s="4">
        <v>443059</v>
      </c>
      <c r="G3736" s="4">
        <v>3832241897</v>
      </c>
      <c r="H3736" s="6" t="e">
        <f t="shared" ca="1" si="76"/>
        <v>#VALUE!</v>
      </c>
      <c r="I3736" s="7" t="str">
        <f ca="1">IFERROR(__xludf.DUMMYFUNCTION("IMPORTXML(E3736,""/html/body/main/div[3]/div[3]/div[2]/ul/li[5]/span[2]/span"")"),"Loading...")</f>
        <v>Loading...</v>
      </c>
      <c r="J3736" s="7" t="str">
        <f ca="1">IFERROR(__xludf.DUMMYFUNCTION("GOOGLEFINANCE(""NSE:""&amp;D3736,""marketcap"")"),"#N/A")</f>
        <v>#N/A</v>
      </c>
      <c r="K3736" s="7">
        <v>992.8</v>
      </c>
      <c r="L3736" s="8" t="str">
        <f ca="1">IFERROR(__xludf.DUMMYFUNCTION("GOOGLEFINANCE(""NSE:""&amp;D3736,""price"")"),"#N/A")</f>
        <v>#N/A</v>
      </c>
      <c r="M3736" s="9" t="e">
        <f t="shared" ca="1" si="77"/>
        <v>#VALUE!</v>
      </c>
      <c r="N3736" s="10" t="e">
        <f t="shared" ca="1" si="78"/>
        <v>#VALUE!</v>
      </c>
      <c r="O3736" s="7" t="str">
        <f ca="1">IFERROR(__xludf.DUMMYFUNCTION("GOOGLEFINANCE(""NSE:""&amp;D3736,""pe"")"),"#N/A")</f>
        <v>#N/A</v>
      </c>
      <c r="P3736" s="7" t="str">
        <f ca="1">IFERROR(__xludf.DUMMYFUNCTION("GOOGLEFINANCE(""NSE:""&amp;D3736,""EPS"")"),"#N/A")</f>
        <v>#N/A</v>
      </c>
      <c r="Q3736" s="7">
        <v>13.5</v>
      </c>
      <c r="R3736" s="7" t="str">
        <f ca="1">IFERROR(__xludf.DUMMYFUNCTION("IMPORTXML(E3736,""/html/body/main/div[3]/div[3]/div[2]/ul/li[7]/span[2]/span"")"),"Loading...")</f>
        <v>Loading...</v>
      </c>
      <c r="S3736" s="7" t="str">
        <f ca="1">IFERROR(__xludf.DUMMYFUNCTION("IMPORTXML(E3736,""/html/body/main/div[3]/div[3]/div[2]/ul/li[8]/span[2]/span"")"),"Loading...")</f>
        <v>Loading...</v>
      </c>
      <c r="T3736" s="4">
        <v>34.6</v>
      </c>
      <c r="U3736" s="4">
        <v>22.7</v>
      </c>
      <c r="V3736" s="4">
        <v>2.6</v>
      </c>
      <c r="W3736" s="4">
        <v>5.7</v>
      </c>
      <c r="X3736" s="4">
        <v>519.92999999999995</v>
      </c>
      <c r="Y3736" s="7" t="e">
        <f t="shared" ca="1" si="79"/>
        <v>#VALUE!</v>
      </c>
    </row>
    <row r="3737" spans="1:25" ht="15" x14ac:dyDescent="0.25">
      <c r="A3737" s="4">
        <v>3733</v>
      </c>
      <c r="C3737" s="41" t="s">
        <v>6093</v>
      </c>
      <c r="D3737" s="42"/>
      <c r="E3737" s="5" t="str">
        <f t="shared" si="75"/>
        <v>https://www.screener.in/company//consolidated/</v>
      </c>
      <c r="F3737" s="4">
        <v>443059</v>
      </c>
      <c r="G3737" s="4">
        <v>3832241897</v>
      </c>
      <c r="H3737" s="6" t="e">
        <f t="shared" ca="1" si="76"/>
        <v>#VALUE!</v>
      </c>
      <c r="I3737" s="7" t="str">
        <f ca="1">IFERROR(__xludf.DUMMYFUNCTION("IMPORTXML(E3737,""/html/body/main/div[3]/div[3]/div[2]/ul/li[5]/span[2]/span"")"),"Loading...")</f>
        <v>Loading...</v>
      </c>
      <c r="J3737" s="7" t="str">
        <f ca="1">IFERROR(__xludf.DUMMYFUNCTION("GOOGLEFINANCE(""NSE:""&amp;D3737,""marketcap"")"),"#N/A")</f>
        <v>#N/A</v>
      </c>
      <c r="K3737" s="7">
        <v>992.8</v>
      </c>
      <c r="L3737" s="8" t="str">
        <f ca="1">IFERROR(__xludf.DUMMYFUNCTION("GOOGLEFINANCE(""NSE:""&amp;D3737,""price"")"),"#N/A")</f>
        <v>#N/A</v>
      </c>
      <c r="M3737" s="9" t="e">
        <f t="shared" ca="1" si="77"/>
        <v>#VALUE!</v>
      </c>
      <c r="N3737" s="10" t="e">
        <f t="shared" ca="1" si="78"/>
        <v>#VALUE!</v>
      </c>
      <c r="O3737" s="7" t="str">
        <f ca="1">IFERROR(__xludf.DUMMYFUNCTION("GOOGLEFINANCE(""NSE:""&amp;D3737,""pe"")"),"#N/A")</f>
        <v>#N/A</v>
      </c>
      <c r="P3737" s="7" t="str">
        <f ca="1">IFERROR(__xludf.DUMMYFUNCTION("GOOGLEFINANCE(""NSE:""&amp;D3737,""EPS"")"),"#N/A")</f>
        <v>#N/A</v>
      </c>
      <c r="Q3737" s="7">
        <v>13.5</v>
      </c>
      <c r="R3737" s="7" t="str">
        <f ca="1">IFERROR(__xludf.DUMMYFUNCTION("IMPORTXML(E3737,""/html/body/main/div[3]/div[3]/div[2]/ul/li[7]/span[2]/span"")"),"Loading...")</f>
        <v>Loading...</v>
      </c>
      <c r="S3737" s="7" t="str">
        <f ca="1">IFERROR(__xludf.DUMMYFUNCTION("IMPORTXML(E3737,""/html/body/main/div[3]/div[3]/div[2]/ul/li[8]/span[2]/span"")"),"Loading...")</f>
        <v>Loading...</v>
      </c>
      <c r="T3737" s="4">
        <v>34.6</v>
      </c>
      <c r="U3737" s="4">
        <v>22.7</v>
      </c>
      <c r="V3737" s="4">
        <v>2.6</v>
      </c>
      <c r="W3737" s="4">
        <v>5.7</v>
      </c>
      <c r="X3737" s="4">
        <v>519.92999999999995</v>
      </c>
      <c r="Y3737" s="7" t="e">
        <f t="shared" ca="1" si="79"/>
        <v>#VALUE!</v>
      </c>
    </row>
    <row r="3738" spans="1:25" ht="15" x14ac:dyDescent="0.25">
      <c r="A3738" s="4">
        <v>3734</v>
      </c>
      <c r="C3738" s="41" t="s">
        <v>6094</v>
      </c>
      <c r="D3738" s="42"/>
      <c r="E3738" s="5" t="str">
        <f t="shared" si="75"/>
        <v>https://www.screener.in/company//consolidated/</v>
      </c>
      <c r="F3738" s="4">
        <v>443059</v>
      </c>
      <c r="G3738" s="4">
        <v>3832241897</v>
      </c>
      <c r="H3738" s="6" t="e">
        <f t="shared" ca="1" si="76"/>
        <v>#VALUE!</v>
      </c>
      <c r="I3738" s="7" t="str">
        <f ca="1">IFERROR(__xludf.DUMMYFUNCTION("IMPORTXML(E3738,""/html/body/main/div[3]/div[3]/div[2]/ul/li[5]/span[2]/span"")"),"Loading...")</f>
        <v>Loading...</v>
      </c>
      <c r="J3738" s="7" t="str">
        <f ca="1">IFERROR(__xludf.DUMMYFUNCTION("GOOGLEFINANCE(""NSE:""&amp;D3738,""marketcap"")"),"#N/A")</f>
        <v>#N/A</v>
      </c>
      <c r="K3738" s="7">
        <v>992.8</v>
      </c>
      <c r="L3738" s="8" t="str">
        <f ca="1">IFERROR(__xludf.DUMMYFUNCTION("GOOGLEFINANCE(""NSE:""&amp;D3738,""price"")"),"#N/A")</f>
        <v>#N/A</v>
      </c>
      <c r="M3738" s="9" t="e">
        <f t="shared" ca="1" si="77"/>
        <v>#VALUE!</v>
      </c>
      <c r="N3738" s="10" t="e">
        <f t="shared" ca="1" si="78"/>
        <v>#VALUE!</v>
      </c>
      <c r="O3738" s="7" t="str">
        <f ca="1">IFERROR(__xludf.DUMMYFUNCTION("GOOGLEFINANCE(""NSE:""&amp;D3738,""pe"")"),"#N/A")</f>
        <v>#N/A</v>
      </c>
      <c r="P3738" s="7" t="str">
        <f ca="1">IFERROR(__xludf.DUMMYFUNCTION("GOOGLEFINANCE(""NSE:""&amp;D3738,""EPS"")"),"#N/A")</f>
        <v>#N/A</v>
      </c>
      <c r="Q3738" s="7">
        <v>13.5</v>
      </c>
      <c r="R3738" s="7" t="str">
        <f ca="1">IFERROR(__xludf.DUMMYFUNCTION("IMPORTXML(E3738,""/html/body/main/div[3]/div[3]/div[2]/ul/li[7]/span[2]/span"")"),"Loading...")</f>
        <v>Loading...</v>
      </c>
      <c r="S3738" s="7" t="str">
        <f ca="1">IFERROR(__xludf.DUMMYFUNCTION("IMPORTXML(E3738,""/html/body/main/div[3]/div[3]/div[2]/ul/li[8]/span[2]/span"")"),"Loading...")</f>
        <v>Loading...</v>
      </c>
      <c r="T3738" s="4">
        <v>34.6</v>
      </c>
      <c r="U3738" s="4">
        <v>22.7</v>
      </c>
      <c r="V3738" s="4">
        <v>2.6</v>
      </c>
      <c r="W3738" s="4">
        <v>5.7</v>
      </c>
      <c r="X3738" s="4">
        <v>519.92999999999995</v>
      </c>
      <c r="Y3738" s="7" t="e">
        <f t="shared" ca="1" si="79"/>
        <v>#VALUE!</v>
      </c>
    </row>
    <row r="3739" spans="1:25" ht="15" x14ac:dyDescent="0.25">
      <c r="A3739" s="4">
        <v>3735</v>
      </c>
      <c r="C3739" s="41" t="s">
        <v>6095</v>
      </c>
      <c r="D3739" s="42"/>
      <c r="E3739" s="5" t="str">
        <f t="shared" si="75"/>
        <v>https://www.screener.in/company//consolidated/</v>
      </c>
      <c r="F3739" s="4">
        <v>443059</v>
      </c>
      <c r="G3739" s="4">
        <v>3832241897</v>
      </c>
      <c r="H3739" s="6" t="e">
        <f t="shared" ca="1" si="76"/>
        <v>#VALUE!</v>
      </c>
      <c r="I3739" s="7" t="str">
        <f ca="1">IFERROR(__xludf.DUMMYFUNCTION("IMPORTXML(E3739,""/html/body/main/div[3]/div[3]/div[2]/ul/li[5]/span[2]/span"")"),"Loading...")</f>
        <v>Loading...</v>
      </c>
      <c r="J3739" s="7" t="str">
        <f ca="1">IFERROR(__xludf.DUMMYFUNCTION("GOOGLEFINANCE(""NSE:""&amp;D3739,""marketcap"")"),"#N/A")</f>
        <v>#N/A</v>
      </c>
      <c r="K3739" s="7">
        <v>992.8</v>
      </c>
      <c r="L3739" s="8" t="str">
        <f ca="1">IFERROR(__xludf.DUMMYFUNCTION("GOOGLEFINANCE(""NSE:""&amp;D3739,""price"")"),"#N/A")</f>
        <v>#N/A</v>
      </c>
      <c r="M3739" s="9" t="e">
        <f t="shared" ca="1" si="77"/>
        <v>#VALUE!</v>
      </c>
      <c r="N3739" s="10" t="e">
        <f t="shared" ca="1" si="78"/>
        <v>#VALUE!</v>
      </c>
      <c r="O3739" s="7" t="str">
        <f ca="1">IFERROR(__xludf.DUMMYFUNCTION("GOOGLEFINANCE(""NSE:""&amp;D3739,""pe"")"),"#N/A")</f>
        <v>#N/A</v>
      </c>
      <c r="P3739" s="7" t="str">
        <f ca="1">IFERROR(__xludf.DUMMYFUNCTION("GOOGLEFINANCE(""NSE:""&amp;D3739,""EPS"")"),"#N/A")</f>
        <v>#N/A</v>
      </c>
      <c r="Q3739" s="7">
        <v>13.5</v>
      </c>
      <c r="R3739" s="7" t="str">
        <f ca="1">IFERROR(__xludf.DUMMYFUNCTION("IMPORTXML(E3739,""/html/body/main/div[3]/div[3]/div[2]/ul/li[7]/span[2]/span"")"),"Loading...")</f>
        <v>Loading...</v>
      </c>
      <c r="S3739" s="7" t="str">
        <f ca="1">IFERROR(__xludf.DUMMYFUNCTION("IMPORTXML(E3739,""/html/body/main/div[3]/div[3]/div[2]/ul/li[8]/span[2]/span"")"),"Loading...")</f>
        <v>Loading...</v>
      </c>
      <c r="T3739" s="4">
        <v>34.6</v>
      </c>
      <c r="U3739" s="4">
        <v>22.7</v>
      </c>
      <c r="V3739" s="4">
        <v>2.6</v>
      </c>
      <c r="W3739" s="4">
        <v>5.7</v>
      </c>
      <c r="X3739" s="4">
        <v>519.92999999999995</v>
      </c>
      <c r="Y3739" s="7" t="e">
        <f t="shared" ca="1" si="79"/>
        <v>#VALUE!</v>
      </c>
    </row>
    <row r="3740" spans="1:25" ht="15" x14ac:dyDescent="0.25">
      <c r="A3740" s="4">
        <v>3736</v>
      </c>
      <c r="C3740" s="41" t="s">
        <v>6096</v>
      </c>
      <c r="D3740" s="42"/>
      <c r="E3740" s="5" t="str">
        <f t="shared" si="75"/>
        <v>https://www.screener.in/company//consolidated/</v>
      </c>
      <c r="F3740" s="4">
        <v>443059</v>
      </c>
      <c r="G3740" s="4">
        <v>3832241897</v>
      </c>
      <c r="H3740" s="6" t="e">
        <f t="shared" ca="1" si="76"/>
        <v>#VALUE!</v>
      </c>
      <c r="I3740" s="7" t="str">
        <f ca="1">IFERROR(__xludf.DUMMYFUNCTION("IMPORTXML(E3740,""/html/body/main/div[3]/div[3]/div[2]/ul/li[5]/span[2]/span"")"),"Loading...")</f>
        <v>Loading...</v>
      </c>
      <c r="J3740" s="7" t="str">
        <f ca="1">IFERROR(__xludf.DUMMYFUNCTION("GOOGLEFINANCE(""NSE:""&amp;D3740,""marketcap"")"),"#N/A")</f>
        <v>#N/A</v>
      </c>
      <c r="K3740" s="7">
        <v>992.8</v>
      </c>
      <c r="L3740" s="8" t="str">
        <f ca="1">IFERROR(__xludf.DUMMYFUNCTION("GOOGLEFINANCE(""NSE:""&amp;D3740,""price"")"),"#N/A")</f>
        <v>#N/A</v>
      </c>
      <c r="M3740" s="9" t="e">
        <f t="shared" ca="1" si="77"/>
        <v>#VALUE!</v>
      </c>
      <c r="N3740" s="10" t="e">
        <f t="shared" ca="1" si="78"/>
        <v>#VALUE!</v>
      </c>
      <c r="O3740" s="7" t="str">
        <f ca="1">IFERROR(__xludf.DUMMYFUNCTION("GOOGLEFINANCE(""NSE:""&amp;D3740,""pe"")"),"#N/A")</f>
        <v>#N/A</v>
      </c>
      <c r="P3740" s="7" t="str">
        <f ca="1">IFERROR(__xludf.DUMMYFUNCTION("GOOGLEFINANCE(""NSE:""&amp;D3740,""EPS"")"),"#N/A")</f>
        <v>#N/A</v>
      </c>
      <c r="Q3740" s="7">
        <v>13.5</v>
      </c>
      <c r="R3740" s="7" t="str">
        <f ca="1">IFERROR(__xludf.DUMMYFUNCTION("IMPORTXML(E3740,""/html/body/main/div[3]/div[3]/div[2]/ul/li[7]/span[2]/span"")"),"Loading...")</f>
        <v>Loading...</v>
      </c>
      <c r="S3740" s="7" t="str">
        <f ca="1">IFERROR(__xludf.DUMMYFUNCTION("IMPORTXML(E3740,""/html/body/main/div[3]/div[3]/div[2]/ul/li[8]/span[2]/span"")"),"Loading...")</f>
        <v>Loading...</v>
      </c>
      <c r="T3740" s="4">
        <v>34.6</v>
      </c>
      <c r="U3740" s="4">
        <v>22.7</v>
      </c>
      <c r="V3740" s="4">
        <v>2.6</v>
      </c>
      <c r="W3740" s="4">
        <v>5.7</v>
      </c>
      <c r="X3740" s="4">
        <v>519.92999999999995</v>
      </c>
      <c r="Y3740" s="7" t="e">
        <f t="shared" ca="1" si="79"/>
        <v>#VALUE!</v>
      </c>
    </row>
    <row r="3741" spans="1:25" ht="15" x14ac:dyDescent="0.25">
      <c r="A3741" s="4">
        <v>3737</v>
      </c>
      <c r="C3741" s="41" t="s">
        <v>6097</v>
      </c>
      <c r="D3741" s="42"/>
      <c r="E3741" s="5" t="str">
        <f t="shared" si="75"/>
        <v>https://www.screener.in/company//consolidated/</v>
      </c>
      <c r="F3741" s="4">
        <v>443059</v>
      </c>
      <c r="G3741" s="4">
        <v>3832241897</v>
      </c>
      <c r="H3741" s="6" t="e">
        <f t="shared" ca="1" si="76"/>
        <v>#VALUE!</v>
      </c>
      <c r="I3741" s="7" t="str">
        <f ca="1">IFERROR(__xludf.DUMMYFUNCTION("IMPORTXML(E3741,""/html/body/main/div[3]/div[3]/div[2]/ul/li[5]/span[2]/span"")"),"Loading...")</f>
        <v>Loading...</v>
      </c>
      <c r="J3741" s="7" t="str">
        <f ca="1">IFERROR(__xludf.DUMMYFUNCTION("GOOGLEFINANCE(""NSE:""&amp;D3741,""marketcap"")"),"#N/A")</f>
        <v>#N/A</v>
      </c>
      <c r="K3741" s="7">
        <v>992.8</v>
      </c>
      <c r="L3741" s="8" t="str">
        <f ca="1">IFERROR(__xludf.DUMMYFUNCTION("GOOGLEFINANCE(""NSE:""&amp;D3741,""price"")"),"#N/A")</f>
        <v>#N/A</v>
      </c>
      <c r="M3741" s="9" t="e">
        <f t="shared" ca="1" si="77"/>
        <v>#VALUE!</v>
      </c>
      <c r="N3741" s="10" t="e">
        <f t="shared" ca="1" si="78"/>
        <v>#VALUE!</v>
      </c>
      <c r="O3741" s="7" t="str">
        <f ca="1">IFERROR(__xludf.DUMMYFUNCTION("GOOGLEFINANCE(""NSE:""&amp;D3741,""pe"")"),"#N/A")</f>
        <v>#N/A</v>
      </c>
      <c r="P3741" s="7" t="str">
        <f ca="1">IFERROR(__xludf.DUMMYFUNCTION("GOOGLEFINANCE(""NSE:""&amp;D3741,""EPS"")"),"#N/A")</f>
        <v>#N/A</v>
      </c>
      <c r="Q3741" s="7">
        <v>13.5</v>
      </c>
      <c r="R3741" s="7" t="str">
        <f ca="1">IFERROR(__xludf.DUMMYFUNCTION("IMPORTXML(E3741,""/html/body/main/div[3]/div[3]/div[2]/ul/li[7]/span[2]/span"")"),"Loading...")</f>
        <v>Loading...</v>
      </c>
      <c r="S3741" s="7" t="str">
        <f ca="1">IFERROR(__xludf.DUMMYFUNCTION("IMPORTXML(E3741,""/html/body/main/div[3]/div[3]/div[2]/ul/li[8]/span[2]/span"")"),"Loading...")</f>
        <v>Loading...</v>
      </c>
      <c r="T3741" s="4">
        <v>34.6</v>
      </c>
      <c r="U3741" s="4">
        <v>22.7</v>
      </c>
      <c r="V3741" s="4">
        <v>2.6</v>
      </c>
      <c r="W3741" s="4">
        <v>5.7</v>
      </c>
      <c r="X3741" s="4">
        <v>519.92999999999995</v>
      </c>
      <c r="Y3741" s="7" t="e">
        <f t="shared" ca="1" si="79"/>
        <v>#VALUE!</v>
      </c>
    </row>
    <row r="3742" spans="1:25" ht="15" x14ac:dyDescent="0.25">
      <c r="A3742" s="4">
        <v>3738</v>
      </c>
      <c r="C3742" s="41" t="s">
        <v>6098</v>
      </c>
      <c r="D3742" s="42"/>
      <c r="E3742" s="5" t="str">
        <f t="shared" si="75"/>
        <v>https://www.screener.in/company//consolidated/</v>
      </c>
      <c r="F3742" s="4">
        <v>443059</v>
      </c>
      <c r="G3742" s="4">
        <v>3832241897</v>
      </c>
      <c r="H3742" s="6" t="e">
        <f t="shared" ca="1" si="76"/>
        <v>#VALUE!</v>
      </c>
      <c r="I3742" s="7" t="str">
        <f ca="1">IFERROR(__xludf.DUMMYFUNCTION("IMPORTXML(E3742,""/html/body/main/div[3]/div[3]/div[2]/ul/li[5]/span[2]/span"")"),"Loading...")</f>
        <v>Loading...</v>
      </c>
      <c r="J3742" s="7" t="str">
        <f ca="1">IFERROR(__xludf.DUMMYFUNCTION("GOOGLEFINANCE(""NSE:""&amp;D3742,""marketcap"")"),"#N/A")</f>
        <v>#N/A</v>
      </c>
      <c r="K3742" s="7">
        <v>992.8</v>
      </c>
      <c r="L3742" s="8" t="str">
        <f ca="1">IFERROR(__xludf.DUMMYFUNCTION("GOOGLEFINANCE(""NSE:""&amp;D3742,""price"")"),"#N/A")</f>
        <v>#N/A</v>
      </c>
      <c r="M3742" s="9" t="e">
        <f t="shared" ca="1" si="77"/>
        <v>#VALUE!</v>
      </c>
      <c r="N3742" s="10" t="e">
        <f t="shared" ca="1" si="78"/>
        <v>#VALUE!</v>
      </c>
      <c r="O3742" s="7" t="str">
        <f ca="1">IFERROR(__xludf.DUMMYFUNCTION("GOOGLEFINANCE(""NSE:""&amp;D3742,""pe"")"),"#N/A")</f>
        <v>#N/A</v>
      </c>
      <c r="P3742" s="7" t="str">
        <f ca="1">IFERROR(__xludf.DUMMYFUNCTION("GOOGLEFINANCE(""NSE:""&amp;D3742,""EPS"")"),"#N/A")</f>
        <v>#N/A</v>
      </c>
      <c r="Q3742" s="7">
        <v>13.5</v>
      </c>
      <c r="R3742" s="7" t="str">
        <f ca="1">IFERROR(__xludf.DUMMYFUNCTION("IMPORTXML(E3742,""/html/body/main/div[3]/div[3]/div[2]/ul/li[7]/span[2]/span"")"),"Loading...")</f>
        <v>Loading...</v>
      </c>
      <c r="S3742" s="7" t="str">
        <f ca="1">IFERROR(__xludf.DUMMYFUNCTION("IMPORTXML(E3742,""/html/body/main/div[3]/div[3]/div[2]/ul/li[8]/span[2]/span"")"),"Loading...")</f>
        <v>Loading...</v>
      </c>
      <c r="T3742" s="4">
        <v>34.6</v>
      </c>
      <c r="U3742" s="4">
        <v>22.7</v>
      </c>
      <c r="V3742" s="4">
        <v>2.6</v>
      </c>
      <c r="W3742" s="4">
        <v>5.7</v>
      </c>
      <c r="X3742" s="4">
        <v>519.92999999999995</v>
      </c>
      <c r="Y3742" s="7" t="e">
        <f t="shared" ca="1" si="79"/>
        <v>#VALUE!</v>
      </c>
    </row>
    <row r="3743" spans="1:25" ht="15" x14ac:dyDescent="0.25">
      <c r="A3743" s="4">
        <v>3739</v>
      </c>
      <c r="C3743" s="41" t="s">
        <v>6099</v>
      </c>
      <c r="D3743" s="42"/>
      <c r="E3743" s="5" t="str">
        <f t="shared" si="75"/>
        <v>https://www.screener.in/company//consolidated/</v>
      </c>
      <c r="F3743" s="4">
        <v>443059</v>
      </c>
      <c r="G3743" s="4">
        <v>3832241897</v>
      </c>
      <c r="H3743" s="6" t="e">
        <f t="shared" ca="1" si="76"/>
        <v>#VALUE!</v>
      </c>
      <c r="I3743" s="7" t="str">
        <f ca="1">IFERROR(__xludf.DUMMYFUNCTION("IMPORTXML(E3743,""/html/body/main/div[3]/div[3]/div[2]/ul/li[5]/span[2]/span"")"),"Loading...")</f>
        <v>Loading...</v>
      </c>
      <c r="J3743" s="7" t="str">
        <f ca="1">IFERROR(__xludf.DUMMYFUNCTION("GOOGLEFINANCE(""NSE:""&amp;D3743,""marketcap"")"),"#N/A")</f>
        <v>#N/A</v>
      </c>
      <c r="K3743" s="7">
        <v>992.8</v>
      </c>
      <c r="L3743" s="8" t="str">
        <f ca="1">IFERROR(__xludf.DUMMYFUNCTION("GOOGLEFINANCE(""NSE:""&amp;D3743,""price"")"),"#N/A")</f>
        <v>#N/A</v>
      </c>
      <c r="M3743" s="9" t="e">
        <f t="shared" ca="1" si="77"/>
        <v>#VALUE!</v>
      </c>
      <c r="N3743" s="10" t="e">
        <f t="shared" ca="1" si="78"/>
        <v>#VALUE!</v>
      </c>
      <c r="O3743" s="7" t="str">
        <f ca="1">IFERROR(__xludf.DUMMYFUNCTION("GOOGLEFINANCE(""NSE:""&amp;D3743,""pe"")"),"#N/A")</f>
        <v>#N/A</v>
      </c>
      <c r="P3743" s="7" t="str">
        <f ca="1">IFERROR(__xludf.DUMMYFUNCTION("GOOGLEFINANCE(""NSE:""&amp;D3743,""EPS"")"),"#N/A")</f>
        <v>#N/A</v>
      </c>
      <c r="Q3743" s="7">
        <v>13.5</v>
      </c>
      <c r="R3743" s="7" t="str">
        <f ca="1">IFERROR(__xludf.DUMMYFUNCTION("IMPORTXML(E3743,""/html/body/main/div[3]/div[3]/div[2]/ul/li[7]/span[2]/span"")"),"Loading...")</f>
        <v>Loading...</v>
      </c>
      <c r="S3743" s="7" t="str">
        <f ca="1">IFERROR(__xludf.DUMMYFUNCTION("IMPORTXML(E3743,""/html/body/main/div[3]/div[3]/div[2]/ul/li[8]/span[2]/span"")"),"Loading...")</f>
        <v>Loading...</v>
      </c>
      <c r="T3743" s="4">
        <v>34.6</v>
      </c>
      <c r="U3743" s="4">
        <v>22.7</v>
      </c>
      <c r="V3743" s="4">
        <v>2.6</v>
      </c>
      <c r="W3743" s="4">
        <v>5.7</v>
      </c>
      <c r="X3743" s="4">
        <v>519.92999999999995</v>
      </c>
      <c r="Y3743" s="7" t="e">
        <f t="shared" ca="1" si="79"/>
        <v>#VALUE!</v>
      </c>
    </row>
    <row r="3744" spans="1:25" ht="15" x14ac:dyDescent="0.25">
      <c r="A3744" s="4">
        <v>3740</v>
      </c>
      <c r="C3744" s="41" t="s">
        <v>6100</v>
      </c>
      <c r="D3744" s="42"/>
      <c r="E3744" s="5" t="str">
        <f t="shared" si="75"/>
        <v>https://www.screener.in/company//consolidated/</v>
      </c>
      <c r="F3744" s="4">
        <v>443059</v>
      </c>
      <c r="G3744" s="4">
        <v>3832241897</v>
      </c>
      <c r="H3744" s="6" t="e">
        <f t="shared" ca="1" si="76"/>
        <v>#VALUE!</v>
      </c>
      <c r="I3744" s="7" t="str">
        <f ca="1">IFERROR(__xludf.DUMMYFUNCTION("IMPORTXML(E3744,""/html/body/main/div[3]/div[3]/div[2]/ul/li[5]/span[2]/span"")"),"Loading...")</f>
        <v>Loading...</v>
      </c>
      <c r="J3744" s="7" t="str">
        <f ca="1">IFERROR(__xludf.DUMMYFUNCTION("GOOGLEFINANCE(""NSE:""&amp;D3744,""marketcap"")"),"#N/A")</f>
        <v>#N/A</v>
      </c>
      <c r="K3744" s="7">
        <v>992.8</v>
      </c>
      <c r="L3744" s="8" t="str">
        <f ca="1">IFERROR(__xludf.DUMMYFUNCTION("GOOGLEFINANCE(""NSE:""&amp;D3744,""price"")"),"#N/A")</f>
        <v>#N/A</v>
      </c>
      <c r="M3744" s="9" t="e">
        <f t="shared" ca="1" si="77"/>
        <v>#VALUE!</v>
      </c>
      <c r="N3744" s="10" t="e">
        <f t="shared" ca="1" si="78"/>
        <v>#VALUE!</v>
      </c>
      <c r="O3744" s="7" t="str">
        <f ca="1">IFERROR(__xludf.DUMMYFUNCTION("GOOGLEFINANCE(""NSE:""&amp;D3744,""pe"")"),"#N/A")</f>
        <v>#N/A</v>
      </c>
      <c r="P3744" s="7" t="str">
        <f ca="1">IFERROR(__xludf.DUMMYFUNCTION("GOOGLEFINANCE(""NSE:""&amp;D3744,""EPS"")"),"#N/A")</f>
        <v>#N/A</v>
      </c>
      <c r="Q3744" s="7">
        <v>13.5</v>
      </c>
      <c r="R3744" s="7" t="str">
        <f ca="1">IFERROR(__xludf.DUMMYFUNCTION("IMPORTXML(E3744,""/html/body/main/div[3]/div[3]/div[2]/ul/li[7]/span[2]/span"")"),"Loading...")</f>
        <v>Loading...</v>
      </c>
      <c r="S3744" s="7" t="str">
        <f ca="1">IFERROR(__xludf.DUMMYFUNCTION("IMPORTXML(E3744,""/html/body/main/div[3]/div[3]/div[2]/ul/li[8]/span[2]/span"")"),"Loading...")</f>
        <v>Loading...</v>
      </c>
      <c r="T3744" s="4">
        <v>34.6</v>
      </c>
      <c r="U3744" s="4">
        <v>22.7</v>
      </c>
      <c r="V3744" s="4">
        <v>2.6</v>
      </c>
      <c r="W3744" s="4">
        <v>5.7</v>
      </c>
      <c r="X3744" s="4">
        <v>519.92999999999995</v>
      </c>
      <c r="Y3744" s="7" t="e">
        <f t="shared" ca="1" si="79"/>
        <v>#VALUE!</v>
      </c>
    </row>
    <row r="3745" spans="1:25" ht="15" x14ac:dyDescent="0.25">
      <c r="A3745" s="4">
        <v>3741</v>
      </c>
      <c r="C3745" s="41" t="s">
        <v>6101</v>
      </c>
      <c r="D3745" s="42"/>
      <c r="E3745" s="5" t="str">
        <f t="shared" si="75"/>
        <v>https://www.screener.in/company//consolidated/</v>
      </c>
      <c r="F3745" s="4">
        <v>443059</v>
      </c>
      <c r="G3745" s="4">
        <v>3832241897</v>
      </c>
      <c r="H3745" s="6" t="e">
        <f t="shared" ca="1" si="76"/>
        <v>#VALUE!</v>
      </c>
      <c r="I3745" s="7" t="str">
        <f ca="1">IFERROR(__xludf.DUMMYFUNCTION("IMPORTXML(E3745,""/html/body/main/div[3]/div[3]/div[2]/ul/li[5]/span[2]/span"")"),"Loading...")</f>
        <v>Loading...</v>
      </c>
      <c r="J3745" s="7" t="str">
        <f ca="1">IFERROR(__xludf.DUMMYFUNCTION("GOOGLEFINANCE(""NSE:""&amp;D3745,""marketcap"")"),"#N/A")</f>
        <v>#N/A</v>
      </c>
      <c r="K3745" s="7">
        <v>992.8</v>
      </c>
      <c r="L3745" s="8" t="str">
        <f ca="1">IFERROR(__xludf.DUMMYFUNCTION("GOOGLEFINANCE(""NSE:""&amp;D3745,""price"")"),"#N/A")</f>
        <v>#N/A</v>
      </c>
      <c r="M3745" s="9" t="e">
        <f t="shared" ca="1" si="77"/>
        <v>#VALUE!</v>
      </c>
      <c r="N3745" s="10" t="e">
        <f t="shared" ca="1" si="78"/>
        <v>#VALUE!</v>
      </c>
      <c r="O3745" s="7" t="str">
        <f ca="1">IFERROR(__xludf.DUMMYFUNCTION("GOOGLEFINANCE(""NSE:""&amp;D3745,""pe"")"),"#N/A")</f>
        <v>#N/A</v>
      </c>
      <c r="P3745" s="7" t="str">
        <f ca="1">IFERROR(__xludf.DUMMYFUNCTION("GOOGLEFINANCE(""NSE:""&amp;D3745,""EPS"")"),"#N/A")</f>
        <v>#N/A</v>
      </c>
      <c r="Q3745" s="7">
        <v>13.5</v>
      </c>
      <c r="R3745" s="7" t="str">
        <f ca="1">IFERROR(__xludf.DUMMYFUNCTION("IMPORTXML(E3745,""/html/body/main/div[3]/div[3]/div[2]/ul/li[7]/span[2]/span"")"),"Loading...")</f>
        <v>Loading...</v>
      </c>
      <c r="S3745" s="7" t="str">
        <f ca="1">IFERROR(__xludf.DUMMYFUNCTION("IMPORTXML(E3745,""/html/body/main/div[3]/div[3]/div[2]/ul/li[8]/span[2]/span"")"),"Loading...")</f>
        <v>Loading...</v>
      </c>
      <c r="T3745" s="4">
        <v>34.6</v>
      </c>
      <c r="U3745" s="4">
        <v>22.7</v>
      </c>
      <c r="V3745" s="4">
        <v>2.6</v>
      </c>
      <c r="W3745" s="4">
        <v>5.7</v>
      </c>
      <c r="X3745" s="4">
        <v>519.92999999999995</v>
      </c>
      <c r="Y3745" s="7" t="e">
        <f t="shared" ca="1" si="79"/>
        <v>#VALUE!</v>
      </c>
    </row>
    <row r="3746" spans="1:25" ht="15" x14ac:dyDescent="0.25">
      <c r="A3746" s="4">
        <v>3742</v>
      </c>
      <c r="C3746" s="12" t="s">
        <v>6102</v>
      </c>
      <c r="D3746" s="12" t="s">
        <v>6103</v>
      </c>
      <c r="E3746" s="5" t="str">
        <f t="shared" si="75"/>
        <v>https://www.screener.in/company/ORTINGLOBE/consolidated/</v>
      </c>
      <c r="F3746" s="4">
        <v>443059</v>
      </c>
      <c r="G3746" s="4">
        <v>3832241897</v>
      </c>
      <c r="H3746" s="6">
        <f t="shared" ca="1" si="76"/>
        <v>4843.9537578079999</v>
      </c>
      <c r="I3746" s="7" t="str">
        <f ca="1">IFERROR(__xludf.DUMMYFUNCTION("IMPORTXML(E3746,""/html/body/main/div[3]/div[3]/div[2]/ul/li[5]/span[2]/span"")"),"Loading...")</f>
        <v>Loading...</v>
      </c>
      <c r="J3746" s="7">
        <f ca="1">IFERROR(__xludf.DUMMYFUNCTION("GOOGLEFINANCE(""NSE:""&amp;D3746,""marketcap"")"),102780835)</f>
        <v>102780835</v>
      </c>
      <c r="K3746" s="7">
        <v>992.8</v>
      </c>
      <c r="L3746" s="8">
        <f ca="1">IFERROR(__xludf.DUMMYFUNCTION("GOOGLEFINANCE(""NSE:""&amp;D3746,""price"")"),12.64)</f>
        <v>12.64</v>
      </c>
      <c r="M3746" s="9">
        <f t="shared" ca="1" si="77"/>
        <v>-980.16</v>
      </c>
      <c r="N3746" s="10">
        <f t="shared" ca="1" si="78"/>
        <v>-98.726833199033038</v>
      </c>
      <c r="O3746" s="7" t="str">
        <f ca="1">IFERROR(__xludf.DUMMYFUNCTION("GOOGLEFINANCE(""NSE:""&amp;D3746,""pe"")"),"#N/A")</f>
        <v>#N/A</v>
      </c>
      <c r="P3746" s="7">
        <f ca="1">IFERROR(__xludf.DUMMYFUNCTION("GOOGLEFINANCE(""NSE:""&amp;D3746,""EPS"")"),-1.13)</f>
        <v>-1.1299999999999999</v>
      </c>
      <c r="Q3746" s="7">
        <v>13.5</v>
      </c>
      <c r="R3746" s="7" t="str">
        <f ca="1">IFERROR(__xludf.DUMMYFUNCTION("IMPORTXML(E3746,""/html/body/main/div[3]/div[3]/div[2]/ul/li[7]/span[2]/span"")"),"Loading...")</f>
        <v>Loading...</v>
      </c>
      <c r="S3746" s="7" t="str">
        <f ca="1">IFERROR(__xludf.DUMMYFUNCTION("IMPORTXML(E3746,""/html/body/main/div[3]/div[3]/div[2]/ul/li[8]/span[2]/span"")"),"Loading...")</f>
        <v>Loading...</v>
      </c>
      <c r="T3746" s="4">
        <v>34.6</v>
      </c>
      <c r="U3746" s="4">
        <v>22.7</v>
      </c>
      <c r="V3746" s="4">
        <v>2.6</v>
      </c>
      <c r="W3746" s="4">
        <v>5.7</v>
      </c>
      <c r="X3746" s="4">
        <v>519.92999999999995</v>
      </c>
      <c r="Y3746" s="7">
        <f t="shared" ca="1" si="79"/>
        <v>-507.28999999999996</v>
      </c>
    </row>
    <row r="3747" spans="1:25" ht="15" x14ac:dyDescent="0.25">
      <c r="A3747" s="4">
        <v>3744</v>
      </c>
      <c r="C3747" s="41" t="s">
        <v>6104</v>
      </c>
      <c r="D3747" s="42"/>
      <c r="E3747" s="5" t="str">
        <f t="shared" si="75"/>
        <v>https://www.screener.in/company//consolidated/</v>
      </c>
      <c r="F3747" s="4">
        <v>443059</v>
      </c>
      <c r="G3747" s="4">
        <v>3832241897</v>
      </c>
      <c r="H3747" s="6" t="e">
        <f t="shared" ca="1" si="76"/>
        <v>#VALUE!</v>
      </c>
      <c r="I3747" s="7" t="str">
        <f ca="1">IFERROR(__xludf.DUMMYFUNCTION("IMPORTXML(E3747,""/html/body/main/div[3]/div[3]/div[2]/ul/li[5]/span[2]/span"")"),"Loading...")</f>
        <v>Loading...</v>
      </c>
      <c r="J3747" s="7" t="str">
        <f ca="1">IFERROR(__xludf.DUMMYFUNCTION("GOOGLEFINANCE(""NSE:""&amp;D3747,""marketcap"")"),"#N/A")</f>
        <v>#N/A</v>
      </c>
      <c r="K3747" s="7">
        <v>992.8</v>
      </c>
      <c r="L3747" s="8" t="str">
        <f ca="1">IFERROR(__xludf.DUMMYFUNCTION("GOOGLEFINANCE(""NSE:""&amp;D3747,""price"")"),"#N/A")</f>
        <v>#N/A</v>
      </c>
      <c r="M3747" s="9" t="e">
        <f t="shared" ca="1" si="77"/>
        <v>#VALUE!</v>
      </c>
      <c r="N3747" s="10" t="e">
        <f t="shared" ca="1" si="78"/>
        <v>#VALUE!</v>
      </c>
      <c r="O3747" s="7" t="str">
        <f ca="1">IFERROR(__xludf.DUMMYFUNCTION("GOOGLEFINANCE(""NSE:""&amp;D3747,""pe"")"),"#N/A")</f>
        <v>#N/A</v>
      </c>
      <c r="P3747" s="7" t="str">
        <f ca="1">IFERROR(__xludf.DUMMYFUNCTION("GOOGLEFINANCE(""NSE:""&amp;D3747,""EPS"")"),"#N/A")</f>
        <v>#N/A</v>
      </c>
      <c r="Q3747" s="7">
        <v>13.5</v>
      </c>
      <c r="R3747" s="7" t="str">
        <f ca="1">IFERROR(__xludf.DUMMYFUNCTION("IMPORTXML(E3747,""/html/body/main/div[3]/div[3]/div[2]/ul/li[7]/span[2]/span"")"),"Loading...")</f>
        <v>Loading...</v>
      </c>
      <c r="S3747" s="7" t="str">
        <f ca="1">IFERROR(__xludf.DUMMYFUNCTION("IMPORTXML(E3747,""/html/body/main/div[3]/div[3]/div[2]/ul/li[8]/span[2]/span"")"),"Loading...")</f>
        <v>Loading...</v>
      </c>
      <c r="T3747" s="4">
        <v>34.6</v>
      </c>
      <c r="U3747" s="4">
        <v>22.7</v>
      </c>
      <c r="V3747" s="4">
        <v>2.6</v>
      </c>
      <c r="W3747" s="4">
        <v>5.7</v>
      </c>
      <c r="X3747" s="4">
        <v>519.92999999999995</v>
      </c>
      <c r="Y3747" s="7" t="e">
        <f t="shared" ca="1" si="79"/>
        <v>#VALUE!</v>
      </c>
    </row>
    <row r="3748" spans="1:25" ht="15" x14ac:dyDescent="0.25">
      <c r="A3748" s="4">
        <v>3745</v>
      </c>
      <c r="C3748" s="12" t="s">
        <v>6105</v>
      </c>
      <c r="D3748" s="12" t="s">
        <v>6106</v>
      </c>
      <c r="E3748" s="5" t="str">
        <f t="shared" si="75"/>
        <v>https://www.screener.in/company/VCL/consolidated/</v>
      </c>
      <c r="F3748" s="4">
        <v>443059</v>
      </c>
      <c r="G3748" s="4">
        <v>3832241897</v>
      </c>
      <c r="H3748" s="6">
        <f t="shared" ca="1" si="76"/>
        <v>463.70126953699997</v>
      </c>
      <c r="I3748" s="7" t="str">
        <f ca="1">IFERROR(__xludf.DUMMYFUNCTION("IMPORTXML(E3748,""/html/body/main/div[3]/div[3]/div[2]/ul/li[5]/span[2]/span"")"),"Loading...")</f>
        <v>Loading...</v>
      </c>
      <c r="J3748" s="7">
        <f ca="1">IFERROR(__xludf.DUMMYFUNCTION("GOOGLEFINANCE(""NSE:""&amp;D3748,""marketcap"")"),222340169)</f>
        <v>222340169</v>
      </c>
      <c r="K3748" s="7">
        <v>992.8</v>
      </c>
      <c r="L3748" s="8">
        <f ca="1">IFERROR(__xludf.DUMMYFUNCTION("GOOGLEFINANCE(""NSE:""&amp;D3748,""price"")"),1.21)</f>
        <v>1.21</v>
      </c>
      <c r="M3748" s="9">
        <f t="shared" ca="1" si="77"/>
        <v>-991.58999999999992</v>
      </c>
      <c r="N3748" s="10">
        <f t="shared" ca="1" si="78"/>
        <v>-99.878122481869454</v>
      </c>
      <c r="O3748" s="7" t="str">
        <f ca="1">IFERROR(__xludf.DUMMYFUNCTION("GOOGLEFINANCE(""NSE:""&amp;D3748,""pe"")"),"#N/A")</f>
        <v>#N/A</v>
      </c>
      <c r="P3748" s="7" t="str">
        <f ca="1">IFERROR(__xludf.DUMMYFUNCTION("GOOGLEFINANCE(""NSE:""&amp;D3748,""EPS"")"),"#N/A")</f>
        <v>#N/A</v>
      </c>
      <c r="Q3748" s="7">
        <v>13.5</v>
      </c>
      <c r="R3748" s="7" t="str">
        <f ca="1">IFERROR(__xludf.DUMMYFUNCTION("IMPORTXML(E3748,""/html/body/main/div[3]/div[3]/div[2]/ul/li[7]/span[2]/span"")"),"Loading...")</f>
        <v>Loading...</v>
      </c>
      <c r="S3748" s="7" t="str">
        <f ca="1">IFERROR(__xludf.DUMMYFUNCTION("IMPORTXML(E3748,""/html/body/main/div[3]/div[3]/div[2]/ul/li[8]/span[2]/span"")"),"Loading...")</f>
        <v>Loading...</v>
      </c>
      <c r="T3748" s="4">
        <v>34.6</v>
      </c>
      <c r="U3748" s="4">
        <v>22.7</v>
      </c>
      <c r="V3748" s="4">
        <v>2.6</v>
      </c>
      <c r="W3748" s="4">
        <v>5.7</v>
      </c>
      <c r="X3748" s="4">
        <v>519.92999999999995</v>
      </c>
      <c r="Y3748" s="7">
        <f t="shared" ca="1" si="79"/>
        <v>-518.71999999999991</v>
      </c>
    </row>
    <row r="3749" spans="1:25" ht="15" x14ac:dyDescent="0.25">
      <c r="A3749" s="4">
        <v>3746</v>
      </c>
      <c r="C3749" s="41" t="s">
        <v>6107</v>
      </c>
      <c r="D3749" s="42"/>
      <c r="E3749" s="5" t="str">
        <f t="shared" si="75"/>
        <v>https://www.screener.in/company//consolidated/</v>
      </c>
      <c r="F3749" s="4">
        <v>443059</v>
      </c>
      <c r="G3749" s="4">
        <v>3832241897</v>
      </c>
      <c r="H3749" s="6" t="e">
        <f t="shared" ca="1" si="76"/>
        <v>#VALUE!</v>
      </c>
      <c r="I3749" s="7" t="str">
        <f ca="1">IFERROR(__xludf.DUMMYFUNCTION("IMPORTXML(E3749,""/html/body/main/div[3]/div[3]/div[2]/ul/li[5]/span[2]/span"")"),"Loading...")</f>
        <v>Loading...</v>
      </c>
      <c r="J3749" s="7" t="str">
        <f ca="1">IFERROR(__xludf.DUMMYFUNCTION("GOOGLEFINANCE(""NSE:""&amp;D3749,""marketcap"")"),"#N/A")</f>
        <v>#N/A</v>
      </c>
      <c r="K3749" s="7">
        <v>992.8</v>
      </c>
      <c r="L3749" s="8" t="str">
        <f ca="1">IFERROR(__xludf.DUMMYFUNCTION("GOOGLEFINANCE(""NSE:""&amp;D3749,""price"")"),"#N/A")</f>
        <v>#N/A</v>
      </c>
      <c r="M3749" s="9" t="e">
        <f t="shared" ca="1" si="77"/>
        <v>#VALUE!</v>
      </c>
      <c r="N3749" s="10" t="e">
        <f t="shared" ca="1" si="78"/>
        <v>#VALUE!</v>
      </c>
      <c r="O3749" s="7" t="str">
        <f ca="1">IFERROR(__xludf.DUMMYFUNCTION("GOOGLEFINANCE(""NSE:""&amp;D3749,""pe"")"),"#N/A")</f>
        <v>#N/A</v>
      </c>
      <c r="P3749" s="7" t="str">
        <f ca="1">IFERROR(__xludf.DUMMYFUNCTION("GOOGLEFINANCE(""NSE:""&amp;D3749,""EPS"")"),"#N/A")</f>
        <v>#N/A</v>
      </c>
      <c r="Q3749" s="7">
        <v>13.5</v>
      </c>
      <c r="R3749" s="7" t="str">
        <f ca="1">IFERROR(__xludf.DUMMYFUNCTION("IMPORTXML(E3749,""/html/body/main/div[3]/div[3]/div[2]/ul/li[7]/span[2]/span"")"),"Loading...")</f>
        <v>Loading...</v>
      </c>
      <c r="S3749" s="7" t="str">
        <f ca="1">IFERROR(__xludf.DUMMYFUNCTION("IMPORTXML(E3749,""/html/body/main/div[3]/div[3]/div[2]/ul/li[8]/span[2]/span"")"),"Loading...")</f>
        <v>Loading...</v>
      </c>
      <c r="T3749" s="4">
        <v>34.6</v>
      </c>
      <c r="U3749" s="4">
        <v>22.7</v>
      </c>
      <c r="V3749" s="4">
        <v>2.6</v>
      </c>
      <c r="W3749" s="4">
        <v>5.7</v>
      </c>
      <c r="X3749" s="4">
        <v>519.92999999999995</v>
      </c>
      <c r="Y3749" s="7" t="e">
        <f t="shared" ca="1" si="79"/>
        <v>#VALUE!</v>
      </c>
    </row>
    <row r="3750" spans="1:25" ht="15" x14ac:dyDescent="0.25">
      <c r="A3750" s="4">
        <v>3747</v>
      </c>
      <c r="C3750" s="41" t="s">
        <v>6108</v>
      </c>
      <c r="D3750" s="42"/>
      <c r="E3750" s="5" t="str">
        <f t="shared" si="75"/>
        <v>https://www.screener.in/company//consolidated/</v>
      </c>
      <c r="F3750" s="4">
        <v>443059</v>
      </c>
      <c r="G3750" s="4">
        <v>3832241897</v>
      </c>
      <c r="H3750" s="6" t="e">
        <f t="shared" ca="1" si="76"/>
        <v>#VALUE!</v>
      </c>
      <c r="I3750" s="7" t="str">
        <f ca="1">IFERROR(__xludf.DUMMYFUNCTION("IMPORTXML(E3750,""/html/body/main/div[3]/div[3]/div[2]/ul/li[5]/span[2]/span"")"),"Loading...")</f>
        <v>Loading...</v>
      </c>
      <c r="J3750" s="7" t="str">
        <f ca="1">IFERROR(__xludf.DUMMYFUNCTION("GOOGLEFINANCE(""NSE:""&amp;D3750,""marketcap"")"),"#N/A")</f>
        <v>#N/A</v>
      </c>
      <c r="K3750" s="7">
        <v>992.8</v>
      </c>
      <c r="L3750" s="8" t="str">
        <f ca="1">IFERROR(__xludf.DUMMYFUNCTION("GOOGLEFINANCE(""NSE:""&amp;D3750,""price"")"),"#N/A")</f>
        <v>#N/A</v>
      </c>
      <c r="M3750" s="9" t="e">
        <f t="shared" ca="1" si="77"/>
        <v>#VALUE!</v>
      </c>
      <c r="N3750" s="10" t="e">
        <f t="shared" ca="1" si="78"/>
        <v>#VALUE!</v>
      </c>
      <c r="O3750" s="7" t="str">
        <f ca="1">IFERROR(__xludf.DUMMYFUNCTION("GOOGLEFINANCE(""NSE:""&amp;D3750,""pe"")"),"#N/A")</f>
        <v>#N/A</v>
      </c>
      <c r="P3750" s="7" t="str">
        <f ca="1">IFERROR(__xludf.DUMMYFUNCTION("GOOGLEFINANCE(""NSE:""&amp;D3750,""EPS"")"),"#N/A")</f>
        <v>#N/A</v>
      </c>
      <c r="Q3750" s="7">
        <v>13.5</v>
      </c>
      <c r="R3750" s="7" t="str">
        <f ca="1">IFERROR(__xludf.DUMMYFUNCTION("IMPORTXML(E3750,""/html/body/main/div[3]/div[3]/div[2]/ul/li[7]/span[2]/span"")"),"Loading...")</f>
        <v>Loading...</v>
      </c>
      <c r="S3750" s="7" t="str">
        <f ca="1">IFERROR(__xludf.DUMMYFUNCTION("IMPORTXML(E3750,""/html/body/main/div[3]/div[3]/div[2]/ul/li[8]/span[2]/span"")"),"Loading...")</f>
        <v>Loading...</v>
      </c>
      <c r="T3750" s="4">
        <v>34.6</v>
      </c>
      <c r="U3750" s="4">
        <v>22.7</v>
      </c>
      <c r="V3750" s="4">
        <v>2.6</v>
      </c>
      <c r="W3750" s="4">
        <v>5.7</v>
      </c>
      <c r="X3750" s="4">
        <v>519.92999999999995</v>
      </c>
      <c r="Y3750" s="7" t="e">
        <f t="shared" ca="1" si="79"/>
        <v>#VALUE!</v>
      </c>
    </row>
    <row r="3751" spans="1:25" ht="15" x14ac:dyDescent="0.25">
      <c r="A3751" s="4">
        <v>3748</v>
      </c>
      <c r="C3751" s="41" t="s">
        <v>6109</v>
      </c>
      <c r="D3751" s="42"/>
      <c r="E3751" s="5" t="str">
        <f t="shared" si="75"/>
        <v>https://www.screener.in/company//consolidated/</v>
      </c>
      <c r="F3751" s="4">
        <v>443059</v>
      </c>
      <c r="G3751" s="4">
        <v>3832241897</v>
      </c>
      <c r="H3751" s="6" t="e">
        <f t="shared" ca="1" si="76"/>
        <v>#VALUE!</v>
      </c>
      <c r="I3751" s="7" t="str">
        <f ca="1">IFERROR(__xludf.DUMMYFUNCTION("IMPORTXML(E3751,""/html/body/main/div[3]/div[3]/div[2]/ul/li[5]/span[2]/span"")"),"Loading...")</f>
        <v>Loading...</v>
      </c>
      <c r="J3751" s="7" t="str">
        <f ca="1">IFERROR(__xludf.DUMMYFUNCTION("GOOGLEFINANCE(""NSE:""&amp;D3751,""marketcap"")"),"#N/A")</f>
        <v>#N/A</v>
      </c>
      <c r="K3751" s="7">
        <v>992.8</v>
      </c>
      <c r="L3751" s="8" t="str">
        <f ca="1">IFERROR(__xludf.DUMMYFUNCTION("GOOGLEFINANCE(""NSE:""&amp;D3751,""price"")"),"#N/A")</f>
        <v>#N/A</v>
      </c>
      <c r="M3751" s="9" t="e">
        <f t="shared" ca="1" si="77"/>
        <v>#VALUE!</v>
      </c>
      <c r="N3751" s="10" t="e">
        <f t="shared" ca="1" si="78"/>
        <v>#VALUE!</v>
      </c>
      <c r="O3751" s="7" t="str">
        <f ca="1">IFERROR(__xludf.DUMMYFUNCTION("GOOGLEFINANCE(""NSE:""&amp;D3751,""pe"")"),"#N/A")</f>
        <v>#N/A</v>
      </c>
      <c r="P3751" s="7" t="str">
        <f ca="1">IFERROR(__xludf.DUMMYFUNCTION("GOOGLEFINANCE(""NSE:""&amp;D3751,""EPS"")"),"#N/A")</f>
        <v>#N/A</v>
      </c>
      <c r="Q3751" s="7">
        <v>13.5</v>
      </c>
      <c r="R3751" s="7" t="str">
        <f ca="1">IFERROR(__xludf.DUMMYFUNCTION("IMPORTXML(E3751,""/html/body/main/div[3]/div[3]/div[2]/ul/li[7]/span[2]/span"")"),"Loading...")</f>
        <v>Loading...</v>
      </c>
      <c r="S3751" s="7" t="str">
        <f ca="1">IFERROR(__xludf.DUMMYFUNCTION("IMPORTXML(E3751,""/html/body/main/div[3]/div[3]/div[2]/ul/li[8]/span[2]/span"")"),"Loading...")</f>
        <v>Loading...</v>
      </c>
      <c r="T3751" s="4">
        <v>34.6</v>
      </c>
      <c r="U3751" s="4">
        <v>22.7</v>
      </c>
      <c r="V3751" s="4">
        <v>2.6</v>
      </c>
      <c r="W3751" s="4">
        <v>5.7</v>
      </c>
      <c r="X3751" s="4">
        <v>519.92999999999995</v>
      </c>
      <c r="Y3751" s="7" t="e">
        <f t="shared" ca="1" si="79"/>
        <v>#VALUE!</v>
      </c>
    </row>
    <row r="3752" spans="1:25" ht="15" x14ac:dyDescent="0.25">
      <c r="A3752" s="4">
        <v>3749</v>
      </c>
      <c r="C3752" s="41" t="s">
        <v>6110</v>
      </c>
      <c r="D3752" s="42"/>
      <c r="E3752" s="5" t="str">
        <f t="shared" si="75"/>
        <v>https://www.screener.in/company//consolidated/</v>
      </c>
      <c r="F3752" s="4">
        <v>443059</v>
      </c>
      <c r="G3752" s="4">
        <v>3832241897</v>
      </c>
      <c r="H3752" s="6" t="e">
        <f t="shared" ca="1" si="76"/>
        <v>#VALUE!</v>
      </c>
      <c r="I3752" s="7" t="str">
        <f ca="1">IFERROR(__xludf.DUMMYFUNCTION("IMPORTXML(E3752,""/html/body/main/div[3]/div[3]/div[2]/ul/li[5]/span[2]/span"")"),"Loading...")</f>
        <v>Loading...</v>
      </c>
      <c r="J3752" s="7" t="str">
        <f ca="1">IFERROR(__xludf.DUMMYFUNCTION("GOOGLEFINANCE(""NSE:""&amp;D3752,""marketcap"")"),"#N/A")</f>
        <v>#N/A</v>
      </c>
      <c r="K3752" s="7">
        <v>992.8</v>
      </c>
      <c r="L3752" s="8" t="str">
        <f ca="1">IFERROR(__xludf.DUMMYFUNCTION("GOOGLEFINANCE(""NSE:""&amp;D3752,""price"")"),"#N/A")</f>
        <v>#N/A</v>
      </c>
      <c r="M3752" s="9" t="e">
        <f t="shared" ca="1" si="77"/>
        <v>#VALUE!</v>
      </c>
      <c r="N3752" s="10" t="e">
        <f t="shared" ca="1" si="78"/>
        <v>#VALUE!</v>
      </c>
      <c r="O3752" s="7" t="str">
        <f ca="1">IFERROR(__xludf.DUMMYFUNCTION("GOOGLEFINANCE(""NSE:""&amp;D3752,""pe"")"),"#N/A")</f>
        <v>#N/A</v>
      </c>
      <c r="P3752" s="7" t="str">
        <f ca="1">IFERROR(__xludf.DUMMYFUNCTION("GOOGLEFINANCE(""NSE:""&amp;D3752,""EPS"")"),"#N/A")</f>
        <v>#N/A</v>
      </c>
      <c r="Q3752" s="7">
        <v>13.5</v>
      </c>
      <c r="R3752" s="7" t="str">
        <f ca="1">IFERROR(__xludf.DUMMYFUNCTION("IMPORTXML(E3752,""/html/body/main/div[3]/div[3]/div[2]/ul/li[7]/span[2]/span"")"),"Loading...")</f>
        <v>Loading...</v>
      </c>
      <c r="S3752" s="7" t="str">
        <f ca="1">IFERROR(__xludf.DUMMYFUNCTION("IMPORTXML(E3752,""/html/body/main/div[3]/div[3]/div[2]/ul/li[8]/span[2]/span"")"),"Loading...")</f>
        <v>Loading...</v>
      </c>
      <c r="T3752" s="4">
        <v>34.6</v>
      </c>
      <c r="U3752" s="4">
        <v>22.7</v>
      </c>
      <c r="V3752" s="4">
        <v>2.6</v>
      </c>
      <c r="W3752" s="4">
        <v>5.7</v>
      </c>
      <c r="X3752" s="4">
        <v>519.92999999999995</v>
      </c>
      <c r="Y3752" s="7" t="e">
        <f t="shared" ca="1" si="79"/>
        <v>#VALUE!</v>
      </c>
    </row>
    <row r="3753" spans="1:25" ht="15" x14ac:dyDescent="0.25">
      <c r="A3753" s="4">
        <v>3750</v>
      </c>
      <c r="C3753" s="41" t="s">
        <v>6111</v>
      </c>
      <c r="D3753" s="42"/>
      <c r="E3753" s="5" t="str">
        <f t="shared" si="75"/>
        <v>https://www.screener.in/company//consolidated/</v>
      </c>
      <c r="F3753" s="4">
        <v>443059</v>
      </c>
      <c r="G3753" s="4">
        <v>3832241897</v>
      </c>
      <c r="H3753" s="6" t="e">
        <f t="shared" ca="1" si="76"/>
        <v>#VALUE!</v>
      </c>
      <c r="I3753" s="7" t="str">
        <f ca="1">IFERROR(__xludf.DUMMYFUNCTION("IMPORTXML(E3753,""/html/body/main/div[3]/div[3]/div[2]/ul/li[5]/span[2]/span"")"),"Loading...")</f>
        <v>Loading...</v>
      </c>
      <c r="J3753" s="7" t="str">
        <f ca="1">IFERROR(__xludf.DUMMYFUNCTION("GOOGLEFINANCE(""NSE:""&amp;D3753,""marketcap"")"),"#N/A")</f>
        <v>#N/A</v>
      </c>
      <c r="K3753" s="7">
        <v>992.8</v>
      </c>
      <c r="L3753" s="8" t="str">
        <f ca="1">IFERROR(__xludf.DUMMYFUNCTION("GOOGLEFINANCE(""NSE:""&amp;D3753,""price"")"),"#N/A")</f>
        <v>#N/A</v>
      </c>
      <c r="M3753" s="9" t="e">
        <f t="shared" ca="1" si="77"/>
        <v>#VALUE!</v>
      </c>
      <c r="N3753" s="10" t="e">
        <f t="shared" ca="1" si="78"/>
        <v>#VALUE!</v>
      </c>
      <c r="O3753" s="7" t="str">
        <f ca="1">IFERROR(__xludf.DUMMYFUNCTION("GOOGLEFINANCE(""NSE:""&amp;D3753,""pe"")"),"#N/A")</f>
        <v>#N/A</v>
      </c>
      <c r="P3753" s="7" t="str">
        <f ca="1">IFERROR(__xludf.DUMMYFUNCTION("GOOGLEFINANCE(""NSE:""&amp;D3753,""EPS"")"),"#N/A")</f>
        <v>#N/A</v>
      </c>
      <c r="Q3753" s="7">
        <v>13.5</v>
      </c>
      <c r="R3753" s="7" t="str">
        <f ca="1">IFERROR(__xludf.DUMMYFUNCTION("IMPORTXML(E3753,""/html/body/main/div[3]/div[3]/div[2]/ul/li[7]/span[2]/span"")"),"Loading...")</f>
        <v>Loading...</v>
      </c>
      <c r="S3753" s="7" t="str">
        <f ca="1">IFERROR(__xludf.DUMMYFUNCTION("IMPORTXML(E3753,""/html/body/main/div[3]/div[3]/div[2]/ul/li[8]/span[2]/span"")"),"Loading...")</f>
        <v>Loading...</v>
      </c>
      <c r="T3753" s="4">
        <v>34.6</v>
      </c>
      <c r="U3753" s="4">
        <v>22.7</v>
      </c>
      <c r="V3753" s="4">
        <v>2.6</v>
      </c>
      <c r="W3753" s="4">
        <v>5.7</v>
      </c>
      <c r="X3753" s="4">
        <v>519.92999999999995</v>
      </c>
      <c r="Y3753" s="7" t="e">
        <f t="shared" ca="1" si="79"/>
        <v>#VALUE!</v>
      </c>
    </row>
    <row r="3754" spans="1:25" ht="15" x14ac:dyDescent="0.25">
      <c r="A3754" s="4">
        <v>3751</v>
      </c>
      <c r="C3754" s="41" t="s">
        <v>6112</v>
      </c>
      <c r="D3754" s="42"/>
      <c r="E3754" s="5" t="str">
        <f t="shared" si="75"/>
        <v>https://www.screener.in/company//consolidated/</v>
      </c>
      <c r="F3754" s="4">
        <v>443059</v>
      </c>
      <c r="G3754" s="4">
        <v>3832241897</v>
      </c>
      <c r="H3754" s="6" t="e">
        <f t="shared" ca="1" si="76"/>
        <v>#VALUE!</v>
      </c>
      <c r="I3754" s="7" t="str">
        <f ca="1">IFERROR(__xludf.DUMMYFUNCTION("IMPORTXML(E3754,""/html/body/main/div[3]/div[3]/div[2]/ul/li[5]/span[2]/span"")"),"Loading...")</f>
        <v>Loading...</v>
      </c>
      <c r="J3754" s="7" t="str">
        <f ca="1">IFERROR(__xludf.DUMMYFUNCTION("GOOGLEFINANCE(""NSE:""&amp;D3754,""marketcap"")"),"#N/A")</f>
        <v>#N/A</v>
      </c>
      <c r="K3754" s="7">
        <v>992.8</v>
      </c>
      <c r="L3754" s="8" t="str">
        <f ca="1">IFERROR(__xludf.DUMMYFUNCTION("GOOGLEFINANCE(""NSE:""&amp;D3754,""price"")"),"#N/A")</f>
        <v>#N/A</v>
      </c>
      <c r="M3754" s="9" t="e">
        <f t="shared" ca="1" si="77"/>
        <v>#VALUE!</v>
      </c>
      <c r="N3754" s="10" t="e">
        <f t="shared" ca="1" si="78"/>
        <v>#VALUE!</v>
      </c>
      <c r="O3754" s="7" t="str">
        <f ca="1">IFERROR(__xludf.DUMMYFUNCTION("GOOGLEFINANCE(""NSE:""&amp;D3754,""pe"")"),"#N/A")</f>
        <v>#N/A</v>
      </c>
      <c r="P3754" s="7" t="str">
        <f ca="1">IFERROR(__xludf.DUMMYFUNCTION("GOOGLEFINANCE(""NSE:""&amp;D3754,""EPS"")"),"#N/A")</f>
        <v>#N/A</v>
      </c>
      <c r="Q3754" s="7">
        <v>13.5</v>
      </c>
      <c r="R3754" s="7" t="str">
        <f ca="1">IFERROR(__xludf.DUMMYFUNCTION("IMPORTXML(E3754,""/html/body/main/div[3]/div[3]/div[2]/ul/li[7]/span[2]/span"")"),"Loading...")</f>
        <v>Loading...</v>
      </c>
      <c r="S3754" s="7" t="str">
        <f ca="1">IFERROR(__xludf.DUMMYFUNCTION("IMPORTXML(E3754,""/html/body/main/div[3]/div[3]/div[2]/ul/li[8]/span[2]/span"")"),"Loading...")</f>
        <v>Loading...</v>
      </c>
      <c r="T3754" s="4">
        <v>34.6</v>
      </c>
      <c r="U3754" s="4">
        <v>22.7</v>
      </c>
      <c r="V3754" s="4">
        <v>2.6</v>
      </c>
      <c r="W3754" s="4">
        <v>5.7</v>
      </c>
      <c r="X3754" s="4">
        <v>519.92999999999995</v>
      </c>
      <c r="Y3754" s="7" t="e">
        <f t="shared" ca="1" si="79"/>
        <v>#VALUE!</v>
      </c>
    </row>
    <row r="3755" spans="1:25" ht="15" x14ac:dyDescent="0.25">
      <c r="A3755" s="4">
        <v>3752</v>
      </c>
      <c r="C3755" s="41" t="s">
        <v>6113</v>
      </c>
      <c r="D3755" s="42"/>
      <c r="E3755" s="5" t="str">
        <f t="shared" si="75"/>
        <v>https://www.screener.in/company//consolidated/</v>
      </c>
      <c r="F3755" s="4">
        <v>443059</v>
      </c>
      <c r="G3755" s="4">
        <v>3832241897</v>
      </c>
      <c r="H3755" s="6" t="e">
        <f t="shared" ca="1" si="76"/>
        <v>#VALUE!</v>
      </c>
      <c r="I3755" s="7" t="str">
        <f ca="1">IFERROR(__xludf.DUMMYFUNCTION("IMPORTXML(E3755,""/html/body/main/div[3]/div[3]/div[2]/ul/li[5]/span[2]/span"")"),"Loading...")</f>
        <v>Loading...</v>
      </c>
      <c r="J3755" s="7" t="str">
        <f ca="1">IFERROR(__xludf.DUMMYFUNCTION("GOOGLEFINANCE(""NSE:""&amp;D3755,""marketcap"")"),"#N/A")</f>
        <v>#N/A</v>
      </c>
      <c r="K3755" s="7">
        <v>992.8</v>
      </c>
      <c r="L3755" s="8" t="str">
        <f ca="1">IFERROR(__xludf.DUMMYFUNCTION("GOOGLEFINANCE(""NSE:""&amp;D3755,""price"")"),"#N/A")</f>
        <v>#N/A</v>
      </c>
      <c r="M3755" s="9" t="e">
        <f t="shared" ca="1" si="77"/>
        <v>#VALUE!</v>
      </c>
      <c r="N3755" s="10" t="e">
        <f t="shared" ca="1" si="78"/>
        <v>#VALUE!</v>
      </c>
      <c r="O3755" s="7" t="str">
        <f ca="1">IFERROR(__xludf.DUMMYFUNCTION("GOOGLEFINANCE(""NSE:""&amp;D3755,""pe"")"),"#N/A")</f>
        <v>#N/A</v>
      </c>
      <c r="P3755" s="7" t="str">
        <f ca="1">IFERROR(__xludf.DUMMYFUNCTION("GOOGLEFINANCE(""NSE:""&amp;D3755,""EPS"")"),"#N/A")</f>
        <v>#N/A</v>
      </c>
      <c r="Q3755" s="7">
        <v>13.5</v>
      </c>
      <c r="R3755" s="7" t="str">
        <f ca="1">IFERROR(__xludf.DUMMYFUNCTION("IMPORTXML(E3755,""/html/body/main/div[3]/div[3]/div[2]/ul/li[7]/span[2]/span"")"),"Loading...")</f>
        <v>Loading...</v>
      </c>
      <c r="S3755" s="7" t="str">
        <f ca="1">IFERROR(__xludf.DUMMYFUNCTION("IMPORTXML(E3755,""/html/body/main/div[3]/div[3]/div[2]/ul/li[8]/span[2]/span"")"),"Loading...")</f>
        <v>Loading...</v>
      </c>
      <c r="T3755" s="4">
        <v>34.6</v>
      </c>
      <c r="U3755" s="4">
        <v>22.7</v>
      </c>
      <c r="V3755" s="4">
        <v>2.6</v>
      </c>
      <c r="W3755" s="4">
        <v>5.7</v>
      </c>
      <c r="X3755" s="4">
        <v>519.92999999999995</v>
      </c>
      <c r="Y3755" s="7" t="e">
        <f t="shared" ca="1" si="79"/>
        <v>#VALUE!</v>
      </c>
    </row>
    <row r="3756" spans="1:25" ht="15" x14ac:dyDescent="0.25">
      <c r="A3756" s="4">
        <v>3753</v>
      </c>
      <c r="C3756" s="41" t="s">
        <v>6114</v>
      </c>
      <c r="D3756" s="42"/>
      <c r="E3756" s="5" t="str">
        <f t="shared" si="75"/>
        <v>https://www.screener.in/company//consolidated/</v>
      </c>
      <c r="F3756" s="4">
        <v>443059</v>
      </c>
      <c r="G3756" s="4">
        <v>3832241897</v>
      </c>
      <c r="H3756" s="6" t="e">
        <f t="shared" ca="1" si="76"/>
        <v>#VALUE!</v>
      </c>
      <c r="I3756" s="7" t="str">
        <f ca="1">IFERROR(__xludf.DUMMYFUNCTION("IMPORTXML(E3756,""/html/body/main/div[3]/div[3]/div[2]/ul/li[5]/span[2]/span"")"),"Loading...")</f>
        <v>Loading...</v>
      </c>
      <c r="J3756" s="7" t="str">
        <f ca="1">IFERROR(__xludf.DUMMYFUNCTION("GOOGLEFINANCE(""NSE:""&amp;D3756,""marketcap"")"),"#N/A")</f>
        <v>#N/A</v>
      </c>
      <c r="K3756" s="7">
        <v>992.8</v>
      </c>
      <c r="L3756" s="8" t="str">
        <f ca="1">IFERROR(__xludf.DUMMYFUNCTION("GOOGLEFINANCE(""NSE:""&amp;D3756,""price"")"),"#N/A")</f>
        <v>#N/A</v>
      </c>
      <c r="M3756" s="9" t="e">
        <f t="shared" ca="1" si="77"/>
        <v>#VALUE!</v>
      </c>
      <c r="N3756" s="10" t="e">
        <f t="shared" ca="1" si="78"/>
        <v>#VALUE!</v>
      </c>
      <c r="O3756" s="7" t="str">
        <f ca="1">IFERROR(__xludf.DUMMYFUNCTION("GOOGLEFINANCE(""NSE:""&amp;D3756,""pe"")"),"#N/A")</f>
        <v>#N/A</v>
      </c>
      <c r="P3756" s="7" t="str">
        <f ca="1">IFERROR(__xludf.DUMMYFUNCTION("GOOGLEFINANCE(""NSE:""&amp;D3756,""EPS"")"),"#N/A")</f>
        <v>#N/A</v>
      </c>
      <c r="Q3756" s="7">
        <v>13.5</v>
      </c>
      <c r="R3756" s="7" t="str">
        <f ca="1">IFERROR(__xludf.DUMMYFUNCTION("IMPORTXML(E3756,""/html/body/main/div[3]/div[3]/div[2]/ul/li[7]/span[2]/span"")"),"Loading...")</f>
        <v>Loading...</v>
      </c>
      <c r="S3756" s="7" t="str">
        <f ca="1">IFERROR(__xludf.DUMMYFUNCTION("IMPORTXML(E3756,""/html/body/main/div[3]/div[3]/div[2]/ul/li[8]/span[2]/span"")"),"Loading...")</f>
        <v>Loading...</v>
      </c>
      <c r="T3756" s="4">
        <v>34.6</v>
      </c>
      <c r="U3756" s="4">
        <v>22.7</v>
      </c>
      <c r="V3756" s="4">
        <v>2.6</v>
      </c>
      <c r="W3756" s="4">
        <v>5.7</v>
      </c>
      <c r="X3756" s="4">
        <v>519.92999999999995</v>
      </c>
      <c r="Y3756" s="7" t="e">
        <f t="shared" ca="1" si="79"/>
        <v>#VALUE!</v>
      </c>
    </row>
    <row r="3757" spans="1:25" ht="15" x14ac:dyDescent="0.25">
      <c r="A3757" s="4">
        <v>3754</v>
      </c>
      <c r="C3757" s="41" t="s">
        <v>6115</v>
      </c>
      <c r="D3757" s="42"/>
      <c r="E3757" s="5" t="str">
        <f t="shared" si="75"/>
        <v>https://www.screener.in/company//consolidated/</v>
      </c>
      <c r="F3757" s="4">
        <v>443059</v>
      </c>
      <c r="G3757" s="4">
        <v>3832241897</v>
      </c>
      <c r="H3757" s="6" t="e">
        <f t="shared" ca="1" si="76"/>
        <v>#VALUE!</v>
      </c>
      <c r="I3757" s="7" t="str">
        <f ca="1">IFERROR(__xludf.DUMMYFUNCTION("IMPORTXML(E3757,""/html/body/main/div[3]/div[3]/div[2]/ul/li[5]/span[2]/span"")"),"Loading...")</f>
        <v>Loading...</v>
      </c>
      <c r="J3757" s="7" t="str">
        <f ca="1">IFERROR(__xludf.DUMMYFUNCTION("GOOGLEFINANCE(""NSE:""&amp;D3757,""marketcap"")"),"#N/A")</f>
        <v>#N/A</v>
      </c>
      <c r="K3757" s="7">
        <v>992.8</v>
      </c>
      <c r="L3757" s="8" t="str">
        <f ca="1">IFERROR(__xludf.DUMMYFUNCTION("GOOGLEFINANCE(""NSE:""&amp;D3757,""price"")"),"#N/A")</f>
        <v>#N/A</v>
      </c>
      <c r="M3757" s="9" t="e">
        <f t="shared" ca="1" si="77"/>
        <v>#VALUE!</v>
      </c>
      <c r="N3757" s="10" t="e">
        <f t="shared" ca="1" si="78"/>
        <v>#VALUE!</v>
      </c>
      <c r="O3757" s="7" t="str">
        <f ca="1">IFERROR(__xludf.DUMMYFUNCTION("GOOGLEFINANCE(""NSE:""&amp;D3757,""pe"")"),"#N/A")</f>
        <v>#N/A</v>
      </c>
      <c r="P3757" s="7" t="str">
        <f ca="1">IFERROR(__xludf.DUMMYFUNCTION("GOOGLEFINANCE(""NSE:""&amp;D3757,""EPS"")"),"#N/A")</f>
        <v>#N/A</v>
      </c>
      <c r="Q3757" s="7">
        <v>13.5</v>
      </c>
      <c r="R3757" s="7" t="str">
        <f ca="1">IFERROR(__xludf.DUMMYFUNCTION("IMPORTXML(E3757,""/html/body/main/div[3]/div[3]/div[2]/ul/li[7]/span[2]/span"")"),"Loading...")</f>
        <v>Loading...</v>
      </c>
      <c r="S3757" s="7" t="str">
        <f ca="1">IFERROR(__xludf.DUMMYFUNCTION("IMPORTXML(E3757,""/html/body/main/div[3]/div[3]/div[2]/ul/li[8]/span[2]/span"")"),"Loading...")</f>
        <v>Loading...</v>
      </c>
      <c r="T3757" s="4">
        <v>34.6</v>
      </c>
      <c r="U3757" s="4">
        <v>22.7</v>
      </c>
      <c r="V3757" s="4">
        <v>2.6</v>
      </c>
      <c r="W3757" s="4">
        <v>5.7</v>
      </c>
      <c r="X3757" s="4">
        <v>519.92999999999995</v>
      </c>
      <c r="Y3757" s="7" t="e">
        <f t="shared" ca="1" si="79"/>
        <v>#VALUE!</v>
      </c>
    </row>
    <row r="3758" spans="1:25" ht="15" x14ac:dyDescent="0.25">
      <c r="A3758" s="4">
        <v>3755</v>
      </c>
      <c r="C3758" s="41" t="s">
        <v>6116</v>
      </c>
      <c r="D3758" s="42"/>
      <c r="E3758" s="5" t="str">
        <f t="shared" si="75"/>
        <v>https://www.screener.in/company//consolidated/</v>
      </c>
      <c r="F3758" s="4">
        <v>443059</v>
      </c>
      <c r="G3758" s="4">
        <v>3832241897</v>
      </c>
      <c r="H3758" s="6" t="e">
        <f t="shared" ca="1" si="76"/>
        <v>#VALUE!</v>
      </c>
      <c r="I3758" s="7" t="str">
        <f ca="1">IFERROR(__xludf.DUMMYFUNCTION("IMPORTXML(E3758,""/html/body/main/div[3]/div[3]/div[2]/ul/li[5]/span[2]/span"")"),"Loading...")</f>
        <v>Loading...</v>
      </c>
      <c r="J3758" s="7" t="str">
        <f ca="1">IFERROR(__xludf.DUMMYFUNCTION("GOOGLEFINANCE(""NSE:""&amp;D3758,""marketcap"")"),"#N/A")</f>
        <v>#N/A</v>
      </c>
      <c r="K3758" s="7">
        <v>992.8</v>
      </c>
      <c r="L3758" s="8" t="str">
        <f ca="1">IFERROR(__xludf.DUMMYFUNCTION("GOOGLEFINANCE(""NSE:""&amp;D3758,""price"")"),"#N/A")</f>
        <v>#N/A</v>
      </c>
      <c r="M3758" s="9" t="e">
        <f t="shared" ca="1" si="77"/>
        <v>#VALUE!</v>
      </c>
      <c r="N3758" s="10" t="e">
        <f t="shared" ca="1" si="78"/>
        <v>#VALUE!</v>
      </c>
      <c r="O3758" s="7" t="str">
        <f ca="1">IFERROR(__xludf.DUMMYFUNCTION("GOOGLEFINANCE(""NSE:""&amp;D3758,""pe"")"),"#N/A")</f>
        <v>#N/A</v>
      </c>
      <c r="P3758" s="7" t="str">
        <f ca="1">IFERROR(__xludf.DUMMYFUNCTION("GOOGLEFINANCE(""NSE:""&amp;D3758,""EPS"")"),"#N/A")</f>
        <v>#N/A</v>
      </c>
      <c r="Q3758" s="7">
        <v>13.5</v>
      </c>
      <c r="R3758" s="7" t="str">
        <f ca="1">IFERROR(__xludf.DUMMYFUNCTION("IMPORTXML(E3758,""/html/body/main/div[3]/div[3]/div[2]/ul/li[7]/span[2]/span"")"),"Loading...")</f>
        <v>Loading...</v>
      </c>
      <c r="S3758" s="7" t="str">
        <f ca="1">IFERROR(__xludf.DUMMYFUNCTION("IMPORTXML(E3758,""/html/body/main/div[3]/div[3]/div[2]/ul/li[8]/span[2]/span"")"),"Loading...")</f>
        <v>Loading...</v>
      </c>
      <c r="T3758" s="4">
        <v>34.6</v>
      </c>
      <c r="U3758" s="4">
        <v>22.7</v>
      </c>
      <c r="V3758" s="4">
        <v>2.6</v>
      </c>
      <c r="W3758" s="4">
        <v>5.7</v>
      </c>
      <c r="X3758" s="4">
        <v>519.92999999999995</v>
      </c>
      <c r="Y3758" s="7" t="e">
        <f t="shared" ca="1" si="79"/>
        <v>#VALUE!</v>
      </c>
    </row>
    <row r="3759" spans="1:25" ht="15" x14ac:dyDescent="0.25">
      <c r="A3759" s="4">
        <v>3756</v>
      </c>
      <c r="C3759" s="41" t="s">
        <v>6117</v>
      </c>
      <c r="D3759" s="42"/>
      <c r="E3759" s="5" t="str">
        <f t="shared" si="75"/>
        <v>https://www.screener.in/company//consolidated/</v>
      </c>
      <c r="F3759" s="4">
        <v>443059</v>
      </c>
      <c r="G3759" s="4">
        <v>3832241897</v>
      </c>
      <c r="H3759" s="6" t="e">
        <f t="shared" ca="1" si="76"/>
        <v>#VALUE!</v>
      </c>
      <c r="I3759" s="7" t="str">
        <f ca="1">IFERROR(__xludf.DUMMYFUNCTION("IMPORTXML(E3759,""/html/body/main/div[3]/div[3]/div[2]/ul/li[5]/span[2]/span"")"),"Loading...")</f>
        <v>Loading...</v>
      </c>
      <c r="J3759" s="7" t="str">
        <f ca="1">IFERROR(__xludf.DUMMYFUNCTION("GOOGLEFINANCE(""NSE:""&amp;D3759,""marketcap"")"),"#N/A")</f>
        <v>#N/A</v>
      </c>
      <c r="K3759" s="7">
        <v>992.8</v>
      </c>
      <c r="L3759" s="8" t="str">
        <f ca="1">IFERROR(__xludf.DUMMYFUNCTION("GOOGLEFINANCE(""NSE:""&amp;D3759,""price"")"),"#N/A")</f>
        <v>#N/A</v>
      </c>
      <c r="M3759" s="9" t="e">
        <f t="shared" ca="1" si="77"/>
        <v>#VALUE!</v>
      </c>
      <c r="N3759" s="10" t="e">
        <f t="shared" ca="1" si="78"/>
        <v>#VALUE!</v>
      </c>
      <c r="O3759" s="7" t="str">
        <f ca="1">IFERROR(__xludf.DUMMYFUNCTION("GOOGLEFINANCE(""NSE:""&amp;D3759,""pe"")"),"#N/A")</f>
        <v>#N/A</v>
      </c>
      <c r="P3759" s="7" t="str">
        <f ca="1">IFERROR(__xludf.DUMMYFUNCTION("GOOGLEFINANCE(""NSE:""&amp;D3759,""EPS"")"),"#N/A")</f>
        <v>#N/A</v>
      </c>
      <c r="Q3759" s="7">
        <v>13.5</v>
      </c>
      <c r="R3759" s="7" t="str">
        <f ca="1">IFERROR(__xludf.DUMMYFUNCTION("IMPORTXML(E3759,""/html/body/main/div[3]/div[3]/div[2]/ul/li[7]/span[2]/span"")"),"Loading...")</f>
        <v>Loading...</v>
      </c>
      <c r="S3759" s="7" t="str">
        <f ca="1">IFERROR(__xludf.DUMMYFUNCTION("IMPORTXML(E3759,""/html/body/main/div[3]/div[3]/div[2]/ul/li[8]/span[2]/span"")"),"Loading...")</f>
        <v>Loading...</v>
      </c>
      <c r="T3759" s="4">
        <v>34.6</v>
      </c>
      <c r="U3759" s="4">
        <v>22.7</v>
      </c>
      <c r="V3759" s="4">
        <v>2.6</v>
      </c>
      <c r="W3759" s="4">
        <v>5.7</v>
      </c>
      <c r="X3759" s="4">
        <v>519.92999999999995</v>
      </c>
      <c r="Y3759" s="7" t="e">
        <f t="shared" ca="1" si="79"/>
        <v>#VALUE!</v>
      </c>
    </row>
    <row r="3760" spans="1:25" ht="15" x14ac:dyDescent="0.25">
      <c r="A3760" s="4">
        <v>3757</v>
      </c>
      <c r="C3760" s="41" t="s">
        <v>6118</v>
      </c>
      <c r="D3760" s="42"/>
      <c r="E3760" s="5" t="str">
        <f t="shared" si="75"/>
        <v>https://www.screener.in/company//consolidated/</v>
      </c>
      <c r="F3760" s="4">
        <v>443059</v>
      </c>
      <c r="G3760" s="4">
        <v>3832241897</v>
      </c>
      <c r="H3760" s="6" t="e">
        <f t="shared" ca="1" si="76"/>
        <v>#VALUE!</v>
      </c>
      <c r="I3760" s="7" t="str">
        <f ca="1">IFERROR(__xludf.DUMMYFUNCTION("IMPORTXML(E3760,""/html/body/main/div[3]/div[3]/div[2]/ul/li[5]/span[2]/span"")"),"Loading...")</f>
        <v>Loading...</v>
      </c>
      <c r="J3760" s="7" t="str">
        <f ca="1">IFERROR(__xludf.DUMMYFUNCTION("GOOGLEFINANCE(""NSE:""&amp;D3760,""marketcap"")"),"#N/A")</f>
        <v>#N/A</v>
      </c>
      <c r="K3760" s="7">
        <v>992.8</v>
      </c>
      <c r="L3760" s="8" t="str">
        <f ca="1">IFERROR(__xludf.DUMMYFUNCTION("GOOGLEFINANCE(""NSE:""&amp;D3760,""price"")"),"#N/A")</f>
        <v>#N/A</v>
      </c>
      <c r="M3760" s="9" t="e">
        <f t="shared" ca="1" si="77"/>
        <v>#VALUE!</v>
      </c>
      <c r="N3760" s="10" t="e">
        <f t="shared" ca="1" si="78"/>
        <v>#VALUE!</v>
      </c>
      <c r="O3760" s="7" t="str">
        <f ca="1">IFERROR(__xludf.DUMMYFUNCTION("GOOGLEFINANCE(""NSE:""&amp;D3760,""pe"")"),"#N/A")</f>
        <v>#N/A</v>
      </c>
      <c r="P3760" s="7" t="str">
        <f ca="1">IFERROR(__xludf.DUMMYFUNCTION("GOOGLEFINANCE(""NSE:""&amp;D3760,""EPS"")"),"#N/A")</f>
        <v>#N/A</v>
      </c>
      <c r="Q3760" s="7">
        <v>13.5</v>
      </c>
      <c r="R3760" s="7" t="str">
        <f ca="1">IFERROR(__xludf.DUMMYFUNCTION("IMPORTXML(E3760,""/html/body/main/div[3]/div[3]/div[2]/ul/li[7]/span[2]/span"")"),"Loading...")</f>
        <v>Loading...</v>
      </c>
      <c r="S3760" s="7" t="str">
        <f ca="1">IFERROR(__xludf.DUMMYFUNCTION("IMPORTXML(E3760,""/html/body/main/div[3]/div[3]/div[2]/ul/li[8]/span[2]/span"")"),"Loading...")</f>
        <v>Loading...</v>
      </c>
      <c r="T3760" s="4">
        <v>34.6</v>
      </c>
      <c r="U3760" s="4">
        <v>22.7</v>
      </c>
      <c r="V3760" s="4">
        <v>2.6</v>
      </c>
      <c r="W3760" s="4">
        <v>5.7</v>
      </c>
      <c r="X3760" s="4">
        <v>519.92999999999995</v>
      </c>
      <c r="Y3760" s="7" t="e">
        <f t="shared" ca="1" si="79"/>
        <v>#VALUE!</v>
      </c>
    </row>
    <row r="3761" spans="1:25" ht="15" x14ac:dyDescent="0.25">
      <c r="A3761" s="4">
        <v>3758</v>
      </c>
      <c r="C3761" s="41" t="s">
        <v>6119</v>
      </c>
      <c r="D3761" s="42"/>
      <c r="E3761" s="5" t="str">
        <f t="shared" si="75"/>
        <v>https://www.screener.in/company//consolidated/</v>
      </c>
      <c r="F3761" s="4">
        <v>443059</v>
      </c>
      <c r="G3761" s="4">
        <v>3832241897</v>
      </c>
      <c r="H3761" s="6" t="e">
        <f t="shared" ca="1" si="76"/>
        <v>#VALUE!</v>
      </c>
      <c r="I3761" s="7" t="str">
        <f ca="1">IFERROR(__xludf.DUMMYFUNCTION("IMPORTXML(E3761,""/html/body/main/div[3]/div[3]/div[2]/ul/li[5]/span[2]/span"")"),"Loading...")</f>
        <v>Loading...</v>
      </c>
      <c r="J3761" s="7" t="str">
        <f ca="1">IFERROR(__xludf.DUMMYFUNCTION("GOOGLEFINANCE(""NSE:""&amp;D3761,""marketcap"")"),"#N/A")</f>
        <v>#N/A</v>
      </c>
      <c r="K3761" s="7">
        <v>992.8</v>
      </c>
      <c r="L3761" s="8" t="str">
        <f ca="1">IFERROR(__xludf.DUMMYFUNCTION("GOOGLEFINANCE(""NSE:""&amp;D3761,""price"")"),"#N/A")</f>
        <v>#N/A</v>
      </c>
      <c r="M3761" s="9" t="e">
        <f t="shared" ca="1" si="77"/>
        <v>#VALUE!</v>
      </c>
      <c r="N3761" s="10" t="e">
        <f t="shared" ca="1" si="78"/>
        <v>#VALUE!</v>
      </c>
      <c r="O3761" s="7" t="str">
        <f ca="1">IFERROR(__xludf.DUMMYFUNCTION("GOOGLEFINANCE(""NSE:""&amp;D3761,""pe"")"),"#N/A")</f>
        <v>#N/A</v>
      </c>
      <c r="P3761" s="7" t="str">
        <f ca="1">IFERROR(__xludf.DUMMYFUNCTION("GOOGLEFINANCE(""NSE:""&amp;D3761,""EPS"")"),"#N/A")</f>
        <v>#N/A</v>
      </c>
      <c r="Q3761" s="7">
        <v>13.5</v>
      </c>
      <c r="R3761" s="7" t="str">
        <f ca="1">IFERROR(__xludf.DUMMYFUNCTION("IMPORTXML(E3761,""/html/body/main/div[3]/div[3]/div[2]/ul/li[7]/span[2]/span"")"),"Loading...")</f>
        <v>Loading...</v>
      </c>
      <c r="S3761" s="7" t="str">
        <f ca="1">IFERROR(__xludf.DUMMYFUNCTION("IMPORTXML(E3761,""/html/body/main/div[3]/div[3]/div[2]/ul/li[8]/span[2]/span"")"),"Loading...")</f>
        <v>Loading...</v>
      </c>
      <c r="T3761" s="4">
        <v>34.6</v>
      </c>
      <c r="U3761" s="4">
        <v>22.7</v>
      </c>
      <c r="V3761" s="4">
        <v>2.6</v>
      </c>
      <c r="W3761" s="4">
        <v>5.7</v>
      </c>
      <c r="X3761" s="4">
        <v>519.92999999999995</v>
      </c>
      <c r="Y3761" s="7" t="e">
        <f t="shared" ca="1" si="79"/>
        <v>#VALUE!</v>
      </c>
    </row>
    <row r="3762" spans="1:25" ht="15" x14ac:dyDescent="0.25">
      <c r="A3762" s="4">
        <v>3759</v>
      </c>
      <c r="C3762" s="41" t="s">
        <v>6120</v>
      </c>
      <c r="D3762" s="42"/>
      <c r="E3762" s="5" t="str">
        <f t="shared" si="75"/>
        <v>https://www.screener.in/company//consolidated/</v>
      </c>
      <c r="F3762" s="4">
        <v>443059</v>
      </c>
      <c r="G3762" s="4">
        <v>3832241897</v>
      </c>
      <c r="H3762" s="6" t="e">
        <f t="shared" ca="1" si="76"/>
        <v>#VALUE!</v>
      </c>
      <c r="I3762" s="7" t="str">
        <f ca="1">IFERROR(__xludf.DUMMYFUNCTION("IMPORTXML(E3762,""/html/body/main/div[3]/div[3]/div[2]/ul/li[5]/span[2]/span"")"),"Loading...")</f>
        <v>Loading...</v>
      </c>
      <c r="J3762" s="7" t="str">
        <f ca="1">IFERROR(__xludf.DUMMYFUNCTION("GOOGLEFINANCE(""NSE:""&amp;D3762,""marketcap"")"),"#N/A")</f>
        <v>#N/A</v>
      </c>
      <c r="K3762" s="7">
        <v>992.8</v>
      </c>
      <c r="L3762" s="8" t="str">
        <f ca="1">IFERROR(__xludf.DUMMYFUNCTION("GOOGLEFINANCE(""NSE:""&amp;D3762,""price"")"),"#N/A")</f>
        <v>#N/A</v>
      </c>
      <c r="M3762" s="9" t="e">
        <f t="shared" ca="1" si="77"/>
        <v>#VALUE!</v>
      </c>
      <c r="N3762" s="10" t="e">
        <f t="shared" ca="1" si="78"/>
        <v>#VALUE!</v>
      </c>
      <c r="O3762" s="7" t="str">
        <f ca="1">IFERROR(__xludf.DUMMYFUNCTION("GOOGLEFINANCE(""NSE:""&amp;D3762,""pe"")"),"#N/A")</f>
        <v>#N/A</v>
      </c>
      <c r="P3762" s="7" t="str">
        <f ca="1">IFERROR(__xludf.DUMMYFUNCTION("GOOGLEFINANCE(""NSE:""&amp;D3762,""EPS"")"),"#N/A")</f>
        <v>#N/A</v>
      </c>
      <c r="Q3762" s="7">
        <v>13.5</v>
      </c>
      <c r="R3762" s="7" t="str">
        <f ca="1">IFERROR(__xludf.DUMMYFUNCTION("IMPORTXML(E3762,""/html/body/main/div[3]/div[3]/div[2]/ul/li[7]/span[2]/span"")"),"Loading...")</f>
        <v>Loading...</v>
      </c>
      <c r="S3762" s="7" t="str">
        <f ca="1">IFERROR(__xludf.DUMMYFUNCTION("IMPORTXML(E3762,""/html/body/main/div[3]/div[3]/div[2]/ul/li[8]/span[2]/span"")"),"Loading...")</f>
        <v>Loading...</v>
      </c>
      <c r="T3762" s="4">
        <v>34.6</v>
      </c>
      <c r="U3762" s="4">
        <v>22.7</v>
      </c>
      <c r="V3762" s="4">
        <v>2.6</v>
      </c>
      <c r="W3762" s="4">
        <v>5.7</v>
      </c>
      <c r="X3762" s="4">
        <v>519.92999999999995</v>
      </c>
      <c r="Y3762" s="7" t="e">
        <f t="shared" ca="1" si="79"/>
        <v>#VALUE!</v>
      </c>
    </row>
    <row r="3763" spans="1:25" ht="15" x14ac:dyDescent="0.25">
      <c r="A3763" s="4">
        <v>3760</v>
      </c>
      <c r="C3763" s="41" t="s">
        <v>6121</v>
      </c>
      <c r="D3763" s="42"/>
      <c r="E3763" s="5" t="str">
        <f t="shared" si="75"/>
        <v>https://www.screener.in/company//consolidated/</v>
      </c>
      <c r="F3763" s="4">
        <v>443059</v>
      </c>
      <c r="G3763" s="4">
        <v>3832241897</v>
      </c>
      <c r="H3763" s="6" t="e">
        <f t="shared" ca="1" si="76"/>
        <v>#VALUE!</v>
      </c>
      <c r="I3763" s="7" t="str">
        <f ca="1">IFERROR(__xludf.DUMMYFUNCTION("IMPORTXML(E3763,""/html/body/main/div[3]/div[3]/div[2]/ul/li[5]/span[2]/span"")"),"Loading...")</f>
        <v>Loading...</v>
      </c>
      <c r="J3763" s="7" t="str">
        <f ca="1">IFERROR(__xludf.DUMMYFUNCTION("GOOGLEFINANCE(""NSE:""&amp;D3763,""marketcap"")"),"#N/A")</f>
        <v>#N/A</v>
      </c>
      <c r="K3763" s="7">
        <v>992.8</v>
      </c>
      <c r="L3763" s="8" t="str">
        <f ca="1">IFERROR(__xludf.DUMMYFUNCTION("GOOGLEFINANCE(""NSE:""&amp;D3763,""price"")"),"#N/A")</f>
        <v>#N/A</v>
      </c>
      <c r="M3763" s="9" t="e">
        <f t="shared" ca="1" si="77"/>
        <v>#VALUE!</v>
      </c>
      <c r="N3763" s="10" t="e">
        <f t="shared" ca="1" si="78"/>
        <v>#VALUE!</v>
      </c>
      <c r="O3763" s="7" t="str">
        <f ca="1">IFERROR(__xludf.DUMMYFUNCTION("GOOGLEFINANCE(""NSE:""&amp;D3763,""pe"")"),"#N/A")</f>
        <v>#N/A</v>
      </c>
      <c r="P3763" s="7" t="str">
        <f ca="1">IFERROR(__xludf.DUMMYFUNCTION("GOOGLEFINANCE(""NSE:""&amp;D3763,""EPS"")"),"#N/A")</f>
        <v>#N/A</v>
      </c>
      <c r="Q3763" s="7">
        <v>13.5</v>
      </c>
      <c r="R3763" s="7" t="str">
        <f ca="1">IFERROR(__xludf.DUMMYFUNCTION("IMPORTXML(E3763,""/html/body/main/div[3]/div[3]/div[2]/ul/li[7]/span[2]/span"")"),"Loading...")</f>
        <v>Loading...</v>
      </c>
      <c r="S3763" s="7" t="str">
        <f ca="1">IFERROR(__xludf.DUMMYFUNCTION("IMPORTXML(E3763,""/html/body/main/div[3]/div[3]/div[2]/ul/li[8]/span[2]/span"")"),"Loading...")</f>
        <v>Loading...</v>
      </c>
      <c r="T3763" s="4">
        <v>34.6</v>
      </c>
      <c r="U3763" s="4">
        <v>22.7</v>
      </c>
      <c r="V3763" s="4">
        <v>2.6</v>
      </c>
      <c r="W3763" s="4">
        <v>5.7</v>
      </c>
      <c r="X3763" s="4">
        <v>519.92999999999995</v>
      </c>
      <c r="Y3763" s="7" t="e">
        <f t="shared" ca="1" si="79"/>
        <v>#VALUE!</v>
      </c>
    </row>
    <row r="3764" spans="1:25" ht="15" x14ac:dyDescent="0.25">
      <c r="A3764" s="4">
        <v>3761</v>
      </c>
      <c r="C3764" s="41" t="s">
        <v>6122</v>
      </c>
      <c r="D3764" s="42"/>
      <c r="E3764" s="5" t="str">
        <f t="shared" si="75"/>
        <v>https://www.screener.in/company//consolidated/</v>
      </c>
      <c r="F3764" s="4">
        <v>443059</v>
      </c>
      <c r="G3764" s="4">
        <v>3832241897</v>
      </c>
      <c r="H3764" s="6" t="e">
        <f t="shared" ca="1" si="76"/>
        <v>#VALUE!</v>
      </c>
      <c r="I3764" s="7" t="str">
        <f ca="1">IFERROR(__xludf.DUMMYFUNCTION("IMPORTXML(E3764,""/html/body/main/div[3]/div[3]/div[2]/ul/li[5]/span[2]/span"")"),"Loading...")</f>
        <v>Loading...</v>
      </c>
      <c r="J3764" s="7" t="str">
        <f ca="1">IFERROR(__xludf.DUMMYFUNCTION("GOOGLEFINANCE(""NSE:""&amp;D3764,""marketcap"")"),"#N/A")</f>
        <v>#N/A</v>
      </c>
      <c r="K3764" s="7">
        <v>992.8</v>
      </c>
      <c r="L3764" s="8" t="str">
        <f ca="1">IFERROR(__xludf.DUMMYFUNCTION("GOOGLEFINANCE(""NSE:""&amp;D3764,""price"")"),"#N/A")</f>
        <v>#N/A</v>
      </c>
      <c r="M3764" s="9" t="e">
        <f t="shared" ca="1" si="77"/>
        <v>#VALUE!</v>
      </c>
      <c r="N3764" s="10" t="e">
        <f t="shared" ca="1" si="78"/>
        <v>#VALUE!</v>
      </c>
      <c r="O3764" s="7" t="str">
        <f ca="1">IFERROR(__xludf.DUMMYFUNCTION("GOOGLEFINANCE(""NSE:""&amp;D3764,""pe"")"),"#N/A")</f>
        <v>#N/A</v>
      </c>
      <c r="P3764" s="7" t="str">
        <f ca="1">IFERROR(__xludf.DUMMYFUNCTION("GOOGLEFINANCE(""NSE:""&amp;D3764,""EPS"")"),"#N/A")</f>
        <v>#N/A</v>
      </c>
      <c r="Q3764" s="7">
        <v>13.5</v>
      </c>
      <c r="R3764" s="7" t="str">
        <f ca="1">IFERROR(__xludf.DUMMYFUNCTION("IMPORTXML(E3764,""/html/body/main/div[3]/div[3]/div[2]/ul/li[7]/span[2]/span"")"),"Loading...")</f>
        <v>Loading...</v>
      </c>
      <c r="S3764" s="7" t="str">
        <f ca="1">IFERROR(__xludf.DUMMYFUNCTION("IMPORTXML(E3764,""/html/body/main/div[3]/div[3]/div[2]/ul/li[8]/span[2]/span"")"),"Loading...")</f>
        <v>Loading...</v>
      </c>
      <c r="T3764" s="4">
        <v>34.6</v>
      </c>
      <c r="U3764" s="4">
        <v>22.7</v>
      </c>
      <c r="V3764" s="4">
        <v>2.6</v>
      </c>
      <c r="W3764" s="4">
        <v>5.7</v>
      </c>
      <c r="X3764" s="4">
        <v>519.92999999999995</v>
      </c>
      <c r="Y3764" s="7" t="e">
        <f t="shared" ca="1" si="79"/>
        <v>#VALUE!</v>
      </c>
    </row>
    <row r="3765" spans="1:25" ht="15" x14ac:dyDescent="0.25">
      <c r="A3765" s="4">
        <v>3762</v>
      </c>
      <c r="C3765" s="41" t="s">
        <v>6123</v>
      </c>
      <c r="D3765" s="42"/>
      <c r="E3765" s="5" t="str">
        <f t="shared" si="75"/>
        <v>https://www.screener.in/company//consolidated/</v>
      </c>
      <c r="F3765" s="4">
        <v>443059</v>
      </c>
      <c r="G3765" s="4">
        <v>3832241897</v>
      </c>
      <c r="H3765" s="6" t="e">
        <f t="shared" ca="1" si="76"/>
        <v>#VALUE!</v>
      </c>
      <c r="I3765" s="7" t="str">
        <f ca="1">IFERROR(__xludf.DUMMYFUNCTION("IMPORTXML(E3765,""/html/body/main/div[3]/div[3]/div[2]/ul/li[5]/span[2]/span"")"),"Loading...")</f>
        <v>Loading...</v>
      </c>
      <c r="J3765" s="7" t="str">
        <f ca="1">IFERROR(__xludf.DUMMYFUNCTION("GOOGLEFINANCE(""NSE:""&amp;D3765,""marketcap"")"),"#N/A")</f>
        <v>#N/A</v>
      </c>
      <c r="K3765" s="7">
        <v>992.8</v>
      </c>
      <c r="L3765" s="8" t="str">
        <f ca="1">IFERROR(__xludf.DUMMYFUNCTION("GOOGLEFINANCE(""NSE:""&amp;D3765,""price"")"),"#N/A")</f>
        <v>#N/A</v>
      </c>
      <c r="M3765" s="9" t="e">
        <f t="shared" ca="1" si="77"/>
        <v>#VALUE!</v>
      </c>
      <c r="N3765" s="10" t="e">
        <f t="shared" ca="1" si="78"/>
        <v>#VALUE!</v>
      </c>
      <c r="O3765" s="7" t="str">
        <f ca="1">IFERROR(__xludf.DUMMYFUNCTION("GOOGLEFINANCE(""NSE:""&amp;D3765,""pe"")"),"#N/A")</f>
        <v>#N/A</v>
      </c>
      <c r="P3765" s="7" t="str">
        <f ca="1">IFERROR(__xludf.DUMMYFUNCTION("GOOGLEFINANCE(""NSE:""&amp;D3765,""EPS"")"),"#N/A")</f>
        <v>#N/A</v>
      </c>
      <c r="Q3765" s="7">
        <v>13.5</v>
      </c>
      <c r="R3765" s="7" t="str">
        <f ca="1">IFERROR(__xludf.DUMMYFUNCTION("IMPORTXML(E3765,""/html/body/main/div[3]/div[3]/div[2]/ul/li[7]/span[2]/span"")"),"Loading...")</f>
        <v>Loading...</v>
      </c>
      <c r="S3765" s="7" t="str">
        <f ca="1">IFERROR(__xludf.DUMMYFUNCTION("IMPORTXML(E3765,""/html/body/main/div[3]/div[3]/div[2]/ul/li[8]/span[2]/span"")"),"Loading...")</f>
        <v>Loading...</v>
      </c>
      <c r="T3765" s="4">
        <v>34.6</v>
      </c>
      <c r="U3765" s="4">
        <v>22.7</v>
      </c>
      <c r="V3765" s="4">
        <v>2.6</v>
      </c>
      <c r="W3765" s="4">
        <v>5.7</v>
      </c>
      <c r="X3765" s="4">
        <v>519.92999999999995</v>
      </c>
      <c r="Y3765" s="7" t="e">
        <f t="shared" ca="1" si="79"/>
        <v>#VALUE!</v>
      </c>
    </row>
    <row r="3766" spans="1:25" ht="15" x14ac:dyDescent="0.25">
      <c r="A3766" s="4">
        <v>3763</v>
      </c>
      <c r="C3766" s="41" t="s">
        <v>6124</v>
      </c>
      <c r="D3766" s="42"/>
      <c r="E3766" s="5" t="str">
        <f t="shared" si="75"/>
        <v>https://www.screener.in/company//consolidated/</v>
      </c>
      <c r="F3766" s="4">
        <v>443059</v>
      </c>
      <c r="G3766" s="4">
        <v>3832241897</v>
      </c>
      <c r="H3766" s="6" t="e">
        <f t="shared" ca="1" si="76"/>
        <v>#VALUE!</v>
      </c>
      <c r="I3766" s="7" t="str">
        <f ca="1">IFERROR(__xludf.DUMMYFUNCTION("IMPORTXML(E3766,""/html/body/main/div[3]/div[3]/div[2]/ul/li[5]/span[2]/span"")"),"Loading...")</f>
        <v>Loading...</v>
      </c>
      <c r="J3766" s="7" t="str">
        <f ca="1">IFERROR(__xludf.DUMMYFUNCTION("GOOGLEFINANCE(""NSE:""&amp;D3766,""marketcap"")"),"#N/A")</f>
        <v>#N/A</v>
      </c>
      <c r="K3766" s="7">
        <v>992.8</v>
      </c>
      <c r="L3766" s="8" t="str">
        <f ca="1">IFERROR(__xludf.DUMMYFUNCTION("GOOGLEFINANCE(""NSE:""&amp;D3766,""price"")"),"#N/A")</f>
        <v>#N/A</v>
      </c>
      <c r="M3766" s="9" t="e">
        <f t="shared" ca="1" si="77"/>
        <v>#VALUE!</v>
      </c>
      <c r="N3766" s="10" t="e">
        <f t="shared" ca="1" si="78"/>
        <v>#VALUE!</v>
      </c>
      <c r="O3766" s="7" t="str">
        <f ca="1">IFERROR(__xludf.DUMMYFUNCTION("GOOGLEFINANCE(""NSE:""&amp;D3766,""pe"")"),"#N/A")</f>
        <v>#N/A</v>
      </c>
      <c r="P3766" s="7" t="str">
        <f ca="1">IFERROR(__xludf.DUMMYFUNCTION("GOOGLEFINANCE(""NSE:""&amp;D3766,""EPS"")"),"#N/A")</f>
        <v>#N/A</v>
      </c>
      <c r="Q3766" s="7">
        <v>13.5</v>
      </c>
      <c r="R3766" s="7" t="str">
        <f ca="1">IFERROR(__xludf.DUMMYFUNCTION("IMPORTXML(E3766,""/html/body/main/div[3]/div[3]/div[2]/ul/li[7]/span[2]/span"")"),"Loading...")</f>
        <v>Loading...</v>
      </c>
      <c r="S3766" s="7" t="str">
        <f ca="1">IFERROR(__xludf.DUMMYFUNCTION("IMPORTXML(E3766,""/html/body/main/div[3]/div[3]/div[2]/ul/li[8]/span[2]/span"")"),"Loading...")</f>
        <v>Loading...</v>
      </c>
      <c r="T3766" s="4">
        <v>34.6</v>
      </c>
      <c r="U3766" s="4">
        <v>22.7</v>
      </c>
      <c r="V3766" s="4">
        <v>2.6</v>
      </c>
      <c r="W3766" s="4">
        <v>5.7</v>
      </c>
      <c r="X3766" s="4">
        <v>519.92999999999995</v>
      </c>
      <c r="Y3766" s="7" t="e">
        <f t="shared" ca="1" si="79"/>
        <v>#VALUE!</v>
      </c>
    </row>
    <row r="3767" spans="1:25" ht="15" x14ac:dyDescent="0.25">
      <c r="A3767" s="4">
        <v>3764</v>
      </c>
      <c r="C3767" s="41" t="s">
        <v>6125</v>
      </c>
      <c r="D3767" s="42"/>
      <c r="E3767" s="5" t="str">
        <f t="shared" si="75"/>
        <v>https://www.screener.in/company//consolidated/</v>
      </c>
      <c r="F3767" s="4">
        <v>443059</v>
      </c>
      <c r="G3767" s="4">
        <v>3832241897</v>
      </c>
      <c r="H3767" s="6" t="e">
        <f t="shared" ca="1" si="76"/>
        <v>#VALUE!</v>
      </c>
      <c r="I3767" s="7" t="str">
        <f ca="1">IFERROR(__xludf.DUMMYFUNCTION("IMPORTXML(E3767,""/html/body/main/div[3]/div[3]/div[2]/ul/li[5]/span[2]/span"")"),"Loading...")</f>
        <v>Loading...</v>
      </c>
      <c r="J3767" s="7" t="str">
        <f ca="1">IFERROR(__xludf.DUMMYFUNCTION("GOOGLEFINANCE(""NSE:""&amp;D3767,""marketcap"")"),"#N/A")</f>
        <v>#N/A</v>
      </c>
      <c r="K3767" s="7">
        <v>992.8</v>
      </c>
      <c r="L3767" s="8" t="str">
        <f ca="1">IFERROR(__xludf.DUMMYFUNCTION("GOOGLEFINANCE(""NSE:""&amp;D3767,""price"")"),"#N/A")</f>
        <v>#N/A</v>
      </c>
      <c r="M3767" s="9" t="e">
        <f t="shared" ca="1" si="77"/>
        <v>#VALUE!</v>
      </c>
      <c r="N3767" s="10" t="e">
        <f t="shared" ca="1" si="78"/>
        <v>#VALUE!</v>
      </c>
      <c r="O3767" s="7" t="str">
        <f ca="1">IFERROR(__xludf.DUMMYFUNCTION("GOOGLEFINANCE(""NSE:""&amp;D3767,""pe"")"),"#N/A")</f>
        <v>#N/A</v>
      </c>
      <c r="P3767" s="7" t="str">
        <f ca="1">IFERROR(__xludf.DUMMYFUNCTION("GOOGLEFINANCE(""NSE:""&amp;D3767,""EPS"")"),"#N/A")</f>
        <v>#N/A</v>
      </c>
      <c r="Q3767" s="7">
        <v>13.5</v>
      </c>
      <c r="R3767" s="7" t="str">
        <f ca="1">IFERROR(__xludf.DUMMYFUNCTION("IMPORTXML(E3767,""/html/body/main/div[3]/div[3]/div[2]/ul/li[7]/span[2]/span"")"),"Loading...")</f>
        <v>Loading...</v>
      </c>
      <c r="S3767" s="7" t="str">
        <f ca="1">IFERROR(__xludf.DUMMYFUNCTION("IMPORTXML(E3767,""/html/body/main/div[3]/div[3]/div[2]/ul/li[8]/span[2]/span"")"),"Loading...")</f>
        <v>Loading...</v>
      </c>
      <c r="T3767" s="4">
        <v>34.6</v>
      </c>
      <c r="U3767" s="4">
        <v>22.7</v>
      </c>
      <c r="V3767" s="4">
        <v>2.6</v>
      </c>
      <c r="W3767" s="4">
        <v>5.7</v>
      </c>
      <c r="X3767" s="4">
        <v>519.92999999999995</v>
      </c>
      <c r="Y3767" s="7" t="e">
        <f t="shared" ca="1" si="79"/>
        <v>#VALUE!</v>
      </c>
    </row>
    <row r="3768" spans="1:25" ht="15" x14ac:dyDescent="0.25">
      <c r="A3768" s="4">
        <v>3765</v>
      </c>
      <c r="C3768" s="41" t="s">
        <v>6126</v>
      </c>
      <c r="D3768" s="42"/>
      <c r="E3768" s="5" t="str">
        <f t="shared" si="75"/>
        <v>https://www.screener.in/company//consolidated/</v>
      </c>
      <c r="F3768" s="4">
        <v>443059</v>
      </c>
      <c r="G3768" s="4">
        <v>3832241897</v>
      </c>
      <c r="H3768" s="6" t="e">
        <f t="shared" ca="1" si="76"/>
        <v>#VALUE!</v>
      </c>
      <c r="I3768" s="7" t="str">
        <f ca="1">IFERROR(__xludf.DUMMYFUNCTION("IMPORTXML(E3768,""/html/body/main/div[3]/div[3]/div[2]/ul/li[5]/span[2]/span"")"),"Loading...")</f>
        <v>Loading...</v>
      </c>
      <c r="J3768" s="7" t="str">
        <f ca="1">IFERROR(__xludf.DUMMYFUNCTION("GOOGLEFINANCE(""NSE:""&amp;D3768,""marketcap"")"),"#N/A")</f>
        <v>#N/A</v>
      </c>
      <c r="K3768" s="7">
        <v>992.8</v>
      </c>
      <c r="L3768" s="8" t="str">
        <f ca="1">IFERROR(__xludf.DUMMYFUNCTION("GOOGLEFINANCE(""NSE:""&amp;D3768,""price"")"),"#N/A")</f>
        <v>#N/A</v>
      </c>
      <c r="M3768" s="9" t="e">
        <f t="shared" ca="1" si="77"/>
        <v>#VALUE!</v>
      </c>
      <c r="N3768" s="10" t="e">
        <f t="shared" ca="1" si="78"/>
        <v>#VALUE!</v>
      </c>
      <c r="O3768" s="7" t="str">
        <f ca="1">IFERROR(__xludf.DUMMYFUNCTION("GOOGLEFINANCE(""NSE:""&amp;D3768,""pe"")"),"#N/A")</f>
        <v>#N/A</v>
      </c>
      <c r="P3768" s="7" t="str">
        <f ca="1">IFERROR(__xludf.DUMMYFUNCTION("GOOGLEFINANCE(""NSE:""&amp;D3768,""EPS"")"),"#N/A")</f>
        <v>#N/A</v>
      </c>
      <c r="Q3768" s="7">
        <v>13.5</v>
      </c>
      <c r="R3768" s="7" t="str">
        <f ca="1">IFERROR(__xludf.DUMMYFUNCTION("IMPORTXML(E3768,""/html/body/main/div[3]/div[3]/div[2]/ul/li[7]/span[2]/span"")"),"Loading...")</f>
        <v>Loading...</v>
      </c>
      <c r="S3768" s="7" t="str">
        <f ca="1">IFERROR(__xludf.DUMMYFUNCTION("IMPORTXML(E3768,""/html/body/main/div[3]/div[3]/div[2]/ul/li[8]/span[2]/span"")"),"Loading...")</f>
        <v>Loading...</v>
      </c>
      <c r="T3768" s="4">
        <v>34.6</v>
      </c>
      <c r="U3768" s="4">
        <v>22.7</v>
      </c>
      <c r="V3768" s="4">
        <v>2.6</v>
      </c>
      <c r="W3768" s="4">
        <v>5.7</v>
      </c>
      <c r="X3768" s="4">
        <v>519.92999999999995</v>
      </c>
      <c r="Y3768" s="7" t="e">
        <f t="shared" ca="1" si="79"/>
        <v>#VALUE!</v>
      </c>
    </row>
    <row r="3769" spans="1:25" ht="15" x14ac:dyDescent="0.25">
      <c r="A3769" s="4">
        <v>3766</v>
      </c>
      <c r="C3769" s="41" t="s">
        <v>6127</v>
      </c>
      <c r="D3769" s="42"/>
      <c r="E3769" s="5" t="str">
        <f t="shared" si="75"/>
        <v>https://www.screener.in/company//consolidated/</v>
      </c>
      <c r="F3769" s="4">
        <v>443059</v>
      </c>
      <c r="G3769" s="4">
        <v>3832241897</v>
      </c>
      <c r="H3769" s="6" t="e">
        <f t="shared" ca="1" si="76"/>
        <v>#VALUE!</v>
      </c>
      <c r="I3769" s="7" t="str">
        <f ca="1">IFERROR(__xludf.DUMMYFUNCTION("IMPORTXML(E3769,""/html/body/main/div[3]/div[3]/div[2]/ul/li[5]/span[2]/span"")"),"Loading...")</f>
        <v>Loading...</v>
      </c>
      <c r="J3769" s="7" t="str">
        <f ca="1">IFERROR(__xludf.DUMMYFUNCTION("GOOGLEFINANCE(""NSE:""&amp;D3769,""marketcap"")"),"#N/A")</f>
        <v>#N/A</v>
      </c>
      <c r="K3769" s="7">
        <v>992.8</v>
      </c>
      <c r="L3769" s="8" t="str">
        <f ca="1">IFERROR(__xludf.DUMMYFUNCTION("GOOGLEFINANCE(""NSE:""&amp;D3769,""price"")"),"#N/A")</f>
        <v>#N/A</v>
      </c>
      <c r="M3769" s="9" t="e">
        <f t="shared" ca="1" si="77"/>
        <v>#VALUE!</v>
      </c>
      <c r="N3769" s="10" t="e">
        <f t="shared" ca="1" si="78"/>
        <v>#VALUE!</v>
      </c>
      <c r="O3769" s="7" t="str">
        <f ca="1">IFERROR(__xludf.DUMMYFUNCTION("GOOGLEFINANCE(""NSE:""&amp;D3769,""pe"")"),"#N/A")</f>
        <v>#N/A</v>
      </c>
      <c r="P3769" s="7" t="str">
        <f ca="1">IFERROR(__xludf.DUMMYFUNCTION("GOOGLEFINANCE(""NSE:""&amp;D3769,""EPS"")"),"#N/A")</f>
        <v>#N/A</v>
      </c>
      <c r="Q3769" s="7">
        <v>13.5</v>
      </c>
      <c r="R3769" s="7" t="str">
        <f ca="1">IFERROR(__xludf.DUMMYFUNCTION("IMPORTXML(E3769,""/html/body/main/div[3]/div[3]/div[2]/ul/li[7]/span[2]/span"")"),"Loading...")</f>
        <v>Loading...</v>
      </c>
      <c r="S3769" s="7" t="str">
        <f ca="1">IFERROR(__xludf.DUMMYFUNCTION("IMPORTXML(E3769,""/html/body/main/div[3]/div[3]/div[2]/ul/li[8]/span[2]/span"")"),"Loading...")</f>
        <v>Loading...</v>
      </c>
      <c r="T3769" s="4">
        <v>34.6</v>
      </c>
      <c r="U3769" s="4">
        <v>22.7</v>
      </c>
      <c r="V3769" s="4">
        <v>2.6</v>
      </c>
      <c r="W3769" s="4">
        <v>5.7</v>
      </c>
      <c r="X3769" s="4">
        <v>519.92999999999995</v>
      </c>
      <c r="Y3769" s="7" t="e">
        <f t="shared" ca="1" si="79"/>
        <v>#VALUE!</v>
      </c>
    </row>
    <row r="3770" spans="1:25" ht="15" x14ac:dyDescent="0.25">
      <c r="A3770" s="4">
        <v>3767</v>
      </c>
      <c r="C3770" s="41" t="s">
        <v>6128</v>
      </c>
      <c r="D3770" s="42"/>
      <c r="E3770" s="5" t="str">
        <f t="shared" si="75"/>
        <v>https://www.screener.in/company//consolidated/</v>
      </c>
      <c r="F3770" s="4">
        <v>443059</v>
      </c>
      <c r="G3770" s="4">
        <v>3832241897</v>
      </c>
      <c r="H3770" s="6" t="e">
        <f t="shared" ca="1" si="76"/>
        <v>#VALUE!</v>
      </c>
      <c r="I3770" s="7" t="str">
        <f ca="1">IFERROR(__xludf.DUMMYFUNCTION("IMPORTXML(E3770,""/html/body/main/div[3]/div[3]/div[2]/ul/li[5]/span[2]/span"")"),"Loading...")</f>
        <v>Loading...</v>
      </c>
      <c r="J3770" s="7" t="str">
        <f ca="1">IFERROR(__xludf.DUMMYFUNCTION("GOOGLEFINANCE(""NSE:""&amp;D3770,""marketcap"")"),"#N/A")</f>
        <v>#N/A</v>
      </c>
      <c r="K3770" s="7">
        <v>992.8</v>
      </c>
      <c r="L3770" s="8" t="str">
        <f ca="1">IFERROR(__xludf.DUMMYFUNCTION("GOOGLEFINANCE(""NSE:""&amp;D3770,""price"")"),"#N/A")</f>
        <v>#N/A</v>
      </c>
      <c r="M3770" s="9" t="e">
        <f t="shared" ca="1" si="77"/>
        <v>#VALUE!</v>
      </c>
      <c r="N3770" s="10" t="e">
        <f t="shared" ca="1" si="78"/>
        <v>#VALUE!</v>
      </c>
      <c r="O3770" s="7" t="str">
        <f ca="1">IFERROR(__xludf.DUMMYFUNCTION("GOOGLEFINANCE(""NSE:""&amp;D3770,""pe"")"),"#N/A")</f>
        <v>#N/A</v>
      </c>
      <c r="P3770" s="7" t="str">
        <f ca="1">IFERROR(__xludf.DUMMYFUNCTION("GOOGLEFINANCE(""NSE:""&amp;D3770,""EPS"")"),"#N/A")</f>
        <v>#N/A</v>
      </c>
      <c r="Q3770" s="7">
        <v>13.5</v>
      </c>
      <c r="R3770" s="7" t="str">
        <f ca="1">IFERROR(__xludf.DUMMYFUNCTION("IMPORTXML(E3770,""/html/body/main/div[3]/div[3]/div[2]/ul/li[7]/span[2]/span"")"),"Loading...")</f>
        <v>Loading...</v>
      </c>
      <c r="S3770" s="7" t="str">
        <f ca="1">IFERROR(__xludf.DUMMYFUNCTION("IMPORTXML(E3770,""/html/body/main/div[3]/div[3]/div[2]/ul/li[8]/span[2]/span"")"),"Loading...")</f>
        <v>Loading...</v>
      </c>
      <c r="T3770" s="4">
        <v>34.6</v>
      </c>
      <c r="U3770" s="4">
        <v>22.7</v>
      </c>
      <c r="V3770" s="4">
        <v>2.6</v>
      </c>
      <c r="W3770" s="4">
        <v>5.7</v>
      </c>
      <c r="X3770" s="4">
        <v>519.92999999999995</v>
      </c>
      <c r="Y3770" s="7" t="e">
        <f t="shared" ca="1" si="79"/>
        <v>#VALUE!</v>
      </c>
    </row>
    <row r="3771" spans="1:25" ht="15" x14ac:dyDescent="0.25">
      <c r="A3771" s="4">
        <v>3768</v>
      </c>
      <c r="C3771" s="41" t="s">
        <v>6129</v>
      </c>
      <c r="D3771" s="42"/>
      <c r="E3771" s="5" t="str">
        <f t="shared" si="75"/>
        <v>https://www.screener.in/company//consolidated/</v>
      </c>
      <c r="F3771" s="4">
        <v>443059</v>
      </c>
      <c r="G3771" s="4">
        <v>3832241897</v>
      </c>
      <c r="H3771" s="6" t="e">
        <f t="shared" ca="1" si="76"/>
        <v>#VALUE!</v>
      </c>
      <c r="I3771" s="7" t="str">
        <f ca="1">IFERROR(__xludf.DUMMYFUNCTION("IMPORTXML(E3771,""/html/body/main/div[3]/div[3]/div[2]/ul/li[5]/span[2]/span"")"),"Loading...")</f>
        <v>Loading...</v>
      </c>
      <c r="J3771" s="7" t="str">
        <f ca="1">IFERROR(__xludf.DUMMYFUNCTION("GOOGLEFINANCE(""NSE:""&amp;D3771,""marketcap"")"),"#N/A")</f>
        <v>#N/A</v>
      </c>
      <c r="K3771" s="7">
        <v>992.8</v>
      </c>
      <c r="L3771" s="8" t="str">
        <f ca="1">IFERROR(__xludf.DUMMYFUNCTION("GOOGLEFINANCE(""NSE:""&amp;D3771,""price"")"),"#N/A")</f>
        <v>#N/A</v>
      </c>
      <c r="M3771" s="9" t="e">
        <f t="shared" ca="1" si="77"/>
        <v>#VALUE!</v>
      </c>
      <c r="N3771" s="10" t="e">
        <f t="shared" ca="1" si="78"/>
        <v>#VALUE!</v>
      </c>
      <c r="O3771" s="7" t="str">
        <f ca="1">IFERROR(__xludf.DUMMYFUNCTION("GOOGLEFINANCE(""NSE:""&amp;D3771,""pe"")"),"#N/A")</f>
        <v>#N/A</v>
      </c>
      <c r="P3771" s="7" t="str">
        <f ca="1">IFERROR(__xludf.DUMMYFUNCTION("GOOGLEFINANCE(""NSE:""&amp;D3771,""EPS"")"),"#N/A")</f>
        <v>#N/A</v>
      </c>
      <c r="Q3771" s="7">
        <v>13.5</v>
      </c>
      <c r="R3771" s="7" t="str">
        <f ca="1">IFERROR(__xludf.DUMMYFUNCTION("IMPORTXML(E3771,""/html/body/main/div[3]/div[3]/div[2]/ul/li[7]/span[2]/span"")"),"Loading...")</f>
        <v>Loading...</v>
      </c>
      <c r="S3771" s="7" t="str">
        <f ca="1">IFERROR(__xludf.DUMMYFUNCTION("IMPORTXML(E3771,""/html/body/main/div[3]/div[3]/div[2]/ul/li[8]/span[2]/span"")"),"Loading...")</f>
        <v>Loading...</v>
      </c>
      <c r="T3771" s="4">
        <v>34.6</v>
      </c>
      <c r="U3771" s="4">
        <v>22.7</v>
      </c>
      <c r="V3771" s="4">
        <v>2.6</v>
      </c>
      <c r="W3771" s="4">
        <v>5.7</v>
      </c>
      <c r="X3771" s="4">
        <v>519.92999999999995</v>
      </c>
      <c r="Y3771" s="7" t="e">
        <f t="shared" ca="1" si="79"/>
        <v>#VALUE!</v>
      </c>
    </row>
    <row r="3772" spans="1:25" ht="15" x14ac:dyDescent="0.25">
      <c r="A3772" s="4">
        <v>3769</v>
      </c>
      <c r="C3772" s="41" t="s">
        <v>6130</v>
      </c>
      <c r="D3772" s="42"/>
      <c r="E3772" s="5" t="str">
        <f t="shared" si="75"/>
        <v>https://www.screener.in/company//consolidated/</v>
      </c>
      <c r="F3772" s="4">
        <v>443059</v>
      </c>
      <c r="G3772" s="4">
        <v>3832241897</v>
      </c>
      <c r="H3772" s="6" t="e">
        <f t="shared" ca="1" si="76"/>
        <v>#VALUE!</v>
      </c>
      <c r="I3772" s="7" t="str">
        <f ca="1">IFERROR(__xludf.DUMMYFUNCTION("IMPORTXML(E3772,""/html/body/main/div[3]/div[3]/div[2]/ul/li[5]/span[2]/span"")"),"Loading...")</f>
        <v>Loading...</v>
      </c>
      <c r="J3772" s="7" t="str">
        <f ca="1">IFERROR(__xludf.DUMMYFUNCTION("GOOGLEFINANCE(""NSE:""&amp;D3772,""marketcap"")"),"#N/A")</f>
        <v>#N/A</v>
      </c>
      <c r="K3772" s="7">
        <v>992.8</v>
      </c>
      <c r="L3772" s="8" t="str">
        <f ca="1">IFERROR(__xludf.DUMMYFUNCTION("GOOGLEFINANCE(""NSE:""&amp;D3772,""price"")"),"#N/A")</f>
        <v>#N/A</v>
      </c>
      <c r="M3772" s="9" t="e">
        <f t="shared" ca="1" si="77"/>
        <v>#VALUE!</v>
      </c>
      <c r="N3772" s="10" t="e">
        <f t="shared" ca="1" si="78"/>
        <v>#VALUE!</v>
      </c>
      <c r="O3772" s="7" t="str">
        <f ca="1">IFERROR(__xludf.DUMMYFUNCTION("GOOGLEFINANCE(""NSE:""&amp;D3772,""pe"")"),"#N/A")</f>
        <v>#N/A</v>
      </c>
      <c r="P3772" s="7" t="str">
        <f ca="1">IFERROR(__xludf.DUMMYFUNCTION("GOOGLEFINANCE(""NSE:""&amp;D3772,""EPS"")"),"#N/A")</f>
        <v>#N/A</v>
      </c>
      <c r="Q3772" s="7">
        <v>13.5</v>
      </c>
      <c r="R3772" s="7" t="str">
        <f ca="1">IFERROR(__xludf.DUMMYFUNCTION("IMPORTXML(E3772,""/html/body/main/div[3]/div[3]/div[2]/ul/li[7]/span[2]/span"")"),"Loading...")</f>
        <v>Loading...</v>
      </c>
      <c r="S3772" s="7" t="str">
        <f ca="1">IFERROR(__xludf.DUMMYFUNCTION("IMPORTXML(E3772,""/html/body/main/div[3]/div[3]/div[2]/ul/li[8]/span[2]/span"")"),"Loading...")</f>
        <v>Loading...</v>
      </c>
      <c r="T3772" s="4">
        <v>34.6</v>
      </c>
      <c r="U3772" s="4">
        <v>22.7</v>
      </c>
      <c r="V3772" s="4">
        <v>2.6</v>
      </c>
      <c r="W3772" s="4">
        <v>5.7</v>
      </c>
      <c r="X3772" s="4">
        <v>519.92999999999995</v>
      </c>
      <c r="Y3772" s="7" t="e">
        <f t="shared" ca="1" si="79"/>
        <v>#VALUE!</v>
      </c>
    </row>
    <row r="3773" spans="1:25" ht="15" x14ac:dyDescent="0.25">
      <c r="A3773" s="4">
        <v>3770</v>
      </c>
      <c r="C3773" s="41" t="s">
        <v>6131</v>
      </c>
      <c r="D3773" s="42"/>
      <c r="E3773" s="5" t="str">
        <f t="shared" si="75"/>
        <v>https://www.screener.in/company//consolidated/</v>
      </c>
      <c r="F3773" s="4">
        <v>443059</v>
      </c>
      <c r="G3773" s="4">
        <v>3832241897</v>
      </c>
      <c r="H3773" s="6" t="e">
        <f t="shared" ca="1" si="76"/>
        <v>#VALUE!</v>
      </c>
      <c r="I3773" s="7" t="str">
        <f ca="1">IFERROR(__xludf.DUMMYFUNCTION("IMPORTXML(E3773,""/html/body/main/div[3]/div[3]/div[2]/ul/li[5]/span[2]/span"")"),"Loading...")</f>
        <v>Loading...</v>
      </c>
      <c r="J3773" s="7" t="str">
        <f ca="1">IFERROR(__xludf.DUMMYFUNCTION("GOOGLEFINANCE(""NSE:""&amp;D3773,""marketcap"")"),"#N/A")</f>
        <v>#N/A</v>
      </c>
      <c r="K3773" s="7">
        <v>992.8</v>
      </c>
      <c r="L3773" s="8" t="str">
        <f ca="1">IFERROR(__xludf.DUMMYFUNCTION("GOOGLEFINANCE(""NSE:""&amp;D3773,""price"")"),"#N/A")</f>
        <v>#N/A</v>
      </c>
      <c r="M3773" s="9" t="e">
        <f t="shared" ca="1" si="77"/>
        <v>#VALUE!</v>
      </c>
      <c r="N3773" s="10" t="e">
        <f t="shared" ca="1" si="78"/>
        <v>#VALUE!</v>
      </c>
      <c r="O3773" s="7" t="str">
        <f ca="1">IFERROR(__xludf.DUMMYFUNCTION("GOOGLEFINANCE(""NSE:""&amp;D3773,""pe"")"),"#N/A")</f>
        <v>#N/A</v>
      </c>
      <c r="P3773" s="7" t="str">
        <f ca="1">IFERROR(__xludf.DUMMYFUNCTION("GOOGLEFINANCE(""NSE:""&amp;D3773,""EPS"")"),"#N/A")</f>
        <v>#N/A</v>
      </c>
      <c r="Q3773" s="7">
        <v>13.5</v>
      </c>
      <c r="R3773" s="7" t="str">
        <f ca="1">IFERROR(__xludf.DUMMYFUNCTION("IMPORTXML(E3773,""/html/body/main/div[3]/div[3]/div[2]/ul/li[7]/span[2]/span"")"),"Loading...")</f>
        <v>Loading...</v>
      </c>
      <c r="S3773" s="7" t="str">
        <f ca="1">IFERROR(__xludf.DUMMYFUNCTION("IMPORTXML(E3773,""/html/body/main/div[3]/div[3]/div[2]/ul/li[8]/span[2]/span"")"),"Loading...")</f>
        <v>Loading...</v>
      </c>
      <c r="T3773" s="4">
        <v>34.6</v>
      </c>
      <c r="U3773" s="4">
        <v>22.7</v>
      </c>
      <c r="V3773" s="4">
        <v>2.6</v>
      </c>
      <c r="W3773" s="4">
        <v>5.7</v>
      </c>
      <c r="X3773" s="4">
        <v>519.92999999999995</v>
      </c>
      <c r="Y3773" s="7" t="e">
        <f t="shared" ca="1" si="79"/>
        <v>#VALUE!</v>
      </c>
    </row>
    <row r="3774" spans="1:25" ht="15" x14ac:dyDescent="0.25">
      <c r="A3774" s="4">
        <v>3771</v>
      </c>
      <c r="C3774" s="41" t="s">
        <v>6132</v>
      </c>
      <c r="D3774" s="42"/>
      <c r="E3774" s="5" t="str">
        <f t="shared" si="75"/>
        <v>https://www.screener.in/company//consolidated/</v>
      </c>
      <c r="F3774" s="4">
        <v>443059</v>
      </c>
      <c r="G3774" s="4">
        <v>3832241897</v>
      </c>
      <c r="H3774" s="6" t="e">
        <f t="shared" ca="1" si="76"/>
        <v>#VALUE!</v>
      </c>
      <c r="I3774" s="7" t="str">
        <f ca="1">IFERROR(__xludf.DUMMYFUNCTION("IMPORTXML(E3774,""/html/body/main/div[3]/div[3]/div[2]/ul/li[5]/span[2]/span"")"),"Loading...")</f>
        <v>Loading...</v>
      </c>
      <c r="J3774" s="7" t="str">
        <f ca="1">IFERROR(__xludf.DUMMYFUNCTION("GOOGLEFINANCE(""NSE:""&amp;D3774,""marketcap"")"),"#N/A")</f>
        <v>#N/A</v>
      </c>
      <c r="K3774" s="7">
        <v>992.8</v>
      </c>
      <c r="L3774" s="8" t="str">
        <f ca="1">IFERROR(__xludf.DUMMYFUNCTION("GOOGLEFINANCE(""NSE:""&amp;D3774,""price"")"),"#N/A")</f>
        <v>#N/A</v>
      </c>
      <c r="M3774" s="9" t="e">
        <f t="shared" ca="1" si="77"/>
        <v>#VALUE!</v>
      </c>
      <c r="N3774" s="10" t="e">
        <f t="shared" ca="1" si="78"/>
        <v>#VALUE!</v>
      </c>
      <c r="O3774" s="7" t="str">
        <f ca="1">IFERROR(__xludf.DUMMYFUNCTION("GOOGLEFINANCE(""NSE:""&amp;D3774,""pe"")"),"#N/A")</f>
        <v>#N/A</v>
      </c>
      <c r="P3774" s="7" t="str">
        <f ca="1">IFERROR(__xludf.DUMMYFUNCTION("GOOGLEFINANCE(""NSE:""&amp;D3774,""EPS"")"),"#N/A")</f>
        <v>#N/A</v>
      </c>
      <c r="Q3774" s="7">
        <v>13.5</v>
      </c>
      <c r="R3774" s="7" t="str">
        <f ca="1">IFERROR(__xludf.DUMMYFUNCTION("IMPORTXML(E3774,""/html/body/main/div[3]/div[3]/div[2]/ul/li[7]/span[2]/span"")"),"Loading...")</f>
        <v>Loading...</v>
      </c>
      <c r="S3774" s="7" t="str">
        <f ca="1">IFERROR(__xludf.DUMMYFUNCTION("IMPORTXML(E3774,""/html/body/main/div[3]/div[3]/div[2]/ul/li[8]/span[2]/span"")"),"Loading...")</f>
        <v>Loading...</v>
      </c>
      <c r="T3774" s="4">
        <v>34.6</v>
      </c>
      <c r="U3774" s="4">
        <v>22.7</v>
      </c>
      <c r="V3774" s="4">
        <v>2.6</v>
      </c>
      <c r="W3774" s="4">
        <v>5.7</v>
      </c>
      <c r="X3774" s="4">
        <v>519.92999999999995</v>
      </c>
      <c r="Y3774" s="7" t="e">
        <f t="shared" ca="1" si="79"/>
        <v>#VALUE!</v>
      </c>
    </row>
    <row r="3775" spans="1:25" ht="15" x14ac:dyDescent="0.25">
      <c r="A3775" s="4">
        <v>3772</v>
      </c>
      <c r="C3775" s="41" t="s">
        <v>6133</v>
      </c>
      <c r="D3775" s="42"/>
      <c r="E3775" s="5" t="str">
        <f t="shared" si="75"/>
        <v>https://www.screener.in/company//consolidated/</v>
      </c>
      <c r="F3775" s="4">
        <v>443059</v>
      </c>
      <c r="G3775" s="4">
        <v>3832241897</v>
      </c>
      <c r="H3775" s="6" t="e">
        <f t="shared" ca="1" si="76"/>
        <v>#VALUE!</v>
      </c>
      <c r="I3775" s="7" t="str">
        <f ca="1">IFERROR(__xludf.DUMMYFUNCTION("IMPORTXML(E3775,""/html/body/main/div[3]/div[3]/div[2]/ul/li[5]/span[2]/span"")"),"Loading...")</f>
        <v>Loading...</v>
      </c>
      <c r="J3775" s="7" t="str">
        <f ca="1">IFERROR(__xludf.DUMMYFUNCTION("GOOGLEFINANCE(""NSE:""&amp;D3775,""marketcap"")"),"#N/A")</f>
        <v>#N/A</v>
      </c>
      <c r="K3775" s="7">
        <v>992.8</v>
      </c>
      <c r="L3775" s="8" t="str">
        <f ca="1">IFERROR(__xludf.DUMMYFUNCTION("GOOGLEFINANCE(""NSE:""&amp;D3775,""price"")"),"#N/A")</f>
        <v>#N/A</v>
      </c>
      <c r="M3775" s="9" t="e">
        <f t="shared" ca="1" si="77"/>
        <v>#VALUE!</v>
      </c>
      <c r="N3775" s="10" t="e">
        <f t="shared" ca="1" si="78"/>
        <v>#VALUE!</v>
      </c>
      <c r="O3775" s="7" t="str">
        <f ca="1">IFERROR(__xludf.DUMMYFUNCTION("GOOGLEFINANCE(""NSE:""&amp;D3775,""pe"")"),"#N/A")</f>
        <v>#N/A</v>
      </c>
      <c r="P3775" s="7" t="str">
        <f ca="1">IFERROR(__xludf.DUMMYFUNCTION("GOOGLEFINANCE(""NSE:""&amp;D3775,""EPS"")"),"#N/A")</f>
        <v>#N/A</v>
      </c>
      <c r="Q3775" s="7">
        <v>13.5</v>
      </c>
      <c r="R3775" s="7" t="str">
        <f ca="1">IFERROR(__xludf.DUMMYFUNCTION("IMPORTXML(E3775,""/html/body/main/div[3]/div[3]/div[2]/ul/li[7]/span[2]/span"")"),"Loading...")</f>
        <v>Loading...</v>
      </c>
      <c r="S3775" s="7" t="str">
        <f ca="1">IFERROR(__xludf.DUMMYFUNCTION("IMPORTXML(E3775,""/html/body/main/div[3]/div[3]/div[2]/ul/li[8]/span[2]/span"")"),"Loading...")</f>
        <v>Loading...</v>
      </c>
      <c r="T3775" s="4">
        <v>34.6</v>
      </c>
      <c r="U3775" s="4">
        <v>22.7</v>
      </c>
      <c r="V3775" s="4">
        <v>2.6</v>
      </c>
      <c r="W3775" s="4">
        <v>5.7</v>
      </c>
      <c r="X3775" s="4">
        <v>519.92999999999995</v>
      </c>
      <c r="Y3775" s="7" t="e">
        <f t="shared" ca="1" si="79"/>
        <v>#VALUE!</v>
      </c>
    </row>
    <row r="3776" spans="1:25" ht="15" x14ac:dyDescent="0.25">
      <c r="A3776" s="4">
        <v>3773</v>
      </c>
      <c r="C3776" s="41" t="s">
        <v>6134</v>
      </c>
      <c r="D3776" s="42"/>
      <c r="E3776" s="5" t="str">
        <f t="shared" si="75"/>
        <v>https://www.screener.in/company//consolidated/</v>
      </c>
      <c r="F3776" s="4">
        <v>443059</v>
      </c>
      <c r="G3776" s="4">
        <v>3832241897</v>
      </c>
      <c r="H3776" s="6" t="e">
        <f t="shared" ca="1" si="76"/>
        <v>#VALUE!</v>
      </c>
      <c r="I3776" s="7" t="str">
        <f ca="1">IFERROR(__xludf.DUMMYFUNCTION("IMPORTXML(E3776,""/html/body/main/div[3]/div[3]/div[2]/ul/li[5]/span[2]/span"")"),"Loading...")</f>
        <v>Loading...</v>
      </c>
      <c r="J3776" s="7" t="str">
        <f ca="1">IFERROR(__xludf.DUMMYFUNCTION("GOOGLEFINANCE(""NSE:""&amp;D3776,""marketcap"")"),"#N/A")</f>
        <v>#N/A</v>
      </c>
      <c r="K3776" s="7">
        <v>992.8</v>
      </c>
      <c r="L3776" s="8" t="str">
        <f ca="1">IFERROR(__xludf.DUMMYFUNCTION("GOOGLEFINANCE(""NSE:""&amp;D3776,""price"")"),"#N/A")</f>
        <v>#N/A</v>
      </c>
      <c r="M3776" s="9" t="e">
        <f t="shared" ca="1" si="77"/>
        <v>#VALUE!</v>
      </c>
      <c r="N3776" s="10" t="e">
        <f t="shared" ca="1" si="78"/>
        <v>#VALUE!</v>
      </c>
      <c r="O3776" s="7" t="str">
        <f ca="1">IFERROR(__xludf.DUMMYFUNCTION("GOOGLEFINANCE(""NSE:""&amp;D3776,""pe"")"),"#N/A")</f>
        <v>#N/A</v>
      </c>
      <c r="P3776" s="7" t="str">
        <f ca="1">IFERROR(__xludf.DUMMYFUNCTION("GOOGLEFINANCE(""NSE:""&amp;D3776,""EPS"")"),"#N/A")</f>
        <v>#N/A</v>
      </c>
      <c r="Q3776" s="7">
        <v>13.5</v>
      </c>
      <c r="R3776" s="7" t="str">
        <f ca="1">IFERROR(__xludf.DUMMYFUNCTION("IMPORTXML(E3776,""/html/body/main/div[3]/div[3]/div[2]/ul/li[7]/span[2]/span"")"),"Loading...")</f>
        <v>Loading...</v>
      </c>
      <c r="S3776" s="7" t="str">
        <f ca="1">IFERROR(__xludf.DUMMYFUNCTION("IMPORTXML(E3776,""/html/body/main/div[3]/div[3]/div[2]/ul/li[8]/span[2]/span"")"),"Loading...")</f>
        <v>Loading...</v>
      </c>
      <c r="T3776" s="4">
        <v>34.6</v>
      </c>
      <c r="U3776" s="4">
        <v>22.7</v>
      </c>
      <c r="V3776" s="4">
        <v>2.6</v>
      </c>
      <c r="W3776" s="4">
        <v>5.7</v>
      </c>
      <c r="X3776" s="4">
        <v>519.92999999999995</v>
      </c>
      <c r="Y3776" s="7" t="e">
        <f t="shared" ca="1" si="79"/>
        <v>#VALUE!</v>
      </c>
    </row>
    <row r="3777" spans="1:25" ht="15" x14ac:dyDescent="0.25">
      <c r="A3777" s="4">
        <v>3774</v>
      </c>
      <c r="C3777" s="41" t="s">
        <v>6135</v>
      </c>
      <c r="D3777" s="42"/>
      <c r="E3777" s="5" t="str">
        <f t="shared" si="75"/>
        <v>https://www.screener.in/company//consolidated/</v>
      </c>
      <c r="F3777" s="4">
        <v>443059</v>
      </c>
      <c r="G3777" s="4">
        <v>3832241897</v>
      </c>
      <c r="H3777" s="6" t="e">
        <f t="shared" ca="1" si="76"/>
        <v>#VALUE!</v>
      </c>
      <c r="I3777" s="7" t="str">
        <f ca="1">IFERROR(__xludf.DUMMYFUNCTION("IMPORTXML(E3777,""/html/body/main/div[3]/div[3]/div[2]/ul/li[5]/span[2]/span"")"),"Loading...")</f>
        <v>Loading...</v>
      </c>
      <c r="J3777" s="7" t="str">
        <f ca="1">IFERROR(__xludf.DUMMYFUNCTION("GOOGLEFINANCE(""NSE:""&amp;D3777,""marketcap"")"),"#N/A")</f>
        <v>#N/A</v>
      </c>
      <c r="K3777" s="7">
        <v>992.8</v>
      </c>
      <c r="L3777" s="8" t="str">
        <f ca="1">IFERROR(__xludf.DUMMYFUNCTION("GOOGLEFINANCE(""NSE:""&amp;D3777,""price"")"),"#N/A")</f>
        <v>#N/A</v>
      </c>
      <c r="M3777" s="9" t="e">
        <f t="shared" ca="1" si="77"/>
        <v>#VALUE!</v>
      </c>
      <c r="N3777" s="10" t="e">
        <f t="shared" ca="1" si="78"/>
        <v>#VALUE!</v>
      </c>
      <c r="O3777" s="7" t="str">
        <f ca="1">IFERROR(__xludf.DUMMYFUNCTION("GOOGLEFINANCE(""NSE:""&amp;D3777,""pe"")"),"#N/A")</f>
        <v>#N/A</v>
      </c>
      <c r="P3777" s="7" t="str">
        <f ca="1">IFERROR(__xludf.DUMMYFUNCTION("GOOGLEFINANCE(""NSE:""&amp;D3777,""EPS"")"),"#N/A")</f>
        <v>#N/A</v>
      </c>
      <c r="Q3777" s="7">
        <v>13.5</v>
      </c>
      <c r="R3777" s="7" t="str">
        <f ca="1">IFERROR(__xludf.DUMMYFUNCTION("IMPORTXML(E3777,""/html/body/main/div[3]/div[3]/div[2]/ul/li[7]/span[2]/span"")"),"Loading...")</f>
        <v>Loading...</v>
      </c>
      <c r="S3777" s="7" t="str">
        <f ca="1">IFERROR(__xludf.DUMMYFUNCTION("IMPORTXML(E3777,""/html/body/main/div[3]/div[3]/div[2]/ul/li[8]/span[2]/span"")"),"Loading...")</f>
        <v>Loading...</v>
      </c>
      <c r="T3777" s="4">
        <v>34.6</v>
      </c>
      <c r="U3777" s="4">
        <v>22.7</v>
      </c>
      <c r="V3777" s="4">
        <v>2.6</v>
      </c>
      <c r="W3777" s="4">
        <v>5.7</v>
      </c>
      <c r="X3777" s="4">
        <v>519.92999999999995</v>
      </c>
      <c r="Y3777" s="7" t="e">
        <f t="shared" ca="1" si="79"/>
        <v>#VALUE!</v>
      </c>
    </row>
    <row r="3778" spans="1:25" ht="15" x14ac:dyDescent="0.25">
      <c r="A3778" s="4">
        <v>3775</v>
      </c>
      <c r="C3778" s="41" t="s">
        <v>6136</v>
      </c>
      <c r="D3778" s="42"/>
      <c r="E3778" s="5" t="str">
        <f t="shared" si="75"/>
        <v>https://www.screener.in/company//consolidated/</v>
      </c>
      <c r="F3778" s="4">
        <v>443059</v>
      </c>
      <c r="G3778" s="4">
        <v>3832241897</v>
      </c>
      <c r="H3778" s="6" t="e">
        <f t="shared" ca="1" si="76"/>
        <v>#VALUE!</v>
      </c>
      <c r="I3778" s="7" t="str">
        <f ca="1">IFERROR(__xludf.DUMMYFUNCTION("IMPORTXML(E3778,""/html/body/main/div[3]/div[3]/div[2]/ul/li[5]/span[2]/span"")"),"Loading...")</f>
        <v>Loading...</v>
      </c>
      <c r="J3778" s="7" t="str">
        <f ca="1">IFERROR(__xludf.DUMMYFUNCTION("GOOGLEFINANCE(""NSE:""&amp;D3778,""marketcap"")"),"#N/A")</f>
        <v>#N/A</v>
      </c>
      <c r="K3778" s="7">
        <v>992.8</v>
      </c>
      <c r="L3778" s="8" t="str">
        <f ca="1">IFERROR(__xludf.DUMMYFUNCTION("GOOGLEFINANCE(""NSE:""&amp;D3778,""price"")"),"#N/A")</f>
        <v>#N/A</v>
      </c>
      <c r="M3778" s="9" t="e">
        <f t="shared" ca="1" si="77"/>
        <v>#VALUE!</v>
      </c>
      <c r="N3778" s="10" t="e">
        <f t="shared" ca="1" si="78"/>
        <v>#VALUE!</v>
      </c>
      <c r="O3778" s="7" t="str">
        <f ca="1">IFERROR(__xludf.DUMMYFUNCTION("GOOGLEFINANCE(""NSE:""&amp;D3778,""pe"")"),"#N/A")</f>
        <v>#N/A</v>
      </c>
      <c r="P3778" s="7" t="str">
        <f ca="1">IFERROR(__xludf.DUMMYFUNCTION("GOOGLEFINANCE(""NSE:""&amp;D3778,""EPS"")"),"#N/A")</f>
        <v>#N/A</v>
      </c>
      <c r="Q3778" s="7">
        <v>13.5</v>
      </c>
      <c r="R3778" s="7" t="str">
        <f ca="1">IFERROR(__xludf.DUMMYFUNCTION("IMPORTXML(E3778,""/html/body/main/div[3]/div[3]/div[2]/ul/li[7]/span[2]/span"")"),"Loading...")</f>
        <v>Loading...</v>
      </c>
      <c r="S3778" s="7" t="str">
        <f ca="1">IFERROR(__xludf.DUMMYFUNCTION("IMPORTXML(E3778,""/html/body/main/div[3]/div[3]/div[2]/ul/li[8]/span[2]/span"")"),"Loading...")</f>
        <v>Loading...</v>
      </c>
      <c r="T3778" s="4">
        <v>34.6</v>
      </c>
      <c r="U3778" s="4">
        <v>22.7</v>
      </c>
      <c r="V3778" s="4">
        <v>2.6</v>
      </c>
      <c r="W3778" s="4">
        <v>5.7</v>
      </c>
      <c r="X3778" s="4">
        <v>519.92999999999995</v>
      </c>
      <c r="Y3778" s="7" t="e">
        <f t="shared" ca="1" si="79"/>
        <v>#VALUE!</v>
      </c>
    </row>
    <row r="3779" spans="1:25" ht="15" x14ac:dyDescent="0.25">
      <c r="A3779" s="4">
        <v>3776</v>
      </c>
      <c r="C3779" s="41" t="s">
        <v>6137</v>
      </c>
      <c r="D3779" s="42"/>
      <c r="E3779" s="5" t="str">
        <f t="shared" si="75"/>
        <v>https://www.screener.in/company//consolidated/</v>
      </c>
      <c r="F3779" s="4">
        <v>443059</v>
      </c>
      <c r="G3779" s="4">
        <v>3832241897</v>
      </c>
      <c r="H3779" s="6" t="e">
        <f t="shared" ca="1" si="76"/>
        <v>#VALUE!</v>
      </c>
      <c r="I3779" s="7" t="str">
        <f ca="1">IFERROR(__xludf.DUMMYFUNCTION("IMPORTXML(E3779,""/html/body/main/div[3]/div[3]/div[2]/ul/li[5]/span[2]/span"")"),"Loading...")</f>
        <v>Loading...</v>
      </c>
      <c r="J3779" s="7" t="str">
        <f ca="1">IFERROR(__xludf.DUMMYFUNCTION("GOOGLEFINANCE(""NSE:""&amp;D3779,""marketcap"")"),"#N/A")</f>
        <v>#N/A</v>
      </c>
      <c r="K3779" s="7">
        <v>992.8</v>
      </c>
      <c r="L3779" s="8" t="str">
        <f ca="1">IFERROR(__xludf.DUMMYFUNCTION("GOOGLEFINANCE(""NSE:""&amp;D3779,""price"")"),"#N/A")</f>
        <v>#N/A</v>
      </c>
      <c r="M3779" s="9" t="e">
        <f t="shared" ca="1" si="77"/>
        <v>#VALUE!</v>
      </c>
      <c r="N3779" s="10" t="e">
        <f t="shared" ca="1" si="78"/>
        <v>#VALUE!</v>
      </c>
      <c r="O3779" s="7" t="str">
        <f ca="1">IFERROR(__xludf.DUMMYFUNCTION("GOOGLEFINANCE(""NSE:""&amp;D3779,""pe"")"),"#N/A")</f>
        <v>#N/A</v>
      </c>
      <c r="P3779" s="7" t="str">
        <f ca="1">IFERROR(__xludf.DUMMYFUNCTION("GOOGLEFINANCE(""NSE:""&amp;D3779,""EPS"")"),"#N/A")</f>
        <v>#N/A</v>
      </c>
      <c r="Q3779" s="7">
        <v>13.5</v>
      </c>
      <c r="R3779" s="7" t="str">
        <f ca="1">IFERROR(__xludf.DUMMYFUNCTION("IMPORTXML(E3779,""/html/body/main/div[3]/div[3]/div[2]/ul/li[7]/span[2]/span"")"),"Loading...")</f>
        <v>Loading...</v>
      </c>
      <c r="S3779" s="7" t="str">
        <f ca="1">IFERROR(__xludf.DUMMYFUNCTION("IMPORTXML(E3779,""/html/body/main/div[3]/div[3]/div[2]/ul/li[8]/span[2]/span"")"),"Loading...")</f>
        <v>Loading...</v>
      </c>
      <c r="T3779" s="4">
        <v>34.6</v>
      </c>
      <c r="U3779" s="4">
        <v>22.7</v>
      </c>
      <c r="V3779" s="4">
        <v>2.6</v>
      </c>
      <c r="W3779" s="4">
        <v>5.7</v>
      </c>
      <c r="X3779" s="4">
        <v>519.92999999999995</v>
      </c>
      <c r="Y3779" s="7" t="e">
        <f t="shared" ca="1" si="79"/>
        <v>#VALUE!</v>
      </c>
    </row>
    <row r="3780" spans="1:25" ht="15" x14ac:dyDescent="0.25">
      <c r="A3780" s="4">
        <v>3777</v>
      </c>
      <c r="C3780" s="41" t="s">
        <v>6138</v>
      </c>
      <c r="D3780" s="42"/>
      <c r="E3780" s="5" t="str">
        <f t="shared" si="75"/>
        <v>https://www.screener.in/company//consolidated/</v>
      </c>
      <c r="F3780" s="4">
        <v>443059</v>
      </c>
      <c r="G3780" s="4">
        <v>3832241897</v>
      </c>
      <c r="H3780" s="6" t="e">
        <f t="shared" ca="1" si="76"/>
        <v>#VALUE!</v>
      </c>
      <c r="I3780" s="7" t="str">
        <f ca="1">IFERROR(__xludf.DUMMYFUNCTION("IMPORTXML(E3780,""/html/body/main/div[3]/div[3]/div[2]/ul/li[5]/span[2]/span"")"),"Loading...")</f>
        <v>Loading...</v>
      </c>
      <c r="J3780" s="7" t="str">
        <f ca="1">IFERROR(__xludf.DUMMYFUNCTION("GOOGLEFINANCE(""NSE:""&amp;D3780,""marketcap"")"),"#N/A")</f>
        <v>#N/A</v>
      </c>
      <c r="K3780" s="7">
        <v>992.8</v>
      </c>
      <c r="L3780" s="8" t="str">
        <f ca="1">IFERROR(__xludf.DUMMYFUNCTION("GOOGLEFINANCE(""NSE:""&amp;D3780,""price"")"),"#N/A")</f>
        <v>#N/A</v>
      </c>
      <c r="M3780" s="9" t="e">
        <f t="shared" ca="1" si="77"/>
        <v>#VALUE!</v>
      </c>
      <c r="N3780" s="10" t="e">
        <f t="shared" ca="1" si="78"/>
        <v>#VALUE!</v>
      </c>
      <c r="O3780" s="7" t="str">
        <f ca="1">IFERROR(__xludf.DUMMYFUNCTION("GOOGLEFINANCE(""NSE:""&amp;D3780,""pe"")"),"#N/A")</f>
        <v>#N/A</v>
      </c>
      <c r="P3780" s="7" t="str">
        <f ca="1">IFERROR(__xludf.DUMMYFUNCTION("GOOGLEFINANCE(""NSE:""&amp;D3780,""EPS"")"),"#N/A")</f>
        <v>#N/A</v>
      </c>
      <c r="Q3780" s="7">
        <v>13.5</v>
      </c>
      <c r="R3780" s="7" t="str">
        <f ca="1">IFERROR(__xludf.DUMMYFUNCTION("IMPORTXML(E3780,""/html/body/main/div[3]/div[3]/div[2]/ul/li[7]/span[2]/span"")"),"Loading...")</f>
        <v>Loading...</v>
      </c>
      <c r="S3780" s="7" t="str">
        <f ca="1">IFERROR(__xludf.DUMMYFUNCTION("IMPORTXML(E3780,""/html/body/main/div[3]/div[3]/div[2]/ul/li[8]/span[2]/span"")"),"Loading...")</f>
        <v>Loading...</v>
      </c>
      <c r="T3780" s="4">
        <v>34.6</v>
      </c>
      <c r="U3780" s="4">
        <v>22.7</v>
      </c>
      <c r="V3780" s="4">
        <v>2.6</v>
      </c>
      <c r="W3780" s="4">
        <v>5.7</v>
      </c>
      <c r="X3780" s="4">
        <v>519.92999999999995</v>
      </c>
      <c r="Y3780" s="7" t="e">
        <f t="shared" ca="1" si="79"/>
        <v>#VALUE!</v>
      </c>
    </row>
    <row r="3781" spans="1:25" ht="15" x14ac:dyDescent="0.25">
      <c r="A3781" s="4">
        <v>3778</v>
      </c>
      <c r="C3781" s="41" t="s">
        <v>6139</v>
      </c>
      <c r="D3781" s="42"/>
      <c r="E3781" s="5" t="str">
        <f t="shared" si="75"/>
        <v>https://www.screener.in/company//consolidated/</v>
      </c>
      <c r="F3781" s="4">
        <v>443059</v>
      </c>
      <c r="G3781" s="4">
        <v>3832241897</v>
      </c>
      <c r="H3781" s="6" t="e">
        <f t="shared" ca="1" si="76"/>
        <v>#VALUE!</v>
      </c>
      <c r="I3781" s="7" t="str">
        <f ca="1">IFERROR(__xludf.DUMMYFUNCTION("IMPORTXML(E3781,""/html/body/main/div[3]/div[3]/div[2]/ul/li[5]/span[2]/span"")"),"Loading...")</f>
        <v>Loading...</v>
      </c>
      <c r="J3781" s="7" t="str">
        <f ca="1">IFERROR(__xludf.DUMMYFUNCTION("GOOGLEFINANCE(""NSE:""&amp;D3781,""marketcap"")"),"#N/A")</f>
        <v>#N/A</v>
      </c>
      <c r="K3781" s="7">
        <v>992.8</v>
      </c>
      <c r="L3781" s="8" t="str">
        <f ca="1">IFERROR(__xludf.DUMMYFUNCTION("GOOGLEFINANCE(""NSE:""&amp;D3781,""price"")"),"#N/A")</f>
        <v>#N/A</v>
      </c>
      <c r="M3781" s="9" t="e">
        <f t="shared" ca="1" si="77"/>
        <v>#VALUE!</v>
      </c>
      <c r="N3781" s="10" t="e">
        <f t="shared" ca="1" si="78"/>
        <v>#VALUE!</v>
      </c>
      <c r="O3781" s="7" t="str">
        <f ca="1">IFERROR(__xludf.DUMMYFUNCTION("GOOGLEFINANCE(""NSE:""&amp;D3781,""pe"")"),"#N/A")</f>
        <v>#N/A</v>
      </c>
      <c r="P3781" s="7" t="str">
        <f ca="1">IFERROR(__xludf.DUMMYFUNCTION("GOOGLEFINANCE(""NSE:""&amp;D3781,""EPS"")"),"#N/A")</f>
        <v>#N/A</v>
      </c>
      <c r="Q3781" s="7">
        <v>13.5</v>
      </c>
      <c r="R3781" s="7" t="str">
        <f ca="1">IFERROR(__xludf.DUMMYFUNCTION("IMPORTXML(E3781,""/html/body/main/div[3]/div[3]/div[2]/ul/li[7]/span[2]/span"")"),"Loading...")</f>
        <v>Loading...</v>
      </c>
      <c r="S3781" s="7" t="str">
        <f ca="1">IFERROR(__xludf.DUMMYFUNCTION("IMPORTXML(E3781,""/html/body/main/div[3]/div[3]/div[2]/ul/li[8]/span[2]/span"")"),"Loading...")</f>
        <v>Loading...</v>
      </c>
      <c r="T3781" s="4">
        <v>34.6</v>
      </c>
      <c r="U3781" s="4">
        <v>22.7</v>
      </c>
      <c r="V3781" s="4">
        <v>2.6</v>
      </c>
      <c r="W3781" s="4">
        <v>5.7</v>
      </c>
      <c r="X3781" s="4">
        <v>519.92999999999995</v>
      </c>
      <c r="Y3781" s="7" t="e">
        <f t="shared" ca="1" si="79"/>
        <v>#VALUE!</v>
      </c>
    </row>
    <row r="3782" spans="1:25" ht="15" x14ac:dyDescent="0.25">
      <c r="A3782" s="4">
        <v>3779</v>
      </c>
      <c r="C3782" s="41" t="s">
        <v>6140</v>
      </c>
      <c r="D3782" s="42"/>
      <c r="E3782" s="5" t="str">
        <f t="shared" si="75"/>
        <v>https://www.screener.in/company//consolidated/</v>
      </c>
      <c r="F3782" s="4">
        <v>443059</v>
      </c>
      <c r="G3782" s="4">
        <v>3832241897</v>
      </c>
      <c r="H3782" s="6" t="e">
        <f t="shared" ca="1" si="76"/>
        <v>#VALUE!</v>
      </c>
      <c r="I3782" s="7" t="str">
        <f ca="1">IFERROR(__xludf.DUMMYFUNCTION("IMPORTXML(E3782,""/html/body/main/div[3]/div[3]/div[2]/ul/li[5]/span[2]/span"")"),"Loading...")</f>
        <v>Loading...</v>
      </c>
      <c r="J3782" s="7" t="str">
        <f ca="1">IFERROR(__xludf.DUMMYFUNCTION("GOOGLEFINANCE(""NSE:""&amp;D3782,""marketcap"")"),"#N/A")</f>
        <v>#N/A</v>
      </c>
      <c r="K3782" s="7">
        <v>992.8</v>
      </c>
      <c r="L3782" s="8" t="str">
        <f ca="1">IFERROR(__xludf.DUMMYFUNCTION("GOOGLEFINANCE(""NSE:""&amp;D3782,""price"")"),"#N/A")</f>
        <v>#N/A</v>
      </c>
      <c r="M3782" s="9" t="e">
        <f t="shared" ca="1" si="77"/>
        <v>#VALUE!</v>
      </c>
      <c r="N3782" s="10" t="e">
        <f t="shared" ca="1" si="78"/>
        <v>#VALUE!</v>
      </c>
      <c r="O3782" s="7" t="str">
        <f ca="1">IFERROR(__xludf.DUMMYFUNCTION("GOOGLEFINANCE(""NSE:""&amp;D3782,""pe"")"),"#N/A")</f>
        <v>#N/A</v>
      </c>
      <c r="P3782" s="7" t="str">
        <f ca="1">IFERROR(__xludf.DUMMYFUNCTION("GOOGLEFINANCE(""NSE:""&amp;D3782,""EPS"")"),"#N/A")</f>
        <v>#N/A</v>
      </c>
      <c r="Q3782" s="7">
        <v>13.5</v>
      </c>
      <c r="R3782" s="7" t="str">
        <f ca="1">IFERROR(__xludf.DUMMYFUNCTION("IMPORTXML(E3782,""/html/body/main/div[3]/div[3]/div[2]/ul/li[7]/span[2]/span"")"),"Loading...")</f>
        <v>Loading...</v>
      </c>
      <c r="S3782" s="7" t="str">
        <f ca="1">IFERROR(__xludf.DUMMYFUNCTION("IMPORTXML(E3782,""/html/body/main/div[3]/div[3]/div[2]/ul/li[8]/span[2]/span"")"),"Loading...")</f>
        <v>Loading...</v>
      </c>
      <c r="T3782" s="4">
        <v>34.6</v>
      </c>
      <c r="U3782" s="4">
        <v>22.7</v>
      </c>
      <c r="V3782" s="4">
        <v>2.6</v>
      </c>
      <c r="W3782" s="4">
        <v>5.7</v>
      </c>
      <c r="X3782" s="4">
        <v>519.92999999999995</v>
      </c>
      <c r="Y3782" s="7" t="e">
        <f t="shared" ca="1" si="79"/>
        <v>#VALUE!</v>
      </c>
    </row>
    <row r="3783" spans="1:25" ht="15" x14ac:dyDescent="0.25">
      <c r="A3783" s="4">
        <v>3780</v>
      </c>
      <c r="C3783" s="41" t="s">
        <v>6141</v>
      </c>
      <c r="D3783" s="42"/>
      <c r="E3783" s="5" t="str">
        <f t="shared" si="75"/>
        <v>https://www.screener.in/company//consolidated/</v>
      </c>
      <c r="F3783" s="4">
        <v>443059</v>
      </c>
      <c r="G3783" s="4">
        <v>3832241897</v>
      </c>
      <c r="H3783" s="6" t="e">
        <f t="shared" ca="1" si="76"/>
        <v>#VALUE!</v>
      </c>
      <c r="I3783" s="7" t="str">
        <f ca="1">IFERROR(__xludf.DUMMYFUNCTION("IMPORTXML(E3783,""/html/body/main/div[3]/div[3]/div[2]/ul/li[5]/span[2]/span"")"),"Loading...")</f>
        <v>Loading...</v>
      </c>
      <c r="J3783" s="7" t="str">
        <f ca="1">IFERROR(__xludf.DUMMYFUNCTION("GOOGLEFINANCE(""NSE:""&amp;D3783,""marketcap"")"),"#N/A")</f>
        <v>#N/A</v>
      </c>
      <c r="K3783" s="7">
        <v>992.8</v>
      </c>
      <c r="L3783" s="8" t="str">
        <f ca="1">IFERROR(__xludf.DUMMYFUNCTION("GOOGLEFINANCE(""NSE:""&amp;D3783,""price"")"),"#N/A")</f>
        <v>#N/A</v>
      </c>
      <c r="M3783" s="9" t="e">
        <f t="shared" ca="1" si="77"/>
        <v>#VALUE!</v>
      </c>
      <c r="N3783" s="10" t="e">
        <f t="shared" ca="1" si="78"/>
        <v>#VALUE!</v>
      </c>
      <c r="O3783" s="7" t="str">
        <f ca="1">IFERROR(__xludf.DUMMYFUNCTION("GOOGLEFINANCE(""NSE:""&amp;D3783,""pe"")"),"#N/A")</f>
        <v>#N/A</v>
      </c>
      <c r="P3783" s="7" t="str">
        <f ca="1">IFERROR(__xludf.DUMMYFUNCTION("GOOGLEFINANCE(""NSE:""&amp;D3783,""EPS"")"),"#N/A")</f>
        <v>#N/A</v>
      </c>
      <c r="Q3783" s="7">
        <v>13.5</v>
      </c>
      <c r="R3783" s="7" t="str">
        <f ca="1">IFERROR(__xludf.DUMMYFUNCTION("IMPORTXML(E3783,""/html/body/main/div[3]/div[3]/div[2]/ul/li[7]/span[2]/span"")"),"Loading...")</f>
        <v>Loading...</v>
      </c>
      <c r="S3783" s="7" t="str">
        <f ca="1">IFERROR(__xludf.DUMMYFUNCTION("IMPORTXML(E3783,""/html/body/main/div[3]/div[3]/div[2]/ul/li[8]/span[2]/span"")"),"Loading...")</f>
        <v>Loading...</v>
      </c>
      <c r="T3783" s="4">
        <v>34.6</v>
      </c>
      <c r="U3783" s="4">
        <v>22.7</v>
      </c>
      <c r="V3783" s="4">
        <v>2.6</v>
      </c>
      <c r="W3783" s="4">
        <v>5.7</v>
      </c>
      <c r="X3783" s="4">
        <v>519.92999999999995</v>
      </c>
      <c r="Y3783" s="7" t="e">
        <f t="shared" ca="1" si="79"/>
        <v>#VALUE!</v>
      </c>
    </row>
    <row r="3784" spans="1:25" ht="15" x14ac:dyDescent="0.25">
      <c r="A3784" s="4">
        <v>3781</v>
      </c>
      <c r="C3784" s="41" t="s">
        <v>6142</v>
      </c>
      <c r="D3784" s="42"/>
      <c r="E3784" s="5" t="str">
        <f t="shared" si="75"/>
        <v>https://www.screener.in/company//consolidated/</v>
      </c>
      <c r="F3784" s="4">
        <v>443059</v>
      </c>
      <c r="G3784" s="4">
        <v>3832241897</v>
      </c>
      <c r="H3784" s="6" t="e">
        <f t="shared" ca="1" si="76"/>
        <v>#VALUE!</v>
      </c>
      <c r="I3784" s="7" t="str">
        <f ca="1">IFERROR(__xludf.DUMMYFUNCTION("IMPORTXML(E3784,""/html/body/main/div[3]/div[3]/div[2]/ul/li[5]/span[2]/span"")"),"Loading...")</f>
        <v>Loading...</v>
      </c>
      <c r="J3784" s="7" t="str">
        <f ca="1">IFERROR(__xludf.DUMMYFUNCTION("GOOGLEFINANCE(""NSE:""&amp;D3784,""marketcap"")"),"#N/A")</f>
        <v>#N/A</v>
      </c>
      <c r="K3784" s="7">
        <v>992.8</v>
      </c>
      <c r="L3784" s="8" t="str">
        <f ca="1">IFERROR(__xludf.DUMMYFUNCTION("GOOGLEFINANCE(""NSE:""&amp;D3784,""price"")"),"#N/A")</f>
        <v>#N/A</v>
      </c>
      <c r="M3784" s="9" t="e">
        <f t="shared" ca="1" si="77"/>
        <v>#VALUE!</v>
      </c>
      <c r="N3784" s="10" t="e">
        <f t="shared" ca="1" si="78"/>
        <v>#VALUE!</v>
      </c>
      <c r="O3784" s="7" t="str">
        <f ca="1">IFERROR(__xludf.DUMMYFUNCTION("GOOGLEFINANCE(""NSE:""&amp;D3784,""pe"")"),"#N/A")</f>
        <v>#N/A</v>
      </c>
      <c r="P3784" s="7" t="str">
        <f ca="1">IFERROR(__xludf.DUMMYFUNCTION("GOOGLEFINANCE(""NSE:""&amp;D3784,""EPS"")"),"#N/A")</f>
        <v>#N/A</v>
      </c>
      <c r="Q3784" s="7">
        <v>13.5</v>
      </c>
      <c r="R3784" s="7" t="str">
        <f ca="1">IFERROR(__xludf.DUMMYFUNCTION("IMPORTXML(E3784,""/html/body/main/div[3]/div[3]/div[2]/ul/li[7]/span[2]/span"")"),"Loading...")</f>
        <v>Loading...</v>
      </c>
      <c r="S3784" s="7" t="str">
        <f ca="1">IFERROR(__xludf.DUMMYFUNCTION("IMPORTXML(E3784,""/html/body/main/div[3]/div[3]/div[2]/ul/li[8]/span[2]/span"")"),"Loading...")</f>
        <v>Loading...</v>
      </c>
      <c r="T3784" s="4">
        <v>34.6</v>
      </c>
      <c r="U3784" s="4">
        <v>22.7</v>
      </c>
      <c r="V3784" s="4">
        <v>2.6</v>
      </c>
      <c r="W3784" s="4">
        <v>5.7</v>
      </c>
      <c r="X3784" s="4">
        <v>519.92999999999995</v>
      </c>
      <c r="Y3784" s="7" t="e">
        <f t="shared" ca="1" si="79"/>
        <v>#VALUE!</v>
      </c>
    </row>
    <row r="3785" spans="1:25" ht="15" x14ac:dyDescent="0.25">
      <c r="A3785" s="4">
        <v>3782</v>
      </c>
      <c r="C3785" s="41" t="s">
        <v>6143</v>
      </c>
      <c r="D3785" s="42"/>
      <c r="E3785" s="5" t="str">
        <f t="shared" si="75"/>
        <v>https://www.screener.in/company//consolidated/</v>
      </c>
      <c r="F3785" s="4">
        <v>443059</v>
      </c>
      <c r="G3785" s="4">
        <v>3832241897</v>
      </c>
      <c r="H3785" s="6" t="e">
        <f t="shared" ca="1" si="76"/>
        <v>#VALUE!</v>
      </c>
      <c r="I3785" s="7" t="str">
        <f ca="1">IFERROR(__xludf.DUMMYFUNCTION("IMPORTXML(E3785,""/html/body/main/div[3]/div[3]/div[2]/ul/li[5]/span[2]/span"")"),"Loading...")</f>
        <v>Loading...</v>
      </c>
      <c r="J3785" s="7" t="str">
        <f ca="1">IFERROR(__xludf.DUMMYFUNCTION("GOOGLEFINANCE(""NSE:""&amp;D3785,""marketcap"")"),"#N/A")</f>
        <v>#N/A</v>
      </c>
      <c r="K3785" s="7">
        <v>992.8</v>
      </c>
      <c r="L3785" s="8" t="str">
        <f ca="1">IFERROR(__xludf.DUMMYFUNCTION("GOOGLEFINANCE(""NSE:""&amp;D3785,""price"")"),"#N/A")</f>
        <v>#N/A</v>
      </c>
      <c r="M3785" s="9" t="e">
        <f t="shared" ca="1" si="77"/>
        <v>#VALUE!</v>
      </c>
      <c r="N3785" s="10" t="e">
        <f t="shared" ca="1" si="78"/>
        <v>#VALUE!</v>
      </c>
      <c r="O3785" s="7" t="str">
        <f ca="1">IFERROR(__xludf.DUMMYFUNCTION("GOOGLEFINANCE(""NSE:""&amp;D3785,""pe"")"),"#N/A")</f>
        <v>#N/A</v>
      </c>
      <c r="P3785" s="7" t="str">
        <f ca="1">IFERROR(__xludf.DUMMYFUNCTION("GOOGLEFINANCE(""NSE:""&amp;D3785,""EPS"")"),"#N/A")</f>
        <v>#N/A</v>
      </c>
      <c r="Q3785" s="7">
        <v>13.5</v>
      </c>
      <c r="R3785" s="7" t="str">
        <f ca="1">IFERROR(__xludf.DUMMYFUNCTION("IMPORTXML(E3785,""/html/body/main/div[3]/div[3]/div[2]/ul/li[7]/span[2]/span"")"),"Loading...")</f>
        <v>Loading...</v>
      </c>
      <c r="S3785" s="7" t="str">
        <f ca="1">IFERROR(__xludf.DUMMYFUNCTION("IMPORTXML(E3785,""/html/body/main/div[3]/div[3]/div[2]/ul/li[8]/span[2]/span"")"),"Loading...")</f>
        <v>Loading...</v>
      </c>
      <c r="T3785" s="4">
        <v>34.6</v>
      </c>
      <c r="U3785" s="4">
        <v>22.7</v>
      </c>
      <c r="V3785" s="4">
        <v>2.6</v>
      </c>
      <c r="W3785" s="4">
        <v>5.7</v>
      </c>
      <c r="X3785" s="4">
        <v>519.92999999999995</v>
      </c>
      <c r="Y3785" s="7" t="e">
        <f t="shared" ca="1" si="79"/>
        <v>#VALUE!</v>
      </c>
    </row>
    <row r="3786" spans="1:25" ht="15" x14ac:dyDescent="0.25">
      <c r="A3786" s="4">
        <v>3783</v>
      </c>
      <c r="C3786" s="41" t="s">
        <v>6144</v>
      </c>
      <c r="D3786" s="42"/>
      <c r="E3786" s="5" t="str">
        <f t="shared" si="75"/>
        <v>https://www.screener.in/company//consolidated/</v>
      </c>
      <c r="F3786" s="4">
        <v>443059</v>
      </c>
      <c r="G3786" s="4">
        <v>3832241897</v>
      </c>
      <c r="H3786" s="6" t="e">
        <f t="shared" ca="1" si="76"/>
        <v>#VALUE!</v>
      </c>
      <c r="I3786" s="7" t="str">
        <f ca="1">IFERROR(__xludf.DUMMYFUNCTION("IMPORTXML(E3786,""/html/body/main/div[3]/div[3]/div[2]/ul/li[5]/span[2]/span"")"),"Loading...")</f>
        <v>Loading...</v>
      </c>
      <c r="J3786" s="7" t="str">
        <f ca="1">IFERROR(__xludf.DUMMYFUNCTION("GOOGLEFINANCE(""NSE:""&amp;D3786,""marketcap"")"),"#N/A")</f>
        <v>#N/A</v>
      </c>
      <c r="K3786" s="7">
        <v>992.8</v>
      </c>
      <c r="L3786" s="8" t="str">
        <f ca="1">IFERROR(__xludf.DUMMYFUNCTION("GOOGLEFINANCE(""NSE:""&amp;D3786,""price"")"),"#N/A")</f>
        <v>#N/A</v>
      </c>
      <c r="M3786" s="9" t="e">
        <f t="shared" ca="1" si="77"/>
        <v>#VALUE!</v>
      </c>
      <c r="N3786" s="10" t="e">
        <f t="shared" ca="1" si="78"/>
        <v>#VALUE!</v>
      </c>
      <c r="O3786" s="7" t="str">
        <f ca="1">IFERROR(__xludf.DUMMYFUNCTION("GOOGLEFINANCE(""NSE:""&amp;D3786,""pe"")"),"#N/A")</f>
        <v>#N/A</v>
      </c>
      <c r="P3786" s="7" t="str">
        <f ca="1">IFERROR(__xludf.DUMMYFUNCTION("GOOGLEFINANCE(""NSE:""&amp;D3786,""EPS"")"),"#N/A")</f>
        <v>#N/A</v>
      </c>
      <c r="Q3786" s="7">
        <v>13.5</v>
      </c>
      <c r="R3786" s="7" t="str">
        <f ca="1">IFERROR(__xludf.DUMMYFUNCTION("IMPORTXML(E3786,""/html/body/main/div[3]/div[3]/div[2]/ul/li[7]/span[2]/span"")"),"Loading...")</f>
        <v>Loading...</v>
      </c>
      <c r="S3786" s="7" t="str">
        <f ca="1">IFERROR(__xludf.DUMMYFUNCTION("IMPORTXML(E3786,""/html/body/main/div[3]/div[3]/div[2]/ul/li[8]/span[2]/span"")"),"Loading...")</f>
        <v>Loading...</v>
      </c>
      <c r="T3786" s="4">
        <v>34.6</v>
      </c>
      <c r="U3786" s="4">
        <v>22.7</v>
      </c>
      <c r="V3786" s="4">
        <v>2.6</v>
      </c>
      <c r="W3786" s="4">
        <v>5.7</v>
      </c>
      <c r="X3786" s="4">
        <v>519.92999999999995</v>
      </c>
      <c r="Y3786" s="7" t="e">
        <f t="shared" ca="1" si="79"/>
        <v>#VALUE!</v>
      </c>
    </row>
    <row r="3787" spans="1:25" ht="15" x14ac:dyDescent="0.25">
      <c r="A3787" s="4">
        <v>3784</v>
      </c>
      <c r="C3787" s="41" t="s">
        <v>6145</v>
      </c>
      <c r="D3787" s="42"/>
      <c r="E3787" s="5" t="str">
        <f t="shared" si="75"/>
        <v>https://www.screener.in/company//consolidated/</v>
      </c>
      <c r="F3787" s="4">
        <v>443059</v>
      </c>
      <c r="G3787" s="4">
        <v>3832241897</v>
      </c>
      <c r="H3787" s="6" t="e">
        <f t="shared" ca="1" si="76"/>
        <v>#VALUE!</v>
      </c>
      <c r="I3787" s="7" t="str">
        <f ca="1">IFERROR(__xludf.DUMMYFUNCTION("IMPORTXML(E3787,""/html/body/main/div[3]/div[3]/div[2]/ul/li[5]/span[2]/span"")"),"Loading...")</f>
        <v>Loading...</v>
      </c>
      <c r="J3787" s="7" t="str">
        <f ca="1">IFERROR(__xludf.DUMMYFUNCTION("GOOGLEFINANCE(""NSE:""&amp;D3787,""marketcap"")"),"#N/A")</f>
        <v>#N/A</v>
      </c>
      <c r="K3787" s="7">
        <v>992.8</v>
      </c>
      <c r="L3787" s="8" t="str">
        <f ca="1">IFERROR(__xludf.DUMMYFUNCTION("GOOGLEFINANCE(""NSE:""&amp;D3787,""price"")"),"#N/A")</f>
        <v>#N/A</v>
      </c>
      <c r="M3787" s="9" t="e">
        <f t="shared" ca="1" si="77"/>
        <v>#VALUE!</v>
      </c>
      <c r="N3787" s="10" t="e">
        <f t="shared" ca="1" si="78"/>
        <v>#VALUE!</v>
      </c>
      <c r="O3787" s="7" t="str">
        <f ca="1">IFERROR(__xludf.DUMMYFUNCTION("GOOGLEFINANCE(""NSE:""&amp;D3787,""pe"")"),"#N/A")</f>
        <v>#N/A</v>
      </c>
      <c r="P3787" s="7" t="str">
        <f ca="1">IFERROR(__xludf.DUMMYFUNCTION("GOOGLEFINANCE(""NSE:""&amp;D3787,""EPS"")"),"#N/A")</f>
        <v>#N/A</v>
      </c>
      <c r="Q3787" s="7">
        <v>13.5</v>
      </c>
      <c r="R3787" s="7" t="str">
        <f ca="1">IFERROR(__xludf.DUMMYFUNCTION("IMPORTXML(E3787,""/html/body/main/div[3]/div[3]/div[2]/ul/li[7]/span[2]/span"")"),"Loading...")</f>
        <v>Loading...</v>
      </c>
      <c r="S3787" s="7" t="str">
        <f ca="1">IFERROR(__xludf.DUMMYFUNCTION("IMPORTXML(E3787,""/html/body/main/div[3]/div[3]/div[2]/ul/li[8]/span[2]/span"")"),"Loading...")</f>
        <v>Loading...</v>
      </c>
      <c r="T3787" s="4">
        <v>34.6</v>
      </c>
      <c r="U3787" s="4">
        <v>22.7</v>
      </c>
      <c r="V3787" s="4">
        <v>2.6</v>
      </c>
      <c r="W3787" s="4">
        <v>5.7</v>
      </c>
      <c r="X3787" s="4">
        <v>519.92999999999995</v>
      </c>
      <c r="Y3787" s="7" t="e">
        <f t="shared" ca="1" si="79"/>
        <v>#VALUE!</v>
      </c>
    </row>
    <row r="3788" spans="1:25" ht="15" x14ac:dyDescent="0.25">
      <c r="A3788" s="4">
        <v>3785</v>
      </c>
      <c r="C3788" s="41" t="s">
        <v>6146</v>
      </c>
      <c r="D3788" s="42"/>
      <c r="E3788" s="5" t="str">
        <f t="shared" si="75"/>
        <v>https://www.screener.in/company//consolidated/</v>
      </c>
      <c r="F3788" s="4">
        <v>443059</v>
      </c>
      <c r="G3788" s="4">
        <v>3832241897</v>
      </c>
      <c r="H3788" s="6" t="e">
        <f t="shared" ca="1" si="76"/>
        <v>#VALUE!</v>
      </c>
      <c r="I3788" s="7" t="str">
        <f ca="1">IFERROR(__xludf.DUMMYFUNCTION("IMPORTXML(E3788,""/html/body/main/div[3]/div[3]/div[2]/ul/li[5]/span[2]/span"")"),"Loading...")</f>
        <v>Loading...</v>
      </c>
      <c r="J3788" s="7" t="str">
        <f ca="1">IFERROR(__xludf.DUMMYFUNCTION("GOOGLEFINANCE(""NSE:""&amp;D3788,""marketcap"")"),"#N/A")</f>
        <v>#N/A</v>
      </c>
      <c r="K3788" s="7">
        <v>992.8</v>
      </c>
      <c r="L3788" s="8" t="str">
        <f ca="1">IFERROR(__xludf.DUMMYFUNCTION("GOOGLEFINANCE(""NSE:""&amp;D3788,""price"")"),"#N/A")</f>
        <v>#N/A</v>
      </c>
      <c r="M3788" s="9" t="e">
        <f t="shared" ca="1" si="77"/>
        <v>#VALUE!</v>
      </c>
      <c r="N3788" s="10" t="e">
        <f t="shared" ca="1" si="78"/>
        <v>#VALUE!</v>
      </c>
      <c r="O3788" s="7" t="str">
        <f ca="1">IFERROR(__xludf.DUMMYFUNCTION("GOOGLEFINANCE(""NSE:""&amp;D3788,""pe"")"),"#N/A")</f>
        <v>#N/A</v>
      </c>
      <c r="P3788" s="7" t="str">
        <f ca="1">IFERROR(__xludf.DUMMYFUNCTION("GOOGLEFINANCE(""NSE:""&amp;D3788,""EPS"")"),"#N/A")</f>
        <v>#N/A</v>
      </c>
      <c r="Q3788" s="7">
        <v>13.5</v>
      </c>
      <c r="R3788" s="7" t="str">
        <f ca="1">IFERROR(__xludf.DUMMYFUNCTION("IMPORTXML(E3788,""/html/body/main/div[3]/div[3]/div[2]/ul/li[7]/span[2]/span"")"),"Loading...")</f>
        <v>Loading...</v>
      </c>
      <c r="S3788" s="7" t="str">
        <f ca="1">IFERROR(__xludf.DUMMYFUNCTION("IMPORTXML(E3788,""/html/body/main/div[3]/div[3]/div[2]/ul/li[8]/span[2]/span"")"),"Loading...")</f>
        <v>Loading...</v>
      </c>
      <c r="T3788" s="4">
        <v>34.6</v>
      </c>
      <c r="U3788" s="4">
        <v>22.7</v>
      </c>
      <c r="V3788" s="4">
        <v>2.6</v>
      </c>
      <c r="W3788" s="4">
        <v>5.7</v>
      </c>
      <c r="X3788" s="4">
        <v>519.92999999999995</v>
      </c>
      <c r="Y3788" s="7" t="e">
        <f t="shared" ca="1" si="79"/>
        <v>#VALUE!</v>
      </c>
    </row>
    <row r="3789" spans="1:25" ht="15" x14ac:dyDescent="0.25">
      <c r="A3789" s="4">
        <v>3786</v>
      </c>
      <c r="C3789" s="41" t="s">
        <v>6147</v>
      </c>
      <c r="D3789" s="42"/>
      <c r="E3789" s="5" t="str">
        <f t="shared" si="75"/>
        <v>https://www.screener.in/company//consolidated/</v>
      </c>
      <c r="F3789" s="4">
        <v>443059</v>
      </c>
      <c r="G3789" s="4">
        <v>3832241897</v>
      </c>
      <c r="H3789" s="6" t="e">
        <f t="shared" ca="1" si="76"/>
        <v>#VALUE!</v>
      </c>
      <c r="I3789" s="7" t="str">
        <f ca="1">IFERROR(__xludf.DUMMYFUNCTION("IMPORTXML(E3789,""/html/body/main/div[3]/div[3]/div[2]/ul/li[5]/span[2]/span"")"),"Loading...")</f>
        <v>Loading...</v>
      </c>
      <c r="J3789" s="7" t="str">
        <f ca="1">IFERROR(__xludf.DUMMYFUNCTION("GOOGLEFINANCE(""NSE:""&amp;D3789,""marketcap"")"),"#N/A")</f>
        <v>#N/A</v>
      </c>
      <c r="K3789" s="7">
        <v>992.8</v>
      </c>
      <c r="L3789" s="8" t="str">
        <f ca="1">IFERROR(__xludf.DUMMYFUNCTION("GOOGLEFINANCE(""NSE:""&amp;D3789,""price"")"),"#N/A")</f>
        <v>#N/A</v>
      </c>
      <c r="M3789" s="9" t="e">
        <f t="shared" ca="1" si="77"/>
        <v>#VALUE!</v>
      </c>
      <c r="N3789" s="10" t="e">
        <f t="shared" ca="1" si="78"/>
        <v>#VALUE!</v>
      </c>
      <c r="O3789" s="7" t="str">
        <f ca="1">IFERROR(__xludf.DUMMYFUNCTION("GOOGLEFINANCE(""NSE:""&amp;D3789,""pe"")"),"#N/A")</f>
        <v>#N/A</v>
      </c>
      <c r="P3789" s="7" t="str">
        <f ca="1">IFERROR(__xludf.DUMMYFUNCTION("GOOGLEFINANCE(""NSE:""&amp;D3789,""EPS"")"),"#N/A")</f>
        <v>#N/A</v>
      </c>
      <c r="Q3789" s="7">
        <v>13.5</v>
      </c>
      <c r="R3789" s="7" t="str">
        <f ca="1">IFERROR(__xludf.DUMMYFUNCTION("IMPORTXML(E3789,""/html/body/main/div[3]/div[3]/div[2]/ul/li[7]/span[2]/span"")"),"Loading...")</f>
        <v>Loading...</v>
      </c>
      <c r="S3789" s="7" t="str">
        <f ca="1">IFERROR(__xludf.DUMMYFUNCTION("IMPORTXML(E3789,""/html/body/main/div[3]/div[3]/div[2]/ul/li[8]/span[2]/span"")"),"Loading...")</f>
        <v>Loading...</v>
      </c>
      <c r="T3789" s="4">
        <v>34.6</v>
      </c>
      <c r="U3789" s="4">
        <v>22.7</v>
      </c>
      <c r="V3789" s="4">
        <v>2.6</v>
      </c>
      <c r="W3789" s="4">
        <v>5.7</v>
      </c>
      <c r="X3789" s="4">
        <v>519.92999999999995</v>
      </c>
      <c r="Y3789" s="7" t="e">
        <f t="shared" ca="1" si="79"/>
        <v>#VALUE!</v>
      </c>
    </row>
    <row r="3790" spans="1:25" ht="15" x14ac:dyDescent="0.25">
      <c r="A3790" s="4">
        <v>3787</v>
      </c>
      <c r="C3790" s="41" t="s">
        <v>6148</v>
      </c>
      <c r="D3790" s="42"/>
      <c r="E3790" s="5" t="str">
        <f t="shared" si="75"/>
        <v>https://www.screener.in/company//consolidated/</v>
      </c>
      <c r="F3790" s="4">
        <v>443059</v>
      </c>
      <c r="G3790" s="4">
        <v>3832241897</v>
      </c>
      <c r="H3790" s="6" t="e">
        <f t="shared" ca="1" si="76"/>
        <v>#VALUE!</v>
      </c>
      <c r="I3790" s="7" t="str">
        <f ca="1">IFERROR(__xludf.DUMMYFUNCTION("IMPORTXML(E3790,""/html/body/main/div[3]/div[3]/div[2]/ul/li[5]/span[2]/span"")"),"Loading...")</f>
        <v>Loading...</v>
      </c>
      <c r="J3790" s="7" t="str">
        <f ca="1">IFERROR(__xludf.DUMMYFUNCTION("GOOGLEFINANCE(""NSE:""&amp;D3790,""marketcap"")"),"#N/A")</f>
        <v>#N/A</v>
      </c>
      <c r="K3790" s="7">
        <v>992.8</v>
      </c>
      <c r="L3790" s="8" t="str">
        <f ca="1">IFERROR(__xludf.DUMMYFUNCTION("GOOGLEFINANCE(""NSE:""&amp;D3790,""price"")"),"#N/A")</f>
        <v>#N/A</v>
      </c>
      <c r="M3790" s="9" t="e">
        <f t="shared" ca="1" si="77"/>
        <v>#VALUE!</v>
      </c>
      <c r="N3790" s="10" t="e">
        <f t="shared" ca="1" si="78"/>
        <v>#VALUE!</v>
      </c>
      <c r="O3790" s="7" t="str">
        <f ca="1">IFERROR(__xludf.DUMMYFUNCTION("GOOGLEFINANCE(""NSE:""&amp;D3790,""pe"")"),"#N/A")</f>
        <v>#N/A</v>
      </c>
      <c r="P3790" s="7" t="str">
        <f ca="1">IFERROR(__xludf.DUMMYFUNCTION("GOOGLEFINANCE(""NSE:""&amp;D3790,""EPS"")"),"#N/A")</f>
        <v>#N/A</v>
      </c>
      <c r="Q3790" s="7">
        <v>13.5</v>
      </c>
      <c r="R3790" s="7" t="str">
        <f ca="1">IFERROR(__xludf.DUMMYFUNCTION("IMPORTXML(E3790,""/html/body/main/div[3]/div[3]/div[2]/ul/li[7]/span[2]/span"")"),"Loading...")</f>
        <v>Loading...</v>
      </c>
      <c r="S3790" s="7" t="str">
        <f ca="1">IFERROR(__xludf.DUMMYFUNCTION("IMPORTXML(E3790,""/html/body/main/div[3]/div[3]/div[2]/ul/li[8]/span[2]/span"")"),"Loading...")</f>
        <v>Loading...</v>
      </c>
      <c r="T3790" s="4">
        <v>34.6</v>
      </c>
      <c r="U3790" s="4">
        <v>22.7</v>
      </c>
      <c r="V3790" s="4">
        <v>2.6</v>
      </c>
      <c r="W3790" s="4">
        <v>5.7</v>
      </c>
      <c r="X3790" s="4">
        <v>519.92999999999995</v>
      </c>
      <c r="Y3790" s="7" t="e">
        <f t="shared" ca="1" si="79"/>
        <v>#VALUE!</v>
      </c>
    </row>
    <row r="3791" spans="1:25" ht="15" x14ac:dyDescent="0.25">
      <c r="A3791" s="4">
        <v>3788</v>
      </c>
      <c r="C3791" s="41" t="s">
        <v>6149</v>
      </c>
      <c r="D3791" s="42"/>
      <c r="E3791" s="5" t="str">
        <f t="shared" si="75"/>
        <v>https://www.screener.in/company//consolidated/</v>
      </c>
      <c r="F3791" s="4">
        <v>443059</v>
      </c>
      <c r="G3791" s="4">
        <v>3832241897</v>
      </c>
      <c r="H3791" s="6" t="e">
        <f t="shared" ca="1" si="76"/>
        <v>#VALUE!</v>
      </c>
      <c r="I3791" s="7" t="str">
        <f ca="1">IFERROR(__xludf.DUMMYFUNCTION("IMPORTXML(E3791,""/html/body/main/div[3]/div[3]/div[2]/ul/li[5]/span[2]/span"")"),"Loading...")</f>
        <v>Loading...</v>
      </c>
      <c r="J3791" s="7" t="str">
        <f ca="1">IFERROR(__xludf.DUMMYFUNCTION("GOOGLEFINANCE(""NSE:""&amp;D3791,""marketcap"")"),"#N/A")</f>
        <v>#N/A</v>
      </c>
      <c r="K3791" s="7">
        <v>992.8</v>
      </c>
      <c r="L3791" s="8" t="str">
        <f ca="1">IFERROR(__xludf.DUMMYFUNCTION("GOOGLEFINANCE(""NSE:""&amp;D3791,""price"")"),"#N/A")</f>
        <v>#N/A</v>
      </c>
      <c r="M3791" s="9" t="e">
        <f t="shared" ca="1" si="77"/>
        <v>#VALUE!</v>
      </c>
      <c r="N3791" s="10" t="e">
        <f t="shared" ca="1" si="78"/>
        <v>#VALUE!</v>
      </c>
      <c r="O3791" s="7" t="str">
        <f ca="1">IFERROR(__xludf.DUMMYFUNCTION("GOOGLEFINANCE(""NSE:""&amp;D3791,""pe"")"),"#N/A")</f>
        <v>#N/A</v>
      </c>
      <c r="P3791" s="7" t="str">
        <f ca="1">IFERROR(__xludf.DUMMYFUNCTION("GOOGLEFINANCE(""NSE:""&amp;D3791,""EPS"")"),"#N/A")</f>
        <v>#N/A</v>
      </c>
      <c r="Q3791" s="7">
        <v>13.5</v>
      </c>
      <c r="R3791" s="7" t="str">
        <f ca="1">IFERROR(__xludf.DUMMYFUNCTION("IMPORTXML(E3791,""/html/body/main/div[3]/div[3]/div[2]/ul/li[7]/span[2]/span"")"),"Loading...")</f>
        <v>Loading...</v>
      </c>
      <c r="S3791" s="7" t="str">
        <f ca="1">IFERROR(__xludf.DUMMYFUNCTION("IMPORTXML(E3791,""/html/body/main/div[3]/div[3]/div[2]/ul/li[8]/span[2]/span"")"),"Loading...")</f>
        <v>Loading...</v>
      </c>
      <c r="T3791" s="4">
        <v>34.6</v>
      </c>
      <c r="U3791" s="4">
        <v>22.7</v>
      </c>
      <c r="V3791" s="4">
        <v>2.6</v>
      </c>
      <c r="W3791" s="4">
        <v>5.7</v>
      </c>
      <c r="X3791" s="4">
        <v>519.92999999999995</v>
      </c>
      <c r="Y3791" s="7" t="e">
        <f t="shared" ca="1" si="79"/>
        <v>#VALUE!</v>
      </c>
    </row>
    <row r="3792" spans="1:25" ht="15" x14ac:dyDescent="0.25">
      <c r="A3792" s="4">
        <v>3789</v>
      </c>
      <c r="C3792" s="41" t="s">
        <v>6150</v>
      </c>
      <c r="D3792" s="42"/>
      <c r="E3792" s="5" t="str">
        <f t="shared" si="75"/>
        <v>https://www.screener.in/company//consolidated/</v>
      </c>
      <c r="F3792" s="4">
        <v>443059</v>
      </c>
      <c r="G3792" s="4">
        <v>3832241897</v>
      </c>
      <c r="H3792" s="6" t="e">
        <f t="shared" ca="1" si="76"/>
        <v>#VALUE!</v>
      </c>
      <c r="I3792" s="7" t="str">
        <f ca="1">IFERROR(__xludf.DUMMYFUNCTION("IMPORTXML(E3792,""/html/body/main/div[3]/div[3]/div[2]/ul/li[5]/span[2]/span"")"),"Loading...")</f>
        <v>Loading...</v>
      </c>
      <c r="J3792" s="7" t="str">
        <f ca="1">IFERROR(__xludf.DUMMYFUNCTION("GOOGLEFINANCE(""NSE:""&amp;D3792,""marketcap"")"),"#N/A")</f>
        <v>#N/A</v>
      </c>
      <c r="K3792" s="7">
        <v>992.8</v>
      </c>
      <c r="L3792" s="8" t="str">
        <f ca="1">IFERROR(__xludf.DUMMYFUNCTION("GOOGLEFINANCE(""NSE:""&amp;D3792,""price"")"),"#N/A")</f>
        <v>#N/A</v>
      </c>
      <c r="M3792" s="9" t="e">
        <f t="shared" ca="1" si="77"/>
        <v>#VALUE!</v>
      </c>
      <c r="N3792" s="10" t="e">
        <f t="shared" ca="1" si="78"/>
        <v>#VALUE!</v>
      </c>
      <c r="O3792" s="7" t="str">
        <f ca="1">IFERROR(__xludf.DUMMYFUNCTION("GOOGLEFINANCE(""NSE:""&amp;D3792,""pe"")"),"#N/A")</f>
        <v>#N/A</v>
      </c>
      <c r="P3792" s="7" t="str">
        <f ca="1">IFERROR(__xludf.DUMMYFUNCTION("GOOGLEFINANCE(""NSE:""&amp;D3792,""EPS"")"),"#N/A")</f>
        <v>#N/A</v>
      </c>
      <c r="Q3792" s="7">
        <v>13.5</v>
      </c>
      <c r="R3792" s="7" t="str">
        <f ca="1">IFERROR(__xludf.DUMMYFUNCTION("IMPORTXML(E3792,""/html/body/main/div[3]/div[3]/div[2]/ul/li[7]/span[2]/span"")"),"Loading...")</f>
        <v>Loading...</v>
      </c>
      <c r="S3792" s="7" t="str">
        <f ca="1">IFERROR(__xludf.DUMMYFUNCTION("IMPORTXML(E3792,""/html/body/main/div[3]/div[3]/div[2]/ul/li[8]/span[2]/span"")"),"Loading...")</f>
        <v>Loading...</v>
      </c>
      <c r="T3792" s="4">
        <v>34.6</v>
      </c>
      <c r="U3792" s="4">
        <v>22.7</v>
      </c>
      <c r="V3792" s="4">
        <v>2.6</v>
      </c>
      <c r="W3792" s="4">
        <v>5.7</v>
      </c>
      <c r="X3792" s="4">
        <v>519.92999999999995</v>
      </c>
      <c r="Y3792" s="7" t="e">
        <f t="shared" ca="1" si="79"/>
        <v>#VALUE!</v>
      </c>
    </row>
    <row r="3793" spans="1:25" ht="15" x14ac:dyDescent="0.25">
      <c r="A3793" s="4">
        <v>3790</v>
      </c>
      <c r="C3793" s="41" t="s">
        <v>6151</v>
      </c>
      <c r="D3793" s="42"/>
      <c r="E3793" s="5" t="str">
        <f t="shared" si="75"/>
        <v>https://www.screener.in/company//consolidated/</v>
      </c>
      <c r="F3793" s="4">
        <v>443059</v>
      </c>
      <c r="G3793" s="4">
        <v>3832241897</v>
      </c>
      <c r="H3793" s="6" t="e">
        <f t="shared" ca="1" si="76"/>
        <v>#VALUE!</v>
      </c>
      <c r="I3793" s="7" t="str">
        <f ca="1">IFERROR(__xludf.DUMMYFUNCTION("IMPORTXML(E3793,""/html/body/main/div[3]/div[3]/div[2]/ul/li[5]/span[2]/span"")"),"Loading...")</f>
        <v>Loading...</v>
      </c>
      <c r="J3793" s="7" t="str">
        <f ca="1">IFERROR(__xludf.DUMMYFUNCTION("GOOGLEFINANCE(""NSE:""&amp;D3793,""marketcap"")"),"#N/A")</f>
        <v>#N/A</v>
      </c>
      <c r="K3793" s="7">
        <v>992.8</v>
      </c>
      <c r="L3793" s="8" t="str">
        <f ca="1">IFERROR(__xludf.DUMMYFUNCTION("GOOGLEFINANCE(""NSE:""&amp;D3793,""price"")"),"#N/A")</f>
        <v>#N/A</v>
      </c>
      <c r="M3793" s="9" t="e">
        <f t="shared" ca="1" si="77"/>
        <v>#VALUE!</v>
      </c>
      <c r="N3793" s="10" t="e">
        <f t="shared" ca="1" si="78"/>
        <v>#VALUE!</v>
      </c>
      <c r="O3793" s="7" t="str">
        <f ca="1">IFERROR(__xludf.DUMMYFUNCTION("GOOGLEFINANCE(""NSE:""&amp;D3793,""pe"")"),"#N/A")</f>
        <v>#N/A</v>
      </c>
      <c r="P3793" s="7" t="str">
        <f ca="1">IFERROR(__xludf.DUMMYFUNCTION("GOOGLEFINANCE(""NSE:""&amp;D3793,""EPS"")"),"#N/A")</f>
        <v>#N/A</v>
      </c>
      <c r="Q3793" s="7">
        <v>13.5</v>
      </c>
      <c r="R3793" s="7" t="str">
        <f ca="1">IFERROR(__xludf.DUMMYFUNCTION("IMPORTXML(E3793,""/html/body/main/div[3]/div[3]/div[2]/ul/li[7]/span[2]/span"")"),"Loading...")</f>
        <v>Loading...</v>
      </c>
      <c r="S3793" s="7" t="str">
        <f ca="1">IFERROR(__xludf.DUMMYFUNCTION("IMPORTXML(E3793,""/html/body/main/div[3]/div[3]/div[2]/ul/li[8]/span[2]/span"")"),"Loading...")</f>
        <v>Loading...</v>
      </c>
      <c r="T3793" s="4">
        <v>34.6</v>
      </c>
      <c r="U3793" s="4">
        <v>22.7</v>
      </c>
      <c r="V3793" s="4">
        <v>2.6</v>
      </c>
      <c r="W3793" s="4">
        <v>5.7</v>
      </c>
      <c r="X3793" s="4">
        <v>519.92999999999995</v>
      </c>
      <c r="Y3793" s="7" t="e">
        <f t="shared" ca="1" si="79"/>
        <v>#VALUE!</v>
      </c>
    </row>
    <row r="3794" spans="1:25" ht="15" x14ac:dyDescent="0.25">
      <c r="A3794" s="4">
        <v>3791</v>
      </c>
      <c r="C3794" s="41" t="s">
        <v>6152</v>
      </c>
      <c r="D3794" s="42"/>
      <c r="E3794" s="5" t="str">
        <f t="shared" si="75"/>
        <v>https://www.screener.in/company//consolidated/</v>
      </c>
      <c r="F3794" s="4">
        <v>443059</v>
      </c>
      <c r="G3794" s="4">
        <v>3832241897</v>
      </c>
      <c r="H3794" s="6" t="e">
        <f t="shared" ca="1" si="76"/>
        <v>#VALUE!</v>
      </c>
      <c r="I3794" s="7" t="str">
        <f ca="1">IFERROR(__xludf.DUMMYFUNCTION("IMPORTXML(E3794,""/html/body/main/div[3]/div[3]/div[2]/ul/li[5]/span[2]/span"")"),"Loading...")</f>
        <v>Loading...</v>
      </c>
      <c r="J3794" s="7" t="str">
        <f ca="1">IFERROR(__xludf.DUMMYFUNCTION("GOOGLEFINANCE(""NSE:""&amp;D3794,""marketcap"")"),"#N/A")</f>
        <v>#N/A</v>
      </c>
      <c r="K3794" s="7">
        <v>992.8</v>
      </c>
      <c r="L3794" s="8" t="str">
        <f ca="1">IFERROR(__xludf.DUMMYFUNCTION("GOOGLEFINANCE(""NSE:""&amp;D3794,""price"")"),"#N/A")</f>
        <v>#N/A</v>
      </c>
      <c r="M3794" s="9" t="e">
        <f t="shared" ca="1" si="77"/>
        <v>#VALUE!</v>
      </c>
      <c r="N3794" s="10" t="e">
        <f t="shared" ca="1" si="78"/>
        <v>#VALUE!</v>
      </c>
      <c r="O3794" s="7" t="str">
        <f ca="1">IFERROR(__xludf.DUMMYFUNCTION("GOOGLEFINANCE(""NSE:""&amp;D3794,""pe"")"),"#N/A")</f>
        <v>#N/A</v>
      </c>
      <c r="P3794" s="7" t="str">
        <f ca="1">IFERROR(__xludf.DUMMYFUNCTION("GOOGLEFINANCE(""NSE:""&amp;D3794,""EPS"")"),"#N/A")</f>
        <v>#N/A</v>
      </c>
      <c r="Q3794" s="7">
        <v>13.5</v>
      </c>
      <c r="R3794" s="7" t="str">
        <f ca="1">IFERROR(__xludf.DUMMYFUNCTION("IMPORTXML(E3794,""/html/body/main/div[3]/div[3]/div[2]/ul/li[7]/span[2]/span"")"),"Loading...")</f>
        <v>Loading...</v>
      </c>
      <c r="S3794" s="7" t="str">
        <f ca="1">IFERROR(__xludf.DUMMYFUNCTION("IMPORTXML(E3794,""/html/body/main/div[3]/div[3]/div[2]/ul/li[8]/span[2]/span"")"),"Loading...")</f>
        <v>Loading...</v>
      </c>
      <c r="T3794" s="4">
        <v>34.6</v>
      </c>
      <c r="U3794" s="4">
        <v>22.7</v>
      </c>
      <c r="V3794" s="4">
        <v>2.6</v>
      </c>
      <c r="W3794" s="4">
        <v>5.7</v>
      </c>
      <c r="X3794" s="4">
        <v>519.92999999999995</v>
      </c>
      <c r="Y3794" s="7" t="e">
        <f t="shared" ca="1" si="79"/>
        <v>#VALUE!</v>
      </c>
    </row>
    <row r="3795" spans="1:25" ht="15" x14ac:dyDescent="0.25">
      <c r="A3795" s="4">
        <v>3792</v>
      </c>
      <c r="C3795" s="41" t="s">
        <v>6153</v>
      </c>
      <c r="D3795" s="42"/>
      <c r="E3795" s="5" t="str">
        <f t="shared" si="75"/>
        <v>https://www.screener.in/company//consolidated/</v>
      </c>
      <c r="F3795" s="4">
        <v>443059</v>
      </c>
      <c r="G3795" s="4">
        <v>3832241897</v>
      </c>
      <c r="H3795" s="6" t="e">
        <f t="shared" ca="1" si="76"/>
        <v>#VALUE!</v>
      </c>
      <c r="I3795" s="7" t="str">
        <f ca="1">IFERROR(__xludf.DUMMYFUNCTION("IMPORTXML(E3795,""/html/body/main/div[3]/div[3]/div[2]/ul/li[5]/span[2]/span"")"),"Loading...")</f>
        <v>Loading...</v>
      </c>
      <c r="J3795" s="7" t="str">
        <f ca="1">IFERROR(__xludf.DUMMYFUNCTION("GOOGLEFINANCE(""NSE:""&amp;D3795,""marketcap"")"),"#N/A")</f>
        <v>#N/A</v>
      </c>
      <c r="K3795" s="7">
        <v>992.8</v>
      </c>
      <c r="L3795" s="8" t="str">
        <f ca="1">IFERROR(__xludf.DUMMYFUNCTION("GOOGLEFINANCE(""NSE:""&amp;D3795,""price"")"),"#N/A")</f>
        <v>#N/A</v>
      </c>
      <c r="M3795" s="9" t="e">
        <f t="shared" ca="1" si="77"/>
        <v>#VALUE!</v>
      </c>
      <c r="N3795" s="10" t="e">
        <f t="shared" ca="1" si="78"/>
        <v>#VALUE!</v>
      </c>
      <c r="O3795" s="7" t="str">
        <f ca="1">IFERROR(__xludf.DUMMYFUNCTION("GOOGLEFINANCE(""NSE:""&amp;D3795,""pe"")"),"#N/A")</f>
        <v>#N/A</v>
      </c>
      <c r="P3795" s="7" t="str">
        <f ca="1">IFERROR(__xludf.DUMMYFUNCTION("GOOGLEFINANCE(""NSE:""&amp;D3795,""EPS"")"),"#N/A")</f>
        <v>#N/A</v>
      </c>
      <c r="Q3795" s="7">
        <v>13.5</v>
      </c>
      <c r="R3795" s="7" t="str">
        <f ca="1">IFERROR(__xludf.DUMMYFUNCTION("IMPORTXML(E3795,""/html/body/main/div[3]/div[3]/div[2]/ul/li[7]/span[2]/span"")"),"Loading...")</f>
        <v>Loading...</v>
      </c>
      <c r="S3795" s="7" t="str">
        <f ca="1">IFERROR(__xludf.DUMMYFUNCTION("IMPORTXML(E3795,""/html/body/main/div[3]/div[3]/div[2]/ul/li[8]/span[2]/span"")"),"Loading...")</f>
        <v>Loading...</v>
      </c>
      <c r="T3795" s="4">
        <v>34.6</v>
      </c>
      <c r="U3795" s="4">
        <v>22.7</v>
      </c>
      <c r="V3795" s="4">
        <v>2.6</v>
      </c>
      <c r="W3795" s="4">
        <v>5.7</v>
      </c>
      <c r="X3795" s="4">
        <v>519.92999999999995</v>
      </c>
      <c r="Y3795" s="7" t="e">
        <f t="shared" ca="1" si="79"/>
        <v>#VALUE!</v>
      </c>
    </row>
    <row r="3796" spans="1:25" ht="15" x14ac:dyDescent="0.25">
      <c r="A3796" s="4">
        <v>3793</v>
      </c>
      <c r="C3796" s="41" t="s">
        <v>6154</v>
      </c>
      <c r="D3796" s="42"/>
      <c r="E3796" s="5" t="str">
        <f t="shared" si="75"/>
        <v>https://www.screener.in/company//consolidated/</v>
      </c>
      <c r="F3796" s="4">
        <v>443059</v>
      </c>
      <c r="G3796" s="4">
        <v>3832241897</v>
      </c>
      <c r="H3796" s="6" t="e">
        <f t="shared" ca="1" si="76"/>
        <v>#VALUE!</v>
      </c>
      <c r="I3796" s="7" t="str">
        <f ca="1">IFERROR(__xludf.DUMMYFUNCTION("IMPORTXML(E3796,""/html/body/main/div[3]/div[3]/div[2]/ul/li[5]/span[2]/span"")"),"Loading...")</f>
        <v>Loading...</v>
      </c>
      <c r="J3796" s="7" t="str">
        <f ca="1">IFERROR(__xludf.DUMMYFUNCTION("GOOGLEFINANCE(""NSE:""&amp;D3796,""marketcap"")"),"#N/A")</f>
        <v>#N/A</v>
      </c>
      <c r="K3796" s="7">
        <v>992.8</v>
      </c>
      <c r="L3796" s="8" t="str">
        <f ca="1">IFERROR(__xludf.DUMMYFUNCTION("GOOGLEFINANCE(""NSE:""&amp;D3796,""price"")"),"#N/A")</f>
        <v>#N/A</v>
      </c>
      <c r="M3796" s="9" t="e">
        <f t="shared" ca="1" si="77"/>
        <v>#VALUE!</v>
      </c>
      <c r="N3796" s="10" t="e">
        <f t="shared" ca="1" si="78"/>
        <v>#VALUE!</v>
      </c>
      <c r="O3796" s="7" t="str">
        <f ca="1">IFERROR(__xludf.DUMMYFUNCTION("GOOGLEFINANCE(""NSE:""&amp;D3796,""pe"")"),"#N/A")</f>
        <v>#N/A</v>
      </c>
      <c r="P3796" s="7" t="str">
        <f ca="1">IFERROR(__xludf.DUMMYFUNCTION("GOOGLEFINANCE(""NSE:""&amp;D3796,""EPS"")"),"#N/A")</f>
        <v>#N/A</v>
      </c>
      <c r="Q3796" s="7">
        <v>13.5</v>
      </c>
      <c r="R3796" s="7" t="str">
        <f ca="1">IFERROR(__xludf.DUMMYFUNCTION("IMPORTXML(E3796,""/html/body/main/div[3]/div[3]/div[2]/ul/li[7]/span[2]/span"")"),"Loading...")</f>
        <v>Loading...</v>
      </c>
      <c r="S3796" s="7" t="str">
        <f ca="1">IFERROR(__xludf.DUMMYFUNCTION("IMPORTXML(E3796,""/html/body/main/div[3]/div[3]/div[2]/ul/li[8]/span[2]/span"")"),"Loading...")</f>
        <v>Loading...</v>
      </c>
      <c r="T3796" s="4">
        <v>34.6</v>
      </c>
      <c r="U3796" s="4">
        <v>22.7</v>
      </c>
      <c r="V3796" s="4">
        <v>2.6</v>
      </c>
      <c r="W3796" s="4">
        <v>5.7</v>
      </c>
      <c r="X3796" s="4">
        <v>519.92999999999995</v>
      </c>
      <c r="Y3796" s="7" t="e">
        <f t="shared" ca="1" si="79"/>
        <v>#VALUE!</v>
      </c>
    </row>
    <row r="3797" spans="1:25" ht="15" x14ac:dyDescent="0.25">
      <c r="A3797" s="4">
        <v>3794</v>
      </c>
      <c r="C3797" s="41" t="s">
        <v>6155</v>
      </c>
      <c r="D3797" s="42"/>
      <c r="E3797" s="5" t="str">
        <f t="shared" si="75"/>
        <v>https://www.screener.in/company//consolidated/</v>
      </c>
      <c r="F3797" s="4">
        <v>443059</v>
      </c>
      <c r="G3797" s="4">
        <v>3832241897</v>
      </c>
      <c r="H3797" s="6" t="e">
        <f t="shared" ca="1" si="76"/>
        <v>#VALUE!</v>
      </c>
      <c r="I3797" s="7" t="str">
        <f ca="1">IFERROR(__xludf.DUMMYFUNCTION("IMPORTXML(E3797,""/html/body/main/div[3]/div[3]/div[2]/ul/li[5]/span[2]/span"")"),"Loading...")</f>
        <v>Loading...</v>
      </c>
      <c r="J3797" s="7" t="str">
        <f ca="1">IFERROR(__xludf.DUMMYFUNCTION("GOOGLEFINANCE(""NSE:""&amp;D3797,""marketcap"")"),"#N/A")</f>
        <v>#N/A</v>
      </c>
      <c r="K3797" s="7">
        <v>992.8</v>
      </c>
      <c r="L3797" s="8" t="str">
        <f ca="1">IFERROR(__xludf.DUMMYFUNCTION("GOOGLEFINANCE(""NSE:""&amp;D3797,""price"")"),"#N/A")</f>
        <v>#N/A</v>
      </c>
      <c r="M3797" s="9" t="e">
        <f t="shared" ca="1" si="77"/>
        <v>#VALUE!</v>
      </c>
      <c r="N3797" s="10" t="e">
        <f t="shared" ca="1" si="78"/>
        <v>#VALUE!</v>
      </c>
      <c r="O3797" s="7" t="str">
        <f ca="1">IFERROR(__xludf.DUMMYFUNCTION("GOOGLEFINANCE(""NSE:""&amp;D3797,""pe"")"),"#N/A")</f>
        <v>#N/A</v>
      </c>
      <c r="P3797" s="7" t="str">
        <f ca="1">IFERROR(__xludf.DUMMYFUNCTION("GOOGLEFINANCE(""NSE:""&amp;D3797,""EPS"")"),"#N/A")</f>
        <v>#N/A</v>
      </c>
      <c r="Q3797" s="7">
        <v>13.5</v>
      </c>
      <c r="R3797" s="7" t="str">
        <f ca="1">IFERROR(__xludf.DUMMYFUNCTION("IMPORTXML(E3797,""/html/body/main/div[3]/div[3]/div[2]/ul/li[7]/span[2]/span"")"),"Loading...")</f>
        <v>Loading...</v>
      </c>
      <c r="S3797" s="7" t="str">
        <f ca="1">IFERROR(__xludf.DUMMYFUNCTION("IMPORTXML(E3797,""/html/body/main/div[3]/div[3]/div[2]/ul/li[8]/span[2]/span"")"),"Loading...")</f>
        <v>Loading...</v>
      </c>
      <c r="T3797" s="4">
        <v>34.6</v>
      </c>
      <c r="U3797" s="4">
        <v>22.7</v>
      </c>
      <c r="V3797" s="4">
        <v>2.6</v>
      </c>
      <c r="W3797" s="4">
        <v>5.7</v>
      </c>
      <c r="X3797" s="4">
        <v>519.92999999999995</v>
      </c>
      <c r="Y3797" s="7" t="e">
        <f t="shared" ca="1" si="79"/>
        <v>#VALUE!</v>
      </c>
    </row>
    <row r="3798" spans="1:25" ht="15" x14ac:dyDescent="0.25">
      <c r="A3798" s="4">
        <v>3795</v>
      </c>
      <c r="C3798" s="41" t="s">
        <v>6156</v>
      </c>
      <c r="D3798" s="42"/>
      <c r="E3798" s="5" t="str">
        <f t="shared" si="75"/>
        <v>https://www.screener.in/company//consolidated/</v>
      </c>
      <c r="F3798" s="4">
        <v>443059</v>
      </c>
      <c r="G3798" s="4">
        <v>3832241897</v>
      </c>
      <c r="H3798" s="6" t="e">
        <f t="shared" ca="1" si="76"/>
        <v>#VALUE!</v>
      </c>
      <c r="I3798" s="7" t="str">
        <f ca="1">IFERROR(__xludf.DUMMYFUNCTION("IMPORTXML(E3798,""/html/body/main/div[3]/div[3]/div[2]/ul/li[5]/span[2]/span"")"),"Loading...")</f>
        <v>Loading...</v>
      </c>
      <c r="J3798" s="7" t="str">
        <f ca="1">IFERROR(__xludf.DUMMYFUNCTION("GOOGLEFINANCE(""NSE:""&amp;D3798,""marketcap"")"),"#N/A")</f>
        <v>#N/A</v>
      </c>
      <c r="K3798" s="7">
        <v>992.8</v>
      </c>
      <c r="L3798" s="8" t="str">
        <f ca="1">IFERROR(__xludf.DUMMYFUNCTION("GOOGLEFINANCE(""NSE:""&amp;D3798,""price"")"),"#N/A")</f>
        <v>#N/A</v>
      </c>
      <c r="M3798" s="9" t="e">
        <f t="shared" ca="1" si="77"/>
        <v>#VALUE!</v>
      </c>
      <c r="N3798" s="10" t="e">
        <f t="shared" ca="1" si="78"/>
        <v>#VALUE!</v>
      </c>
      <c r="O3798" s="7" t="str">
        <f ca="1">IFERROR(__xludf.DUMMYFUNCTION("GOOGLEFINANCE(""NSE:""&amp;D3798,""pe"")"),"#N/A")</f>
        <v>#N/A</v>
      </c>
      <c r="P3798" s="7" t="str">
        <f ca="1">IFERROR(__xludf.DUMMYFUNCTION("GOOGLEFINANCE(""NSE:""&amp;D3798,""EPS"")"),"#N/A")</f>
        <v>#N/A</v>
      </c>
      <c r="Q3798" s="7">
        <v>13.5</v>
      </c>
      <c r="R3798" s="7" t="str">
        <f ca="1">IFERROR(__xludf.DUMMYFUNCTION("IMPORTXML(E3798,""/html/body/main/div[3]/div[3]/div[2]/ul/li[7]/span[2]/span"")"),"Loading...")</f>
        <v>Loading...</v>
      </c>
      <c r="S3798" s="7" t="str">
        <f ca="1">IFERROR(__xludf.DUMMYFUNCTION("IMPORTXML(E3798,""/html/body/main/div[3]/div[3]/div[2]/ul/li[8]/span[2]/span"")"),"Loading...")</f>
        <v>Loading...</v>
      </c>
      <c r="T3798" s="4">
        <v>34.6</v>
      </c>
      <c r="U3798" s="4">
        <v>22.7</v>
      </c>
      <c r="V3798" s="4">
        <v>2.6</v>
      </c>
      <c r="W3798" s="4">
        <v>5.7</v>
      </c>
      <c r="X3798" s="4">
        <v>519.92999999999995</v>
      </c>
      <c r="Y3798" s="7" t="e">
        <f t="shared" ca="1" si="79"/>
        <v>#VALUE!</v>
      </c>
    </row>
    <row r="3799" spans="1:25" ht="15" x14ac:dyDescent="0.25">
      <c r="A3799" s="4">
        <v>3796</v>
      </c>
      <c r="C3799" s="41" t="s">
        <v>6157</v>
      </c>
      <c r="D3799" s="42"/>
      <c r="E3799" s="5" t="str">
        <f t="shared" si="75"/>
        <v>https://www.screener.in/company//consolidated/</v>
      </c>
      <c r="F3799" s="4">
        <v>443059</v>
      </c>
      <c r="G3799" s="4">
        <v>3832241897</v>
      </c>
      <c r="H3799" s="6" t="e">
        <f t="shared" ca="1" si="76"/>
        <v>#VALUE!</v>
      </c>
      <c r="I3799" s="7" t="str">
        <f ca="1">IFERROR(__xludf.DUMMYFUNCTION("IMPORTXML(E3799,""/html/body/main/div[3]/div[3]/div[2]/ul/li[5]/span[2]/span"")"),"Loading...")</f>
        <v>Loading...</v>
      </c>
      <c r="J3799" s="7" t="str">
        <f ca="1">IFERROR(__xludf.DUMMYFUNCTION("GOOGLEFINANCE(""NSE:""&amp;D3799,""marketcap"")"),"#N/A")</f>
        <v>#N/A</v>
      </c>
      <c r="K3799" s="7">
        <v>992.8</v>
      </c>
      <c r="L3799" s="8" t="str">
        <f ca="1">IFERROR(__xludf.DUMMYFUNCTION("GOOGLEFINANCE(""NSE:""&amp;D3799,""price"")"),"#N/A")</f>
        <v>#N/A</v>
      </c>
      <c r="M3799" s="9" t="e">
        <f t="shared" ca="1" si="77"/>
        <v>#VALUE!</v>
      </c>
      <c r="N3799" s="10" t="e">
        <f t="shared" ca="1" si="78"/>
        <v>#VALUE!</v>
      </c>
      <c r="O3799" s="7" t="str">
        <f ca="1">IFERROR(__xludf.DUMMYFUNCTION("GOOGLEFINANCE(""NSE:""&amp;D3799,""pe"")"),"#N/A")</f>
        <v>#N/A</v>
      </c>
      <c r="P3799" s="7" t="str">
        <f ca="1">IFERROR(__xludf.DUMMYFUNCTION("GOOGLEFINANCE(""NSE:""&amp;D3799,""EPS"")"),"#N/A")</f>
        <v>#N/A</v>
      </c>
      <c r="Q3799" s="7">
        <v>13.5</v>
      </c>
      <c r="R3799" s="7" t="str">
        <f ca="1">IFERROR(__xludf.DUMMYFUNCTION("IMPORTXML(E3799,""/html/body/main/div[3]/div[3]/div[2]/ul/li[7]/span[2]/span"")"),"Loading...")</f>
        <v>Loading...</v>
      </c>
      <c r="S3799" s="7" t="str">
        <f ca="1">IFERROR(__xludf.DUMMYFUNCTION("IMPORTXML(E3799,""/html/body/main/div[3]/div[3]/div[2]/ul/li[8]/span[2]/span"")"),"Loading...")</f>
        <v>Loading...</v>
      </c>
      <c r="T3799" s="4">
        <v>34.6</v>
      </c>
      <c r="U3799" s="4">
        <v>22.7</v>
      </c>
      <c r="V3799" s="4">
        <v>2.6</v>
      </c>
      <c r="W3799" s="4">
        <v>5.7</v>
      </c>
      <c r="X3799" s="4">
        <v>519.92999999999995</v>
      </c>
      <c r="Y3799" s="7" t="e">
        <f t="shared" ca="1" si="79"/>
        <v>#VALUE!</v>
      </c>
    </row>
    <row r="3800" spans="1:25" ht="15" x14ac:dyDescent="0.25">
      <c r="A3800" s="4">
        <v>3797</v>
      </c>
      <c r="C3800" s="41" t="s">
        <v>6158</v>
      </c>
      <c r="D3800" s="42"/>
      <c r="E3800" s="5" t="str">
        <f t="shared" si="75"/>
        <v>https://www.screener.in/company//consolidated/</v>
      </c>
      <c r="F3800" s="4">
        <v>443059</v>
      </c>
      <c r="G3800" s="4">
        <v>3832241897</v>
      </c>
      <c r="H3800" s="6" t="e">
        <f t="shared" ca="1" si="76"/>
        <v>#VALUE!</v>
      </c>
      <c r="I3800" s="7" t="str">
        <f ca="1">IFERROR(__xludf.DUMMYFUNCTION("IMPORTXML(E3800,""/html/body/main/div[3]/div[3]/div[2]/ul/li[5]/span[2]/span"")"),"Loading...")</f>
        <v>Loading...</v>
      </c>
      <c r="J3800" s="7" t="str">
        <f ca="1">IFERROR(__xludf.DUMMYFUNCTION("GOOGLEFINANCE(""NSE:""&amp;D3800,""marketcap"")"),"#N/A")</f>
        <v>#N/A</v>
      </c>
      <c r="K3800" s="7">
        <v>992.8</v>
      </c>
      <c r="L3800" s="8" t="str">
        <f ca="1">IFERROR(__xludf.DUMMYFUNCTION("GOOGLEFINANCE(""NSE:""&amp;D3800,""price"")"),"#N/A")</f>
        <v>#N/A</v>
      </c>
      <c r="M3800" s="9" t="e">
        <f t="shared" ca="1" si="77"/>
        <v>#VALUE!</v>
      </c>
      <c r="N3800" s="10" t="e">
        <f t="shared" ca="1" si="78"/>
        <v>#VALUE!</v>
      </c>
      <c r="O3800" s="7" t="str">
        <f ca="1">IFERROR(__xludf.DUMMYFUNCTION("GOOGLEFINANCE(""NSE:""&amp;D3800,""pe"")"),"#N/A")</f>
        <v>#N/A</v>
      </c>
      <c r="P3800" s="7" t="str">
        <f ca="1">IFERROR(__xludf.DUMMYFUNCTION("GOOGLEFINANCE(""NSE:""&amp;D3800,""EPS"")"),"#N/A")</f>
        <v>#N/A</v>
      </c>
      <c r="Q3800" s="7">
        <v>13.5</v>
      </c>
      <c r="R3800" s="7" t="str">
        <f ca="1">IFERROR(__xludf.DUMMYFUNCTION("IMPORTXML(E3800,""/html/body/main/div[3]/div[3]/div[2]/ul/li[7]/span[2]/span"")"),"Loading...")</f>
        <v>Loading...</v>
      </c>
      <c r="S3800" s="7" t="str">
        <f ca="1">IFERROR(__xludf.DUMMYFUNCTION("IMPORTXML(E3800,""/html/body/main/div[3]/div[3]/div[2]/ul/li[8]/span[2]/span"")"),"Loading...")</f>
        <v>Loading...</v>
      </c>
      <c r="T3800" s="4">
        <v>34.6</v>
      </c>
      <c r="U3800" s="4">
        <v>22.7</v>
      </c>
      <c r="V3800" s="4">
        <v>2.6</v>
      </c>
      <c r="W3800" s="4">
        <v>5.7</v>
      </c>
      <c r="X3800" s="4">
        <v>519.92999999999995</v>
      </c>
      <c r="Y3800" s="7" t="e">
        <f t="shared" ca="1" si="79"/>
        <v>#VALUE!</v>
      </c>
    </row>
    <row r="3801" spans="1:25" ht="15" x14ac:dyDescent="0.25">
      <c r="A3801" s="4">
        <v>3798</v>
      </c>
      <c r="C3801" s="41" t="s">
        <v>6159</v>
      </c>
      <c r="D3801" s="42"/>
      <c r="E3801" s="5" t="str">
        <f t="shared" si="75"/>
        <v>https://www.screener.in/company//consolidated/</v>
      </c>
      <c r="F3801" s="4">
        <v>443059</v>
      </c>
      <c r="G3801" s="4">
        <v>3832241897</v>
      </c>
      <c r="H3801" s="6" t="e">
        <f t="shared" ca="1" si="76"/>
        <v>#VALUE!</v>
      </c>
      <c r="I3801" s="7" t="str">
        <f ca="1">IFERROR(__xludf.DUMMYFUNCTION("IMPORTXML(E3801,""/html/body/main/div[3]/div[3]/div[2]/ul/li[5]/span[2]/span"")"),"Loading...")</f>
        <v>Loading...</v>
      </c>
      <c r="J3801" s="7" t="str">
        <f ca="1">IFERROR(__xludf.DUMMYFUNCTION("GOOGLEFINANCE(""NSE:""&amp;D3801,""marketcap"")"),"#N/A")</f>
        <v>#N/A</v>
      </c>
      <c r="K3801" s="7">
        <v>992.8</v>
      </c>
      <c r="L3801" s="8" t="str">
        <f ca="1">IFERROR(__xludf.DUMMYFUNCTION("GOOGLEFINANCE(""NSE:""&amp;D3801,""price"")"),"#N/A")</f>
        <v>#N/A</v>
      </c>
      <c r="M3801" s="9" t="e">
        <f t="shared" ca="1" si="77"/>
        <v>#VALUE!</v>
      </c>
      <c r="N3801" s="10" t="e">
        <f t="shared" ca="1" si="78"/>
        <v>#VALUE!</v>
      </c>
      <c r="O3801" s="7" t="str">
        <f ca="1">IFERROR(__xludf.DUMMYFUNCTION("GOOGLEFINANCE(""NSE:""&amp;D3801,""pe"")"),"#N/A")</f>
        <v>#N/A</v>
      </c>
      <c r="P3801" s="7" t="str">
        <f ca="1">IFERROR(__xludf.DUMMYFUNCTION("GOOGLEFINANCE(""NSE:""&amp;D3801,""EPS"")"),"#N/A")</f>
        <v>#N/A</v>
      </c>
      <c r="Q3801" s="7">
        <v>13.5</v>
      </c>
      <c r="R3801" s="7" t="str">
        <f ca="1">IFERROR(__xludf.DUMMYFUNCTION("IMPORTXML(E3801,""/html/body/main/div[3]/div[3]/div[2]/ul/li[7]/span[2]/span"")"),"Loading...")</f>
        <v>Loading...</v>
      </c>
      <c r="S3801" s="7" t="str">
        <f ca="1">IFERROR(__xludf.DUMMYFUNCTION("IMPORTXML(E3801,""/html/body/main/div[3]/div[3]/div[2]/ul/li[8]/span[2]/span"")"),"Loading...")</f>
        <v>Loading...</v>
      </c>
      <c r="T3801" s="4">
        <v>34.6</v>
      </c>
      <c r="U3801" s="4">
        <v>22.7</v>
      </c>
      <c r="V3801" s="4">
        <v>2.6</v>
      </c>
      <c r="W3801" s="4">
        <v>5.7</v>
      </c>
      <c r="X3801" s="4">
        <v>519.92999999999995</v>
      </c>
      <c r="Y3801" s="7" t="e">
        <f t="shared" ca="1" si="79"/>
        <v>#VALUE!</v>
      </c>
    </row>
    <row r="3802" spans="1:25" ht="15" x14ac:dyDescent="0.25">
      <c r="A3802" s="4">
        <v>3799</v>
      </c>
      <c r="C3802" s="41" t="s">
        <v>6160</v>
      </c>
      <c r="D3802" s="42"/>
      <c r="E3802" s="5" t="str">
        <f t="shared" si="75"/>
        <v>https://www.screener.in/company//consolidated/</v>
      </c>
      <c r="F3802" s="4">
        <v>443059</v>
      </c>
      <c r="G3802" s="4">
        <v>3832241897</v>
      </c>
      <c r="H3802" s="6" t="e">
        <f t="shared" ca="1" si="76"/>
        <v>#VALUE!</v>
      </c>
      <c r="I3802" s="7" t="str">
        <f ca="1">IFERROR(__xludf.DUMMYFUNCTION("IMPORTXML(E3802,""/html/body/main/div[3]/div[3]/div[2]/ul/li[5]/span[2]/span"")"),"Loading...")</f>
        <v>Loading...</v>
      </c>
      <c r="J3802" s="7" t="str">
        <f ca="1">IFERROR(__xludf.DUMMYFUNCTION("GOOGLEFINANCE(""NSE:""&amp;D3802,""marketcap"")"),"#N/A")</f>
        <v>#N/A</v>
      </c>
      <c r="K3802" s="7">
        <v>992.8</v>
      </c>
      <c r="L3802" s="8" t="str">
        <f ca="1">IFERROR(__xludf.DUMMYFUNCTION("GOOGLEFINANCE(""NSE:""&amp;D3802,""price"")"),"#N/A")</f>
        <v>#N/A</v>
      </c>
      <c r="M3802" s="9" t="e">
        <f t="shared" ca="1" si="77"/>
        <v>#VALUE!</v>
      </c>
      <c r="N3802" s="10" t="e">
        <f t="shared" ca="1" si="78"/>
        <v>#VALUE!</v>
      </c>
      <c r="O3802" s="7" t="str">
        <f ca="1">IFERROR(__xludf.DUMMYFUNCTION("GOOGLEFINANCE(""NSE:""&amp;D3802,""pe"")"),"#N/A")</f>
        <v>#N/A</v>
      </c>
      <c r="P3802" s="7" t="str">
        <f ca="1">IFERROR(__xludf.DUMMYFUNCTION("GOOGLEFINANCE(""NSE:""&amp;D3802,""EPS"")"),"#N/A")</f>
        <v>#N/A</v>
      </c>
      <c r="Q3802" s="7">
        <v>13.5</v>
      </c>
      <c r="R3802" s="7" t="str">
        <f ca="1">IFERROR(__xludf.DUMMYFUNCTION("IMPORTXML(E3802,""/html/body/main/div[3]/div[3]/div[2]/ul/li[7]/span[2]/span"")"),"Loading...")</f>
        <v>Loading...</v>
      </c>
      <c r="S3802" s="7" t="str">
        <f ca="1">IFERROR(__xludf.DUMMYFUNCTION("IMPORTXML(E3802,""/html/body/main/div[3]/div[3]/div[2]/ul/li[8]/span[2]/span"")"),"Loading...")</f>
        <v>Loading...</v>
      </c>
      <c r="T3802" s="4">
        <v>34.6</v>
      </c>
      <c r="U3802" s="4">
        <v>22.7</v>
      </c>
      <c r="V3802" s="4">
        <v>2.6</v>
      </c>
      <c r="W3802" s="4">
        <v>5.7</v>
      </c>
      <c r="X3802" s="4">
        <v>519.92999999999995</v>
      </c>
      <c r="Y3802" s="7" t="e">
        <f t="shared" ca="1" si="79"/>
        <v>#VALUE!</v>
      </c>
    </row>
    <row r="3803" spans="1:25" ht="15" x14ac:dyDescent="0.25">
      <c r="A3803" s="4">
        <v>3800</v>
      </c>
      <c r="C3803" s="41" t="s">
        <v>6161</v>
      </c>
      <c r="D3803" s="42"/>
      <c r="E3803" s="5" t="str">
        <f t="shared" si="75"/>
        <v>https://www.screener.in/company//consolidated/</v>
      </c>
      <c r="F3803" s="4">
        <v>443059</v>
      </c>
      <c r="G3803" s="4">
        <v>3832241897</v>
      </c>
      <c r="H3803" s="6" t="e">
        <f t="shared" ca="1" si="76"/>
        <v>#VALUE!</v>
      </c>
      <c r="I3803" s="7" t="str">
        <f ca="1">IFERROR(__xludf.DUMMYFUNCTION("IMPORTXML(E3803,""/html/body/main/div[3]/div[3]/div[2]/ul/li[5]/span[2]/span"")"),"Loading...")</f>
        <v>Loading...</v>
      </c>
      <c r="J3803" s="7" t="str">
        <f ca="1">IFERROR(__xludf.DUMMYFUNCTION("GOOGLEFINANCE(""NSE:""&amp;D3803,""marketcap"")"),"#N/A")</f>
        <v>#N/A</v>
      </c>
      <c r="K3803" s="7">
        <v>992.8</v>
      </c>
      <c r="L3803" s="8" t="str">
        <f ca="1">IFERROR(__xludf.DUMMYFUNCTION("GOOGLEFINANCE(""NSE:""&amp;D3803,""price"")"),"#N/A")</f>
        <v>#N/A</v>
      </c>
      <c r="M3803" s="9" t="e">
        <f t="shared" ca="1" si="77"/>
        <v>#VALUE!</v>
      </c>
      <c r="N3803" s="10" t="e">
        <f t="shared" ca="1" si="78"/>
        <v>#VALUE!</v>
      </c>
      <c r="O3803" s="7" t="str">
        <f ca="1">IFERROR(__xludf.DUMMYFUNCTION("GOOGLEFINANCE(""NSE:""&amp;D3803,""pe"")"),"#N/A")</f>
        <v>#N/A</v>
      </c>
      <c r="P3803" s="7" t="str">
        <f ca="1">IFERROR(__xludf.DUMMYFUNCTION("GOOGLEFINANCE(""NSE:""&amp;D3803,""EPS"")"),"#N/A")</f>
        <v>#N/A</v>
      </c>
      <c r="Q3803" s="7">
        <v>13.5</v>
      </c>
      <c r="R3803" s="7" t="str">
        <f ca="1">IFERROR(__xludf.DUMMYFUNCTION("IMPORTXML(E3803,""/html/body/main/div[3]/div[3]/div[2]/ul/li[7]/span[2]/span"")"),"Loading...")</f>
        <v>Loading...</v>
      </c>
      <c r="S3803" s="7" t="str">
        <f ca="1">IFERROR(__xludf.DUMMYFUNCTION("IMPORTXML(E3803,""/html/body/main/div[3]/div[3]/div[2]/ul/li[8]/span[2]/span"")"),"Loading...")</f>
        <v>Loading...</v>
      </c>
      <c r="T3803" s="4">
        <v>34.6</v>
      </c>
      <c r="U3803" s="4">
        <v>22.7</v>
      </c>
      <c r="V3803" s="4">
        <v>2.6</v>
      </c>
      <c r="W3803" s="4">
        <v>5.7</v>
      </c>
      <c r="X3803" s="4">
        <v>519.92999999999995</v>
      </c>
      <c r="Y3803" s="7" t="e">
        <f t="shared" ca="1" si="79"/>
        <v>#VALUE!</v>
      </c>
    </row>
    <row r="3804" spans="1:25" ht="15" x14ac:dyDescent="0.25">
      <c r="A3804" s="4">
        <v>3801</v>
      </c>
      <c r="C3804" s="41" t="s">
        <v>6162</v>
      </c>
      <c r="D3804" s="42"/>
      <c r="E3804" s="5" t="str">
        <f t="shared" si="75"/>
        <v>https://www.screener.in/company//consolidated/</v>
      </c>
      <c r="F3804" s="4">
        <v>443059</v>
      </c>
      <c r="G3804" s="4">
        <v>3832241897</v>
      </c>
      <c r="H3804" s="6" t="e">
        <f t="shared" ca="1" si="76"/>
        <v>#VALUE!</v>
      </c>
      <c r="I3804" s="7" t="str">
        <f ca="1">IFERROR(__xludf.DUMMYFUNCTION("IMPORTXML(E3804,""/html/body/main/div[3]/div[3]/div[2]/ul/li[5]/span[2]/span"")"),"Loading...")</f>
        <v>Loading...</v>
      </c>
      <c r="J3804" s="7" t="str">
        <f ca="1">IFERROR(__xludf.DUMMYFUNCTION("GOOGLEFINANCE(""NSE:""&amp;D3804,""marketcap"")"),"#N/A")</f>
        <v>#N/A</v>
      </c>
      <c r="K3804" s="7">
        <v>992.8</v>
      </c>
      <c r="L3804" s="8" t="str">
        <f ca="1">IFERROR(__xludf.DUMMYFUNCTION("GOOGLEFINANCE(""NSE:""&amp;D3804,""price"")"),"#N/A")</f>
        <v>#N/A</v>
      </c>
      <c r="M3804" s="9" t="e">
        <f t="shared" ca="1" si="77"/>
        <v>#VALUE!</v>
      </c>
      <c r="N3804" s="10" t="e">
        <f t="shared" ca="1" si="78"/>
        <v>#VALUE!</v>
      </c>
      <c r="O3804" s="7" t="str">
        <f ca="1">IFERROR(__xludf.DUMMYFUNCTION("GOOGLEFINANCE(""NSE:""&amp;D3804,""pe"")"),"#N/A")</f>
        <v>#N/A</v>
      </c>
      <c r="P3804" s="7" t="str">
        <f ca="1">IFERROR(__xludf.DUMMYFUNCTION("GOOGLEFINANCE(""NSE:""&amp;D3804,""EPS"")"),"#N/A")</f>
        <v>#N/A</v>
      </c>
      <c r="Q3804" s="7">
        <v>13.5</v>
      </c>
      <c r="R3804" s="7" t="str">
        <f ca="1">IFERROR(__xludf.DUMMYFUNCTION("IMPORTXML(E3804,""/html/body/main/div[3]/div[3]/div[2]/ul/li[7]/span[2]/span"")"),"Loading...")</f>
        <v>Loading...</v>
      </c>
      <c r="S3804" s="7" t="str">
        <f ca="1">IFERROR(__xludf.DUMMYFUNCTION("IMPORTXML(E3804,""/html/body/main/div[3]/div[3]/div[2]/ul/li[8]/span[2]/span"")"),"Loading...")</f>
        <v>Loading...</v>
      </c>
      <c r="T3804" s="4">
        <v>34.6</v>
      </c>
      <c r="U3804" s="4">
        <v>22.7</v>
      </c>
      <c r="V3804" s="4">
        <v>2.6</v>
      </c>
      <c r="W3804" s="4">
        <v>5.7</v>
      </c>
      <c r="X3804" s="4">
        <v>519.92999999999995</v>
      </c>
      <c r="Y3804" s="7" t="e">
        <f t="shared" ca="1" si="79"/>
        <v>#VALUE!</v>
      </c>
    </row>
    <row r="3805" spans="1:25" ht="15" x14ac:dyDescent="0.25">
      <c r="A3805" s="4">
        <v>3802</v>
      </c>
      <c r="C3805" s="41" t="s">
        <v>6163</v>
      </c>
      <c r="D3805" s="42"/>
      <c r="E3805" s="5" t="str">
        <f t="shared" si="75"/>
        <v>https://www.screener.in/company//consolidated/</v>
      </c>
      <c r="F3805" s="4">
        <v>443059</v>
      </c>
      <c r="G3805" s="4">
        <v>3832241897</v>
      </c>
      <c r="H3805" s="6" t="e">
        <f t="shared" ca="1" si="76"/>
        <v>#VALUE!</v>
      </c>
      <c r="I3805" s="7" t="str">
        <f ca="1">IFERROR(__xludf.DUMMYFUNCTION("IMPORTXML(E3805,""/html/body/main/div[3]/div[3]/div[2]/ul/li[5]/span[2]/span"")"),"Loading...")</f>
        <v>Loading...</v>
      </c>
      <c r="J3805" s="7" t="str">
        <f ca="1">IFERROR(__xludf.DUMMYFUNCTION("GOOGLEFINANCE(""NSE:""&amp;D3805,""marketcap"")"),"#N/A")</f>
        <v>#N/A</v>
      </c>
      <c r="K3805" s="7">
        <v>992.8</v>
      </c>
      <c r="L3805" s="8" t="str">
        <f ca="1">IFERROR(__xludf.DUMMYFUNCTION("GOOGLEFINANCE(""NSE:""&amp;D3805,""price"")"),"#N/A")</f>
        <v>#N/A</v>
      </c>
      <c r="M3805" s="9" t="e">
        <f t="shared" ca="1" si="77"/>
        <v>#VALUE!</v>
      </c>
      <c r="N3805" s="10" t="e">
        <f t="shared" ca="1" si="78"/>
        <v>#VALUE!</v>
      </c>
      <c r="O3805" s="7" t="str">
        <f ca="1">IFERROR(__xludf.DUMMYFUNCTION("GOOGLEFINANCE(""NSE:""&amp;D3805,""pe"")"),"#N/A")</f>
        <v>#N/A</v>
      </c>
      <c r="P3805" s="7" t="str">
        <f ca="1">IFERROR(__xludf.DUMMYFUNCTION("GOOGLEFINANCE(""NSE:""&amp;D3805,""EPS"")"),"#N/A")</f>
        <v>#N/A</v>
      </c>
      <c r="Q3805" s="7">
        <v>13.5</v>
      </c>
      <c r="R3805" s="7" t="str">
        <f ca="1">IFERROR(__xludf.DUMMYFUNCTION("IMPORTXML(E3805,""/html/body/main/div[3]/div[3]/div[2]/ul/li[7]/span[2]/span"")"),"Loading...")</f>
        <v>Loading...</v>
      </c>
      <c r="S3805" s="7" t="str">
        <f ca="1">IFERROR(__xludf.DUMMYFUNCTION("IMPORTXML(E3805,""/html/body/main/div[3]/div[3]/div[2]/ul/li[8]/span[2]/span"")"),"Loading...")</f>
        <v>Loading...</v>
      </c>
      <c r="T3805" s="4">
        <v>34.6</v>
      </c>
      <c r="U3805" s="4">
        <v>22.7</v>
      </c>
      <c r="V3805" s="4">
        <v>2.6</v>
      </c>
      <c r="W3805" s="4">
        <v>5.7</v>
      </c>
      <c r="X3805" s="4">
        <v>519.92999999999995</v>
      </c>
      <c r="Y3805" s="7" t="e">
        <f t="shared" ca="1" si="79"/>
        <v>#VALUE!</v>
      </c>
    </row>
    <row r="3806" spans="1:25" ht="15" x14ac:dyDescent="0.25">
      <c r="A3806" s="4">
        <v>3803</v>
      </c>
      <c r="C3806" s="41" t="s">
        <v>6164</v>
      </c>
      <c r="D3806" s="42"/>
      <c r="E3806" s="5" t="str">
        <f t="shared" si="75"/>
        <v>https://www.screener.in/company//consolidated/</v>
      </c>
      <c r="F3806" s="4">
        <v>443059</v>
      </c>
      <c r="G3806" s="4">
        <v>3832241897</v>
      </c>
      <c r="H3806" s="6" t="e">
        <f t="shared" ca="1" si="76"/>
        <v>#VALUE!</v>
      </c>
      <c r="I3806" s="7" t="str">
        <f ca="1">IFERROR(__xludf.DUMMYFUNCTION("IMPORTXML(E3806,""/html/body/main/div[3]/div[3]/div[2]/ul/li[5]/span[2]/span"")"),"Loading...")</f>
        <v>Loading...</v>
      </c>
      <c r="J3806" s="7" t="str">
        <f ca="1">IFERROR(__xludf.DUMMYFUNCTION("GOOGLEFINANCE(""NSE:""&amp;D3806,""marketcap"")"),"#N/A")</f>
        <v>#N/A</v>
      </c>
      <c r="K3806" s="7">
        <v>992.8</v>
      </c>
      <c r="L3806" s="8" t="str">
        <f ca="1">IFERROR(__xludf.DUMMYFUNCTION("GOOGLEFINANCE(""NSE:""&amp;D3806,""price"")"),"#N/A")</f>
        <v>#N/A</v>
      </c>
      <c r="M3806" s="9" t="e">
        <f t="shared" ca="1" si="77"/>
        <v>#VALUE!</v>
      </c>
      <c r="N3806" s="10" t="e">
        <f t="shared" ca="1" si="78"/>
        <v>#VALUE!</v>
      </c>
      <c r="O3806" s="7" t="str">
        <f ca="1">IFERROR(__xludf.DUMMYFUNCTION("GOOGLEFINANCE(""NSE:""&amp;D3806,""pe"")"),"#N/A")</f>
        <v>#N/A</v>
      </c>
      <c r="P3806" s="7" t="str">
        <f ca="1">IFERROR(__xludf.DUMMYFUNCTION("GOOGLEFINANCE(""NSE:""&amp;D3806,""EPS"")"),"#N/A")</f>
        <v>#N/A</v>
      </c>
      <c r="Q3806" s="7">
        <v>13.5</v>
      </c>
      <c r="R3806" s="7" t="str">
        <f ca="1">IFERROR(__xludf.DUMMYFUNCTION("IMPORTXML(E3806,""/html/body/main/div[3]/div[3]/div[2]/ul/li[7]/span[2]/span"")"),"Loading...")</f>
        <v>Loading...</v>
      </c>
      <c r="S3806" s="7" t="str">
        <f ca="1">IFERROR(__xludf.DUMMYFUNCTION("IMPORTXML(E3806,""/html/body/main/div[3]/div[3]/div[2]/ul/li[8]/span[2]/span"")"),"Loading...")</f>
        <v>Loading...</v>
      </c>
      <c r="T3806" s="4">
        <v>34.6</v>
      </c>
      <c r="U3806" s="4">
        <v>22.7</v>
      </c>
      <c r="V3806" s="4">
        <v>2.6</v>
      </c>
      <c r="W3806" s="4">
        <v>5.7</v>
      </c>
      <c r="X3806" s="4">
        <v>519.92999999999995</v>
      </c>
      <c r="Y3806" s="7" t="e">
        <f t="shared" ca="1" si="79"/>
        <v>#VALUE!</v>
      </c>
    </row>
    <row r="3807" spans="1:25" ht="15" x14ac:dyDescent="0.25">
      <c r="A3807" s="4">
        <v>3804</v>
      </c>
      <c r="C3807" s="41" t="s">
        <v>6165</v>
      </c>
      <c r="D3807" s="42"/>
      <c r="E3807" s="5" t="str">
        <f t="shared" si="75"/>
        <v>https://www.screener.in/company//consolidated/</v>
      </c>
      <c r="F3807" s="4">
        <v>443059</v>
      </c>
      <c r="G3807" s="4">
        <v>3832241897</v>
      </c>
      <c r="H3807" s="6" t="e">
        <f t="shared" ca="1" si="76"/>
        <v>#VALUE!</v>
      </c>
      <c r="I3807" s="7" t="str">
        <f ca="1">IFERROR(__xludf.DUMMYFUNCTION("IMPORTXML(E3807,""/html/body/main/div[3]/div[3]/div[2]/ul/li[5]/span[2]/span"")"),"Loading...")</f>
        <v>Loading...</v>
      </c>
      <c r="J3807" s="7" t="str">
        <f ca="1">IFERROR(__xludf.DUMMYFUNCTION("GOOGLEFINANCE(""NSE:""&amp;D3807,""marketcap"")"),"#N/A")</f>
        <v>#N/A</v>
      </c>
      <c r="K3807" s="7">
        <v>992.8</v>
      </c>
      <c r="L3807" s="8" t="str">
        <f ca="1">IFERROR(__xludf.DUMMYFUNCTION("GOOGLEFINANCE(""NSE:""&amp;D3807,""price"")"),"#N/A")</f>
        <v>#N/A</v>
      </c>
      <c r="M3807" s="9" t="e">
        <f t="shared" ca="1" si="77"/>
        <v>#VALUE!</v>
      </c>
      <c r="N3807" s="10" t="e">
        <f t="shared" ca="1" si="78"/>
        <v>#VALUE!</v>
      </c>
      <c r="O3807" s="7" t="str">
        <f ca="1">IFERROR(__xludf.DUMMYFUNCTION("GOOGLEFINANCE(""NSE:""&amp;D3807,""pe"")"),"#N/A")</f>
        <v>#N/A</v>
      </c>
      <c r="P3807" s="7" t="str">
        <f ca="1">IFERROR(__xludf.DUMMYFUNCTION("GOOGLEFINANCE(""NSE:""&amp;D3807,""EPS"")"),"#N/A")</f>
        <v>#N/A</v>
      </c>
      <c r="Q3807" s="7">
        <v>13.5</v>
      </c>
      <c r="R3807" s="7" t="str">
        <f ca="1">IFERROR(__xludf.DUMMYFUNCTION("IMPORTXML(E3807,""/html/body/main/div[3]/div[3]/div[2]/ul/li[7]/span[2]/span"")"),"Loading...")</f>
        <v>Loading...</v>
      </c>
      <c r="S3807" s="7" t="str">
        <f ca="1">IFERROR(__xludf.DUMMYFUNCTION("IMPORTXML(E3807,""/html/body/main/div[3]/div[3]/div[2]/ul/li[8]/span[2]/span"")"),"Loading...")</f>
        <v>Loading...</v>
      </c>
      <c r="T3807" s="4">
        <v>34.6</v>
      </c>
      <c r="U3807" s="4">
        <v>22.7</v>
      </c>
      <c r="V3807" s="4">
        <v>2.6</v>
      </c>
      <c r="W3807" s="4">
        <v>5.7</v>
      </c>
      <c r="X3807" s="4">
        <v>519.92999999999995</v>
      </c>
      <c r="Y3807" s="7" t="e">
        <f t="shared" ca="1" si="79"/>
        <v>#VALUE!</v>
      </c>
    </row>
    <row r="3808" spans="1:25" ht="15" x14ac:dyDescent="0.25">
      <c r="A3808" s="4">
        <v>3805</v>
      </c>
      <c r="C3808" s="12" t="s">
        <v>6166</v>
      </c>
      <c r="D3808" s="12" t="s">
        <v>6167</v>
      </c>
      <c r="E3808" s="5" t="str">
        <f t="shared" si="75"/>
        <v>https://www.screener.in/company/ALPSINDUS/consolidated/</v>
      </c>
      <c r="F3808" s="4">
        <v>443059</v>
      </c>
      <c r="G3808" s="4">
        <v>3832241897</v>
      </c>
      <c r="H3808" s="6">
        <f t="shared" ca="1" si="76"/>
        <v>724.29371853299995</v>
      </c>
      <c r="I3808" s="7" t="str">
        <f ca="1">IFERROR(__xludf.DUMMYFUNCTION("IMPORTXML(E3808,""/html/body/main/div[3]/div[3]/div[2]/ul/li[5]/span[2]/span"")"),"Loading...")</f>
        <v>Loading...</v>
      </c>
      <c r="J3808" s="7">
        <f ca="1">IFERROR(__xludf.DUMMYFUNCTION("GOOGLEFINANCE(""NSE:""&amp;D3808,""marketcap"")"),73925650)</f>
        <v>73925650</v>
      </c>
      <c r="K3808" s="7">
        <v>992.8</v>
      </c>
      <c r="L3808" s="8">
        <f ca="1">IFERROR(__xludf.DUMMYFUNCTION("GOOGLEFINANCE(""NSE:""&amp;D3808,""price"")"),1.89)</f>
        <v>1.89</v>
      </c>
      <c r="M3808" s="9">
        <f t="shared" ca="1" si="77"/>
        <v>-990.91</v>
      </c>
      <c r="N3808" s="10">
        <f t="shared" ca="1" si="78"/>
        <v>-99.809629331184539</v>
      </c>
      <c r="O3808" s="7" t="str">
        <f ca="1">IFERROR(__xludf.DUMMYFUNCTION("GOOGLEFINANCE(""NSE:""&amp;D3808,""pe"")"),"#N/A")</f>
        <v>#N/A</v>
      </c>
      <c r="P3808" s="7">
        <f ca="1">IFERROR(__xludf.DUMMYFUNCTION("GOOGLEFINANCE(""NSE:""&amp;D3808,""EPS"")"),-16.62)</f>
        <v>-16.62</v>
      </c>
      <c r="Q3808" s="7">
        <v>13.5</v>
      </c>
      <c r="R3808" s="7" t="str">
        <f ca="1">IFERROR(__xludf.DUMMYFUNCTION("IMPORTXML(E3808,""/html/body/main/div[3]/div[3]/div[2]/ul/li[7]/span[2]/span"")"),"Loading...")</f>
        <v>Loading...</v>
      </c>
      <c r="S3808" s="7" t="str">
        <f ca="1">IFERROR(__xludf.DUMMYFUNCTION("IMPORTXML(E3808,""/html/body/main/div[3]/div[3]/div[2]/ul/li[8]/span[2]/span"")"),"Loading...")</f>
        <v>Loading...</v>
      </c>
      <c r="T3808" s="4">
        <v>34.6</v>
      </c>
      <c r="U3808" s="4">
        <v>22.7</v>
      </c>
      <c r="V3808" s="4">
        <v>2.6</v>
      </c>
      <c r="W3808" s="4">
        <v>5.7</v>
      </c>
      <c r="X3808" s="4">
        <v>519.92999999999995</v>
      </c>
      <c r="Y3808" s="7">
        <f t="shared" ca="1" si="79"/>
        <v>-518.04</v>
      </c>
    </row>
    <row r="3809" spans="1:25" ht="15" x14ac:dyDescent="0.25">
      <c r="A3809" s="4">
        <v>3806</v>
      </c>
      <c r="C3809" s="41" t="s">
        <v>6168</v>
      </c>
      <c r="D3809" s="42"/>
      <c r="E3809" s="5" t="str">
        <f t="shared" si="75"/>
        <v>https://www.screener.in/company//consolidated/</v>
      </c>
      <c r="F3809" s="4">
        <v>443059</v>
      </c>
      <c r="G3809" s="4">
        <v>3832241897</v>
      </c>
      <c r="H3809" s="6" t="e">
        <f t="shared" ca="1" si="76"/>
        <v>#VALUE!</v>
      </c>
      <c r="I3809" s="7" t="str">
        <f ca="1">IFERROR(__xludf.DUMMYFUNCTION("IMPORTXML(E3809,""/html/body/main/div[3]/div[3]/div[2]/ul/li[5]/span[2]/span"")"),"Loading...")</f>
        <v>Loading...</v>
      </c>
      <c r="J3809" s="7" t="str">
        <f ca="1">IFERROR(__xludf.DUMMYFUNCTION("GOOGLEFINANCE(""NSE:""&amp;D3809,""marketcap"")"),"#N/A")</f>
        <v>#N/A</v>
      </c>
      <c r="K3809" s="7">
        <v>992.8</v>
      </c>
      <c r="L3809" s="8" t="str">
        <f ca="1">IFERROR(__xludf.DUMMYFUNCTION("GOOGLEFINANCE(""NSE:""&amp;D3809,""price"")"),"#N/A")</f>
        <v>#N/A</v>
      </c>
      <c r="M3809" s="9" t="e">
        <f t="shared" ca="1" si="77"/>
        <v>#VALUE!</v>
      </c>
      <c r="N3809" s="10" t="e">
        <f t="shared" ca="1" si="78"/>
        <v>#VALUE!</v>
      </c>
      <c r="O3809" s="7" t="str">
        <f ca="1">IFERROR(__xludf.DUMMYFUNCTION("GOOGLEFINANCE(""NSE:""&amp;D3809,""pe"")"),"#N/A")</f>
        <v>#N/A</v>
      </c>
      <c r="P3809" s="7" t="str">
        <f ca="1">IFERROR(__xludf.DUMMYFUNCTION("GOOGLEFINANCE(""NSE:""&amp;D3809,""EPS"")"),"#N/A")</f>
        <v>#N/A</v>
      </c>
      <c r="Q3809" s="7">
        <v>13.5</v>
      </c>
      <c r="R3809" s="7" t="str">
        <f ca="1">IFERROR(__xludf.DUMMYFUNCTION("IMPORTXML(E3809,""/html/body/main/div[3]/div[3]/div[2]/ul/li[7]/span[2]/span"")"),"Loading...")</f>
        <v>Loading...</v>
      </c>
      <c r="S3809" s="7" t="str">
        <f ca="1">IFERROR(__xludf.DUMMYFUNCTION("IMPORTXML(E3809,""/html/body/main/div[3]/div[3]/div[2]/ul/li[8]/span[2]/span"")"),"Loading...")</f>
        <v>Loading...</v>
      </c>
      <c r="T3809" s="4">
        <v>34.6</v>
      </c>
      <c r="U3809" s="4">
        <v>22.7</v>
      </c>
      <c r="V3809" s="4">
        <v>2.6</v>
      </c>
      <c r="W3809" s="4">
        <v>5.7</v>
      </c>
      <c r="X3809" s="4">
        <v>519.92999999999995</v>
      </c>
      <c r="Y3809" s="7" t="e">
        <f t="shared" ca="1" si="79"/>
        <v>#VALUE!</v>
      </c>
    </row>
    <row r="3810" spans="1:25" ht="15" x14ac:dyDescent="0.25">
      <c r="A3810" s="4">
        <v>3807</v>
      </c>
      <c r="C3810" s="41" t="s">
        <v>6169</v>
      </c>
      <c r="D3810" s="42"/>
      <c r="E3810" s="5" t="str">
        <f t="shared" si="75"/>
        <v>https://www.screener.in/company//consolidated/</v>
      </c>
      <c r="F3810" s="4">
        <v>443059</v>
      </c>
      <c r="G3810" s="4">
        <v>3832241897</v>
      </c>
      <c r="H3810" s="6" t="e">
        <f t="shared" ca="1" si="76"/>
        <v>#VALUE!</v>
      </c>
      <c r="I3810" s="7" t="str">
        <f ca="1">IFERROR(__xludf.DUMMYFUNCTION("IMPORTXML(E3810,""/html/body/main/div[3]/div[3]/div[2]/ul/li[5]/span[2]/span"")"),"Loading...")</f>
        <v>Loading...</v>
      </c>
      <c r="J3810" s="7" t="str">
        <f ca="1">IFERROR(__xludf.DUMMYFUNCTION("GOOGLEFINANCE(""NSE:""&amp;D3810,""marketcap"")"),"#N/A")</f>
        <v>#N/A</v>
      </c>
      <c r="K3810" s="7">
        <v>992.8</v>
      </c>
      <c r="L3810" s="8" t="str">
        <f ca="1">IFERROR(__xludf.DUMMYFUNCTION("GOOGLEFINANCE(""NSE:""&amp;D3810,""price"")"),"#N/A")</f>
        <v>#N/A</v>
      </c>
      <c r="M3810" s="9" t="e">
        <f t="shared" ca="1" si="77"/>
        <v>#VALUE!</v>
      </c>
      <c r="N3810" s="10" t="e">
        <f t="shared" ca="1" si="78"/>
        <v>#VALUE!</v>
      </c>
      <c r="O3810" s="7" t="str">
        <f ca="1">IFERROR(__xludf.DUMMYFUNCTION("GOOGLEFINANCE(""NSE:""&amp;D3810,""pe"")"),"#N/A")</f>
        <v>#N/A</v>
      </c>
      <c r="P3810" s="7" t="str">
        <f ca="1">IFERROR(__xludf.DUMMYFUNCTION("GOOGLEFINANCE(""NSE:""&amp;D3810,""EPS"")"),"#N/A")</f>
        <v>#N/A</v>
      </c>
      <c r="Q3810" s="7">
        <v>13.5</v>
      </c>
      <c r="R3810" s="7" t="str">
        <f ca="1">IFERROR(__xludf.DUMMYFUNCTION("IMPORTXML(E3810,""/html/body/main/div[3]/div[3]/div[2]/ul/li[7]/span[2]/span"")"),"Loading...")</f>
        <v>Loading...</v>
      </c>
      <c r="S3810" s="7" t="str">
        <f ca="1">IFERROR(__xludf.DUMMYFUNCTION("IMPORTXML(E3810,""/html/body/main/div[3]/div[3]/div[2]/ul/li[8]/span[2]/span"")"),"Loading...")</f>
        <v>Loading...</v>
      </c>
      <c r="T3810" s="4">
        <v>34.6</v>
      </c>
      <c r="U3810" s="4">
        <v>22.7</v>
      </c>
      <c r="V3810" s="4">
        <v>2.6</v>
      </c>
      <c r="W3810" s="4">
        <v>5.7</v>
      </c>
      <c r="X3810" s="4">
        <v>519.92999999999995</v>
      </c>
      <c r="Y3810" s="7" t="e">
        <f t="shared" ca="1" si="79"/>
        <v>#VALUE!</v>
      </c>
    </row>
    <row r="3811" spans="1:25" ht="15" x14ac:dyDescent="0.25">
      <c r="A3811" s="4">
        <v>3808</v>
      </c>
      <c r="C3811" s="41" t="s">
        <v>6170</v>
      </c>
      <c r="D3811" s="42"/>
      <c r="E3811" s="5" t="str">
        <f t="shared" si="75"/>
        <v>https://www.screener.in/company//consolidated/</v>
      </c>
      <c r="F3811" s="4">
        <v>443059</v>
      </c>
      <c r="G3811" s="4">
        <v>3832241897</v>
      </c>
      <c r="H3811" s="6" t="e">
        <f t="shared" ca="1" si="76"/>
        <v>#VALUE!</v>
      </c>
      <c r="I3811" s="7" t="str">
        <f ca="1">IFERROR(__xludf.DUMMYFUNCTION("IMPORTXML(E3811,""/html/body/main/div[3]/div[3]/div[2]/ul/li[5]/span[2]/span"")"),"Loading...")</f>
        <v>Loading...</v>
      </c>
      <c r="J3811" s="7" t="str">
        <f ca="1">IFERROR(__xludf.DUMMYFUNCTION("GOOGLEFINANCE(""NSE:""&amp;D3811,""marketcap"")"),"#N/A")</f>
        <v>#N/A</v>
      </c>
      <c r="K3811" s="7">
        <v>992.8</v>
      </c>
      <c r="L3811" s="8" t="str">
        <f ca="1">IFERROR(__xludf.DUMMYFUNCTION("GOOGLEFINANCE(""NSE:""&amp;D3811,""price"")"),"#N/A")</f>
        <v>#N/A</v>
      </c>
      <c r="M3811" s="9" t="e">
        <f t="shared" ca="1" si="77"/>
        <v>#VALUE!</v>
      </c>
      <c r="N3811" s="10" t="e">
        <f t="shared" ca="1" si="78"/>
        <v>#VALUE!</v>
      </c>
      <c r="O3811" s="7" t="str">
        <f ca="1">IFERROR(__xludf.DUMMYFUNCTION("GOOGLEFINANCE(""NSE:""&amp;D3811,""pe"")"),"#N/A")</f>
        <v>#N/A</v>
      </c>
      <c r="P3811" s="7" t="str">
        <f ca="1">IFERROR(__xludf.DUMMYFUNCTION("GOOGLEFINANCE(""NSE:""&amp;D3811,""EPS"")"),"#N/A")</f>
        <v>#N/A</v>
      </c>
      <c r="Q3811" s="7">
        <v>13.5</v>
      </c>
      <c r="R3811" s="7" t="str">
        <f ca="1">IFERROR(__xludf.DUMMYFUNCTION("IMPORTXML(E3811,""/html/body/main/div[3]/div[3]/div[2]/ul/li[7]/span[2]/span"")"),"Loading...")</f>
        <v>Loading...</v>
      </c>
      <c r="S3811" s="7" t="str">
        <f ca="1">IFERROR(__xludf.DUMMYFUNCTION("IMPORTXML(E3811,""/html/body/main/div[3]/div[3]/div[2]/ul/li[8]/span[2]/span"")"),"Loading...")</f>
        <v>Loading...</v>
      </c>
      <c r="T3811" s="4">
        <v>34.6</v>
      </c>
      <c r="U3811" s="4">
        <v>22.7</v>
      </c>
      <c r="V3811" s="4">
        <v>2.6</v>
      </c>
      <c r="W3811" s="4">
        <v>5.7</v>
      </c>
      <c r="X3811" s="4">
        <v>519.92999999999995</v>
      </c>
      <c r="Y3811" s="7" t="e">
        <f t="shared" ca="1" si="79"/>
        <v>#VALUE!</v>
      </c>
    </row>
    <row r="3812" spans="1:25" ht="15" x14ac:dyDescent="0.25">
      <c r="A3812" s="4">
        <v>3809</v>
      </c>
      <c r="C3812" s="41" t="s">
        <v>6171</v>
      </c>
      <c r="D3812" s="42"/>
      <c r="E3812" s="5" t="str">
        <f t="shared" si="75"/>
        <v>https://www.screener.in/company//consolidated/</v>
      </c>
      <c r="F3812" s="4">
        <v>443059</v>
      </c>
      <c r="G3812" s="4">
        <v>3832241897</v>
      </c>
      <c r="H3812" s="6" t="e">
        <f t="shared" ca="1" si="76"/>
        <v>#VALUE!</v>
      </c>
      <c r="I3812" s="7" t="str">
        <f ca="1">IFERROR(__xludf.DUMMYFUNCTION("IMPORTXML(E3812,""/html/body/main/div[3]/div[3]/div[2]/ul/li[5]/span[2]/span"")"),"Loading...")</f>
        <v>Loading...</v>
      </c>
      <c r="J3812" s="7" t="str">
        <f ca="1">IFERROR(__xludf.DUMMYFUNCTION("GOOGLEFINANCE(""NSE:""&amp;D3812,""marketcap"")"),"#N/A")</f>
        <v>#N/A</v>
      </c>
      <c r="K3812" s="7">
        <v>992.8</v>
      </c>
      <c r="L3812" s="8" t="str">
        <f ca="1">IFERROR(__xludf.DUMMYFUNCTION("GOOGLEFINANCE(""NSE:""&amp;D3812,""price"")"),"#N/A")</f>
        <v>#N/A</v>
      </c>
      <c r="M3812" s="9" t="e">
        <f t="shared" ca="1" si="77"/>
        <v>#VALUE!</v>
      </c>
      <c r="N3812" s="10" t="e">
        <f t="shared" ca="1" si="78"/>
        <v>#VALUE!</v>
      </c>
      <c r="O3812" s="7" t="str">
        <f ca="1">IFERROR(__xludf.DUMMYFUNCTION("GOOGLEFINANCE(""NSE:""&amp;D3812,""pe"")"),"#N/A")</f>
        <v>#N/A</v>
      </c>
      <c r="P3812" s="7" t="str">
        <f ca="1">IFERROR(__xludf.DUMMYFUNCTION("GOOGLEFINANCE(""NSE:""&amp;D3812,""EPS"")"),"#N/A")</f>
        <v>#N/A</v>
      </c>
      <c r="Q3812" s="7">
        <v>13.5</v>
      </c>
      <c r="R3812" s="7" t="str">
        <f ca="1">IFERROR(__xludf.DUMMYFUNCTION("IMPORTXML(E3812,""/html/body/main/div[3]/div[3]/div[2]/ul/li[7]/span[2]/span"")"),"Loading...")</f>
        <v>Loading...</v>
      </c>
      <c r="S3812" s="7" t="str">
        <f ca="1">IFERROR(__xludf.DUMMYFUNCTION("IMPORTXML(E3812,""/html/body/main/div[3]/div[3]/div[2]/ul/li[8]/span[2]/span"")"),"Loading...")</f>
        <v>Loading...</v>
      </c>
      <c r="T3812" s="4">
        <v>34.6</v>
      </c>
      <c r="U3812" s="4">
        <v>22.7</v>
      </c>
      <c r="V3812" s="4">
        <v>2.6</v>
      </c>
      <c r="W3812" s="4">
        <v>5.7</v>
      </c>
      <c r="X3812" s="4">
        <v>519.92999999999995</v>
      </c>
      <c r="Y3812" s="7" t="e">
        <f t="shared" ca="1" si="79"/>
        <v>#VALUE!</v>
      </c>
    </row>
    <row r="3813" spans="1:25" ht="15" x14ac:dyDescent="0.25">
      <c r="A3813" s="4">
        <v>3810</v>
      </c>
      <c r="C3813" s="41" t="s">
        <v>6172</v>
      </c>
      <c r="D3813" s="42"/>
      <c r="E3813" s="5" t="str">
        <f t="shared" si="75"/>
        <v>https://www.screener.in/company//consolidated/</v>
      </c>
      <c r="F3813" s="4">
        <v>443059</v>
      </c>
      <c r="G3813" s="4">
        <v>3832241897</v>
      </c>
      <c r="H3813" s="6" t="e">
        <f t="shared" ca="1" si="76"/>
        <v>#VALUE!</v>
      </c>
      <c r="I3813" s="7" t="str">
        <f ca="1">IFERROR(__xludf.DUMMYFUNCTION("IMPORTXML(E3813,""/html/body/main/div[3]/div[3]/div[2]/ul/li[5]/span[2]/span"")"),"Loading...")</f>
        <v>Loading...</v>
      </c>
      <c r="J3813" s="7" t="str">
        <f ca="1">IFERROR(__xludf.DUMMYFUNCTION("GOOGLEFINANCE(""NSE:""&amp;D3813,""marketcap"")"),"#N/A")</f>
        <v>#N/A</v>
      </c>
      <c r="K3813" s="7">
        <v>992.8</v>
      </c>
      <c r="L3813" s="8" t="str">
        <f ca="1">IFERROR(__xludf.DUMMYFUNCTION("GOOGLEFINANCE(""NSE:""&amp;D3813,""price"")"),"#N/A")</f>
        <v>#N/A</v>
      </c>
      <c r="M3813" s="9" t="e">
        <f t="shared" ca="1" si="77"/>
        <v>#VALUE!</v>
      </c>
      <c r="N3813" s="10" t="e">
        <f t="shared" ca="1" si="78"/>
        <v>#VALUE!</v>
      </c>
      <c r="O3813" s="7" t="str">
        <f ca="1">IFERROR(__xludf.DUMMYFUNCTION("GOOGLEFINANCE(""NSE:""&amp;D3813,""pe"")"),"#N/A")</f>
        <v>#N/A</v>
      </c>
      <c r="P3813" s="7" t="str">
        <f ca="1">IFERROR(__xludf.DUMMYFUNCTION("GOOGLEFINANCE(""NSE:""&amp;D3813,""EPS"")"),"#N/A")</f>
        <v>#N/A</v>
      </c>
      <c r="Q3813" s="7">
        <v>13.5</v>
      </c>
      <c r="R3813" s="7" t="str">
        <f ca="1">IFERROR(__xludf.DUMMYFUNCTION("IMPORTXML(E3813,""/html/body/main/div[3]/div[3]/div[2]/ul/li[7]/span[2]/span"")"),"Loading...")</f>
        <v>Loading...</v>
      </c>
      <c r="S3813" s="7" t="str">
        <f ca="1">IFERROR(__xludf.DUMMYFUNCTION("IMPORTXML(E3813,""/html/body/main/div[3]/div[3]/div[2]/ul/li[8]/span[2]/span"")"),"Loading...")</f>
        <v>Loading...</v>
      </c>
      <c r="T3813" s="4">
        <v>34.6</v>
      </c>
      <c r="U3813" s="4">
        <v>22.7</v>
      </c>
      <c r="V3813" s="4">
        <v>2.6</v>
      </c>
      <c r="W3813" s="4">
        <v>5.7</v>
      </c>
      <c r="X3813" s="4">
        <v>519.92999999999995</v>
      </c>
      <c r="Y3813" s="7" t="e">
        <f t="shared" ca="1" si="79"/>
        <v>#VALUE!</v>
      </c>
    </row>
    <row r="3814" spans="1:25" ht="15" x14ac:dyDescent="0.25">
      <c r="A3814" s="4">
        <v>3811</v>
      </c>
      <c r="C3814" s="41" t="s">
        <v>6173</v>
      </c>
      <c r="D3814" s="42"/>
      <c r="E3814" s="5" t="str">
        <f t="shared" si="75"/>
        <v>https://www.screener.in/company//consolidated/</v>
      </c>
      <c r="F3814" s="4">
        <v>443059</v>
      </c>
      <c r="G3814" s="4">
        <v>3832241897</v>
      </c>
      <c r="H3814" s="6" t="e">
        <f t="shared" ca="1" si="76"/>
        <v>#VALUE!</v>
      </c>
      <c r="I3814" s="7" t="str">
        <f ca="1">IFERROR(__xludf.DUMMYFUNCTION("IMPORTXML(E3814,""/html/body/main/div[3]/div[3]/div[2]/ul/li[5]/span[2]/span"")"),"Loading...")</f>
        <v>Loading...</v>
      </c>
      <c r="J3814" s="7" t="str">
        <f ca="1">IFERROR(__xludf.DUMMYFUNCTION("GOOGLEFINANCE(""NSE:""&amp;D3814,""marketcap"")"),"#N/A")</f>
        <v>#N/A</v>
      </c>
      <c r="K3814" s="7">
        <v>992.8</v>
      </c>
      <c r="L3814" s="8" t="str">
        <f ca="1">IFERROR(__xludf.DUMMYFUNCTION("GOOGLEFINANCE(""NSE:""&amp;D3814,""price"")"),"#N/A")</f>
        <v>#N/A</v>
      </c>
      <c r="M3814" s="9" t="e">
        <f t="shared" ca="1" si="77"/>
        <v>#VALUE!</v>
      </c>
      <c r="N3814" s="10" t="e">
        <f t="shared" ca="1" si="78"/>
        <v>#VALUE!</v>
      </c>
      <c r="O3814" s="7" t="str">
        <f ca="1">IFERROR(__xludf.DUMMYFUNCTION("GOOGLEFINANCE(""NSE:""&amp;D3814,""pe"")"),"#N/A")</f>
        <v>#N/A</v>
      </c>
      <c r="P3814" s="7" t="str">
        <f ca="1">IFERROR(__xludf.DUMMYFUNCTION("GOOGLEFINANCE(""NSE:""&amp;D3814,""EPS"")"),"#N/A")</f>
        <v>#N/A</v>
      </c>
      <c r="Q3814" s="7">
        <v>13.5</v>
      </c>
      <c r="R3814" s="7" t="str">
        <f ca="1">IFERROR(__xludf.DUMMYFUNCTION("IMPORTXML(E3814,""/html/body/main/div[3]/div[3]/div[2]/ul/li[7]/span[2]/span"")"),"Loading...")</f>
        <v>Loading...</v>
      </c>
      <c r="S3814" s="7" t="str">
        <f ca="1">IFERROR(__xludf.DUMMYFUNCTION("IMPORTXML(E3814,""/html/body/main/div[3]/div[3]/div[2]/ul/li[8]/span[2]/span"")"),"Loading...")</f>
        <v>Loading...</v>
      </c>
      <c r="T3814" s="4">
        <v>34.6</v>
      </c>
      <c r="U3814" s="4">
        <v>22.7</v>
      </c>
      <c r="V3814" s="4">
        <v>2.6</v>
      </c>
      <c r="W3814" s="4">
        <v>5.7</v>
      </c>
      <c r="X3814" s="4">
        <v>519.92999999999995</v>
      </c>
      <c r="Y3814" s="7" t="e">
        <f t="shared" ca="1" si="79"/>
        <v>#VALUE!</v>
      </c>
    </row>
    <row r="3815" spans="1:25" ht="15" x14ac:dyDescent="0.25">
      <c r="A3815" s="4">
        <v>3812</v>
      </c>
      <c r="C3815" s="41" t="s">
        <v>6174</v>
      </c>
      <c r="D3815" s="42"/>
      <c r="E3815" s="5" t="str">
        <f t="shared" si="75"/>
        <v>https://www.screener.in/company//consolidated/</v>
      </c>
      <c r="F3815" s="4">
        <v>443059</v>
      </c>
      <c r="G3815" s="4">
        <v>3832241897</v>
      </c>
      <c r="H3815" s="6" t="e">
        <f t="shared" ca="1" si="76"/>
        <v>#VALUE!</v>
      </c>
      <c r="I3815" s="7" t="str">
        <f ca="1">IFERROR(__xludf.DUMMYFUNCTION("IMPORTXML(E3815,""/html/body/main/div[3]/div[3]/div[2]/ul/li[5]/span[2]/span"")"),"Loading...")</f>
        <v>Loading...</v>
      </c>
      <c r="J3815" s="7" t="str">
        <f ca="1">IFERROR(__xludf.DUMMYFUNCTION("GOOGLEFINANCE(""NSE:""&amp;D3815,""marketcap"")"),"#N/A")</f>
        <v>#N/A</v>
      </c>
      <c r="K3815" s="7">
        <v>992.8</v>
      </c>
      <c r="L3815" s="8" t="str">
        <f ca="1">IFERROR(__xludf.DUMMYFUNCTION("GOOGLEFINANCE(""NSE:""&amp;D3815,""price"")"),"#N/A")</f>
        <v>#N/A</v>
      </c>
      <c r="M3815" s="9" t="e">
        <f t="shared" ca="1" si="77"/>
        <v>#VALUE!</v>
      </c>
      <c r="N3815" s="10" t="e">
        <f t="shared" ca="1" si="78"/>
        <v>#VALUE!</v>
      </c>
      <c r="O3815" s="7" t="str">
        <f ca="1">IFERROR(__xludf.DUMMYFUNCTION("GOOGLEFINANCE(""NSE:""&amp;D3815,""pe"")"),"#N/A")</f>
        <v>#N/A</v>
      </c>
      <c r="P3815" s="7" t="str">
        <f ca="1">IFERROR(__xludf.DUMMYFUNCTION("GOOGLEFINANCE(""NSE:""&amp;D3815,""EPS"")"),"#N/A")</f>
        <v>#N/A</v>
      </c>
      <c r="Q3815" s="7">
        <v>13.5</v>
      </c>
      <c r="R3815" s="7" t="str">
        <f ca="1">IFERROR(__xludf.DUMMYFUNCTION("IMPORTXML(E3815,""/html/body/main/div[3]/div[3]/div[2]/ul/li[7]/span[2]/span"")"),"Loading...")</f>
        <v>Loading...</v>
      </c>
      <c r="S3815" s="7" t="str">
        <f ca="1">IFERROR(__xludf.DUMMYFUNCTION("IMPORTXML(E3815,""/html/body/main/div[3]/div[3]/div[2]/ul/li[8]/span[2]/span"")"),"Loading...")</f>
        <v>Loading...</v>
      </c>
      <c r="T3815" s="4">
        <v>34.6</v>
      </c>
      <c r="U3815" s="4">
        <v>22.7</v>
      </c>
      <c r="V3815" s="4">
        <v>2.6</v>
      </c>
      <c r="W3815" s="4">
        <v>5.7</v>
      </c>
      <c r="X3815" s="4">
        <v>519.92999999999995</v>
      </c>
      <c r="Y3815" s="7" t="e">
        <f t="shared" ca="1" si="79"/>
        <v>#VALUE!</v>
      </c>
    </row>
    <row r="3816" spans="1:25" ht="15" x14ac:dyDescent="0.25">
      <c r="A3816" s="4">
        <v>3813</v>
      </c>
      <c r="C3816" s="41" t="s">
        <v>6175</v>
      </c>
      <c r="D3816" s="42"/>
      <c r="E3816" s="5" t="str">
        <f t="shared" si="75"/>
        <v>https://www.screener.in/company//consolidated/</v>
      </c>
      <c r="F3816" s="4">
        <v>443059</v>
      </c>
      <c r="G3816" s="4">
        <v>3832241897</v>
      </c>
      <c r="H3816" s="6" t="e">
        <f t="shared" ca="1" si="76"/>
        <v>#VALUE!</v>
      </c>
      <c r="I3816" s="7" t="str">
        <f ca="1">IFERROR(__xludf.DUMMYFUNCTION("IMPORTXML(E3816,""/html/body/main/div[3]/div[3]/div[2]/ul/li[5]/span[2]/span"")"),"Loading...")</f>
        <v>Loading...</v>
      </c>
      <c r="J3816" s="7" t="str">
        <f ca="1">IFERROR(__xludf.DUMMYFUNCTION("GOOGLEFINANCE(""NSE:""&amp;D3816,""marketcap"")"),"#N/A")</f>
        <v>#N/A</v>
      </c>
      <c r="K3816" s="7">
        <v>992.8</v>
      </c>
      <c r="L3816" s="8" t="str">
        <f ca="1">IFERROR(__xludf.DUMMYFUNCTION("GOOGLEFINANCE(""NSE:""&amp;D3816,""price"")"),"#N/A")</f>
        <v>#N/A</v>
      </c>
      <c r="M3816" s="9" t="e">
        <f t="shared" ca="1" si="77"/>
        <v>#VALUE!</v>
      </c>
      <c r="N3816" s="10" t="e">
        <f t="shared" ca="1" si="78"/>
        <v>#VALUE!</v>
      </c>
      <c r="O3816" s="7" t="str">
        <f ca="1">IFERROR(__xludf.DUMMYFUNCTION("GOOGLEFINANCE(""NSE:""&amp;D3816,""pe"")"),"#N/A")</f>
        <v>#N/A</v>
      </c>
      <c r="P3816" s="7" t="str">
        <f ca="1">IFERROR(__xludf.DUMMYFUNCTION("GOOGLEFINANCE(""NSE:""&amp;D3816,""EPS"")"),"#N/A")</f>
        <v>#N/A</v>
      </c>
      <c r="Q3816" s="7">
        <v>13.5</v>
      </c>
      <c r="R3816" s="7" t="str">
        <f ca="1">IFERROR(__xludf.DUMMYFUNCTION("IMPORTXML(E3816,""/html/body/main/div[3]/div[3]/div[2]/ul/li[7]/span[2]/span"")"),"Loading...")</f>
        <v>Loading...</v>
      </c>
      <c r="S3816" s="7" t="str">
        <f ca="1">IFERROR(__xludf.DUMMYFUNCTION("IMPORTXML(E3816,""/html/body/main/div[3]/div[3]/div[2]/ul/li[8]/span[2]/span"")"),"Loading...")</f>
        <v>Loading...</v>
      </c>
      <c r="T3816" s="4">
        <v>34.6</v>
      </c>
      <c r="U3816" s="4">
        <v>22.7</v>
      </c>
      <c r="V3816" s="4">
        <v>2.6</v>
      </c>
      <c r="W3816" s="4">
        <v>5.7</v>
      </c>
      <c r="X3816" s="4">
        <v>519.92999999999995</v>
      </c>
      <c r="Y3816" s="7" t="e">
        <f t="shared" ca="1" si="79"/>
        <v>#VALUE!</v>
      </c>
    </row>
    <row r="3817" spans="1:25" ht="15" x14ac:dyDescent="0.25">
      <c r="A3817" s="4">
        <v>3814</v>
      </c>
      <c r="C3817" s="41" t="s">
        <v>6176</v>
      </c>
      <c r="D3817" s="42"/>
      <c r="E3817" s="5" t="str">
        <f t="shared" si="75"/>
        <v>https://www.screener.in/company//consolidated/</v>
      </c>
      <c r="F3817" s="4">
        <v>443059</v>
      </c>
      <c r="G3817" s="4">
        <v>3832241897</v>
      </c>
      <c r="H3817" s="6" t="e">
        <f t="shared" ca="1" si="76"/>
        <v>#VALUE!</v>
      </c>
      <c r="I3817" s="7" t="str">
        <f ca="1">IFERROR(__xludf.DUMMYFUNCTION("IMPORTXML(E3817,""/html/body/main/div[3]/div[3]/div[2]/ul/li[5]/span[2]/span"")"),"Loading...")</f>
        <v>Loading...</v>
      </c>
      <c r="J3817" s="7" t="str">
        <f ca="1">IFERROR(__xludf.DUMMYFUNCTION("GOOGLEFINANCE(""NSE:""&amp;D3817,""marketcap"")"),"#N/A")</f>
        <v>#N/A</v>
      </c>
      <c r="K3817" s="7">
        <v>992.8</v>
      </c>
      <c r="L3817" s="8" t="str">
        <f ca="1">IFERROR(__xludf.DUMMYFUNCTION("GOOGLEFINANCE(""NSE:""&amp;D3817,""price"")"),"#N/A")</f>
        <v>#N/A</v>
      </c>
      <c r="M3817" s="9" t="e">
        <f t="shared" ca="1" si="77"/>
        <v>#VALUE!</v>
      </c>
      <c r="N3817" s="10" t="e">
        <f t="shared" ca="1" si="78"/>
        <v>#VALUE!</v>
      </c>
      <c r="O3817" s="7" t="str">
        <f ca="1">IFERROR(__xludf.DUMMYFUNCTION("GOOGLEFINANCE(""NSE:""&amp;D3817,""pe"")"),"#N/A")</f>
        <v>#N/A</v>
      </c>
      <c r="P3817" s="7" t="str">
        <f ca="1">IFERROR(__xludf.DUMMYFUNCTION("GOOGLEFINANCE(""NSE:""&amp;D3817,""EPS"")"),"#N/A")</f>
        <v>#N/A</v>
      </c>
      <c r="Q3817" s="7">
        <v>13.5</v>
      </c>
      <c r="R3817" s="7" t="str">
        <f ca="1">IFERROR(__xludf.DUMMYFUNCTION("IMPORTXML(E3817,""/html/body/main/div[3]/div[3]/div[2]/ul/li[7]/span[2]/span"")"),"Loading...")</f>
        <v>Loading...</v>
      </c>
      <c r="S3817" s="7" t="str">
        <f ca="1">IFERROR(__xludf.DUMMYFUNCTION("IMPORTXML(E3817,""/html/body/main/div[3]/div[3]/div[2]/ul/li[8]/span[2]/span"")"),"Loading...")</f>
        <v>Loading...</v>
      </c>
      <c r="T3817" s="4">
        <v>34.6</v>
      </c>
      <c r="U3817" s="4">
        <v>22.7</v>
      </c>
      <c r="V3817" s="4">
        <v>2.6</v>
      </c>
      <c r="W3817" s="4">
        <v>5.7</v>
      </c>
      <c r="X3817" s="4">
        <v>519.92999999999995</v>
      </c>
      <c r="Y3817" s="7" t="e">
        <f t="shared" ca="1" si="79"/>
        <v>#VALUE!</v>
      </c>
    </row>
    <row r="3818" spans="1:25" ht="15" x14ac:dyDescent="0.25">
      <c r="A3818" s="4">
        <v>3815</v>
      </c>
      <c r="C3818" s="41" t="s">
        <v>6177</v>
      </c>
      <c r="D3818" s="42"/>
      <c r="E3818" s="5" t="str">
        <f t="shared" si="75"/>
        <v>https://www.screener.in/company//consolidated/</v>
      </c>
      <c r="F3818" s="4">
        <v>443059</v>
      </c>
      <c r="G3818" s="4">
        <v>3832241897</v>
      </c>
      <c r="H3818" s="6" t="e">
        <f t="shared" ca="1" si="76"/>
        <v>#VALUE!</v>
      </c>
      <c r="I3818" s="7" t="str">
        <f ca="1">IFERROR(__xludf.DUMMYFUNCTION("IMPORTXML(E3818,""/html/body/main/div[3]/div[3]/div[2]/ul/li[5]/span[2]/span"")"),"Loading...")</f>
        <v>Loading...</v>
      </c>
      <c r="J3818" s="7" t="str">
        <f ca="1">IFERROR(__xludf.DUMMYFUNCTION("GOOGLEFINANCE(""NSE:""&amp;D3818,""marketcap"")"),"#N/A")</f>
        <v>#N/A</v>
      </c>
      <c r="K3818" s="7">
        <v>992.8</v>
      </c>
      <c r="L3818" s="8" t="str">
        <f ca="1">IFERROR(__xludf.DUMMYFUNCTION("GOOGLEFINANCE(""NSE:""&amp;D3818,""price"")"),"#N/A")</f>
        <v>#N/A</v>
      </c>
      <c r="M3818" s="9" t="e">
        <f t="shared" ca="1" si="77"/>
        <v>#VALUE!</v>
      </c>
      <c r="N3818" s="10" t="e">
        <f t="shared" ca="1" si="78"/>
        <v>#VALUE!</v>
      </c>
      <c r="O3818" s="7" t="str">
        <f ca="1">IFERROR(__xludf.DUMMYFUNCTION("GOOGLEFINANCE(""NSE:""&amp;D3818,""pe"")"),"#N/A")</f>
        <v>#N/A</v>
      </c>
      <c r="P3818" s="7" t="str">
        <f ca="1">IFERROR(__xludf.DUMMYFUNCTION("GOOGLEFINANCE(""NSE:""&amp;D3818,""EPS"")"),"#N/A")</f>
        <v>#N/A</v>
      </c>
      <c r="Q3818" s="7">
        <v>13.5</v>
      </c>
      <c r="R3818" s="7" t="str">
        <f ca="1">IFERROR(__xludf.DUMMYFUNCTION("IMPORTXML(E3818,""/html/body/main/div[3]/div[3]/div[2]/ul/li[7]/span[2]/span"")"),"Loading...")</f>
        <v>Loading...</v>
      </c>
      <c r="S3818" s="7" t="str">
        <f ca="1">IFERROR(__xludf.DUMMYFUNCTION("IMPORTXML(E3818,""/html/body/main/div[3]/div[3]/div[2]/ul/li[8]/span[2]/span"")"),"Loading...")</f>
        <v>Loading...</v>
      </c>
      <c r="T3818" s="4">
        <v>34.6</v>
      </c>
      <c r="U3818" s="4">
        <v>22.7</v>
      </c>
      <c r="V3818" s="4">
        <v>2.6</v>
      </c>
      <c r="W3818" s="4">
        <v>5.7</v>
      </c>
      <c r="X3818" s="4">
        <v>519.92999999999995</v>
      </c>
      <c r="Y3818" s="7" t="e">
        <f t="shared" ca="1" si="79"/>
        <v>#VALUE!</v>
      </c>
    </row>
    <row r="3819" spans="1:25" ht="15" x14ac:dyDescent="0.25">
      <c r="A3819" s="4">
        <v>3816</v>
      </c>
      <c r="C3819" s="41" t="s">
        <v>6178</v>
      </c>
      <c r="D3819" s="42"/>
      <c r="E3819" s="5" t="str">
        <f t="shared" si="75"/>
        <v>https://www.screener.in/company//consolidated/</v>
      </c>
      <c r="F3819" s="4">
        <v>443059</v>
      </c>
      <c r="G3819" s="4">
        <v>3832241897</v>
      </c>
      <c r="H3819" s="6" t="e">
        <f t="shared" ca="1" si="76"/>
        <v>#VALUE!</v>
      </c>
      <c r="I3819" s="7" t="str">
        <f ca="1">IFERROR(__xludf.DUMMYFUNCTION("IMPORTXML(E3819,""/html/body/main/div[3]/div[3]/div[2]/ul/li[5]/span[2]/span"")"),"Loading...")</f>
        <v>Loading...</v>
      </c>
      <c r="J3819" s="7" t="str">
        <f ca="1">IFERROR(__xludf.DUMMYFUNCTION("GOOGLEFINANCE(""NSE:""&amp;D3819,""marketcap"")"),"#N/A")</f>
        <v>#N/A</v>
      </c>
      <c r="K3819" s="7">
        <v>992.8</v>
      </c>
      <c r="L3819" s="8" t="str">
        <f ca="1">IFERROR(__xludf.DUMMYFUNCTION("GOOGLEFINANCE(""NSE:""&amp;D3819,""price"")"),"#N/A")</f>
        <v>#N/A</v>
      </c>
      <c r="M3819" s="9" t="e">
        <f t="shared" ca="1" si="77"/>
        <v>#VALUE!</v>
      </c>
      <c r="N3819" s="10" t="e">
        <f t="shared" ca="1" si="78"/>
        <v>#VALUE!</v>
      </c>
      <c r="O3819" s="7" t="str">
        <f ca="1">IFERROR(__xludf.DUMMYFUNCTION("GOOGLEFINANCE(""NSE:""&amp;D3819,""pe"")"),"#N/A")</f>
        <v>#N/A</v>
      </c>
      <c r="P3819" s="7" t="str">
        <f ca="1">IFERROR(__xludf.DUMMYFUNCTION("GOOGLEFINANCE(""NSE:""&amp;D3819,""EPS"")"),"#N/A")</f>
        <v>#N/A</v>
      </c>
      <c r="Q3819" s="7">
        <v>13.5</v>
      </c>
      <c r="R3819" s="7" t="str">
        <f ca="1">IFERROR(__xludf.DUMMYFUNCTION("IMPORTXML(E3819,""/html/body/main/div[3]/div[3]/div[2]/ul/li[7]/span[2]/span"")"),"Loading...")</f>
        <v>Loading...</v>
      </c>
      <c r="S3819" s="7" t="str">
        <f ca="1">IFERROR(__xludf.DUMMYFUNCTION("IMPORTXML(E3819,""/html/body/main/div[3]/div[3]/div[2]/ul/li[8]/span[2]/span"")"),"Loading...")</f>
        <v>Loading...</v>
      </c>
      <c r="T3819" s="4">
        <v>34.6</v>
      </c>
      <c r="U3819" s="4">
        <v>22.7</v>
      </c>
      <c r="V3819" s="4">
        <v>2.6</v>
      </c>
      <c r="W3819" s="4">
        <v>5.7</v>
      </c>
      <c r="X3819" s="4">
        <v>519.92999999999995</v>
      </c>
      <c r="Y3819" s="7" t="e">
        <f t="shared" ca="1" si="79"/>
        <v>#VALUE!</v>
      </c>
    </row>
    <row r="3820" spans="1:25" ht="15" x14ac:dyDescent="0.25">
      <c r="A3820" s="4">
        <v>3817</v>
      </c>
      <c r="C3820" s="41" t="s">
        <v>6179</v>
      </c>
      <c r="D3820" s="42"/>
      <c r="E3820" s="5" t="str">
        <f t="shared" si="75"/>
        <v>https://www.screener.in/company//consolidated/</v>
      </c>
      <c r="F3820" s="4">
        <v>443059</v>
      </c>
      <c r="G3820" s="4">
        <v>3832241897</v>
      </c>
      <c r="H3820" s="6" t="e">
        <f t="shared" ca="1" si="76"/>
        <v>#VALUE!</v>
      </c>
      <c r="I3820" s="7" t="str">
        <f ca="1">IFERROR(__xludf.DUMMYFUNCTION("IMPORTXML(E3820,""/html/body/main/div[3]/div[3]/div[2]/ul/li[5]/span[2]/span"")"),"Loading...")</f>
        <v>Loading...</v>
      </c>
      <c r="J3820" s="7" t="str">
        <f ca="1">IFERROR(__xludf.DUMMYFUNCTION("GOOGLEFINANCE(""NSE:""&amp;D3820,""marketcap"")"),"#N/A")</f>
        <v>#N/A</v>
      </c>
      <c r="K3820" s="7">
        <v>992.8</v>
      </c>
      <c r="L3820" s="8" t="str">
        <f ca="1">IFERROR(__xludf.DUMMYFUNCTION("GOOGLEFINANCE(""NSE:""&amp;D3820,""price"")"),"#N/A")</f>
        <v>#N/A</v>
      </c>
      <c r="M3820" s="9" t="e">
        <f t="shared" ca="1" si="77"/>
        <v>#VALUE!</v>
      </c>
      <c r="N3820" s="10" t="e">
        <f t="shared" ca="1" si="78"/>
        <v>#VALUE!</v>
      </c>
      <c r="O3820" s="7" t="str">
        <f ca="1">IFERROR(__xludf.DUMMYFUNCTION("GOOGLEFINANCE(""NSE:""&amp;D3820,""pe"")"),"#N/A")</f>
        <v>#N/A</v>
      </c>
      <c r="P3820" s="7" t="str">
        <f ca="1">IFERROR(__xludf.DUMMYFUNCTION("GOOGLEFINANCE(""NSE:""&amp;D3820,""EPS"")"),"#N/A")</f>
        <v>#N/A</v>
      </c>
      <c r="Q3820" s="7">
        <v>13.5</v>
      </c>
      <c r="R3820" s="7" t="str">
        <f ca="1">IFERROR(__xludf.DUMMYFUNCTION("IMPORTXML(E3820,""/html/body/main/div[3]/div[3]/div[2]/ul/li[7]/span[2]/span"")"),"Loading...")</f>
        <v>Loading...</v>
      </c>
      <c r="S3820" s="7" t="str">
        <f ca="1">IFERROR(__xludf.DUMMYFUNCTION("IMPORTXML(E3820,""/html/body/main/div[3]/div[3]/div[2]/ul/li[8]/span[2]/span"")"),"Loading...")</f>
        <v>Loading...</v>
      </c>
      <c r="T3820" s="4">
        <v>34.6</v>
      </c>
      <c r="U3820" s="4">
        <v>22.7</v>
      </c>
      <c r="V3820" s="4">
        <v>2.6</v>
      </c>
      <c r="W3820" s="4">
        <v>5.7</v>
      </c>
      <c r="X3820" s="4">
        <v>519.92999999999995</v>
      </c>
      <c r="Y3820" s="7" t="e">
        <f t="shared" ca="1" si="79"/>
        <v>#VALUE!</v>
      </c>
    </row>
    <row r="3821" spans="1:25" ht="15" x14ac:dyDescent="0.25">
      <c r="A3821" s="4">
        <v>3818</v>
      </c>
      <c r="C3821" s="41" t="s">
        <v>6180</v>
      </c>
      <c r="D3821" s="42"/>
      <c r="E3821" s="5" t="str">
        <f t="shared" si="75"/>
        <v>https://www.screener.in/company//consolidated/</v>
      </c>
      <c r="F3821" s="4">
        <v>443059</v>
      </c>
      <c r="G3821" s="4">
        <v>3832241897</v>
      </c>
      <c r="H3821" s="6" t="e">
        <f t="shared" ca="1" si="76"/>
        <v>#VALUE!</v>
      </c>
      <c r="I3821" s="7" t="str">
        <f ca="1">IFERROR(__xludf.DUMMYFUNCTION("IMPORTXML(E3821,""/html/body/main/div[3]/div[3]/div[2]/ul/li[5]/span[2]/span"")"),"Loading...")</f>
        <v>Loading...</v>
      </c>
      <c r="J3821" s="7" t="str">
        <f ca="1">IFERROR(__xludf.DUMMYFUNCTION("GOOGLEFINANCE(""NSE:""&amp;D3821,""marketcap"")"),"#N/A")</f>
        <v>#N/A</v>
      </c>
      <c r="K3821" s="7">
        <v>992.8</v>
      </c>
      <c r="L3821" s="8" t="str">
        <f ca="1">IFERROR(__xludf.DUMMYFUNCTION("GOOGLEFINANCE(""NSE:""&amp;D3821,""price"")"),"#N/A")</f>
        <v>#N/A</v>
      </c>
      <c r="M3821" s="9" t="e">
        <f t="shared" ca="1" si="77"/>
        <v>#VALUE!</v>
      </c>
      <c r="N3821" s="10" t="e">
        <f t="shared" ca="1" si="78"/>
        <v>#VALUE!</v>
      </c>
      <c r="O3821" s="7" t="str">
        <f ca="1">IFERROR(__xludf.DUMMYFUNCTION("GOOGLEFINANCE(""NSE:""&amp;D3821,""pe"")"),"#N/A")</f>
        <v>#N/A</v>
      </c>
      <c r="P3821" s="7" t="str">
        <f ca="1">IFERROR(__xludf.DUMMYFUNCTION("GOOGLEFINANCE(""NSE:""&amp;D3821,""EPS"")"),"#N/A")</f>
        <v>#N/A</v>
      </c>
      <c r="Q3821" s="7">
        <v>13.5</v>
      </c>
      <c r="R3821" s="7" t="str">
        <f ca="1">IFERROR(__xludf.DUMMYFUNCTION("IMPORTXML(E3821,""/html/body/main/div[3]/div[3]/div[2]/ul/li[7]/span[2]/span"")"),"Loading...")</f>
        <v>Loading...</v>
      </c>
      <c r="S3821" s="7" t="str">
        <f ca="1">IFERROR(__xludf.DUMMYFUNCTION("IMPORTXML(E3821,""/html/body/main/div[3]/div[3]/div[2]/ul/li[8]/span[2]/span"")"),"Loading...")</f>
        <v>Loading...</v>
      </c>
      <c r="T3821" s="4">
        <v>34.6</v>
      </c>
      <c r="U3821" s="4">
        <v>22.7</v>
      </c>
      <c r="V3821" s="4">
        <v>2.6</v>
      </c>
      <c r="W3821" s="4">
        <v>5.7</v>
      </c>
      <c r="X3821" s="4">
        <v>519.92999999999995</v>
      </c>
      <c r="Y3821" s="7" t="e">
        <f t="shared" ca="1" si="79"/>
        <v>#VALUE!</v>
      </c>
    </row>
    <row r="3822" spans="1:25" ht="15" x14ac:dyDescent="0.25">
      <c r="A3822" s="4">
        <v>3819</v>
      </c>
      <c r="C3822" s="41" t="s">
        <v>6181</v>
      </c>
      <c r="D3822" s="42"/>
      <c r="E3822" s="5" t="str">
        <f t="shared" si="75"/>
        <v>https://www.screener.in/company//consolidated/</v>
      </c>
      <c r="F3822" s="4">
        <v>443059</v>
      </c>
      <c r="G3822" s="4">
        <v>3832241897</v>
      </c>
      <c r="H3822" s="6" t="e">
        <f t="shared" ca="1" si="76"/>
        <v>#VALUE!</v>
      </c>
      <c r="I3822" s="7" t="str">
        <f ca="1">IFERROR(__xludf.DUMMYFUNCTION("IMPORTXML(E3822,""/html/body/main/div[3]/div[3]/div[2]/ul/li[5]/span[2]/span"")"),"Loading...")</f>
        <v>Loading...</v>
      </c>
      <c r="J3822" s="7" t="str">
        <f ca="1">IFERROR(__xludf.DUMMYFUNCTION("GOOGLEFINANCE(""NSE:""&amp;D3822,""marketcap"")"),"#N/A")</f>
        <v>#N/A</v>
      </c>
      <c r="K3822" s="7">
        <v>992.8</v>
      </c>
      <c r="L3822" s="8" t="str">
        <f ca="1">IFERROR(__xludf.DUMMYFUNCTION("GOOGLEFINANCE(""NSE:""&amp;D3822,""price"")"),"#N/A")</f>
        <v>#N/A</v>
      </c>
      <c r="M3822" s="9" t="e">
        <f t="shared" ca="1" si="77"/>
        <v>#VALUE!</v>
      </c>
      <c r="N3822" s="10" t="e">
        <f t="shared" ca="1" si="78"/>
        <v>#VALUE!</v>
      </c>
      <c r="O3822" s="7" t="str">
        <f ca="1">IFERROR(__xludf.DUMMYFUNCTION("GOOGLEFINANCE(""NSE:""&amp;D3822,""pe"")"),"#N/A")</f>
        <v>#N/A</v>
      </c>
      <c r="P3822" s="7" t="str">
        <f ca="1">IFERROR(__xludf.DUMMYFUNCTION("GOOGLEFINANCE(""NSE:""&amp;D3822,""EPS"")"),"#N/A")</f>
        <v>#N/A</v>
      </c>
      <c r="Q3822" s="7">
        <v>13.5</v>
      </c>
      <c r="R3822" s="7" t="str">
        <f ca="1">IFERROR(__xludf.DUMMYFUNCTION("IMPORTXML(E3822,""/html/body/main/div[3]/div[3]/div[2]/ul/li[7]/span[2]/span"")"),"Loading...")</f>
        <v>Loading...</v>
      </c>
      <c r="S3822" s="7" t="str">
        <f ca="1">IFERROR(__xludf.DUMMYFUNCTION("IMPORTXML(E3822,""/html/body/main/div[3]/div[3]/div[2]/ul/li[8]/span[2]/span"")"),"Loading...")</f>
        <v>Loading...</v>
      </c>
      <c r="T3822" s="4">
        <v>34.6</v>
      </c>
      <c r="U3822" s="4">
        <v>22.7</v>
      </c>
      <c r="V3822" s="4">
        <v>2.6</v>
      </c>
      <c r="W3822" s="4">
        <v>5.7</v>
      </c>
      <c r="X3822" s="4">
        <v>519.92999999999995</v>
      </c>
      <c r="Y3822" s="7" t="e">
        <f t="shared" ca="1" si="79"/>
        <v>#VALUE!</v>
      </c>
    </row>
    <row r="3823" spans="1:25" ht="15" x14ac:dyDescent="0.25">
      <c r="A3823" s="4">
        <v>3820</v>
      </c>
      <c r="C3823" s="41" t="s">
        <v>6182</v>
      </c>
      <c r="D3823" s="42"/>
      <c r="E3823" s="5" t="str">
        <f t="shared" si="75"/>
        <v>https://www.screener.in/company//consolidated/</v>
      </c>
      <c r="F3823" s="4">
        <v>443059</v>
      </c>
      <c r="G3823" s="4">
        <v>3832241897</v>
      </c>
      <c r="H3823" s="6" t="e">
        <f t="shared" ca="1" si="76"/>
        <v>#VALUE!</v>
      </c>
      <c r="I3823" s="7" t="str">
        <f ca="1">IFERROR(__xludf.DUMMYFUNCTION("IMPORTXML(E3823,""/html/body/main/div[3]/div[3]/div[2]/ul/li[5]/span[2]/span"")"),"Loading...")</f>
        <v>Loading...</v>
      </c>
      <c r="J3823" s="7" t="str">
        <f ca="1">IFERROR(__xludf.DUMMYFUNCTION("GOOGLEFINANCE(""NSE:""&amp;D3823,""marketcap"")"),"#N/A")</f>
        <v>#N/A</v>
      </c>
      <c r="K3823" s="7">
        <v>992.8</v>
      </c>
      <c r="L3823" s="8" t="str">
        <f ca="1">IFERROR(__xludf.DUMMYFUNCTION("GOOGLEFINANCE(""NSE:""&amp;D3823,""price"")"),"#N/A")</f>
        <v>#N/A</v>
      </c>
      <c r="M3823" s="9" t="e">
        <f t="shared" ca="1" si="77"/>
        <v>#VALUE!</v>
      </c>
      <c r="N3823" s="10" t="e">
        <f t="shared" ca="1" si="78"/>
        <v>#VALUE!</v>
      </c>
      <c r="O3823" s="7" t="str">
        <f ca="1">IFERROR(__xludf.DUMMYFUNCTION("GOOGLEFINANCE(""NSE:""&amp;D3823,""pe"")"),"#N/A")</f>
        <v>#N/A</v>
      </c>
      <c r="P3823" s="7" t="str">
        <f ca="1">IFERROR(__xludf.DUMMYFUNCTION("GOOGLEFINANCE(""NSE:""&amp;D3823,""EPS"")"),"#N/A")</f>
        <v>#N/A</v>
      </c>
      <c r="Q3823" s="7">
        <v>13.5</v>
      </c>
      <c r="R3823" s="7" t="str">
        <f ca="1">IFERROR(__xludf.DUMMYFUNCTION("IMPORTXML(E3823,""/html/body/main/div[3]/div[3]/div[2]/ul/li[7]/span[2]/span"")"),"Loading...")</f>
        <v>Loading...</v>
      </c>
      <c r="S3823" s="7" t="str">
        <f ca="1">IFERROR(__xludf.DUMMYFUNCTION("IMPORTXML(E3823,""/html/body/main/div[3]/div[3]/div[2]/ul/li[8]/span[2]/span"")"),"Loading...")</f>
        <v>Loading...</v>
      </c>
      <c r="T3823" s="4">
        <v>34.6</v>
      </c>
      <c r="U3823" s="4">
        <v>22.7</v>
      </c>
      <c r="V3823" s="4">
        <v>2.6</v>
      </c>
      <c r="W3823" s="4">
        <v>5.7</v>
      </c>
      <c r="X3823" s="4">
        <v>519.92999999999995</v>
      </c>
      <c r="Y3823" s="7" t="e">
        <f t="shared" ca="1" si="79"/>
        <v>#VALUE!</v>
      </c>
    </row>
    <row r="3824" spans="1:25" ht="15" x14ac:dyDescent="0.25">
      <c r="A3824" s="4">
        <v>3821</v>
      </c>
      <c r="C3824" s="41" t="s">
        <v>6183</v>
      </c>
      <c r="D3824" s="42"/>
      <c r="E3824" s="5" t="str">
        <f t="shared" si="75"/>
        <v>https://www.screener.in/company//consolidated/</v>
      </c>
      <c r="F3824" s="4">
        <v>443059</v>
      </c>
      <c r="G3824" s="4">
        <v>3832241897</v>
      </c>
      <c r="H3824" s="6" t="e">
        <f t="shared" ca="1" si="76"/>
        <v>#VALUE!</v>
      </c>
      <c r="I3824" s="7" t="str">
        <f ca="1">IFERROR(__xludf.DUMMYFUNCTION("IMPORTXML(E3824,""/html/body/main/div[3]/div[3]/div[2]/ul/li[5]/span[2]/span"")"),"Loading...")</f>
        <v>Loading...</v>
      </c>
      <c r="J3824" s="7" t="str">
        <f ca="1">IFERROR(__xludf.DUMMYFUNCTION("GOOGLEFINANCE(""NSE:""&amp;D3824,""marketcap"")"),"#N/A")</f>
        <v>#N/A</v>
      </c>
      <c r="K3824" s="7">
        <v>992.8</v>
      </c>
      <c r="L3824" s="8" t="str">
        <f ca="1">IFERROR(__xludf.DUMMYFUNCTION("GOOGLEFINANCE(""NSE:""&amp;D3824,""price"")"),"#N/A")</f>
        <v>#N/A</v>
      </c>
      <c r="M3824" s="9" t="e">
        <f t="shared" ca="1" si="77"/>
        <v>#VALUE!</v>
      </c>
      <c r="N3824" s="10" t="e">
        <f t="shared" ca="1" si="78"/>
        <v>#VALUE!</v>
      </c>
      <c r="O3824" s="7" t="str">
        <f ca="1">IFERROR(__xludf.DUMMYFUNCTION("GOOGLEFINANCE(""NSE:""&amp;D3824,""pe"")"),"#N/A")</f>
        <v>#N/A</v>
      </c>
      <c r="P3824" s="7" t="str">
        <f ca="1">IFERROR(__xludf.DUMMYFUNCTION("GOOGLEFINANCE(""NSE:""&amp;D3824,""EPS"")"),"#N/A")</f>
        <v>#N/A</v>
      </c>
      <c r="Q3824" s="7">
        <v>13.5</v>
      </c>
      <c r="R3824" s="7" t="str">
        <f ca="1">IFERROR(__xludf.DUMMYFUNCTION("IMPORTXML(E3824,""/html/body/main/div[3]/div[3]/div[2]/ul/li[7]/span[2]/span"")"),"Loading...")</f>
        <v>Loading...</v>
      </c>
      <c r="S3824" s="7" t="str">
        <f ca="1">IFERROR(__xludf.DUMMYFUNCTION("IMPORTXML(E3824,""/html/body/main/div[3]/div[3]/div[2]/ul/li[8]/span[2]/span"")"),"Loading...")</f>
        <v>Loading...</v>
      </c>
      <c r="T3824" s="4">
        <v>34.6</v>
      </c>
      <c r="U3824" s="4">
        <v>22.7</v>
      </c>
      <c r="V3824" s="4">
        <v>2.6</v>
      </c>
      <c r="W3824" s="4">
        <v>5.7</v>
      </c>
      <c r="X3824" s="4">
        <v>519.92999999999995</v>
      </c>
      <c r="Y3824" s="7" t="e">
        <f t="shared" ca="1" si="79"/>
        <v>#VALUE!</v>
      </c>
    </row>
    <row r="3825" spans="1:25" ht="15" x14ac:dyDescent="0.25">
      <c r="A3825" s="4">
        <v>3822</v>
      </c>
      <c r="C3825" s="41" t="s">
        <v>6184</v>
      </c>
      <c r="D3825" s="42"/>
      <c r="E3825" s="5" t="str">
        <f t="shared" si="75"/>
        <v>https://www.screener.in/company//consolidated/</v>
      </c>
      <c r="F3825" s="4">
        <v>443059</v>
      </c>
      <c r="G3825" s="4">
        <v>3832241897</v>
      </c>
      <c r="H3825" s="6" t="e">
        <f t="shared" ca="1" si="76"/>
        <v>#VALUE!</v>
      </c>
      <c r="I3825" s="7" t="str">
        <f ca="1">IFERROR(__xludf.DUMMYFUNCTION("IMPORTXML(E3825,""/html/body/main/div[3]/div[3]/div[2]/ul/li[5]/span[2]/span"")"),"Loading...")</f>
        <v>Loading...</v>
      </c>
      <c r="J3825" s="7" t="str">
        <f ca="1">IFERROR(__xludf.DUMMYFUNCTION("GOOGLEFINANCE(""NSE:""&amp;D3825,""marketcap"")"),"#N/A")</f>
        <v>#N/A</v>
      </c>
      <c r="K3825" s="7">
        <v>992.8</v>
      </c>
      <c r="L3825" s="8" t="str">
        <f ca="1">IFERROR(__xludf.DUMMYFUNCTION("GOOGLEFINANCE(""NSE:""&amp;D3825,""price"")"),"#N/A")</f>
        <v>#N/A</v>
      </c>
      <c r="M3825" s="9" t="e">
        <f t="shared" ca="1" si="77"/>
        <v>#VALUE!</v>
      </c>
      <c r="N3825" s="10" t="e">
        <f t="shared" ca="1" si="78"/>
        <v>#VALUE!</v>
      </c>
      <c r="O3825" s="7" t="str">
        <f ca="1">IFERROR(__xludf.DUMMYFUNCTION("GOOGLEFINANCE(""NSE:""&amp;D3825,""pe"")"),"#N/A")</f>
        <v>#N/A</v>
      </c>
      <c r="P3825" s="7" t="str">
        <f ca="1">IFERROR(__xludf.DUMMYFUNCTION("GOOGLEFINANCE(""NSE:""&amp;D3825,""EPS"")"),"#N/A")</f>
        <v>#N/A</v>
      </c>
      <c r="Q3825" s="7">
        <v>13.5</v>
      </c>
      <c r="R3825" s="7" t="str">
        <f ca="1">IFERROR(__xludf.DUMMYFUNCTION("IMPORTXML(E3825,""/html/body/main/div[3]/div[3]/div[2]/ul/li[7]/span[2]/span"")"),"Loading...")</f>
        <v>Loading...</v>
      </c>
      <c r="S3825" s="7" t="str">
        <f ca="1">IFERROR(__xludf.DUMMYFUNCTION("IMPORTXML(E3825,""/html/body/main/div[3]/div[3]/div[2]/ul/li[8]/span[2]/span"")"),"Loading...")</f>
        <v>Loading...</v>
      </c>
      <c r="T3825" s="4">
        <v>34.6</v>
      </c>
      <c r="U3825" s="4">
        <v>22.7</v>
      </c>
      <c r="V3825" s="4">
        <v>2.6</v>
      </c>
      <c r="W3825" s="4">
        <v>5.7</v>
      </c>
      <c r="X3825" s="4">
        <v>519.92999999999995</v>
      </c>
      <c r="Y3825" s="7" t="e">
        <f t="shared" ca="1" si="79"/>
        <v>#VALUE!</v>
      </c>
    </row>
    <row r="3826" spans="1:25" ht="15" x14ac:dyDescent="0.25">
      <c r="A3826" s="4">
        <v>3823</v>
      </c>
      <c r="C3826" s="12" t="s">
        <v>6185</v>
      </c>
      <c r="D3826" s="12" t="s">
        <v>6186</v>
      </c>
      <c r="E3826" s="5" t="str">
        <f t="shared" si="75"/>
        <v>https://www.screener.in/company/CREATIVEYE/consolidated/</v>
      </c>
      <c r="F3826" s="4">
        <v>443059</v>
      </c>
      <c r="G3826" s="4">
        <v>3832241897</v>
      </c>
      <c r="H3826" s="6">
        <f t="shared" ca="1" si="76"/>
        <v>2812.8655523980001</v>
      </c>
      <c r="I3826" s="7" t="str">
        <f ca="1">IFERROR(__xludf.DUMMYFUNCTION("IMPORTXML(E3826,""/html/body/main/div[3]/div[3]/div[2]/ul/li[5]/span[2]/span"")"),"Loading...")</f>
        <v>Loading...</v>
      </c>
      <c r="J3826" s="7">
        <f ca="1">IFERROR(__xludf.DUMMYFUNCTION("GOOGLEFINANCE(""NSE:""&amp;D3826,""marketcap"")"),147829300)</f>
        <v>147829300</v>
      </c>
      <c r="K3826" s="7">
        <v>992.8</v>
      </c>
      <c r="L3826" s="8">
        <f ca="1">IFERROR(__xludf.DUMMYFUNCTION("GOOGLEFINANCE(""NSE:""&amp;D3826,""price"")"),7.34)</f>
        <v>7.34</v>
      </c>
      <c r="M3826" s="9">
        <f t="shared" ca="1" si="77"/>
        <v>-985.45999999999992</v>
      </c>
      <c r="N3826" s="10">
        <f t="shared" ca="1" si="78"/>
        <v>-99.260676873489118</v>
      </c>
      <c r="O3826" s="7" t="str">
        <f ca="1">IFERROR(__xludf.DUMMYFUNCTION("GOOGLEFINANCE(""NSE:""&amp;D3826,""pe"")"),"#N/A")</f>
        <v>#N/A</v>
      </c>
      <c r="P3826" s="7">
        <f ca="1">IFERROR(__xludf.DUMMYFUNCTION("GOOGLEFINANCE(""NSE:""&amp;D3826,""EPS"")"),-0.42)</f>
        <v>-0.42</v>
      </c>
      <c r="Q3826" s="7">
        <v>13.5</v>
      </c>
      <c r="R3826" s="7" t="str">
        <f ca="1">IFERROR(__xludf.DUMMYFUNCTION("IMPORTXML(E3826,""/html/body/main/div[3]/div[3]/div[2]/ul/li[7]/span[2]/span"")"),"Loading...")</f>
        <v>Loading...</v>
      </c>
      <c r="S3826" s="7" t="str">
        <f ca="1">IFERROR(__xludf.DUMMYFUNCTION("IMPORTXML(E3826,""/html/body/main/div[3]/div[3]/div[2]/ul/li[8]/span[2]/span"")"),"Loading...")</f>
        <v>Loading...</v>
      </c>
      <c r="T3826" s="4">
        <v>34.6</v>
      </c>
      <c r="U3826" s="4">
        <v>22.7</v>
      </c>
      <c r="V3826" s="4">
        <v>2.6</v>
      </c>
      <c r="W3826" s="4">
        <v>5.7</v>
      </c>
      <c r="X3826" s="4">
        <v>519.92999999999995</v>
      </c>
      <c r="Y3826" s="7">
        <f t="shared" ca="1" si="79"/>
        <v>-512.58999999999992</v>
      </c>
    </row>
    <row r="3827" spans="1:25" ht="15" x14ac:dyDescent="0.25">
      <c r="A3827" s="4">
        <v>3824</v>
      </c>
      <c r="C3827" s="12" t="s">
        <v>6187</v>
      </c>
      <c r="D3827" s="12" t="s">
        <v>6188</v>
      </c>
      <c r="E3827" s="5" t="str">
        <f t="shared" si="75"/>
        <v>https://www.screener.in/company/DCMFINSERV/consolidated/</v>
      </c>
      <c r="F3827" s="4">
        <v>443059</v>
      </c>
      <c r="G3827" s="4">
        <v>3832241897</v>
      </c>
      <c r="H3827" s="6">
        <f t="shared" ca="1" si="76"/>
        <v>2272.5194449209998</v>
      </c>
      <c r="I3827" s="7" t="str">
        <f ca="1">IFERROR(__xludf.DUMMYFUNCTION("IMPORTXML(E3827,""/html/body/main/div[3]/div[3]/div[2]/ul/li[5]/span[2]/span"")"),"Loading...")</f>
        <v>Loading...</v>
      </c>
      <c r="J3827" s="7">
        <f ca="1">IFERROR(__xludf.DUMMYFUNCTION("GOOGLEFINANCE(""NSE:""&amp;D3827,""marketcap"")"),131201542)</f>
        <v>131201542</v>
      </c>
      <c r="K3827" s="7">
        <v>992.8</v>
      </c>
      <c r="L3827" s="8">
        <f ca="1">IFERROR(__xludf.DUMMYFUNCTION("GOOGLEFINANCE(""NSE:""&amp;D3827,""price"")"),5.93)</f>
        <v>5.93</v>
      </c>
      <c r="M3827" s="9">
        <f t="shared" ca="1" si="77"/>
        <v>-986.87</v>
      </c>
      <c r="N3827" s="10">
        <f t="shared" ca="1" si="78"/>
        <v>-99.402699435938771</v>
      </c>
      <c r="O3827" s="7" t="str">
        <f ca="1">IFERROR(__xludf.DUMMYFUNCTION("GOOGLEFINANCE(""NSE:""&amp;D3827,""pe"")"),"#N/A")</f>
        <v>#N/A</v>
      </c>
      <c r="P3827" s="7">
        <f ca="1">IFERROR(__xludf.DUMMYFUNCTION("GOOGLEFINANCE(""NSE:""&amp;D3827,""EPS"")"),-0.63)</f>
        <v>-0.63</v>
      </c>
      <c r="Q3827" s="7">
        <v>13.5</v>
      </c>
      <c r="R3827" s="7">
        <f ca="1">IFERROR(__xludf.DUMMYFUNCTION("IMPORTXML(E3827,""/html/body/main/div[3]/div[3]/div[2]/ul/li[7]/span[2]/span"")"),-3.32)</f>
        <v>-3.32</v>
      </c>
      <c r="S3827" s="7" t="str">
        <f ca="1">IFERROR(__xludf.DUMMYFUNCTION("IMPORTXML(E3827,""/html/body/main/div[3]/div[3]/div[2]/ul/li[8]/span[2]/span"")"),"Loading...")</f>
        <v>Loading...</v>
      </c>
      <c r="T3827" s="4">
        <v>34.6</v>
      </c>
      <c r="U3827" s="4">
        <v>22.7</v>
      </c>
      <c r="V3827" s="4">
        <v>2.6</v>
      </c>
      <c r="W3827" s="4">
        <v>5.7</v>
      </c>
      <c r="X3827" s="4">
        <v>519.92999999999995</v>
      </c>
      <c r="Y3827" s="7">
        <f t="shared" ca="1" si="79"/>
        <v>-514</v>
      </c>
    </row>
    <row r="3828" spans="1:25" ht="15" x14ac:dyDescent="0.25">
      <c r="A3828" s="4">
        <v>3825</v>
      </c>
      <c r="C3828" s="12" t="s">
        <v>6189</v>
      </c>
      <c r="D3828" s="12" t="s">
        <v>6190</v>
      </c>
      <c r="E3828" s="5" t="str">
        <f t="shared" si="75"/>
        <v>https://www.screener.in/company/SABEVENTS/consolidated/</v>
      </c>
      <c r="F3828" s="4">
        <v>443059</v>
      </c>
      <c r="G3828" s="4">
        <v>3832241897</v>
      </c>
      <c r="H3828" s="6">
        <f t="shared" ca="1" si="76"/>
        <v>2402.8156694189997</v>
      </c>
      <c r="I3828" s="7" t="str">
        <f ca="1">IFERROR(__xludf.DUMMYFUNCTION("IMPORTXML(E3828,""/html/body/main/div[3]/div[3]/div[2]/ul/li[5]/span[2]/span"")"),"Loading...")</f>
        <v>Loading...</v>
      </c>
      <c r="J3828" s="7">
        <f ca="1">IFERROR(__xludf.DUMMYFUNCTION("GOOGLEFINANCE(""NSE:""&amp;D3828,""marketcap"")"),65628030)</f>
        <v>65628030</v>
      </c>
      <c r="K3828" s="7">
        <v>992.8</v>
      </c>
      <c r="L3828" s="8">
        <f ca="1">IFERROR(__xludf.DUMMYFUNCTION("GOOGLEFINANCE(""NSE:""&amp;D3828,""price"")"),6.27)</f>
        <v>6.27</v>
      </c>
      <c r="M3828" s="9">
        <f t="shared" ca="1" si="77"/>
        <v>-986.53</v>
      </c>
      <c r="N3828" s="10">
        <f t="shared" ca="1" si="78"/>
        <v>-99.368452860596292</v>
      </c>
      <c r="O3828" s="7" t="str">
        <f ca="1">IFERROR(__xludf.DUMMYFUNCTION("GOOGLEFINANCE(""NSE:""&amp;D3828,""pe"")"),"#N/A")</f>
        <v>#N/A</v>
      </c>
      <c r="P3828" s="7">
        <f ca="1">IFERROR(__xludf.DUMMYFUNCTION("GOOGLEFINANCE(""NSE:""&amp;D3828,""EPS"")"),-0.54)</f>
        <v>-0.54</v>
      </c>
      <c r="Q3828" s="7">
        <v>13.5</v>
      </c>
      <c r="R3828" s="7" t="str">
        <f ca="1">IFERROR(__xludf.DUMMYFUNCTION("IMPORTXML(E3828,""/html/body/main/div[3]/div[3]/div[2]/ul/li[7]/span[2]/span"")"),"Loading...")</f>
        <v>Loading...</v>
      </c>
      <c r="S3828" s="7" t="str">
        <f ca="1">IFERROR(__xludf.DUMMYFUNCTION("IMPORTXML(E3828,""/html/body/main/div[3]/div[3]/div[2]/ul/li[8]/span[2]/span"")"),"Loading...")</f>
        <v>Loading...</v>
      </c>
      <c r="T3828" s="4">
        <v>34.6</v>
      </c>
      <c r="U3828" s="4">
        <v>22.7</v>
      </c>
      <c r="V3828" s="4">
        <v>2.6</v>
      </c>
      <c r="W3828" s="4">
        <v>5.7</v>
      </c>
      <c r="X3828" s="4">
        <v>519.92999999999995</v>
      </c>
      <c r="Y3828" s="7">
        <f t="shared" ca="1" si="79"/>
        <v>-513.66</v>
      </c>
    </row>
    <row r="3829" spans="1:25" ht="15" x14ac:dyDescent="0.25">
      <c r="A3829" s="4">
        <v>3826</v>
      </c>
      <c r="C3829" s="41" t="s">
        <v>6191</v>
      </c>
      <c r="D3829" s="42"/>
      <c r="E3829" s="5" t="str">
        <f t="shared" si="75"/>
        <v>https://www.screener.in/company//consolidated/</v>
      </c>
      <c r="F3829" s="4">
        <v>443059</v>
      </c>
      <c r="G3829" s="4">
        <v>3832241897</v>
      </c>
      <c r="H3829" s="6" t="e">
        <f t="shared" ca="1" si="76"/>
        <v>#VALUE!</v>
      </c>
      <c r="I3829" s="7" t="str">
        <f ca="1">IFERROR(__xludf.DUMMYFUNCTION("IMPORTXML(E3829,""/html/body/main/div[3]/div[3]/div[2]/ul/li[5]/span[2]/span"")"),"Loading...")</f>
        <v>Loading...</v>
      </c>
      <c r="J3829" s="7" t="str">
        <f ca="1">IFERROR(__xludf.DUMMYFUNCTION("GOOGLEFINANCE(""NSE:""&amp;D3829,""marketcap"")"),"#N/A")</f>
        <v>#N/A</v>
      </c>
      <c r="K3829" s="7">
        <v>992.8</v>
      </c>
      <c r="L3829" s="8" t="str">
        <f ca="1">IFERROR(__xludf.DUMMYFUNCTION("GOOGLEFINANCE(""NSE:""&amp;D3829,""price"")"),"#N/A")</f>
        <v>#N/A</v>
      </c>
      <c r="M3829" s="9" t="e">
        <f t="shared" ca="1" si="77"/>
        <v>#VALUE!</v>
      </c>
      <c r="N3829" s="10" t="e">
        <f t="shared" ca="1" si="78"/>
        <v>#VALUE!</v>
      </c>
      <c r="O3829" s="7" t="str">
        <f ca="1">IFERROR(__xludf.DUMMYFUNCTION("GOOGLEFINANCE(""NSE:""&amp;D3829,""pe"")"),"#N/A")</f>
        <v>#N/A</v>
      </c>
      <c r="P3829" s="7" t="str">
        <f ca="1">IFERROR(__xludf.DUMMYFUNCTION("GOOGLEFINANCE(""NSE:""&amp;D3829,""EPS"")"),"#N/A")</f>
        <v>#N/A</v>
      </c>
      <c r="Q3829" s="7">
        <v>13.5</v>
      </c>
      <c r="R3829" s="7" t="str">
        <f ca="1">IFERROR(__xludf.DUMMYFUNCTION("IMPORTXML(E3829,""/html/body/main/div[3]/div[3]/div[2]/ul/li[7]/span[2]/span"")"),"Loading...")</f>
        <v>Loading...</v>
      </c>
      <c r="S3829" s="7" t="str">
        <f ca="1">IFERROR(__xludf.DUMMYFUNCTION("IMPORTXML(E3829,""/html/body/main/div[3]/div[3]/div[2]/ul/li[8]/span[2]/span"")"),"Loading...")</f>
        <v>Loading...</v>
      </c>
      <c r="T3829" s="4">
        <v>34.6</v>
      </c>
      <c r="U3829" s="4">
        <v>22.7</v>
      </c>
      <c r="V3829" s="4">
        <v>2.6</v>
      </c>
      <c r="W3829" s="4">
        <v>5.7</v>
      </c>
      <c r="X3829" s="4">
        <v>519.92999999999995</v>
      </c>
      <c r="Y3829" s="7" t="e">
        <f t="shared" ca="1" si="79"/>
        <v>#VALUE!</v>
      </c>
    </row>
    <row r="3830" spans="1:25" ht="15" x14ac:dyDescent="0.25">
      <c r="A3830" s="4">
        <v>3827</v>
      </c>
      <c r="C3830" s="41" t="s">
        <v>6192</v>
      </c>
      <c r="D3830" s="42"/>
      <c r="E3830" s="5" t="str">
        <f t="shared" si="75"/>
        <v>https://www.screener.in/company//consolidated/</v>
      </c>
      <c r="F3830" s="4">
        <v>443059</v>
      </c>
      <c r="G3830" s="4">
        <v>3832241897</v>
      </c>
      <c r="H3830" s="6" t="e">
        <f t="shared" ca="1" si="76"/>
        <v>#VALUE!</v>
      </c>
      <c r="I3830" s="7" t="str">
        <f ca="1">IFERROR(__xludf.DUMMYFUNCTION("IMPORTXML(E3830,""/html/body/main/div[3]/div[3]/div[2]/ul/li[5]/span[2]/span"")"),"Loading...")</f>
        <v>Loading...</v>
      </c>
      <c r="J3830" s="7" t="str">
        <f ca="1">IFERROR(__xludf.DUMMYFUNCTION("GOOGLEFINANCE(""NSE:""&amp;D3830,""marketcap"")"),"#N/A")</f>
        <v>#N/A</v>
      </c>
      <c r="K3830" s="7">
        <v>992.8</v>
      </c>
      <c r="L3830" s="8" t="str">
        <f ca="1">IFERROR(__xludf.DUMMYFUNCTION("GOOGLEFINANCE(""NSE:""&amp;D3830,""price"")"),"#N/A")</f>
        <v>#N/A</v>
      </c>
      <c r="M3830" s="9" t="e">
        <f t="shared" ca="1" si="77"/>
        <v>#VALUE!</v>
      </c>
      <c r="N3830" s="10" t="e">
        <f t="shared" ca="1" si="78"/>
        <v>#VALUE!</v>
      </c>
      <c r="O3830" s="7" t="str">
        <f ca="1">IFERROR(__xludf.DUMMYFUNCTION("GOOGLEFINANCE(""NSE:""&amp;D3830,""pe"")"),"#N/A")</f>
        <v>#N/A</v>
      </c>
      <c r="P3830" s="7" t="str">
        <f ca="1">IFERROR(__xludf.DUMMYFUNCTION("GOOGLEFINANCE(""NSE:""&amp;D3830,""EPS"")"),"#N/A")</f>
        <v>#N/A</v>
      </c>
      <c r="Q3830" s="7">
        <v>13.5</v>
      </c>
      <c r="R3830" s="7" t="str">
        <f ca="1">IFERROR(__xludf.DUMMYFUNCTION("IMPORTXML(E3830,""/html/body/main/div[3]/div[3]/div[2]/ul/li[7]/span[2]/span"")"),"Loading...")</f>
        <v>Loading...</v>
      </c>
      <c r="S3830" s="7" t="str">
        <f ca="1">IFERROR(__xludf.DUMMYFUNCTION("IMPORTXML(E3830,""/html/body/main/div[3]/div[3]/div[2]/ul/li[8]/span[2]/span"")"),"Loading...")</f>
        <v>Loading...</v>
      </c>
      <c r="T3830" s="4">
        <v>34.6</v>
      </c>
      <c r="U3830" s="4">
        <v>22.7</v>
      </c>
      <c r="V3830" s="4">
        <v>2.6</v>
      </c>
      <c r="W3830" s="4">
        <v>5.7</v>
      </c>
      <c r="X3830" s="4">
        <v>519.92999999999995</v>
      </c>
      <c r="Y3830" s="7" t="e">
        <f t="shared" ca="1" si="79"/>
        <v>#VALUE!</v>
      </c>
    </row>
    <row r="3831" spans="1:25" ht="15" x14ac:dyDescent="0.25">
      <c r="A3831" s="4">
        <v>3828</v>
      </c>
      <c r="C3831" s="41" t="s">
        <v>6193</v>
      </c>
      <c r="D3831" s="42"/>
      <c r="E3831" s="5" t="str">
        <f t="shared" si="75"/>
        <v>https://www.screener.in/company//consolidated/</v>
      </c>
      <c r="F3831" s="4">
        <v>443059</v>
      </c>
      <c r="G3831" s="4">
        <v>3832241897</v>
      </c>
      <c r="H3831" s="6" t="e">
        <f t="shared" ca="1" si="76"/>
        <v>#VALUE!</v>
      </c>
      <c r="I3831" s="7" t="str">
        <f ca="1">IFERROR(__xludf.DUMMYFUNCTION("IMPORTXML(E3831,""/html/body/main/div[3]/div[3]/div[2]/ul/li[5]/span[2]/span"")"),"Loading...")</f>
        <v>Loading...</v>
      </c>
      <c r="J3831" s="7" t="str">
        <f ca="1">IFERROR(__xludf.DUMMYFUNCTION("GOOGLEFINANCE(""NSE:""&amp;D3831,""marketcap"")"),"#N/A")</f>
        <v>#N/A</v>
      </c>
      <c r="K3831" s="7">
        <v>992.8</v>
      </c>
      <c r="L3831" s="8" t="str">
        <f ca="1">IFERROR(__xludf.DUMMYFUNCTION("GOOGLEFINANCE(""NSE:""&amp;D3831,""price"")"),"#N/A")</f>
        <v>#N/A</v>
      </c>
      <c r="M3831" s="9" t="e">
        <f t="shared" ca="1" si="77"/>
        <v>#VALUE!</v>
      </c>
      <c r="N3831" s="10" t="e">
        <f t="shared" ca="1" si="78"/>
        <v>#VALUE!</v>
      </c>
      <c r="O3831" s="7" t="str">
        <f ca="1">IFERROR(__xludf.DUMMYFUNCTION("GOOGLEFINANCE(""NSE:""&amp;D3831,""pe"")"),"#N/A")</f>
        <v>#N/A</v>
      </c>
      <c r="P3831" s="7" t="str">
        <f ca="1">IFERROR(__xludf.DUMMYFUNCTION("GOOGLEFINANCE(""NSE:""&amp;D3831,""EPS"")"),"#N/A")</f>
        <v>#N/A</v>
      </c>
      <c r="Q3831" s="7">
        <v>13.5</v>
      </c>
      <c r="R3831" s="7" t="str">
        <f ca="1">IFERROR(__xludf.DUMMYFUNCTION("IMPORTXML(E3831,""/html/body/main/div[3]/div[3]/div[2]/ul/li[7]/span[2]/span"")"),"Loading...")</f>
        <v>Loading...</v>
      </c>
      <c r="S3831" s="7" t="str">
        <f ca="1">IFERROR(__xludf.DUMMYFUNCTION("IMPORTXML(E3831,""/html/body/main/div[3]/div[3]/div[2]/ul/li[8]/span[2]/span"")"),"Loading...")</f>
        <v>Loading...</v>
      </c>
      <c r="T3831" s="4">
        <v>34.6</v>
      </c>
      <c r="U3831" s="4">
        <v>22.7</v>
      </c>
      <c r="V3831" s="4">
        <v>2.6</v>
      </c>
      <c r="W3831" s="4">
        <v>5.7</v>
      </c>
      <c r="X3831" s="4">
        <v>519.92999999999995</v>
      </c>
      <c r="Y3831" s="7" t="e">
        <f t="shared" ca="1" si="79"/>
        <v>#VALUE!</v>
      </c>
    </row>
    <row r="3832" spans="1:25" ht="15" x14ac:dyDescent="0.25">
      <c r="A3832" s="4">
        <v>3829</v>
      </c>
      <c r="C3832" s="41" t="s">
        <v>6194</v>
      </c>
      <c r="D3832" s="42"/>
      <c r="E3832" s="5" t="str">
        <f t="shared" si="75"/>
        <v>https://www.screener.in/company//consolidated/</v>
      </c>
      <c r="F3832" s="4">
        <v>443059</v>
      </c>
      <c r="G3832" s="4">
        <v>3832241897</v>
      </c>
      <c r="H3832" s="6" t="e">
        <f t="shared" ca="1" si="76"/>
        <v>#VALUE!</v>
      </c>
      <c r="I3832" s="7" t="str">
        <f ca="1">IFERROR(__xludf.DUMMYFUNCTION("IMPORTXML(E3832,""/html/body/main/div[3]/div[3]/div[2]/ul/li[5]/span[2]/span"")"),"Loading...")</f>
        <v>Loading...</v>
      </c>
      <c r="J3832" s="7" t="str">
        <f ca="1">IFERROR(__xludf.DUMMYFUNCTION("GOOGLEFINANCE(""NSE:""&amp;D3832,""marketcap"")"),"#N/A")</f>
        <v>#N/A</v>
      </c>
      <c r="K3832" s="7">
        <v>992.8</v>
      </c>
      <c r="L3832" s="8" t="str">
        <f ca="1">IFERROR(__xludf.DUMMYFUNCTION("GOOGLEFINANCE(""NSE:""&amp;D3832,""price"")"),"#N/A")</f>
        <v>#N/A</v>
      </c>
      <c r="M3832" s="9" t="e">
        <f t="shared" ca="1" si="77"/>
        <v>#VALUE!</v>
      </c>
      <c r="N3832" s="10" t="e">
        <f t="shared" ca="1" si="78"/>
        <v>#VALUE!</v>
      </c>
      <c r="O3832" s="7" t="str">
        <f ca="1">IFERROR(__xludf.DUMMYFUNCTION("GOOGLEFINANCE(""NSE:""&amp;D3832,""pe"")"),"#N/A")</f>
        <v>#N/A</v>
      </c>
      <c r="P3832" s="7" t="str">
        <f ca="1">IFERROR(__xludf.DUMMYFUNCTION("GOOGLEFINANCE(""NSE:""&amp;D3832,""EPS"")"),"#N/A")</f>
        <v>#N/A</v>
      </c>
      <c r="Q3832" s="7">
        <v>13.5</v>
      </c>
      <c r="R3832" s="7" t="str">
        <f ca="1">IFERROR(__xludf.DUMMYFUNCTION("IMPORTXML(E3832,""/html/body/main/div[3]/div[3]/div[2]/ul/li[7]/span[2]/span"")"),"Loading...")</f>
        <v>Loading...</v>
      </c>
      <c r="S3832" s="7" t="str">
        <f ca="1">IFERROR(__xludf.DUMMYFUNCTION("IMPORTXML(E3832,""/html/body/main/div[3]/div[3]/div[2]/ul/li[8]/span[2]/span"")"),"Loading...")</f>
        <v>Loading...</v>
      </c>
      <c r="T3832" s="4">
        <v>34.6</v>
      </c>
      <c r="U3832" s="4">
        <v>22.7</v>
      </c>
      <c r="V3832" s="4">
        <v>2.6</v>
      </c>
      <c r="W3832" s="4">
        <v>5.7</v>
      </c>
      <c r="X3832" s="4">
        <v>519.92999999999995</v>
      </c>
      <c r="Y3832" s="7" t="e">
        <f t="shared" ca="1" si="79"/>
        <v>#VALUE!</v>
      </c>
    </row>
    <row r="3833" spans="1:25" ht="15" x14ac:dyDescent="0.25">
      <c r="A3833" s="4">
        <v>3830</v>
      </c>
      <c r="C3833" s="41" t="s">
        <v>6195</v>
      </c>
      <c r="D3833" s="42"/>
      <c r="E3833" s="5" t="str">
        <f t="shared" si="75"/>
        <v>https://www.screener.in/company//consolidated/</v>
      </c>
      <c r="F3833" s="4">
        <v>443059</v>
      </c>
      <c r="G3833" s="4">
        <v>3832241897</v>
      </c>
      <c r="H3833" s="6" t="e">
        <f t="shared" ca="1" si="76"/>
        <v>#VALUE!</v>
      </c>
      <c r="I3833" s="7" t="str">
        <f ca="1">IFERROR(__xludf.DUMMYFUNCTION("IMPORTXML(E3833,""/html/body/main/div[3]/div[3]/div[2]/ul/li[5]/span[2]/span"")"),"Loading...")</f>
        <v>Loading...</v>
      </c>
      <c r="J3833" s="7" t="str">
        <f ca="1">IFERROR(__xludf.DUMMYFUNCTION("GOOGLEFINANCE(""NSE:""&amp;D3833,""marketcap"")"),"#N/A")</f>
        <v>#N/A</v>
      </c>
      <c r="K3833" s="7">
        <v>992.8</v>
      </c>
      <c r="L3833" s="8" t="str">
        <f ca="1">IFERROR(__xludf.DUMMYFUNCTION("GOOGLEFINANCE(""NSE:""&amp;D3833,""price"")"),"#N/A")</f>
        <v>#N/A</v>
      </c>
      <c r="M3833" s="9" t="e">
        <f t="shared" ca="1" si="77"/>
        <v>#VALUE!</v>
      </c>
      <c r="N3833" s="10" t="e">
        <f t="shared" ca="1" si="78"/>
        <v>#VALUE!</v>
      </c>
      <c r="O3833" s="7" t="str">
        <f ca="1">IFERROR(__xludf.DUMMYFUNCTION("GOOGLEFINANCE(""NSE:""&amp;D3833,""pe"")"),"#N/A")</f>
        <v>#N/A</v>
      </c>
      <c r="P3833" s="7" t="str">
        <f ca="1">IFERROR(__xludf.DUMMYFUNCTION("GOOGLEFINANCE(""NSE:""&amp;D3833,""EPS"")"),"#N/A")</f>
        <v>#N/A</v>
      </c>
      <c r="Q3833" s="7">
        <v>13.5</v>
      </c>
      <c r="R3833" s="7" t="str">
        <f ca="1">IFERROR(__xludf.DUMMYFUNCTION("IMPORTXML(E3833,""/html/body/main/div[3]/div[3]/div[2]/ul/li[7]/span[2]/span"")"),"Loading...")</f>
        <v>Loading...</v>
      </c>
      <c r="S3833" s="7" t="str">
        <f ca="1">IFERROR(__xludf.DUMMYFUNCTION("IMPORTXML(E3833,""/html/body/main/div[3]/div[3]/div[2]/ul/li[8]/span[2]/span"")"),"Loading...")</f>
        <v>Loading...</v>
      </c>
      <c r="T3833" s="4">
        <v>34.6</v>
      </c>
      <c r="U3833" s="4">
        <v>22.7</v>
      </c>
      <c r="V3833" s="4">
        <v>2.6</v>
      </c>
      <c r="W3833" s="4">
        <v>5.7</v>
      </c>
      <c r="X3833" s="4">
        <v>519.92999999999995</v>
      </c>
      <c r="Y3833" s="7" t="e">
        <f t="shared" ca="1" si="79"/>
        <v>#VALUE!</v>
      </c>
    </row>
    <row r="3834" spans="1:25" ht="15" x14ac:dyDescent="0.25">
      <c r="A3834" s="4">
        <v>3831</v>
      </c>
      <c r="C3834" s="41" t="s">
        <v>6196</v>
      </c>
      <c r="D3834" s="42"/>
      <c r="E3834" s="5" t="str">
        <f t="shared" si="75"/>
        <v>https://www.screener.in/company//consolidated/</v>
      </c>
      <c r="F3834" s="4">
        <v>443059</v>
      </c>
      <c r="G3834" s="4">
        <v>3832241897</v>
      </c>
      <c r="H3834" s="6" t="e">
        <f t="shared" ca="1" si="76"/>
        <v>#VALUE!</v>
      </c>
      <c r="I3834" s="7" t="str">
        <f ca="1">IFERROR(__xludf.DUMMYFUNCTION("IMPORTXML(E3834,""/html/body/main/div[3]/div[3]/div[2]/ul/li[5]/span[2]/span"")"),"Loading...")</f>
        <v>Loading...</v>
      </c>
      <c r="J3834" s="7" t="str">
        <f ca="1">IFERROR(__xludf.DUMMYFUNCTION("GOOGLEFINANCE(""NSE:""&amp;D3834,""marketcap"")"),"#N/A")</f>
        <v>#N/A</v>
      </c>
      <c r="K3834" s="7">
        <v>992.8</v>
      </c>
      <c r="L3834" s="8" t="str">
        <f ca="1">IFERROR(__xludf.DUMMYFUNCTION("GOOGLEFINANCE(""NSE:""&amp;D3834,""price"")"),"#N/A")</f>
        <v>#N/A</v>
      </c>
      <c r="M3834" s="9" t="e">
        <f t="shared" ca="1" si="77"/>
        <v>#VALUE!</v>
      </c>
      <c r="N3834" s="10" t="e">
        <f t="shared" ca="1" si="78"/>
        <v>#VALUE!</v>
      </c>
      <c r="O3834" s="7" t="str">
        <f ca="1">IFERROR(__xludf.DUMMYFUNCTION("GOOGLEFINANCE(""NSE:""&amp;D3834,""pe"")"),"#N/A")</f>
        <v>#N/A</v>
      </c>
      <c r="P3834" s="7" t="str">
        <f ca="1">IFERROR(__xludf.DUMMYFUNCTION("GOOGLEFINANCE(""NSE:""&amp;D3834,""EPS"")"),"#N/A")</f>
        <v>#N/A</v>
      </c>
      <c r="Q3834" s="7">
        <v>13.5</v>
      </c>
      <c r="R3834" s="7" t="str">
        <f ca="1">IFERROR(__xludf.DUMMYFUNCTION("IMPORTXML(E3834,""/html/body/main/div[3]/div[3]/div[2]/ul/li[7]/span[2]/span"")"),"Loading...")</f>
        <v>Loading...</v>
      </c>
      <c r="S3834" s="7" t="str">
        <f ca="1">IFERROR(__xludf.DUMMYFUNCTION("IMPORTXML(E3834,""/html/body/main/div[3]/div[3]/div[2]/ul/li[8]/span[2]/span"")"),"Loading...")</f>
        <v>Loading...</v>
      </c>
      <c r="T3834" s="4">
        <v>34.6</v>
      </c>
      <c r="U3834" s="4">
        <v>22.7</v>
      </c>
      <c r="V3834" s="4">
        <v>2.6</v>
      </c>
      <c r="W3834" s="4">
        <v>5.7</v>
      </c>
      <c r="X3834" s="4">
        <v>519.92999999999995</v>
      </c>
      <c r="Y3834" s="7" t="e">
        <f t="shared" ca="1" si="79"/>
        <v>#VALUE!</v>
      </c>
    </row>
    <row r="3835" spans="1:25" ht="15" x14ac:dyDescent="0.25">
      <c r="A3835" s="4">
        <v>3832</v>
      </c>
      <c r="C3835" s="41" t="s">
        <v>6197</v>
      </c>
      <c r="D3835" s="42"/>
      <c r="E3835" s="5" t="str">
        <f t="shared" si="75"/>
        <v>https://www.screener.in/company//consolidated/</v>
      </c>
      <c r="F3835" s="4">
        <v>443059</v>
      </c>
      <c r="G3835" s="4">
        <v>3832241897</v>
      </c>
      <c r="H3835" s="6" t="e">
        <f t="shared" ca="1" si="76"/>
        <v>#VALUE!</v>
      </c>
      <c r="I3835" s="7" t="str">
        <f ca="1">IFERROR(__xludf.DUMMYFUNCTION("IMPORTXML(E3835,""/html/body/main/div[3]/div[3]/div[2]/ul/li[5]/span[2]/span"")"),"Loading...")</f>
        <v>Loading...</v>
      </c>
      <c r="J3835" s="7" t="str">
        <f ca="1">IFERROR(__xludf.DUMMYFUNCTION("GOOGLEFINANCE(""NSE:""&amp;D3835,""marketcap"")"),"#N/A")</f>
        <v>#N/A</v>
      </c>
      <c r="K3835" s="7">
        <v>992.8</v>
      </c>
      <c r="L3835" s="8" t="str">
        <f ca="1">IFERROR(__xludf.DUMMYFUNCTION("GOOGLEFINANCE(""NSE:""&amp;D3835,""price"")"),"#N/A")</f>
        <v>#N/A</v>
      </c>
      <c r="M3835" s="9" t="e">
        <f t="shared" ca="1" si="77"/>
        <v>#VALUE!</v>
      </c>
      <c r="N3835" s="10" t="e">
        <f t="shared" ca="1" si="78"/>
        <v>#VALUE!</v>
      </c>
      <c r="O3835" s="7" t="str">
        <f ca="1">IFERROR(__xludf.DUMMYFUNCTION("GOOGLEFINANCE(""NSE:""&amp;D3835,""pe"")"),"#N/A")</f>
        <v>#N/A</v>
      </c>
      <c r="P3835" s="7" t="str">
        <f ca="1">IFERROR(__xludf.DUMMYFUNCTION("GOOGLEFINANCE(""NSE:""&amp;D3835,""EPS"")"),"#N/A")</f>
        <v>#N/A</v>
      </c>
      <c r="Q3835" s="7">
        <v>13.5</v>
      </c>
      <c r="R3835" s="7" t="str">
        <f ca="1">IFERROR(__xludf.DUMMYFUNCTION("IMPORTXML(E3835,""/html/body/main/div[3]/div[3]/div[2]/ul/li[7]/span[2]/span"")"),"Loading...")</f>
        <v>Loading...</v>
      </c>
      <c r="S3835" s="7" t="str">
        <f ca="1">IFERROR(__xludf.DUMMYFUNCTION("IMPORTXML(E3835,""/html/body/main/div[3]/div[3]/div[2]/ul/li[8]/span[2]/span"")"),"Loading...")</f>
        <v>Loading...</v>
      </c>
      <c r="T3835" s="4">
        <v>34.6</v>
      </c>
      <c r="U3835" s="4">
        <v>22.7</v>
      </c>
      <c r="V3835" s="4">
        <v>2.6</v>
      </c>
      <c r="W3835" s="4">
        <v>5.7</v>
      </c>
      <c r="X3835" s="4">
        <v>519.92999999999995</v>
      </c>
      <c r="Y3835" s="7" t="e">
        <f t="shared" ca="1" si="79"/>
        <v>#VALUE!</v>
      </c>
    </row>
    <row r="3836" spans="1:25" ht="15" x14ac:dyDescent="0.25">
      <c r="A3836" s="4">
        <v>3833</v>
      </c>
      <c r="C3836" s="41" t="s">
        <v>6198</v>
      </c>
      <c r="D3836" s="42"/>
      <c r="E3836" s="5" t="str">
        <f t="shared" si="75"/>
        <v>https://www.screener.in/company//consolidated/</v>
      </c>
      <c r="F3836" s="4">
        <v>443059</v>
      </c>
      <c r="G3836" s="4">
        <v>3832241897</v>
      </c>
      <c r="H3836" s="6" t="e">
        <f t="shared" ca="1" si="76"/>
        <v>#VALUE!</v>
      </c>
      <c r="I3836" s="7" t="str">
        <f ca="1">IFERROR(__xludf.DUMMYFUNCTION("IMPORTXML(E3836,""/html/body/main/div[3]/div[3]/div[2]/ul/li[5]/span[2]/span"")"),"Loading...")</f>
        <v>Loading...</v>
      </c>
      <c r="J3836" s="7" t="str">
        <f ca="1">IFERROR(__xludf.DUMMYFUNCTION("GOOGLEFINANCE(""NSE:""&amp;D3836,""marketcap"")"),"#N/A")</f>
        <v>#N/A</v>
      </c>
      <c r="K3836" s="7">
        <v>992.8</v>
      </c>
      <c r="L3836" s="8" t="str">
        <f ca="1">IFERROR(__xludf.DUMMYFUNCTION("GOOGLEFINANCE(""NSE:""&amp;D3836,""price"")"),"#N/A")</f>
        <v>#N/A</v>
      </c>
      <c r="M3836" s="9" t="e">
        <f t="shared" ca="1" si="77"/>
        <v>#VALUE!</v>
      </c>
      <c r="N3836" s="10" t="e">
        <f t="shared" ca="1" si="78"/>
        <v>#VALUE!</v>
      </c>
      <c r="O3836" s="7" t="str">
        <f ca="1">IFERROR(__xludf.DUMMYFUNCTION("GOOGLEFINANCE(""NSE:""&amp;D3836,""pe"")"),"#N/A")</f>
        <v>#N/A</v>
      </c>
      <c r="P3836" s="7" t="str">
        <f ca="1">IFERROR(__xludf.DUMMYFUNCTION("GOOGLEFINANCE(""NSE:""&amp;D3836,""EPS"")"),"#N/A")</f>
        <v>#N/A</v>
      </c>
      <c r="Q3836" s="7">
        <v>13.5</v>
      </c>
      <c r="R3836" s="7" t="str">
        <f ca="1">IFERROR(__xludf.DUMMYFUNCTION("IMPORTXML(E3836,""/html/body/main/div[3]/div[3]/div[2]/ul/li[7]/span[2]/span"")"),"Loading...")</f>
        <v>Loading...</v>
      </c>
      <c r="S3836" s="7" t="str">
        <f ca="1">IFERROR(__xludf.DUMMYFUNCTION("IMPORTXML(E3836,""/html/body/main/div[3]/div[3]/div[2]/ul/li[8]/span[2]/span"")"),"Loading...")</f>
        <v>Loading...</v>
      </c>
      <c r="T3836" s="4">
        <v>34.6</v>
      </c>
      <c r="U3836" s="4">
        <v>22.7</v>
      </c>
      <c r="V3836" s="4">
        <v>2.6</v>
      </c>
      <c r="W3836" s="4">
        <v>5.7</v>
      </c>
      <c r="X3836" s="4">
        <v>519.92999999999995</v>
      </c>
      <c r="Y3836" s="7" t="e">
        <f t="shared" ca="1" si="79"/>
        <v>#VALUE!</v>
      </c>
    </row>
    <row r="3837" spans="1:25" ht="15" x14ac:dyDescent="0.25">
      <c r="A3837" s="4">
        <v>3834</v>
      </c>
      <c r="C3837" s="41" t="s">
        <v>6199</v>
      </c>
      <c r="D3837" s="42"/>
      <c r="E3837" s="5" t="str">
        <f t="shared" si="75"/>
        <v>https://www.screener.in/company//consolidated/</v>
      </c>
      <c r="F3837" s="4">
        <v>443059</v>
      </c>
      <c r="G3837" s="4">
        <v>3832241897</v>
      </c>
      <c r="H3837" s="6" t="e">
        <f t="shared" ca="1" si="76"/>
        <v>#VALUE!</v>
      </c>
      <c r="I3837" s="7" t="str">
        <f ca="1">IFERROR(__xludf.DUMMYFUNCTION("IMPORTXML(E3837,""/html/body/main/div[3]/div[3]/div[2]/ul/li[5]/span[2]/span"")"),"Loading...")</f>
        <v>Loading...</v>
      </c>
      <c r="J3837" s="7" t="str">
        <f ca="1">IFERROR(__xludf.DUMMYFUNCTION("GOOGLEFINANCE(""NSE:""&amp;D3837,""marketcap"")"),"#N/A")</f>
        <v>#N/A</v>
      </c>
      <c r="K3837" s="7">
        <v>992.8</v>
      </c>
      <c r="L3837" s="8" t="str">
        <f ca="1">IFERROR(__xludf.DUMMYFUNCTION("GOOGLEFINANCE(""NSE:""&amp;D3837,""price"")"),"#N/A")</f>
        <v>#N/A</v>
      </c>
      <c r="M3837" s="9" t="e">
        <f t="shared" ca="1" si="77"/>
        <v>#VALUE!</v>
      </c>
      <c r="N3837" s="10" t="e">
        <f t="shared" ca="1" si="78"/>
        <v>#VALUE!</v>
      </c>
      <c r="O3837" s="7" t="str">
        <f ca="1">IFERROR(__xludf.DUMMYFUNCTION("GOOGLEFINANCE(""NSE:""&amp;D3837,""pe"")"),"#N/A")</f>
        <v>#N/A</v>
      </c>
      <c r="P3837" s="7" t="str">
        <f ca="1">IFERROR(__xludf.DUMMYFUNCTION("GOOGLEFINANCE(""NSE:""&amp;D3837,""EPS"")"),"#N/A")</f>
        <v>#N/A</v>
      </c>
      <c r="Q3837" s="7">
        <v>13.5</v>
      </c>
      <c r="R3837" s="7" t="str">
        <f ca="1">IFERROR(__xludf.DUMMYFUNCTION("IMPORTXML(E3837,""/html/body/main/div[3]/div[3]/div[2]/ul/li[7]/span[2]/span"")"),"Loading...")</f>
        <v>Loading...</v>
      </c>
      <c r="S3837" s="7" t="str">
        <f ca="1">IFERROR(__xludf.DUMMYFUNCTION("IMPORTXML(E3837,""/html/body/main/div[3]/div[3]/div[2]/ul/li[8]/span[2]/span"")"),"Loading...")</f>
        <v>Loading...</v>
      </c>
      <c r="T3837" s="4">
        <v>34.6</v>
      </c>
      <c r="U3837" s="4">
        <v>22.7</v>
      </c>
      <c r="V3837" s="4">
        <v>2.6</v>
      </c>
      <c r="W3837" s="4">
        <v>5.7</v>
      </c>
      <c r="X3837" s="4">
        <v>519.92999999999995</v>
      </c>
      <c r="Y3837" s="7" t="e">
        <f t="shared" ca="1" si="79"/>
        <v>#VALUE!</v>
      </c>
    </row>
    <row r="3838" spans="1:25" ht="15" x14ac:dyDescent="0.25">
      <c r="A3838" s="4">
        <v>3835</v>
      </c>
      <c r="C3838" s="41" t="s">
        <v>6200</v>
      </c>
      <c r="D3838" s="42"/>
      <c r="E3838" s="5" t="str">
        <f t="shared" si="75"/>
        <v>https://www.screener.in/company//consolidated/</v>
      </c>
      <c r="F3838" s="4">
        <v>443059</v>
      </c>
      <c r="G3838" s="4">
        <v>3832241897</v>
      </c>
      <c r="H3838" s="6" t="e">
        <f t="shared" ca="1" si="76"/>
        <v>#VALUE!</v>
      </c>
      <c r="I3838" s="7" t="str">
        <f ca="1">IFERROR(__xludf.DUMMYFUNCTION("IMPORTXML(E3838,""/html/body/main/div[3]/div[3]/div[2]/ul/li[5]/span[2]/span"")"),"Loading...")</f>
        <v>Loading...</v>
      </c>
      <c r="J3838" s="7" t="str">
        <f ca="1">IFERROR(__xludf.DUMMYFUNCTION("GOOGLEFINANCE(""NSE:""&amp;D3838,""marketcap"")"),"#N/A")</f>
        <v>#N/A</v>
      </c>
      <c r="K3838" s="7">
        <v>992.8</v>
      </c>
      <c r="L3838" s="8" t="str">
        <f ca="1">IFERROR(__xludf.DUMMYFUNCTION("GOOGLEFINANCE(""NSE:""&amp;D3838,""price"")"),"#N/A")</f>
        <v>#N/A</v>
      </c>
      <c r="M3838" s="9" t="e">
        <f t="shared" ca="1" si="77"/>
        <v>#VALUE!</v>
      </c>
      <c r="N3838" s="10" t="e">
        <f t="shared" ca="1" si="78"/>
        <v>#VALUE!</v>
      </c>
      <c r="O3838" s="7" t="str">
        <f ca="1">IFERROR(__xludf.DUMMYFUNCTION("GOOGLEFINANCE(""NSE:""&amp;D3838,""pe"")"),"#N/A")</f>
        <v>#N/A</v>
      </c>
      <c r="P3838" s="7" t="str">
        <f ca="1">IFERROR(__xludf.DUMMYFUNCTION("GOOGLEFINANCE(""NSE:""&amp;D3838,""EPS"")"),"#N/A")</f>
        <v>#N/A</v>
      </c>
      <c r="Q3838" s="7">
        <v>13.5</v>
      </c>
      <c r="R3838" s="7" t="str">
        <f ca="1">IFERROR(__xludf.DUMMYFUNCTION("IMPORTXML(E3838,""/html/body/main/div[3]/div[3]/div[2]/ul/li[7]/span[2]/span"")"),"Loading...")</f>
        <v>Loading...</v>
      </c>
      <c r="S3838" s="7" t="str">
        <f ca="1">IFERROR(__xludf.DUMMYFUNCTION("IMPORTXML(E3838,""/html/body/main/div[3]/div[3]/div[2]/ul/li[8]/span[2]/span"")"),"Loading...")</f>
        <v>Loading...</v>
      </c>
      <c r="T3838" s="4">
        <v>34.6</v>
      </c>
      <c r="U3838" s="4">
        <v>22.7</v>
      </c>
      <c r="V3838" s="4">
        <v>2.6</v>
      </c>
      <c r="W3838" s="4">
        <v>5.7</v>
      </c>
      <c r="X3838" s="4">
        <v>519.92999999999995</v>
      </c>
      <c r="Y3838" s="7" t="e">
        <f t="shared" ca="1" si="79"/>
        <v>#VALUE!</v>
      </c>
    </row>
    <row r="3839" spans="1:25" ht="15" x14ac:dyDescent="0.25">
      <c r="A3839" s="4">
        <v>3836</v>
      </c>
      <c r="C3839" s="41" t="s">
        <v>6201</v>
      </c>
      <c r="D3839" s="42"/>
      <c r="E3839" s="5" t="str">
        <f t="shared" si="75"/>
        <v>https://www.screener.in/company//consolidated/</v>
      </c>
      <c r="F3839" s="4">
        <v>443059</v>
      </c>
      <c r="G3839" s="4">
        <v>3832241897</v>
      </c>
      <c r="H3839" s="6" t="e">
        <f t="shared" ca="1" si="76"/>
        <v>#VALUE!</v>
      </c>
      <c r="I3839" s="7" t="str">
        <f ca="1">IFERROR(__xludf.DUMMYFUNCTION("IMPORTXML(E3839,""/html/body/main/div[3]/div[3]/div[2]/ul/li[5]/span[2]/span"")"),"Loading...")</f>
        <v>Loading...</v>
      </c>
      <c r="J3839" s="7" t="str">
        <f ca="1">IFERROR(__xludf.DUMMYFUNCTION("GOOGLEFINANCE(""NSE:""&amp;D3839,""marketcap"")"),"#N/A")</f>
        <v>#N/A</v>
      </c>
      <c r="K3839" s="7">
        <v>992.8</v>
      </c>
      <c r="L3839" s="8" t="str">
        <f ca="1">IFERROR(__xludf.DUMMYFUNCTION("GOOGLEFINANCE(""NSE:""&amp;D3839,""price"")"),"#N/A")</f>
        <v>#N/A</v>
      </c>
      <c r="M3839" s="9" t="e">
        <f t="shared" ca="1" si="77"/>
        <v>#VALUE!</v>
      </c>
      <c r="N3839" s="10" t="e">
        <f t="shared" ca="1" si="78"/>
        <v>#VALUE!</v>
      </c>
      <c r="O3839" s="7" t="str">
        <f ca="1">IFERROR(__xludf.DUMMYFUNCTION("GOOGLEFINANCE(""NSE:""&amp;D3839,""pe"")"),"#N/A")</f>
        <v>#N/A</v>
      </c>
      <c r="P3839" s="7" t="str">
        <f ca="1">IFERROR(__xludf.DUMMYFUNCTION("GOOGLEFINANCE(""NSE:""&amp;D3839,""EPS"")"),"#N/A")</f>
        <v>#N/A</v>
      </c>
      <c r="Q3839" s="7">
        <v>13.5</v>
      </c>
      <c r="R3839" s="7" t="str">
        <f ca="1">IFERROR(__xludf.DUMMYFUNCTION("IMPORTXML(E3839,""/html/body/main/div[3]/div[3]/div[2]/ul/li[7]/span[2]/span"")"),"Loading...")</f>
        <v>Loading...</v>
      </c>
      <c r="S3839" s="7" t="str">
        <f ca="1">IFERROR(__xludf.DUMMYFUNCTION("IMPORTXML(E3839,""/html/body/main/div[3]/div[3]/div[2]/ul/li[8]/span[2]/span"")"),"Loading...")</f>
        <v>Loading...</v>
      </c>
      <c r="T3839" s="4">
        <v>34.6</v>
      </c>
      <c r="U3839" s="4">
        <v>22.7</v>
      </c>
      <c r="V3839" s="4">
        <v>2.6</v>
      </c>
      <c r="W3839" s="4">
        <v>5.7</v>
      </c>
      <c r="X3839" s="4">
        <v>519.92999999999995</v>
      </c>
      <c r="Y3839" s="7" t="e">
        <f t="shared" ca="1" si="79"/>
        <v>#VALUE!</v>
      </c>
    </row>
    <row r="3840" spans="1:25" ht="15" x14ac:dyDescent="0.25">
      <c r="A3840" s="4">
        <v>3837</v>
      </c>
      <c r="C3840" s="41" t="s">
        <v>6202</v>
      </c>
      <c r="D3840" s="42"/>
      <c r="E3840" s="5" t="str">
        <f t="shared" si="75"/>
        <v>https://www.screener.in/company//consolidated/</v>
      </c>
      <c r="F3840" s="4">
        <v>443059</v>
      </c>
      <c r="G3840" s="4">
        <v>3832241897</v>
      </c>
      <c r="H3840" s="6" t="e">
        <f t="shared" ca="1" si="76"/>
        <v>#VALUE!</v>
      </c>
      <c r="I3840" s="7" t="str">
        <f ca="1">IFERROR(__xludf.DUMMYFUNCTION("IMPORTXML(E3840,""/html/body/main/div[3]/div[3]/div[2]/ul/li[5]/span[2]/span"")"),"Loading...")</f>
        <v>Loading...</v>
      </c>
      <c r="J3840" s="7" t="str">
        <f ca="1">IFERROR(__xludf.DUMMYFUNCTION("GOOGLEFINANCE(""NSE:""&amp;D3840,""marketcap"")"),"#N/A")</f>
        <v>#N/A</v>
      </c>
      <c r="K3840" s="7">
        <v>992.8</v>
      </c>
      <c r="L3840" s="8" t="str">
        <f ca="1">IFERROR(__xludf.DUMMYFUNCTION("GOOGLEFINANCE(""NSE:""&amp;D3840,""price"")"),"#N/A")</f>
        <v>#N/A</v>
      </c>
      <c r="M3840" s="9" t="e">
        <f t="shared" ca="1" si="77"/>
        <v>#VALUE!</v>
      </c>
      <c r="N3840" s="10" t="e">
        <f t="shared" ca="1" si="78"/>
        <v>#VALUE!</v>
      </c>
      <c r="O3840" s="7" t="str">
        <f ca="1">IFERROR(__xludf.DUMMYFUNCTION("GOOGLEFINANCE(""NSE:""&amp;D3840,""pe"")"),"#N/A")</f>
        <v>#N/A</v>
      </c>
      <c r="P3840" s="7" t="str">
        <f ca="1">IFERROR(__xludf.DUMMYFUNCTION("GOOGLEFINANCE(""NSE:""&amp;D3840,""EPS"")"),"#N/A")</f>
        <v>#N/A</v>
      </c>
      <c r="Q3840" s="7">
        <v>13.5</v>
      </c>
      <c r="R3840" s="7" t="str">
        <f ca="1">IFERROR(__xludf.DUMMYFUNCTION("IMPORTXML(E3840,""/html/body/main/div[3]/div[3]/div[2]/ul/li[7]/span[2]/span"")"),"Loading...")</f>
        <v>Loading...</v>
      </c>
      <c r="S3840" s="7" t="str">
        <f ca="1">IFERROR(__xludf.DUMMYFUNCTION("IMPORTXML(E3840,""/html/body/main/div[3]/div[3]/div[2]/ul/li[8]/span[2]/span"")"),"Loading...")</f>
        <v>Loading...</v>
      </c>
      <c r="T3840" s="4">
        <v>34.6</v>
      </c>
      <c r="U3840" s="4">
        <v>22.7</v>
      </c>
      <c r="V3840" s="4">
        <v>2.6</v>
      </c>
      <c r="W3840" s="4">
        <v>5.7</v>
      </c>
      <c r="X3840" s="4">
        <v>519.92999999999995</v>
      </c>
      <c r="Y3840" s="7" t="e">
        <f t="shared" ca="1" si="79"/>
        <v>#VALUE!</v>
      </c>
    </row>
    <row r="3841" spans="1:25" ht="15" x14ac:dyDescent="0.25">
      <c r="A3841" s="4">
        <v>3838</v>
      </c>
      <c r="C3841" s="41" t="s">
        <v>6203</v>
      </c>
      <c r="D3841" s="42"/>
      <c r="E3841" s="5" t="str">
        <f t="shared" si="75"/>
        <v>https://www.screener.in/company//consolidated/</v>
      </c>
      <c r="F3841" s="4">
        <v>443059</v>
      </c>
      <c r="G3841" s="4">
        <v>3832241897</v>
      </c>
      <c r="H3841" s="6" t="e">
        <f t="shared" ca="1" si="76"/>
        <v>#VALUE!</v>
      </c>
      <c r="I3841" s="7" t="str">
        <f ca="1">IFERROR(__xludf.DUMMYFUNCTION("IMPORTXML(E3841,""/html/body/main/div[3]/div[3]/div[2]/ul/li[5]/span[2]/span"")"),"Loading...")</f>
        <v>Loading...</v>
      </c>
      <c r="J3841" s="7" t="str">
        <f ca="1">IFERROR(__xludf.DUMMYFUNCTION("GOOGLEFINANCE(""NSE:""&amp;D3841,""marketcap"")"),"#N/A")</f>
        <v>#N/A</v>
      </c>
      <c r="K3841" s="7">
        <v>992.8</v>
      </c>
      <c r="L3841" s="8" t="str">
        <f ca="1">IFERROR(__xludf.DUMMYFUNCTION("GOOGLEFINANCE(""NSE:""&amp;D3841,""price"")"),"#N/A")</f>
        <v>#N/A</v>
      </c>
      <c r="M3841" s="9" t="e">
        <f t="shared" ca="1" si="77"/>
        <v>#VALUE!</v>
      </c>
      <c r="N3841" s="10" t="e">
        <f t="shared" ca="1" si="78"/>
        <v>#VALUE!</v>
      </c>
      <c r="O3841" s="7" t="str">
        <f ca="1">IFERROR(__xludf.DUMMYFUNCTION("GOOGLEFINANCE(""NSE:""&amp;D3841,""pe"")"),"#N/A")</f>
        <v>#N/A</v>
      </c>
      <c r="P3841" s="7" t="str">
        <f ca="1">IFERROR(__xludf.DUMMYFUNCTION("GOOGLEFINANCE(""NSE:""&amp;D3841,""EPS"")"),"#N/A")</f>
        <v>#N/A</v>
      </c>
      <c r="Q3841" s="7">
        <v>13.5</v>
      </c>
      <c r="R3841" s="7" t="str">
        <f ca="1">IFERROR(__xludf.DUMMYFUNCTION("IMPORTXML(E3841,""/html/body/main/div[3]/div[3]/div[2]/ul/li[7]/span[2]/span"")"),"Loading...")</f>
        <v>Loading...</v>
      </c>
      <c r="S3841" s="7" t="str">
        <f ca="1">IFERROR(__xludf.DUMMYFUNCTION("IMPORTXML(E3841,""/html/body/main/div[3]/div[3]/div[2]/ul/li[8]/span[2]/span"")"),"Loading...")</f>
        <v>Loading...</v>
      </c>
      <c r="T3841" s="4">
        <v>34.6</v>
      </c>
      <c r="U3841" s="4">
        <v>22.7</v>
      </c>
      <c r="V3841" s="4">
        <v>2.6</v>
      </c>
      <c r="W3841" s="4">
        <v>5.7</v>
      </c>
      <c r="X3841" s="4">
        <v>519.92999999999995</v>
      </c>
      <c r="Y3841" s="7" t="e">
        <f t="shared" ca="1" si="79"/>
        <v>#VALUE!</v>
      </c>
    </row>
    <row r="3842" spans="1:25" ht="15" x14ac:dyDescent="0.25">
      <c r="A3842" s="4">
        <v>3839</v>
      </c>
      <c r="C3842" s="41" t="s">
        <v>6204</v>
      </c>
      <c r="D3842" s="42"/>
      <c r="E3842" s="5" t="str">
        <f t="shared" si="75"/>
        <v>https://www.screener.in/company//consolidated/</v>
      </c>
      <c r="F3842" s="4">
        <v>443059</v>
      </c>
      <c r="G3842" s="4">
        <v>3832241897</v>
      </c>
      <c r="H3842" s="6" t="e">
        <f t="shared" ca="1" si="76"/>
        <v>#VALUE!</v>
      </c>
      <c r="I3842" s="7" t="str">
        <f ca="1">IFERROR(__xludf.DUMMYFUNCTION("IMPORTXML(E3842,""/html/body/main/div[3]/div[3]/div[2]/ul/li[5]/span[2]/span"")"),"Loading...")</f>
        <v>Loading...</v>
      </c>
      <c r="J3842" s="7" t="str">
        <f ca="1">IFERROR(__xludf.DUMMYFUNCTION("GOOGLEFINANCE(""NSE:""&amp;D3842,""marketcap"")"),"#N/A")</f>
        <v>#N/A</v>
      </c>
      <c r="K3842" s="7">
        <v>992.8</v>
      </c>
      <c r="L3842" s="8" t="str">
        <f ca="1">IFERROR(__xludf.DUMMYFUNCTION("GOOGLEFINANCE(""NSE:""&amp;D3842,""price"")"),"#N/A")</f>
        <v>#N/A</v>
      </c>
      <c r="M3842" s="9" t="e">
        <f t="shared" ca="1" si="77"/>
        <v>#VALUE!</v>
      </c>
      <c r="N3842" s="10" t="e">
        <f t="shared" ca="1" si="78"/>
        <v>#VALUE!</v>
      </c>
      <c r="O3842" s="7" t="str">
        <f ca="1">IFERROR(__xludf.DUMMYFUNCTION("GOOGLEFINANCE(""NSE:""&amp;D3842,""pe"")"),"#N/A")</f>
        <v>#N/A</v>
      </c>
      <c r="P3842" s="7" t="str">
        <f ca="1">IFERROR(__xludf.DUMMYFUNCTION("GOOGLEFINANCE(""NSE:""&amp;D3842,""EPS"")"),"#N/A")</f>
        <v>#N/A</v>
      </c>
      <c r="Q3842" s="7">
        <v>13.5</v>
      </c>
      <c r="R3842" s="7" t="str">
        <f ca="1">IFERROR(__xludf.DUMMYFUNCTION("IMPORTXML(E3842,""/html/body/main/div[3]/div[3]/div[2]/ul/li[7]/span[2]/span"")"),"Loading...")</f>
        <v>Loading...</v>
      </c>
      <c r="S3842" s="7" t="str">
        <f ca="1">IFERROR(__xludf.DUMMYFUNCTION("IMPORTXML(E3842,""/html/body/main/div[3]/div[3]/div[2]/ul/li[8]/span[2]/span"")"),"Loading...")</f>
        <v>Loading...</v>
      </c>
      <c r="T3842" s="4">
        <v>34.6</v>
      </c>
      <c r="U3842" s="4">
        <v>22.7</v>
      </c>
      <c r="V3842" s="4">
        <v>2.6</v>
      </c>
      <c r="W3842" s="4">
        <v>5.7</v>
      </c>
      <c r="X3842" s="4">
        <v>519.92999999999995</v>
      </c>
      <c r="Y3842" s="7" t="e">
        <f t="shared" ca="1" si="79"/>
        <v>#VALUE!</v>
      </c>
    </row>
    <row r="3843" spans="1:25" ht="15" x14ac:dyDescent="0.25">
      <c r="A3843" s="4">
        <v>3840</v>
      </c>
      <c r="C3843" s="41" t="s">
        <v>6205</v>
      </c>
      <c r="D3843" s="42"/>
      <c r="E3843" s="5" t="str">
        <f t="shared" si="75"/>
        <v>https://www.screener.in/company//consolidated/</v>
      </c>
      <c r="F3843" s="4">
        <v>443059</v>
      </c>
      <c r="G3843" s="4">
        <v>3832241897</v>
      </c>
      <c r="H3843" s="6" t="e">
        <f t="shared" ca="1" si="76"/>
        <v>#VALUE!</v>
      </c>
      <c r="I3843" s="7" t="str">
        <f ca="1">IFERROR(__xludf.DUMMYFUNCTION("IMPORTXML(E3843,""/html/body/main/div[3]/div[3]/div[2]/ul/li[5]/span[2]/span"")"),"Loading...")</f>
        <v>Loading...</v>
      </c>
      <c r="J3843" s="7" t="str">
        <f ca="1">IFERROR(__xludf.DUMMYFUNCTION("GOOGLEFINANCE(""NSE:""&amp;D3843,""marketcap"")"),"#N/A")</f>
        <v>#N/A</v>
      </c>
      <c r="K3843" s="7">
        <v>992.8</v>
      </c>
      <c r="L3843" s="8" t="str">
        <f ca="1">IFERROR(__xludf.DUMMYFUNCTION("GOOGLEFINANCE(""NSE:""&amp;D3843,""price"")"),"#N/A")</f>
        <v>#N/A</v>
      </c>
      <c r="M3843" s="9" t="e">
        <f t="shared" ca="1" si="77"/>
        <v>#VALUE!</v>
      </c>
      <c r="N3843" s="10" t="e">
        <f t="shared" ca="1" si="78"/>
        <v>#VALUE!</v>
      </c>
      <c r="O3843" s="7" t="str">
        <f ca="1">IFERROR(__xludf.DUMMYFUNCTION("GOOGLEFINANCE(""NSE:""&amp;D3843,""pe"")"),"#N/A")</f>
        <v>#N/A</v>
      </c>
      <c r="P3843" s="7" t="str">
        <f ca="1">IFERROR(__xludf.DUMMYFUNCTION("GOOGLEFINANCE(""NSE:""&amp;D3843,""EPS"")"),"#N/A")</f>
        <v>#N/A</v>
      </c>
      <c r="Q3843" s="7">
        <v>13.5</v>
      </c>
      <c r="R3843" s="7" t="str">
        <f ca="1">IFERROR(__xludf.DUMMYFUNCTION("IMPORTXML(E3843,""/html/body/main/div[3]/div[3]/div[2]/ul/li[7]/span[2]/span"")"),"Loading...")</f>
        <v>Loading...</v>
      </c>
      <c r="S3843" s="7" t="str">
        <f ca="1">IFERROR(__xludf.DUMMYFUNCTION("IMPORTXML(E3843,""/html/body/main/div[3]/div[3]/div[2]/ul/li[8]/span[2]/span"")"),"Loading...")</f>
        <v>Loading...</v>
      </c>
      <c r="T3843" s="4">
        <v>34.6</v>
      </c>
      <c r="U3843" s="4">
        <v>22.7</v>
      </c>
      <c r="V3843" s="4">
        <v>2.6</v>
      </c>
      <c r="W3843" s="4">
        <v>5.7</v>
      </c>
      <c r="X3843" s="4">
        <v>519.92999999999995</v>
      </c>
      <c r="Y3843" s="7" t="e">
        <f t="shared" ca="1" si="79"/>
        <v>#VALUE!</v>
      </c>
    </row>
    <row r="3844" spans="1:25" ht="15" x14ac:dyDescent="0.25">
      <c r="A3844" s="4">
        <v>3841</v>
      </c>
      <c r="C3844" s="41" t="s">
        <v>6206</v>
      </c>
      <c r="D3844" s="42"/>
      <c r="E3844" s="5" t="str">
        <f t="shared" si="75"/>
        <v>https://www.screener.in/company//consolidated/</v>
      </c>
      <c r="F3844" s="4">
        <v>443059</v>
      </c>
      <c r="G3844" s="4">
        <v>3832241897</v>
      </c>
      <c r="H3844" s="6" t="e">
        <f t="shared" ca="1" si="76"/>
        <v>#VALUE!</v>
      </c>
      <c r="I3844" s="7" t="str">
        <f ca="1">IFERROR(__xludf.DUMMYFUNCTION("IMPORTXML(E3844,""/html/body/main/div[3]/div[3]/div[2]/ul/li[5]/span[2]/span"")"),"Loading...")</f>
        <v>Loading...</v>
      </c>
      <c r="J3844" s="7" t="str">
        <f ca="1">IFERROR(__xludf.DUMMYFUNCTION("GOOGLEFINANCE(""NSE:""&amp;D3844,""marketcap"")"),"#N/A")</f>
        <v>#N/A</v>
      </c>
      <c r="K3844" s="7">
        <v>992.8</v>
      </c>
      <c r="L3844" s="8" t="str">
        <f ca="1">IFERROR(__xludf.DUMMYFUNCTION("GOOGLEFINANCE(""NSE:""&amp;D3844,""price"")"),"#N/A")</f>
        <v>#N/A</v>
      </c>
      <c r="M3844" s="9" t="e">
        <f t="shared" ca="1" si="77"/>
        <v>#VALUE!</v>
      </c>
      <c r="N3844" s="10" t="e">
        <f t="shared" ca="1" si="78"/>
        <v>#VALUE!</v>
      </c>
      <c r="O3844" s="7" t="str">
        <f ca="1">IFERROR(__xludf.DUMMYFUNCTION("GOOGLEFINANCE(""NSE:""&amp;D3844,""pe"")"),"#N/A")</f>
        <v>#N/A</v>
      </c>
      <c r="P3844" s="7" t="str">
        <f ca="1">IFERROR(__xludf.DUMMYFUNCTION("GOOGLEFINANCE(""NSE:""&amp;D3844,""EPS"")"),"#N/A")</f>
        <v>#N/A</v>
      </c>
      <c r="Q3844" s="7">
        <v>13.5</v>
      </c>
      <c r="R3844" s="7" t="str">
        <f ca="1">IFERROR(__xludf.DUMMYFUNCTION("IMPORTXML(E3844,""/html/body/main/div[3]/div[3]/div[2]/ul/li[7]/span[2]/span"")"),"Loading...")</f>
        <v>Loading...</v>
      </c>
      <c r="S3844" s="7" t="str">
        <f ca="1">IFERROR(__xludf.DUMMYFUNCTION("IMPORTXML(E3844,""/html/body/main/div[3]/div[3]/div[2]/ul/li[8]/span[2]/span"")"),"Loading...")</f>
        <v>Loading...</v>
      </c>
      <c r="T3844" s="4">
        <v>34.6</v>
      </c>
      <c r="U3844" s="4">
        <v>22.7</v>
      </c>
      <c r="V3844" s="4">
        <v>2.6</v>
      </c>
      <c r="W3844" s="4">
        <v>5.7</v>
      </c>
      <c r="X3844" s="4">
        <v>519.92999999999995</v>
      </c>
      <c r="Y3844" s="7" t="e">
        <f t="shared" ca="1" si="79"/>
        <v>#VALUE!</v>
      </c>
    </row>
    <row r="3845" spans="1:25" ht="15" x14ac:dyDescent="0.25">
      <c r="A3845" s="4">
        <v>3842</v>
      </c>
      <c r="C3845" s="41" t="s">
        <v>6207</v>
      </c>
      <c r="D3845" s="42"/>
      <c r="E3845" s="5" t="str">
        <f t="shared" si="75"/>
        <v>https://www.screener.in/company//consolidated/</v>
      </c>
      <c r="F3845" s="4">
        <v>443059</v>
      </c>
      <c r="G3845" s="4">
        <v>3832241897</v>
      </c>
      <c r="H3845" s="6" t="e">
        <f t="shared" ca="1" si="76"/>
        <v>#VALUE!</v>
      </c>
      <c r="I3845" s="7" t="str">
        <f ca="1">IFERROR(__xludf.DUMMYFUNCTION("IMPORTXML(E3845,""/html/body/main/div[3]/div[3]/div[2]/ul/li[5]/span[2]/span"")"),"Loading...")</f>
        <v>Loading...</v>
      </c>
      <c r="J3845" s="7" t="str">
        <f ca="1">IFERROR(__xludf.DUMMYFUNCTION("GOOGLEFINANCE(""NSE:""&amp;D3845,""marketcap"")"),"#N/A")</f>
        <v>#N/A</v>
      </c>
      <c r="K3845" s="7">
        <v>992.8</v>
      </c>
      <c r="L3845" s="8" t="str">
        <f ca="1">IFERROR(__xludf.DUMMYFUNCTION("GOOGLEFINANCE(""NSE:""&amp;D3845,""price"")"),"#N/A")</f>
        <v>#N/A</v>
      </c>
      <c r="M3845" s="9" t="e">
        <f t="shared" ca="1" si="77"/>
        <v>#VALUE!</v>
      </c>
      <c r="N3845" s="10" t="e">
        <f t="shared" ca="1" si="78"/>
        <v>#VALUE!</v>
      </c>
      <c r="O3845" s="7" t="str">
        <f ca="1">IFERROR(__xludf.DUMMYFUNCTION("GOOGLEFINANCE(""NSE:""&amp;D3845,""pe"")"),"#N/A")</f>
        <v>#N/A</v>
      </c>
      <c r="P3845" s="7" t="str">
        <f ca="1">IFERROR(__xludf.DUMMYFUNCTION("GOOGLEFINANCE(""NSE:""&amp;D3845,""EPS"")"),"#N/A")</f>
        <v>#N/A</v>
      </c>
      <c r="Q3845" s="7">
        <v>13.5</v>
      </c>
      <c r="R3845" s="7" t="str">
        <f ca="1">IFERROR(__xludf.DUMMYFUNCTION("IMPORTXML(E3845,""/html/body/main/div[3]/div[3]/div[2]/ul/li[7]/span[2]/span"")"),"Loading...")</f>
        <v>Loading...</v>
      </c>
      <c r="S3845" s="7" t="str">
        <f ca="1">IFERROR(__xludf.DUMMYFUNCTION("IMPORTXML(E3845,""/html/body/main/div[3]/div[3]/div[2]/ul/li[8]/span[2]/span"")"),"Loading...")</f>
        <v>Loading...</v>
      </c>
      <c r="T3845" s="4">
        <v>34.6</v>
      </c>
      <c r="U3845" s="4">
        <v>22.7</v>
      </c>
      <c r="V3845" s="4">
        <v>2.6</v>
      </c>
      <c r="W3845" s="4">
        <v>5.7</v>
      </c>
      <c r="X3845" s="4">
        <v>519.92999999999995</v>
      </c>
      <c r="Y3845" s="7" t="e">
        <f t="shared" ca="1" si="79"/>
        <v>#VALUE!</v>
      </c>
    </row>
    <row r="3846" spans="1:25" ht="15" x14ac:dyDescent="0.25">
      <c r="A3846" s="4">
        <v>3843</v>
      </c>
      <c r="C3846" s="41" t="s">
        <v>6208</v>
      </c>
      <c r="D3846" s="42"/>
      <c r="E3846" s="5" t="str">
        <f t="shared" si="75"/>
        <v>https://www.screener.in/company//consolidated/</v>
      </c>
      <c r="F3846" s="4">
        <v>443059</v>
      </c>
      <c r="G3846" s="4">
        <v>3832241897</v>
      </c>
      <c r="H3846" s="6" t="e">
        <f t="shared" ca="1" si="76"/>
        <v>#VALUE!</v>
      </c>
      <c r="I3846" s="7" t="str">
        <f ca="1">IFERROR(__xludf.DUMMYFUNCTION("IMPORTXML(E3846,""/html/body/main/div[3]/div[3]/div[2]/ul/li[5]/span[2]/span"")"),"Loading...")</f>
        <v>Loading...</v>
      </c>
      <c r="J3846" s="7" t="str">
        <f ca="1">IFERROR(__xludf.DUMMYFUNCTION("GOOGLEFINANCE(""NSE:""&amp;D3846,""marketcap"")"),"#N/A")</f>
        <v>#N/A</v>
      </c>
      <c r="K3846" s="7">
        <v>992.8</v>
      </c>
      <c r="L3846" s="8" t="str">
        <f ca="1">IFERROR(__xludf.DUMMYFUNCTION("GOOGLEFINANCE(""NSE:""&amp;D3846,""price"")"),"#N/A")</f>
        <v>#N/A</v>
      </c>
      <c r="M3846" s="9" t="e">
        <f t="shared" ca="1" si="77"/>
        <v>#VALUE!</v>
      </c>
      <c r="N3846" s="10" t="e">
        <f t="shared" ca="1" si="78"/>
        <v>#VALUE!</v>
      </c>
      <c r="O3846" s="7" t="str">
        <f ca="1">IFERROR(__xludf.DUMMYFUNCTION("GOOGLEFINANCE(""NSE:""&amp;D3846,""pe"")"),"#N/A")</f>
        <v>#N/A</v>
      </c>
      <c r="P3846" s="7" t="str">
        <f ca="1">IFERROR(__xludf.DUMMYFUNCTION("GOOGLEFINANCE(""NSE:""&amp;D3846,""EPS"")"),"#N/A")</f>
        <v>#N/A</v>
      </c>
      <c r="Q3846" s="7">
        <v>13.5</v>
      </c>
      <c r="R3846" s="7" t="str">
        <f ca="1">IFERROR(__xludf.DUMMYFUNCTION("IMPORTXML(E3846,""/html/body/main/div[3]/div[3]/div[2]/ul/li[7]/span[2]/span"")"),"Loading...")</f>
        <v>Loading...</v>
      </c>
      <c r="S3846" s="7" t="str">
        <f ca="1">IFERROR(__xludf.DUMMYFUNCTION("IMPORTXML(E3846,""/html/body/main/div[3]/div[3]/div[2]/ul/li[8]/span[2]/span"")"),"Loading...")</f>
        <v>Loading...</v>
      </c>
      <c r="T3846" s="4">
        <v>34.6</v>
      </c>
      <c r="U3846" s="4">
        <v>22.7</v>
      </c>
      <c r="V3846" s="4">
        <v>2.6</v>
      </c>
      <c r="W3846" s="4">
        <v>5.7</v>
      </c>
      <c r="X3846" s="4">
        <v>519.92999999999995</v>
      </c>
      <c r="Y3846" s="7" t="e">
        <f t="shared" ca="1" si="79"/>
        <v>#VALUE!</v>
      </c>
    </row>
    <row r="3847" spans="1:25" ht="15" x14ac:dyDescent="0.25">
      <c r="A3847" s="4">
        <v>3844</v>
      </c>
      <c r="C3847" s="41" t="s">
        <v>6209</v>
      </c>
      <c r="D3847" s="42"/>
      <c r="E3847" s="5" t="str">
        <f t="shared" si="75"/>
        <v>https://www.screener.in/company//consolidated/</v>
      </c>
      <c r="F3847" s="4">
        <v>443059</v>
      </c>
      <c r="G3847" s="4">
        <v>3832241897</v>
      </c>
      <c r="H3847" s="6" t="e">
        <f t="shared" ca="1" si="76"/>
        <v>#VALUE!</v>
      </c>
      <c r="I3847" s="7" t="str">
        <f ca="1">IFERROR(__xludf.DUMMYFUNCTION("IMPORTXML(E3847,""/html/body/main/div[3]/div[3]/div[2]/ul/li[5]/span[2]/span"")"),"Loading...")</f>
        <v>Loading...</v>
      </c>
      <c r="J3847" s="7" t="str">
        <f ca="1">IFERROR(__xludf.DUMMYFUNCTION("GOOGLEFINANCE(""NSE:""&amp;D3847,""marketcap"")"),"#N/A")</f>
        <v>#N/A</v>
      </c>
      <c r="K3847" s="7">
        <v>992.8</v>
      </c>
      <c r="L3847" s="8" t="str">
        <f ca="1">IFERROR(__xludf.DUMMYFUNCTION("GOOGLEFINANCE(""NSE:""&amp;D3847,""price"")"),"#N/A")</f>
        <v>#N/A</v>
      </c>
      <c r="M3847" s="9" t="e">
        <f t="shared" ca="1" si="77"/>
        <v>#VALUE!</v>
      </c>
      <c r="N3847" s="10" t="e">
        <f t="shared" ca="1" si="78"/>
        <v>#VALUE!</v>
      </c>
      <c r="O3847" s="7" t="str">
        <f ca="1">IFERROR(__xludf.DUMMYFUNCTION("GOOGLEFINANCE(""NSE:""&amp;D3847,""pe"")"),"#N/A")</f>
        <v>#N/A</v>
      </c>
      <c r="P3847" s="7" t="str">
        <f ca="1">IFERROR(__xludf.DUMMYFUNCTION("GOOGLEFINANCE(""NSE:""&amp;D3847,""EPS"")"),"#N/A")</f>
        <v>#N/A</v>
      </c>
      <c r="Q3847" s="7">
        <v>13.5</v>
      </c>
      <c r="R3847" s="7" t="str">
        <f ca="1">IFERROR(__xludf.DUMMYFUNCTION("IMPORTXML(E3847,""/html/body/main/div[3]/div[3]/div[2]/ul/li[7]/span[2]/span"")"),"Loading...")</f>
        <v>Loading...</v>
      </c>
      <c r="S3847" s="7" t="str">
        <f ca="1">IFERROR(__xludf.DUMMYFUNCTION("IMPORTXML(E3847,""/html/body/main/div[3]/div[3]/div[2]/ul/li[8]/span[2]/span"")"),"Loading...")</f>
        <v>Loading...</v>
      </c>
      <c r="T3847" s="4">
        <v>34.6</v>
      </c>
      <c r="U3847" s="4">
        <v>22.7</v>
      </c>
      <c r="V3847" s="4">
        <v>2.6</v>
      </c>
      <c r="W3847" s="4">
        <v>5.7</v>
      </c>
      <c r="X3847" s="4">
        <v>519.92999999999995</v>
      </c>
      <c r="Y3847" s="7" t="e">
        <f t="shared" ca="1" si="79"/>
        <v>#VALUE!</v>
      </c>
    </row>
    <row r="3848" spans="1:25" ht="15" x14ac:dyDescent="0.25">
      <c r="A3848" s="4">
        <v>3845</v>
      </c>
      <c r="C3848" s="41" t="s">
        <v>6210</v>
      </c>
      <c r="D3848" s="42"/>
      <c r="E3848" s="5" t="str">
        <f t="shared" si="75"/>
        <v>https://www.screener.in/company//consolidated/</v>
      </c>
      <c r="F3848" s="4">
        <v>443059</v>
      </c>
      <c r="G3848" s="4">
        <v>3832241897</v>
      </c>
      <c r="H3848" s="6" t="e">
        <f t="shared" ca="1" si="76"/>
        <v>#VALUE!</v>
      </c>
      <c r="I3848" s="7" t="str">
        <f ca="1">IFERROR(__xludf.DUMMYFUNCTION("IMPORTXML(E3848,""/html/body/main/div[3]/div[3]/div[2]/ul/li[5]/span[2]/span"")"),"Loading...")</f>
        <v>Loading...</v>
      </c>
      <c r="J3848" s="7" t="str">
        <f ca="1">IFERROR(__xludf.DUMMYFUNCTION("GOOGLEFINANCE(""NSE:""&amp;D3848,""marketcap"")"),"#N/A")</f>
        <v>#N/A</v>
      </c>
      <c r="K3848" s="7">
        <v>992.8</v>
      </c>
      <c r="L3848" s="8" t="str">
        <f ca="1">IFERROR(__xludf.DUMMYFUNCTION("GOOGLEFINANCE(""NSE:""&amp;D3848,""price"")"),"#N/A")</f>
        <v>#N/A</v>
      </c>
      <c r="M3848" s="9" t="e">
        <f t="shared" ca="1" si="77"/>
        <v>#VALUE!</v>
      </c>
      <c r="N3848" s="10" t="e">
        <f t="shared" ca="1" si="78"/>
        <v>#VALUE!</v>
      </c>
      <c r="O3848" s="7" t="str">
        <f ca="1">IFERROR(__xludf.DUMMYFUNCTION("GOOGLEFINANCE(""NSE:""&amp;D3848,""pe"")"),"#N/A")</f>
        <v>#N/A</v>
      </c>
      <c r="P3848" s="7" t="str">
        <f ca="1">IFERROR(__xludf.DUMMYFUNCTION("GOOGLEFINANCE(""NSE:""&amp;D3848,""EPS"")"),"#N/A")</f>
        <v>#N/A</v>
      </c>
      <c r="Q3848" s="7">
        <v>13.5</v>
      </c>
      <c r="R3848" s="7" t="str">
        <f ca="1">IFERROR(__xludf.DUMMYFUNCTION("IMPORTXML(E3848,""/html/body/main/div[3]/div[3]/div[2]/ul/li[7]/span[2]/span"")"),"Loading...")</f>
        <v>Loading...</v>
      </c>
      <c r="S3848" s="7" t="str">
        <f ca="1">IFERROR(__xludf.DUMMYFUNCTION("IMPORTXML(E3848,""/html/body/main/div[3]/div[3]/div[2]/ul/li[8]/span[2]/span"")"),"Loading...")</f>
        <v>Loading...</v>
      </c>
      <c r="T3848" s="4">
        <v>34.6</v>
      </c>
      <c r="U3848" s="4">
        <v>22.7</v>
      </c>
      <c r="V3848" s="4">
        <v>2.6</v>
      </c>
      <c r="W3848" s="4">
        <v>5.7</v>
      </c>
      <c r="X3848" s="4">
        <v>519.92999999999995</v>
      </c>
      <c r="Y3848" s="7" t="e">
        <f t="shared" ca="1" si="79"/>
        <v>#VALUE!</v>
      </c>
    </row>
    <row r="3849" spans="1:25" ht="15" x14ac:dyDescent="0.25">
      <c r="A3849" s="4">
        <v>3846</v>
      </c>
      <c r="C3849" s="41" t="s">
        <v>6211</v>
      </c>
      <c r="D3849" s="42"/>
      <c r="E3849" s="5" t="str">
        <f t="shared" si="75"/>
        <v>https://www.screener.in/company//consolidated/</v>
      </c>
      <c r="F3849" s="4">
        <v>443059</v>
      </c>
      <c r="G3849" s="4">
        <v>3832241897</v>
      </c>
      <c r="H3849" s="6" t="e">
        <f t="shared" ca="1" si="76"/>
        <v>#VALUE!</v>
      </c>
      <c r="I3849" s="7" t="str">
        <f ca="1">IFERROR(__xludf.DUMMYFUNCTION("IMPORTXML(E3849,""/html/body/main/div[3]/div[3]/div[2]/ul/li[5]/span[2]/span"")"),"Loading...")</f>
        <v>Loading...</v>
      </c>
      <c r="J3849" s="7" t="str">
        <f ca="1">IFERROR(__xludf.DUMMYFUNCTION("GOOGLEFINANCE(""NSE:""&amp;D3849,""marketcap"")"),"#N/A")</f>
        <v>#N/A</v>
      </c>
      <c r="K3849" s="7">
        <v>992.8</v>
      </c>
      <c r="L3849" s="8" t="str">
        <f ca="1">IFERROR(__xludf.DUMMYFUNCTION("GOOGLEFINANCE(""NSE:""&amp;D3849,""price"")"),"#N/A")</f>
        <v>#N/A</v>
      </c>
      <c r="M3849" s="9" t="e">
        <f t="shared" ca="1" si="77"/>
        <v>#VALUE!</v>
      </c>
      <c r="N3849" s="10" t="e">
        <f t="shared" ca="1" si="78"/>
        <v>#VALUE!</v>
      </c>
      <c r="O3849" s="7" t="str">
        <f ca="1">IFERROR(__xludf.DUMMYFUNCTION("GOOGLEFINANCE(""NSE:""&amp;D3849,""pe"")"),"#N/A")</f>
        <v>#N/A</v>
      </c>
      <c r="P3849" s="7" t="str">
        <f ca="1">IFERROR(__xludf.DUMMYFUNCTION("GOOGLEFINANCE(""NSE:""&amp;D3849,""EPS"")"),"#N/A")</f>
        <v>#N/A</v>
      </c>
      <c r="Q3849" s="7">
        <v>13.5</v>
      </c>
      <c r="R3849" s="7" t="str">
        <f ca="1">IFERROR(__xludf.DUMMYFUNCTION("IMPORTXML(E3849,""/html/body/main/div[3]/div[3]/div[2]/ul/li[7]/span[2]/span"")"),"Loading...")</f>
        <v>Loading...</v>
      </c>
      <c r="S3849" s="7" t="str">
        <f ca="1">IFERROR(__xludf.DUMMYFUNCTION("IMPORTXML(E3849,""/html/body/main/div[3]/div[3]/div[2]/ul/li[8]/span[2]/span"")"),"Loading...")</f>
        <v>Loading...</v>
      </c>
      <c r="T3849" s="4">
        <v>34.6</v>
      </c>
      <c r="U3849" s="4">
        <v>22.7</v>
      </c>
      <c r="V3849" s="4">
        <v>2.6</v>
      </c>
      <c r="W3849" s="4">
        <v>5.7</v>
      </c>
      <c r="X3849" s="4">
        <v>519.92999999999995</v>
      </c>
      <c r="Y3849" s="7" t="e">
        <f t="shared" ca="1" si="79"/>
        <v>#VALUE!</v>
      </c>
    </row>
    <row r="3850" spans="1:25" ht="15" x14ac:dyDescent="0.25">
      <c r="A3850" s="4">
        <v>3847</v>
      </c>
      <c r="C3850" s="41" t="s">
        <v>6212</v>
      </c>
      <c r="D3850" s="42"/>
      <c r="E3850" s="5" t="str">
        <f t="shared" si="75"/>
        <v>https://www.screener.in/company//consolidated/</v>
      </c>
      <c r="F3850" s="4">
        <v>443059</v>
      </c>
      <c r="G3850" s="4">
        <v>3832241897</v>
      </c>
      <c r="H3850" s="6" t="e">
        <f t="shared" ca="1" si="76"/>
        <v>#VALUE!</v>
      </c>
      <c r="I3850" s="7" t="str">
        <f ca="1">IFERROR(__xludf.DUMMYFUNCTION("IMPORTXML(E3850,""/html/body/main/div[3]/div[3]/div[2]/ul/li[5]/span[2]/span"")"),"Loading...")</f>
        <v>Loading...</v>
      </c>
      <c r="J3850" s="7" t="str">
        <f ca="1">IFERROR(__xludf.DUMMYFUNCTION("GOOGLEFINANCE(""NSE:""&amp;D3850,""marketcap"")"),"#N/A")</f>
        <v>#N/A</v>
      </c>
      <c r="K3850" s="7">
        <v>992.8</v>
      </c>
      <c r="L3850" s="8" t="str">
        <f ca="1">IFERROR(__xludf.DUMMYFUNCTION("GOOGLEFINANCE(""NSE:""&amp;D3850,""price"")"),"#N/A")</f>
        <v>#N/A</v>
      </c>
      <c r="M3850" s="9" t="e">
        <f t="shared" ca="1" si="77"/>
        <v>#VALUE!</v>
      </c>
      <c r="N3850" s="10" t="e">
        <f t="shared" ca="1" si="78"/>
        <v>#VALUE!</v>
      </c>
      <c r="O3850" s="7" t="str">
        <f ca="1">IFERROR(__xludf.DUMMYFUNCTION("GOOGLEFINANCE(""NSE:""&amp;D3850,""pe"")"),"#N/A")</f>
        <v>#N/A</v>
      </c>
      <c r="P3850" s="7" t="str">
        <f ca="1">IFERROR(__xludf.DUMMYFUNCTION("GOOGLEFINANCE(""NSE:""&amp;D3850,""EPS"")"),"#N/A")</f>
        <v>#N/A</v>
      </c>
      <c r="Q3850" s="7">
        <v>13.5</v>
      </c>
      <c r="R3850" s="7" t="str">
        <f ca="1">IFERROR(__xludf.DUMMYFUNCTION("IMPORTXML(E3850,""/html/body/main/div[3]/div[3]/div[2]/ul/li[7]/span[2]/span"")"),"Loading...")</f>
        <v>Loading...</v>
      </c>
      <c r="S3850" s="7" t="str">
        <f ca="1">IFERROR(__xludf.DUMMYFUNCTION("IMPORTXML(E3850,""/html/body/main/div[3]/div[3]/div[2]/ul/li[8]/span[2]/span"")"),"Loading...")</f>
        <v>Loading...</v>
      </c>
      <c r="T3850" s="4">
        <v>34.6</v>
      </c>
      <c r="U3850" s="4">
        <v>22.7</v>
      </c>
      <c r="V3850" s="4">
        <v>2.6</v>
      </c>
      <c r="W3850" s="4">
        <v>5.7</v>
      </c>
      <c r="X3850" s="4">
        <v>519.92999999999995</v>
      </c>
      <c r="Y3850" s="7" t="e">
        <f t="shared" ca="1" si="79"/>
        <v>#VALUE!</v>
      </c>
    </row>
    <row r="3851" spans="1:25" ht="15" x14ac:dyDescent="0.25">
      <c r="A3851" s="4">
        <v>3848</v>
      </c>
      <c r="C3851" s="41" t="s">
        <v>6213</v>
      </c>
      <c r="D3851" s="42"/>
      <c r="E3851" s="5" t="str">
        <f t="shared" si="75"/>
        <v>https://www.screener.in/company//consolidated/</v>
      </c>
      <c r="F3851" s="4">
        <v>443059</v>
      </c>
      <c r="G3851" s="4">
        <v>3832241897</v>
      </c>
      <c r="H3851" s="6" t="e">
        <f t="shared" ca="1" si="76"/>
        <v>#VALUE!</v>
      </c>
      <c r="I3851" s="7" t="str">
        <f ca="1">IFERROR(__xludf.DUMMYFUNCTION("IMPORTXML(E3851,""/html/body/main/div[3]/div[3]/div[2]/ul/li[5]/span[2]/span"")"),"Loading...")</f>
        <v>Loading...</v>
      </c>
      <c r="J3851" s="7" t="str">
        <f ca="1">IFERROR(__xludf.DUMMYFUNCTION("GOOGLEFINANCE(""NSE:""&amp;D3851,""marketcap"")"),"#N/A")</f>
        <v>#N/A</v>
      </c>
      <c r="K3851" s="7">
        <v>992.8</v>
      </c>
      <c r="L3851" s="8" t="str">
        <f ca="1">IFERROR(__xludf.DUMMYFUNCTION("GOOGLEFINANCE(""NSE:""&amp;D3851,""price"")"),"#N/A")</f>
        <v>#N/A</v>
      </c>
      <c r="M3851" s="9" t="e">
        <f t="shared" ca="1" si="77"/>
        <v>#VALUE!</v>
      </c>
      <c r="N3851" s="10" t="e">
        <f t="shared" ca="1" si="78"/>
        <v>#VALUE!</v>
      </c>
      <c r="O3851" s="7" t="str">
        <f ca="1">IFERROR(__xludf.DUMMYFUNCTION("GOOGLEFINANCE(""NSE:""&amp;D3851,""pe"")"),"#N/A")</f>
        <v>#N/A</v>
      </c>
      <c r="P3851" s="7" t="str">
        <f ca="1">IFERROR(__xludf.DUMMYFUNCTION("GOOGLEFINANCE(""NSE:""&amp;D3851,""EPS"")"),"#N/A")</f>
        <v>#N/A</v>
      </c>
      <c r="Q3851" s="7">
        <v>13.5</v>
      </c>
      <c r="R3851" s="7" t="str">
        <f ca="1">IFERROR(__xludf.DUMMYFUNCTION("IMPORTXML(E3851,""/html/body/main/div[3]/div[3]/div[2]/ul/li[7]/span[2]/span"")"),"Loading...")</f>
        <v>Loading...</v>
      </c>
      <c r="S3851" s="7" t="str">
        <f ca="1">IFERROR(__xludf.DUMMYFUNCTION("IMPORTXML(E3851,""/html/body/main/div[3]/div[3]/div[2]/ul/li[8]/span[2]/span"")"),"Loading...")</f>
        <v>Loading...</v>
      </c>
      <c r="T3851" s="4">
        <v>34.6</v>
      </c>
      <c r="U3851" s="4">
        <v>22.7</v>
      </c>
      <c r="V3851" s="4">
        <v>2.6</v>
      </c>
      <c r="W3851" s="4">
        <v>5.7</v>
      </c>
      <c r="X3851" s="4">
        <v>519.92999999999995</v>
      </c>
      <c r="Y3851" s="7" t="e">
        <f t="shared" ca="1" si="79"/>
        <v>#VALUE!</v>
      </c>
    </row>
    <row r="3852" spans="1:25" ht="15" x14ac:dyDescent="0.25">
      <c r="A3852" s="4">
        <v>3849</v>
      </c>
      <c r="C3852" s="41" t="s">
        <v>6214</v>
      </c>
      <c r="D3852" s="42"/>
      <c r="E3852" s="5" t="str">
        <f t="shared" si="75"/>
        <v>https://www.screener.in/company//consolidated/</v>
      </c>
      <c r="F3852" s="4">
        <v>443059</v>
      </c>
      <c r="G3852" s="4">
        <v>3832241897</v>
      </c>
      <c r="H3852" s="6" t="e">
        <f t="shared" ca="1" si="76"/>
        <v>#VALUE!</v>
      </c>
      <c r="I3852" s="7" t="str">
        <f ca="1">IFERROR(__xludf.DUMMYFUNCTION("IMPORTXML(E3852,""/html/body/main/div[3]/div[3]/div[2]/ul/li[5]/span[2]/span"")"),"Loading...")</f>
        <v>Loading...</v>
      </c>
      <c r="J3852" s="7" t="str">
        <f ca="1">IFERROR(__xludf.DUMMYFUNCTION("GOOGLEFINANCE(""NSE:""&amp;D3852,""marketcap"")"),"#N/A")</f>
        <v>#N/A</v>
      </c>
      <c r="K3852" s="7">
        <v>992.8</v>
      </c>
      <c r="L3852" s="8" t="str">
        <f ca="1">IFERROR(__xludf.DUMMYFUNCTION("GOOGLEFINANCE(""NSE:""&amp;D3852,""price"")"),"#N/A")</f>
        <v>#N/A</v>
      </c>
      <c r="M3852" s="9" t="e">
        <f t="shared" ca="1" si="77"/>
        <v>#VALUE!</v>
      </c>
      <c r="N3852" s="10" t="e">
        <f t="shared" ca="1" si="78"/>
        <v>#VALUE!</v>
      </c>
      <c r="O3852" s="7" t="str">
        <f ca="1">IFERROR(__xludf.DUMMYFUNCTION("GOOGLEFINANCE(""NSE:""&amp;D3852,""pe"")"),"#N/A")</f>
        <v>#N/A</v>
      </c>
      <c r="P3852" s="7" t="str">
        <f ca="1">IFERROR(__xludf.DUMMYFUNCTION("GOOGLEFINANCE(""NSE:""&amp;D3852,""EPS"")"),"#N/A")</f>
        <v>#N/A</v>
      </c>
      <c r="Q3852" s="7">
        <v>13.5</v>
      </c>
      <c r="R3852" s="7" t="str">
        <f ca="1">IFERROR(__xludf.DUMMYFUNCTION("IMPORTXML(E3852,""/html/body/main/div[3]/div[3]/div[2]/ul/li[7]/span[2]/span"")"),"Loading...")</f>
        <v>Loading...</v>
      </c>
      <c r="S3852" s="7" t="str">
        <f ca="1">IFERROR(__xludf.DUMMYFUNCTION("IMPORTXML(E3852,""/html/body/main/div[3]/div[3]/div[2]/ul/li[8]/span[2]/span"")"),"Loading...")</f>
        <v>Loading...</v>
      </c>
      <c r="T3852" s="4">
        <v>34.6</v>
      </c>
      <c r="U3852" s="4">
        <v>22.7</v>
      </c>
      <c r="V3852" s="4">
        <v>2.6</v>
      </c>
      <c r="W3852" s="4">
        <v>5.7</v>
      </c>
      <c r="X3852" s="4">
        <v>519.92999999999995</v>
      </c>
      <c r="Y3852" s="7" t="e">
        <f t="shared" ca="1" si="79"/>
        <v>#VALUE!</v>
      </c>
    </row>
    <row r="3853" spans="1:25" ht="15" x14ac:dyDescent="0.25">
      <c r="A3853" s="4">
        <v>3850</v>
      </c>
      <c r="C3853" s="41" t="s">
        <v>6215</v>
      </c>
      <c r="D3853" s="42"/>
      <c r="E3853" s="5" t="str">
        <f t="shared" si="75"/>
        <v>https://www.screener.in/company//consolidated/</v>
      </c>
      <c r="F3853" s="4">
        <v>443059</v>
      </c>
      <c r="G3853" s="4">
        <v>3832241897</v>
      </c>
      <c r="H3853" s="6" t="e">
        <f t="shared" ca="1" si="76"/>
        <v>#VALUE!</v>
      </c>
      <c r="I3853" s="7" t="str">
        <f ca="1">IFERROR(__xludf.DUMMYFUNCTION("IMPORTXML(E3853,""/html/body/main/div[3]/div[3]/div[2]/ul/li[5]/span[2]/span"")"),"Loading...")</f>
        <v>Loading...</v>
      </c>
      <c r="J3853" s="7" t="str">
        <f ca="1">IFERROR(__xludf.DUMMYFUNCTION("GOOGLEFINANCE(""NSE:""&amp;D3853,""marketcap"")"),"#N/A")</f>
        <v>#N/A</v>
      </c>
      <c r="K3853" s="7">
        <v>992.8</v>
      </c>
      <c r="L3853" s="8" t="str">
        <f ca="1">IFERROR(__xludf.DUMMYFUNCTION("GOOGLEFINANCE(""NSE:""&amp;D3853,""price"")"),"#N/A")</f>
        <v>#N/A</v>
      </c>
      <c r="M3853" s="9" t="e">
        <f t="shared" ca="1" si="77"/>
        <v>#VALUE!</v>
      </c>
      <c r="N3853" s="10" t="e">
        <f t="shared" ca="1" si="78"/>
        <v>#VALUE!</v>
      </c>
      <c r="O3853" s="7" t="str">
        <f ca="1">IFERROR(__xludf.DUMMYFUNCTION("GOOGLEFINANCE(""NSE:""&amp;D3853,""pe"")"),"#N/A")</f>
        <v>#N/A</v>
      </c>
      <c r="P3853" s="7" t="str">
        <f ca="1">IFERROR(__xludf.DUMMYFUNCTION("GOOGLEFINANCE(""NSE:""&amp;D3853,""EPS"")"),"#N/A")</f>
        <v>#N/A</v>
      </c>
      <c r="Q3853" s="7">
        <v>13.5</v>
      </c>
      <c r="R3853" s="7" t="str">
        <f ca="1">IFERROR(__xludf.DUMMYFUNCTION("IMPORTXML(E3853,""/html/body/main/div[3]/div[3]/div[2]/ul/li[7]/span[2]/span"")"),"Loading...")</f>
        <v>Loading...</v>
      </c>
      <c r="S3853" s="7" t="str">
        <f ca="1">IFERROR(__xludf.DUMMYFUNCTION("IMPORTXML(E3853,""/html/body/main/div[3]/div[3]/div[2]/ul/li[8]/span[2]/span"")"),"Loading...")</f>
        <v>Loading...</v>
      </c>
      <c r="T3853" s="4">
        <v>34.6</v>
      </c>
      <c r="U3853" s="4">
        <v>22.7</v>
      </c>
      <c r="V3853" s="4">
        <v>2.6</v>
      </c>
      <c r="W3853" s="4">
        <v>5.7</v>
      </c>
      <c r="X3853" s="4">
        <v>519.92999999999995</v>
      </c>
      <c r="Y3853" s="7" t="e">
        <f t="shared" ca="1" si="79"/>
        <v>#VALUE!</v>
      </c>
    </row>
    <row r="3854" spans="1:25" ht="15" x14ac:dyDescent="0.25">
      <c r="A3854" s="4">
        <v>3851</v>
      </c>
      <c r="C3854" s="41" t="s">
        <v>6216</v>
      </c>
      <c r="D3854" s="42"/>
      <c r="E3854" s="5" t="str">
        <f t="shared" si="75"/>
        <v>https://www.screener.in/company//consolidated/</v>
      </c>
      <c r="F3854" s="4">
        <v>443059</v>
      </c>
      <c r="G3854" s="4">
        <v>3832241897</v>
      </c>
      <c r="H3854" s="6" t="e">
        <f t="shared" ca="1" si="76"/>
        <v>#VALUE!</v>
      </c>
      <c r="I3854" s="7" t="str">
        <f ca="1">IFERROR(__xludf.DUMMYFUNCTION("IMPORTXML(E3854,""/html/body/main/div[3]/div[3]/div[2]/ul/li[5]/span[2]/span"")"),"Loading...")</f>
        <v>Loading...</v>
      </c>
      <c r="J3854" s="7" t="str">
        <f ca="1">IFERROR(__xludf.DUMMYFUNCTION("GOOGLEFINANCE(""NSE:""&amp;D3854,""marketcap"")"),"#N/A")</f>
        <v>#N/A</v>
      </c>
      <c r="K3854" s="7">
        <v>992.8</v>
      </c>
      <c r="L3854" s="8" t="str">
        <f ca="1">IFERROR(__xludf.DUMMYFUNCTION("GOOGLEFINANCE(""NSE:""&amp;D3854,""price"")"),"#N/A")</f>
        <v>#N/A</v>
      </c>
      <c r="M3854" s="9" t="e">
        <f t="shared" ca="1" si="77"/>
        <v>#VALUE!</v>
      </c>
      <c r="N3854" s="10" t="e">
        <f t="shared" ca="1" si="78"/>
        <v>#VALUE!</v>
      </c>
      <c r="O3854" s="7" t="str">
        <f ca="1">IFERROR(__xludf.DUMMYFUNCTION("GOOGLEFINANCE(""NSE:""&amp;D3854,""pe"")"),"#N/A")</f>
        <v>#N/A</v>
      </c>
      <c r="P3854" s="7" t="str">
        <f ca="1">IFERROR(__xludf.DUMMYFUNCTION("GOOGLEFINANCE(""NSE:""&amp;D3854,""EPS"")"),"#N/A")</f>
        <v>#N/A</v>
      </c>
      <c r="Q3854" s="7">
        <v>13.5</v>
      </c>
      <c r="R3854" s="7" t="str">
        <f ca="1">IFERROR(__xludf.DUMMYFUNCTION("IMPORTXML(E3854,""/html/body/main/div[3]/div[3]/div[2]/ul/li[7]/span[2]/span"")"),"Loading...")</f>
        <v>Loading...</v>
      </c>
      <c r="S3854" s="7" t="str">
        <f ca="1">IFERROR(__xludf.DUMMYFUNCTION("IMPORTXML(E3854,""/html/body/main/div[3]/div[3]/div[2]/ul/li[8]/span[2]/span"")"),"Loading...")</f>
        <v>Loading...</v>
      </c>
      <c r="T3854" s="4">
        <v>34.6</v>
      </c>
      <c r="U3854" s="4">
        <v>22.7</v>
      </c>
      <c r="V3854" s="4">
        <v>2.6</v>
      </c>
      <c r="W3854" s="4">
        <v>5.7</v>
      </c>
      <c r="X3854" s="4">
        <v>519.92999999999995</v>
      </c>
      <c r="Y3854" s="7" t="e">
        <f t="shared" ca="1" si="79"/>
        <v>#VALUE!</v>
      </c>
    </row>
    <row r="3855" spans="1:25" ht="15" x14ac:dyDescent="0.25">
      <c r="A3855" s="4">
        <v>3852</v>
      </c>
      <c r="C3855" s="41" t="s">
        <v>6217</v>
      </c>
      <c r="D3855" s="42"/>
      <c r="E3855" s="5" t="str">
        <f t="shared" si="75"/>
        <v>https://www.screener.in/company//consolidated/</v>
      </c>
      <c r="F3855" s="4">
        <v>443059</v>
      </c>
      <c r="G3855" s="4">
        <v>3832241897</v>
      </c>
      <c r="H3855" s="6" t="e">
        <f t="shared" ca="1" si="76"/>
        <v>#VALUE!</v>
      </c>
      <c r="I3855" s="7" t="str">
        <f ca="1">IFERROR(__xludf.DUMMYFUNCTION("IMPORTXML(E3855,""/html/body/main/div[3]/div[3]/div[2]/ul/li[5]/span[2]/span"")"),"Loading...")</f>
        <v>Loading...</v>
      </c>
      <c r="J3855" s="7" t="str">
        <f ca="1">IFERROR(__xludf.DUMMYFUNCTION("GOOGLEFINANCE(""NSE:""&amp;D3855,""marketcap"")"),"#N/A")</f>
        <v>#N/A</v>
      </c>
      <c r="K3855" s="7">
        <v>992.8</v>
      </c>
      <c r="L3855" s="8" t="str">
        <f ca="1">IFERROR(__xludf.DUMMYFUNCTION("GOOGLEFINANCE(""NSE:""&amp;D3855,""price"")"),"#N/A")</f>
        <v>#N/A</v>
      </c>
      <c r="M3855" s="9" t="e">
        <f t="shared" ca="1" si="77"/>
        <v>#VALUE!</v>
      </c>
      <c r="N3855" s="10" t="e">
        <f t="shared" ca="1" si="78"/>
        <v>#VALUE!</v>
      </c>
      <c r="O3855" s="7" t="str">
        <f ca="1">IFERROR(__xludf.DUMMYFUNCTION("GOOGLEFINANCE(""NSE:""&amp;D3855,""pe"")"),"#N/A")</f>
        <v>#N/A</v>
      </c>
      <c r="P3855" s="7" t="str">
        <f ca="1">IFERROR(__xludf.DUMMYFUNCTION("GOOGLEFINANCE(""NSE:""&amp;D3855,""EPS"")"),"#N/A")</f>
        <v>#N/A</v>
      </c>
      <c r="Q3855" s="7">
        <v>13.5</v>
      </c>
      <c r="R3855" s="7" t="str">
        <f ca="1">IFERROR(__xludf.DUMMYFUNCTION("IMPORTXML(E3855,""/html/body/main/div[3]/div[3]/div[2]/ul/li[7]/span[2]/span"")"),"Loading...")</f>
        <v>Loading...</v>
      </c>
      <c r="S3855" s="7" t="str">
        <f ca="1">IFERROR(__xludf.DUMMYFUNCTION("IMPORTXML(E3855,""/html/body/main/div[3]/div[3]/div[2]/ul/li[8]/span[2]/span"")"),"Loading...")</f>
        <v>Loading...</v>
      </c>
      <c r="T3855" s="4">
        <v>34.6</v>
      </c>
      <c r="U3855" s="4">
        <v>22.7</v>
      </c>
      <c r="V3855" s="4">
        <v>2.6</v>
      </c>
      <c r="W3855" s="4">
        <v>5.7</v>
      </c>
      <c r="X3855" s="4">
        <v>519.92999999999995</v>
      </c>
      <c r="Y3855" s="7" t="e">
        <f t="shared" ca="1" si="79"/>
        <v>#VALUE!</v>
      </c>
    </row>
    <row r="3856" spans="1:25" ht="15" x14ac:dyDescent="0.25">
      <c r="A3856" s="4">
        <v>3853</v>
      </c>
      <c r="C3856" s="41" t="s">
        <v>6218</v>
      </c>
      <c r="D3856" s="42"/>
      <c r="E3856" s="5" t="str">
        <f t="shared" si="75"/>
        <v>https://www.screener.in/company//consolidated/</v>
      </c>
      <c r="F3856" s="4">
        <v>443059</v>
      </c>
      <c r="G3856" s="4">
        <v>3832241897</v>
      </c>
      <c r="H3856" s="6" t="e">
        <f t="shared" ca="1" si="76"/>
        <v>#VALUE!</v>
      </c>
      <c r="I3856" s="7" t="str">
        <f ca="1">IFERROR(__xludf.DUMMYFUNCTION("IMPORTXML(E3856,""/html/body/main/div[3]/div[3]/div[2]/ul/li[5]/span[2]/span"")"),"Loading...")</f>
        <v>Loading...</v>
      </c>
      <c r="J3856" s="7" t="str">
        <f ca="1">IFERROR(__xludf.DUMMYFUNCTION("GOOGLEFINANCE(""NSE:""&amp;D3856,""marketcap"")"),"#N/A")</f>
        <v>#N/A</v>
      </c>
      <c r="K3856" s="7">
        <v>992.8</v>
      </c>
      <c r="L3856" s="8" t="str">
        <f ca="1">IFERROR(__xludf.DUMMYFUNCTION("GOOGLEFINANCE(""NSE:""&amp;D3856,""price"")"),"#N/A")</f>
        <v>#N/A</v>
      </c>
      <c r="M3856" s="9" t="e">
        <f t="shared" ca="1" si="77"/>
        <v>#VALUE!</v>
      </c>
      <c r="N3856" s="10" t="e">
        <f t="shared" ca="1" si="78"/>
        <v>#VALUE!</v>
      </c>
      <c r="O3856" s="7" t="str">
        <f ca="1">IFERROR(__xludf.DUMMYFUNCTION("GOOGLEFINANCE(""NSE:""&amp;D3856,""pe"")"),"#N/A")</f>
        <v>#N/A</v>
      </c>
      <c r="P3856" s="7" t="str">
        <f ca="1">IFERROR(__xludf.DUMMYFUNCTION("GOOGLEFINANCE(""NSE:""&amp;D3856,""EPS"")"),"#N/A")</f>
        <v>#N/A</v>
      </c>
      <c r="Q3856" s="7">
        <v>13.5</v>
      </c>
      <c r="R3856" s="7" t="str">
        <f ca="1">IFERROR(__xludf.DUMMYFUNCTION("IMPORTXML(E3856,""/html/body/main/div[3]/div[3]/div[2]/ul/li[7]/span[2]/span"")"),"Loading...")</f>
        <v>Loading...</v>
      </c>
      <c r="S3856" s="7" t="str">
        <f ca="1">IFERROR(__xludf.DUMMYFUNCTION("IMPORTXML(E3856,""/html/body/main/div[3]/div[3]/div[2]/ul/li[8]/span[2]/span"")"),"Loading...")</f>
        <v>Loading...</v>
      </c>
      <c r="T3856" s="4">
        <v>34.6</v>
      </c>
      <c r="U3856" s="4">
        <v>22.7</v>
      </c>
      <c r="V3856" s="4">
        <v>2.6</v>
      </c>
      <c r="W3856" s="4">
        <v>5.7</v>
      </c>
      <c r="X3856" s="4">
        <v>519.92999999999995</v>
      </c>
      <c r="Y3856" s="7" t="e">
        <f t="shared" ca="1" si="79"/>
        <v>#VALUE!</v>
      </c>
    </row>
    <row r="3857" spans="1:25" ht="15" x14ac:dyDescent="0.25">
      <c r="A3857" s="4">
        <v>3854</v>
      </c>
      <c r="C3857" s="41" t="s">
        <v>6219</v>
      </c>
      <c r="D3857" s="42"/>
      <c r="E3857" s="5" t="str">
        <f t="shared" si="75"/>
        <v>https://www.screener.in/company//consolidated/</v>
      </c>
      <c r="F3857" s="4">
        <v>443059</v>
      </c>
      <c r="G3857" s="4">
        <v>3832241897</v>
      </c>
      <c r="H3857" s="6" t="e">
        <f t="shared" ca="1" si="76"/>
        <v>#VALUE!</v>
      </c>
      <c r="I3857" s="7" t="str">
        <f ca="1">IFERROR(__xludf.DUMMYFUNCTION("IMPORTXML(E3857,""/html/body/main/div[3]/div[3]/div[2]/ul/li[5]/span[2]/span"")"),"Loading...")</f>
        <v>Loading...</v>
      </c>
      <c r="J3857" s="7" t="str">
        <f ca="1">IFERROR(__xludf.DUMMYFUNCTION("GOOGLEFINANCE(""NSE:""&amp;D3857,""marketcap"")"),"#N/A")</f>
        <v>#N/A</v>
      </c>
      <c r="K3857" s="7">
        <v>992.8</v>
      </c>
      <c r="L3857" s="8" t="str">
        <f ca="1">IFERROR(__xludf.DUMMYFUNCTION("GOOGLEFINANCE(""NSE:""&amp;D3857,""price"")"),"#N/A")</f>
        <v>#N/A</v>
      </c>
      <c r="M3857" s="9" t="e">
        <f t="shared" ca="1" si="77"/>
        <v>#VALUE!</v>
      </c>
      <c r="N3857" s="10" t="e">
        <f t="shared" ca="1" si="78"/>
        <v>#VALUE!</v>
      </c>
      <c r="O3857" s="7" t="str">
        <f ca="1">IFERROR(__xludf.DUMMYFUNCTION("GOOGLEFINANCE(""NSE:""&amp;D3857,""pe"")"),"#N/A")</f>
        <v>#N/A</v>
      </c>
      <c r="P3857" s="7" t="str">
        <f ca="1">IFERROR(__xludf.DUMMYFUNCTION("GOOGLEFINANCE(""NSE:""&amp;D3857,""EPS"")"),"#N/A")</f>
        <v>#N/A</v>
      </c>
      <c r="Q3857" s="7">
        <v>13.5</v>
      </c>
      <c r="R3857" s="7" t="str">
        <f ca="1">IFERROR(__xludf.DUMMYFUNCTION("IMPORTXML(E3857,""/html/body/main/div[3]/div[3]/div[2]/ul/li[7]/span[2]/span"")"),"Loading...")</f>
        <v>Loading...</v>
      </c>
      <c r="S3857" s="7" t="str">
        <f ca="1">IFERROR(__xludf.DUMMYFUNCTION("IMPORTXML(E3857,""/html/body/main/div[3]/div[3]/div[2]/ul/li[8]/span[2]/span"")"),"Loading...")</f>
        <v>Loading...</v>
      </c>
      <c r="T3857" s="4">
        <v>34.6</v>
      </c>
      <c r="U3857" s="4">
        <v>22.7</v>
      </c>
      <c r="V3857" s="4">
        <v>2.6</v>
      </c>
      <c r="W3857" s="4">
        <v>5.7</v>
      </c>
      <c r="X3857" s="4">
        <v>519.92999999999995</v>
      </c>
      <c r="Y3857" s="7" t="e">
        <f t="shared" ca="1" si="79"/>
        <v>#VALUE!</v>
      </c>
    </row>
    <row r="3858" spans="1:25" ht="15" x14ac:dyDescent="0.25">
      <c r="A3858" s="4">
        <v>3855</v>
      </c>
      <c r="C3858" s="41" t="s">
        <v>6220</v>
      </c>
      <c r="D3858" s="42"/>
      <c r="E3858" s="5" t="str">
        <f t="shared" si="75"/>
        <v>https://www.screener.in/company//consolidated/</v>
      </c>
      <c r="F3858" s="4">
        <v>443059</v>
      </c>
      <c r="G3858" s="4">
        <v>3832241897</v>
      </c>
      <c r="H3858" s="6" t="e">
        <f t="shared" ca="1" si="76"/>
        <v>#VALUE!</v>
      </c>
      <c r="I3858" s="7" t="str">
        <f ca="1">IFERROR(__xludf.DUMMYFUNCTION("IMPORTXML(E3858,""/html/body/main/div[3]/div[3]/div[2]/ul/li[5]/span[2]/span"")"),"Loading...")</f>
        <v>Loading...</v>
      </c>
      <c r="J3858" s="7" t="str">
        <f ca="1">IFERROR(__xludf.DUMMYFUNCTION("GOOGLEFINANCE(""NSE:""&amp;D3858,""marketcap"")"),"#N/A")</f>
        <v>#N/A</v>
      </c>
      <c r="K3858" s="7">
        <v>992.8</v>
      </c>
      <c r="L3858" s="8" t="str">
        <f ca="1">IFERROR(__xludf.DUMMYFUNCTION("GOOGLEFINANCE(""NSE:""&amp;D3858,""price"")"),"#N/A")</f>
        <v>#N/A</v>
      </c>
      <c r="M3858" s="9" t="e">
        <f t="shared" ca="1" si="77"/>
        <v>#VALUE!</v>
      </c>
      <c r="N3858" s="10" t="e">
        <f t="shared" ca="1" si="78"/>
        <v>#VALUE!</v>
      </c>
      <c r="O3858" s="7" t="str">
        <f ca="1">IFERROR(__xludf.DUMMYFUNCTION("GOOGLEFINANCE(""NSE:""&amp;D3858,""pe"")"),"#N/A")</f>
        <v>#N/A</v>
      </c>
      <c r="P3858" s="7" t="str">
        <f ca="1">IFERROR(__xludf.DUMMYFUNCTION("GOOGLEFINANCE(""NSE:""&amp;D3858,""EPS"")"),"#N/A")</f>
        <v>#N/A</v>
      </c>
      <c r="Q3858" s="7">
        <v>13.5</v>
      </c>
      <c r="R3858" s="7" t="str">
        <f ca="1">IFERROR(__xludf.DUMMYFUNCTION("IMPORTXML(E3858,""/html/body/main/div[3]/div[3]/div[2]/ul/li[7]/span[2]/span"")"),"Loading...")</f>
        <v>Loading...</v>
      </c>
      <c r="S3858" s="7" t="str">
        <f ca="1">IFERROR(__xludf.DUMMYFUNCTION("IMPORTXML(E3858,""/html/body/main/div[3]/div[3]/div[2]/ul/li[8]/span[2]/span"")"),"Loading...")</f>
        <v>Loading...</v>
      </c>
      <c r="T3858" s="4">
        <v>34.6</v>
      </c>
      <c r="U3858" s="4">
        <v>22.7</v>
      </c>
      <c r="V3858" s="4">
        <v>2.6</v>
      </c>
      <c r="W3858" s="4">
        <v>5.7</v>
      </c>
      <c r="X3858" s="4">
        <v>519.92999999999995</v>
      </c>
      <c r="Y3858" s="7" t="e">
        <f t="shared" ca="1" si="79"/>
        <v>#VALUE!</v>
      </c>
    </row>
    <row r="3859" spans="1:25" ht="15" x14ac:dyDescent="0.25">
      <c r="A3859" s="4">
        <v>3857</v>
      </c>
      <c r="C3859" s="41" t="s">
        <v>6221</v>
      </c>
      <c r="D3859" s="42"/>
      <c r="E3859" s="5" t="str">
        <f t="shared" si="75"/>
        <v>https://www.screener.in/company//consolidated/</v>
      </c>
      <c r="F3859" s="4">
        <v>443059</v>
      </c>
      <c r="G3859" s="4">
        <v>3832241897</v>
      </c>
      <c r="H3859" s="6" t="e">
        <f t="shared" ca="1" si="76"/>
        <v>#VALUE!</v>
      </c>
      <c r="I3859" s="7" t="str">
        <f ca="1">IFERROR(__xludf.DUMMYFUNCTION("IMPORTXML(E3859,""/html/body/main/div[3]/div[3]/div[2]/ul/li[5]/span[2]/span"")"),"Loading...")</f>
        <v>Loading...</v>
      </c>
      <c r="J3859" s="7" t="str">
        <f ca="1">IFERROR(__xludf.DUMMYFUNCTION("GOOGLEFINANCE(""NSE:""&amp;D3859,""marketcap"")"),"#N/A")</f>
        <v>#N/A</v>
      </c>
      <c r="K3859" s="7">
        <v>992.8</v>
      </c>
      <c r="L3859" s="8" t="str">
        <f ca="1">IFERROR(__xludf.DUMMYFUNCTION("GOOGLEFINANCE(""NSE:""&amp;D3859,""price"")"),"#N/A")</f>
        <v>#N/A</v>
      </c>
      <c r="M3859" s="9" t="e">
        <f t="shared" ca="1" si="77"/>
        <v>#VALUE!</v>
      </c>
      <c r="N3859" s="10" t="e">
        <f t="shared" ca="1" si="78"/>
        <v>#VALUE!</v>
      </c>
      <c r="O3859" s="7" t="str">
        <f ca="1">IFERROR(__xludf.DUMMYFUNCTION("GOOGLEFINANCE(""NSE:""&amp;D3859,""pe"")"),"#N/A")</f>
        <v>#N/A</v>
      </c>
      <c r="P3859" s="7" t="str">
        <f ca="1">IFERROR(__xludf.DUMMYFUNCTION("GOOGLEFINANCE(""NSE:""&amp;D3859,""EPS"")"),"#N/A")</f>
        <v>#N/A</v>
      </c>
      <c r="Q3859" s="7">
        <v>13.5</v>
      </c>
      <c r="R3859" s="7" t="str">
        <f ca="1">IFERROR(__xludf.DUMMYFUNCTION("IMPORTXML(E3859,""/html/body/main/div[3]/div[3]/div[2]/ul/li[7]/span[2]/span"")"),"Loading...")</f>
        <v>Loading...</v>
      </c>
      <c r="S3859" s="7" t="str">
        <f ca="1">IFERROR(__xludf.DUMMYFUNCTION("IMPORTXML(E3859,""/html/body/main/div[3]/div[3]/div[2]/ul/li[8]/span[2]/span"")"),"Loading...")</f>
        <v>Loading...</v>
      </c>
      <c r="T3859" s="4">
        <v>34.6</v>
      </c>
      <c r="U3859" s="4">
        <v>22.7</v>
      </c>
      <c r="V3859" s="4">
        <v>2.6</v>
      </c>
      <c r="W3859" s="4">
        <v>5.7</v>
      </c>
      <c r="X3859" s="4">
        <v>519.92999999999995</v>
      </c>
      <c r="Y3859" s="7" t="e">
        <f t="shared" ca="1" si="79"/>
        <v>#VALUE!</v>
      </c>
    </row>
    <row r="3860" spans="1:25" ht="15" x14ac:dyDescent="0.25">
      <c r="A3860" s="4">
        <v>3858</v>
      </c>
      <c r="C3860" s="41" t="s">
        <v>6222</v>
      </c>
      <c r="D3860" s="42"/>
      <c r="E3860" s="5" t="str">
        <f t="shared" si="75"/>
        <v>https://www.screener.in/company//consolidated/</v>
      </c>
      <c r="F3860" s="4">
        <v>443059</v>
      </c>
      <c r="G3860" s="4">
        <v>3832241897</v>
      </c>
      <c r="H3860" s="6" t="e">
        <f t="shared" ca="1" si="76"/>
        <v>#VALUE!</v>
      </c>
      <c r="I3860" s="7" t="str">
        <f ca="1">IFERROR(__xludf.DUMMYFUNCTION("IMPORTXML(E3860,""/html/body/main/div[3]/div[3]/div[2]/ul/li[5]/span[2]/span"")"),"Loading...")</f>
        <v>Loading...</v>
      </c>
      <c r="J3860" s="7" t="str">
        <f ca="1">IFERROR(__xludf.DUMMYFUNCTION("GOOGLEFINANCE(""NSE:""&amp;D3860,""marketcap"")"),"#N/A")</f>
        <v>#N/A</v>
      </c>
      <c r="K3860" s="7">
        <v>992.8</v>
      </c>
      <c r="L3860" s="8" t="str">
        <f ca="1">IFERROR(__xludf.DUMMYFUNCTION("GOOGLEFINANCE(""NSE:""&amp;D3860,""price"")"),"#N/A")</f>
        <v>#N/A</v>
      </c>
      <c r="M3860" s="9" t="e">
        <f t="shared" ca="1" si="77"/>
        <v>#VALUE!</v>
      </c>
      <c r="N3860" s="10" t="e">
        <f t="shared" ca="1" si="78"/>
        <v>#VALUE!</v>
      </c>
      <c r="O3860" s="7" t="str">
        <f ca="1">IFERROR(__xludf.DUMMYFUNCTION("GOOGLEFINANCE(""NSE:""&amp;D3860,""pe"")"),"#N/A")</f>
        <v>#N/A</v>
      </c>
      <c r="P3860" s="7" t="str">
        <f ca="1">IFERROR(__xludf.DUMMYFUNCTION("GOOGLEFINANCE(""NSE:""&amp;D3860,""EPS"")"),"#N/A")</f>
        <v>#N/A</v>
      </c>
      <c r="Q3860" s="7">
        <v>13.5</v>
      </c>
      <c r="R3860" s="7" t="str">
        <f ca="1">IFERROR(__xludf.DUMMYFUNCTION("IMPORTXML(E3860,""/html/body/main/div[3]/div[3]/div[2]/ul/li[7]/span[2]/span"")"),"Loading...")</f>
        <v>Loading...</v>
      </c>
      <c r="S3860" s="7" t="str">
        <f ca="1">IFERROR(__xludf.DUMMYFUNCTION("IMPORTXML(E3860,""/html/body/main/div[3]/div[3]/div[2]/ul/li[8]/span[2]/span"")"),"Loading...")</f>
        <v>Loading...</v>
      </c>
      <c r="T3860" s="4">
        <v>34.6</v>
      </c>
      <c r="U3860" s="4">
        <v>22.7</v>
      </c>
      <c r="V3860" s="4">
        <v>2.6</v>
      </c>
      <c r="W3860" s="4">
        <v>5.7</v>
      </c>
      <c r="X3860" s="4">
        <v>519.92999999999995</v>
      </c>
      <c r="Y3860" s="7" t="e">
        <f t="shared" ca="1" si="79"/>
        <v>#VALUE!</v>
      </c>
    </row>
    <row r="3861" spans="1:25" ht="15" x14ac:dyDescent="0.25">
      <c r="A3861" s="4">
        <v>3859</v>
      </c>
      <c r="C3861" s="41" t="s">
        <v>6223</v>
      </c>
      <c r="D3861" s="42"/>
      <c r="E3861" s="5" t="str">
        <f t="shared" si="75"/>
        <v>https://www.screener.in/company//consolidated/</v>
      </c>
      <c r="F3861" s="4">
        <v>443059</v>
      </c>
      <c r="G3861" s="4">
        <v>3832241897</v>
      </c>
      <c r="H3861" s="6" t="e">
        <f t="shared" ca="1" si="76"/>
        <v>#VALUE!</v>
      </c>
      <c r="I3861" s="7" t="str">
        <f ca="1">IFERROR(__xludf.DUMMYFUNCTION("IMPORTXML(E3861,""/html/body/main/div[3]/div[3]/div[2]/ul/li[5]/span[2]/span"")"),"Loading...")</f>
        <v>Loading...</v>
      </c>
      <c r="J3861" s="7" t="str">
        <f ca="1">IFERROR(__xludf.DUMMYFUNCTION("GOOGLEFINANCE(""NSE:""&amp;D3861,""marketcap"")"),"#N/A")</f>
        <v>#N/A</v>
      </c>
      <c r="K3861" s="7">
        <v>992.8</v>
      </c>
      <c r="L3861" s="8" t="str">
        <f ca="1">IFERROR(__xludf.DUMMYFUNCTION("GOOGLEFINANCE(""NSE:""&amp;D3861,""price"")"),"#N/A")</f>
        <v>#N/A</v>
      </c>
      <c r="M3861" s="9" t="e">
        <f t="shared" ca="1" si="77"/>
        <v>#VALUE!</v>
      </c>
      <c r="N3861" s="10" t="e">
        <f t="shared" ca="1" si="78"/>
        <v>#VALUE!</v>
      </c>
      <c r="O3861" s="7" t="str">
        <f ca="1">IFERROR(__xludf.DUMMYFUNCTION("GOOGLEFINANCE(""NSE:""&amp;D3861,""pe"")"),"#N/A")</f>
        <v>#N/A</v>
      </c>
      <c r="P3861" s="7" t="str">
        <f ca="1">IFERROR(__xludf.DUMMYFUNCTION("GOOGLEFINANCE(""NSE:""&amp;D3861,""EPS"")"),"#N/A")</f>
        <v>#N/A</v>
      </c>
      <c r="Q3861" s="7">
        <v>13.5</v>
      </c>
      <c r="R3861" s="7" t="str">
        <f ca="1">IFERROR(__xludf.DUMMYFUNCTION("IMPORTXML(E3861,""/html/body/main/div[3]/div[3]/div[2]/ul/li[7]/span[2]/span"")"),"Loading...")</f>
        <v>Loading...</v>
      </c>
      <c r="S3861" s="7" t="str">
        <f ca="1">IFERROR(__xludf.DUMMYFUNCTION("IMPORTXML(E3861,""/html/body/main/div[3]/div[3]/div[2]/ul/li[8]/span[2]/span"")"),"Loading...")</f>
        <v>Loading...</v>
      </c>
      <c r="T3861" s="4">
        <v>34.6</v>
      </c>
      <c r="U3861" s="4">
        <v>22.7</v>
      </c>
      <c r="V3861" s="4">
        <v>2.6</v>
      </c>
      <c r="W3861" s="4">
        <v>5.7</v>
      </c>
      <c r="X3861" s="4">
        <v>519.92999999999995</v>
      </c>
      <c r="Y3861" s="7" t="e">
        <f t="shared" ca="1" si="79"/>
        <v>#VALUE!</v>
      </c>
    </row>
    <row r="3862" spans="1:25" ht="15" x14ac:dyDescent="0.25">
      <c r="A3862" s="4">
        <v>3860</v>
      </c>
      <c r="C3862" s="41" t="s">
        <v>6224</v>
      </c>
      <c r="D3862" s="42"/>
      <c r="E3862" s="5" t="str">
        <f t="shared" si="75"/>
        <v>https://www.screener.in/company//consolidated/</v>
      </c>
      <c r="F3862" s="4">
        <v>443059</v>
      </c>
      <c r="G3862" s="4">
        <v>3832241897</v>
      </c>
      <c r="H3862" s="6" t="e">
        <f t="shared" ca="1" si="76"/>
        <v>#VALUE!</v>
      </c>
      <c r="I3862" s="7" t="str">
        <f ca="1">IFERROR(__xludf.DUMMYFUNCTION("IMPORTXML(E3862,""/html/body/main/div[3]/div[3]/div[2]/ul/li[5]/span[2]/span"")"),"Loading...")</f>
        <v>Loading...</v>
      </c>
      <c r="J3862" s="7" t="str">
        <f ca="1">IFERROR(__xludf.DUMMYFUNCTION("GOOGLEFINANCE(""NSE:""&amp;D3862,""marketcap"")"),"#N/A")</f>
        <v>#N/A</v>
      </c>
      <c r="K3862" s="7">
        <v>992.8</v>
      </c>
      <c r="L3862" s="8" t="str">
        <f ca="1">IFERROR(__xludf.DUMMYFUNCTION("GOOGLEFINANCE(""NSE:""&amp;D3862,""price"")"),"#N/A")</f>
        <v>#N/A</v>
      </c>
      <c r="M3862" s="9" t="e">
        <f t="shared" ca="1" si="77"/>
        <v>#VALUE!</v>
      </c>
      <c r="N3862" s="10" t="e">
        <f t="shared" ca="1" si="78"/>
        <v>#VALUE!</v>
      </c>
      <c r="O3862" s="7" t="str">
        <f ca="1">IFERROR(__xludf.DUMMYFUNCTION("GOOGLEFINANCE(""NSE:""&amp;D3862,""pe"")"),"#N/A")</f>
        <v>#N/A</v>
      </c>
      <c r="P3862" s="7" t="str">
        <f ca="1">IFERROR(__xludf.DUMMYFUNCTION("GOOGLEFINANCE(""NSE:""&amp;D3862,""EPS"")"),"#N/A")</f>
        <v>#N/A</v>
      </c>
      <c r="Q3862" s="7">
        <v>13.5</v>
      </c>
      <c r="R3862" s="7" t="str">
        <f ca="1">IFERROR(__xludf.DUMMYFUNCTION("IMPORTXML(E3862,""/html/body/main/div[3]/div[3]/div[2]/ul/li[7]/span[2]/span"")"),"Loading...")</f>
        <v>Loading...</v>
      </c>
      <c r="S3862" s="7" t="str">
        <f ca="1">IFERROR(__xludf.DUMMYFUNCTION("IMPORTXML(E3862,""/html/body/main/div[3]/div[3]/div[2]/ul/li[8]/span[2]/span"")"),"Loading...")</f>
        <v>Loading...</v>
      </c>
      <c r="T3862" s="4">
        <v>34.6</v>
      </c>
      <c r="U3862" s="4">
        <v>22.7</v>
      </c>
      <c r="V3862" s="4">
        <v>2.6</v>
      </c>
      <c r="W3862" s="4">
        <v>5.7</v>
      </c>
      <c r="X3862" s="4">
        <v>519.92999999999995</v>
      </c>
      <c r="Y3862" s="7" t="e">
        <f t="shared" ca="1" si="79"/>
        <v>#VALUE!</v>
      </c>
    </row>
    <row r="3863" spans="1:25" ht="15" x14ac:dyDescent="0.25">
      <c r="A3863" s="4">
        <v>3861</v>
      </c>
      <c r="C3863" s="12" t="s">
        <v>6225</v>
      </c>
      <c r="D3863" s="12" t="s">
        <v>6226</v>
      </c>
      <c r="E3863" s="5" t="str">
        <f t="shared" si="75"/>
        <v>https://www.screener.in/company/EUROTEXIND/consolidated/</v>
      </c>
      <c r="F3863" s="4">
        <v>443059</v>
      </c>
      <c r="G3863" s="4">
        <v>3832241897</v>
      </c>
      <c r="H3863" s="6">
        <f t="shared" ca="1" si="76"/>
        <v>5763.6918130879994</v>
      </c>
      <c r="I3863" s="7" t="str">
        <f ca="1">IFERROR(__xludf.DUMMYFUNCTION("IMPORTXML(E3863,""/html/body/main/div[3]/div[3]/div[2]/ul/li[5]/span[2]/span"")"),"Loading...")</f>
        <v>Loading...</v>
      </c>
      <c r="J3863" s="7">
        <f ca="1">IFERROR(__xludf.DUMMYFUNCTION("GOOGLEFINANCE(""NSE:""&amp;D3863,""marketcap"")"),135885400)</f>
        <v>135885400</v>
      </c>
      <c r="K3863" s="7">
        <v>992.8</v>
      </c>
      <c r="L3863" s="8">
        <f ca="1">IFERROR(__xludf.DUMMYFUNCTION("GOOGLEFINANCE(""NSE:""&amp;D3863,""price"")"),15.04)</f>
        <v>15.04</v>
      </c>
      <c r="M3863" s="9">
        <f t="shared" ca="1" si="77"/>
        <v>-977.76</v>
      </c>
      <c r="N3863" s="10">
        <f t="shared" ca="1" si="78"/>
        <v>-98.485092667203872</v>
      </c>
      <c r="O3863" s="7" t="str">
        <f ca="1">IFERROR(__xludf.DUMMYFUNCTION("GOOGLEFINANCE(""NSE:""&amp;D3863,""pe"")"),"#N/A")</f>
        <v>#N/A</v>
      </c>
      <c r="P3863" s="7">
        <f ca="1">IFERROR(__xludf.DUMMYFUNCTION("GOOGLEFINANCE(""NSE:""&amp;D3863,""EPS"")"),-1.7)</f>
        <v>-1.7</v>
      </c>
      <c r="Q3863" s="7">
        <v>13.5</v>
      </c>
      <c r="R3863" s="7" t="str">
        <f ca="1">IFERROR(__xludf.DUMMYFUNCTION("IMPORTXML(E3863,""/html/body/main/div[3]/div[3]/div[2]/ul/li[7]/span[2]/span"")"),"Loading...")</f>
        <v>Loading...</v>
      </c>
      <c r="S3863" s="7" t="str">
        <f ca="1">IFERROR(__xludf.DUMMYFUNCTION("IMPORTXML(E3863,""/html/body/main/div[3]/div[3]/div[2]/ul/li[8]/span[2]/span"")"),"Loading...")</f>
        <v>Loading...</v>
      </c>
      <c r="T3863" s="4">
        <v>34.6</v>
      </c>
      <c r="U3863" s="4">
        <v>22.7</v>
      </c>
      <c r="V3863" s="4">
        <v>2.6</v>
      </c>
      <c r="W3863" s="4">
        <v>5.7</v>
      </c>
      <c r="X3863" s="4">
        <v>519.92999999999995</v>
      </c>
      <c r="Y3863" s="7">
        <f t="shared" ca="1" si="79"/>
        <v>-504.88999999999993</v>
      </c>
    </row>
    <row r="3864" spans="1:25" ht="15" x14ac:dyDescent="0.25">
      <c r="A3864" s="4">
        <v>3862</v>
      </c>
      <c r="C3864" s="41" t="s">
        <v>6227</v>
      </c>
      <c r="D3864" s="42"/>
      <c r="E3864" s="5" t="str">
        <f t="shared" si="75"/>
        <v>https://www.screener.in/company//consolidated/</v>
      </c>
      <c r="F3864" s="4">
        <v>443059</v>
      </c>
      <c r="G3864" s="4">
        <v>3832241897</v>
      </c>
      <c r="H3864" s="6" t="e">
        <f t="shared" ca="1" si="76"/>
        <v>#VALUE!</v>
      </c>
      <c r="I3864" s="7" t="str">
        <f ca="1">IFERROR(__xludf.DUMMYFUNCTION("IMPORTXML(E3864,""/html/body/main/div[3]/div[3]/div[2]/ul/li[5]/span[2]/span"")"),"Loading...")</f>
        <v>Loading...</v>
      </c>
      <c r="J3864" s="7" t="str">
        <f ca="1">IFERROR(__xludf.DUMMYFUNCTION("GOOGLEFINANCE(""NSE:""&amp;D3864,""marketcap"")"),"#N/A")</f>
        <v>#N/A</v>
      </c>
      <c r="K3864" s="7">
        <v>992.8</v>
      </c>
      <c r="L3864" s="8" t="str">
        <f ca="1">IFERROR(__xludf.DUMMYFUNCTION("GOOGLEFINANCE(""NSE:""&amp;D3864,""price"")"),"#N/A")</f>
        <v>#N/A</v>
      </c>
      <c r="M3864" s="9" t="e">
        <f t="shared" ca="1" si="77"/>
        <v>#VALUE!</v>
      </c>
      <c r="N3864" s="10" t="e">
        <f t="shared" ca="1" si="78"/>
        <v>#VALUE!</v>
      </c>
      <c r="O3864" s="7" t="str">
        <f ca="1">IFERROR(__xludf.DUMMYFUNCTION("GOOGLEFINANCE(""NSE:""&amp;D3864,""pe"")"),"#N/A")</f>
        <v>#N/A</v>
      </c>
      <c r="P3864" s="7" t="str">
        <f ca="1">IFERROR(__xludf.DUMMYFUNCTION("GOOGLEFINANCE(""NSE:""&amp;D3864,""EPS"")"),"#N/A")</f>
        <v>#N/A</v>
      </c>
      <c r="Q3864" s="7">
        <v>13.5</v>
      </c>
      <c r="R3864" s="7" t="str">
        <f ca="1">IFERROR(__xludf.DUMMYFUNCTION("IMPORTXML(E3864,""/html/body/main/div[3]/div[3]/div[2]/ul/li[7]/span[2]/span"")"),"Loading...")</f>
        <v>Loading...</v>
      </c>
      <c r="S3864" s="7" t="str">
        <f ca="1">IFERROR(__xludf.DUMMYFUNCTION("IMPORTXML(E3864,""/html/body/main/div[3]/div[3]/div[2]/ul/li[8]/span[2]/span"")"),"Loading...")</f>
        <v>Loading...</v>
      </c>
      <c r="T3864" s="4">
        <v>34.6</v>
      </c>
      <c r="U3864" s="4">
        <v>22.7</v>
      </c>
      <c r="V3864" s="4">
        <v>2.6</v>
      </c>
      <c r="W3864" s="4">
        <v>5.7</v>
      </c>
      <c r="X3864" s="4">
        <v>519.92999999999995</v>
      </c>
      <c r="Y3864" s="7" t="e">
        <f t="shared" ca="1" si="79"/>
        <v>#VALUE!</v>
      </c>
    </row>
    <row r="3865" spans="1:25" ht="15" x14ac:dyDescent="0.25">
      <c r="A3865" s="4">
        <v>3863</v>
      </c>
      <c r="C3865" s="41" t="s">
        <v>6228</v>
      </c>
      <c r="D3865" s="42"/>
      <c r="E3865" s="5" t="str">
        <f t="shared" si="75"/>
        <v>https://www.screener.in/company//consolidated/</v>
      </c>
      <c r="F3865" s="4">
        <v>443059</v>
      </c>
      <c r="G3865" s="4">
        <v>3832241897</v>
      </c>
      <c r="H3865" s="6" t="e">
        <f t="shared" ca="1" si="76"/>
        <v>#VALUE!</v>
      </c>
      <c r="I3865" s="7" t="str">
        <f ca="1">IFERROR(__xludf.DUMMYFUNCTION("IMPORTXML(E3865,""/html/body/main/div[3]/div[3]/div[2]/ul/li[5]/span[2]/span"")"),"Loading...")</f>
        <v>Loading...</v>
      </c>
      <c r="J3865" s="7" t="str">
        <f ca="1">IFERROR(__xludf.DUMMYFUNCTION("GOOGLEFINANCE(""NSE:""&amp;D3865,""marketcap"")"),"#N/A")</f>
        <v>#N/A</v>
      </c>
      <c r="K3865" s="7">
        <v>992.8</v>
      </c>
      <c r="L3865" s="8" t="str">
        <f ca="1">IFERROR(__xludf.DUMMYFUNCTION("GOOGLEFINANCE(""NSE:""&amp;D3865,""price"")"),"#N/A")</f>
        <v>#N/A</v>
      </c>
      <c r="M3865" s="9" t="e">
        <f t="shared" ca="1" si="77"/>
        <v>#VALUE!</v>
      </c>
      <c r="N3865" s="10" t="e">
        <f t="shared" ca="1" si="78"/>
        <v>#VALUE!</v>
      </c>
      <c r="O3865" s="7" t="str">
        <f ca="1">IFERROR(__xludf.DUMMYFUNCTION("GOOGLEFINANCE(""NSE:""&amp;D3865,""pe"")"),"#N/A")</f>
        <v>#N/A</v>
      </c>
      <c r="P3865" s="7" t="str">
        <f ca="1">IFERROR(__xludf.DUMMYFUNCTION("GOOGLEFINANCE(""NSE:""&amp;D3865,""EPS"")"),"#N/A")</f>
        <v>#N/A</v>
      </c>
      <c r="Q3865" s="7">
        <v>13.5</v>
      </c>
      <c r="R3865" s="7" t="str">
        <f ca="1">IFERROR(__xludf.DUMMYFUNCTION("IMPORTXML(E3865,""/html/body/main/div[3]/div[3]/div[2]/ul/li[7]/span[2]/span"")"),"Loading...")</f>
        <v>Loading...</v>
      </c>
      <c r="S3865" s="7" t="str">
        <f ca="1">IFERROR(__xludf.DUMMYFUNCTION("IMPORTXML(E3865,""/html/body/main/div[3]/div[3]/div[2]/ul/li[8]/span[2]/span"")"),"Loading...")</f>
        <v>Loading...</v>
      </c>
      <c r="T3865" s="4">
        <v>34.6</v>
      </c>
      <c r="U3865" s="4">
        <v>22.7</v>
      </c>
      <c r="V3865" s="4">
        <v>2.6</v>
      </c>
      <c r="W3865" s="4">
        <v>5.7</v>
      </c>
      <c r="X3865" s="4">
        <v>519.92999999999995</v>
      </c>
      <c r="Y3865" s="7" t="e">
        <f t="shared" ca="1" si="79"/>
        <v>#VALUE!</v>
      </c>
    </row>
    <row r="3866" spans="1:25" ht="15" x14ac:dyDescent="0.25">
      <c r="A3866" s="4">
        <v>3864</v>
      </c>
      <c r="C3866" s="41" t="s">
        <v>6229</v>
      </c>
      <c r="D3866" s="42"/>
      <c r="E3866" s="5" t="str">
        <f t="shared" si="75"/>
        <v>https://www.screener.in/company//consolidated/</v>
      </c>
      <c r="F3866" s="4">
        <v>443059</v>
      </c>
      <c r="G3866" s="4">
        <v>3832241897</v>
      </c>
      <c r="H3866" s="6" t="e">
        <f t="shared" ca="1" si="76"/>
        <v>#VALUE!</v>
      </c>
      <c r="I3866" s="7" t="str">
        <f ca="1">IFERROR(__xludf.DUMMYFUNCTION("IMPORTXML(E3866,""/html/body/main/div[3]/div[3]/div[2]/ul/li[5]/span[2]/span"")"),"Loading...")</f>
        <v>Loading...</v>
      </c>
      <c r="J3866" s="7" t="str">
        <f ca="1">IFERROR(__xludf.DUMMYFUNCTION("GOOGLEFINANCE(""NSE:""&amp;D3866,""marketcap"")"),"#N/A")</f>
        <v>#N/A</v>
      </c>
      <c r="K3866" s="7">
        <v>992.8</v>
      </c>
      <c r="L3866" s="8" t="str">
        <f ca="1">IFERROR(__xludf.DUMMYFUNCTION("GOOGLEFINANCE(""NSE:""&amp;D3866,""price"")"),"#N/A")</f>
        <v>#N/A</v>
      </c>
      <c r="M3866" s="9" t="e">
        <f t="shared" ca="1" si="77"/>
        <v>#VALUE!</v>
      </c>
      <c r="N3866" s="10" t="e">
        <f t="shared" ca="1" si="78"/>
        <v>#VALUE!</v>
      </c>
      <c r="O3866" s="7" t="str">
        <f ca="1">IFERROR(__xludf.DUMMYFUNCTION("GOOGLEFINANCE(""NSE:""&amp;D3866,""pe"")"),"#N/A")</f>
        <v>#N/A</v>
      </c>
      <c r="P3866" s="7" t="str">
        <f ca="1">IFERROR(__xludf.DUMMYFUNCTION("GOOGLEFINANCE(""NSE:""&amp;D3866,""EPS"")"),"#N/A")</f>
        <v>#N/A</v>
      </c>
      <c r="Q3866" s="7">
        <v>13.5</v>
      </c>
      <c r="R3866" s="7" t="str">
        <f ca="1">IFERROR(__xludf.DUMMYFUNCTION("IMPORTXML(E3866,""/html/body/main/div[3]/div[3]/div[2]/ul/li[7]/span[2]/span"")"),"Loading...")</f>
        <v>Loading...</v>
      </c>
      <c r="S3866" s="7" t="str">
        <f ca="1">IFERROR(__xludf.DUMMYFUNCTION("IMPORTXML(E3866,""/html/body/main/div[3]/div[3]/div[2]/ul/li[8]/span[2]/span"")"),"Loading...")</f>
        <v>Loading...</v>
      </c>
      <c r="T3866" s="4">
        <v>34.6</v>
      </c>
      <c r="U3866" s="4">
        <v>22.7</v>
      </c>
      <c r="V3866" s="4">
        <v>2.6</v>
      </c>
      <c r="W3866" s="4">
        <v>5.7</v>
      </c>
      <c r="X3866" s="4">
        <v>519.92999999999995</v>
      </c>
      <c r="Y3866" s="7" t="e">
        <f t="shared" ca="1" si="79"/>
        <v>#VALUE!</v>
      </c>
    </row>
    <row r="3867" spans="1:25" ht="15" x14ac:dyDescent="0.25">
      <c r="A3867" s="4">
        <v>3865</v>
      </c>
      <c r="C3867" s="41" t="s">
        <v>6230</v>
      </c>
      <c r="D3867" s="42"/>
      <c r="E3867" s="5" t="str">
        <f t="shared" si="75"/>
        <v>https://www.screener.in/company//consolidated/</v>
      </c>
      <c r="F3867" s="4">
        <v>443059</v>
      </c>
      <c r="G3867" s="4">
        <v>3832241897</v>
      </c>
      <c r="H3867" s="6" t="e">
        <f t="shared" ca="1" si="76"/>
        <v>#VALUE!</v>
      </c>
      <c r="I3867" s="7" t="str">
        <f ca="1">IFERROR(__xludf.DUMMYFUNCTION("IMPORTXML(E3867,""/html/body/main/div[3]/div[3]/div[2]/ul/li[5]/span[2]/span"")"),"Loading...")</f>
        <v>Loading...</v>
      </c>
      <c r="J3867" s="7" t="str">
        <f ca="1">IFERROR(__xludf.DUMMYFUNCTION("GOOGLEFINANCE(""NSE:""&amp;D3867,""marketcap"")"),"#N/A")</f>
        <v>#N/A</v>
      </c>
      <c r="K3867" s="7">
        <v>992.8</v>
      </c>
      <c r="L3867" s="8" t="str">
        <f ca="1">IFERROR(__xludf.DUMMYFUNCTION("GOOGLEFINANCE(""NSE:""&amp;D3867,""price"")"),"#N/A")</f>
        <v>#N/A</v>
      </c>
      <c r="M3867" s="9" t="e">
        <f t="shared" ca="1" si="77"/>
        <v>#VALUE!</v>
      </c>
      <c r="N3867" s="10" t="e">
        <f t="shared" ca="1" si="78"/>
        <v>#VALUE!</v>
      </c>
      <c r="O3867" s="7" t="str">
        <f ca="1">IFERROR(__xludf.DUMMYFUNCTION("GOOGLEFINANCE(""NSE:""&amp;D3867,""pe"")"),"#N/A")</f>
        <v>#N/A</v>
      </c>
      <c r="P3867" s="7" t="str">
        <f ca="1">IFERROR(__xludf.DUMMYFUNCTION("GOOGLEFINANCE(""NSE:""&amp;D3867,""EPS"")"),"#N/A")</f>
        <v>#N/A</v>
      </c>
      <c r="Q3867" s="7">
        <v>13.5</v>
      </c>
      <c r="R3867" s="7" t="str">
        <f ca="1">IFERROR(__xludf.DUMMYFUNCTION("IMPORTXML(E3867,""/html/body/main/div[3]/div[3]/div[2]/ul/li[7]/span[2]/span"")"),"Loading...")</f>
        <v>Loading...</v>
      </c>
      <c r="S3867" s="7" t="str">
        <f ca="1">IFERROR(__xludf.DUMMYFUNCTION("IMPORTXML(E3867,""/html/body/main/div[3]/div[3]/div[2]/ul/li[8]/span[2]/span"")"),"Loading...")</f>
        <v>Loading...</v>
      </c>
      <c r="T3867" s="4">
        <v>34.6</v>
      </c>
      <c r="U3867" s="4">
        <v>22.7</v>
      </c>
      <c r="V3867" s="4">
        <v>2.6</v>
      </c>
      <c r="W3867" s="4">
        <v>5.7</v>
      </c>
      <c r="X3867" s="4">
        <v>519.92999999999995</v>
      </c>
      <c r="Y3867" s="7" t="e">
        <f t="shared" ca="1" si="79"/>
        <v>#VALUE!</v>
      </c>
    </row>
    <row r="3868" spans="1:25" ht="15" x14ac:dyDescent="0.25">
      <c r="A3868" s="4">
        <v>3866</v>
      </c>
      <c r="C3868" s="41" t="s">
        <v>6231</v>
      </c>
      <c r="D3868" s="42"/>
      <c r="E3868" s="5" t="str">
        <f t="shared" si="75"/>
        <v>https://www.screener.in/company//consolidated/</v>
      </c>
      <c r="F3868" s="4">
        <v>443059</v>
      </c>
      <c r="G3868" s="4">
        <v>3832241897</v>
      </c>
      <c r="H3868" s="6" t="e">
        <f t="shared" ca="1" si="76"/>
        <v>#VALUE!</v>
      </c>
      <c r="I3868" s="7" t="str">
        <f ca="1">IFERROR(__xludf.DUMMYFUNCTION("IMPORTXML(E3868,""/html/body/main/div[3]/div[3]/div[2]/ul/li[5]/span[2]/span"")"),"Loading...")</f>
        <v>Loading...</v>
      </c>
      <c r="J3868" s="7" t="str">
        <f ca="1">IFERROR(__xludf.DUMMYFUNCTION("GOOGLEFINANCE(""NSE:""&amp;D3868,""marketcap"")"),"#N/A")</f>
        <v>#N/A</v>
      </c>
      <c r="K3868" s="7">
        <v>992.8</v>
      </c>
      <c r="L3868" s="8" t="str">
        <f ca="1">IFERROR(__xludf.DUMMYFUNCTION("GOOGLEFINANCE(""NSE:""&amp;D3868,""price"")"),"#N/A")</f>
        <v>#N/A</v>
      </c>
      <c r="M3868" s="9" t="e">
        <f t="shared" ca="1" si="77"/>
        <v>#VALUE!</v>
      </c>
      <c r="N3868" s="10" t="e">
        <f t="shared" ca="1" si="78"/>
        <v>#VALUE!</v>
      </c>
      <c r="O3868" s="7" t="str">
        <f ca="1">IFERROR(__xludf.DUMMYFUNCTION("GOOGLEFINANCE(""NSE:""&amp;D3868,""pe"")"),"#N/A")</f>
        <v>#N/A</v>
      </c>
      <c r="P3868" s="7" t="str">
        <f ca="1">IFERROR(__xludf.DUMMYFUNCTION("GOOGLEFINANCE(""NSE:""&amp;D3868,""EPS"")"),"#N/A")</f>
        <v>#N/A</v>
      </c>
      <c r="Q3868" s="7">
        <v>13.5</v>
      </c>
      <c r="R3868" s="7" t="str">
        <f ca="1">IFERROR(__xludf.DUMMYFUNCTION("IMPORTXML(E3868,""/html/body/main/div[3]/div[3]/div[2]/ul/li[7]/span[2]/span"")"),"Loading...")</f>
        <v>Loading...</v>
      </c>
      <c r="S3868" s="7" t="str">
        <f ca="1">IFERROR(__xludf.DUMMYFUNCTION("IMPORTXML(E3868,""/html/body/main/div[3]/div[3]/div[2]/ul/li[8]/span[2]/span"")"),"Loading...")</f>
        <v>Loading...</v>
      </c>
      <c r="T3868" s="4">
        <v>34.6</v>
      </c>
      <c r="U3868" s="4">
        <v>22.7</v>
      </c>
      <c r="V3868" s="4">
        <v>2.6</v>
      </c>
      <c r="W3868" s="4">
        <v>5.7</v>
      </c>
      <c r="X3868" s="4">
        <v>519.92999999999995</v>
      </c>
      <c r="Y3868" s="7" t="e">
        <f t="shared" ca="1" si="79"/>
        <v>#VALUE!</v>
      </c>
    </row>
    <row r="3869" spans="1:25" ht="15" x14ac:dyDescent="0.25">
      <c r="A3869" s="4">
        <v>3867</v>
      </c>
      <c r="C3869" s="12" t="s">
        <v>6232</v>
      </c>
      <c r="D3869" s="12" t="s">
        <v>6233</v>
      </c>
      <c r="E3869" s="5" t="str">
        <f t="shared" si="75"/>
        <v>https://www.screener.in/company/PREMIER/consolidated/</v>
      </c>
      <c r="F3869" s="4">
        <v>443059</v>
      </c>
      <c r="G3869" s="4">
        <v>3832241897</v>
      </c>
      <c r="H3869" s="6">
        <f t="shared" ca="1" si="76"/>
        <v>1371.942599126</v>
      </c>
      <c r="I3869" s="7" t="str">
        <f ca="1">IFERROR(__xludf.DUMMYFUNCTION("IMPORTXML(E3869,""/html/body/main/div[3]/div[3]/div[2]/ul/li[5]/span[2]/span"")"),"Loading...")</f>
        <v>Loading...</v>
      </c>
      <c r="J3869" s="7">
        <f ca="1">IFERROR(__xludf.DUMMYFUNCTION("GOOGLEFINANCE(""NSE:""&amp;D3869,""marketcap"")"),108733800)</f>
        <v>108733800</v>
      </c>
      <c r="K3869" s="7">
        <v>992.8</v>
      </c>
      <c r="L3869" s="8">
        <f ca="1">IFERROR(__xludf.DUMMYFUNCTION("GOOGLEFINANCE(""NSE:""&amp;D3869,""price"")"),3.58)</f>
        <v>3.58</v>
      </c>
      <c r="M3869" s="9">
        <f t="shared" ca="1" si="77"/>
        <v>-989.21999999999991</v>
      </c>
      <c r="N3869" s="10">
        <f t="shared" ca="1" si="78"/>
        <v>-99.639403706688142</v>
      </c>
      <c r="O3869" s="7" t="str">
        <f ca="1">IFERROR(__xludf.DUMMYFUNCTION("GOOGLEFINANCE(""NSE:""&amp;D3869,""pe"")"),"#N/A")</f>
        <v>#N/A</v>
      </c>
      <c r="P3869" s="7">
        <f ca="1">IFERROR(__xludf.DUMMYFUNCTION("GOOGLEFINANCE(""NSE:""&amp;D3869,""EPS"")"),-2.69)</f>
        <v>-2.69</v>
      </c>
      <c r="Q3869" s="7">
        <v>13.5</v>
      </c>
      <c r="R3869" s="7" t="str">
        <f ca="1">IFERROR(__xludf.DUMMYFUNCTION("IMPORTXML(E3869,""/html/body/main/div[3]/div[3]/div[2]/ul/li[7]/span[2]/span"")"),"Loading...")</f>
        <v>Loading...</v>
      </c>
      <c r="S3869" s="7" t="str">
        <f ca="1">IFERROR(__xludf.DUMMYFUNCTION("IMPORTXML(E3869,""/html/body/main/div[3]/div[3]/div[2]/ul/li[8]/span[2]/span"")"),"Loading...")</f>
        <v>Loading...</v>
      </c>
      <c r="T3869" s="4">
        <v>34.6</v>
      </c>
      <c r="U3869" s="4">
        <v>22.7</v>
      </c>
      <c r="V3869" s="4">
        <v>2.6</v>
      </c>
      <c r="W3869" s="4">
        <v>5.7</v>
      </c>
      <c r="X3869" s="4">
        <v>519.92999999999995</v>
      </c>
      <c r="Y3869" s="7">
        <f t="shared" ca="1" si="79"/>
        <v>-516.34999999999991</v>
      </c>
    </row>
    <row r="3870" spans="1:25" ht="15" x14ac:dyDescent="0.25">
      <c r="A3870" s="4">
        <v>3868</v>
      </c>
      <c r="C3870" s="41" t="s">
        <v>6234</v>
      </c>
      <c r="D3870" s="42"/>
      <c r="E3870" s="5" t="str">
        <f t="shared" si="75"/>
        <v>https://www.screener.in/company//consolidated/</v>
      </c>
      <c r="F3870" s="4">
        <v>443059</v>
      </c>
      <c r="G3870" s="4">
        <v>3832241897</v>
      </c>
      <c r="H3870" s="6" t="e">
        <f t="shared" ca="1" si="76"/>
        <v>#VALUE!</v>
      </c>
      <c r="I3870" s="7" t="str">
        <f ca="1">IFERROR(__xludf.DUMMYFUNCTION("IMPORTXML(E3870,""/html/body/main/div[3]/div[3]/div[2]/ul/li[5]/span[2]/span"")"),"Loading...")</f>
        <v>Loading...</v>
      </c>
      <c r="J3870" s="7" t="str">
        <f ca="1">IFERROR(__xludf.DUMMYFUNCTION("GOOGLEFINANCE(""NSE:""&amp;D3870,""marketcap"")"),"#N/A")</f>
        <v>#N/A</v>
      </c>
      <c r="K3870" s="7">
        <v>992.8</v>
      </c>
      <c r="L3870" s="8" t="str">
        <f ca="1">IFERROR(__xludf.DUMMYFUNCTION("GOOGLEFINANCE(""NSE:""&amp;D3870,""price"")"),"#N/A")</f>
        <v>#N/A</v>
      </c>
      <c r="M3870" s="9" t="e">
        <f t="shared" ca="1" si="77"/>
        <v>#VALUE!</v>
      </c>
      <c r="N3870" s="10" t="e">
        <f t="shared" ca="1" si="78"/>
        <v>#VALUE!</v>
      </c>
      <c r="O3870" s="7" t="str">
        <f ca="1">IFERROR(__xludf.DUMMYFUNCTION("GOOGLEFINANCE(""NSE:""&amp;D3870,""pe"")"),"#N/A")</f>
        <v>#N/A</v>
      </c>
      <c r="P3870" s="7" t="str">
        <f ca="1">IFERROR(__xludf.DUMMYFUNCTION("GOOGLEFINANCE(""NSE:""&amp;D3870,""EPS"")"),"#N/A")</f>
        <v>#N/A</v>
      </c>
      <c r="Q3870" s="7">
        <v>13.5</v>
      </c>
      <c r="R3870" s="7" t="str">
        <f ca="1">IFERROR(__xludf.DUMMYFUNCTION("IMPORTXML(E3870,""/html/body/main/div[3]/div[3]/div[2]/ul/li[7]/span[2]/span"")"),"Loading...")</f>
        <v>Loading...</v>
      </c>
      <c r="S3870" s="7" t="str">
        <f ca="1">IFERROR(__xludf.DUMMYFUNCTION("IMPORTXML(E3870,""/html/body/main/div[3]/div[3]/div[2]/ul/li[8]/span[2]/span"")"),"Loading...")</f>
        <v>Loading...</v>
      </c>
      <c r="T3870" s="4">
        <v>34.6</v>
      </c>
      <c r="U3870" s="4">
        <v>22.7</v>
      </c>
      <c r="V3870" s="4">
        <v>2.6</v>
      </c>
      <c r="W3870" s="4">
        <v>5.7</v>
      </c>
      <c r="X3870" s="4">
        <v>519.92999999999995</v>
      </c>
      <c r="Y3870" s="7" t="e">
        <f t="shared" ca="1" si="79"/>
        <v>#VALUE!</v>
      </c>
    </row>
    <row r="3871" spans="1:25" ht="15" x14ac:dyDescent="0.25">
      <c r="A3871" s="4">
        <v>3869</v>
      </c>
      <c r="C3871" s="41" t="s">
        <v>6235</v>
      </c>
      <c r="D3871" s="42"/>
      <c r="E3871" s="5" t="str">
        <f t="shared" si="75"/>
        <v>https://www.screener.in/company//consolidated/</v>
      </c>
      <c r="F3871" s="4">
        <v>443059</v>
      </c>
      <c r="G3871" s="4">
        <v>3832241897</v>
      </c>
      <c r="H3871" s="6" t="e">
        <f t="shared" ca="1" si="76"/>
        <v>#VALUE!</v>
      </c>
      <c r="I3871" s="7" t="str">
        <f ca="1">IFERROR(__xludf.DUMMYFUNCTION("IMPORTXML(E3871,""/html/body/main/div[3]/div[3]/div[2]/ul/li[5]/span[2]/span"")"),"Loading...")</f>
        <v>Loading...</v>
      </c>
      <c r="J3871" s="7" t="str">
        <f ca="1">IFERROR(__xludf.DUMMYFUNCTION("GOOGLEFINANCE(""NSE:""&amp;D3871,""marketcap"")"),"#N/A")</f>
        <v>#N/A</v>
      </c>
      <c r="K3871" s="7">
        <v>992.8</v>
      </c>
      <c r="L3871" s="8" t="str">
        <f ca="1">IFERROR(__xludf.DUMMYFUNCTION("GOOGLEFINANCE(""NSE:""&amp;D3871,""price"")"),"#N/A")</f>
        <v>#N/A</v>
      </c>
      <c r="M3871" s="9" t="e">
        <f t="shared" ca="1" si="77"/>
        <v>#VALUE!</v>
      </c>
      <c r="N3871" s="10" t="e">
        <f t="shared" ca="1" si="78"/>
        <v>#VALUE!</v>
      </c>
      <c r="O3871" s="7" t="str">
        <f ca="1">IFERROR(__xludf.DUMMYFUNCTION("GOOGLEFINANCE(""NSE:""&amp;D3871,""pe"")"),"#N/A")</f>
        <v>#N/A</v>
      </c>
      <c r="P3871" s="7" t="str">
        <f ca="1">IFERROR(__xludf.DUMMYFUNCTION("GOOGLEFINANCE(""NSE:""&amp;D3871,""EPS"")"),"#N/A")</f>
        <v>#N/A</v>
      </c>
      <c r="Q3871" s="7">
        <v>13.5</v>
      </c>
      <c r="R3871" s="7" t="str">
        <f ca="1">IFERROR(__xludf.DUMMYFUNCTION("IMPORTXML(E3871,""/html/body/main/div[3]/div[3]/div[2]/ul/li[7]/span[2]/span"")"),"Loading...")</f>
        <v>Loading...</v>
      </c>
      <c r="S3871" s="7" t="str">
        <f ca="1">IFERROR(__xludf.DUMMYFUNCTION("IMPORTXML(E3871,""/html/body/main/div[3]/div[3]/div[2]/ul/li[8]/span[2]/span"")"),"Loading...")</f>
        <v>Loading...</v>
      </c>
      <c r="T3871" s="4">
        <v>34.6</v>
      </c>
      <c r="U3871" s="4">
        <v>22.7</v>
      </c>
      <c r="V3871" s="4">
        <v>2.6</v>
      </c>
      <c r="W3871" s="4">
        <v>5.7</v>
      </c>
      <c r="X3871" s="4">
        <v>519.92999999999995</v>
      </c>
      <c r="Y3871" s="7" t="e">
        <f t="shared" ca="1" si="79"/>
        <v>#VALUE!</v>
      </c>
    </row>
    <row r="3872" spans="1:25" ht="15" x14ac:dyDescent="0.25">
      <c r="A3872" s="4">
        <v>3870</v>
      </c>
      <c r="C3872" s="41" t="s">
        <v>6236</v>
      </c>
      <c r="D3872" s="42"/>
      <c r="E3872" s="5" t="str">
        <f t="shared" si="75"/>
        <v>https://www.screener.in/company//consolidated/</v>
      </c>
      <c r="F3872" s="4">
        <v>443059</v>
      </c>
      <c r="G3872" s="4">
        <v>3832241897</v>
      </c>
      <c r="H3872" s="6" t="e">
        <f t="shared" ca="1" si="76"/>
        <v>#VALUE!</v>
      </c>
      <c r="I3872" s="7" t="str">
        <f ca="1">IFERROR(__xludf.DUMMYFUNCTION("IMPORTXML(E3872,""/html/body/main/div[3]/div[3]/div[2]/ul/li[5]/span[2]/span"")"),"Loading...")</f>
        <v>Loading...</v>
      </c>
      <c r="J3872" s="7" t="str">
        <f ca="1">IFERROR(__xludf.DUMMYFUNCTION("GOOGLEFINANCE(""NSE:""&amp;D3872,""marketcap"")"),"#N/A")</f>
        <v>#N/A</v>
      </c>
      <c r="K3872" s="7">
        <v>992.8</v>
      </c>
      <c r="L3872" s="8" t="str">
        <f ca="1">IFERROR(__xludf.DUMMYFUNCTION("GOOGLEFINANCE(""NSE:""&amp;D3872,""price"")"),"#N/A")</f>
        <v>#N/A</v>
      </c>
      <c r="M3872" s="9" t="e">
        <f t="shared" ca="1" si="77"/>
        <v>#VALUE!</v>
      </c>
      <c r="N3872" s="10" t="e">
        <f t="shared" ca="1" si="78"/>
        <v>#VALUE!</v>
      </c>
      <c r="O3872" s="7" t="str">
        <f ca="1">IFERROR(__xludf.DUMMYFUNCTION("GOOGLEFINANCE(""NSE:""&amp;D3872,""pe"")"),"#N/A")</f>
        <v>#N/A</v>
      </c>
      <c r="P3872" s="7" t="str">
        <f ca="1">IFERROR(__xludf.DUMMYFUNCTION("GOOGLEFINANCE(""NSE:""&amp;D3872,""EPS"")"),"#N/A")</f>
        <v>#N/A</v>
      </c>
      <c r="Q3872" s="7">
        <v>13.5</v>
      </c>
      <c r="R3872" s="7" t="str">
        <f ca="1">IFERROR(__xludf.DUMMYFUNCTION("IMPORTXML(E3872,""/html/body/main/div[3]/div[3]/div[2]/ul/li[7]/span[2]/span"")"),"Loading...")</f>
        <v>Loading...</v>
      </c>
      <c r="S3872" s="7" t="str">
        <f ca="1">IFERROR(__xludf.DUMMYFUNCTION("IMPORTXML(E3872,""/html/body/main/div[3]/div[3]/div[2]/ul/li[8]/span[2]/span"")"),"Loading...")</f>
        <v>Loading...</v>
      </c>
      <c r="T3872" s="4">
        <v>34.6</v>
      </c>
      <c r="U3872" s="4">
        <v>22.7</v>
      </c>
      <c r="V3872" s="4">
        <v>2.6</v>
      </c>
      <c r="W3872" s="4">
        <v>5.7</v>
      </c>
      <c r="X3872" s="4">
        <v>519.92999999999995</v>
      </c>
      <c r="Y3872" s="7" t="e">
        <f t="shared" ca="1" si="79"/>
        <v>#VALUE!</v>
      </c>
    </row>
    <row r="3873" spans="1:25" ht="15" x14ac:dyDescent="0.25">
      <c r="A3873" s="4">
        <v>3871</v>
      </c>
      <c r="C3873" s="41" t="s">
        <v>6237</v>
      </c>
      <c r="D3873" s="42"/>
      <c r="E3873" s="5" t="str">
        <f t="shared" si="75"/>
        <v>https://www.screener.in/company//consolidated/</v>
      </c>
      <c r="F3873" s="4">
        <v>443059</v>
      </c>
      <c r="G3873" s="4">
        <v>3832241897</v>
      </c>
      <c r="H3873" s="6" t="e">
        <f t="shared" ca="1" si="76"/>
        <v>#VALUE!</v>
      </c>
      <c r="I3873" s="7" t="str">
        <f ca="1">IFERROR(__xludf.DUMMYFUNCTION("IMPORTXML(E3873,""/html/body/main/div[3]/div[3]/div[2]/ul/li[5]/span[2]/span"")"),"Loading...")</f>
        <v>Loading...</v>
      </c>
      <c r="J3873" s="7" t="str">
        <f ca="1">IFERROR(__xludf.DUMMYFUNCTION("GOOGLEFINANCE(""NSE:""&amp;D3873,""marketcap"")"),"#N/A")</f>
        <v>#N/A</v>
      </c>
      <c r="K3873" s="7">
        <v>992.8</v>
      </c>
      <c r="L3873" s="8" t="str">
        <f ca="1">IFERROR(__xludf.DUMMYFUNCTION("GOOGLEFINANCE(""NSE:""&amp;D3873,""price"")"),"#N/A")</f>
        <v>#N/A</v>
      </c>
      <c r="M3873" s="9" t="e">
        <f t="shared" ca="1" si="77"/>
        <v>#VALUE!</v>
      </c>
      <c r="N3873" s="10" t="e">
        <f t="shared" ca="1" si="78"/>
        <v>#VALUE!</v>
      </c>
      <c r="O3873" s="7" t="str">
        <f ca="1">IFERROR(__xludf.DUMMYFUNCTION("GOOGLEFINANCE(""NSE:""&amp;D3873,""pe"")"),"#N/A")</f>
        <v>#N/A</v>
      </c>
      <c r="P3873" s="7" t="str">
        <f ca="1">IFERROR(__xludf.DUMMYFUNCTION("GOOGLEFINANCE(""NSE:""&amp;D3873,""EPS"")"),"#N/A")</f>
        <v>#N/A</v>
      </c>
      <c r="Q3873" s="7">
        <v>13.5</v>
      </c>
      <c r="R3873" s="7" t="str">
        <f ca="1">IFERROR(__xludf.DUMMYFUNCTION("IMPORTXML(E3873,""/html/body/main/div[3]/div[3]/div[2]/ul/li[7]/span[2]/span"")"),"Loading...")</f>
        <v>Loading...</v>
      </c>
      <c r="S3873" s="7" t="str">
        <f ca="1">IFERROR(__xludf.DUMMYFUNCTION("IMPORTXML(E3873,""/html/body/main/div[3]/div[3]/div[2]/ul/li[8]/span[2]/span"")"),"Loading...")</f>
        <v>Loading...</v>
      </c>
      <c r="T3873" s="4">
        <v>34.6</v>
      </c>
      <c r="U3873" s="4">
        <v>22.7</v>
      </c>
      <c r="V3873" s="4">
        <v>2.6</v>
      </c>
      <c r="W3873" s="4">
        <v>5.7</v>
      </c>
      <c r="X3873" s="4">
        <v>519.92999999999995</v>
      </c>
      <c r="Y3873" s="7" t="e">
        <f t="shared" ca="1" si="79"/>
        <v>#VALUE!</v>
      </c>
    </row>
    <row r="3874" spans="1:25" ht="15" x14ac:dyDescent="0.25">
      <c r="A3874" s="4">
        <v>3872</v>
      </c>
      <c r="C3874" s="41" t="s">
        <v>6238</v>
      </c>
      <c r="D3874" s="42"/>
      <c r="E3874" s="5" t="str">
        <f t="shared" si="75"/>
        <v>https://www.screener.in/company//consolidated/</v>
      </c>
      <c r="F3874" s="4">
        <v>443059</v>
      </c>
      <c r="G3874" s="4">
        <v>3832241897</v>
      </c>
      <c r="H3874" s="6" t="e">
        <f t="shared" ca="1" si="76"/>
        <v>#VALUE!</v>
      </c>
      <c r="I3874" s="7" t="str">
        <f ca="1">IFERROR(__xludf.DUMMYFUNCTION("IMPORTXML(E3874,""/html/body/main/div[3]/div[3]/div[2]/ul/li[5]/span[2]/span"")"),"Loading...")</f>
        <v>Loading...</v>
      </c>
      <c r="J3874" s="7" t="str">
        <f ca="1">IFERROR(__xludf.DUMMYFUNCTION("GOOGLEFINANCE(""NSE:""&amp;D3874,""marketcap"")"),"#N/A")</f>
        <v>#N/A</v>
      </c>
      <c r="K3874" s="7">
        <v>992.8</v>
      </c>
      <c r="L3874" s="8" t="str">
        <f ca="1">IFERROR(__xludf.DUMMYFUNCTION("GOOGLEFINANCE(""NSE:""&amp;D3874,""price"")"),"#N/A")</f>
        <v>#N/A</v>
      </c>
      <c r="M3874" s="9" t="e">
        <f t="shared" ca="1" si="77"/>
        <v>#VALUE!</v>
      </c>
      <c r="N3874" s="10" t="e">
        <f t="shared" ca="1" si="78"/>
        <v>#VALUE!</v>
      </c>
      <c r="O3874" s="7" t="str">
        <f ca="1">IFERROR(__xludf.DUMMYFUNCTION("GOOGLEFINANCE(""NSE:""&amp;D3874,""pe"")"),"#N/A")</f>
        <v>#N/A</v>
      </c>
      <c r="P3874" s="7" t="str">
        <f ca="1">IFERROR(__xludf.DUMMYFUNCTION("GOOGLEFINANCE(""NSE:""&amp;D3874,""EPS"")"),"#N/A")</f>
        <v>#N/A</v>
      </c>
      <c r="Q3874" s="7">
        <v>13.5</v>
      </c>
      <c r="R3874" s="7" t="str">
        <f ca="1">IFERROR(__xludf.DUMMYFUNCTION("IMPORTXML(E3874,""/html/body/main/div[3]/div[3]/div[2]/ul/li[7]/span[2]/span"")"),"Loading...")</f>
        <v>Loading...</v>
      </c>
      <c r="S3874" s="7" t="str">
        <f ca="1">IFERROR(__xludf.DUMMYFUNCTION("IMPORTXML(E3874,""/html/body/main/div[3]/div[3]/div[2]/ul/li[8]/span[2]/span"")"),"Loading...")</f>
        <v>Loading...</v>
      </c>
      <c r="T3874" s="4">
        <v>34.6</v>
      </c>
      <c r="U3874" s="4">
        <v>22.7</v>
      </c>
      <c r="V3874" s="4">
        <v>2.6</v>
      </c>
      <c r="W3874" s="4">
        <v>5.7</v>
      </c>
      <c r="X3874" s="4">
        <v>519.92999999999995</v>
      </c>
      <c r="Y3874" s="7" t="e">
        <f t="shared" ca="1" si="79"/>
        <v>#VALUE!</v>
      </c>
    </row>
    <row r="3875" spans="1:25" ht="15" x14ac:dyDescent="0.25">
      <c r="A3875" s="4">
        <v>3873</v>
      </c>
      <c r="C3875" s="41" t="s">
        <v>6239</v>
      </c>
      <c r="D3875" s="42"/>
      <c r="E3875" s="5" t="str">
        <f t="shared" si="75"/>
        <v>https://www.screener.in/company//consolidated/</v>
      </c>
      <c r="F3875" s="4">
        <v>443059</v>
      </c>
      <c r="G3875" s="4">
        <v>3832241897</v>
      </c>
      <c r="H3875" s="6" t="e">
        <f t="shared" ca="1" si="76"/>
        <v>#VALUE!</v>
      </c>
      <c r="I3875" s="7" t="str">
        <f ca="1">IFERROR(__xludf.DUMMYFUNCTION("IMPORTXML(E3875,""/html/body/main/div[3]/div[3]/div[2]/ul/li[5]/span[2]/span"")"),"Loading...")</f>
        <v>Loading...</v>
      </c>
      <c r="J3875" s="7" t="str">
        <f ca="1">IFERROR(__xludf.DUMMYFUNCTION("GOOGLEFINANCE(""NSE:""&amp;D3875,""marketcap"")"),"#N/A")</f>
        <v>#N/A</v>
      </c>
      <c r="K3875" s="7">
        <v>992.8</v>
      </c>
      <c r="L3875" s="8" t="str">
        <f ca="1">IFERROR(__xludf.DUMMYFUNCTION("GOOGLEFINANCE(""NSE:""&amp;D3875,""price"")"),"#N/A")</f>
        <v>#N/A</v>
      </c>
      <c r="M3875" s="9" t="e">
        <f t="shared" ca="1" si="77"/>
        <v>#VALUE!</v>
      </c>
      <c r="N3875" s="10" t="e">
        <f t="shared" ca="1" si="78"/>
        <v>#VALUE!</v>
      </c>
      <c r="O3875" s="7" t="str">
        <f ca="1">IFERROR(__xludf.DUMMYFUNCTION("GOOGLEFINANCE(""NSE:""&amp;D3875,""pe"")"),"#N/A")</f>
        <v>#N/A</v>
      </c>
      <c r="P3875" s="7" t="str">
        <f ca="1">IFERROR(__xludf.DUMMYFUNCTION("GOOGLEFINANCE(""NSE:""&amp;D3875,""EPS"")"),"#N/A")</f>
        <v>#N/A</v>
      </c>
      <c r="Q3875" s="7">
        <v>13.5</v>
      </c>
      <c r="R3875" s="7" t="str">
        <f ca="1">IFERROR(__xludf.DUMMYFUNCTION("IMPORTXML(E3875,""/html/body/main/div[3]/div[3]/div[2]/ul/li[7]/span[2]/span"")"),"Loading...")</f>
        <v>Loading...</v>
      </c>
      <c r="S3875" s="7" t="str">
        <f ca="1">IFERROR(__xludf.DUMMYFUNCTION("IMPORTXML(E3875,""/html/body/main/div[3]/div[3]/div[2]/ul/li[8]/span[2]/span"")"),"Loading...")</f>
        <v>Loading...</v>
      </c>
      <c r="T3875" s="4">
        <v>34.6</v>
      </c>
      <c r="U3875" s="4">
        <v>22.7</v>
      </c>
      <c r="V3875" s="4">
        <v>2.6</v>
      </c>
      <c r="W3875" s="4">
        <v>5.7</v>
      </c>
      <c r="X3875" s="4">
        <v>519.92999999999995</v>
      </c>
      <c r="Y3875" s="7" t="e">
        <f t="shared" ca="1" si="79"/>
        <v>#VALUE!</v>
      </c>
    </row>
    <row r="3876" spans="1:25" ht="15" x14ac:dyDescent="0.25">
      <c r="A3876" s="4">
        <v>3874</v>
      </c>
      <c r="C3876" s="41" t="s">
        <v>6240</v>
      </c>
      <c r="D3876" s="42"/>
      <c r="E3876" s="5" t="str">
        <f t="shared" si="75"/>
        <v>https://www.screener.in/company//consolidated/</v>
      </c>
      <c r="F3876" s="4">
        <v>443059</v>
      </c>
      <c r="G3876" s="4">
        <v>3832241897</v>
      </c>
      <c r="H3876" s="6" t="e">
        <f t="shared" ca="1" si="76"/>
        <v>#VALUE!</v>
      </c>
      <c r="I3876" s="7" t="str">
        <f ca="1">IFERROR(__xludf.DUMMYFUNCTION("IMPORTXML(E3876,""/html/body/main/div[3]/div[3]/div[2]/ul/li[5]/span[2]/span"")"),"Loading...")</f>
        <v>Loading...</v>
      </c>
      <c r="J3876" s="7" t="str">
        <f ca="1">IFERROR(__xludf.DUMMYFUNCTION("GOOGLEFINANCE(""NSE:""&amp;D3876,""marketcap"")"),"#N/A")</f>
        <v>#N/A</v>
      </c>
      <c r="K3876" s="7">
        <v>992.8</v>
      </c>
      <c r="L3876" s="8" t="str">
        <f ca="1">IFERROR(__xludf.DUMMYFUNCTION("GOOGLEFINANCE(""NSE:""&amp;D3876,""price"")"),"#N/A")</f>
        <v>#N/A</v>
      </c>
      <c r="M3876" s="9" t="e">
        <f t="shared" ca="1" si="77"/>
        <v>#VALUE!</v>
      </c>
      <c r="N3876" s="10" t="e">
        <f t="shared" ca="1" si="78"/>
        <v>#VALUE!</v>
      </c>
      <c r="O3876" s="7" t="str">
        <f ca="1">IFERROR(__xludf.DUMMYFUNCTION("GOOGLEFINANCE(""NSE:""&amp;D3876,""pe"")"),"#N/A")</f>
        <v>#N/A</v>
      </c>
      <c r="P3876" s="7" t="str">
        <f ca="1">IFERROR(__xludf.DUMMYFUNCTION("GOOGLEFINANCE(""NSE:""&amp;D3876,""EPS"")"),"#N/A")</f>
        <v>#N/A</v>
      </c>
      <c r="Q3876" s="7">
        <v>13.5</v>
      </c>
      <c r="R3876" s="7" t="str">
        <f ca="1">IFERROR(__xludf.DUMMYFUNCTION("IMPORTXML(E3876,""/html/body/main/div[3]/div[3]/div[2]/ul/li[7]/span[2]/span"")"),"Loading...")</f>
        <v>Loading...</v>
      </c>
      <c r="S3876" s="7" t="str">
        <f ca="1">IFERROR(__xludf.DUMMYFUNCTION("IMPORTXML(E3876,""/html/body/main/div[3]/div[3]/div[2]/ul/li[8]/span[2]/span"")"),"Loading...")</f>
        <v>Loading...</v>
      </c>
      <c r="T3876" s="4">
        <v>34.6</v>
      </c>
      <c r="U3876" s="4">
        <v>22.7</v>
      </c>
      <c r="V3876" s="4">
        <v>2.6</v>
      </c>
      <c r="W3876" s="4">
        <v>5.7</v>
      </c>
      <c r="X3876" s="4">
        <v>519.92999999999995</v>
      </c>
      <c r="Y3876" s="7" t="e">
        <f t="shared" ca="1" si="79"/>
        <v>#VALUE!</v>
      </c>
    </row>
    <row r="3877" spans="1:25" ht="15" x14ac:dyDescent="0.25">
      <c r="A3877" s="4">
        <v>3875</v>
      </c>
      <c r="C3877" s="41" t="s">
        <v>6241</v>
      </c>
      <c r="D3877" s="42"/>
      <c r="E3877" s="5" t="str">
        <f t="shared" si="75"/>
        <v>https://www.screener.in/company//consolidated/</v>
      </c>
      <c r="F3877" s="4">
        <v>443059</v>
      </c>
      <c r="G3877" s="4">
        <v>3832241897</v>
      </c>
      <c r="H3877" s="6" t="e">
        <f t="shared" ca="1" si="76"/>
        <v>#VALUE!</v>
      </c>
      <c r="I3877" s="7" t="str">
        <f ca="1">IFERROR(__xludf.DUMMYFUNCTION("IMPORTXML(E3877,""/html/body/main/div[3]/div[3]/div[2]/ul/li[5]/span[2]/span"")"),"Loading...")</f>
        <v>Loading...</v>
      </c>
      <c r="J3877" s="7" t="str">
        <f ca="1">IFERROR(__xludf.DUMMYFUNCTION("GOOGLEFINANCE(""NSE:""&amp;D3877,""marketcap"")"),"#N/A")</f>
        <v>#N/A</v>
      </c>
      <c r="K3877" s="7">
        <v>992.8</v>
      </c>
      <c r="L3877" s="8" t="str">
        <f ca="1">IFERROR(__xludf.DUMMYFUNCTION("GOOGLEFINANCE(""NSE:""&amp;D3877,""price"")"),"#N/A")</f>
        <v>#N/A</v>
      </c>
      <c r="M3877" s="9" t="e">
        <f t="shared" ca="1" si="77"/>
        <v>#VALUE!</v>
      </c>
      <c r="N3877" s="10" t="e">
        <f t="shared" ca="1" si="78"/>
        <v>#VALUE!</v>
      </c>
      <c r="O3877" s="7" t="str">
        <f ca="1">IFERROR(__xludf.DUMMYFUNCTION("GOOGLEFINANCE(""NSE:""&amp;D3877,""pe"")"),"#N/A")</f>
        <v>#N/A</v>
      </c>
      <c r="P3877" s="7" t="str">
        <f ca="1">IFERROR(__xludf.DUMMYFUNCTION("GOOGLEFINANCE(""NSE:""&amp;D3877,""EPS"")"),"#N/A")</f>
        <v>#N/A</v>
      </c>
      <c r="Q3877" s="7">
        <v>13.5</v>
      </c>
      <c r="R3877" s="7" t="str">
        <f ca="1">IFERROR(__xludf.DUMMYFUNCTION("IMPORTXML(E3877,""/html/body/main/div[3]/div[3]/div[2]/ul/li[7]/span[2]/span"")"),"Loading...")</f>
        <v>Loading...</v>
      </c>
      <c r="S3877" s="7" t="str">
        <f ca="1">IFERROR(__xludf.DUMMYFUNCTION("IMPORTXML(E3877,""/html/body/main/div[3]/div[3]/div[2]/ul/li[8]/span[2]/span"")"),"Loading...")</f>
        <v>Loading...</v>
      </c>
      <c r="T3877" s="4">
        <v>34.6</v>
      </c>
      <c r="U3877" s="4">
        <v>22.7</v>
      </c>
      <c r="V3877" s="4">
        <v>2.6</v>
      </c>
      <c r="W3877" s="4">
        <v>5.7</v>
      </c>
      <c r="X3877" s="4">
        <v>519.92999999999995</v>
      </c>
      <c r="Y3877" s="7" t="e">
        <f t="shared" ca="1" si="79"/>
        <v>#VALUE!</v>
      </c>
    </row>
    <row r="3878" spans="1:25" ht="15" x14ac:dyDescent="0.25">
      <c r="A3878" s="4">
        <v>3876</v>
      </c>
      <c r="C3878" s="41" t="s">
        <v>6242</v>
      </c>
      <c r="D3878" s="42"/>
      <c r="E3878" s="5" t="str">
        <f t="shared" si="75"/>
        <v>https://www.screener.in/company//consolidated/</v>
      </c>
      <c r="F3878" s="4">
        <v>443059</v>
      </c>
      <c r="G3878" s="4">
        <v>3832241897</v>
      </c>
      <c r="H3878" s="6" t="e">
        <f t="shared" ca="1" si="76"/>
        <v>#VALUE!</v>
      </c>
      <c r="I3878" s="7" t="str">
        <f ca="1">IFERROR(__xludf.DUMMYFUNCTION("IMPORTXML(E3878,""/html/body/main/div[3]/div[3]/div[2]/ul/li[5]/span[2]/span"")"),"Loading...")</f>
        <v>Loading...</v>
      </c>
      <c r="J3878" s="7" t="str">
        <f ca="1">IFERROR(__xludf.DUMMYFUNCTION("GOOGLEFINANCE(""NSE:""&amp;D3878,""marketcap"")"),"#N/A")</f>
        <v>#N/A</v>
      </c>
      <c r="K3878" s="7">
        <v>992.8</v>
      </c>
      <c r="L3878" s="8" t="str">
        <f ca="1">IFERROR(__xludf.DUMMYFUNCTION("GOOGLEFINANCE(""NSE:""&amp;D3878,""price"")"),"#N/A")</f>
        <v>#N/A</v>
      </c>
      <c r="M3878" s="9" t="e">
        <f t="shared" ca="1" si="77"/>
        <v>#VALUE!</v>
      </c>
      <c r="N3878" s="10" t="e">
        <f t="shared" ca="1" si="78"/>
        <v>#VALUE!</v>
      </c>
      <c r="O3878" s="7" t="str">
        <f ca="1">IFERROR(__xludf.DUMMYFUNCTION("GOOGLEFINANCE(""NSE:""&amp;D3878,""pe"")"),"#N/A")</f>
        <v>#N/A</v>
      </c>
      <c r="P3878" s="7" t="str">
        <f ca="1">IFERROR(__xludf.DUMMYFUNCTION("GOOGLEFINANCE(""NSE:""&amp;D3878,""EPS"")"),"#N/A")</f>
        <v>#N/A</v>
      </c>
      <c r="Q3878" s="7">
        <v>13.5</v>
      </c>
      <c r="R3878" s="7" t="str">
        <f ca="1">IFERROR(__xludf.DUMMYFUNCTION("IMPORTXML(E3878,""/html/body/main/div[3]/div[3]/div[2]/ul/li[7]/span[2]/span"")"),"Loading...")</f>
        <v>Loading...</v>
      </c>
      <c r="S3878" s="7" t="str">
        <f ca="1">IFERROR(__xludf.DUMMYFUNCTION("IMPORTXML(E3878,""/html/body/main/div[3]/div[3]/div[2]/ul/li[8]/span[2]/span"")"),"Loading...")</f>
        <v>Loading...</v>
      </c>
      <c r="T3878" s="4">
        <v>34.6</v>
      </c>
      <c r="U3878" s="4">
        <v>22.7</v>
      </c>
      <c r="V3878" s="4">
        <v>2.6</v>
      </c>
      <c r="W3878" s="4">
        <v>5.7</v>
      </c>
      <c r="X3878" s="4">
        <v>519.92999999999995</v>
      </c>
      <c r="Y3878" s="7" t="e">
        <f t="shared" ca="1" si="79"/>
        <v>#VALUE!</v>
      </c>
    </row>
    <row r="3879" spans="1:25" ht="15" x14ac:dyDescent="0.25">
      <c r="A3879" s="4">
        <v>3877</v>
      </c>
      <c r="C3879" s="41" t="s">
        <v>6243</v>
      </c>
      <c r="D3879" s="42"/>
      <c r="E3879" s="5" t="str">
        <f t="shared" si="75"/>
        <v>https://www.screener.in/company//consolidated/</v>
      </c>
      <c r="F3879" s="4">
        <v>443059</v>
      </c>
      <c r="G3879" s="4">
        <v>3832241897</v>
      </c>
      <c r="H3879" s="6" t="e">
        <f t="shared" ca="1" si="76"/>
        <v>#VALUE!</v>
      </c>
      <c r="I3879" s="7" t="str">
        <f ca="1">IFERROR(__xludf.DUMMYFUNCTION("IMPORTXML(E3879,""/html/body/main/div[3]/div[3]/div[2]/ul/li[5]/span[2]/span"")"),"Loading...")</f>
        <v>Loading...</v>
      </c>
      <c r="J3879" s="7" t="str">
        <f ca="1">IFERROR(__xludf.DUMMYFUNCTION("GOOGLEFINANCE(""NSE:""&amp;D3879,""marketcap"")"),"#N/A")</f>
        <v>#N/A</v>
      </c>
      <c r="K3879" s="7">
        <v>992.8</v>
      </c>
      <c r="L3879" s="8" t="str">
        <f ca="1">IFERROR(__xludf.DUMMYFUNCTION("GOOGLEFINANCE(""NSE:""&amp;D3879,""price"")"),"#N/A")</f>
        <v>#N/A</v>
      </c>
      <c r="M3879" s="9" t="e">
        <f t="shared" ca="1" si="77"/>
        <v>#VALUE!</v>
      </c>
      <c r="N3879" s="10" t="e">
        <f t="shared" ca="1" si="78"/>
        <v>#VALUE!</v>
      </c>
      <c r="O3879" s="7" t="str">
        <f ca="1">IFERROR(__xludf.DUMMYFUNCTION("GOOGLEFINANCE(""NSE:""&amp;D3879,""pe"")"),"#N/A")</f>
        <v>#N/A</v>
      </c>
      <c r="P3879" s="7" t="str">
        <f ca="1">IFERROR(__xludf.DUMMYFUNCTION("GOOGLEFINANCE(""NSE:""&amp;D3879,""EPS"")"),"#N/A")</f>
        <v>#N/A</v>
      </c>
      <c r="Q3879" s="7">
        <v>13.5</v>
      </c>
      <c r="R3879" s="7" t="str">
        <f ca="1">IFERROR(__xludf.DUMMYFUNCTION("IMPORTXML(E3879,""/html/body/main/div[3]/div[3]/div[2]/ul/li[7]/span[2]/span"")"),"Loading...")</f>
        <v>Loading...</v>
      </c>
      <c r="S3879" s="7" t="str">
        <f ca="1">IFERROR(__xludf.DUMMYFUNCTION("IMPORTXML(E3879,""/html/body/main/div[3]/div[3]/div[2]/ul/li[8]/span[2]/span"")"),"Loading...")</f>
        <v>Loading...</v>
      </c>
      <c r="T3879" s="4">
        <v>34.6</v>
      </c>
      <c r="U3879" s="4">
        <v>22.7</v>
      </c>
      <c r="V3879" s="4">
        <v>2.6</v>
      </c>
      <c r="W3879" s="4">
        <v>5.7</v>
      </c>
      <c r="X3879" s="4">
        <v>519.92999999999995</v>
      </c>
      <c r="Y3879" s="7" t="e">
        <f t="shared" ca="1" si="79"/>
        <v>#VALUE!</v>
      </c>
    </row>
    <row r="3880" spans="1:25" ht="15" x14ac:dyDescent="0.25">
      <c r="A3880" s="4">
        <v>3878</v>
      </c>
      <c r="C3880" s="41" t="s">
        <v>6244</v>
      </c>
      <c r="D3880" s="42"/>
      <c r="E3880" s="5" t="str">
        <f t="shared" si="75"/>
        <v>https://www.screener.in/company//consolidated/</v>
      </c>
      <c r="F3880" s="4">
        <v>443059</v>
      </c>
      <c r="G3880" s="4">
        <v>3832241897</v>
      </c>
      <c r="H3880" s="6" t="e">
        <f t="shared" ca="1" si="76"/>
        <v>#VALUE!</v>
      </c>
      <c r="I3880" s="7" t="str">
        <f ca="1">IFERROR(__xludf.DUMMYFUNCTION("IMPORTXML(E3880,""/html/body/main/div[3]/div[3]/div[2]/ul/li[5]/span[2]/span"")"),"Loading...")</f>
        <v>Loading...</v>
      </c>
      <c r="J3880" s="7" t="str">
        <f ca="1">IFERROR(__xludf.DUMMYFUNCTION("GOOGLEFINANCE(""NSE:""&amp;D3880,""marketcap"")"),"#N/A")</f>
        <v>#N/A</v>
      </c>
      <c r="K3880" s="7">
        <v>992.8</v>
      </c>
      <c r="L3880" s="8" t="str">
        <f ca="1">IFERROR(__xludf.DUMMYFUNCTION("GOOGLEFINANCE(""NSE:""&amp;D3880,""price"")"),"#N/A")</f>
        <v>#N/A</v>
      </c>
      <c r="M3880" s="9" t="e">
        <f t="shared" ca="1" si="77"/>
        <v>#VALUE!</v>
      </c>
      <c r="N3880" s="10" t="e">
        <f t="shared" ca="1" si="78"/>
        <v>#VALUE!</v>
      </c>
      <c r="O3880" s="7" t="str">
        <f ca="1">IFERROR(__xludf.DUMMYFUNCTION("GOOGLEFINANCE(""NSE:""&amp;D3880,""pe"")"),"#N/A")</f>
        <v>#N/A</v>
      </c>
      <c r="P3880" s="7" t="str">
        <f ca="1">IFERROR(__xludf.DUMMYFUNCTION("GOOGLEFINANCE(""NSE:""&amp;D3880,""EPS"")"),"#N/A")</f>
        <v>#N/A</v>
      </c>
      <c r="Q3880" s="7">
        <v>13.5</v>
      </c>
      <c r="R3880" s="7" t="str">
        <f ca="1">IFERROR(__xludf.DUMMYFUNCTION("IMPORTXML(E3880,""/html/body/main/div[3]/div[3]/div[2]/ul/li[7]/span[2]/span"")"),"Loading...")</f>
        <v>Loading...</v>
      </c>
      <c r="S3880" s="7" t="str">
        <f ca="1">IFERROR(__xludf.DUMMYFUNCTION("IMPORTXML(E3880,""/html/body/main/div[3]/div[3]/div[2]/ul/li[8]/span[2]/span"")"),"Loading...")</f>
        <v>Loading...</v>
      </c>
      <c r="T3880" s="4">
        <v>34.6</v>
      </c>
      <c r="U3880" s="4">
        <v>22.7</v>
      </c>
      <c r="V3880" s="4">
        <v>2.6</v>
      </c>
      <c r="W3880" s="4">
        <v>5.7</v>
      </c>
      <c r="X3880" s="4">
        <v>519.92999999999995</v>
      </c>
      <c r="Y3880" s="7" t="e">
        <f t="shared" ca="1" si="79"/>
        <v>#VALUE!</v>
      </c>
    </row>
    <row r="3881" spans="1:25" ht="15" x14ac:dyDescent="0.25">
      <c r="A3881" s="4">
        <v>3879</v>
      </c>
      <c r="C3881" s="41" t="s">
        <v>6245</v>
      </c>
      <c r="D3881" s="42"/>
      <c r="E3881" s="5" t="str">
        <f t="shared" si="75"/>
        <v>https://www.screener.in/company//consolidated/</v>
      </c>
      <c r="F3881" s="4">
        <v>443059</v>
      </c>
      <c r="G3881" s="4">
        <v>3832241897</v>
      </c>
      <c r="H3881" s="6" t="e">
        <f t="shared" ca="1" si="76"/>
        <v>#VALUE!</v>
      </c>
      <c r="I3881" s="7" t="str">
        <f ca="1">IFERROR(__xludf.DUMMYFUNCTION("IMPORTXML(E3881,""/html/body/main/div[3]/div[3]/div[2]/ul/li[5]/span[2]/span"")"),"Loading...")</f>
        <v>Loading...</v>
      </c>
      <c r="J3881" s="7" t="str">
        <f ca="1">IFERROR(__xludf.DUMMYFUNCTION("GOOGLEFINANCE(""NSE:""&amp;D3881,""marketcap"")"),"#N/A")</f>
        <v>#N/A</v>
      </c>
      <c r="K3881" s="7">
        <v>992.8</v>
      </c>
      <c r="L3881" s="8" t="str">
        <f ca="1">IFERROR(__xludf.DUMMYFUNCTION("GOOGLEFINANCE(""NSE:""&amp;D3881,""price"")"),"#N/A")</f>
        <v>#N/A</v>
      </c>
      <c r="M3881" s="9" t="e">
        <f t="shared" ca="1" si="77"/>
        <v>#VALUE!</v>
      </c>
      <c r="N3881" s="10" t="e">
        <f t="shared" ca="1" si="78"/>
        <v>#VALUE!</v>
      </c>
      <c r="O3881" s="7" t="str">
        <f ca="1">IFERROR(__xludf.DUMMYFUNCTION("GOOGLEFINANCE(""NSE:""&amp;D3881,""pe"")"),"#N/A")</f>
        <v>#N/A</v>
      </c>
      <c r="P3881" s="7" t="str">
        <f ca="1">IFERROR(__xludf.DUMMYFUNCTION("GOOGLEFINANCE(""NSE:""&amp;D3881,""EPS"")"),"#N/A")</f>
        <v>#N/A</v>
      </c>
      <c r="Q3881" s="7">
        <v>13.5</v>
      </c>
      <c r="R3881" s="7" t="str">
        <f ca="1">IFERROR(__xludf.DUMMYFUNCTION("IMPORTXML(E3881,""/html/body/main/div[3]/div[3]/div[2]/ul/li[7]/span[2]/span"")"),"Loading...")</f>
        <v>Loading...</v>
      </c>
      <c r="S3881" s="7" t="str">
        <f ca="1">IFERROR(__xludf.DUMMYFUNCTION("IMPORTXML(E3881,""/html/body/main/div[3]/div[3]/div[2]/ul/li[8]/span[2]/span"")"),"Loading...")</f>
        <v>Loading...</v>
      </c>
      <c r="T3881" s="4">
        <v>34.6</v>
      </c>
      <c r="U3881" s="4">
        <v>22.7</v>
      </c>
      <c r="V3881" s="4">
        <v>2.6</v>
      </c>
      <c r="W3881" s="4">
        <v>5.7</v>
      </c>
      <c r="X3881" s="4">
        <v>519.92999999999995</v>
      </c>
      <c r="Y3881" s="7" t="e">
        <f t="shared" ca="1" si="79"/>
        <v>#VALUE!</v>
      </c>
    </row>
    <row r="3882" spans="1:25" ht="15" x14ac:dyDescent="0.25">
      <c r="A3882" s="4">
        <v>3880</v>
      </c>
      <c r="C3882" s="41" t="s">
        <v>6246</v>
      </c>
      <c r="D3882" s="42"/>
      <c r="E3882" s="5" t="str">
        <f t="shared" si="75"/>
        <v>https://www.screener.in/company//consolidated/</v>
      </c>
      <c r="F3882" s="4">
        <v>443059</v>
      </c>
      <c r="G3882" s="4">
        <v>3832241897</v>
      </c>
      <c r="H3882" s="6" t="e">
        <f t="shared" ca="1" si="76"/>
        <v>#VALUE!</v>
      </c>
      <c r="I3882" s="7" t="str">
        <f ca="1">IFERROR(__xludf.DUMMYFUNCTION("IMPORTXML(E3882,""/html/body/main/div[3]/div[3]/div[2]/ul/li[5]/span[2]/span"")"),"Loading...")</f>
        <v>Loading...</v>
      </c>
      <c r="J3882" s="7" t="str">
        <f ca="1">IFERROR(__xludf.DUMMYFUNCTION("GOOGLEFINANCE(""NSE:""&amp;D3882,""marketcap"")"),"#N/A")</f>
        <v>#N/A</v>
      </c>
      <c r="K3882" s="7">
        <v>992.8</v>
      </c>
      <c r="L3882" s="8" t="str">
        <f ca="1">IFERROR(__xludf.DUMMYFUNCTION("GOOGLEFINANCE(""NSE:""&amp;D3882,""price"")"),"#N/A")</f>
        <v>#N/A</v>
      </c>
      <c r="M3882" s="9" t="e">
        <f t="shared" ca="1" si="77"/>
        <v>#VALUE!</v>
      </c>
      <c r="N3882" s="10" t="e">
        <f t="shared" ca="1" si="78"/>
        <v>#VALUE!</v>
      </c>
      <c r="O3882" s="7" t="str">
        <f ca="1">IFERROR(__xludf.DUMMYFUNCTION("GOOGLEFINANCE(""NSE:""&amp;D3882,""pe"")"),"#N/A")</f>
        <v>#N/A</v>
      </c>
      <c r="P3882" s="7" t="str">
        <f ca="1">IFERROR(__xludf.DUMMYFUNCTION("GOOGLEFINANCE(""NSE:""&amp;D3882,""EPS"")"),"#N/A")</f>
        <v>#N/A</v>
      </c>
      <c r="Q3882" s="7">
        <v>13.5</v>
      </c>
      <c r="R3882" s="7" t="str">
        <f ca="1">IFERROR(__xludf.DUMMYFUNCTION("IMPORTXML(E3882,""/html/body/main/div[3]/div[3]/div[2]/ul/li[7]/span[2]/span"")"),"Loading...")</f>
        <v>Loading...</v>
      </c>
      <c r="S3882" s="7" t="str">
        <f ca="1">IFERROR(__xludf.DUMMYFUNCTION("IMPORTXML(E3882,""/html/body/main/div[3]/div[3]/div[2]/ul/li[8]/span[2]/span"")"),"Loading...")</f>
        <v>Loading...</v>
      </c>
      <c r="T3882" s="4">
        <v>34.6</v>
      </c>
      <c r="U3882" s="4">
        <v>22.7</v>
      </c>
      <c r="V3882" s="4">
        <v>2.6</v>
      </c>
      <c r="W3882" s="4">
        <v>5.7</v>
      </c>
      <c r="X3882" s="4">
        <v>519.92999999999995</v>
      </c>
      <c r="Y3882" s="7" t="e">
        <f t="shared" ca="1" si="79"/>
        <v>#VALUE!</v>
      </c>
    </row>
    <row r="3883" spans="1:25" ht="15" x14ac:dyDescent="0.25">
      <c r="A3883" s="4">
        <v>3881</v>
      </c>
      <c r="C3883" s="41" t="s">
        <v>6247</v>
      </c>
      <c r="D3883" s="42"/>
      <c r="E3883" s="5" t="str">
        <f t="shared" si="75"/>
        <v>https://www.screener.in/company//consolidated/</v>
      </c>
      <c r="F3883" s="4">
        <v>443059</v>
      </c>
      <c r="G3883" s="4">
        <v>3832241897</v>
      </c>
      <c r="H3883" s="6" t="e">
        <f t="shared" ca="1" si="76"/>
        <v>#VALUE!</v>
      </c>
      <c r="I3883" s="7" t="str">
        <f ca="1">IFERROR(__xludf.DUMMYFUNCTION("IMPORTXML(E3883,""/html/body/main/div[3]/div[3]/div[2]/ul/li[5]/span[2]/span"")"),"Loading...")</f>
        <v>Loading...</v>
      </c>
      <c r="J3883" s="7" t="str">
        <f ca="1">IFERROR(__xludf.DUMMYFUNCTION("GOOGLEFINANCE(""NSE:""&amp;D3883,""marketcap"")"),"#N/A")</f>
        <v>#N/A</v>
      </c>
      <c r="K3883" s="7">
        <v>992.8</v>
      </c>
      <c r="L3883" s="8" t="str">
        <f ca="1">IFERROR(__xludf.DUMMYFUNCTION("GOOGLEFINANCE(""NSE:""&amp;D3883,""price"")"),"#N/A")</f>
        <v>#N/A</v>
      </c>
      <c r="M3883" s="9" t="e">
        <f t="shared" ca="1" si="77"/>
        <v>#VALUE!</v>
      </c>
      <c r="N3883" s="10" t="e">
        <f t="shared" ca="1" si="78"/>
        <v>#VALUE!</v>
      </c>
      <c r="O3883" s="7" t="str">
        <f ca="1">IFERROR(__xludf.DUMMYFUNCTION("GOOGLEFINANCE(""NSE:""&amp;D3883,""pe"")"),"#N/A")</f>
        <v>#N/A</v>
      </c>
      <c r="P3883" s="7" t="str">
        <f ca="1">IFERROR(__xludf.DUMMYFUNCTION("GOOGLEFINANCE(""NSE:""&amp;D3883,""EPS"")"),"#N/A")</f>
        <v>#N/A</v>
      </c>
      <c r="Q3883" s="7">
        <v>13.5</v>
      </c>
      <c r="R3883" s="7" t="str">
        <f ca="1">IFERROR(__xludf.DUMMYFUNCTION("IMPORTXML(E3883,""/html/body/main/div[3]/div[3]/div[2]/ul/li[7]/span[2]/span"")"),"Loading...")</f>
        <v>Loading...</v>
      </c>
      <c r="S3883" s="7" t="str">
        <f ca="1">IFERROR(__xludf.DUMMYFUNCTION("IMPORTXML(E3883,""/html/body/main/div[3]/div[3]/div[2]/ul/li[8]/span[2]/span"")"),"Loading...")</f>
        <v>Loading...</v>
      </c>
      <c r="T3883" s="4">
        <v>34.6</v>
      </c>
      <c r="U3883" s="4">
        <v>22.7</v>
      </c>
      <c r="V3883" s="4">
        <v>2.6</v>
      </c>
      <c r="W3883" s="4">
        <v>5.7</v>
      </c>
      <c r="X3883" s="4">
        <v>519.92999999999995</v>
      </c>
      <c r="Y3883" s="7" t="e">
        <f t="shared" ca="1" si="79"/>
        <v>#VALUE!</v>
      </c>
    </row>
    <row r="3884" spans="1:25" ht="15" x14ac:dyDescent="0.25">
      <c r="A3884" s="4">
        <v>3882</v>
      </c>
      <c r="C3884" s="41" t="s">
        <v>6248</v>
      </c>
      <c r="D3884" s="42"/>
      <c r="E3884" s="5" t="str">
        <f t="shared" si="75"/>
        <v>https://www.screener.in/company//consolidated/</v>
      </c>
      <c r="F3884" s="4">
        <v>443059</v>
      </c>
      <c r="G3884" s="4">
        <v>3832241897</v>
      </c>
      <c r="H3884" s="6" t="e">
        <f t="shared" ca="1" si="76"/>
        <v>#VALUE!</v>
      </c>
      <c r="I3884" s="7" t="str">
        <f ca="1">IFERROR(__xludf.DUMMYFUNCTION("IMPORTXML(E3884,""/html/body/main/div[3]/div[3]/div[2]/ul/li[5]/span[2]/span"")"),"Loading...")</f>
        <v>Loading...</v>
      </c>
      <c r="J3884" s="7" t="str">
        <f ca="1">IFERROR(__xludf.DUMMYFUNCTION("GOOGLEFINANCE(""NSE:""&amp;D3884,""marketcap"")"),"#N/A")</f>
        <v>#N/A</v>
      </c>
      <c r="K3884" s="7">
        <v>992.8</v>
      </c>
      <c r="L3884" s="8" t="str">
        <f ca="1">IFERROR(__xludf.DUMMYFUNCTION("GOOGLEFINANCE(""NSE:""&amp;D3884,""price"")"),"#N/A")</f>
        <v>#N/A</v>
      </c>
      <c r="M3884" s="9" t="e">
        <f t="shared" ca="1" si="77"/>
        <v>#VALUE!</v>
      </c>
      <c r="N3884" s="10" t="e">
        <f t="shared" ca="1" si="78"/>
        <v>#VALUE!</v>
      </c>
      <c r="O3884" s="7" t="str">
        <f ca="1">IFERROR(__xludf.DUMMYFUNCTION("GOOGLEFINANCE(""NSE:""&amp;D3884,""pe"")"),"#N/A")</f>
        <v>#N/A</v>
      </c>
      <c r="P3884" s="7" t="str">
        <f ca="1">IFERROR(__xludf.DUMMYFUNCTION("GOOGLEFINANCE(""NSE:""&amp;D3884,""EPS"")"),"#N/A")</f>
        <v>#N/A</v>
      </c>
      <c r="Q3884" s="7">
        <v>13.5</v>
      </c>
      <c r="R3884" s="7" t="str">
        <f ca="1">IFERROR(__xludf.DUMMYFUNCTION("IMPORTXML(E3884,""/html/body/main/div[3]/div[3]/div[2]/ul/li[7]/span[2]/span"")"),"Loading...")</f>
        <v>Loading...</v>
      </c>
      <c r="S3884" s="7" t="str">
        <f ca="1">IFERROR(__xludf.DUMMYFUNCTION("IMPORTXML(E3884,""/html/body/main/div[3]/div[3]/div[2]/ul/li[8]/span[2]/span"")"),"Loading...")</f>
        <v>Loading...</v>
      </c>
      <c r="T3884" s="4">
        <v>34.6</v>
      </c>
      <c r="U3884" s="4">
        <v>22.7</v>
      </c>
      <c r="V3884" s="4">
        <v>2.6</v>
      </c>
      <c r="W3884" s="4">
        <v>5.7</v>
      </c>
      <c r="X3884" s="4">
        <v>519.92999999999995</v>
      </c>
      <c r="Y3884" s="7" t="e">
        <f t="shared" ca="1" si="79"/>
        <v>#VALUE!</v>
      </c>
    </row>
    <row r="3885" spans="1:25" ht="15" x14ac:dyDescent="0.25">
      <c r="A3885" s="4">
        <v>3883</v>
      </c>
      <c r="C3885" s="41" t="s">
        <v>6249</v>
      </c>
      <c r="D3885" s="42"/>
      <c r="E3885" s="5" t="str">
        <f t="shared" si="75"/>
        <v>https://www.screener.in/company//consolidated/</v>
      </c>
      <c r="F3885" s="4">
        <v>443059</v>
      </c>
      <c r="G3885" s="4">
        <v>3832241897</v>
      </c>
      <c r="H3885" s="6" t="e">
        <f t="shared" ca="1" si="76"/>
        <v>#VALUE!</v>
      </c>
      <c r="I3885" s="7" t="str">
        <f ca="1">IFERROR(__xludf.DUMMYFUNCTION("IMPORTXML(E3885,""/html/body/main/div[3]/div[3]/div[2]/ul/li[5]/span[2]/span"")"),"Loading...")</f>
        <v>Loading...</v>
      </c>
      <c r="J3885" s="7" t="str">
        <f ca="1">IFERROR(__xludf.DUMMYFUNCTION("GOOGLEFINANCE(""NSE:""&amp;D3885,""marketcap"")"),"#N/A")</f>
        <v>#N/A</v>
      </c>
      <c r="K3885" s="7">
        <v>992.8</v>
      </c>
      <c r="L3885" s="8" t="str">
        <f ca="1">IFERROR(__xludf.DUMMYFUNCTION("GOOGLEFINANCE(""NSE:""&amp;D3885,""price"")"),"#N/A")</f>
        <v>#N/A</v>
      </c>
      <c r="M3885" s="9" t="e">
        <f t="shared" ca="1" si="77"/>
        <v>#VALUE!</v>
      </c>
      <c r="N3885" s="10" t="e">
        <f t="shared" ca="1" si="78"/>
        <v>#VALUE!</v>
      </c>
      <c r="O3885" s="7" t="str">
        <f ca="1">IFERROR(__xludf.DUMMYFUNCTION("GOOGLEFINANCE(""NSE:""&amp;D3885,""pe"")"),"#N/A")</f>
        <v>#N/A</v>
      </c>
      <c r="P3885" s="7" t="str">
        <f ca="1">IFERROR(__xludf.DUMMYFUNCTION("GOOGLEFINANCE(""NSE:""&amp;D3885,""EPS"")"),"#N/A")</f>
        <v>#N/A</v>
      </c>
      <c r="Q3885" s="7">
        <v>13.5</v>
      </c>
      <c r="R3885" s="7" t="str">
        <f ca="1">IFERROR(__xludf.DUMMYFUNCTION("IMPORTXML(E3885,""/html/body/main/div[3]/div[3]/div[2]/ul/li[7]/span[2]/span"")"),"Loading...")</f>
        <v>Loading...</v>
      </c>
      <c r="S3885" s="7" t="str">
        <f ca="1">IFERROR(__xludf.DUMMYFUNCTION("IMPORTXML(E3885,""/html/body/main/div[3]/div[3]/div[2]/ul/li[8]/span[2]/span"")"),"Loading...")</f>
        <v>Loading...</v>
      </c>
      <c r="T3885" s="4">
        <v>34.6</v>
      </c>
      <c r="U3885" s="4">
        <v>22.7</v>
      </c>
      <c r="V3885" s="4">
        <v>2.6</v>
      </c>
      <c r="W3885" s="4">
        <v>5.7</v>
      </c>
      <c r="X3885" s="4">
        <v>519.92999999999995</v>
      </c>
      <c r="Y3885" s="7" t="e">
        <f t="shared" ca="1" si="79"/>
        <v>#VALUE!</v>
      </c>
    </row>
    <row r="3886" spans="1:25" ht="15" x14ac:dyDescent="0.25">
      <c r="A3886" s="4">
        <v>3884</v>
      </c>
      <c r="C3886" s="41" t="s">
        <v>6250</v>
      </c>
      <c r="D3886" s="42"/>
      <c r="E3886" s="5" t="str">
        <f t="shared" si="75"/>
        <v>https://www.screener.in/company//consolidated/</v>
      </c>
      <c r="F3886" s="4">
        <v>443059</v>
      </c>
      <c r="G3886" s="4">
        <v>3832241897</v>
      </c>
      <c r="H3886" s="6" t="e">
        <f t="shared" ca="1" si="76"/>
        <v>#VALUE!</v>
      </c>
      <c r="I3886" s="7" t="str">
        <f ca="1">IFERROR(__xludf.DUMMYFUNCTION("IMPORTXML(E3886,""/html/body/main/div[3]/div[3]/div[2]/ul/li[5]/span[2]/span"")"),"Loading...")</f>
        <v>Loading...</v>
      </c>
      <c r="J3886" s="7" t="str">
        <f ca="1">IFERROR(__xludf.DUMMYFUNCTION("GOOGLEFINANCE(""NSE:""&amp;D3886,""marketcap"")"),"#N/A")</f>
        <v>#N/A</v>
      </c>
      <c r="K3886" s="7">
        <v>992.8</v>
      </c>
      <c r="L3886" s="8" t="str">
        <f ca="1">IFERROR(__xludf.DUMMYFUNCTION("GOOGLEFINANCE(""NSE:""&amp;D3886,""price"")"),"#N/A")</f>
        <v>#N/A</v>
      </c>
      <c r="M3886" s="9" t="e">
        <f t="shared" ca="1" si="77"/>
        <v>#VALUE!</v>
      </c>
      <c r="N3886" s="10" t="e">
        <f t="shared" ca="1" si="78"/>
        <v>#VALUE!</v>
      </c>
      <c r="O3886" s="7" t="str">
        <f ca="1">IFERROR(__xludf.DUMMYFUNCTION("GOOGLEFINANCE(""NSE:""&amp;D3886,""pe"")"),"#N/A")</f>
        <v>#N/A</v>
      </c>
      <c r="P3886" s="7" t="str">
        <f ca="1">IFERROR(__xludf.DUMMYFUNCTION("GOOGLEFINANCE(""NSE:""&amp;D3886,""EPS"")"),"#N/A")</f>
        <v>#N/A</v>
      </c>
      <c r="Q3886" s="7">
        <v>13.5</v>
      </c>
      <c r="R3886" s="7" t="str">
        <f ca="1">IFERROR(__xludf.DUMMYFUNCTION("IMPORTXML(E3886,""/html/body/main/div[3]/div[3]/div[2]/ul/li[7]/span[2]/span"")"),"Loading...")</f>
        <v>Loading...</v>
      </c>
      <c r="S3886" s="7" t="str">
        <f ca="1">IFERROR(__xludf.DUMMYFUNCTION("IMPORTXML(E3886,""/html/body/main/div[3]/div[3]/div[2]/ul/li[8]/span[2]/span"")"),"Loading...")</f>
        <v>Loading...</v>
      </c>
      <c r="T3886" s="4">
        <v>34.6</v>
      </c>
      <c r="U3886" s="4">
        <v>22.7</v>
      </c>
      <c r="V3886" s="4">
        <v>2.6</v>
      </c>
      <c r="W3886" s="4">
        <v>5.7</v>
      </c>
      <c r="X3886" s="4">
        <v>519.92999999999995</v>
      </c>
      <c r="Y3886" s="7" t="e">
        <f t="shared" ca="1" si="79"/>
        <v>#VALUE!</v>
      </c>
    </row>
    <row r="3887" spans="1:25" ht="15" x14ac:dyDescent="0.25">
      <c r="A3887" s="4">
        <v>3885</v>
      </c>
      <c r="C3887" s="41" t="s">
        <v>6251</v>
      </c>
      <c r="D3887" s="42"/>
      <c r="E3887" s="5" t="str">
        <f t="shared" si="75"/>
        <v>https://www.screener.in/company//consolidated/</v>
      </c>
      <c r="F3887" s="4">
        <v>443059</v>
      </c>
      <c r="G3887" s="4">
        <v>3832241897</v>
      </c>
      <c r="H3887" s="6" t="e">
        <f t="shared" ca="1" si="76"/>
        <v>#VALUE!</v>
      </c>
      <c r="I3887" s="7" t="str">
        <f ca="1">IFERROR(__xludf.DUMMYFUNCTION("IMPORTXML(E3887,""/html/body/main/div[3]/div[3]/div[2]/ul/li[5]/span[2]/span"")"),"Loading...")</f>
        <v>Loading...</v>
      </c>
      <c r="J3887" s="7" t="str">
        <f ca="1">IFERROR(__xludf.DUMMYFUNCTION("GOOGLEFINANCE(""NSE:""&amp;D3887,""marketcap"")"),"#N/A")</f>
        <v>#N/A</v>
      </c>
      <c r="K3887" s="7">
        <v>992.8</v>
      </c>
      <c r="L3887" s="8" t="str">
        <f ca="1">IFERROR(__xludf.DUMMYFUNCTION("GOOGLEFINANCE(""NSE:""&amp;D3887,""price"")"),"#N/A")</f>
        <v>#N/A</v>
      </c>
      <c r="M3887" s="9" t="e">
        <f t="shared" ca="1" si="77"/>
        <v>#VALUE!</v>
      </c>
      <c r="N3887" s="10" t="e">
        <f t="shared" ca="1" si="78"/>
        <v>#VALUE!</v>
      </c>
      <c r="O3887" s="7" t="str">
        <f ca="1">IFERROR(__xludf.DUMMYFUNCTION("GOOGLEFINANCE(""NSE:""&amp;D3887,""pe"")"),"#N/A")</f>
        <v>#N/A</v>
      </c>
      <c r="P3887" s="7" t="str">
        <f ca="1">IFERROR(__xludf.DUMMYFUNCTION("GOOGLEFINANCE(""NSE:""&amp;D3887,""EPS"")"),"#N/A")</f>
        <v>#N/A</v>
      </c>
      <c r="Q3887" s="7">
        <v>13.5</v>
      </c>
      <c r="R3887" s="7" t="str">
        <f ca="1">IFERROR(__xludf.DUMMYFUNCTION("IMPORTXML(E3887,""/html/body/main/div[3]/div[3]/div[2]/ul/li[7]/span[2]/span"")"),"Loading...")</f>
        <v>Loading...</v>
      </c>
      <c r="S3887" s="7" t="str">
        <f ca="1">IFERROR(__xludf.DUMMYFUNCTION("IMPORTXML(E3887,""/html/body/main/div[3]/div[3]/div[2]/ul/li[8]/span[2]/span"")"),"Loading...")</f>
        <v>Loading...</v>
      </c>
      <c r="T3887" s="4">
        <v>34.6</v>
      </c>
      <c r="U3887" s="4">
        <v>22.7</v>
      </c>
      <c r="V3887" s="4">
        <v>2.6</v>
      </c>
      <c r="W3887" s="4">
        <v>5.7</v>
      </c>
      <c r="X3887" s="4">
        <v>519.92999999999995</v>
      </c>
      <c r="Y3887" s="7" t="e">
        <f t="shared" ca="1" si="79"/>
        <v>#VALUE!</v>
      </c>
    </row>
    <row r="3888" spans="1:25" ht="15" x14ac:dyDescent="0.25">
      <c r="A3888" s="4">
        <v>3886</v>
      </c>
      <c r="C3888" s="41" t="s">
        <v>6252</v>
      </c>
      <c r="D3888" s="42"/>
      <c r="E3888" s="5" t="str">
        <f t="shared" si="75"/>
        <v>https://www.screener.in/company//consolidated/</v>
      </c>
      <c r="F3888" s="4">
        <v>443059</v>
      </c>
      <c r="G3888" s="4">
        <v>3832241897</v>
      </c>
      <c r="H3888" s="6" t="e">
        <f t="shared" ca="1" si="76"/>
        <v>#VALUE!</v>
      </c>
      <c r="I3888" s="7" t="str">
        <f ca="1">IFERROR(__xludf.DUMMYFUNCTION("IMPORTXML(E3888,""/html/body/main/div[3]/div[3]/div[2]/ul/li[5]/span[2]/span"")"),"Loading...")</f>
        <v>Loading...</v>
      </c>
      <c r="J3888" s="7" t="str">
        <f ca="1">IFERROR(__xludf.DUMMYFUNCTION("GOOGLEFINANCE(""NSE:""&amp;D3888,""marketcap"")"),"#N/A")</f>
        <v>#N/A</v>
      </c>
      <c r="K3888" s="7">
        <v>992.8</v>
      </c>
      <c r="L3888" s="8" t="str">
        <f ca="1">IFERROR(__xludf.DUMMYFUNCTION("GOOGLEFINANCE(""NSE:""&amp;D3888,""price"")"),"#N/A")</f>
        <v>#N/A</v>
      </c>
      <c r="M3888" s="9" t="e">
        <f t="shared" ca="1" si="77"/>
        <v>#VALUE!</v>
      </c>
      <c r="N3888" s="10" t="e">
        <f t="shared" ca="1" si="78"/>
        <v>#VALUE!</v>
      </c>
      <c r="O3888" s="7" t="str">
        <f ca="1">IFERROR(__xludf.DUMMYFUNCTION("GOOGLEFINANCE(""NSE:""&amp;D3888,""pe"")"),"#N/A")</f>
        <v>#N/A</v>
      </c>
      <c r="P3888" s="7" t="str">
        <f ca="1">IFERROR(__xludf.DUMMYFUNCTION("GOOGLEFINANCE(""NSE:""&amp;D3888,""EPS"")"),"#N/A")</f>
        <v>#N/A</v>
      </c>
      <c r="Q3888" s="7">
        <v>13.5</v>
      </c>
      <c r="R3888" s="7" t="str">
        <f ca="1">IFERROR(__xludf.DUMMYFUNCTION("IMPORTXML(E3888,""/html/body/main/div[3]/div[3]/div[2]/ul/li[7]/span[2]/span"")"),"Loading...")</f>
        <v>Loading...</v>
      </c>
      <c r="S3888" s="7" t="str">
        <f ca="1">IFERROR(__xludf.DUMMYFUNCTION("IMPORTXML(E3888,""/html/body/main/div[3]/div[3]/div[2]/ul/li[8]/span[2]/span"")"),"Loading...")</f>
        <v>Loading...</v>
      </c>
      <c r="T3888" s="4">
        <v>34.6</v>
      </c>
      <c r="U3888" s="4">
        <v>22.7</v>
      </c>
      <c r="V3888" s="4">
        <v>2.6</v>
      </c>
      <c r="W3888" s="4">
        <v>5.7</v>
      </c>
      <c r="X3888" s="4">
        <v>519.92999999999995</v>
      </c>
      <c r="Y3888" s="7" t="e">
        <f t="shared" ca="1" si="79"/>
        <v>#VALUE!</v>
      </c>
    </row>
    <row r="3889" spans="1:25" ht="15" x14ac:dyDescent="0.25">
      <c r="A3889" s="4">
        <v>3887</v>
      </c>
      <c r="C3889" s="41" t="s">
        <v>6253</v>
      </c>
      <c r="D3889" s="42"/>
      <c r="E3889" s="5" t="str">
        <f t="shared" si="75"/>
        <v>https://www.screener.in/company//consolidated/</v>
      </c>
      <c r="F3889" s="4">
        <v>443059</v>
      </c>
      <c r="G3889" s="4">
        <v>3832241897</v>
      </c>
      <c r="H3889" s="6" t="e">
        <f t="shared" ca="1" si="76"/>
        <v>#VALUE!</v>
      </c>
      <c r="I3889" s="7" t="str">
        <f ca="1">IFERROR(__xludf.DUMMYFUNCTION("IMPORTXML(E3889,""/html/body/main/div[3]/div[3]/div[2]/ul/li[5]/span[2]/span"")"),"Loading...")</f>
        <v>Loading...</v>
      </c>
      <c r="J3889" s="7" t="str">
        <f ca="1">IFERROR(__xludf.DUMMYFUNCTION("GOOGLEFINANCE(""NSE:""&amp;D3889,""marketcap"")"),"#N/A")</f>
        <v>#N/A</v>
      </c>
      <c r="K3889" s="7">
        <v>992.8</v>
      </c>
      <c r="L3889" s="8" t="str">
        <f ca="1">IFERROR(__xludf.DUMMYFUNCTION("GOOGLEFINANCE(""NSE:""&amp;D3889,""price"")"),"#N/A")</f>
        <v>#N/A</v>
      </c>
      <c r="M3889" s="9" t="e">
        <f t="shared" ca="1" si="77"/>
        <v>#VALUE!</v>
      </c>
      <c r="N3889" s="10" t="e">
        <f t="shared" ca="1" si="78"/>
        <v>#VALUE!</v>
      </c>
      <c r="O3889" s="7" t="str">
        <f ca="1">IFERROR(__xludf.DUMMYFUNCTION("GOOGLEFINANCE(""NSE:""&amp;D3889,""pe"")"),"#N/A")</f>
        <v>#N/A</v>
      </c>
      <c r="P3889" s="7" t="str">
        <f ca="1">IFERROR(__xludf.DUMMYFUNCTION("GOOGLEFINANCE(""NSE:""&amp;D3889,""EPS"")"),"#N/A")</f>
        <v>#N/A</v>
      </c>
      <c r="Q3889" s="7">
        <v>13.5</v>
      </c>
      <c r="R3889" s="7" t="str">
        <f ca="1">IFERROR(__xludf.DUMMYFUNCTION("IMPORTXML(E3889,""/html/body/main/div[3]/div[3]/div[2]/ul/li[7]/span[2]/span"")"),"Loading...")</f>
        <v>Loading...</v>
      </c>
      <c r="S3889" s="7" t="str">
        <f ca="1">IFERROR(__xludf.DUMMYFUNCTION("IMPORTXML(E3889,""/html/body/main/div[3]/div[3]/div[2]/ul/li[8]/span[2]/span"")"),"Loading...")</f>
        <v>Loading...</v>
      </c>
      <c r="T3889" s="4">
        <v>34.6</v>
      </c>
      <c r="U3889" s="4">
        <v>22.7</v>
      </c>
      <c r="V3889" s="4">
        <v>2.6</v>
      </c>
      <c r="W3889" s="4">
        <v>5.7</v>
      </c>
      <c r="X3889" s="4">
        <v>519.92999999999995</v>
      </c>
      <c r="Y3889" s="7" t="e">
        <f t="shared" ca="1" si="79"/>
        <v>#VALUE!</v>
      </c>
    </row>
    <row r="3890" spans="1:25" ht="15" x14ac:dyDescent="0.25">
      <c r="A3890" s="4">
        <v>3888</v>
      </c>
      <c r="C3890" s="41" t="s">
        <v>6254</v>
      </c>
      <c r="D3890" s="42"/>
      <c r="E3890" s="5" t="str">
        <f t="shared" si="75"/>
        <v>https://www.screener.in/company//consolidated/</v>
      </c>
      <c r="F3890" s="4">
        <v>443059</v>
      </c>
      <c r="G3890" s="4">
        <v>3832241897</v>
      </c>
      <c r="H3890" s="6" t="e">
        <f t="shared" ca="1" si="76"/>
        <v>#VALUE!</v>
      </c>
      <c r="I3890" s="7" t="str">
        <f ca="1">IFERROR(__xludf.DUMMYFUNCTION("IMPORTXML(E3890,""/html/body/main/div[3]/div[3]/div[2]/ul/li[5]/span[2]/span"")"),"Loading...")</f>
        <v>Loading...</v>
      </c>
      <c r="J3890" s="7" t="str">
        <f ca="1">IFERROR(__xludf.DUMMYFUNCTION("GOOGLEFINANCE(""NSE:""&amp;D3890,""marketcap"")"),"#N/A")</f>
        <v>#N/A</v>
      </c>
      <c r="K3890" s="7">
        <v>992.8</v>
      </c>
      <c r="L3890" s="8" t="str">
        <f ca="1">IFERROR(__xludf.DUMMYFUNCTION("GOOGLEFINANCE(""NSE:""&amp;D3890,""price"")"),"#N/A")</f>
        <v>#N/A</v>
      </c>
      <c r="M3890" s="9" t="e">
        <f t="shared" ca="1" si="77"/>
        <v>#VALUE!</v>
      </c>
      <c r="N3890" s="10" t="e">
        <f t="shared" ca="1" si="78"/>
        <v>#VALUE!</v>
      </c>
      <c r="O3890" s="7" t="str">
        <f ca="1">IFERROR(__xludf.DUMMYFUNCTION("GOOGLEFINANCE(""NSE:""&amp;D3890,""pe"")"),"#N/A")</f>
        <v>#N/A</v>
      </c>
      <c r="P3890" s="7" t="str">
        <f ca="1">IFERROR(__xludf.DUMMYFUNCTION("GOOGLEFINANCE(""NSE:""&amp;D3890,""EPS"")"),"#N/A")</f>
        <v>#N/A</v>
      </c>
      <c r="Q3890" s="7">
        <v>13.5</v>
      </c>
      <c r="R3890" s="7" t="str">
        <f ca="1">IFERROR(__xludf.DUMMYFUNCTION("IMPORTXML(E3890,""/html/body/main/div[3]/div[3]/div[2]/ul/li[7]/span[2]/span"")"),"Loading...")</f>
        <v>Loading...</v>
      </c>
      <c r="S3890" s="7" t="str">
        <f ca="1">IFERROR(__xludf.DUMMYFUNCTION("IMPORTXML(E3890,""/html/body/main/div[3]/div[3]/div[2]/ul/li[8]/span[2]/span"")"),"Loading...")</f>
        <v>Loading...</v>
      </c>
      <c r="T3890" s="4">
        <v>34.6</v>
      </c>
      <c r="U3890" s="4">
        <v>22.7</v>
      </c>
      <c r="V3890" s="4">
        <v>2.6</v>
      </c>
      <c r="W3890" s="4">
        <v>5.7</v>
      </c>
      <c r="X3890" s="4">
        <v>519.92999999999995</v>
      </c>
      <c r="Y3890" s="7" t="e">
        <f t="shared" ca="1" si="79"/>
        <v>#VALUE!</v>
      </c>
    </row>
    <row r="3891" spans="1:25" ht="15" x14ac:dyDescent="0.25">
      <c r="A3891" s="4">
        <v>3889</v>
      </c>
      <c r="C3891" s="12" t="s">
        <v>6255</v>
      </c>
      <c r="D3891" s="12" t="s">
        <v>6256</v>
      </c>
      <c r="E3891" s="5" t="str">
        <f t="shared" si="75"/>
        <v>https://www.screener.in/company/NIRAJISPAT/consolidated/</v>
      </c>
      <c r="F3891" s="4">
        <v>443059</v>
      </c>
      <c r="G3891" s="4">
        <v>3832241897</v>
      </c>
      <c r="H3891" s="6">
        <f t="shared" ca="1" si="76"/>
        <v>151660.97307377501</v>
      </c>
      <c r="I3891" s="7" t="str">
        <f ca="1">IFERROR(__xludf.DUMMYFUNCTION("IMPORTXML(E3891,""/html/body/main/div[3]/div[3]/div[2]/ul/li[5]/span[2]/span"")"),"Loading...")</f>
        <v>Loading...</v>
      </c>
      <c r="J3891" s="7">
        <f ca="1">IFERROR(__xludf.DUMMYFUNCTION("GOOGLEFINANCE(""NSE:""&amp;D3891,""marketcap"")"),237450000)</f>
        <v>237450000</v>
      </c>
      <c r="K3891" s="7">
        <v>992.8</v>
      </c>
      <c r="L3891" s="8">
        <f ca="1">IFERROR(__xludf.DUMMYFUNCTION("GOOGLEFINANCE(""NSE:""&amp;D3891,""price"")"),395.75)</f>
        <v>395.75</v>
      </c>
      <c r="M3891" s="9">
        <f t="shared" ca="1" si="77"/>
        <v>-597.04999999999995</v>
      </c>
      <c r="N3891" s="10">
        <f t="shared" ca="1" si="78"/>
        <v>-60.137993553585808</v>
      </c>
      <c r="O3891" s="7">
        <f ca="1">IFERROR(__xludf.DUMMYFUNCTION("GOOGLEFINANCE(""NSE:""&amp;D3891,""pe"")"),16.23)</f>
        <v>16.23</v>
      </c>
      <c r="P3891" s="7">
        <f ca="1">IFERROR(__xludf.DUMMYFUNCTION("GOOGLEFINANCE(""NSE:""&amp;D3891,""EPS"")"),24.38)</f>
        <v>24.38</v>
      </c>
      <c r="Q3891" s="7">
        <v>13.5</v>
      </c>
      <c r="R3891" s="7" t="str">
        <f ca="1">IFERROR(__xludf.DUMMYFUNCTION("IMPORTXML(E3891,""/html/body/main/div[3]/div[3]/div[2]/ul/li[7]/span[2]/span"")"),"Loading...")</f>
        <v>Loading...</v>
      </c>
      <c r="S3891" s="7" t="str">
        <f ca="1">IFERROR(__xludf.DUMMYFUNCTION("IMPORTXML(E3891,""/html/body/main/div[3]/div[3]/div[2]/ul/li[8]/span[2]/span"")"),"Loading...")</f>
        <v>Loading...</v>
      </c>
      <c r="T3891" s="4">
        <v>34.6</v>
      </c>
      <c r="U3891" s="4">
        <v>22.7</v>
      </c>
      <c r="V3891" s="4">
        <v>2.6</v>
      </c>
      <c r="W3891" s="4">
        <v>5.7</v>
      </c>
      <c r="X3891" s="4">
        <v>519.92999999999995</v>
      </c>
      <c r="Y3891" s="7">
        <f t="shared" ca="1" si="79"/>
        <v>-124.17999999999995</v>
      </c>
    </row>
    <row r="3892" spans="1:25" ht="15" x14ac:dyDescent="0.25">
      <c r="A3892" s="4">
        <v>3890</v>
      </c>
      <c r="C3892" s="41" t="s">
        <v>6257</v>
      </c>
      <c r="D3892" s="42"/>
      <c r="E3892" s="5" t="str">
        <f t="shared" si="75"/>
        <v>https://www.screener.in/company//consolidated/</v>
      </c>
      <c r="F3892" s="4">
        <v>443059</v>
      </c>
      <c r="G3892" s="4">
        <v>3832241897</v>
      </c>
      <c r="H3892" s="6" t="e">
        <f t="shared" ca="1" si="76"/>
        <v>#VALUE!</v>
      </c>
      <c r="I3892" s="7" t="str">
        <f ca="1">IFERROR(__xludf.DUMMYFUNCTION("IMPORTXML(E3892,""/html/body/main/div[3]/div[3]/div[2]/ul/li[5]/span[2]/span"")"),"Loading...")</f>
        <v>Loading...</v>
      </c>
      <c r="J3892" s="7" t="str">
        <f ca="1">IFERROR(__xludf.DUMMYFUNCTION("GOOGLEFINANCE(""NSE:""&amp;D3892,""marketcap"")"),"#N/A")</f>
        <v>#N/A</v>
      </c>
      <c r="K3892" s="7">
        <v>992.8</v>
      </c>
      <c r="L3892" s="8" t="str">
        <f ca="1">IFERROR(__xludf.DUMMYFUNCTION("GOOGLEFINANCE(""NSE:""&amp;D3892,""price"")"),"#N/A")</f>
        <v>#N/A</v>
      </c>
      <c r="M3892" s="9" t="e">
        <f t="shared" ca="1" si="77"/>
        <v>#VALUE!</v>
      </c>
      <c r="N3892" s="10" t="e">
        <f t="shared" ca="1" si="78"/>
        <v>#VALUE!</v>
      </c>
      <c r="O3892" s="7" t="str">
        <f ca="1">IFERROR(__xludf.DUMMYFUNCTION("GOOGLEFINANCE(""NSE:""&amp;D3892,""pe"")"),"#N/A")</f>
        <v>#N/A</v>
      </c>
      <c r="P3892" s="7" t="str">
        <f ca="1">IFERROR(__xludf.DUMMYFUNCTION("GOOGLEFINANCE(""NSE:""&amp;D3892,""EPS"")"),"#N/A")</f>
        <v>#N/A</v>
      </c>
      <c r="Q3892" s="7">
        <v>13.5</v>
      </c>
      <c r="R3892" s="7" t="str">
        <f ca="1">IFERROR(__xludf.DUMMYFUNCTION("IMPORTXML(E3892,""/html/body/main/div[3]/div[3]/div[2]/ul/li[7]/span[2]/span"")"),"Loading...")</f>
        <v>Loading...</v>
      </c>
      <c r="S3892" s="7" t="str">
        <f ca="1">IFERROR(__xludf.DUMMYFUNCTION("IMPORTXML(E3892,""/html/body/main/div[3]/div[3]/div[2]/ul/li[8]/span[2]/span"")"),"Loading...")</f>
        <v>Loading...</v>
      </c>
      <c r="T3892" s="4">
        <v>34.6</v>
      </c>
      <c r="U3892" s="4">
        <v>22.7</v>
      </c>
      <c r="V3892" s="4">
        <v>2.6</v>
      </c>
      <c r="W3892" s="4">
        <v>5.7</v>
      </c>
      <c r="X3892" s="4">
        <v>519.92999999999995</v>
      </c>
      <c r="Y3892" s="7" t="e">
        <f t="shared" ca="1" si="79"/>
        <v>#VALUE!</v>
      </c>
    </row>
    <row r="3893" spans="1:25" ht="15" x14ac:dyDescent="0.25">
      <c r="A3893" s="4">
        <v>3891</v>
      </c>
      <c r="C3893" s="41" t="s">
        <v>6258</v>
      </c>
      <c r="D3893" s="42"/>
      <c r="E3893" s="5" t="str">
        <f t="shared" si="75"/>
        <v>https://www.screener.in/company//consolidated/</v>
      </c>
      <c r="F3893" s="4">
        <v>443059</v>
      </c>
      <c r="G3893" s="4">
        <v>3832241897</v>
      </c>
      <c r="H3893" s="6" t="e">
        <f t="shared" ca="1" si="76"/>
        <v>#VALUE!</v>
      </c>
      <c r="I3893" s="7" t="str">
        <f ca="1">IFERROR(__xludf.DUMMYFUNCTION("IMPORTXML(E3893,""/html/body/main/div[3]/div[3]/div[2]/ul/li[5]/span[2]/span"")"),"Loading...")</f>
        <v>Loading...</v>
      </c>
      <c r="J3893" s="7" t="str">
        <f ca="1">IFERROR(__xludf.DUMMYFUNCTION("GOOGLEFINANCE(""NSE:""&amp;D3893,""marketcap"")"),"#N/A")</f>
        <v>#N/A</v>
      </c>
      <c r="K3893" s="7">
        <v>992.8</v>
      </c>
      <c r="L3893" s="8" t="str">
        <f ca="1">IFERROR(__xludf.DUMMYFUNCTION("GOOGLEFINANCE(""NSE:""&amp;D3893,""price"")"),"#N/A")</f>
        <v>#N/A</v>
      </c>
      <c r="M3893" s="9" t="e">
        <f t="shared" ca="1" si="77"/>
        <v>#VALUE!</v>
      </c>
      <c r="N3893" s="10" t="e">
        <f t="shared" ca="1" si="78"/>
        <v>#VALUE!</v>
      </c>
      <c r="O3893" s="7" t="str">
        <f ca="1">IFERROR(__xludf.DUMMYFUNCTION("GOOGLEFINANCE(""NSE:""&amp;D3893,""pe"")"),"#N/A")</f>
        <v>#N/A</v>
      </c>
      <c r="P3893" s="7" t="str">
        <f ca="1">IFERROR(__xludf.DUMMYFUNCTION("GOOGLEFINANCE(""NSE:""&amp;D3893,""EPS"")"),"#N/A")</f>
        <v>#N/A</v>
      </c>
      <c r="Q3893" s="7">
        <v>13.5</v>
      </c>
      <c r="R3893" s="7" t="str">
        <f ca="1">IFERROR(__xludf.DUMMYFUNCTION("IMPORTXML(E3893,""/html/body/main/div[3]/div[3]/div[2]/ul/li[7]/span[2]/span"")"),"Loading...")</f>
        <v>Loading...</v>
      </c>
      <c r="S3893" s="7" t="str">
        <f ca="1">IFERROR(__xludf.DUMMYFUNCTION("IMPORTXML(E3893,""/html/body/main/div[3]/div[3]/div[2]/ul/li[8]/span[2]/span"")"),"Loading...")</f>
        <v>Loading...</v>
      </c>
      <c r="T3893" s="4">
        <v>34.6</v>
      </c>
      <c r="U3893" s="4">
        <v>22.7</v>
      </c>
      <c r="V3893" s="4">
        <v>2.6</v>
      </c>
      <c r="W3893" s="4">
        <v>5.7</v>
      </c>
      <c r="X3893" s="4">
        <v>519.92999999999995</v>
      </c>
      <c r="Y3893" s="7" t="e">
        <f t="shared" ca="1" si="79"/>
        <v>#VALUE!</v>
      </c>
    </row>
    <row r="3894" spans="1:25" ht="15" x14ac:dyDescent="0.25">
      <c r="A3894" s="4">
        <v>3892</v>
      </c>
      <c r="C3894" s="41" t="s">
        <v>6259</v>
      </c>
      <c r="D3894" s="42"/>
      <c r="E3894" s="5" t="str">
        <f t="shared" si="75"/>
        <v>https://www.screener.in/company//consolidated/</v>
      </c>
      <c r="F3894" s="4">
        <v>443059</v>
      </c>
      <c r="G3894" s="4">
        <v>3832241897</v>
      </c>
      <c r="H3894" s="6" t="e">
        <f t="shared" ca="1" si="76"/>
        <v>#VALUE!</v>
      </c>
      <c r="I3894" s="7" t="str">
        <f ca="1">IFERROR(__xludf.DUMMYFUNCTION("IMPORTXML(E3894,""/html/body/main/div[3]/div[3]/div[2]/ul/li[5]/span[2]/span"")"),"Loading...")</f>
        <v>Loading...</v>
      </c>
      <c r="J3894" s="7" t="str">
        <f ca="1">IFERROR(__xludf.DUMMYFUNCTION("GOOGLEFINANCE(""NSE:""&amp;D3894,""marketcap"")"),"#N/A")</f>
        <v>#N/A</v>
      </c>
      <c r="K3894" s="7">
        <v>992.8</v>
      </c>
      <c r="L3894" s="8" t="str">
        <f ca="1">IFERROR(__xludf.DUMMYFUNCTION("GOOGLEFINANCE(""NSE:""&amp;D3894,""price"")"),"#N/A")</f>
        <v>#N/A</v>
      </c>
      <c r="M3894" s="9" t="e">
        <f t="shared" ca="1" si="77"/>
        <v>#VALUE!</v>
      </c>
      <c r="N3894" s="10" t="e">
        <f t="shared" ca="1" si="78"/>
        <v>#VALUE!</v>
      </c>
      <c r="O3894" s="7" t="str">
        <f ca="1">IFERROR(__xludf.DUMMYFUNCTION("GOOGLEFINANCE(""NSE:""&amp;D3894,""pe"")"),"#N/A")</f>
        <v>#N/A</v>
      </c>
      <c r="P3894" s="7" t="str">
        <f ca="1">IFERROR(__xludf.DUMMYFUNCTION("GOOGLEFINANCE(""NSE:""&amp;D3894,""EPS"")"),"#N/A")</f>
        <v>#N/A</v>
      </c>
      <c r="Q3894" s="7">
        <v>13.5</v>
      </c>
      <c r="R3894" s="7" t="str">
        <f ca="1">IFERROR(__xludf.DUMMYFUNCTION("IMPORTXML(E3894,""/html/body/main/div[3]/div[3]/div[2]/ul/li[7]/span[2]/span"")"),"Loading...")</f>
        <v>Loading...</v>
      </c>
      <c r="S3894" s="7" t="str">
        <f ca="1">IFERROR(__xludf.DUMMYFUNCTION("IMPORTXML(E3894,""/html/body/main/div[3]/div[3]/div[2]/ul/li[8]/span[2]/span"")"),"Loading...")</f>
        <v>Loading...</v>
      </c>
      <c r="T3894" s="4">
        <v>34.6</v>
      </c>
      <c r="U3894" s="4">
        <v>22.7</v>
      </c>
      <c r="V3894" s="4">
        <v>2.6</v>
      </c>
      <c r="W3894" s="4">
        <v>5.7</v>
      </c>
      <c r="X3894" s="4">
        <v>519.92999999999995</v>
      </c>
      <c r="Y3894" s="7" t="e">
        <f t="shared" ca="1" si="79"/>
        <v>#VALUE!</v>
      </c>
    </row>
    <row r="3895" spans="1:25" ht="15" x14ac:dyDescent="0.25">
      <c r="A3895" s="4">
        <v>3893</v>
      </c>
      <c r="C3895" s="41" t="s">
        <v>6260</v>
      </c>
      <c r="D3895" s="42"/>
      <c r="E3895" s="5" t="str">
        <f t="shared" si="75"/>
        <v>https://www.screener.in/company//consolidated/</v>
      </c>
      <c r="F3895" s="4">
        <v>443059</v>
      </c>
      <c r="G3895" s="4">
        <v>3832241897</v>
      </c>
      <c r="H3895" s="6" t="e">
        <f t="shared" ca="1" si="76"/>
        <v>#VALUE!</v>
      </c>
      <c r="I3895" s="7" t="str">
        <f ca="1">IFERROR(__xludf.DUMMYFUNCTION("IMPORTXML(E3895,""/html/body/main/div[3]/div[3]/div[2]/ul/li[5]/span[2]/span"")"),"Loading...")</f>
        <v>Loading...</v>
      </c>
      <c r="J3895" s="7" t="str">
        <f ca="1">IFERROR(__xludf.DUMMYFUNCTION("GOOGLEFINANCE(""NSE:""&amp;D3895,""marketcap"")"),"#N/A")</f>
        <v>#N/A</v>
      </c>
      <c r="K3895" s="7">
        <v>992.8</v>
      </c>
      <c r="L3895" s="8" t="str">
        <f ca="1">IFERROR(__xludf.DUMMYFUNCTION("GOOGLEFINANCE(""NSE:""&amp;D3895,""price"")"),"#N/A")</f>
        <v>#N/A</v>
      </c>
      <c r="M3895" s="9" t="e">
        <f t="shared" ca="1" si="77"/>
        <v>#VALUE!</v>
      </c>
      <c r="N3895" s="10" t="e">
        <f t="shared" ca="1" si="78"/>
        <v>#VALUE!</v>
      </c>
      <c r="O3895" s="7" t="str">
        <f ca="1">IFERROR(__xludf.DUMMYFUNCTION("GOOGLEFINANCE(""NSE:""&amp;D3895,""pe"")"),"#N/A")</f>
        <v>#N/A</v>
      </c>
      <c r="P3895" s="7" t="str">
        <f ca="1">IFERROR(__xludf.DUMMYFUNCTION("GOOGLEFINANCE(""NSE:""&amp;D3895,""EPS"")"),"#N/A")</f>
        <v>#N/A</v>
      </c>
      <c r="Q3895" s="7">
        <v>13.5</v>
      </c>
      <c r="R3895" s="7" t="str">
        <f ca="1">IFERROR(__xludf.DUMMYFUNCTION("IMPORTXML(E3895,""/html/body/main/div[3]/div[3]/div[2]/ul/li[7]/span[2]/span"")"),"Loading...")</f>
        <v>Loading...</v>
      </c>
      <c r="S3895" s="7" t="str">
        <f ca="1">IFERROR(__xludf.DUMMYFUNCTION("IMPORTXML(E3895,""/html/body/main/div[3]/div[3]/div[2]/ul/li[8]/span[2]/span"")"),"Loading...")</f>
        <v>Loading...</v>
      </c>
      <c r="T3895" s="4">
        <v>34.6</v>
      </c>
      <c r="U3895" s="4">
        <v>22.7</v>
      </c>
      <c r="V3895" s="4">
        <v>2.6</v>
      </c>
      <c r="W3895" s="4">
        <v>5.7</v>
      </c>
      <c r="X3895" s="4">
        <v>519.92999999999995</v>
      </c>
      <c r="Y3895" s="7" t="e">
        <f t="shared" ca="1" si="79"/>
        <v>#VALUE!</v>
      </c>
    </row>
    <row r="3896" spans="1:25" ht="15" x14ac:dyDescent="0.25">
      <c r="A3896" s="4">
        <v>3894</v>
      </c>
      <c r="C3896" s="41" t="s">
        <v>6261</v>
      </c>
      <c r="D3896" s="42"/>
      <c r="E3896" s="5" t="str">
        <f t="shared" si="75"/>
        <v>https://www.screener.in/company//consolidated/</v>
      </c>
      <c r="F3896" s="4">
        <v>443059</v>
      </c>
      <c r="G3896" s="4">
        <v>3832241897</v>
      </c>
      <c r="H3896" s="6" t="e">
        <f t="shared" ca="1" si="76"/>
        <v>#VALUE!</v>
      </c>
      <c r="I3896" s="7" t="str">
        <f ca="1">IFERROR(__xludf.DUMMYFUNCTION("IMPORTXML(E3896,""/html/body/main/div[3]/div[3]/div[2]/ul/li[5]/span[2]/span"")"),"Loading...")</f>
        <v>Loading...</v>
      </c>
      <c r="J3896" s="7" t="str">
        <f ca="1">IFERROR(__xludf.DUMMYFUNCTION("GOOGLEFINANCE(""NSE:""&amp;D3896,""marketcap"")"),"#N/A")</f>
        <v>#N/A</v>
      </c>
      <c r="K3896" s="7">
        <v>992.8</v>
      </c>
      <c r="L3896" s="8" t="str">
        <f ca="1">IFERROR(__xludf.DUMMYFUNCTION("GOOGLEFINANCE(""NSE:""&amp;D3896,""price"")"),"#N/A")</f>
        <v>#N/A</v>
      </c>
      <c r="M3896" s="9" t="e">
        <f t="shared" ca="1" si="77"/>
        <v>#VALUE!</v>
      </c>
      <c r="N3896" s="10" t="e">
        <f t="shared" ca="1" si="78"/>
        <v>#VALUE!</v>
      </c>
      <c r="O3896" s="7" t="str">
        <f ca="1">IFERROR(__xludf.DUMMYFUNCTION("GOOGLEFINANCE(""NSE:""&amp;D3896,""pe"")"),"#N/A")</f>
        <v>#N/A</v>
      </c>
      <c r="P3896" s="7" t="str">
        <f ca="1">IFERROR(__xludf.DUMMYFUNCTION("GOOGLEFINANCE(""NSE:""&amp;D3896,""EPS"")"),"#N/A")</f>
        <v>#N/A</v>
      </c>
      <c r="Q3896" s="7">
        <v>13.5</v>
      </c>
      <c r="R3896" s="7" t="str">
        <f ca="1">IFERROR(__xludf.DUMMYFUNCTION("IMPORTXML(E3896,""/html/body/main/div[3]/div[3]/div[2]/ul/li[7]/span[2]/span"")"),"Loading...")</f>
        <v>Loading...</v>
      </c>
      <c r="S3896" s="7" t="str">
        <f ca="1">IFERROR(__xludf.DUMMYFUNCTION("IMPORTXML(E3896,""/html/body/main/div[3]/div[3]/div[2]/ul/li[8]/span[2]/span"")"),"Loading...")</f>
        <v>Loading...</v>
      </c>
      <c r="T3896" s="4">
        <v>34.6</v>
      </c>
      <c r="U3896" s="4">
        <v>22.7</v>
      </c>
      <c r="V3896" s="4">
        <v>2.6</v>
      </c>
      <c r="W3896" s="4">
        <v>5.7</v>
      </c>
      <c r="X3896" s="4">
        <v>519.92999999999995</v>
      </c>
      <c r="Y3896" s="7" t="e">
        <f t="shared" ca="1" si="79"/>
        <v>#VALUE!</v>
      </c>
    </row>
    <row r="3897" spans="1:25" ht="15" x14ac:dyDescent="0.25">
      <c r="A3897" s="4">
        <v>3895</v>
      </c>
      <c r="C3897" s="41" t="s">
        <v>6262</v>
      </c>
      <c r="D3897" s="42"/>
      <c r="E3897" s="5" t="str">
        <f t="shared" si="75"/>
        <v>https://www.screener.in/company//consolidated/</v>
      </c>
      <c r="F3897" s="4">
        <v>443059</v>
      </c>
      <c r="G3897" s="4">
        <v>3832241897</v>
      </c>
      <c r="H3897" s="6" t="e">
        <f t="shared" ca="1" si="76"/>
        <v>#VALUE!</v>
      </c>
      <c r="I3897" s="7" t="str">
        <f ca="1">IFERROR(__xludf.DUMMYFUNCTION("IMPORTXML(E3897,""/html/body/main/div[3]/div[3]/div[2]/ul/li[5]/span[2]/span"")"),"Loading...")</f>
        <v>Loading...</v>
      </c>
      <c r="J3897" s="7" t="str">
        <f ca="1">IFERROR(__xludf.DUMMYFUNCTION("GOOGLEFINANCE(""NSE:""&amp;D3897,""marketcap"")"),"#N/A")</f>
        <v>#N/A</v>
      </c>
      <c r="K3897" s="7">
        <v>992.8</v>
      </c>
      <c r="L3897" s="8" t="str">
        <f ca="1">IFERROR(__xludf.DUMMYFUNCTION("GOOGLEFINANCE(""NSE:""&amp;D3897,""price"")"),"#N/A")</f>
        <v>#N/A</v>
      </c>
      <c r="M3897" s="9" t="e">
        <f t="shared" ca="1" si="77"/>
        <v>#VALUE!</v>
      </c>
      <c r="N3897" s="10" t="e">
        <f t="shared" ca="1" si="78"/>
        <v>#VALUE!</v>
      </c>
      <c r="O3897" s="7" t="str">
        <f ca="1">IFERROR(__xludf.DUMMYFUNCTION("GOOGLEFINANCE(""NSE:""&amp;D3897,""pe"")"),"#N/A")</f>
        <v>#N/A</v>
      </c>
      <c r="P3897" s="7" t="str">
        <f ca="1">IFERROR(__xludf.DUMMYFUNCTION("GOOGLEFINANCE(""NSE:""&amp;D3897,""EPS"")"),"#N/A")</f>
        <v>#N/A</v>
      </c>
      <c r="Q3897" s="7">
        <v>13.5</v>
      </c>
      <c r="R3897" s="7" t="str">
        <f ca="1">IFERROR(__xludf.DUMMYFUNCTION("IMPORTXML(E3897,""/html/body/main/div[3]/div[3]/div[2]/ul/li[7]/span[2]/span"")"),"Loading...")</f>
        <v>Loading...</v>
      </c>
      <c r="S3897" s="7" t="str">
        <f ca="1">IFERROR(__xludf.DUMMYFUNCTION("IMPORTXML(E3897,""/html/body/main/div[3]/div[3]/div[2]/ul/li[8]/span[2]/span"")"),"Loading...")</f>
        <v>Loading...</v>
      </c>
      <c r="T3897" s="4">
        <v>34.6</v>
      </c>
      <c r="U3897" s="4">
        <v>22.7</v>
      </c>
      <c r="V3897" s="4">
        <v>2.6</v>
      </c>
      <c r="W3897" s="4">
        <v>5.7</v>
      </c>
      <c r="X3897" s="4">
        <v>519.92999999999995</v>
      </c>
      <c r="Y3897" s="7" t="e">
        <f t="shared" ca="1" si="79"/>
        <v>#VALUE!</v>
      </c>
    </row>
    <row r="3898" spans="1:25" ht="15" x14ac:dyDescent="0.25">
      <c r="A3898" s="4">
        <v>3896</v>
      </c>
      <c r="C3898" s="41" t="s">
        <v>6263</v>
      </c>
      <c r="D3898" s="42"/>
      <c r="E3898" s="5" t="str">
        <f t="shared" si="75"/>
        <v>https://www.screener.in/company//consolidated/</v>
      </c>
      <c r="F3898" s="4">
        <v>443059</v>
      </c>
      <c r="G3898" s="4">
        <v>3832241897</v>
      </c>
      <c r="H3898" s="6" t="e">
        <f t="shared" ca="1" si="76"/>
        <v>#VALUE!</v>
      </c>
      <c r="I3898" s="7" t="str">
        <f ca="1">IFERROR(__xludf.DUMMYFUNCTION("IMPORTXML(E3898,""/html/body/main/div[3]/div[3]/div[2]/ul/li[5]/span[2]/span"")"),"Loading...")</f>
        <v>Loading...</v>
      </c>
      <c r="J3898" s="7" t="str">
        <f ca="1">IFERROR(__xludf.DUMMYFUNCTION("GOOGLEFINANCE(""NSE:""&amp;D3898,""marketcap"")"),"#N/A")</f>
        <v>#N/A</v>
      </c>
      <c r="K3898" s="7">
        <v>992.8</v>
      </c>
      <c r="L3898" s="8" t="str">
        <f ca="1">IFERROR(__xludf.DUMMYFUNCTION("GOOGLEFINANCE(""NSE:""&amp;D3898,""price"")"),"#N/A")</f>
        <v>#N/A</v>
      </c>
      <c r="M3898" s="9" t="e">
        <f t="shared" ca="1" si="77"/>
        <v>#VALUE!</v>
      </c>
      <c r="N3898" s="10" t="e">
        <f t="shared" ca="1" si="78"/>
        <v>#VALUE!</v>
      </c>
      <c r="O3898" s="7" t="str">
        <f ca="1">IFERROR(__xludf.DUMMYFUNCTION("GOOGLEFINANCE(""NSE:""&amp;D3898,""pe"")"),"#N/A")</f>
        <v>#N/A</v>
      </c>
      <c r="P3898" s="7" t="str">
        <f ca="1">IFERROR(__xludf.DUMMYFUNCTION("GOOGLEFINANCE(""NSE:""&amp;D3898,""EPS"")"),"#N/A")</f>
        <v>#N/A</v>
      </c>
      <c r="Q3898" s="7">
        <v>13.5</v>
      </c>
      <c r="R3898" s="7" t="str">
        <f ca="1">IFERROR(__xludf.DUMMYFUNCTION("IMPORTXML(E3898,""/html/body/main/div[3]/div[3]/div[2]/ul/li[7]/span[2]/span"")"),"Loading...")</f>
        <v>Loading...</v>
      </c>
      <c r="S3898" s="7" t="str">
        <f ca="1">IFERROR(__xludf.DUMMYFUNCTION("IMPORTXML(E3898,""/html/body/main/div[3]/div[3]/div[2]/ul/li[8]/span[2]/span"")"),"Loading...")</f>
        <v>Loading...</v>
      </c>
      <c r="T3898" s="4">
        <v>34.6</v>
      </c>
      <c r="U3898" s="4">
        <v>22.7</v>
      </c>
      <c r="V3898" s="4">
        <v>2.6</v>
      </c>
      <c r="W3898" s="4">
        <v>5.7</v>
      </c>
      <c r="X3898" s="4">
        <v>519.92999999999995</v>
      </c>
      <c r="Y3898" s="7" t="e">
        <f t="shared" ca="1" si="79"/>
        <v>#VALUE!</v>
      </c>
    </row>
    <row r="3899" spans="1:25" ht="15" x14ac:dyDescent="0.25">
      <c r="A3899" s="4">
        <v>3897</v>
      </c>
      <c r="C3899" s="41" t="s">
        <v>6264</v>
      </c>
      <c r="D3899" s="42"/>
      <c r="E3899" s="5" t="str">
        <f t="shared" si="75"/>
        <v>https://www.screener.in/company//consolidated/</v>
      </c>
      <c r="F3899" s="4">
        <v>443059</v>
      </c>
      <c r="G3899" s="4">
        <v>3832241897</v>
      </c>
      <c r="H3899" s="6" t="e">
        <f t="shared" ca="1" si="76"/>
        <v>#VALUE!</v>
      </c>
      <c r="I3899" s="7" t="str">
        <f ca="1">IFERROR(__xludf.DUMMYFUNCTION("IMPORTXML(E3899,""/html/body/main/div[3]/div[3]/div[2]/ul/li[5]/span[2]/span"")"),"Loading...")</f>
        <v>Loading...</v>
      </c>
      <c r="J3899" s="7" t="str">
        <f ca="1">IFERROR(__xludf.DUMMYFUNCTION("GOOGLEFINANCE(""NSE:""&amp;D3899,""marketcap"")"),"#N/A")</f>
        <v>#N/A</v>
      </c>
      <c r="K3899" s="7">
        <v>992.8</v>
      </c>
      <c r="L3899" s="8" t="str">
        <f ca="1">IFERROR(__xludf.DUMMYFUNCTION("GOOGLEFINANCE(""NSE:""&amp;D3899,""price"")"),"#N/A")</f>
        <v>#N/A</v>
      </c>
      <c r="M3899" s="9" t="e">
        <f t="shared" ca="1" si="77"/>
        <v>#VALUE!</v>
      </c>
      <c r="N3899" s="10" t="e">
        <f t="shared" ca="1" si="78"/>
        <v>#VALUE!</v>
      </c>
      <c r="O3899" s="7" t="str">
        <f ca="1">IFERROR(__xludf.DUMMYFUNCTION("GOOGLEFINANCE(""NSE:""&amp;D3899,""pe"")"),"#N/A")</f>
        <v>#N/A</v>
      </c>
      <c r="P3899" s="7" t="str">
        <f ca="1">IFERROR(__xludf.DUMMYFUNCTION("GOOGLEFINANCE(""NSE:""&amp;D3899,""EPS"")"),"#N/A")</f>
        <v>#N/A</v>
      </c>
      <c r="Q3899" s="7">
        <v>13.5</v>
      </c>
      <c r="R3899" s="7" t="str">
        <f ca="1">IFERROR(__xludf.DUMMYFUNCTION("IMPORTXML(E3899,""/html/body/main/div[3]/div[3]/div[2]/ul/li[7]/span[2]/span"")"),"Loading...")</f>
        <v>Loading...</v>
      </c>
      <c r="S3899" s="7" t="str">
        <f ca="1">IFERROR(__xludf.DUMMYFUNCTION("IMPORTXML(E3899,""/html/body/main/div[3]/div[3]/div[2]/ul/li[8]/span[2]/span"")"),"Loading...")</f>
        <v>Loading...</v>
      </c>
      <c r="T3899" s="4">
        <v>34.6</v>
      </c>
      <c r="U3899" s="4">
        <v>22.7</v>
      </c>
      <c r="V3899" s="4">
        <v>2.6</v>
      </c>
      <c r="W3899" s="4">
        <v>5.7</v>
      </c>
      <c r="X3899" s="4">
        <v>519.92999999999995</v>
      </c>
      <c r="Y3899" s="7" t="e">
        <f t="shared" ca="1" si="79"/>
        <v>#VALUE!</v>
      </c>
    </row>
    <row r="3900" spans="1:25" ht="15" x14ac:dyDescent="0.25">
      <c r="A3900" s="4">
        <v>3898</v>
      </c>
      <c r="C3900" s="41" t="s">
        <v>6265</v>
      </c>
      <c r="D3900" s="42"/>
      <c r="E3900" s="5" t="str">
        <f t="shared" si="75"/>
        <v>https://www.screener.in/company//consolidated/</v>
      </c>
      <c r="F3900" s="4">
        <v>443059</v>
      </c>
      <c r="G3900" s="4">
        <v>3832241897</v>
      </c>
      <c r="H3900" s="6" t="e">
        <f t="shared" ca="1" si="76"/>
        <v>#VALUE!</v>
      </c>
      <c r="I3900" s="7" t="str">
        <f ca="1">IFERROR(__xludf.DUMMYFUNCTION("IMPORTXML(E3900,""/html/body/main/div[3]/div[3]/div[2]/ul/li[5]/span[2]/span"")"),"Loading...")</f>
        <v>Loading...</v>
      </c>
      <c r="J3900" s="7" t="str">
        <f ca="1">IFERROR(__xludf.DUMMYFUNCTION("GOOGLEFINANCE(""NSE:""&amp;D3900,""marketcap"")"),"#N/A")</f>
        <v>#N/A</v>
      </c>
      <c r="K3900" s="7">
        <v>992.8</v>
      </c>
      <c r="L3900" s="8" t="str">
        <f ca="1">IFERROR(__xludf.DUMMYFUNCTION("GOOGLEFINANCE(""NSE:""&amp;D3900,""price"")"),"#N/A")</f>
        <v>#N/A</v>
      </c>
      <c r="M3900" s="9" t="e">
        <f t="shared" ca="1" si="77"/>
        <v>#VALUE!</v>
      </c>
      <c r="N3900" s="10" t="e">
        <f t="shared" ca="1" si="78"/>
        <v>#VALUE!</v>
      </c>
      <c r="O3900" s="7" t="str">
        <f ca="1">IFERROR(__xludf.DUMMYFUNCTION("GOOGLEFINANCE(""NSE:""&amp;D3900,""pe"")"),"#N/A")</f>
        <v>#N/A</v>
      </c>
      <c r="P3900" s="7" t="str">
        <f ca="1">IFERROR(__xludf.DUMMYFUNCTION("GOOGLEFINANCE(""NSE:""&amp;D3900,""EPS"")"),"#N/A")</f>
        <v>#N/A</v>
      </c>
      <c r="Q3900" s="7">
        <v>13.5</v>
      </c>
      <c r="R3900" s="7" t="str">
        <f ca="1">IFERROR(__xludf.DUMMYFUNCTION("IMPORTXML(E3900,""/html/body/main/div[3]/div[3]/div[2]/ul/li[7]/span[2]/span"")"),"Loading...")</f>
        <v>Loading...</v>
      </c>
      <c r="S3900" s="7" t="str">
        <f ca="1">IFERROR(__xludf.DUMMYFUNCTION("IMPORTXML(E3900,""/html/body/main/div[3]/div[3]/div[2]/ul/li[8]/span[2]/span"")"),"Loading...")</f>
        <v>Loading...</v>
      </c>
      <c r="T3900" s="4">
        <v>34.6</v>
      </c>
      <c r="U3900" s="4">
        <v>22.7</v>
      </c>
      <c r="V3900" s="4">
        <v>2.6</v>
      </c>
      <c r="W3900" s="4">
        <v>5.7</v>
      </c>
      <c r="X3900" s="4">
        <v>519.92999999999995</v>
      </c>
      <c r="Y3900" s="7" t="e">
        <f t="shared" ca="1" si="79"/>
        <v>#VALUE!</v>
      </c>
    </row>
    <row r="3901" spans="1:25" ht="15" x14ac:dyDescent="0.25">
      <c r="A3901" s="4">
        <v>3899</v>
      </c>
      <c r="C3901" s="41" t="s">
        <v>6266</v>
      </c>
      <c r="D3901" s="42"/>
      <c r="E3901" s="5" t="str">
        <f t="shared" si="75"/>
        <v>https://www.screener.in/company//consolidated/</v>
      </c>
      <c r="F3901" s="4">
        <v>443059</v>
      </c>
      <c r="G3901" s="4">
        <v>3832241897</v>
      </c>
      <c r="H3901" s="6" t="e">
        <f t="shared" ca="1" si="76"/>
        <v>#VALUE!</v>
      </c>
      <c r="I3901" s="7" t="str">
        <f ca="1">IFERROR(__xludf.DUMMYFUNCTION("IMPORTXML(E3901,""/html/body/main/div[3]/div[3]/div[2]/ul/li[5]/span[2]/span"")"),"Loading...")</f>
        <v>Loading...</v>
      </c>
      <c r="J3901" s="7" t="str">
        <f ca="1">IFERROR(__xludf.DUMMYFUNCTION("GOOGLEFINANCE(""NSE:""&amp;D3901,""marketcap"")"),"#N/A")</f>
        <v>#N/A</v>
      </c>
      <c r="K3901" s="7">
        <v>992.8</v>
      </c>
      <c r="L3901" s="8" t="str">
        <f ca="1">IFERROR(__xludf.DUMMYFUNCTION("GOOGLEFINANCE(""NSE:""&amp;D3901,""price"")"),"#N/A")</f>
        <v>#N/A</v>
      </c>
      <c r="M3901" s="9" t="e">
        <f t="shared" ca="1" si="77"/>
        <v>#VALUE!</v>
      </c>
      <c r="N3901" s="10" t="e">
        <f t="shared" ca="1" si="78"/>
        <v>#VALUE!</v>
      </c>
      <c r="O3901" s="7" t="str">
        <f ca="1">IFERROR(__xludf.DUMMYFUNCTION("GOOGLEFINANCE(""NSE:""&amp;D3901,""pe"")"),"#N/A")</f>
        <v>#N/A</v>
      </c>
      <c r="P3901" s="7" t="str">
        <f ca="1">IFERROR(__xludf.DUMMYFUNCTION("GOOGLEFINANCE(""NSE:""&amp;D3901,""EPS"")"),"#N/A")</f>
        <v>#N/A</v>
      </c>
      <c r="Q3901" s="7">
        <v>13.5</v>
      </c>
      <c r="R3901" s="7" t="str">
        <f ca="1">IFERROR(__xludf.DUMMYFUNCTION("IMPORTXML(E3901,""/html/body/main/div[3]/div[3]/div[2]/ul/li[7]/span[2]/span"")"),"Loading...")</f>
        <v>Loading...</v>
      </c>
      <c r="S3901" s="7" t="str">
        <f ca="1">IFERROR(__xludf.DUMMYFUNCTION("IMPORTXML(E3901,""/html/body/main/div[3]/div[3]/div[2]/ul/li[8]/span[2]/span"")"),"Loading...")</f>
        <v>Loading...</v>
      </c>
      <c r="T3901" s="4">
        <v>34.6</v>
      </c>
      <c r="U3901" s="4">
        <v>22.7</v>
      </c>
      <c r="V3901" s="4">
        <v>2.6</v>
      </c>
      <c r="W3901" s="4">
        <v>5.7</v>
      </c>
      <c r="X3901" s="4">
        <v>519.92999999999995</v>
      </c>
      <c r="Y3901" s="7" t="e">
        <f t="shared" ca="1" si="79"/>
        <v>#VALUE!</v>
      </c>
    </row>
    <row r="3902" spans="1:25" ht="15" x14ac:dyDescent="0.25">
      <c r="A3902" s="4">
        <v>3900</v>
      </c>
      <c r="C3902" s="41" t="s">
        <v>6267</v>
      </c>
      <c r="D3902" s="42"/>
      <c r="E3902" s="5" t="str">
        <f t="shared" si="75"/>
        <v>https://www.screener.in/company//consolidated/</v>
      </c>
      <c r="F3902" s="4">
        <v>443059</v>
      </c>
      <c r="G3902" s="4">
        <v>3832241897</v>
      </c>
      <c r="H3902" s="6" t="e">
        <f t="shared" ca="1" si="76"/>
        <v>#VALUE!</v>
      </c>
      <c r="I3902" s="7" t="str">
        <f ca="1">IFERROR(__xludf.DUMMYFUNCTION("IMPORTXML(E3902,""/html/body/main/div[3]/div[3]/div[2]/ul/li[5]/span[2]/span"")"),"Loading...")</f>
        <v>Loading...</v>
      </c>
      <c r="J3902" s="7" t="str">
        <f ca="1">IFERROR(__xludf.DUMMYFUNCTION("GOOGLEFINANCE(""NSE:""&amp;D3902,""marketcap"")"),"#N/A")</f>
        <v>#N/A</v>
      </c>
      <c r="K3902" s="7">
        <v>992.8</v>
      </c>
      <c r="L3902" s="8" t="str">
        <f ca="1">IFERROR(__xludf.DUMMYFUNCTION("GOOGLEFINANCE(""NSE:""&amp;D3902,""price"")"),"#N/A")</f>
        <v>#N/A</v>
      </c>
      <c r="M3902" s="9" t="e">
        <f t="shared" ca="1" si="77"/>
        <v>#VALUE!</v>
      </c>
      <c r="N3902" s="10" t="e">
        <f t="shared" ca="1" si="78"/>
        <v>#VALUE!</v>
      </c>
      <c r="O3902" s="7" t="str">
        <f ca="1">IFERROR(__xludf.DUMMYFUNCTION("GOOGLEFINANCE(""NSE:""&amp;D3902,""pe"")"),"#N/A")</f>
        <v>#N/A</v>
      </c>
      <c r="P3902" s="7" t="str">
        <f ca="1">IFERROR(__xludf.DUMMYFUNCTION("GOOGLEFINANCE(""NSE:""&amp;D3902,""EPS"")"),"#N/A")</f>
        <v>#N/A</v>
      </c>
      <c r="Q3902" s="7">
        <v>13.5</v>
      </c>
      <c r="R3902" s="7" t="str">
        <f ca="1">IFERROR(__xludf.DUMMYFUNCTION("IMPORTXML(E3902,""/html/body/main/div[3]/div[3]/div[2]/ul/li[7]/span[2]/span"")"),"Loading...")</f>
        <v>Loading...</v>
      </c>
      <c r="S3902" s="7" t="str">
        <f ca="1">IFERROR(__xludf.DUMMYFUNCTION("IMPORTXML(E3902,""/html/body/main/div[3]/div[3]/div[2]/ul/li[8]/span[2]/span"")"),"Loading...")</f>
        <v>Loading...</v>
      </c>
      <c r="T3902" s="4">
        <v>34.6</v>
      </c>
      <c r="U3902" s="4">
        <v>22.7</v>
      </c>
      <c r="V3902" s="4">
        <v>2.6</v>
      </c>
      <c r="W3902" s="4">
        <v>5.7</v>
      </c>
      <c r="X3902" s="4">
        <v>519.92999999999995</v>
      </c>
      <c r="Y3902" s="7" t="e">
        <f t="shared" ca="1" si="79"/>
        <v>#VALUE!</v>
      </c>
    </row>
    <row r="3903" spans="1:25" ht="15" x14ac:dyDescent="0.25">
      <c r="A3903" s="4">
        <v>3901</v>
      </c>
      <c r="C3903" s="41" t="s">
        <v>6268</v>
      </c>
      <c r="D3903" s="42"/>
      <c r="E3903" s="5" t="str">
        <f t="shared" si="75"/>
        <v>https://www.screener.in/company//consolidated/</v>
      </c>
      <c r="F3903" s="4">
        <v>443059</v>
      </c>
      <c r="G3903" s="4">
        <v>3832241897</v>
      </c>
      <c r="H3903" s="6" t="e">
        <f t="shared" ca="1" si="76"/>
        <v>#VALUE!</v>
      </c>
      <c r="I3903" s="7" t="str">
        <f ca="1">IFERROR(__xludf.DUMMYFUNCTION("IMPORTXML(E3903,""/html/body/main/div[3]/div[3]/div[2]/ul/li[5]/span[2]/span"")"),"Loading...")</f>
        <v>Loading...</v>
      </c>
      <c r="J3903" s="7" t="str">
        <f ca="1">IFERROR(__xludf.DUMMYFUNCTION("GOOGLEFINANCE(""NSE:""&amp;D3903,""marketcap"")"),"#N/A")</f>
        <v>#N/A</v>
      </c>
      <c r="K3903" s="7">
        <v>992.8</v>
      </c>
      <c r="L3903" s="8" t="str">
        <f ca="1">IFERROR(__xludf.DUMMYFUNCTION("GOOGLEFINANCE(""NSE:""&amp;D3903,""price"")"),"#N/A")</f>
        <v>#N/A</v>
      </c>
      <c r="M3903" s="9" t="e">
        <f t="shared" ca="1" si="77"/>
        <v>#VALUE!</v>
      </c>
      <c r="N3903" s="10" t="e">
        <f t="shared" ca="1" si="78"/>
        <v>#VALUE!</v>
      </c>
      <c r="O3903" s="7" t="str">
        <f ca="1">IFERROR(__xludf.DUMMYFUNCTION("GOOGLEFINANCE(""NSE:""&amp;D3903,""pe"")"),"#N/A")</f>
        <v>#N/A</v>
      </c>
      <c r="P3903" s="7" t="str">
        <f ca="1">IFERROR(__xludf.DUMMYFUNCTION("GOOGLEFINANCE(""NSE:""&amp;D3903,""EPS"")"),"#N/A")</f>
        <v>#N/A</v>
      </c>
      <c r="Q3903" s="7">
        <v>13.5</v>
      </c>
      <c r="R3903" s="7" t="str">
        <f ca="1">IFERROR(__xludf.DUMMYFUNCTION("IMPORTXML(E3903,""/html/body/main/div[3]/div[3]/div[2]/ul/li[7]/span[2]/span"")"),"Loading...")</f>
        <v>Loading...</v>
      </c>
      <c r="S3903" s="7" t="str">
        <f ca="1">IFERROR(__xludf.DUMMYFUNCTION("IMPORTXML(E3903,""/html/body/main/div[3]/div[3]/div[2]/ul/li[8]/span[2]/span"")"),"Loading...")</f>
        <v>Loading...</v>
      </c>
      <c r="T3903" s="4">
        <v>34.6</v>
      </c>
      <c r="U3903" s="4">
        <v>22.7</v>
      </c>
      <c r="V3903" s="4">
        <v>2.6</v>
      </c>
      <c r="W3903" s="4">
        <v>5.7</v>
      </c>
      <c r="X3903" s="4">
        <v>519.92999999999995</v>
      </c>
      <c r="Y3903" s="7" t="e">
        <f t="shared" ca="1" si="79"/>
        <v>#VALUE!</v>
      </c>
    </row>
    <row r="3904" spans="1:25" ht="15" x14ac:dyDescent="0.25">
      <c r="A3904" s="4">
        <v>3902</v>
      </c>
      <c r="C3904" s="41" t="s">
        <v>6269</v>
      </c>
      <c r="D3904" s="42"/>
      <c r="E3904" s="5" t="str">
        <f t="shared" si="75"/>
        <v>https://www.screener.in/company//consolidated/</v>
      </c>
      <c r="F3904" s="4">
        <v>443059</v>
      </c>
      <c r="G3904" s="4">
        <v>3832241897</v>
      </c>
      <c r="H3904" s="6" t="e">
        <f t="shared" ca="1" si="76"/>
        <v>#VALUE!</v>
      </c>
      <c r="I3904" s="7" t="str">
        <f ca="1">IFERROR(__xludf.DUMMYFUNCTION("IMPORTXML(E3904,""/html/body/main/div[3]/div[3]/div[2]/ul/li[5]/span[2]/span"")"),"Loading...")</f>
        <v>Loading...</v>
      </c>
      <c r="J3904" s="7" t="str">
        <f ca="1">IFERROR(__xludf.DUMMYFUNCTION("GOOGLEFINANCE(""NSE:""&amp;D3904,""marketcap"")"),"#N/A")</f>
        <v>#N/A</v>
      </c>
      <c r="K3904" s="7">
        <v>992.8</v>
      </c>
      <c r="L3904" s="8" t="str">
        <f ca="1">IFERROR(__xludf.DUMMYFUNCTION("GOOGLEFINANCE(""NSE:""&amp;D3904,""price"")"),"#N/A")</f>
        <v>#N/A</v>
      </c>
      <c r="M3904" s="9" t="e">
        <f t="shared" ca="1" si="77"/>
        <v>#VALUE!</v>
      </c>
      <c r="N3904" s="10" t="e">
        <f t="shared" ca="1" si="78"/>
        <v>#VALUE!</v>
      </c>
      <c r="O3904" s="7" t="str">
        <f ca="1">IFERROR(__xludf.DUMMYFUNCTION("GOOGLEFINANCE(""NSE:""&amp;D3904,""pe"")"),"#N/A")</f>
        <v>#N/A</v>
      </c>
      <c r="P3904" s="7" t="str">
        <f ca="1">IFERROR(__xludf.DUMMYFUNCTION("GOOGLEFINANCE(""NSE:""&amp;D3904,""EPS"")"),"#N/A")</f>
        <v>#N/A</v>
      </c>
      <c r="Q3904" s="7">
        <v>13.5</v>
      </c>
      <c r="R3904" s="7" t="str">
        <f ca="1">IFERROR(__xludf.DUMMYFUNCTION("IMPORTXML(E3904,""/html/body/main/div[3]/div[3]/div[2]/ul/li[7]/span[2]/span"")"),"Loading...")</f>
        <v>Loading...</v>
      </c>
      <c r="S3904" s="7" t="str">
        <f ca="1">IFERROR(__xludf.DUMMYFUNCTION("IMPORTXML(E3904,""/html/body/main/div[3]/div[3]/div[2]/ul/li[8]/span[2]/span"")"),"Loading...")</f>
        <v>Loading...</v>
      </c>
      <c r="T3904" s="4">
        <v>34.6</v>
      </c>
      <c r="U3904" s="4">
        <v>22.7</v>
      </c>
      <c r="V3904" s="4">
        <v>2.6</v>
      </c>
      <c r="W3904" s="4">
        <v>5.7</v>
      </c>
      <c r="X3904" s="4">
        <v>519.92999999999995</v>
      </c>
      <c r="Y3904" s="7" t="e">
        <f t="shared" ca="1" si="79"/>
        <v>#VALUE!</v>
      </c>
    </row>
    <row r="3905" spans="1:25" ht="15" x14ac:dyDescent="0.25">
      <c r="A3905" s="4">
        <v>3903</v>
      </c>
      <c r="C3905" s="41" t="s">
        <v>6270</v>
      </c>
      <c r="D3905" s="42"/>
      <c r="E3905" s="5" t="str">
        <f t="shared" si="75"/>
        <v>https://www.screener.in/company//consolidated/</v>
      </c>
      <c r="F3905" s="4">
        <v>443059</v>
      </c>
      <c r="G3905" s="4">
        <v>3832241897</v>
      </c>
      <c r="H3905" s="6" t="e">
        <f t="shared" ca="1" si="76"/>
        <v>#VALUE!</v>
      </c>
      <c r="I3905" s="7" t="str">
        <f ca="1">IFERROR(__xludf.DUMMYFUNCTION("IMPORTXML(E3905,""/html/body/main/div[3]/div[3]/div[2]/ul/li[5]/span[2]/span"")"),"Loading...")</f>
        <v>Loading...</v>
      </c>
      <c r="J3905" s="7" t="str">
        <f ca="1">IFERROR(__xludf.DUMMYFUNCTION("GOOGLEFINANCE(""NSE:""&amp;D3905,""marketcap"")"),"#N/A")</f>
        <v>#N/A</v>
      </c>
      <c r="K3905" s="7">
        <v>992.8</v>
      </c>
      <c r="L3905" s="8" t="str">
        <f ca="1">IFERROR(__xludf.DUMMYFUNCTION("GOOGLEFINANCE(""NSE:""&amp;D3905,""price"")"),"#N/A")</f>
        <v>#N/A</v>
      </c>
      <c r="M3905" s="9" t="e">
        <f t="shared" ca="1" si="77"/>
        <v>#VALUE!</v>
      </c>
      <c r="N3905" s="10" t="e">
        <f t="shared" ca="1" si="78"/>
        <v>#VALUE!</v>
      </c>
      <c r="O3905" s="7" t="str">
        <f ca="1">IFERROR(__xludf.DUMMYFUNCTION("GOOGLEFINANCE(""NSE:""&amp;D3905,""pe"")"),"#N/A")</f>
        <v>#N/A</v>
      </c>
      <c r="P3905" s="7" t="str">
        <f ca="1">IFERROR(__xludf.DUMMYFUNCTION("GOOGLEFINANCE(""NSE:""&amp;D3905,""EPS"")"),"#N/A")</f>
        <v>#N/A</v>
      </c>
      <c r="Q3905" s="7">
        <v>13.5</v>
      </c>
      <c r="R3905" s="7" t="str">
        <f ca="1">IFERROR(__xludf.DUMMYFUNCTION("IMPORTXML(E3905,""/html/body/main/div[3]/div[3]/div[2]/ul/li[7]/span[2]/span"")"),"Loading...")</f>
        <v>Loading...</v>
      </c>
      <c r="S3905" s="7" t="str">
        <f ca="1">IFERROR(__xludf.DUMMYFUNCTION("IMPORTXML(E3905,""/html/body/main/div[3]/div[3]/div[2]/ul/li[8]/span[2]/span"")"),"Loading...")</f>
        <v>Loading...</v>
      </c>
      <c r="T3905" s="4">
        <v>34.6</v>
      </c>
      <c r="U3905" s="4">
        <v>22.7</v>
      </c>
      <c r="V3905" s="4">
        <v>2.6</v>
      </c>
      <c r="W3905" s="4">
        <v>5.7</v>
      </c>
      <c r="X3905" s="4">
        <v>519.92999999999995</v>
      </c>
      <c r="Y3905" s="7" t="e">
        <f t="shared" ca="1" si="79"/>
        <v>#VALUE!</v>
      </c>
    </row>
    <row r="3906" spans="1:25" ht="15" x14ac:dyDescent="0.25">
      <c r="A3906" s="4">
        <v>3904</v>
      </c>
      <c r="C3906" s="41" t="s">
        <v>6271</v>
      </c>
      <c r="D3906" s="42"/>
      <c r="E3906" s="5" t="str">
        <f t="shared" si="75"/>
        <v>https://www.screener.in/company//consolidated/</v>
      </c>
      <c r="F3906" s="4">
        <v>443059</v>
      </c>
      <c r="G3906" s="4">
        <v>3832241897</v>
      </c>
      <c r="H3906" s="6" t="e">
        <f t="shared" ca="1" si="76"/>
        <v>#VALUE!</v>
      </c>
      <c r="I3906" s="7" t="str">
        <f ca="1">IFERROR(__xludf.DUMMYFUNCTION("IMPORTXML(E3906,""/html/body/main/div[3]/div[3]/div[2]/ul/li[5]/span[2]/span"")"),"Loading...")</f>
        <v>Loading...</v>
      </c>
      <c r="J3906" s="7" t="str">
        <f ca="1">IFERROR(__xludf.DUMMYFUNCTION("GOOGLEFINANCE(""NSE:""&amp;D3906,""marketcap"")"),"#N/A")</f>
        <v>#N/A</v>
      </c>
      <c r="K3906" s="7">
        <v>992.8</v>
      </c>
      <c r="L3906" s="8" t="str">
        <f ca="1">IFERROR(__xludf.DUMMYFUNCTION("GOOGLEFINANCE(""NSE:""&amp;D3906,""price"")"),"#N/A")</f>
        <v>#N/A</v>
      </c>
      <c r="M3906" s="9" t="e">
        <f t="shared" ca="1" si="77"/>
        <v>#VALUE!</v>
      </c>
      <c r="N3906" s="10" t="e">
        <f t="shared" ca="1" si="78"/>
        <v>#VALUE!</v>
      </c>
      <c r="O3906" s="7" t="str">
        <f ca="1">IFERROR(__xludf.DUMMYFUNCTION("GOOGLEFINANCE(""NSE:""&amp;D3906,""pe"")"),"#N/A")</f>
        <v>#N/A</v>
      </c>
      <c r="P3906" s="7" t="str">
        <f ca="1">IFERROR(__xludf.DUMMYFUNCTION("GOOGLEFINANCE(""NSE:""&amp;D3906,""EPS"")"),"#N/A")</f>
        <v>#N/A</v>
      </c>
      <c r="Q3906" s="7">
        <v>13.5</v>
      </c>
      <c r="R3906" s="7" t="str">
        <f ca="1">IFERROR(__xludf.DUMMYFUNCTION("IMPORTXML(E3906,""/html/body/main/div[3]/div[3]/div[2]/ul/li[7]/span[2]/span"")"),"Loading...")</f>
        <v>Loading...</v>
      </c>
      <c r="S3906" s="7" t="str">
        <f ca="1">IFERROR(__xludf.DUMMYFUNCTION("IMPORTXML(E3906,""/html/body/main/div[3]/div[3]/div[2]/ul/li[8]/span[2]/span"")"),"Loading...")</f>
        <v>Loading...</v>
      </c>
      <c r="T3906" s="4">
        <v>34.6</v>
      </c>
      <c r="U3906" s="4">
        <v>22.7</v>
      </c>
      <c r="V3906" s="4">
        <v>2.6</v>
      </c>
      <c r="W3906" s="4">
        <v>5.7</v>
      </c>
      <c r="X3906" s="4">
        <v>519.92999999999995</v>
      </c>
      <c r="Y3906" s="7" t="e">
        <f t="shared" ca="1" si="79"/>
        <v>#VALUE!</v>
      </c>
    </row>
    <row r="3907" spans="1:25" ht="15" x14ac:dyDescent="0.25">
      <c r="A3907" s="4">
        <v>3905</v>
      </c>
      <c r="C3907" s="41" t="s">
        <v>6272</v>
      </c>
      <c r="D3907" s="42"/>
      <c r="E3907" s="5" t="str">
        <f t="shared" si="75"/>
        <v>https://www.screener.in/company//consolidated/</v>
      </c>
      <c r="F3907" s="4">
        <v>443059</v>
      </c>
      <c r="G3907" s="4">
        <v>3832241897</v>
      </c>
      <c r="H3907" s="6" t="e">
        <f t="shared" ca="1" si="76"/>
        <v>#VALUE!</v>
      </c>
      <c r="I3907" s="7" t="str">
        <f ca="1">IFERROR(__xludf.DUMMYFUNCTION("IMPORTXML(E3907,""/html/body/main/div[3]/div[3]/div[2]/ul/li[5]/span[2]/span"")"),"Loading...")</f>
        <v>Loading...</v>
      </c>
      <c r="J3907" s="7" t="str">
        <f ca="1">IFERROR(__xludf.DUMMYFUNCTION("GOOGLEFINANCE(""NSE:""&amp;D3907,""marketcap"")"),"#N/A")</f>
        <v>#N/A</v>
      </c>
      <c r="K3907" s="7">
        <v>992.8</v>
      </c>
      <c r="L3907" s="8" t="str">
        <f ca="1">IFERROR(__xludf.DUMMYFUNCTION("GOOGLEFINANCE(""NSE:""&amp;D3907,""price"")"),"#N/A")</f>
        <v>#N/A</v>
      </c>
      <c r="M3907" s="9" t="e">
        <f t="shared" ca="1" si="77"/>
        <v>#VALUE!</v>
      </c>
      <c r="N3907" s="10" t="e">
        <f t="shared" ca="1" si="78"/>
        <v>#VALUE!</v>
      </c>
      <c r="O3907" s="7" t="str">
        <f ca="1">IFERROR(__xludf.DUMMYFUNCTION("GOOGLEFINANCE(""NSE:""&amp;D3907,""pe"")"),"#N/A")</f>
        <v>#N/A</v>
      </c>
      <c r="P3907" s="7" t="str">
        <f ca="1">IFERROR(__xludf.DUMMYFUNCTION("GOOGLEFINANCE(""NSE:""&amp;D3907,""EPS"")"),"#N/A")</f>
        <v>#N/A</v>
      </c>
      <c r="Q3907" s="7">
        <v>13.5</v>
      </c>
      <c r="R3907" s="7" t="str">
        <f ca="1">IFERROR(__xludf.DUMMYFUNCTION("IMPORTXML(E3907,""/html/body/main/div[3]/div[3]/div[2]/ul/li[7]/span[2]/span"")"),"Loading...")</f>
        <v>Loading...</v>
      </c>
      <c r="S3907" s="7" t="str">
        <f ca="1">IFERROR(__xludf.DUMMYFUNCTION("IMPORTXML(E3907,""/html/body/main/div[3]/div[3]/div[2]/ul/li[8]/span[2]/span"")"),"Loading...")</f>
        <v>Loading...</v>
      </c>
      <c r="T3907" s="4">
        <v>34.6</v>
      </c>
      <c r="U3907" s="4">
        <v>22.7</v>
      </c>
      <c r="V3907" s="4">
        <v>2.6</v>
      </c>
      <c r="W3907" s="4">
        <v>5.7</v>
      </c>
      <c r="X3907" s="4">
        <v>519.92999999999995</v>
      </c>
      <c r="Y3907" s="7" t="e">
        <f t="shared" ca="1" si="79"/>
        <v>#VALUE!</v>
      </c>
    </row>
    <row r="3908" spans="1:25" ht="15" x14ac:dyDescent="0.25">
      <c r="A3908" s="4">
        <v>3906</v>
      </c>
      <c r="C3908" s="41" t="s">
        <v>6273</v>
      </c>
      <c r="D3908" s="42"/>
      <c r="E3908" s="5" t="str">
        <f t="shared" si="75"/>
        <v>https://www.screener.in/company//consolidated/</v>
      </c>
      <c r="F3908" s="4">
        <v>443059</v>
      </c>
      <c r="G3908" s="4">
        <v>3832241897</v>
      </c>
      <c r="H3908" s="6" t="e">
        <f t="shared" ca="1" si="76"/>
        <v>#VALUE!</v>
      </c>
      <c r="I3908" s="7" t="str">
        <f ca="1">IFERROR(__xludf.DUMMYFUNCTION("IMPORTXML(E3908,""/html/body/main/div[3]/div[3]/div[2]/ul/li[5]/span[2]/span"")"),"Loading...")</f>
        <v>Loading...</v>
      </c>
      <c r="J3908" s="7" t="str">
        <f ca="1">IFERROR(__xludf.DUMMYFUNCTION("GOOGLEFINANCE(""NSE:""&amp;D3908,""marketcap"")"),"#N/A")</f>
        <v>#N/A</v>
      </c>
      <c r="K3908" s="7">
        <v>992.8</v>
      </c>
      <c r="L3908" s="8" t="str">
        <f ca="1">IFERROR(__xludf.DUMMYFUNCTION("GOOGLEFINANCE(""NSE:""&amp;D3908,""price"")"),"#N/A")</f>
        <v>#N/A</v>
      </c>
      <c r="M3908" s="9" t="e">
        <f t="shared" ca="1" si="77"/>
        <v>#VALUE!</v>
      </c>
      <c r="N3908" s="10" t="e">
        <f t="shared" ca="1" si="78"/>
        <v>#VALUE!</v>
      </c>
      <c r="O3908" s="7" t="str">
        <f ca="1">IFERROR(__xludf.DUMMYFUNCTION("GOOGLEFINANCE(""NSE:""&amp;D3908,""pe"")"),"#N/A")</f>
        <v>#N/A</v>
      </c>
      <c r="P3908" s="7" t="str">
        <f ca="1">IFERROR(__xludf.DUMMYFUNCTION("GOOGLEFINANCE(""NSE:""&amp;D3908,""EPS"")"),"#N/A")</f>
        <v>#N/A</v>
      </c>
      <c r="Q3908" s="7">
        <v>13.5</v>
      </c>
      <c r="R3908" s="7" t="str">
        <f ca="1">IFERROR(__xludf.DUMMYFUNCTION("IMPORTXML(E3908,""/html/body/main/div[3]/div[3]/div[2]/ul/li[7]/span[2]/span"")"),"Loading...")</f>
        <v>Loading...</v>
      </c>
      <c r="S3908" s="7" t="str">
        <f ca="1">IFERROR(__xludf.DUMMYFUNCTION("IMPORTXML(E3908,""/html/body/main/div[3]/div[3]/div[2]/ul/li[8]/span[2]/span"")"),"Loading...")</f>
        <v>Loading...</v>
      </c>
      <c r="T3908" s="4">
        <v>34.6</v>
      </c>
      <c r="U3908" s="4">
        <v>22.7</v>
      </c>
      <c r="V3908" s="4">
        <v>2.6</v>
      </c>
      <c r="W3908" s="4">
        <v>5.7</v>
      </c>
      <c r="X3908" s="4">
        <v>519.92999999999995</v>
      </c>
      <c r="Y3908" s="7" t="e">
        <f t="shared" ca="1" si="79"/>
        <v>#VALUE!</v>
      </c>
    </row>
    <row r="3909" spans="1:25" ht="15" x14ac:dyDescent="0.25">
      <c r="A3909" s="4">
        <v>3907</v>
      </c>
      <c r="C3909" s="41" t="s">
        <v>6274</v>
      </c>
      <c r="D3909" s="42"/>
      <c r="E3909" s="5" t="str">
        <f t="shared" si="75"/>
        <v>https://www.screener.in/company//consolidated/</v>
      </c>
      <c r="F3909" s="4">
        <v>443059</v>
      </c>
      <c r="G3909" s="4">
        <v>3832241897</v>
      </c>
      <c r="H3909" s="6" t="e">
        <f t="shared" ca="1" si="76"/>
        <v>#VALUE!</v>
      </c>
      <c r="I3909" s="7" t="str">
        <f ca="1">IFERROR(__xludf.DUMMYFUNCTION("IMPORTXML(E3909,""/html/body/main/div[3]/div[3]/div[2]/ul/li[5]/span[2]/span"")"),"Loading...")</f>
        <v>Loading...</v>
      </c>
      <c r="J3909" s="7" t="str">
        <f ca="1">IFERROR(__xludf.DUMMYFUNCTION("GOOGLEFINANCE(""NSE:""&amp;D3909,""marketcap"")"),"#N/A")</f>
        <v>#N/A</v>
      </c>
      <c r="K3909" s="7">
        <v>992.8</v>
      </c>
      <c r="L3909" s="8" t="str">
        <f ca="1">IFERROR(__xludf.DUMMYFUNCTION("GOOGLEFINANCE(""NSE:""&amp;D3909,""price"")"),"#N/A")</f>
        <v>#N/A</v>
      </c>
      <c r="M3909" s="9" t="e">
        <f t="shared" ca="1" si="77"/>
        <v>#VALUE!</v>
      </c>
      <c r="N3909" s="10" t="e">
        <f t="shared" ca="1" si="78"/>
        <v>#VALUE!</v>
      </c>
      <c r="O3909" s="7" t="str">
        <f ca="1">IFERROR(__xludf.DUMMYFUNCTION("GOOGLEFINANCE(""NSE:""&amp;D3909,""pe"")"),"#N/A")</f>
        <v>#N/A</v>
      </c>
      <c r="P3909" s="7" t="str">
        <f ca="1">IFERROR(__xludf.DUMMYFUNCTION("GOOGLEFINANCE(""NSE:""&amp;D3909,""EPS"")"),"#N/A")</f>
        <v>#N/A</v>
      </c>
      <c r="Q3909" s="7">
        <v>13.5</v>
      </c>
      <c r="R3909" s="7" t="str">
        <f ca="1">IFERROR(__xludf.DUMMYFUNCTION("IMPORTXML(E3909,""/html/body/main/div[3]/div[3]/div[2]/ul/li[7]/span[2]/span"")"),"Loading...")</f>
        <v>Loading...</v>
      </c>
      <c r="S3909" s="7" t="str">
        <f ca="1">IFERROR(__xludf.DUMMYFUNCTION("IMPORTXML(E3909,""/html/body/main/div[3]/div[3]/div[2]/ul/li[8]/span[2]/span"")"),"Loading...")</f>
        <v>Loading...</v>
      </c>
      <c r="T3909" s="4">
        <v>34.6</v>
      </c>
      <c r="U3909" s="4">
        <v>22.7</v>
      </c>
      <c r="V3909" s="4">
        <v>2.6</v>
      </c>
      <c r="W3909" s="4">
        <v>5.7</v>
      </c>
      <c r="X3909" s="4">
        <v>519.92999999999995</v>
      </c>
      <c r="Y3909" s="7" t="e">
        <f t="shared" ca="1" si="79"/>
        <v>#VALUE!</v>
      </c>
    </row>
    <row r="3910" spans="1:25" ht="15" x14ac:dyDescent="0.25">
      <c r="A3910" s="4">
        <v>3908</v>
      </c>
      <c r="C3910" s="41" t="s">
        <v>6275</v>
      </c>
      <c r="D3910" s="42"/>
      <c r="E3910" s="5" t="str">
        <f t="shared" si="75"/>
        <v>https://www.screener.in/company//consolidated/</v>
      </c>
      <c r="F3910" s="4">
        <v>443059</v>
      </c>
      <c r="G3910" s="4">
        <v>3832241897</v>
      </c>
      <c r="H3910" s="6" t="e">
        <f t="shared" ca="1" si="76"/>
        <v>#VALUE!</v>
      </c>
      <c r="I3910" s="7" t="str">
        <f ca="1">IFERROR(__xludf.DUMMYFUNCTION("IMPORTXML(E3910,""/html/body/main/div[3]/div[3]/div[2]/ul/li[5]/span[2]/span"")"),"Loading...")</f>
        <v>Loading...</v>
      </c>
      <c r="J3910" s="7" t="str">
        <f ca="1">IFERROR(__xludf.DUMMYFUNCTION("GOOGLEFINANCE(""NSE:""&amp;D3910,""marketcap"")"),"#N/A")</f>
        <v>#N/A</v>
      </c>
      <c r="K3910" s="7">
        <v>992.8</v>
      </c>
      <c r="L3910" s="8" t="str">
        <f ca="1">IFERROR(__xludf.DUMMYFUNCTION("GOOGLEFINANCE(""NSE:""&amp;D3910,""price"")"),"#N/A")</f>
        <v>#N/A</v>
      </c>
      <c r="M3910" s="9" t="e">
        <f t="shared" ca="1" si="77"/>
        <v>#VALUE!</v>
      </c>
      <c r="N3910" s="10" t="e">
        <f t="shared" ca="1" si="78"/>
        <v>#VALUE!</v>
      </c>
      <c r="O3910" s="7" t="str">
        <f ca="1">IFERROR(__xludf.DUMMYFUNCTION("GOOGLEFINANCE(""NSE:""&amp;D3910,""pe"")"),"#N/A")</f>
        <v>#N/A</v>
      </c>
      <c r="P3910" s="7" t="str">
        <f ca="1">IFERROR(__xludf.DUMMYFUNCTION("GOOGLEFINANCE(""NSE:""&amp;D3910,""EPS"")"),"#N/A")</f>
        <v>#N/A</v>
      </c>
      <c r="Q3910" s="7">
        <v>13.5</v>
      </c>
      <c r="R3910" s="7" t="str">
        <f ca="1">IFERROR(__xludf.DUMMYFUNCTION("IMPORTXML(E3910,""/html/body/main/div[3]/div[3]/div[2]/ul/li[7]/span[2]/span"")"),"Loading...")</f>
        <v>Loading...</v>
      </c>
      <c r="S3910" s="7" t="str">
        <f ca="1">IFERROR(__xludf.DUMMYFUNCTION("IMPORTXML(E3910,""/html/body/main/div[3]/div[3]/div[2]/ul/li[8]/span[2]/span"")"),"Loading...")</f>
        <v>Loading...</v>
      </c>
      <c r="T3910" s="4">
        <v>34.6</v>
      </c>
      <c r="U3910" s="4">
        <v>22.7</v>
      </c>
      <c r="V3910" s="4">
        <v>2.6</v>
      </c>
      <c r="W3910" s="4">
        <v>5.7</v>
      </c>
      <c r="X3910" s="4">
        <v>519.92999999999995</v>
      </c>
      <c r="Y3910" s="7" t="e">
        <f t="shared" ca="1" si="79"/>
        <v>#VALUE!</v>
      </c>
    </row>
    <row r="3911" spans="1:25" ht="15" x14ac:dyDescent="0.25">
      <c r="A3911" s="4">
        <v>3909</v>
      </c>
      <c r="C3911" s="41" t="s">
        <v>6276</v>
      </c>
      <c r="D3911" s="42"/>
      <c r="E3911" s="5" t="str">
        <f t="shared" si="75"/>
        <v>https://www.screener.in/company//consolidated/</v>
      </c>
      <c r="F3911" s="4">
        <v>443059</v>
      </c>
      <c r="G3911" s="4">
        <v>3832241897</v>
      </c>
      <c r="H3911" s="6" t="e">
        <f t="shared" ca="1" si="76"/>
        <v>#VALUE!</v>
      </c>
      <c r="I3911" s="7" t="str">
        <f ca="1">IFERROR(__xludf.DUMMYFUNCTION("IMPORTXML(E3911,""/html/body/main/div[3]/div[3]/div[2]/ul/li[5]/span[2]/span"")"),"Loading...")</f>
        <v>Loading...</v>
      </c>
      <c r="J3911" s="7" t="str">
        <f ca="1">IFERROR(__xludf.DUMMYFUNCTION("GOOGLEFINANCE(""NSE:""&amp;D3911,""marketcap"")"),"#N/A")</f>
        <v>#N/A</v>
      </c>
      <c r="K3911" s="7">
        <v>992.8</v>
      </c>
      <c r="L3911" s="8" t="str">
        <f ca="1">IFERROR(__xludf.DUMMYFUNCTION("GOOGLEFINANCE(""NSE:""&amp;D3911,""price"")"),"#N/A")</f>
        <v>#N/A</v>
      </c>
      <c r="M3911" s="9" t="e">
        <f t="shared" ca="1" si="77"/>
        <v>#VALUE!</v>
      </c>
      <c r="N3911" s="10" t="e">
        <f t="shared" ca="1" si="78"/>
        <v>#VALUE!</v>
      </c>
      <c r="O3911" s="7" t="str">
        <f ca="1">IFERROR(__xludf.DUMMYFUNCTION("GOOGLEFINANCE(""NSE:""&amp;D3911,""pe"")"),"#N/A")</f>
        <v>#N/A</v>
      </c>
      <c r="P3911" s="7" t="str">
        <f ca="1">IFERROR(__xludf.DUMMYFUNCTION("GOOGLEFINANCE(""NSE:""&amp;D3911,""EPS"")"),"#N/A")</f>
        <v>#N/A</v>
      </c>
      <c r="Q3911" s="7">
        <v>13.5</v>
      </c>
      <c r="R3911" s="7" t="str">
        <f ca="1">IFERROR(__xludf.DUMMYFUNCTION("IMPORTXML(E3911,""/html/body/main/div[3]/div[3]/div[2]/ul/li[7]/span[2]/span"")"),"Loading...")</f>
        <v>Loading...</v>
      </c>
      <c r="S3911" s="7" t="str">
        <f ca="1">IFERROR(__xludf.DUMMYFUNCTION("IMPORTXML(E3911,""/html/body/main/div[3]/div[3]/div[2]/ul/li[8]/span[2]/span"")"),"Loading...")</f>
        <v>Loading...</v>
      </c>
      <c r="T3911" s="4">
        <v>34.6</v>
      </c>
      <c r="U3911" s="4">
        <v>22.7</v>
      </c>
      <c r="V3911" s="4">
        <v>2.6</v>
      </c>
      <c r="W3911" s="4">
        <v>5.7</v>
      </c>
      <c r="X3911" s="4">
        <v>519.92999999999995</v>
      </c>
      <c r="Y3911" s="7" t="e">
        <f t="shared" ca="1" si="79"/>
        <v>#VALUE!</v>
      </c>
    </row>
    <row r="3912" spans="1:25" ht="15" x14ac:dyDescent="0.25">
      <c r="A3912" s="4">
        <v>3910</v>
      </c>
      <c r="C3912" s="41" t="s">
        <v>6277</v>
      </c>
      <c r="D3912" s="42"/>
      <c r="E3912" s="5" t="str">
        <f t="shared" si="75"/>
        <v>https://www.screener.in/company//consolidated/</v>
      </c>
      <c r="F3912" s="4">
        <v>443059</v>
      </c>
      <c r="G3912" s="4">
        <v>3832241897</v>
      </c>
      <c r="H3912" s="6" t="e">
        <f t="shared" ca="1" si="76"/>
        <v>#VALUE!</v>
      </c>
      <c r="I3912" s="7" t="str">
        <f ca="1">IFERROR(__xludf.DUMMYFUNCTION("IMPORTXML(E3912,""/html/body/main/div[3]/div[3]/div[2]/ul/li[5]/span[2]/span"")"),"Loading...")</f>
        <v>Loading...</v>
      </c>
      <c r="J3912" s="7" t="str">
        <f ca="1">IFERROR(__xludf.DUMMYFUNCTION("GOOGLEFINANCE(""NSE:""&amp;D3912,""marketcap"")"),"#N/A")</f>
        <v>#N/A</v>
      </c>
      <c r="K3912" s="7">
        <v>992.8</v>
      </c>
      <c r="L3912" s="8" t="str">
        <f ca="1">IFERROR(__xludf.DUMMYFUNCTION("GOOGLEFINANCE(""NSE:""&amp;D3912,""price"")"),"#N/A")</f>
        <v>#N/A</v>
      </c>
      <c r="M3912" s="9" t="e">
        <f t="shared" ca="1" si="77"/>
        <v>#VALUE!</v>
      </c>
      <c r="N3912" s="10" t="e">
        <f t="shared" ca="1" si="78"/>
        <v>#VALUE!</v>
      </c>
      <c r="O3912" s="7" t="str">
        <f ca="1">IFERROR(__xludf.DUMMYFUNCTION("GOOGLEFINANCE(""NSE:""&amp;D3912,""pe"")"),"#N/A")</f>
        <v>#N/A</v>
      </c>
      <c r="P3912" s="7" t="str">
        <f ca="1">IFERROR(__xludf.DUMMYFUNCTION("GOOGLEFINANCE(""NSE:""&amp;D3912,""EPS"")"),"#N/A")</f>
        <v>#N/A</v>
      </c>
      <c r="Q3912" s="7">
        <v>13.5</v>
      </c>
      <c r="R3912" s="7" t="str">
        <f ca="1">IFERROR(__xludf.DUMMYFUNCTION("IMPORTXML(E3912,""/html/body/main/div[3]/div[3]/div[2]/ul/li[7]/span[2]/span"")"),"Loading...")</f>
        <v>Loading...</v>
      </c>
      <c r="S3912" s="7" t="str">
        <f ca="1">IFERROR(__xludf.DUMMYFUNCTION("IMPORTXML(E3912,""/html/body/main/div[3]/div[3]/div[2]/ul/li[8]/span[2]/span"")"),"Loading...")</f>
        <v>Loading...</v>
      </c>
      <c r="T3912" s="4">
        <v>34.6</v>
      </c>
      <c r="U3912" s="4">
        <v>22.7</v>
      </c>
      <c r="V3912" s="4">
        <v>2.6</v>
      </c>
      <c r="W3912" s="4">
        <v>5.7</v>
      </c>
      <c r="X3912" s="4">
        <v>519.92999999999995</v>
      </c>
      <c r="Y3912" s="7" t="e">
        <f t="shared" ca="1" si="79"/>
        <v>#VALUE!</v>
      </c>
    </row>
    <row r="3913" spans="1:25" ht="15" x14ac:dyDescent="0.25">
      <c r="A3913" s="4">
        <v>3911</v>
      </c>
      <c r="C3913" s="41" t="s">
        <v>6278</v>
      </c>
      <c r="D3913" s="42"/>
      <c r="E3913" s="5" t="str">
        <f t="shared" si="75"/>
        <v>https://www.screener.in/company//consolidated/</v>
      </c>
      <c r="F3913" s="4">
        <v>443059</v>
      </c>
      <c r="G3913" s="4">
        <v>3832241897</v>
      </c>
      <c r="H3913" s="6" t="e">
        <f t="shared" ca="1" si="76"/>
        <v>#VALUE!</v>
      </c>
      <c r="I3913" s="7" t="str">
        <f ca="1">IFERROR(__xludf.DUMMYFUNCTION("IMPORTXML(E3913,""/html/body/main/div[3]/div[3]/div[2]/ul/li[5]/span[2]/span"")"),"Loading...")</f>
        <v>Loading...</v>
      </c>
      <c r="J3913" s="7" t="str">
        <f ca="1">IFERROR(__xludf.DUMMYFUNCTION("GOOGLEFINANCE(""NSE:""&amp;D3913,""marketcap"")"),"#N/A")</f>
        <v>#N/A</v>
      </c>
      <c r="K3913" s="7">
        <v>992.8</v>
      </c>
      <c r="L3913" s="8" t="str">
        <f ca="1">IFERROR(__xludf.DUMMYFUNCTION("GOOGLEFINANCE(""NSE:""&amp;D3913,""price"")"),"#N/A")</f>
        <v>#N/A</v>
      </c>
      <c r="M3913" s="9" t="e">
        <f t="shared" ca="1" si="77"/>
        <v>#VALUE!</v>
      </c>
      <c r="N3913" s="10" t="e">
        <f t="shared" ca="1" si="78"/>
        <v>#VALUE!</v>
      </c>
      <c r="O3913" s="7" t="str">
        <f ca="1">IFERROR(__xludf.DUMMYFUNCTION("GOOGLEFINANCE(""NSE:""&amp;D3913,""pe"")"),"#N/A")</f>
        <v>#N/A</v>
      </c>
      <c r="P3913" s="7" t="str">
        <f ca="1">IFERROR(__xludf.DUMMYFUNCTION("GOOGLEFINANCE(""NSE:""&amp;D3913,""EPS"")"),"#N/A")</f>
        <v>#N/A</v>
      </c>
      <c r="Q3913" s="7">
        <v>13.5</v>
      </c>
      <c r="R3913" s="7" t="str">
        <f ca="1">IFERROR(__xludf.DUMMYFUNCTION("IMPORTXML(E3913,""/html/body/main/div[3]/div[3]/div[2]/ul/li[7]/span[2]/span"")"),"Loading...")</f>
        <v>Loading...</v>
      </c>
      <c r="S3913" s="7" t="str">
        <f ca="1">IFERROR(__xludf.DUMMYFUNCTION("IMPORTXML(E3913,""/html/body/main/div[3]/div[3]/div[2]/ul/li[8]/span[2]/span"")"),"Loading...")</f>
        <v>Loading...</v>
      </c>
      <c r="T3913" s="4">
        <v>34.6</v>
      </c>
      <c r="U3913" s="4">
        <v>22.7</v>
      </c>
      <c r="V3913" s="4">
        <v>2.6</v>
      </c>
      <c r="W3913" s="4">
        <v>5.7</v>
      </c>
      <c r="X3913" s="4">
        <v>519.92999999999995</v>
      </c>
      <c r="Y3913" s="7" t="e">
        <f t="shared" ca="1" si="79"/>
        <v>#VALUE!</v>
      </c>
    </row>
    <row r="3914" spans="1:25" ht="15" x14ac:dyDescent="0.25">
      <c r="A3914" s="4">
        <v>3912</v>
      </c>
      <c r="C3914" s="41" t="s">
        <v>6279</v>
      </c>
      <c r="D3914" s="42"/>
      <c r="E3914" s="5" t="str">
        <f t="shared" si="75"/>
        <v>https://www.screener.in/company//consolidated/</v>
      </c>
      <c r="F3914" s="4">
        <v>443059</v>
      </c>
      <c r="G3914" s="4">
        <v>3832241897</v>
      </c>
      <c r="H3914" s="6" t="e">
        <f t="shared" ca="1" si="76"/>
        <v>#VALUE!</v>
      </c>
      <c r="I3914" s="7" t="str">
        <f ca="1">IFERROR(__xludf.DUMMYFUNCTION("IMPORTXML(E3914,""/html/body/main/div[3]/div[3]/div[2]/ul/li[5]/span[2]/span"")"),"Loading...")</f>
        <v>Loading...</v>
      </c>
      <c r="J3914" s="7" t="str">
        <f ca="1">IFERROR(__xludf.DUMMYFUNCTION("GOOGLEFINANCE(""NSE:""&amp;D3914,""marketcap"")"),"#N/A")</f>
        <v>#N/A</v>
      </c>
      <c r="K3914" s="7">
        <v>992.8</v>
      </c>
      <c r="L3914" s="8" t="str">
        <f ca="1">IFERROR(__xludf.DUMMYFUNCTION("GOOGLEFINANCE(""NSE:""&amp;D3914,""price"")"),"#N/A")</f>
        <v>#N/A</v>
      </c>
      <c r="M3914" s="9" t="e">
        <f t="shared" ca="1" si="77"/>
        <v>#VALUE!</v>
      </c>
      <c r="N3914" s="10" t="e">
        <f t="shared" ca="1" si="78"/>
        <v>#VALUE!</v>
      </c>
      <c r="O3914" s="7" t="str">
        <f ca="1">IFERROR(__xludf.DUMMYFUNCTION("GOOGLEFINANCE(""NSE:""&amp;D3914,""pe"")"),"#N/A")</f>
        <v>#N/A</v>
      </c>
      <c r="P3914" s="7" t="str">
        <f ca="1">IFERROR(__xludf.DUMMYFUNCTION("GOOGLEFINANCE(""NSE:""&amp;D3914,""EPS"")"),"#N/A")</f>
        <v>#N/A</v>
      </c>
      <c r="Q3914" s="7">
        <v>13.5</v>
      </c>
      <c r="R3914" s="7" t="str">
        <f ca="1">IFERROR(__xludf.DUMMYFUNCTION("IMPORTXML(E3914,""/html/body/main/div[3]/div[3]/div[2]/ul/li[7]/span[2]/span"")"),"Loading...")</f>
        <v>Loading...</v>
      </c>
      <c r="S3914" s="7" t="str">
        <f ca="1">IFERROR(__xludf.DUMMYFUNCTION("IMPORTXML(E3914,""/html/body/main/div[3]/div[3]/div[2]/ul/li[8]/span[2]/span"")"),"Loading...")</f>
        <v>Loading...</v>
      </c>
      <c r="T3914" s="4">
        <v>34.6</v>
      </c>
      <c r="U3914" s="4">
        <v>22.7</v>
      </c>
      <c r="V3914" s="4">
        <v>2.6</v>
      </c>
      <c r="W3914" s="4">
        <v>5.7</v>
      </c>
      <c r="X3914" s="4">
        <v>519.92999999999995</v>
      </c>
      <c r="Y3914" s="7" t="e">
        <f t="shared" ca="1" si="79"/>
        <v>#VALUE!</v>
      </c>
    </row>
    <row r="3915" spans="1:25" ht="15" x14ac:dyDescent="0.25">
      <c r="A3915" s="4">
        <v>3913</v>
      </c>
      <c r="C3915" s="41" t="s">
        <v>6280</v>
      </c>
      <c r="D3915" s="42"/>
      <c r="E3915" s="5" t="str">
        <f t="shared" si="75"/>
        <v>https://www.screener.in/company//consolidated/</v>
      </c>
      <c r="F3915" s="4">
        <v>443059</v>
      </c>
      <c r="G3915" s="4">
        <v>3832241897</v>
      </c>
      <c r="H3915" s="6" t="e">
        <f t="shared" ca="1" si="76"/>
        <v>#VALUE!</v>
      </c>
      <c r="I3915" s="7" t="str">
        <f ca="1">IFERROR(__xludf.DUMMYFUNCTION("IMPORTXML(E3915,""/html/body/main/div[3]/div[3]/div[2]/ul/li[5]/span[2]/span"")"),"Loading...")</f>
        <v>Loading...</v>
      </c>
      <c r="J3915" s="7" t="str">
        <f ca="1">IFERROR(__xludf.DUMMYFUNCTION("GOOGLEFINANCE(""NSE:""&amp;D3915,""marketcap"")"),"#N/A")</f>
        <v>#N/A</v>
      </c>
      <c r="K3915" s="7">
        <v>992.8</v>
      </c>
      <c r="L3915" s="8" t="str">
        <f ca="1">IFERROR(__xludf.DUMMYFUNCTION("GOOGLEFINANCE(""NSE:""&amp;D3915,""price"")"),"#N/A")</f>
        <v>#N/A</v>
      </c>
      <c r="M3915" s="9" t="e">
        <f t="shared" ca="1" si="77"/>
        <v>#VALUE!</v>
      </c>
      <c r="N3915" s="10" t="e">
        <f t="shared" ca="1" si="78"/>
        <v>#VALUE!</v>
      </c>
      <c r="O3915" s="7" t="str">
        <f ca="1">IFERROR(__xludf.DUMMYFUNCTION("GOOGLEFINANCE(""NSE:""&amp;D3915,""pe"")"),"#N/A")</f>
        <v>#N/A</v>
      </c>
      <c r="P3915" s="7" t="str">
        <f ca="1">IFERROR(__xludf.DUMMYFUNCTION("GOOGLEFINANCE(""NSE:""&amp;D3915,""EPS"")"),"#N/A")</f>
        <v>#N/A</v>
      </c>
      <c r="Q3915" s="7">
        <v>13.5</v>
      </c>
      <c r="R3915" s="7" t="str">
        <f ca="1">IFERROR(__xludf.DUMMYFUNCTION("IMPORTXML(E3915,""/html/body/main/div[3]/div[3]/div[2]/ul/li[7]/span[2]/span"")"),"Loading...")</f>
        <v>Loading...</v>
      </c>
      <c r="S3915" s="7" t="str">
        <f ca="1">IFERROR(__xludf.DUMMYFUNCTION("IMPORTXML(E3915,""/html/body/main/div[3]/div[3]/div[2]/ul/li[8]/span[2]/span"")"),"Loading...")</f>
        <v>Loading...</v>
      </c>
      <c r="T3915" s="4">
        <v>34.6</v>
      </c>
      <c r="U3915" s="4">
        <v>22.7</v>
      </c>
      <c r="V3915" s="4">
        <v>2.6</v>
      </c>
      <c r="W3915" s="4">
        <v>5.7</v>
      </c>
      <c r="X3915" s="4">
        <v>519.92999999999995</v>
      </c>
      <c r="Y3915" s="7" t="e">
        <f t="shared" ca="1" si="79"/>
        <v>#VALUE!</v>
      </c>
    </row>
    <row r="3916" spans="1:25" ht="15" x14ac:dyDescent="0.25">
      <c r="A3916" s="4">
        <v>3914</v>
      </c>
      <c r="C3916" s="41" t="s">
        <v>6281</v>
      </c>
      <c r="D3916" s="42"/>
      <c r="E3916" s="5" t="str">
        <f t="shared" si="75"/>
        <v>https://www.screener.in/company//consolidated/</v>
      </c>
      <c r="F3916" s="4">
        <v>443059</v>
      </c>
      <c r="G3916" s="4">
        <v>3832241897</v>
      </c>
      <c r="H3916" s="6" t="e">
        <f t="shared" ca="1" si="76"/>
        <v>#VALUE!</v>
      </c>
      <c r="I3916" s="7" t="str">
        <f ca="1">IFERROR(__xludf.DUMMYFUNCTION("IMPORTXML(E3916,""/html/body/main/div[3]/div[3]/div[2]/ul/li[5]/span[2]/span"")"),"Loading...")</f>
        <v>Loading...</v>
      </c>
      <c r="J3916" s="7" t="str">
        <f ca="1">IFERROR(__xludf.DUMMYFUNCTION("GOOGLEFINANCE(""NSE:""&amp;D3916,""marketcap"")"),"#N/A")</f>
        <v>#N/A</v>
      </c>
      <c r="K3916" s="7">
        <v>992.8</v>
      </c>
      <c r="L3916" s="8" t="str">
        <f ca="1">IFERROR(__xludf.DUMMYFUNCTION("GOOGLEFINANCE(""NSE:""&amp;D3916,""price"")"),"#N/A")</f>
        <v>#N/A</v>
      </c>
      <c r="M3916" s="9" t="e">
        <f t="shared" ca="1" si="77"/>
        <v>#VALUE!</v>
      </c>
      <c r="N3916" s="10" t="e">
        <f t="shared" ca="1" si="78"/>
        <v>#VALUE!</v>
      </c>
      <c r="O3916" s="7" t="str">
        <f ca="1">IFERROR(__xludf.DUMMYFUNCTION("GOOGLEFINANCE(""NSE:""&amp;D3916,""pe"")"),"#N/A")</f>
        <v>#N/A</v>
      </c>
      <c r="P3916" s="7" t="str">
        <f ca="1">IFERROR(__xludf.DUMMYFUNCTION("GOOGLEFINANCE(""NSE:""&amp;D3916,""EPS"")"),"#N/A")</f>
        <v>#N/A</v>
      </c>
      <c r="Q3916" s="7">
        <v>13.5</v>
      </c>
      <c r="R3916" s="7" t="str">
        <f ca="1">IFERROR(__xludf.DUMMYFUNCTION("IMPORTXML(E3916,""/html/body/main/div[3]/div[3]/div[2]/ul/li[7]/span[2]/span"")"),"Loading...")</f>
        <v>Loading...</v>
      </c>
      <c r="S3916" s="7" t="str">
        <f ca="1">IFERROR(__xludf.DUMMYFUNCTION("IMPORTXML(E3916,""/html/body/main/div[3]/div[3]/div[2]/ul/li[8]/span[2]/span"")"),"Loading...")</f>
        <v>Loading...</v>
      </c>
      <c r="T3916" s="4">
        <v>34.6</v>
      </c>
      <c r="U3916" s="4">
        <v>22.7</v>
      </c>
      <c r="V3916" s="4">
        <v>2.6</v>
      </c>
      <c r="W3916" s="4">
        <v>5.7</v>
      </c>
      <c r="X3916" s="4">
        <v>519.92999999999995</v>
      </c>
      <c r="Y3916" s="7" t="e">
        <f t="shared" ca="1" si="79"/>
        <v>#VALUE!</v>
      </c>
    </row>
    <row r="3917" spans="1:25" ht="15" x14ac:dyDescent="0.25">
      <c r="A3917" s="4">
        <v>3915</v>
      </c>
      <c r="C3917" s="41" t="s">
        <v>6282</v>
      </c>
      <c r="D3917" s="42"/>
      <c r="E3917" s="5" t="str">
        <f t="shared" si="75"/>
        <v>https://www.screener.in/company//consolidated/</v>
      </c>
      <c r="F3917" s="4">
        <v>443059</v>
      </c>
      <c r="G3917" s="4">
        <v>3832241897</v>
      </c>
      <c r="H3917" s="6" t="e">
        <f t="shared" ca="1" si="76"/>
        <v>#VALUE!</v>
      </c>
      <c r="I3917" s="7" t="str">
        <f ca="1">IFERROR(__xludf.DUMMYFUNCTION("IMPORTXML(E3917,""/html/body/main/div[3]/div[3]/div[2]/ul/li[5]/span[2]/span"")"),"Loading...")</f>
        <v>Loading...</v>
      </c>
      <c r="J3917" s="7" t="str">
        <f ca="1">IFERROR(__xludf.DUMMYFUNCTION("GOOGLEFINANCE(""NSE:""&amp;D3917,""marketcap"")"),"#N/A")</f>
        <v>#N/A</v>
      </c>
      <c r="K3917" s="7">
        <v>992.8</v>
      </c>
      <c r="L3917" s="8" t="str">
        <f ca="1">IFERROR(__xludf.DUMMYFUNCTION("GOOGLEFINANCE(""NSE:""&amp;D3917,""price"")"),"#N/A")</f>
        <v>#N/A</v>
      </c>
      <c r="M3917" s="9" t="e">
        <f t="shared" ca="1" si="77"/>
        <v>#VALUE!</v>
      </c>
      <c r="N3917" s="10" t="e">
        <f t="shared" ca="1" si="78"/>
        <v>#VALUE!</v>
      </c>
      <c r="O3917" s="7" t="str">
        <f ca="1">IFERROR(__xludf.DUMMYFUNCTION("GOOGLEFINANCE(""NSE:""&amp;D3917,""pe"")"),"#N/A")</f>
        <v>#N/A</v>
      </c>
      <c r="P3917" s="7" t="str">
        <f ca="1">IFERROR(__xludf.DUMMYFUNCTION("GOOGLEFINANCE(""NSE:""&amp;D3917,""EPS"")"),"#N/A")</f>
        <v>#N/A</v>
      </c>
      <c r="Q3917" s="7">
        <v>13.5</v>
      </c>
      <c r="R3917" s="7" t="str">
        <f ca="1">IFERROR(__xludf.DUMMYFUNCTION("IMPORTXML(E3917,""/html/body/main/div[3]/div[3]/div[2]/ul/li[7]/span[2]/span"")"),"Loading...")</f>
        <v>Loading...</v>
      </c>
      <c r="S3917" s="7" t="str">
        <f ca="1">IFERROR(__xludf.DUMMYFUNCTION("IMPORTXML(E3917,""/html/body/main/div[3]/div[3]/div[2]/ul/li[8]/span[2]/span"")"),"Loading...")</f>
        <v>Loading...</v>
      </c>
      <c r="T3917" s="4">
        <v>34.6</v>
      </c>
      <c r="U3917" s="4">
        <v>22.7</v>
      </c>
      <c r="V3917" s="4">
        <v>2.6</v>
      </c>
      <c r="W3917" s="4">
        <v>5.7</v>
      </c>
      <c r="X3917" s="4">
        <v>519.92999999999995</v>
      </c>
      <c r="Y3917" s="7" t="e">
        <f t="shared" ca="1" si="79"/>
        <v>#VALUE!</v>
      </c>
    </row>
    <row r="3918" spans="1:25" ht="15" x14ac:dyDescent="0.25">
      <c r="A3918" s="4">
        <v>3916</v>
      </c>
      <c r="C3918" s="41" t="s">
        <v>6283</v>
      </c>
      <c r="D3918" s="42"/>
      <c r="E3918" s="5" t="str">
        <f t="shared" si="75"/>
        <v>https://www.screener.in/company//consolidated/</v>
      </c>
      <c r="F3918" s="4">
        <v>443059</v>
      </c>
      <c r="G3918" s="4">
        <v>3832241897</v>
      </c>
      <c r="H3918" s="6" t="e">
        <f t="shared" ca="1" si="76"/>
        <v>#VALUE!</v>
      </c>
      <c r="I3918" s="7" t="str">
        <f ca="1">IFERROR(__xludf.DUMMYFUNCTION("IMPORTXML(E3918,""/html/body/main/div[3]/div[3]/div[2]/ul/li[5]/span[2]/span"")"),"Loading...")</f>
        <v>Loading...</v>
      </c>
      <c r="J3918" s="7" t="str">
        <f ca="1">IFERROR(__xludf.DUMMYFUNCTION("GOOGLEFINANCE(""NSE:""&amp;D3918,""marketcap"")"),"#N/A")</f>
        <v>#N/A</v>
      </c>
      <c r="K3918" s="7">
        <v>992.8</v>
      </c>
      <c r="L3918" s="8" t="str">
        <f ca="1">IFERROR(__xludf.DUMMYFUNCTION("GOOGLEFINANCE(""NSE:""&amp;D3918,""price"")"),"#N/A")</f>
        <v>#N/A</v>
      </c>
      <c r="M3918" s="9" t="e">
        <f t="shared" ca="1" si="77"/>
        <v>#VALUE!</v>
      </c>
      <c r="N3918" s="10" t="e">
        <f t="shared" ca="1" si="78"/>
        <v>#VALUE!</v>
      </c>
      <c r="O3918" s="7" t="str">
        <f ca="1">IFERROR(__xludf.DUMMYFUNCTION("GOOGLEFINANCE(""NSE:""&amp;D3918,""pe"")"),"#N/A")</f>
        <v>#N/A</v>
      </c>
      <c r="P3918" s="7" t="str">
        <f ca="1">IFERROR(__xludf.DUMMYFUNCTION("GOOGLEFINANCE(""NSE:""&amp;D3918,""EPS"")"),"#N/A")</f>
        <v>#N/A</v>
      </c>
      <c r="Q3918" s="7">
        <v>13.5</v>
      </c>
      <c r="R3918" s="7" t="str">
        <f ca="1">IFERROR(__xludf.DUMMYFUNCTION("IMPORTXML(E3918,""/html/body/main/div[3]/div[3]/div[2]/ul/li[7]/span[2]/span"")"),"Loading...")</f>
        <v>Loading...</v>
      </c>
      <c r="S3918" s="7" t="str">
        <f ca="1">IFERROR(__xludf.DUMMYFUNCTION("IMPORTXML(E3918,""/html/body/main/div[3]/div[3]/div[2]/ul/li[8]/span[2]/span"")"),"Loading...")</f>
        <v>Loading...</v>
      </c>
      <c r="T3918" s="4">
        <v>34.6</v>
      </c>
      <c r="U3918" s="4">
        <v>22.7</v>
      </c>
      <c r="V3918" s="4">
        <v>2.6</v>
      </c>
      <c r="W3918" s="4">
        <v>5.7</v>
      </c>
      <c r="X3918" s="4">
        <v>519.92999999999995</v>
      </c>
      <c r="Y3918" s="7" t="e">
        <f t="shared" ca="1" si="79"/>
        <v>#VALUE!</v>
      </c>
    </row>
    <row r="3919" spans="1:25" ht="15" x14ac:dyDescent="0.25">
      <c r="A3919" s="4">
        <v>3917</v>
      </c>
      <c r="C3919" s="41" t="s">
        <v>6284</v>
      </c>
      <c r="D3919" s="42"/>
      <c r="E3919" s="5" t="str">
        <f t="shared" si="75"/>
        <v>https://www.screener.in/company//consolidated/</v>
      </c>
      <c r="F3919" s="4">
        <v>443059</v>
      </c>
      <c r="G3919" s="4">
        <v>3832241897</v>
      </c>
      <c r="H3919" s="6" t="e">
        <f t="shared" ca="1" si="76"/>
        <v>#VALUE!</v>
      </c>
      <c r="I3919" s="7" t="str">
        <f ca="1">IFERROR(__xludf.DUMMYFUNCTION("IMPORTXML(E3919,""/html/body/main/div[3]/div[3]/div[2]/ul/li[5]/span[2]/span"")"),"Loading...")</f>
        <v>Loading...</v>
      </c>
      <c r="J3919" s="7" t="str">
        <f ca="1">IFERROR(__xludf.DUMMYFUNCTION("GOOGLEFINANCE(""NSE:""&amp;D3919,""marketcap"")"),"#N/A")</f>
        <v>#N/A</v>
      </c>
      <c r="K3919" s="7">
        <v>992.8</v>
      </c>
      <c r="L3919" s="8" t="str">
        <f ca="1">IFERROR(__xludf.DUMMYFUNCTION("GOOGLEFINANCE(""NSE:""&amp;D3919,""price"")"),"#N/A")</f>
        <v>#N/A</v>
      </c>
      <c r="M3919" s="9" t="e">
        <f t="shared" ca="1" si="77"/>
        <v>#VALUE!</v>
      </c>
      <c r="N3919" s="10" t="e">
        <f t="shared" ca="1" si="78"/>
        <v>#VALUE!</v>
      </c>
      <c r="O3919" s="7" t="str">
        <f ca="1">IFERROR(__xludf.DUMMYFUNCTION("GOOGLEFINANCE(""NSE:""&amp;D3919,""pe"")"),"#N/A")</f>
        <v>#N/A</v>
      </c>
      <c r="P3919" s="7" t="str">
        <f ca="1">IFERROR(__xludf.DUMMYFUNCTION("GOOGLEFINANCE(""NSE:""&amp;D3919,""EPS"")"),"#N/A")</f>
        <v>#N/A</v>
      </c>
      <c r="Q3919" s="7">
        <v>13.5</v>
      </c>
      <c r="R3919" s="7" t="str">
        <f ca="1">IFERROR(__xludf.DUMMYFUNCTION("IMPORTXML(E3919,""/html/body/main/div[3]/div[3]/div[2]/ul/li[7]/span[2]/span"")"),"Loading...")</f>
        <v>Loading...</v>
      </c>
      <c r="S3919" s="7" t="str">
        <f ca="1">IFERROR(__xludf.DUMMYFUNCTION("IMPORTXML(E3919,""/html/body/main/div[3]/div[3]/div[2]/ul/li[8]/span[2]/span"")"),"Loading...")</f>
        <v>Loading...</v>
      </c>
      <c r="T3919" s="4">
        <v>34.6</v>
      </c>
      <c r="U3919" s="4">
        <v>22.7</v>
      </c>
      <c r="V3919" s="4">
        <v>2.6</v>
      </c>
      <c r="W3919" s="4">
        <v>5.7</v>
      </c>
      <c r="X3919" s="4">
        <v>519.92999999999995</v>
      </c>
      <c r="Y3919" s="7" t="e">
        <f t="shared" ca="1" si="79"/>
        <v>#VALUE!</v>
      </c>
    </row>
    <row r="3920" spans="1:25" ht="15" x14ac:dyDescent="0.25">
      <c r="A3920" s="4">
        <v>3918</v>
      </c>
      <c r="C3920" s="41" t="s">
        <v>6285</v>
      </c>
      <c r="D3920" s="42"/>
      <c r="E3920" s="5" t="str">
        <f t="shared" si="75"/>
        <v>https://www.screener.in/company//consolidated/</v>
      </c>
      <c r="F3920" s="4">
        <v>443059</v>
      </c>
      <c r="G3920" s="4">
        <v>3832241897</v>
      </c>
      <c r="H3920" s="6" t="e">
        <f t="shared" ca="1" si="76"/>
        <v>#VALUE!</v>
      </c>
      <c r="I3920" s="7" t="str">
        <f ca="1">IFERROR(__xludf.DUMMYFUNCTION("IMPORTXML(E3920,""/html/body/main/div[3]/div[3]/div[2]/ul/li[5]/span[2]/span"")"),"Loading...")</f>
        <v>Loading...</v>
      </c>
      <c r="J3920" s="7" t="str">
        <f ca="1">IFERROR(__xludf.DUMMYFUNCTION("GOOGLEFINANCE(""NSE:""&amp;D3920,""marketcap"")"),"#N/A")</f>
        <v>#N/A</v>
      </c>
      <c r="K3920" s="7">
        <v>992.8</v>
      </c>
      <c r="L3920" s="8" t="str">
        <f ca="1">IFERROR(__xludf.DUMMYFUNCTION("GOOGLEFINANCE(""NSE:""&amp;D3920,""price"")"),"#N/A")</f>
        <v>#N/A</v>
      </c>
      <c r="M3920" s="9" t="e">
        <f t="shared" ca="1" si="77"/>
        <v>#VALUE!</v>
      </c>
      <c r="N3920" s="10" t="e">
        <f t="shared" ca="1" si="78"/>
        <v>#VALUE!</v>
      </c>
      <c r="O3920" s="7" t="str">
        <f ca="1">IFERROR(__xludf.DUMMYFUNCTION("GOOGLEFINANCE(""NSE:""&amp;D3920,""pe"")"),"#N/A")</f>
        <v>#N/A</v>
      </c>
      <c r="P3920" s="7" t="str">
        <f ca="1">IFERROR(__xludf.DUMMYFUNCTION("GOOGLEFINANCE(""NSE:""&amp;D3920,""EPS"")"),"#N/A")</f>
        <v>#N/A</v>
      </c>
      <c r="Q3920" s="7">
        <v>13.5</v>
      </c>
      <c r="R3920" s="7" t="str">
        <f ca="1">IFERROR(__xludf.DUMMYFUNCTION("IMPORTXML(E3920,""/html/body/main/div[3]/div[3]/div[2]/ul/li[7]/span[2]/span"")"),"Loading...")</f>
        <v>Loading...</v>
      </c>
      <c r="S3920" s="7" t="str">
        <f ca="1">IFERROR(__xludf.DUMMYFUNCTION("IMPORTXML(E3920,""/html/body/main/div[3]/div[3]/div[2]/ul/li[8]/span[2]/span"")"),"Loading...")</f>
        <v>Loading...</v>
      </c>
      <c r="T3920" s="4">
        <v>34.6</v>
      </c>
      <c r="U3920" s="4">
        <v>22.7</v>
      </c>
      <c r="V3920" s="4">
        <v>2.6</v>
      </c>
      <c r="W3920" s="4">
        <v>5.7</v>
      </c>
      <c r="X3920" s="4">
        <v>519.92999999999995</v>
      </c>
      <c r="Y3920" s="7" t="e">
        <f t="shared" ca="1" si="79"/>
        <v>#VALUE!</v>
      </c>
    </row>
    <row r="3921" spans="1:25" ht="15" x14ac:dyDescent="0.25">
      <c r="A3921" s="4">
        <v>3919</v>
      </c>
      <c r="C3921" s="41" t="s">
        <v>6286</v>
      </c>
      <c r="D3921" s="42"/>
      <c r="E3921" s="5" t="str">
        <f t="shared" si="75"/>
        <v>https://www.screener.in/company//consolidated/</v>
      </c>
      <c r="F3921" s="4">
        <v>443059</v>
      </c>
      <c r="G3921" s="4">
        <v>3832241897</v>
      </c>
      <c r="H3921" s="6" t="e">
        <f t="shared" ca="1" si="76"/>
        <v>#VALUE!</v>
      </c>
      <c r="I3921" s="7" t="str">
        <f ca="1">IFERROR(__xludf.DUMMYFUNCTION("IMPORTXML(E3921,""/html/body/main/div[3]/div[3]/div[2]/ul/li[5]/span[2]/span"")"),"Loading...")</f>
        <v>Loading...</v>
      </c>
      <c r="J3921" s="7" t="str">
        <f ca="1">IFERROR(__xludf.DUMMYFUNCTION("GOOGLEFINANCE(""NSE:""&amp;D3921,""marketcap"")"),"#N/A")</f>
        <v>#N/A</v>
      </c>
      <c r="K3921" s="7">
        <v>992.8</v>
      </c>
      <c r="L3921" s="8" t="str">
        <f ca="1">IFERROR(__xludf.DUMMYFUNCTION("GOOGLEFINANCE(""NSE:""&amp;D3921,""price"")"),"#N/A")</f>
        <v>#N/A</v>
      </c>
      <c r="M3921" s="9" t="e">
        <f t="shared" ca="1" si="77"/>
        <v>#VALUE!</v>
      </c>
      <c r="N3921" s="10" t="e">
        <f t="shared" ca="1" si="78"/>
        <v>#VALUE!</v>
      </c>
      <c r="O3921" s="7" t="str">
        <f ca="1">IFERROR(__xludf.DUMMYFUNCTION("GOOGLEFINANCE(""NSE:""&amp;D3921,""pe"")"),"#N/A")</f>
        <v>#N/A</v>
      </c>
      <c r="P3921" s="7" t="str">
        <f ca="1">IFERROR(__xludf.DUMMYFUNCTION("GOOGLEFINANCE(""NSE:""&amp;D3921,""EPS"")"),"#N/A")</f>
        <v>#N/A</v>
      </c>
      <c r="Q3921" s="7">
        <v>13.5</v>
      </c>
      <c r="R3921" s="7" t="str">
        <f ca="1">IFERROR(__xludf.DUMMYFUNCTION("IMPORTXML(E3921,""/html/body/main/div[3]/div[3]/div[2]/ul/li[7]/span[2]/span"")"),"Loading...")</f>
        <v>Loading...</v>
      </c>
      <c r="S3921" s="7" t="str">
        <f ca="1">IFERROR(__xludf.DUMMYFUNCTION("IMPORTXML(E3921,""/html/body/main/div[3]/div[3]/div[2]/ul/li[8]/span[2]/span"")"),"Loading...")</f>
        <v>Loading...</v>
      </c>
      <c r="T3921" s="4">
        <v>34.6</v>
      </c>
      <c r="U3921" s="4">
        <v>22.7</v>
      </c>
      <c r="V3921" s="4">
        <v>2.6</v>
      </c>
      <c r="W3921" s="4">
        <v>5.7</v>
      </c>
      <c r="X3921" s="4">
        <v>519.92999999999995</v>
      </c>
      <c r="Y3921" s="7" t="e">
        <f t="shared" ca="1" si="79"/>
        <v>#VALUE!</v>
      </c>
    </row>
    <row r="3922" spans="1:25" ht="15" x14ac:dyDescent="0.25">
      <c r="A3922" s="4">
        <v>3920</v>
      </c>
      <c r="C3922" s="41" t="s">
        <v>6287</v>
      </c>
      <c r="D3922" s="42"/>
      <c r="E3922" s="5" t="str">
        <f t="shared" si="75"/>
        <v>https://www.screener.in/company//consolidated/</v>
      </c>
      <c r="F3922" s="4">
        <v>443059</v>
      </c>
      <c r="G3922" s="4">
        <v>3832241897</v>
      </c>
      <c r="H3922" s="6" t="e">
        <f t="shared" ca="1" si="76"/>
        <v>#VALUE!</v>
      </c>
      <c r="I3922" s="7" t="str">
        <f ca="1">IFERROR(__xludf.DUMMYFUNCTION("IMPORTXML(E3922,""/html/body/main/div[3]/div[3]/div[2]/ul/li[5]/span[2]/span"")"),"Loading...")</f>
        <v>Loading...</v>
      </c>
      <c r="J3922" s="7" t="str">
        <f ca="1">IFERROR(__xludf.DUMMYFUNCTION("GOOGLEFINANCE(""NSE:""&amp;D3922,""marketcap"")"),"#N/A")</f>
        <v>#N/A</v>
      </c>
      <c r="K3922" s="7">
        <v>992.8</v>
      </c>
      <c r="L3922" s="8" t="str">
        <f ca="1">IFERROR(__xludf.DUMMYFUNCTION("GOOGLEFINANCE(""NSE:""&amp;D3922,""price"")"),"#N/A")</f>
        <v>#N/A</v>
      </c>
      <c r="M3922" s="9" t="e">
        <f t="shared" ca="1" si="77"/>
        <v>#VALUE!</v>
      </c>
      <c r="N3922" s="10" t="e">
        <f t="shared" ca="1" si="78"/>
        <v>#VALUE!</v>
      </c>
      <c r="O3922" s="7" t="str">
        <f ca="1">IFERROR(__xludf.DUMMYFUNCTION("GOOGLEFINANCE(""NSE:""&amp;D3922,""pe"")"),"#N/A")</f>
        <v>#N/A</v>
      </c>
      <c r="P3922" s="7" t="str">
        <f ca="1">IFERROR(__xludf.DUMMYFUNCTION("GOOGLEFINANCE(""NSE:""&amp;D3922,""EPS"")"),"#N/A")</f>
        <v>#N/A</v>
      </c>
      <c r="Q3922" s="7">
        <v>13.5</v>
      </c>
      <c r="R3922" s="7" t="str">
        <f ca="1">IFERROR(__xludf.DUMMYFUNCTION("IMPORTXML(E3922,""/html/body/main/div[3]/div[3]/div[2]/ul/li[7]/span[2]/span"")"),"Loading...")</f>
        <v>Loading...</v>
      </c>
      <c r="S3922" s="7" t="str">
        <f ca="1">IFERROR(__xludf.DUMMYFUNCTION("IMPORTXML(E3922,""/html/body/main/div[3]/div[3]/div[2]/ul/li[8]/span[2]/span"")"),"Loading...")</f>
        <v>Loading...</v>
      </c>
      <c r="T3922" s="4">
        <v>34.6</v>
      </c>
      <c r="U3922" s="4">
        <v>22.7</v>
      </c>
      <c r="V3922" s="4">
        <v>2.6</v>
      </c>
      <c r="W3922" s="4">
        <v>5.7</v>
      </c>
      <c r="X3922" s="4">
        <v>519.92999999999995</v>
      </c>
      <c r="Y3922" s="7" t="e">
        <f t="shared" ca="1" si="79"/>
        <v>#VALUE!</v>
      </c>
    </row>
    <row r="3923" spans="1:25" ht="15" x14ac:dyDescent="0.25">
      <c r="A3923" s="4">
        <v>3921</v>
      </c>
      <c r="C3923" s="12" t="s">
        <v>6288</v>
      </c>
      <c r="D3923" s="37"/>
      <c r="E3923" s="5" t="str">
        <f t="shared" si="75"/>
        <v>https://www.screener.in/company//consolidated/</v>
      </c>
      <c r="F3923" s="4">
        <v>443059</v>
      </c>
      <c r="G3923" s="4">
        <v>3832241897</v>
      </c>
      <c r="H3923" s="6" t="e">
        <f t="shared" ca="1" si="76"/>
        <v>#VALUE!</v>
      </c>
      <c r="I3923" s="7" t="str">
        <f ca="1">IFERROR(__xludf.DUMMYFUNCTION("IMPORTXML(E3923,""/html/body/main/div[3]/div[3]/div[2]/ul/li[5]/span[2]/span"")"),"Loading...")</f>
        <v>Loading...</v>
      </c>
      <c r="J3923" s="7" t="str">
        <f ca="1">IFERROR(__xludf.DUMMYFUNCTION("GOOGLEFINANCE(""NSE:""&amp;D3923,""marketcap"")"),"#N/A")</f>
        <v>#N/A</v>
      </c>
      <c r="K3923" s="7">
        <v>992.8</v>
      </c>
      <c r="L3923" s="8" t="str">
        <f ca="1">IFERROR(__xludf.DUMMYFUNCTION("GOOGLEFINANCE(""NSE:""&amp;D3923,""price"")"),"#N/A")</f>
        <v>#N/A</v>
      </c>
      <c r="M3923" s="9" t="e">
        <f t="shared" ca="1" si="77"/>
        <v>#VALUE!</v>
      </c>
      <c r="N3923" s="10" t="e">
        <f t="shared" ca="1" si="78"/>
        <v>#VALUE!</v>
      </c>
      <c r="O3923" s="7" t="str">
        <f ca="1">IFERROR(__xludf.DUMMYFUNCTION("GOOGLEFINANCE(""NSE:""&amp;D3923,""pe"")"),"#N/A")</f>
        <v>#N/A</v>
      </c>
      <c r="P3923" s="7" t="str">
        <f ca="1">IFERROR(__xludf.DUMMYFUNCTION("GOOGLEFINANCE(""NSE:""&amp;D3923,""EPS"")"),"#N/A")</f>
        <v>#N/A</v>
      </c>
      <c r="Q3923" s="7">
        <v>13.5</v>
      </c>
      <c r="R3923" s="7" t="str">
        <f ca="1">IFERROR(__xludf.DUMMYFUNCTION("IMPORTXML(E3923,""/html/body/main/div[3]/div[3]/div[2]/ul/li[7]/span[2]/span"")"),"Loading...")</f>
        <v>Loading...</v>
      </c>
      <c r="S3923" s="7" t="str">
        <f ca="1">IFERROR(__xludf.DUMMYFUNCTION("IMPORTXML(E3923,""/html/body/main/div[3]/div[3]/div[2]/ul/li[8]/span[2]/span"")"),"Loading...")</f>
        <v>Loading...</v>
      </c>
      <c r="T3923" s="4">
        <v>34.6</v>
      </c>
      <c r="U3923" s="4">
        <v>22.7</v>
      </c>
      <c r="V3923" s="4">
        <v>2.6</v>
      </c>
      <c r="W3923" s="4">
        <v>5.7</v>
      </c>
      <c r="X3923" s="4">
        <v>519.92999999999995</v>
      </c>
      <c r="Y3923" s="7" t="e">
        <f t="shared" ca="1" si="79"/>
        <v>#VALUE!</v>
      </c>
    </row>
    <row r="3924" spans="1:25" ht="15" x14ac:dyDescent="0.25">
      <c r="A3924" s="4">
        <v>3922</v>
      </c>
      <c r="C3924" s="41" t="s">
        <v>6289</v>
      </c>
      <c r="D3924" s="42"/>
      <c r="E3924" s="5" t="str">
        <f t="shared" si="75"/>
        <v>https://www.screener.in/company//consolidated/</v>
      </c>
      <c r="F3924" s="4">
        <v>443059</v>
      </c>
      <c r="G3924" s="4">
        <v>3832241897</v>
      </c>
      <c r="H3924" s="6" t="e">
        <f t="shared" ca="1" si="76"/>
        <v>#VALUE!</v>
      </c>
      <c r="I3924" s="7" t="str">
        <f ca="1">IFERROR(__xludf.DUMMYFUNCTION("IMPORTXML(E3924,""/html/body/main/div[3]/div[3]/div[2]/ul/li[5]/span[2]/span"")"),"Loading...")</f>
        <v>Loading...</v>
      </c>
      <c r="J3924" s="7" t="str">
        <f ca="1">IFERROR(__xludf.DUMMYFUNCTION("GOOGLEFINANCE(""NSE:""&amp;D3924,""marketcap"")"),"#N/A")</f>
        <v>#N/A</v>
      </c>
      <c r="K3924" s="7">
        <v>992.8</v>
      </c>
      <c r="L3924" s="8" t="str">
        <f ca="1">IFERROR(__xludf.DUMMYFUNCTION("GOOGLEFINANCE(""NSE:""&amp;D3924,""price"")"),"#N/A")</f>
        <v>#N/A</v>
      </c>
      <c r="M3924" s="9" t="e">
        <f t="shared" ca="1" si="77"/>
        <v>#VALUE!</v>
      </c>
      <c r="N3924" s="10" t="e">
        <f t="shared" ca="1" si="78"/>
        <v>#VALUE!</v>
      </c>
      <c r="O3924" s="7" t="str">
        <f ca="1">IFERROR(__xludf.DUMMYFUNCTION("GOOGLEFINANCE(""NSE:""&amp;D3924,""pe"")"),"#N/A")</f>
        <v>#N/A</v>
      </c>
      <c r="P3924" s="7" t="str">
        <f ca="1">IFERROR(__xludf.DUMMYFUNCTION("GOOGLEFINANCE(""NSE:""&amp;D3924,""EPS"")"),"#N/A")</f>
        <v>#N/A</v>
      </c>
      <c r="Q3924" s="7">
        <v>13.5</v>
      </c>
      <c r="R3924" s="7" t="str">
        <f ca="1">IFERROR(__xludf.DUMMYFUNCTION("IMPORTXML(E3924,""/html/body/main/div[3]/div[3]/div[2]/ul/li[7]/span[2]/span"")"),"Loading...")</f>
        <v>Loading...</v>
      </c>
      <c r="S3924" s="7" t="str">
        <f ca="1">IFERROR(__xludf.DUMMYFUNCTION("IMPORTXML(E3924,""/html/body/main/div[3]/div[3]/div[2]/ul/li[8]/span[2]/span"")"),"Loading...")</f>
        <v>Loading...</v>
      </c>
      <c r="T3924" s="4">
        <v>34.6</v>
      </c>
      <c r="U3924" s="4">
        <v>22.7</v>
      </c>
      <c r="V3924" s="4">
        <v>2.6</v>
      </c>
      <c r="W3924" s="4">
        <v>5.7</v>
      </c>
      <c r="X3924" s="4">
        <v>519.92999999999995</v>
      </c>
      <c r="Y3924" s="7" t="e">
        <f t="shared" ca="1" si="79"/>
        <v>#VALUE!</v>
      </c>
    </row>
    <row r="3925" spans="1:25" ht="15" x14ac:dyDescent="0.25">
      <c r="A3925" s="4">
        <v>3923</v>
      </c>
      <c r="C3925" s="41" t="s">
        <v>6290</v>
      </c>
      <c r="D3925" s="42"/>
      <c r="E3925" s="5" t="str">
        <f t="shared" si="75"/>
        <v>https://www.screener.in/company//consolidated/</v>
      </c>
      <c r="F3925" s="4">
        <v>443059</v>
      </c>
      <c r="G3925" s="4">
        <v>3832241897</v>
      </c>
      <c r="H3925" s="6" t="e">
        <f t="shared" ca="1" si="76"/>
        <v>#VALUE!</v>
      </c>
      <c r="I3925" s="7" t="str">
        <f ca="1">IFERROR(__xludf.DUMMYFUNCTION("IMPORTXML(E3925,""/html/body/main/div[3]/div[3]/div[2]/ul/li[5]/span[2]/span"")"),"Loading...")</f>
        <v>Loading...</v>
      </c>
      <c r="J3925" s="7" t="str">
        <f ca="1">IFERROR(__xludf.DUMMYFUNCTION("GOOGLEFINANCE(""NSE:""&amp;D3925,""marketcap"")"),"#N/A")</f>
        <v>#N/A</v>
      </c>
      <c r="K3925" s="7">
        <v>992.8</v>
      </c>
      <c r="L3925" s="8" t="str">
        <f ca="1">IFERROR(__xludf.DUMMYFUNCTION("GOOGLEFINANCE(""NSE:""&amp;D3925,""price"")"),"#N/A")</f>
        <v>#N/A</v>
      </c>
      <c r="M3925" s="9" t="e">
        <f t="shared" ca="1" si="77"/>
        <v>#VALUE!</v>
      </c>
      <c r="N3925" s="10" t="e">
        <f t="shared" ca="1" si="78"/>
        <v>#VALUE!</v>
      </c>
      <c r="O3925" s="7" t="str">
        <f ca="1">IFERROR(__xludf.DUMMYFUNCTION("GOOGLEFINANCE(""NSE:""&amp;D3925,""pe"")"),"#N/A")</f>
        <v>#N/A</v>
      </c>
      <c r="P3925" s="7" t="str">
        <f ca="1">IFERROR(__xludf.DUMMYFUNCTION("GOOGLEFINANCE(""NSE:""&amp;D3925,""EPS"")"),"#N/A")</f>
        <v>#N/A</v>
      </c>
      <c r="Q3925" s="7">
        <v>13.5</v>
      </c>
      <c r="R3925" s="7" t="str">
        <f ca="1">IFERROR(__xludf.DUMMYFUNCTION("IMPORTXML(E3925,""/html/body/main/div[3]/div[3]/div[2]/ul/li[7]/span[2]/span"")"),"Loading...")</f>
        <v>Loading...</v>
      </c>
      <c r="S3925" s="7" t="str">
        <f ca="1">IFERROR(__xludf.DUMMYFUNCTION("IMPORTXML(E3925,""/html/body/main/div[3]/div[3]/div[2]/ul/li[8]/span[2]/span"")"),"Loading...")</f>
        <v>Loading...</v>
      </c>
      <c r="T3925" s="4">
        <v>34.6</v>
      </c>
      <c r="U3925" s="4">
        <v>22.7</v>
      </c>
      <c r="V3925" s="4">
        <v>2.6</v>
      </c>
      <c r="W3925" s="4">
        <v>5.7</v>
      </c>
      <c r="X3925" s="4">
        <v>519.92999999999995</v>
      </c>
      <c r="Y3925" s="7" t="e">
        <f t="shared" ca="1" si="79"/>
        <v>#VALUE!</v>
      </c>
    </row>
    <row r="3926" spans="1:25" ht="15" x14ac:dyDescent="0.25">
      <c r="A3926" s="4">
        <v>3924</v>
      </c>
      <c r="C3926" s="41" t="s">
        <v>6291</v>
      </c>
      <c r="D3926" s="42"/>
      <c r="E3926" s="5" t="str">
        <f t="shared" si="75"/>
        <v>https://www.screener.in/company//consolidated/</v>
      </c>
      <c r="F3926" s="4">
        <v>443059</v>
      </c>
      <c r="G3926" s="4">
        <v>3832241897</v>
      </c>
      <c r="H3926" s="6" t="e">
        <f t="shared" ca="1" si="76"/>
        <v>#VALUE!</v>
      </c>
      <c r="I3926" s="7" t="str">
        <f ca="1">IFERROR(__xludf.DUMMYFUNCTION("IMPORTXML(E3926,""/html/body/main/div[3]/div[3]/div[2]/ul/li[5]/span[2]/span"")"),"Loading...")</f>
        <v>Loading...</v>
      </c>
      <c r="J3926" s="7" t="str">
        <f ca="1">IFERROR(__xludf.DUMMYFUNCTION("GOOGLEFINANCE(""NSE:""&amp;D3926,""marketcap"")"),"#N/A")</f>
        <v>#N/A</v>
      </c>
      <c r="K3926" s="7">
        <v>992.8</v>
      </c>
      <c r="L3926" s="8" t="str">
        <f ca="1">IFERROR(__xludf.DUMMYFUNCTION("GOOGLEFINANCE(""NSE:""&amp;D3926,""price"")"),"#N/A")</f>
        <v>#N/A</v>
      </c>
      <c r="M3926" s="9" t="e">
        <f t="shared" ca="1" si="77"/>
        <v>#VALUE!</v>
      </c>
      <c r="N3926" s="10" t="e">
        <f t="shared" ca="1" si="78"/>
        <v>#VALUE!</v>
      </c>
      <c r="O3926" s="7" t="str">
        <f ca="1">IFERROR(__xludf.DUMMYFUNCTION("GOOGLEFINANCE(""NSE:""&amp;D3926,""pe"")"),"#N/A")</f>
        <v>#N/A</v>
      </c>
      <c r="P3926" s="7" t="str">
        <f ca="1">IFERROR(__xludf.DUMMYFUNCTION("GOOGLEFINANCE(""NSE:""&amp;D3926,""EPS"")"),"#N/A")</f>
        <v>#N/A</v>
      </c>
      <c r="Q3926" s="7">
        <v>13.5</v>
      </c>
      <c r="R3926" s="7" t="str">
        <f ca="1">IFERROR(__xludf.DUMMYFUNCTION("IMPORTXML(E3926,""/html/body/main/div[3]/div[3]/div[2]/ul/li[7]/span[2]/span"")"),"Loading...")</f>
        <v>Loading...</v>
      </c>
      <c r="S3926" s="7" t="str">
        <f ca="1">IFERROR(__xludf.DUMMYFUNCTION("IMPORTXML(E3926,""/html/body/main/div[3]/div[3]/div[2]/ul/li[8]/span[2]/span"")"),"Loading...")</f>
        <v>Loading...</v>
      </c>
      <c r="T3926" s="4">
        <v>34.6</v>
      </c>
      <c r="U3926" s="4">
        <v>22.7</v>
      </c>
      <c r="V3926" s="4">
        <v>2.6</v>
      </c>
      <c r="W3926" s="4">
        <v>5.7</v>
      </c>
      <c r="X3926" s="4">
        <v>519.92999999999995</v>
      </c>
      <c r="Y3926" s="7" t="e">
        <f t="shared" ca="1" si="79"/>
        <v>#VALUE!</v>
      </c>
    </row>
    <row r="3927" spans="1:25" ht="15" x14ac:dyDescent="0.25">
      <c r="A3927" s="4">
        <v>3925</v>
      </c>
      <c r="C3927" s="41" t="s">
        <v>6292</v>
      </c>
      <c r="D3927" s="42"/>
      <c r="E3927" s="5" t="str">
        <f t="shared" si="75"/>
        <v>https://www.screener.in/company//consolidated/</v>
      </c>
      <c r="F3927" s="4">
        <v>443059</v>
      </c>
      <c r="G3927" s="4">
        <v>3832241897</v>
      </c>
      <c r="H3927" s="6" t="e">
        <f t="shared" ca="1" si="76"/>
        <v>#VALUE!</v>
      </c>
      <c r="I3927" s="7" t="str">
        <f ca="1">IFERROR(__xludf.DUMMYFUNCTION("IMPORTXML(E3927,""/html/body/main/div[3]/div[3]/div[2]/ul/li[5]/span[2]/span"")"),"Loading...")</f>
        <v>Loading...</v>
      </c>
      <c r="J3927" s="7" t="str">
        <f ca="1">IFERROR(__xludf.DUMMYFUNCTION("GOOGLEFINANCE(""NSE:""&amp;D3927,""marketcap"")"),"#N/A")</f>
        <v>#N/A</v>
      </c>
      <c r="K3927" s="7">
        <v>992.8</v>
      </c>
      <c r="L3927" s="8" t="str">
        <f ca="1">IFERROR(__xludf.DUMMYFUNCTION("GOOGLEFINANCE(""NSE:""&amp;D3927,""price"")"),"#N/A")</f>
        <v>#N/A</v>
      </c>
      <c r="M3927" s="9" t="e">
        <f t="shared" ca="1" si="77"/>
        <v>#VALUE!</v>
      </c>
      <c r="N3927" s="10" t="e">
        <f t="shared" ca="1" si="78"/>
        <v>#VALUE!</v>
      </c>
      <c r="O3927" s="7" t="str">
        <f ca="1">IFERROR(__xludf.DUMMYFUNCTION("GOOGLEFINANCE(""NSE:""&amp;D3927,""pe"")"),"#N/A")</f>
        <v>#N/A</v>
      </c>
      <c r="P3927" s="7" t="str">
        <f ca="1">IFERROR(__xludf.DUMMYFUNCTION("GOOGLEFINANCE(""NSE:""&amp;D3927,""EPS"")"),"#N/A")</f>
        <v>#N/A</v>
      </c>
      <c r="Q3927" s="7">
        <v>13.5</v>
      </c>
      <c r="R3927" s="7" t="str">
        <f ca="1">IFERROR(__xludf.DUMMYFUNCTION("IMPORTXML(E3927,""/html/body/main/div[3]/div[3]/div[2]/ul/li[7]/span[2]/span"")"),"Loading...")</f>
        <v>Loading...</v>
      </c>
      <c r="S3927" s="7" t="str">
        <f ca="1">IFERROR(__xludf.DUMMYFUNCTION("IMPORTXML(E3927,""/html/body/main/div[3]/div[3]/div[2]/ul/li[8]/span[2]/span"")"),"Loading...")</f>
        <v>Loading...</v>
      </c>
      <c r="T3927" s="4">
        <v>34.6</v>
      </c>
      <c r="U3927" s="4">
        <v>22.7</v>
      </c>
      <c r="V3927" s="4">
        <v>2.6</v>
      </c>
      <c r="W3927" s="4">
        <v>5.7</v>
      </c>
      <c r="X3927" s="4">
        <v>519.92999999999995</v>
      </c>
      <c r="Y3927" s="7" t="e">
        <f t="shared" ca="1" si="79"/>
        <v>#VALUE!</v>
      </c>
    </row>
    <row r="3928" spans="1:25" ht="15" x14ac:dyDescent="0.25">
      <c r="A3928" s="4">
        <v>3926</v>
      </c>
      <c r="C3928" s="41" t="s">
        <v>6293</v>
      </c>
      <c r="D3928" s="42"/>
      <c r="E3928" s="5" t="str">
        <f t="shared" si="75"/>
        <v>https://www.screener.in/company//consolidated/</v>
      </c>
      <c r="F3928" s="4">
        <v>443059</v>
      </c>
      <c r="G3928" s="4">
        <v>3832241897</v>
      </c>
      <c r="H3928" s="6" t="e">
        <f t="shared" ca="1" si="76"/>
        <v>#VALUE!</v>
      </c>
      <c r="I3928" s="7" t="str">
        <f ca="1">IFERROR(__xludf.DUMMYFUNCTION("IMPORTXML(E3928,""/html/body/main/div[3]/div[3]/div[2]/ul/li[5]/span[2]/span"")"),"Loading...")</f>
        <v>Loading...</v>
      </c>
      <c r="J3928" s="7" t="str">
        <f ca="1">IFERROR(__xludf.DUMMYFUNCTION("GOOGLEFINANCE(""NSE:""&amp;D3928,""marketcap"")"),"#N/A")</f>
        <v>#N/A</v>
      </c>
      <c r="K3928" s="7">
        <v>992.8</v>
      </c>
      <c r="L3928" s="8" t="str">
        <f ca="1">IFERROR(__xludf.DUMMYFUNCTION("GOOGLEFINANCE(""NSE:""&amp;D3928,""price"")"),"#N/A")</f>
        <v>#N/A</v>
      </c>
      <c r="M3928" s="9" t="e">
        <f t="shared" ca="1" si="77"/>
        <v>#VALUE!</v>
      </c>
      <c r="N3928" s="10" t="e">
        <f t="shared" ca="1" si="78"/>
        <v>#VALUE!</v>
      </c>
      <c r="O3928" s="7" t="str">
        <f ca="1">IFERROR(__xludf.DUMMYFUNCTION("GOOGLEFINANCE(""NSE:""&amp;D3928,""pe"")"),"#N/A")</f>
        <v>#N/A</v>
      </c>
      <c r="P3928" s="7" t="str">
        <f ca="1">IFERROR(__xludf.DUMMYFUNCTION("GOOGLEFINANCE(""NSE:""&amp;D3928,""EPS"")"),"#N/A")</f>
        <v>#N/A</v>
      </c>
      <c r="Q3928" s="7">
        <v>13.5</v>
      </c>
      <c r="R3928" s="7" t="str">
        <f ca="1">IFERROR(__xludf.DUMMYFUNCTION("IMPORTXML(E3928,""/html/body/main/div[3]/div[3]/div[2]/ul/li[7]/span[2]/span"")"),"Loading...")</f>
        <v>Loading...</v>
      </c>
      <c r="S3928" s="7" t="str">
        <f ca="1">IFERROR(__xludf.DUMMYFUNCTION("IMPORTXML(E3928,""/html/body/main/div[3]/div[3]/div[2]/ul/li[8]/span[2]/span"")"),"Loading...")</f>
        <v>Loading...</v>
      </c>
      <c r="T3928" s="4">
        <v>34.6</v>
      </c>
      <c r="U3928" s="4">
        <v>22.7</v>
      </c>
      <c r="V3928" s="4">
        <v>2.6</v>
      </c>
      <c r="W3928" s="4">
        <v>5.7</v>
      </c>
      <c r="X3928" s="4">
        <v>519.92999999999995</v>
      </c>
      <c r="Y3928" s="7" t="e">
        <f t="shared" ca="1" si="79"/>
        <v>#VALUE!</v>
      </c>
    </row>
    <row r="3929" spans="1:25" ht="15" x14ac:dyDescent="0.25">
      <c r="A3929" s="4">
        <v>3928</v>
      </c>
      <c r="C3929" s="41" t="s">
        <v>6294</v>
      </c>
      <c r="D3929" s="42"/>
      <c r="E3929" s="5" t="str">
        <f t="shared" si="75"/>
        <v>https://www.screener.in/company//consolidated/</v>
      </c>
      <c r="F3929" s="4">
        <v>443059</v>
      </c>
      <c r="G3929" s="4">
        <v>3832241897</v>
      </c>
      <c r="H3929" s="6" t="e">
        <f t="shared" ca="1" si="76"/>
        <v>#VALUE!</v>
      </c>
      <c r="I3929" s="7" t="str">
        <f ca="1">IFERROR(__xludf.DUMMYFUNCTION("IMPORTXML(E3929,""/html/body/main/div[3]/div[3]/div[2]/ul/li[5]/span[2]/span"")"),"Loading...")</f>
        <v>Loading...</v>
      </c>
      <c r="J3929" s="7" t="str">
        <f ca="1">IFERROR(__xludf.DUMMYFUNCTION("GOOGLEFINANCE(""NSE:""&amp;D3929,""marketcap"")"),"#N/A")</f>
        <v>#N/A</v>
      </c>
      <c r="K3929" s="7">
        <v>992.8</v>
      </c>
      <c r="L3929" s="8" t="str">
        <f ca="1">IFERROR(__xludf.DUMMYFUNCTION("GOOGLEFINANCE(""NSE:""&amp;D3929,""price"")"),"#N/A")</f>
        <v>#N/A</v>
      </c>
      <c r="M3929" s="9" t="e">
        <f t="shared" ca="1" si="77"/>
        <v>#VALUE!</v>
      </c>
      <c r="N3929" s="10" t="e">
        <f t="shared" ca="1" si="78"/>
        <v>#VALUE!</v>
      </c>
      <c r="O3929" s="7" t="str">
        <f ca="1">IFERROR(__xludf.DUMMYFUNCTION("GOOGLEFINANCE(""NSE:""&amp;D3929,""pe"")"),"#N/A")</f>
        <v>#N/A</v>
      </c>
      <c r="P3929" s="7" t="str">
        <f ca="1">IFERROR(__xludf.DUMMYFUNCTION("GOOGLEFINANCE(""NSE:""&amp;D3929,""EPS"")"),"#N/A")</f>
        <v>#N/A</v>
      </c>
      <c r="Q3929" s="7">
        <v>13.5</v>
      </c>
      <c r="R3929" s="7" t="str">
        <f ca="1">IFERROR(__xludf.DUMMYFUNCTION("IMPORTXML(E3929,""/html/body/main/div[3]/div[3]/div[2]/ul/li[7]/span[2]/span"")"),"Loading...")</f>
        <v>Loading...</v>
      </c>
      <c r="S3929" s="7" t="str">
        <f ca="1">IFERROR(__xludf.DUMMYFUNCTION("IMPORTXML(E3929,""/html/body/main/div[3]/div[3]/div[2]/ul/li[8]/span[2]/span"")"),"Loading...")</f>
        <v>Loading...</v>
      </c>
      <c r="T3929" s="4">
        <v>34.6</v>
      </c>
      <c r="U3929" s="4">
        <v>22.7</v>
      </c>
      <c r="V3929" s="4">
        <v>2.6</v>
      </c>
      <c r="W3929" s="4">
        <v>5.7</v>
      </c>
      <c r="X3929" s="4">
        <v>519.92999999999995</v>
      </c>
      <c r="Y3929" s="7" t="e">
        <f t="shared" ca="1" si="79"/>
        <v>#VALUE!</v>
      </c>
    </row>
    <row r="3930" spans="1:25" ht="15" x14ac:dyDescent="0.25">
      <c r="A3930" s="4">
        <v>3929</v>
      </c>
      <c r="C3930" s="41" t="s">
        <v>6295</v>
      </c>
      <c r="D3930" s="42"/>
      <c r="E3930" s="5" t="str">
        <f t="shared" si="75"/>
        <v>https://www.screener.in/company//consolidated/</v>
      </c>
      <c r="F3930" s="4">
        <v>443059</v>
      </c>
      <c r="G3930" s="4">
        <v>3832241897</v>
      </c>
      <c r="H3930" s="6" t="e">
        <f t="shared" ca="1" si="76"/>
        <v>#VALUE!</v>
      </c>
      <c r="I3930" s="7" t="str">
        <f ca="1">IFERROR(__xludf.DUMMYFUNCTION("IMPORTXML(E3930,""/html/body/main/div[3]/div[3]/div[2]/ul/li[5]/span[2]/span"")"),"Loading...")</f>
        <v>Loading...</v>
      </c>
      <c r="J3930" s="7" t="str">
        <f ca="1">IFERROR(__xludf.DUMMYFUNCTION("GOOGLEFINANCE(""NSE:""&amp;D3930,""marketcap"")"),"#N/A")</f>
        <v>#N/A</v>
      </c>
      <c r="K3930" s="7">
        <v>992.8</v>
      </c>
      <c r="L3930" s="8" t="str">
        <f ca="1">IFERROR(__xludf.DUMMYFUNCTION("GOOGLEFINANCE(""NSE:""&amp;D3930,""price"")"),"#N/A")</f>
        <v>#N/A</v>
      </c>
      <c r="M3930" s="9" t="e">
        <f t="shared" ca="1" si="77"/>
        <v>#VALUE!</v>
      </c>
      <c r="N3930" s="10" t="e">
        <f t="shared" ca="1" si="78"/>
        <v>#VALUE!</v>
      </c>
      <c r="O3930" s="7" t="str">
        <f ca="1">IFERROR(__xludf.DUMMYFUNCTION("GOOGLEFINANCE(""NSE:""&amp;D3930,""pe"")"),"#N/A")</f>
        <v>#N/A</v>
      </c>
      <c r="P3930" s="7" t="str">
        <f ca="1">IFERROR(__xludf.DUMMYFUNCTION("GOOGLEFINANCE(""NSE:""&amp;D3930,""EPS"")"),"#N/A")</f>
        <v>#N/A</v>
      </c>
      <c r="Q3930" s="7">
        <v>13.5</v>
      </c>
      <c r="R3930" s="7" t="str">
        <f ca="1">IFERROR(__xludf.DUMMYFUNCTION("IMPORTXML(E3930,""/html/body/main/div[3]/div[3]/div[2]/ul/li[7]/span[2]/span"")"),"Loading...")</f>
        <v>Loading...</v>
      </c>
      <c r="S3930" s="7" t="str">
        <f ca="1">IFERROR(__xludf.DUMMYFUNCTION("IMPORTXML(E3930,""/html/body/main/div[3]/div[3]/div[2]/ul/li[8]/span[2]/span"")"),"Loading...")</f>
        <v>Loading...</v>
      </c>
      <c r="T3930" s="4">
        <v>34.6</v>
      </c>
      <c r="U3930" s="4">
        <v>22.7</v>
      </c>
      <c r="V3930" s="4">
        <v>2.6</v>
      </c>
      <c r="W3930" s="4">
        <v>5.7</v>
      </c>
      <c r="X3930" s="4">
        <v>519.92999999999995</v>
      </c>
      <c r="Y3930" s="7" t="e">
        <f t="shared" ca="1" si="79"/>
        <v>#VALUE!</v>
      </c>
    </row>
    <row r="3931" spans="1:25" ht="15" x14ac:dyDescent="0.25">
      <c r="A3931" s="4">
        <v>3930</v>
      </c>
      <c r="C3931" s="41" t="s">
        <v>6296</v>
      </c>
      <c r="D3931" s="42"/>
      <c r="E3931" s="5" t="str">
        <f t="shared" si="75"/>
        <v>https://www.screener.in/company//consolidated/</v>
      </c>
      <c r="F3931" s="4">
        <v>443059</v>
      </c>
      <c r="G3931" s="4">
        <v>3832241897</v>
      </c>
      <c r="H3931" s="6" t="e">
        <f t="shared" ca="1" si="76"/>
        <v>#VALUE!</v>
      </c>
      <c r="I3931" s="7" t="str">
        <f ca="1">IFERROR(__xludf.DUMMYFUNCTION("IMPORTXML(E3931,""/html/body/main/div[3]/div[3]/div[2]/ul/li[5]/span[2]/span"")"),"Loading...")</f>
        <v>Loading...</v>
      </c>
      <c r="J3931" s="7" t="str">
        <f ca="1">IFERROR(__xludf.DUMMYFUNCTION("GOOGLEFINANCE(""NSE:""&amp;D3931,""marketcap"")"),"#N/A")</f>
        <v>#N/A</v>
      </c>
      <c r="K3931" s="7">
        <v>992.8</v>
      </c>
      <c r="L3931" s="8" t="str">
        <f ca="1">IFERROR(__xludf.DUMMYFUNCTION("GOOGLEFINANCE(""NSE:""&amp;D3931,""price"")"),"#N/A")</f>
        <v>#N/A</v>
      </c>
      <c r="M3931" s="9" t="e">
        <f t="shared" ca="1" si="77"/>
        <v>#VALUE!</v>
      </c>
      <c r="N3931" s="10" t="e">
        <f t="shared" ca="1" si="78"/>
        <v>#VALUE!</v>
      </c>
      <c r="O3931" s="7" t="str">
        <f ca="1">IFERROR(__xludf.DUMMYFUNCTION("GOOGLEFINANCE(""NSE:""&amp;D3931,""pe"")"),"#N/A")</f>
        <v>#N/A</v>
      </c>
      <c r="P3931" s="7" t="str">
        <f ca="1">IFERROR(__xludf.DUMMYFUNCTION("GOOGLEFINANCE(""NSE:""&amp;D3931,""EPS"")"),"#N/A")</f>
        <v>#N/A</v>
      </c>
      <c r="Q3931" s="7">
        <v>13.5</v>
      </c>
      <c r="R3931" s="7" t="str">
        <f ca="1">IFERROR(__xludf.DUMMYFUNCTION("IMPORTXML(E3931,""/html/body/main/div[3]/div[3]/div[2]/ul/li[7]/span[2]/span"")"),"Loading...")</f>
        <v>Loading...</v>
      </c>
      <c r="S3931" s="7" t="str">
        <f ca="1">IFERROR(__xludf.DUMMYFUNCTION("IMPORTXML(E3931,""/html/body/main/div[3]/div[3]/div[2]/ul/li[8]/span[2]/span"")"),"Loading...")</f>
        <v>Loading...</v>
      </c>
      <c r="T3931" s="4">
        <v>34.6</v>
      </c>
      <c r="U3931" s="4">
        <v>22.7</v>
      </c>
      <c r="V3931" s="4">
        <v>2.6</v>
      </c>
      <c r="W3931" s="4">
        <v>5.7</v>
      </c>
      <c r="X3931" s="4">
        <v>519.92999999999995</v>
      </c>
      <c r="Y3931" s="7" t="e">
        <f t="shared" ca="1" si="79"/>
        <v>#VALUE!</v>
      </c>
    </row>
    <row r="3932" spans="1:25" ht="15" x14ac:dyDescent="0.25">
      <c r="A3932" s="4">
        <v>3931</v>
      </c>
      <c r="C3932" s="41" t="s">
        <v>6297</v>
      </c>
      <c r="D3932" s="42"/>
      <c r="E3932" s="5" t="str">
        <f t="shared" si="75"/>
        <v>https://www.screener.in/company//consolidated/</v>
      </c>
      <c r="F3932" s="4">
        <v>443059</v>
      </c>
      <c r="G3932" s="4">
        <v>3832241897</v>
      </c>
      <c r="H3932" s="6" t="e">
        <f t="shared" ca="1" si="76"/>
        <v>#VALUE!</v>
      </c>
      <c r="I3932" s="7" t="str">
        <f ca="1">IFERROR(__xludf.DUMMYFUNCTION("IMPORTXML(E3932,""/html/body/main/div[3]/div[3]/div[2]/ul/li[5]/span[2]/span"")"),"Loading...")</f>
        <v>Loading...</v>
      </c>
      <c r="J3932" s="7" t="str">
        <f ca="1">IFERROR(__xludf.DUMMYFUNCTION("GOOGLEFINANCE(""NSE:""&amp;D3932,""marketcap"")"),"#N/A")</f>
        <v>#N/A</v>
      </c>
      <c r="K3932" s="7">
        <v>992.8</v>
      </c>
      <c r="L3932" s="8" t="str">
        <f ca="1">IFERROR(__xludf.DUMMYFUNCTION("GOOGLEFINANCE(""NSE:""&amp;D3932,""price"")"),"#N/A")</f>
        <v>#N/A</v>
      </c>
      <c r="M3932" s="9" t="e">
        <f t="shared" ca="1" si="77"/>
        <v>#VALUE!</v>
      </c>
      <c r="N3932" s="10" t="e">
        <f t="shared" ca="1" si="78"/>
        <v>#VALUE!</v>
      </c>
      <c r="O3932" s="7" t="str">
        <f ca="1">IFERROR(__xludf.DUMMYFUNCTION("GOOGLEFINANCE(""NSE:""&amp;D3932,""pe"")"),"#N/A")</f>
        <v>#N/A</v>
      </c>
      <c r="P3932" s="7" t="str">
        <f ca="1">IFERROR(__xludf.DUMMYFUNCTION("GOOGLEFINANCE(""NSE:""&amp;D3932,""EPS"")"),"#N/A")</f>
        <v>#N/A</v>
      </c>
      <c r="Q3932" s="7">
        <v>13.5</v>
      </c>
      <c r="R3932" s="7" t="str">
        <f ca="1">IFERROR(__xludf.DUMMYFUNCTION("IMPORTXML(E3932,""/html/body/main/div[3]/div[3]/div[2]/ul/li[7]/span[2]/span"")"),"Loading...")</f>
        <v>Loading...</v>
      </c>
      <c r="S3932" s="7" t="str">
        <f ca="1">IFERROR(__xludf.DUMMYFUNCTION("IMPORTXML(E3932,""/html/body/main/div[3]/div[3]/div[2]/ul/li[8]/span[2]/span"")"),"Loading...")</f>
        <v>Loading...</v>
      </c>
      <c r="T3932" s="4">
        <v>34.6</v>
      </c>
      <c r="U3932" s="4">
        <v>22.7</v>
      </c>
      <c r="V3932" s="4">
        <v>2.6</v>
      </c>
      <c r="W3932" s="4">
        <v>5.7</v>
      </c>
      <c r="X3932" s="4">
        <v>519.92999999999995</v>
      </c>
      <c r="Y3932" s="7" t="e">
        <f t="shared" ca="1" si="79"/>
        <v>#VALUE!</v>
      </c>
    </row>
    <row r="3933" spans="1:25" ht="15" x14ac:dyDescent="0.25">
      <c r="A3933" s="4">
        <v>3932</v>
      </c>
      <c r="C3933" s="41" t="s">
        <v>6298</v>
      </c>
      <c r="D3933" s="42"/>
      <c r="E3933" s="5" t="str">
        <f t="shared" si="75"/>
        <v>https://www.screener.in/company//consolidated/</v>
      </c>
      <c r="F3933" s="4">
        <v>443059</v>
      </c>
      <c r="G3933" s="4">
        <v>3832241897</v>
      </c>
      <c r="H3933" s="6" t="e">
        <f t="shared" ca="1" si="76"/>
        <v>#VALUE!</v>
      </c>
      <c r="I3933" s="7" t="str">
        <f ca="1">IFERROR(__xludf.DUMMYFUNCTION("IMPORTXML(E3933,""/html/body/main/div[3]/div[3]/div[2]/ul/li[5]/span[2]/span"")"),"Loading...")</f>
        <v>Loading...</v>
      </c>
      <c r="J3933" s="7" t="str">
        <f ca="1">IFERROR(__xludf.DUMMYFUNCTION("GOOGLEFINANCE(""NSE:""&amp;D3933,""marketcap"")"),"#N/A")</f>
        <v>#N/A</v>
      </c>
      <c r="K3933" s="7">
        <v>992.8</v>
      </c>
      <c r="L3933" s="8" t="str">
        <f ca="1">IFERROR(__xludf.DUMMYFUNCTION("GOOGLEFINANCE(""NSE:""&amp;D3933,""price"")"),"#N/A")</f>
        <v>#N/A</v>
      </c>
      <c r="M3933" s="9" t="e">
        <f t="shared" ca="1" si="77"/>
        <v>#VALUE!</v>
      </c>
      <c r="N3933" s="10" t="e">
        <f t="shared" ca="1" si="78"/>
        <v>#VALUE!</v>
      </c>
      <c r="O3933" s="7" t="str">
        <f ca="1">IFERROR(__xludf.DUMMYFUNCTION("GOOGLEFINANCE(""NSE:""&amp;D3933,""pe"")"),"#N/A")</f>
        <v>#N/A</v>
      </c>
      <c r="P3933" s="7" t="str">
        <f ca="1">IFERROR(__xludf.DUMMYFUNCTION("GOOGLEFINANCE(""NSE:""&amp;D3933,""EPS"")"),"#N/A")</f>
        <v>#N/A</v>
      </c>
      <c r="Q3933" s="7">
        <v>13.5</v>
      </c>
      <c r="R3933" s="7" t="str">
        <f ca="1">IFERROR(__xludf.DUMMYFUNCTION("IMPORTXML(E3933,""/html/body/main/div[3]/div[3]/div[2]/ul/li[7]/span[2]/span"")"),"Loading...")</f>
        <v>Loading...</v>
      </c>
      <c r="S3933" s="7" t="str">
        <f ca="1">IFERROR(__xludf.DUMMYFUNCTION("IMPORTXML(E3933,""/html/body/main/div[3]/div[3]/div[2]/ul/li[8]/span[2]/span"")"),"Loading...")</f>
        <v>Loading...</v>
      </c>
      <c r="T3933" s="4">
        <v>34.6</v>
      </c>
      <c r="U3933" s="4">
        <v>22.7</v>
      </c>
      <c r="V3933" s="4">
        <v>2.6</v>
      </c>
      <c r="W3933" s="4">
        <v>5.7</v>
      </c>
      <c r="X3933" s="4">
        <v>519.92999999999995</v>
      </c>
      <c r="Y3933" s="7" t="e">
        <f t="shared" ca="1" si="79"/>
        <v>#VALUE!</v>
      </c>
    </row>
    <row r="3934" spans="1:25" ht="15" x14ac:dyDescent="0.25">
      <c r="A3934" s="4">
        <v>3933</v>
      </c>
      <c r="C3934" s="41" t="s">
        <v>6299</v>
      </c>
      <c r="D3934" s="42"/>
      <c r="E3934" s="5" t="str">
        <f t="shared" si="75"/>
        <v>https://www.screener.in/company//consolidated/</v>
      </c>
      <c r="F3934" s="4">
        <v>443059</v>
      </c>
      <c r="G3934" s="4">
        <v>3832241897</v>
      </c>
      <c r="H3934" s="6" t="e">
        <f t="shared" ca="1" si="76"/>
        <v>#VALUE!</v>
      </c>
      <c r="I3934" s="7" t="str">
        <f ca="1">IFERROR(__xludf.DUMMYFUNCTION("IMPORTXML(E3934,""/html/body/main/div[3]/div[3]/div[2]/ul/li[5]/span[2]/span"")"),"Loading...")</f>
        <v>Loading...</v>
      </c>
      <c r="J3934" s="7" t="str">
        <f ca="1">IFERROR(__xludf.DUMMYFUNCTION("GOOGLEFINANCE(""NSE:""&amp;D3934,""marketcap"")"),"#N/A")</f>
        <v>#N/A</v>
      </c>
      <c r="K3934" s="7">
        <v>992.8</v>
      </c>
      <c r="L3934" s="8" t="str">
        <f ca="1">IFERROR(__xludf.DUMMYFUNCTION("GOOGLEFINANCE(""NSE:""&amp;D3934,""price"")"),"#N/A")</f>
        <v>#N/A</v>
      </c>
      <c r="M3934" s="9" t="e">
        <f t="shared" ca="1" si="77"/>
        <v>#VALUE!</v>
      </c>
      <c r="N3934" s="10" t="e">
        <f t="shared" ca="1" si="78"/>
        <v>#VALUE!</v>
      </c>
      <c r="O3934" s="7" t="str">
        <f ca="1">IFERROR(__xludf.DUMMYFUNCTION("GOOGLEFINANCE(""NSE:""&amp;D3934,""pe"")"),"#N/A")</f>
        <v>#N/A</v>
      </c>
      <c r="P3934" s="7" t="str">
        <f ca="1">IFERROR(__xludf.DUMMYFUNCTION("GOOGLEFINANCE(""NSE:""&amp;D3934,""EPS"")"),"#N/A")</f>
        <v>#N/A</v>
      </c>
      <c r="Q3934" s="7">
        <v>13.5</v>
      </c>
      <c r="R3934" s="7" t="str">
        <f ca="1">IFERROR(__xludf.DUMMYFUNCTION("IMPORTXML(E3934,""/html/body/main/div[3]/div[3]/div[2]/ul/li[7]/span[2]/span"")"),"Loading...")</f>
        <v>Loading...</v>
      </c>
      <c r="S3934" s="7" t="str">
        <f ca="1">IFERROR(__xludf.DUMMYFUNCTION("IMPORTXML(E3934,""/html/body/main/div[3]/div[3]/div[2]/ul/li[8]/span[2]/span"")"),"Loading...")</f>
        <v>Loading...</v>
      </c>
      <c r="T3934" s="4">
        <v>34.6</v>
      </c>
      <c r="U3934" s="4">
        <v>22.7</v>
      </c>
      <c r="V3934" s="4">
        <v>2.6</v>
      </c>
      <c r="W3934" s="4">
        <v>5.7</v>
      </c>
      <c r="X3934" s="4">
        <v>519.92999999999995</v>
      </c>
      <c r="Y3934" s="7" t="e">
        <f t="shared" ca="1" si="79"/>
        <v>#VALUE!</v>
      </c>
    </row>
    <row r="3935" spans="1:25" ht="15" x14ac:dyDescent="0.25">
      <c r="A3935" s="4">
        <v>3934</v>
      </c>
      <c r="C3935" s="41" t="s">
        <v>6300</v>
      </c>
      <c r="D3935" s="42"/>
      <c r="E3935" s="5" t="str">
        <f t="shared" si="75"/>
        <v>https://www.screener.in/company//consolidated/</v>
      </c>
      <c r="F3935" s="4">
        <v>443059</v>
      </c>
      <c r="G3935" s="4">
        <v>3832241897</v>
      </c>
      <c r="H3935" s="6" t="e">
        <f t="shared" ca="1" si="76"/>
        <v>#VALUE!</v>
      </c>
      <c r="I3935" s="7" t="str">
        <f ca="1">IFERROR(__xludf.DUMMYFUNCTION("IMPORTXML(E3935,""/html/body/main/div[3]/div[3]/div[2]/ul/li[5]/span[2]/span"")"),"Loading...")</f>
        <v>Loading...</v>
      </c>
      <c r="J3935" s="7" t="str">
        <f ca="1">IFERROR(__xludf.DUMMYFUNCTION("GOOGLEFINANCE(""NSE:""&amp;D3935,""marketcap"")"),"#N/A")</f>
        <v>#N/A</v>
      </c>
      <c r="K3935" s="7">
        <v>992.8</v>
      </c>
      <c r="L3935" s="8" t="str">
        <f ca="1">IFERROR(__xludf.DUMMYFUNCTION("GOOGLEFINANCE(""NSE:""&amp;D3935,""price"")"),"#N/A")</f>
        <v>#N/A</v>
      </c>
      <c r="M3935" s="9" t="e">
        <f t="shared" ca="1" si="77"/>
        <v>#VALUE!</v>
      </c>
      <c r="N3935" s="10" t="e">
        <f t="shared" ca="1" si="78"/>
        <v>#VALUE!</v>
      </c>
      <c r="O3935" s="7" t="str">
        <f ca="1">IFERROR(__xludf.DUMMYFUNCTION("GOOGLEFINANCE(""NSE:""&amp;D3935,""pe"")"),"#N/A")</f>
        <v>#N/A</v>
      </c>
      <c r="P3935" s="7" t="str">
        <f ca="1">IFERROR(__xludf.DUMMYFUNCTION("GOOGLEFINANCE(""NSE:""&amp;D3935,""EPS"")"),"#N/A")</f>
        <v>#N/A</v>
      </c>
      <c r="Q3935" s="7">
        <v>13.5</v>
      </c>
      <c r="R3935" s="7" t="str">
        <f ca="1">IFERROR(__xludf.DUMMYFUNCTION("IMPORTXML(E3935,""/html/body/main/div[3]/div[3]/div[2]/ul/li[7]/span[2]/span"")"),"Loading...")</f>
        <v>Loading...</v>
      </c>
      <c r="S3935" s="7" t="str">
        <f ca="1">IFERROR(__xludf.DUMMYFUNCTION("IMPORTXML(E3935,""/html/body/main/div[3]/div[3]/div[2]/ul/li[8]/span[2]/span"")"),"Loading...")</f>
        <v>Loading...</v>
      </c>
      <c r="T3935" s="4">
        <v>34.6</v>
      </c>
      <c r="U3935" s="4">
        <v>22.7</v>
      </c>
      <c r="V3935" s="4">
        <v>2.6</v>
      </c>
      <c r="W3935" s="4">
        <v>5.7</v>
      </c>
      <c r="X3935" s="4">
        <v>519.92999999999995</v>
      </c>
      <c r="Y3935" s="7" t="e">
        <f t="shared" ca="1" si="79"/>
        <v>#VALUE!</v>
      </c>
    </row>
    <row r="3936" spans="1:25" ht="15" x14ac:dyDescent="0.25">
      <c r="A3936" s="4">
        <v>3935</v>
      </c>
      <c r="C3936" s="41" t="s">
        <v>6301</v>
      </c>
      <c r="D3936" s="42"/>
      <c r="E3936" s="5" t="str">
        <f t="shared" si="75"/>
        <v>https://www.screener.in/company//consolidated/</v>
      </c>
      <c r="F3936" s="4">
        <v>443059</v>
      </c>
      <c r="G3936" s="4">
        <v>3832241897</v>
      </c>
      <c r="H3936" s="6" t="e">
        <f t="shared" ca="1" si="76"/>
        <v>#VALUE!</v>
      </c>
      <c r="I3936" s="7" t="str">
        <f ca="1">IFERROR(__xludf.DUMMYFUNCTION("IMPORTXML(E3936,""/html/body/main/div[3]/div[3]/div[2]/ul/li[5]/span[2]/span"")"),"Loading...")</f>
        <v>Loading...</v>
      </c>
      <c r="J3936" s="7" t="str">
        <f ca="1">IFERROR(__xludf.DUMMYFUNCTION("GOOGLEFINANCE(""NSE:""&amp;D3936,""marketcap"")"),"#N/A")</f>
        <v>#N/A</v>
      </c>
      <c r="K3936" s="7">
        <v>992.8</v>
      </c>
      <c r="L3936" s="8" t="str">
        <f ca="1">IFERROR(__xludf.DUMMYFUNCTION("GOOGLEFINANCE(""NSE:""&amp;D3936,""price"")"),"#N/A")</f>
        <v>#N/A</v>
      </c>
      <c r="M3936" s="9" t="e">
        <f t="shared" ca="1" si="77"/>
        <v>#VALUE!</v>
      </c>
      <c r="N3936" s="10" t="e">
        <f t="shared" ca="1" si="78"/>
        <v>#VALUE!</v>
      </c>
      <c r="O3936" s="7" t="str">
        <f ca="1">IFERROR(__xludf.DUMMYFUNCTION("GOOGLEFINANCE(""NSE:""&amp;D3936,""pe"")"),"#N/A")</f>
        <v>#N/A</v>
      </c>
      <c r="P3936" s="7" t="str">
        <f ca="1">IFERROR(__xludf.DUMMYFUNCTION("GOOGLEFINANCE(""NSE:""&amp;D3936,""EPS"")"),"#N/A")</f>
        <v>#N/A</v>
      </c>
      <c r="Q3936" s="7">
        <v>13.5</v>
      </c>
      <c r="R3936" s="7" t="str">
        <f ca="1">IFERROR(__xludf.DUMMYFUNCTION("IMPORTXML(E3936,""/html/body/main/div[3]/div[3]/div[2]/ul/li[7]/span[2]/span"")"),"Loading...")</f>
        <v>Loading...</v>
      </c>
      <c r="S3936" s="7" t="str">
        <f ca="1">IFERROR(__xludf.DUMMYFUNCTION("IMPORTXML(E3936,""/html/body/main/div[3]/div[3]/div[2]/ul/li[8]/span[2]/span"")"),"Loading...")</f>
        <v>Loading...</v>
      </c>
      <c r="T3936" s="4">
        <v>34.6</v>
      </c>
      <c r="U3936" s="4">
        <v>22.7</v>
      </c>
      <c r="V3936" s="4">
        <v>2.6</v>
      </c>
      <c r="W3936" s="4">
        <v>5.7</v>
      </c>
      <c r="X3936" s="4">
        <v>519.92999999999995</v>
      </c>
      <c r="Y3936" s="7" t="e">
        <f t="shared" ca="1" si="79"/>
        <v>#VALUE!</v>
      </c>
    </row>
    <row r="3937" spans="1:25" ht="15" x14ac:dyDescent="0.25">
      <c r="A3937" s="4">
        <v>3936</v>
      </c>
      <c r="C3937" s="41" t="s">
        <v>6302</v>
      </c>
      <c r="D3937" s="42"/>
      <c r="E3937" s="5" t="str">
        <f t="shared" si="75"/>
        <v>https://www.screener.in/company//consolidated/</v>
      </c>
      <c r="F3937" s="4">
        <v>443059</v>
      </c>
      <c r="G3937" s="4">
        <v>3832241897</v>
      </c>
      <c r="H3937" s="6" t="e">
        <f t="shared" ca="1" si="76"/>
        <v>#VALUE!</v>
      </c>
      <c r="I3937" s="7" t="str">
        <f ca="1">IFERROR(__xludf.DUMMYFUNCTION("IMPORTXML(E3937,""/html/body/main/div[3]/div[3]/div[2]/ul/li[5]/span[2]/span"")"),"Loading...")</f>
        <v>Loading...</v>
      </c>
      <c r="J3937" s="7" t="str">
        <f ca="1">IFERROR(__xludf.DUMMYFUNCTION("GOOGLEFINANCE(""NSE:""&amp;D3937,""marketcap"")"),"#N/A")</f>
        <v>#N/A</v>
      </c>
      <c r="K3937" s="7">
        <v>992.8</v>
      </c>
      <c r="L3937" s="8" t="str">
        <f ca="1">IFERROR(__xludf.DUMMYFUNCTION("GOOGLEFINANCE(""NSE:""&amp;D3937,""price"")"),"#N/A")</f>
        <v>#N/A</v>
      </c>
      <c r="M3937" s="9" t="e">
        <f t="shared" ca="1" si="77"/>
        <v>#VALUE!</v>
      </c>
      <c r="N3937" s="10" t="e">
        <f t="shared" ca="1" si="78"/>
        <v>#VALUE!</v>
      </c>
      <c r="O3937" s="7" t="str">
        <f ca="1">IFERROR(__xludf.DUMMYFUNCTION("GOOGLEFINANCE(""NSE:""&amp;D3937,""pe"")"),"#N/A")</f>
        <v>#N/A</v>
      </c>
      <c r="P3937" s="7" t="str">
        <f ca="1">IFERROR(__xludf.DUMMYFUNCTION("GOOGLEFINANCE(""NSE:""&amp;D3937,""EPS"")"),"#N/A")</f>
        <v>#N/A</v>
      </c>
      <c r="Q3937" s="7">
        <v>13.5</v>
      </c>
      <c r="R3937" s="7" t="str">
        <f ca="1">IFERROR(__xludf.DUMMYFUNCTION("IMPORTXML(E3937,""/html/body/main/div[3]/div[3]/div[2]/ul/li[7]/span[2]/span"")"),"Loading...")</f>
        <v>Loading...</v>
      </c>
      <c r="S3937" s="7" t="str">
        <f ca="1">IFERROR(__xludf.DUMMYFUNCTION("IMPORTXML(E3937,""/html/body/main/div[3]/div[3]/div[2]/ul/li[8]/span[2]/span"")"),"Loading...")</f>
        <v>Loading...</v>
      </c>
      <c r="T3937" s="4">
        <v>34.6</v>
      </c>
      <c r="U3937" s="4">
        <v>22.7</v>
      </c>
      <c r="V3937" s="4">
        <v>2.6</v>
      </c>
      <c r="W3937" s="4">
        <v>5.7</v>
      </c>
      <c r="X3937" s="4">
        <v>519.92999999999995</v>
      </c>
      <c r="Y3937" s="7" t="e">
        <f t="shared" ca="1" si="79"/>
        <v>#VALUE!</v>
      </c>
    </row>
    <row r="3938" spans="1:25" ht="15" x14ac:dyDescent="0.25">
      <c r="A3938" s="4">
        <v>3937</v>
      </c>
      <c r="C3938" s="41" t="s">
        <v>6303</v>
      </c>
      <c r="D3938" s="42"/>
      <c r="E3938" s="5" t="str">
        <f t="shared" si="75"/>
        <v>https://www.screener.in/company//consolidated/</v>
      </c>
      <c r="F3938" s="4">
        <v>443059</v>
      </c>
      <c r="G3938" s="4">
        <v>3832241897</v>
      </c>
      <c r="H3938" s="6" t="e">
        <f t="shared" ca="1" si="76"/>
        <v>#VALUE!</v>
      </c>
      <c r="I3938" s="7" t="str">
        <f ca="1">IFERROR(__xludf.DUMMYFUNCTION("IMPORTXML(E3938,""/html/body/main/div[3]/div[3]/div[2]/ul/li[5]/span[2]/span"")"),"Loading...")</f>
        <v>Loading...</v>
      </c>
      <c r="J3938" s="7" t="str">
        <f ca="1">IFERROR(__xludf.DUMMYFUNCTION("GOOGLEFINANCE(""NSE:""&amp;D3938,""marketcap"")"),"#N/A")</f>
        <v>#N/A</v>
      </c>
      <c r="K3938" s="7">
        <v>992.8</v>
      </c>
      <c r="L3938" s="8" t="str">
        <f ca="1">IFERROR(__xludf.DUMMYFUNCTION("GOOGLEFINANCE(""NSE:""&amp;D3938,""price"")"),"#N/A")</f>
        <v>#N/A</v>
      </c>
      <c r="M3938" s="9" t="e">
        <f t="shared" ca="1" si="77"/>
        <v>#VALUE!</v>
      </c>
      <c r="N3938" s="10" t="e">
        <f t="shared" ca="1" si="78"/>
        <v>#VALUE!</v>
      </c>
      <c r="O3938" s="7" t="str">
        <f ca="1">IFERROR(__xludf.DUMMYFUNCTION("GOOGLEFINANCE(""NSE:""&amp;D3938,""pe"")"),"#N/A")</f>
        <v>#N/A</v>
      </c>
      <c r="P3938" s="7" t="str">
        <f ca="1">IFERROR(__xludf.DUMMYFUNCTION("GOOGLEFINANCE(""NSE:""&amp;D3938,""EPS"")"),"#N/A")</f>
        <v>#N/A</v>
      </c>
      <c r="Q3938" s="7">
        <v>13.5</v>
      </c>
      <c r="R3938" s="7" t="str">
        <f ca="1">IFERROR(__xludf.DUMMYFUNCTION("IMPORTXML(E3938,""/html/body/main/div[3]/div[3]/div[2]/ul/li[7]/span[2]/span"")"),"Loading...")</f>
        <v>Loading...</v>
      </c>
      <c r="S3938" s="7" t="str">
        <f ca="1">IFERROR(__xludf.DUMMYFUNCTION("IMPORTXML(E3938,""/html/body/main/div[3]/div[3]/div[2]/ul/li[8]/span[2]/span"")"),"Loading...")</f>
        <v>Loading...</v>
      </c>
      <c r="T3938" s="4">
        <v>34.6</v>
      </c>
      <c r="U3938" s="4">
        <v>22.7</v>
      </c>
      <c r="V3938" s="4">
        <v>2.6</v>
      </c>
      <c r="W3938" s="4">
        <v>5.7</v>
      </c>
      <c r="X3938" s="4">
        <v>519.92999999999995</v>
      </c>
      <c r="Y3938" s="7" t="e">
        <f t="shared" ca="1" si="79"/>
        <v>#VALUE!</v>
      </c>
    </row>
    <row r="3939" spans="1:25" ht="15" x14ac:dyDescent="0.25">
      <c r="A3939" s="4">
        <v>3938</v>
      </c>
      <c r="C3939" s="12" t="s">
        <v>6304</v>
      </c>
      <c r="D3939" s="37"/>
      <c r="E3939" s="5" t="str">
        <f t="shared" si="75"/>
        <v>https://www.screener.in/company//consolidated/</v>
      </c>
      <c r="F3939" s="4">
        <v>443059</v>
      </c>
      <c r="G3939" s="4">
        <v>3832241897</v>
      </c>
      <c r="H3939" s="6" t="e">
        <f t="shared" ca="1" si="76"/>
        <v>#VALUE!</v>
      </c>
      <c r="I3939" s="7" t="str">
        <f ca="1">IFERROR(__xludf.DUMMYFUNCTION("IMPORTXML(E3939,""/html/body/main/div[3]/div[3]/div[2]/ul/li[5]/span[2]/span"")"),"Loading...")</f>
        <v>Loading...</v>
      </c>
      <c r="J3939" s="7" t="str">
        <f ca="1">IFERROR(__xludf.DUMMYFUNCTION("GOOGLEFINANCE(""NSE:""&amp;D3939,""marketcap"")"),"#N/A")</f>
        <v>#N/A</v>
      </c>
      <c r="K3939" s="7">
        <v>992.8</v>
      </c>
      <c r="L3939" s="8" t="str">
        <f ca="1">IFERROR(__xludf.DUMMYFUNCTION("GOOGLEFINANCE(""NSE:""&amp;D3939,""price"")"),"#N/A")</f>
        <v>#N/A</v>
      </c>
      <c r="M3939" s="9" t="e">
        <f t="shared" ca="1" si="77"/>
        <v>#VALUE!</v>
      </c>
      <c r="N3939" s="10" t="e">
        <f t="shared" ca="1" si="78"/>
        <v>#VALUE!</v>
      </c>
      <c r="O3939" s="7" t="str">
        <f ca="1">IFERROR(__xludf.DUMMYFUNCTION("GOOGLEFINANCE(""NSE:""&amp;D3939,""pe"")"),"#N/A")</f>
        <v>#N/A</v>
      </c>
      <c r="P3939" s="7" t="str">
        <f ca="1">IFERROR(__xludf.DUMMYFUNCTION("GOOGLEFINANCE(""NSE:""&amp;D3939,""EPS"")"),"#N/A")</f>
        <v>#N/A</v>
      </c>
      <c r="Q3939" s="7">
        <v>13.5</v>
      </c>
      <c r="R3939" s="7" t="str">
        <f ca="1">IFERROR(__xludf.DUMMYFUNCTION("IMPORTXML(E3939,""/html/body/main/div[3]/div[3]/div[2]/ul/li[7]/span[2]/span"")"),"Loading...")</f>
        <v>Loading...</v>
      </c>
      <c r="S3939" s="7" t="str">
        <f ca="1">IFERROR(__xludf.DUMMYFUNCTION("IMPORTXML(E3939,""/html/body/main/div[3]/div[3]/div[2]/ul/li[8]/span[2]/span"")"),"Loading...")</f>
        <v>Loading...</v>
      </c>
      <c r="T3939" s="4">
        <v>34.6</v>
      </c>
      <c r="U3939" s="4">
        <v>22.7</v>
      </c>
      <c r="V3939" s="4">
        <v>2.6</v>
      </c>
      <c r="W3939" s="4">
        <v>5.7</v>
      </c>
      <c r="X3939" s="4">
        <v>519.92999999999995</v>
      </c>
      <c r="Y3939" s="7" t="e">
        <f t="shared" ca="1" si="79"/>
        <v>#VALUE!</v>
      </c>
    </row>
    <row r="3940" spans="1:25" ht="15" x14ac:dyDescent="0.25">
      <c r="A3940" s="4">
        <v>3939</v>
      </c>
      <c r="C3940" s="41" t="s">
        <v>6305</v>
      </c>
      <c r="D3940" s="42"/>
      <c r="E3940" s="5" t="str">
        <f t="shared" si="75"/>
        <v>https://www.screener.in/company//consolidated/</v>
      </c>
      <c r="F3940" s="4">
        <v>443059</v>
      </c>
      <c r="G3940" s="4">
        <v>3832241897</v>
      </c>
      <c r="H3940" s="6" t="e">
        <f t="shared" ca="1" si="76"/>
        <v>#VALUE!</v>
      </c>
      <c r="I3940" s="7" t="str">
        <f ca="1">IFERROR(__xludf.DUMMYFUNCTION("IMPORTXML(E3940,""/html/body/main/div[3]/div[3]/div[2]/ul/li[5]/span[2]/span"")"),"Loading...")</f>
        <v>Loading...</v>
      </c>
      <c r="J3940" s="7" t="str">
        <f ca="1">IFERROR(__xludf.DUMMYFUNCTION("GOOGLEFINANCE(""NSE:""&amp;D3940,""marketcap"")"),"#N/A")</f>
        <v>#N/A</v>
      </c>
      <c r="K3940" s="7">
        <v>992.8</v>
      </c>
      <c r="L3940" s="8" t="str">
        <f ca="1">IFERROR(__xludf.DUMMYFUNCTION("GOOGLEFINANCE(""NSE:""&amp;D3940,""price"")"),"#N/A")</f>
        <v>#N/A</v>
      </c>
      <c r="M3940" s="9" t="e">
        <f t="shared" ca="1" si="77"/>
        <v>#VALUE!</v>
      </c>
      <c r="N3940" s="10" t="e">
        <f t="shared" ca="1" si="78"/>
        <v>#VALUE!</v>
      </c>
      <c r="O3940" s="7" t="str">
        <f ca="1">IFERROR(__xludf.DUMMYFUNCTION("GOOGLEFINANCE(""NSE:""&amp;D3940,""pe"")"),"#N/A")</f>
        <v>#N/A</v>
      </c>
      <c r="P3940" s="7" t="str">
        <f ca="1">IFERROR(__xludf.DUMMYFUNCTION("GOOGLEFINANCE(""NSE:""&amp;D3940,""EPS"")"),"#N/A")</f>
        <v>#N/A</v>
      </c>
      <c r="Q3940" s="7">
        <v>13.5</v>
      </c>
      <c r="R3940" s="7" t="str">
        <f ca="1">IFERROR(__xludf.DUMMYFUNCTION("IMPORTXML(E3940,""/html/body/main/div[3]/div[3]/div[2]/ul/li[7]/span[2]/span"")"),"Loading...")</f>
        <v>Loading...</v>
      </c>
      <c r="S3940" s="7" t="str">
        <f ca="1">IFERROR(__xludf.DUMMYFUNCTION("IMPORTXML(E3940,""/html/body/main/div[3]/div[3]/div[2]/ul/li[8]/span[2]/span"")"),"Loading...")</f>
        <v>Loading...</v>
      </c>
      <c r="T3940" s="4">
        <v>34.6</v>
      </c>
      <c r="U3940" s="4">
        <v>22.7</v>
      </c>
      <c r="V3940" s="4">
        <v>2.6</v>
      </c>
      <c r="W3940" s="4">
        <v>5.7</v>
      </c>
      <c r="X3940" s="4">
        <v>519.92999999999995</v>
      </c>
      <c r="Y3940" s="7" t="e">
        <f t="shared" ca="1" si="79"/>
        <v>#VALUE!</v>
      </c>
    </row>
    <row r="3941" spans="1:25" ht="15" x14ac:dyDescent="0.25">
      <c r="A3941" s="4">
        <v>3940</v>
      </c>
      <c r="C3941" s="41" t="s">
        <v>6306</v>
      </c>
      <c r="D3941" s="42"/>
      <c r="E3941" s="5" t="str">
        <f t="shared" si="75"/>
        <v>https://www.screener.in/company//consolidated/</v>
      </c>
      <c r="F3941" s="4">
        <v>443059</v>
      </c>
      <c r="G3941" s="4">
        <v>3832241897</v>
      </c>
      <c r="H3941" s="6" t="e">
        <f t="shared" ca="1" si="76"/>
        <v>#VALUE!</v>
      </c>
      <c r="I3941" s="7" t="str">
        <f ca="1">IFERROR(__xludf.DUMMYFUNCTION("IMPORTXML(E3941,""/html/body/main/div[3]/div[3]/div[2]/ul/li[5]/span[2]/span"")"),"Loading...")</f>
        <v>Loading...</v>
      </c>
      <c r="J3941" s="7" t="str">
        <f ca="1">IFERROR(__xludf.DUMMYFUNCTION("GOOGLEFINANCE(""NSE:""&amp;D3941,""marketcap"")"),"#N/A")</f>
        <v>#N/A</v>
      </c>
      <c r="K3941" s="7">
        <v>992.8</v>
      </c>
      <c r="L3941" s="8" t="str">
        <f ca="1">IFERROR(__xludf.DUMMYFUNCTION("GOOGLEFINANCE(""NSE:""&amp;D3941,""price"")"),"#N/A")</f>
        <v>#N/A</v>
      </c>
      <c r="M3941" s="9" t="e">
        <f t="shared" ca="1" si="77"/>
        <v>#VALUE!</v>
      </c>
      <c r="N3941" s="10" t="e">
        <f t="shared" ca="1" si="78"/>
        <v>#VALUE!</v>
      </c>
      <c r="O3941" s="7" t="str">
        <f ca="1">IFERROR(__xludf.DUMMYFUNCTION("GOOGLEFINANCE(""NSE:""&amp;D3941,""pe"")"),"#N/A")</f>
        <v>#N/A</v>
      </c>
      <c r="P3941" s="7" t="str">
        <f ca="1">IFERROR(__xludf.DUMMYFUNCTION("GOOGLEFINANCE(""NSE:""&amp;D3941,""EPS"")"),"#N/A")</f>
        <v>#N/A</v>
      </c>
      <c r="Q3941" s="7">
        <v>13.5</v>
      </c>
      <c r="R3941" s="7" t="str">
        <f ca="1">IFERROR(__xludf.DUMMYFUNCTION("IMPORTXML(E3941,""/html/body/main/div[3]/div[3]/div[2]/ul/li[7]/span[2]/span"")"),"Loading...")</f>
        <v>Loading...</v>
      </c>
      <c r="S3941" s="7" t="str">
        <f ca="1">IFERROR(__xludf.DUMMYFUNCTION("IMPORTXML(E3941,""/html/body/main/div[3]/div[3]/div[2]/ul/li[8]/span[2]/span"")"),"Loading...")</f>
        <v>Loading...</v>
      </c>
      <c r="T3941" s="4">
        <v>34.6</v>
      </c>
      <c r="U3941" s="4">
        <v>22.7</v>
      </c>
      <c r="V3941" s="4">
        <v>2.6</v>
      </c>
      <c r="W3941" s="4">
        <v>5.7</v>
      </c>
      <c r="X3941" s="4">
        <v>519.92999999999995</v>
      </c>
      <c r="Y3941" s="7" t="e">
        <f t="shared" ca="1" si="79"/>
        <v>#VALUE!</v>
      </c>
    </row>
    <row r="3942" spans="1:25" ht="15" x14ac:dyDescent="0.25">
      <c r="A3942" s="4">
        <v>3941</v>
      </c>
      <c r="C3942" s="41" t="s">
        <v>6307</v>
      </c>
      <c r="D3942" s="42"/>
      <c r="E3942" s="5" t="str">
        <f t="shared" si="75"/>
        <v>https://www.screener.in/company//consolidated/</v>
      </c>
      <c r="F3942" s="4">
        <v>443059</v>
      </c>
      <c r="G3942" s="4">
        <v>3832241897</v>
      </c>
      <c r="H3942" s="6" t="e">
        <f t="shared" ca="1" si="76"/>
        <v>#VALUE!</v>
      </c>
      <c r="I3942" s="7" t="str">
        <f ca="1">IFERROR(__xludf.DUMMYFUNCTION("IMPORTXML(E3942,""/html/body/main/div[3]/div[3]/div[2]/ul/li[5]/span[2]/span"")"),"Loading...")</f>
        <v>Loading...</v>
      </c>
      <c r="J3942" s="7" t="str">
        <f ca="1">IFERROR(__xludf.DUMMYFUNCTION("GOOGLEFINANCE(""NSE:""&amp;D3942,""marketcap"")"),"#N/A")</f>
        <v>#N/A</v>
      </c>
      <c r="K3942" s="7">
        <v>992.8</v>
      </c>
      <c r="L3942" s="8" t="str">
        <f ca="1">IFERROR(__xludf.DUMMYFUNCTION("GOOGLEFINANCE(""NSE:""&amp;D3942,""price"")"),"#N/A")</f>
        <v>#N/A</v>
      </c>
      <c r="M3942" s="9" t="e">
        <f t="shared" ca="1" si="77"/>
        <v>#VALUE!</v>
      </c>
      <c r="N3942" s="10" t="e">
        <f t="shared" ca="1" si="78"/>
        <v>#VALUE!</v>
      </c>
      <c r="O3942" s="7" t="str">
        <f ca="1">IFERROR(__xludf.DUMMYFUNCTION("GOOGLEFINANCE(""NSE:""&amp;D3942,""pe"")"),"#N/A")</f>
        <v>#N/A</v>
      </c>
      <c r="P3942" s="7" t="str">
        <f ca="1">IFERROR(__xludf.DUMMYFUNCTION("GOOGLEFINANCE(""NSE:""&amp;D3942,""EPS"")"),"#N/A")</f>
        <v>#N/A</v>
      </c>
      <c r="Q3942" s="7">
        <v>13.5</v>
      </c>
      <c r="R3942" s="7" t="str">
        <f ca="1">IFERROR(__xludf.DUMMYFUNCTION("IMPORTXML(E3942,""/html/body/main/div[3]/div[3]/div[2]/ul/li[7]/span[2]/span"")"),"Loading...")</f>
        <v>Loading...</v>
      </c>
      <c r="S3942" s="7" t="str">
        <f ca="1">IFERROR(__xludf.DUMMYFUNCTION("IMPORTXML(E3942,""/html/body/main/div[3]/div[3]/div[2]/ul/li[8]/span[2]/span"")"),"Loading...")</f>
        <v>Loading...</v>
      </c>
      <c r="T3942" s="4">
        <v>34.6</v>
      </c>
      <c r="U3942" s="4">
        <v>22.7</v>
      </c>
      <c r="V3942" s="4">
        <v>2.6</v>
      </c>
      <c r="W3942" s="4">
        <v>5.7</v>
      </c>
      <c r="X3942" s="4">
        <v>519.92999999999995</v>
      </c>
      <c r="Y3942" s="7" t="e">
        <f t="shared" ca="1" si="79"/>
        <v>#VALUE!</v>
      </c>
    </row>
    <row r="3943" spans="1:25" ht="15" x14ac:dyDescent="0.25">
      <c r="A3943" s="4">
        <v>3942</v>
      </c>
      <c r="C3943" s="41" t="s">
        <v>6308</v>
      </c>
      <c r="D3943" s="42"/>
      <c r="E3943" s="5" t="str">
        <f t="shared" si="75"/>
        <v>https://www.screener.in/company//consolidated/</v>
      </c>
      <c r="F3943" s="4">
        <v>443059</v>
      </c>
      <c r="G3943" s="4">
        <v>3832241897</v>
      </c>
      <c r="H3943" s="6" t="e">
        <f t="shared" ca="1" si="76"/>
        <v>#VALUE!</v>
      </c>
      <c r="I3943" s="7" t="str">
        <f ca="1">IFERROR(__xludf.DUMMYFUNCTION("IMPORTXML(E3943,""/html/body/main/div[3]/div[3]/div[2]/ul/li[5]/span[2]/span"")"),"Loading...")</f>
        <v>Loading...</v>
      </c>
      <c r="J3943" s="7" t="str">
        <f ca="1">IFERROR(__xludf.DUMMYFUNCTION("GOOGLEFINANCE(""NSE:""&amp;D3943,""marketcap"")"),"#N/A")</f>
        <v>#N/A</v>
      </c>
      <c r="K3943" s="7">
        <v>992.8</v>
      </c>
      <c r="L3943" s="8" t="str">
        <f ca="1">IFERROR(__xludf.DUMMYFUNCTION("GOOGLEFINANCE(""NSE:""&amp;D3943,""price"")"),"#N/A")</f>
        <v>#N/A</v>
      </c>
      <c r="M3943" s="9" t="e">
        <f t="shared" ca="1" si="77"/>
        <v>#VALUE!</v>
      </c>
      <c r="N3943" s="10" t="e">
        <f t="shared" ca="1" si="78"/>
        <v>#VALUE!</v>
      </c>
      <c r="O3943" s="7" t="str">
        <f ca="1">IFERROR(__xludf.DUMMYFUNCTION("GOOGLEFINANCE(""NSE:""&amp;D3943,""pe"")"),"#N/A")</f>
        <v>#N/A</v>
      </c>
      <c r="P3943" s="7" t="str">
        <f ca="1">IFERROR(__xludf.DUMMYFUNCTION("GOOGLEFINANCE(""NSE:""&amp;D3943,""EPS"")"),"#N/A")</f>
        <v>#N/A</v>
      </c>
      <c r="Q3943" s="7">
        <v>13.5</v>
      </c>
      <c r="R3943" s="7" t="str">
        <f ca="1">IFERROR(__xludf.DUMMYFUNCTION("IMPORTXML(E3943,""/html/body/main/div[3]/div[3]/div[2]/ul/li[7]/span[2]/span"")"),"Loading...")</f>
        <v>Loading...</v>
      </c>
      <c r="S3943" s="7" t="str">
        <f ca="1">IFERROR(__xludf.DUMMYFUNCTION("IMPORTXML(E3943,""/html/body/main/div[3]/div[3]/div[2]/ul/li[8]/span[2]/span"")"),"Loading...")</f>
        <v>Loading...</v>
      </c>
      <c r="T3943" s="4">
        <v>34.6</v>
      </c>
      <c r="U3943" s="4">
        <v>22.7</v>
      </c>
      <c r="V3943" s="4">
        <v>2.6</v>
      </c>
      <c r="W3943" s="4">
        <v>5.7</v>
      </c>
      <c r="X3943" s="4">
        <v>519.92999999999995</v>
      </c>
      <c r="Y3943" s="7" t="e">
        <f t="shared" ca="1" si="79"/>
        <v>#VALUE!</v>
      </c>
    </row>
    <row r="3944" spans="1:25" ht="15" x14ac:dyDescent="0.25">
      <c r="A3944" s="4">
        <v>3943</v>
      </c>
      <c r="C3944" s="41" t="s">
        <v>6309</v>
      </c>
      <c r="D3944" s="42"/>
      <c r="E3944" s="5" t="str">
        <f t="shared" si="75"/>
        <v>https://www.screener.in/company//consolidated/</v>
      </c>
      <c r="F3944" s="4">
        <v>443059</v>
      </c>
      <c r="G3944" s="4">
        <v>3832241897</v>
      </c>
      <c r="H3944" s="6" t="e">
        <f t="shared" ca="1" si="76"/>
        <v>#VALUE!</v>
      </c>
      <c r="I3944" s="7" t="str">
        <f ca="1">IFERROR(__xludf.DUMMYFUNCTION("IMPORTXML(E3944,""/html/body/main/div[3]/div[3]/div[2]/ul/li[5]/span[2]/span"")"),"Loading...")</f>
        <v>Loading...</v>
      </c>
      <c r="J3944" s="7" t="str">
        <f ca="1">IFERROR(__xludf.DUMMYFUNCTION("GOOGLEFINANCE(""NSE:""&amp;D3944,""marketcap"")"),"#N/A")</f>
        <v>#N/A</v>
      </c>
      <c r="K3944" s="7">
        <v>992.8</v>
      </c>
      <c r="L3944" s="8" t="str">
        <f ca="1">IFERROR(__xludf.DUMMYFUNCTION("GOOGLEFINANCE(""NSE:""&amp;D3944,""price"")"),"#N/A")</f>
        <v>#N/A</v>
      </c>
      <c r="M3944" s="9" t="e">
        <f t="shared" ca="1" si="77"/>
        <v>#VALUE!</v>
      </c>
      <c r="N3944" s="10" t="e">
        <f t="shared" ca="1" si="78"/>
        <v>#VALUE!</v>
      </c>
      <c r="O3944" s="7" t="str">
        <f ca="1">IFERROR(__xludf.DUMMYFUNCTION("GOOGLEFINANCE(""NSE:""&amp;D3944,""pe"")"),"#N/A")</f>
        <v>#N/A</v>
      </c>
      <c r="P3944" s="7" t="str">
        <f ca="1">IFERROR(__xludf.DUMMYFUNCTION("GOOGLEFINANCE(""NSE:""&amp;D3944,""EPS"")"),"#N/A")</f>
        <v>#N/A</v>
      </c>
      <c r="Q3944" s="7">
        <v>13.5</v>
      </c>
      <c r="R3944" s="7" t="str">
        <f ca="1">IFERROR(__xludf.DUMMYFUNCTION("IMPORTXML(E3944,""/html/body/main/div[3]/div[3]/div[2]/ul/li[7]/span[2]/span"")"),"Loading...")</f>
        <v>Loading...</v>
      </c>
      <c r="S3944" s="7" t="str">
        <f ca="1">IFERROR(__xludf.DUMMYFUNCTION("IMPORTXML(E3944,""/html/body/main/div[3]/div[3]/div[2]/ul/li[8]/span[2]/span"")"),"Loading...")</f>
        <v>Loading...</v>
      </c>
      <c r="T3944" s="4">
        <v>34.6</v>
      </c>
      <c r="U3944" s="4">
        <v>22.7</v>
      </c>
      <c r="V3944" s="4">
        <v>2.6</v>
      </c>
      <c r="W3944" s="4">
        <v>5.7</v>
      </c>
      <c r="X3944" s="4">
        <v>519.92999999999995</v>
      </c>
      <c r="Y3944" s="7" t="e">
        <f t="shared" ca="1" si="79"/>
        <v>#VALUE!</v>
      </c>
    </row>
    <row r="3945" spans="1:25" ht="15" x14ac:dyDescent="0.25">
      <c r="A3945" s="4">
        <v>3944</v>
      </c>
      <c r="C3945" s="41" t="s">
        <v>6310</v>
      </c>
      <c r="D3945" s="42"/>
      <c r="E3945" s="5" t="str">
        <f t="shared" si="75"/>
        <v>https://www.screener.in/company//consolidated/</v>
      </c>
      <c r="F3945" s="4">
        <v>443059</v>
      </c>
      <c r="G3945" s="4">
        <v>3832241897</v>
      </c>
      <c r="H3945" s="6" t="e">
        <f t="shared" ca="1" si="76"/>
        <v>#VALUE!</v>
      </c>
      <c r="I3945" s="7" t="str">
        <f ca="1">IFERROR(__xludf.DUMMYFUNCTION("IMPORTXML(E3945,""/html/body/main/div[3]/div[3]/div[2]/ul/li[5]/span[2]/span"")"),"Loading...")</f>
        <v>Loading...</v>
      </c>
      <c r="J3945" s="7" t="str">
        <f ca="1">IFERROR(__xludf.DUMMYFUNCTION("GOOGLEFINANCE(""NSE:""&amp;D3945,""marketcap"")"),"#N/A")</f>
        <v>#N/A</v>
      </c>
      <c r="K3945" s="7">
        <v>992.8</v>
      </c>
      <c r="L3945" s="8" t="str">
        <f ca="1">IFERROR(__xludf.DUMMYFUNCTION("GOOGLEFINANCE(""NSE:""&amp;D3945,""price"")"),"#N/A")</f>
        <v>#N/A</v>
      </c>
      <c r="M3945" s="9" t="e">
        <f t="shared" ca="1" si="77"/>
        <v>#VALUE!</v>
      </c>
      <c r="N3945" s="10" t="e">
        <f t="shared" ca="1" si="78"/>
        <v>#VALUE!</v>
      </c>
      <c r="O3945" s="7" t="str">
        <f ca="1">IFERROR(__xludf.DUMMYFUNCTION("GOOGLEFINANCE(""NSE:""&amp;D3945,""pe"")"),"#N/A")</f>
        <v>#N/A</v>
      </c>
      <c r="P3945" s="7" t="str">
        <f ca="1">IFERROR(__xludf.DUMMYFUNCTION("GOOGLEFINANCE(""NSE:""&amp;D3945,""EPS"")"),"#N/A")</f>
        <v>#N/A</v>
      </c>
      <c r="Q3945" s="7">
        <v>13.5</v>
      </c>
      <c r="R3945" s="7" t="str">
        <f ca="1">IFERROR(__xludf.DUMMYFUNCTION("IMPORTXML(E3945,""/html/body/main/div[3]/div[3]/div[2]/ul/li[7]/span[2]/span"")"),"Loading...")</f>
        <v>Loading...</v>
      </c>
      <c r="S3945" s="7" t="str">
        <f ca="1">IFERROR(__xludf.DUMMYFUNCTION("IMPORTXML(E3945,""/html/body/main/div[3]/div[3]/div[2]/ul/li[8]/span[2]/span"")"),"Loading...")</f>
        <v>Loading...</v>
      </c>
      <c r="T3945" s="4">
        <v>34.6</v>
      </c>
      <c r="U3945" s="4">
        <v>22.7</v>
      </c>
      <c r="V3945" s="4">
        <v>2.6</v>
      </c>
      <c r="W3945" s="4">
        <v>5.7</v>
      </c>
      <c r="X3945" s="4">
        <v>519.92999999999995</v>
      </c>
      <c r="Y3945" s="7" t="e">
        <f t="shared" ca="1" si="79"/>
        <v>#VALUE!</v>
      </c>
    </row>
    <row r="3946" spans="1:25" ht="15" x14ac:dyDescent="0.25">
      <c r="A3946" s="4">
        <v>3945</v>
      </c>
      <c r="C3946" s="41" t="s">
        <v>6311</v>
      </c>
      <c r="D3946" s="42"/>
      <c r="E3946" s="5" t="str">
        <f t="shared" si="75"/>
        <v>https://www.screener.in/company//consolidated/</v>
      </c>
      <c r="F3946" s="4">
        <v>443059</v>
      </c>
      <c r="G3946" s="4">
        <v>3832241897</v>
      </c>
      <c r="H3946" s="6" t="e">
        <f t="shared" ca="1" si="76"/>
        <v>#VALUE!</v>
      </c>
      <c r="I3946" s="7" t="str">
        <f ca="1">IFERROR(__xludf.DUMMYFUNCTION("IMPORTXML(E3946,""/html/body/main/div[3]/div[3]/div[2]/ul/li[5]/span[2]/span"")"),"Loading...")</f>
        <v>Loading...</v>
      </c>
      <c r="J3946" s="7" t="str">
        <f ca="1">IFERROR(__xludf.DUMMYFUNCTION("GOOGLEFINANCE(""NSE:""&amp;D3946,""marketcap"")"),"#N/A")</f>
        <v>#N/A</v>
      </c>
      <c r="K3946" s="7">
        <v>992.8</v>
      </c>
      <c r="L3946" s="8" t="str">
        <f ca="1">IFERROR(__xludf.DUMMYFUNCTION("GOOGLEFINANCE(""NSE:""&amp;D3946,""price"")"),"#N/A")</f>
        <v>#N/A</v>
      </c>
      <c r="M3946" s="9" t="e">
        <f t="shared" ca="1" si="77"/>
        <v>#VALUE!</v>
      </c>
      <c r="N3946" s="10" t="e">
        <f t="shared" ca="1" si="78"/>
        <v>#VALUE!</v>
      </c>
      <c r="O3946" s="7" t="str">
        <f ca="1">IFERROR(__xludf.DUMMYFUNCTION("GOOGLEFINANCE(""NSE:""&amp;D3946,""pe"")"),"#N/A")</f>
        <v>#N/A</v>
      </c>
      <c r="P3946" s="7" t="str">
        <f ca="1">IFERROR(__xludf.DUMMYFUNCTION("GOOGLEFINANCE(""NSE:""&amp;D3946,""EPS"")"),"#N/A")</f>
        <v>#N/A</v>
      </c>
      <c r="Q3946" s="7">
        <v>13.5</v>
      </c>
      <c r="R3946" s="7" t="str">
        <f ca="1">IFERROR(__xludf.DUMMYFUNCTION("IMPORTXML(E3946,""/html/body/main/div[3]/div[3]/div[2]/ul/li[7]/span[2]/span"")"),"Loading...")</f>
        <v>Loading...</v>
      </c>
      <c r="S3946" s="7" t="str">
        <f ca="1">IFERROR(__xludf.DUMMYFUNCTION("IMPORTXML(E3946,""/html/body/main/div[3]/div[3]/div[2]/ul/li[8]/span[2]/span"")"),"Loading...")</f>
        <v>Loading...</v>
      </c>
      <c r="T3946" s="4">
        <v>34.6</v>
      </c>
      <c r="U3946" s="4">
        <v>22.7</v>
      </c>
      <c r="V3946" s="4">
        <v>2.6</v>
      </c>
      <c r="W3946" s="4">
        <v>5.7</v>
      </c>
      <c r="X3946" s="4">
        <v>519.92999999999995</v>
      </c>
      <c r="Y3946" s="7" t="e">
        <f t="shared" ca="1" si="79"/>
        <v>#VALUE!</v>
      </c>
    </row>
    <row r="3947" spans="1:25" ht="15" x14ac:dyDescent="0.25">
      <c r="A3947" s="4">
        <v>3946</v>
      </c>
      <c r="C3947" s="12" t="s">
        <v>6312</v>
      </c>
      <c r="D3947" s="12" t="s">
        <v>6313</v>
      </c>
      <c r="E3947" s="5" t="str">
        <f t="shared" si="75"/>
        <v>https://www.screener.in/company/FSC/consolidated/</v>
      </c>
      <c r="F3947" s="4">
        <v>443059</v>
      </c>
      <c r="G3947" s="4">
        <v>3832241897</v>
      </c>
      <c r="H3947" s="6">
        <f t="shared" ca="1" si="76"/>
        <v>923.57029717700004</v>
      </c>
      <c r="I3947" s="7" t="str">
        <f ca="1">IFERROR(__xludf.DUMMYFUNCTION("IMPORTXML(E3947,""/html/body/main/div[3]/div[3]/div[2]/ul/li[5]/span[2]/span"")"),"Loading...")</f>
        <v>Loading...</v>
      </c>
      <c r="J3947" s="7">
        <f ca="1">IFERROR(__xludf.DUMMYFUNCTION("GOOGLEFINANCE(""NSE:""&amp;D3947,""marketcap"")"),104397781)</f>
        <v>104397781</v>
      </c>
      <c r="K3947" s="7">
        <v>992.8</v>
      </c>
      <c r="L3947" s="8">
        <f ca="1">IFERROR(__xludf.DUMMYFUNCTION("GOOGLEFINANCE(""NSE:""&amp;D3947,""price"")"),2.41)</f>
        <v>2.41</v>
      </c>
      <c r="M3947" s="9">
        <f t="shared" ca="1" si="77"/>
        <v>-990.39</v>
      </c>
      <c r="N3947" s="10">
        <f t="shared" ca="1" si="78"/>
        <v>-99.757252215954878</v>
      </c>
      <c r="O3947" s="7" t="str">
        <f ca="1">IFERROR(__xludf.DUMMYFUNCTION("GOOGLEFINANCE(""NSE:""&amp;D3947,""pe"")"),"#N/A")</f>
        <v>#N/A</v>
      </c>
      <c r="P3947" s="7" t="str">
        <f ca="1">IFERROR(__xludf.DUMMYFUNCTION("GOOGLEFINANCE(""NSE:""&amp;D3947,""EPS"")"),"#N/A")</f>
        <v>#N/A</v>
      </c>
      <c r="Q3947" s="7">
        <v>13.5</v>
      </c>
      <c r="R3947" s="7" t="str">
        <f ca="1">IFERROR(__xludf.DUMMYFUNCTION("IMPORTXML(E3947,""/html/body/main/div[3]/div[3]/div[2]/ul/li[7]/span[2]/span"")"),"Loading...")</f>
        <v>Loading...</v>
      </c>
      <c r="S3947" s="7" t="str">
        <f ca="1">IFERROR(__xludf.DUMMYFUNCTION("IMPORTXML(E3947,""/html/body/main/div[3]/div[3]/div[2]/ul/li[8]/span[2]/span"")"),"Loading...")</f>
        <v>Loading...</v>
      </c>
      <c r="T3947" s="4">
        <v>34.6</v>
      </c>
      <c r="U3947" s="4">
        <v>22.7</v>
      </c>
      <c r="V3947" s="4">
        <v>2.6</v>
      </c>
      <c r="W3947" s="4">
        <v>5.7</v>
      </c>
      <c r="X3947" s="4">
        <v>519.92999999999995</v>
      </c>
      <c r="Y3947" s="7">
        <f t="shared" ca="1" si="79"/>
        <v>-517.52</v>
      </c>
    </row>
    <row r="3948" spans="1:25" ht="15" x14ac:dyDescent="0.25">
      <c r="A3948" s="4">
        <v>3947</v>
      </c>
      <c r="C3948" s="41" t="s">
        <v>6314</v>
      </c>
      <c r="D3948" s="42"/>
      <c r="E3948" s="5" t="str">
        <f t="shared" si="75"/>
        <v>https://www.screener.in/company//consolidated/</v>
      </c>
      <c r="F3948" s="4">
        <v>443059</v>
      </c>
      <c r="G3948" s="4">
        <v>3832241897</v>
      </c>
      <c r="H3948" s="6" t="e">
        <f t="shared" ca="1" si="76"/>
        <v>#VALUE!</v>
      </c>
      <c r="I3948" s="7" t="str">
        <f ca="1">IFERROR(__xludf.DUMMYFUNCTION("IMPORTXML(E3948,""/html/body/main/div[3]/div[3]/div[2]/ul/li[5]/span[2]/span"")"),"Loading...")</f>
        <v>Loading...</v>
      </c>
      <c r="J3948" s="7" t="str">
        <f ca="1">IFERROR(__xludf.DUMMYFUNCTION("GOOGLEFINANCE(""NSE:""&amp;D3948,""marketcap"")"),"#N/A")</f>
        <v>#N/A</v>
      </c>
      <c r="K3948" s="7">
        <v>992.8</v>
      </c>
      <c r="L3948" s="8" t="str">
        <f ca="1">IFERROR(__xludf.DUMMYFUNCTION("GOOGLEFINANCE(""NSE:""&amp;D3948,""price"")"),"#N/A")</f>
        <v>#N/A</v>
      </c>
      <c r="M3948" s="9" t="e">
        <f t="shared" ca="1" si="77"/>
        <v>#VALUE!</v>
      </c>
      <c r="N3948" s="10" t="e">
        <f t="shared" ca="1" si="78"/>
        <v>#VALUE!</v>
      </c>
      <c r="O3948" s="7" t="str">
        <f ca="1">IFERROR(__xludf.DUMMYFUNCTION("GOOGLEFINANCE(""NSE:""&amp;D3948,""pe"")"),"#N/A")</f>
        <v>#N/A</v>
      </c>
      <c r="P3948" s="7" t="str">
        <f ca="1">IFERROR(__xludf.DUMMYFUNCTION("GOOGLEFINANCE(""NSE:""&amp;D3948,""EPS"")"),"#N/A")</f>
        <v>#N/A</v>
      </c>
      <c r="Q3948" s="7">
        <v>13.5</v>
      </c>
      <c r="R3948" s="7" t="str">
        <f ca="1">IFERROR(__xludf.DUMMYFUNCTION("IMPORTXML(E3948,""/html/body/main/div[3]/div[3]/div[2]/ul/li[7]/span[2]/span"")"),"Loading...")</f>
        <v>Loading...</v>
      </c>
      <c r="S3948" s="7" t="str">
        <f ca="1">IFERROR(__xludf.DUMMYFUNCTION("IMPORTXML(E3948,""/html/body/main/div[3]/div[3]/div[2]/ul/li[8]/span[2]/span"")"),"Loading...")</f>
        <v>Loading...</v>
      </c>
      <c r="T3948" s="4">
        <v>34.6</v>
      </c>
      <c r="U3948" s="4">
        <v>22.7</v>
      </c>
      <c r="V3948" s="4">
        <v>2.6</v>
      </c>
      <c r="W3948" s="4">
        <v>5.7</v>
      </c>
      <c r="X3948" s="4">
        <v>519.92999999999995</v>
      </c>
      <c r="Y3948" s="7" t="e">
        <f t="shared" ca="1" si="79"/>
        <v>#VALUE!</v>
      </c>
    </row>
    <row r="3949" spans="1:25" ht="15" x14ac:dyDescent="0.25">
      <c r="A3949" s="4">
        <v>3948</v>
      </c>
      <c r="C3949" s="41" t="s">
        <v>6315</v>
      </c>
      <c r="D3949" s="42"/>
      <c r="E3949" s="5" t="str">
        <f t="shared" si="75"/>
        <v>https://www.screener.in/company//consolidated/</v>
      </c>
      <c r="F3949" s="4">
        <v>443059</v>
      </c>
      <c r="G3949" s="4">
        <v>3832241897</v>
      </c>
      <c r="H3949" s="6" t="e">
        <f t="shared" ca="1" si="76"/>
        <v>#VALUE!</v>
      </c>
      <c r="I3949" s="7" t="str">
        <f ca="1">IFERROR(__xludf.DUMMYFUNCTION("IMPORTXML(E3949,""/html/body/main/div[3]/div[3]/div[2]/ul/li[5]/span[2]/span"")"),"Loading...")</f>
        <v>Loading...</v>
      </c>
      <c r="J3949" s="7" t="str">
        <f ca="1">IFERROR(__xludf.DUMMYFUNCTION("GOOGLEFINANCE(""NSE:""&amp;D3949,""marketcap"")"),"#N/A")</f>
        <v>#N/A</v>
      </c>
      <c r="K3949" s="7">
        <v>992.8</v>
      </c>
      <c r="L3949" s="8" t="str">
        <f ca="1">IFERROR(__xludf.DUMMYFUNCTION("GOOGLEFINANCE(""NSE:""&amp;D3949,""price"")"),"#N/A")</f>
        <v>#N/A</v>
      </c>
      <c r="M3949" s="9" t="e">
        <f t="shared" ca="1" si="77"/>
        <v>#VALUE!</v>
      </c>
      <c r="N3949" s="10" t="e">
        <f t="shared" ca="1" si="78"/>
        <v>#VALUE!</v>
      </c>
      <c r="O3949" s="7" t="str">
        <f ca="1">IFERROR(__xludf.DUMMYFUNCTION("GOOGLEFINANCE(""NSE:""&amp;D3949,""pe"")"),"#N/A")</f>
        <v>#N/A</v>
      </c>
      <c r="P3949" s="7" t="str">
        <f ca="1">IFERROR(__xludf.DUMMYFUNCTION("GOOGLEFINANCE(""NSE:""&amp;D3949,""EPS"")"),"#N/A")</f>
        <v>#N/A</v>
      </c>
      <c r="Q3949" s="7">
        <v>13.5</v>
      </c>
      <c r="R3949" s="7" t="str">
        <f ca="1">IFERROR(__xludf.DUMMYFUNCTION("IMPORTXML(E3949,""/html/body/main/div[3]/div[3]/div[2]/ul/li[7]/span[2]/span"")"),"Loading...")</f>
        <v>Loading...</v>
      </c>
      <c r="S3949" s="7" t="str">
        <f ca="1">IFERROR(__xludf.DUMMYFUNCTION("IMPORTXML(E3949,""/html/body/main/div[3]/div[3]/div[2]/ul/li[8]/span[2]/span"")"),"Loading...")</f>
        <v>Loading...</v>
      </c>
      <c r="T3949" s="4">
        <v>34.6</v>
      </c>
      <c r="U3949" s="4">
        <v>22.7</v>
      </c>
      <c r="V3949" s="4">
        <v>2.6</v>
      </c>
      <c r="W3949" s="4">
        <v>5.7</v>
      </c>
      <c r="X3949" s="4">
        <v>519.92999999999995</v>
      </c>
      <c r="Y3949" s="7" t="e">
        <f t="shared" ca="1" si="79"/>
        <v>#VALUE!</v>
      </c>
    </row>
    <row r="3950" spans="1:25" ht="15" x14ac:dyDescent="0.25">
      <c r="A3950" s="4">
        <v>3949</v>
      </c>
      <c r="C3950" s="41" t="s">
        <v>6316</v>
      </c>
      <c r="D3950" s="42"/>
      <c r="E3950" s="5" t="str">
        <f t="shared" si="75"/>
        <v>https://www.screener.in/company//consolidated/</v>
      </c>
      <c r="F3950" s="4">
        <v>443059</v>
      </c>
      <c r="G3950" s="4">
        <v>3832241897</v>
      </c>
      <c r="H3950" s="6" t="e">
        <f t="shared" ca="1" si="76"/>
        <v>#VALUE!</v>
      </c>
      <c r="I3950" s="7" t="str">
        <f ca="1">IFERROR(__xludf.DUMMYFUNCTION("IMPORTXML(E3950,""/html/body/main/div[3]/div[3]/div[2]/ul/li[5]/span[2]/span"")"),"Loading...")</f>
        <v>Loading...</v>
      </c>
      <c r="J3950" s="7" t="str">
        <f ca="1">IFERROR(__xludf.DUMMYFUNCTION("GOOGLEFINANCE(""NSE:""&amp;D3950,""marketcap"")"),"#N/A")</f>
        <v>#N/A</v>
      </c>
      <c r="K3950" s="7">
        <v>992.8</v>
      </c>
      <c r="L3950" s="8" t="str">
        <f ca="1">IFERROR(__xludf.DUMMYFUNCTION("GOOGLEFINANCE(""NSE:""&amp;D3950,""price"")"),"#N/A")</f>
        <v>#N/A</v>
      </c>
      <c r="M3950" s="9" t="e">
        <f t="shared" ca="1" si="77"/>
        <v>#VALUE!</v>
      </c>
      <c r="N3950" s="10" t="e">
        <f t="shared" ca="1" si="78"/>
        <v>#VALUE!</v>
      </c>
      <c r="O3950" s="7" t="str">
        <f ca="1">IFERROR(__xludf.DUMMYFUNCTION("GOOGLEFINANCE(""NSE:""&amp;D3950,""pe"")"),"#N/A")</f>
        <v>#N/A</v>
      </c>
      <c r="P3950" s="7" t="str">
        <f ca="1">IFERROR(__xludf.DUMMYFUNCTION("GOOGLEFINANCE(""NSE:""&amp;D3950,""EPS"")"),"#N/A")</f>
        <v>#N/A</v>
      </c>
      <c r="Q3950" s="7">
        <v>13.5</v>
      </c>
      <c r="R3950" s="7" t="str">
        <f ca="1">IFERROR(__xludf.DUMMYFUNCTION("IMPORTXML(E3950,""/html/body/main/div[3]/div[3]/div[2]/ul/li[7]/span[2]/span"")"),"Loading...")</f>
        <v>Loading...</v>
      </c>
      <c r="S3950" s="7" t="str">
        <f ca="1">IFERROR(__xludf.DUMMYFUNCTION("IMPORTXML(E3950,""/html/body/main/div[3]/div[3]/div[2]/ul/li[8]/span[2]/span"")"),"Loading...")</f>
        <v>Loading...</v>
      </c>
      <c r="T3950" s="4">
        <v>34.6</v>
      </c>
      <c r="U3950" s="4">
        <v>22.7</v>
      </c>
      <c r="V3950" s="4">
        <v>2.6</v>
      </c>
      <c r="W3950" s="4">
        <v>5.7</v>
      </c>
      <c r="X3950" s="4">
        <v>519.92999999999995</v>
      </c>
      <c r="Y3950" s="7" t="e">
        <f t="shared" ca="1" si="79"/>
        <v>#VALUE!</v>
      </c>
    </row>
    <row r="3951" spans="1:25" ht="15" x14ac:dyDescent="0.25">
      <c r="A3951" s="4">
        <v>3950</v>
      </c>
      <c r="C3951" s="41" t="s">
        <v>6317</v>
      </c>
      <c r="D3951" s="42"/>
      <c r="E3951" s="5" t="str">
        <f t="shared" si="75"/>
        <v>https://www.screener.in/company//consolidated/</v>
      </c>
      <c r="F3951" s="4">
        <v>443059</v>
      </c>
      <c r="G3951" s="4">
        <v>3832241897</v>
      </c>
      <c r="H3951" s="6" t="e">
        <f t="shared" ca="1" si="76"/>
        <v>#VALUE!</v>
      </c>
      <c r="I3951" s="7" t="str">
        <f ca="1">IFERROR(__xludf.DUMMYFUNCTION("IMPORTXML(E3951,""/html/body/main/div[3]/div[3]/div[2]/ul/li[5]/span[2]/span"")"),"Loading...")</f>
        <v>Loading...</v>
      </c>
      <c r="J3951" s="7" t="str">
        <f ca="1">IFERROR(__xludf.DUMMYFUNCTION("GOOGLEFINANCE(""NSE:""&amp;D3951,""marketcap"")"),"#N/A")</f>
        <v>#N/A</v>
      </c>
      <c r="K3951" s="7">
        <v>992.8</v>
      </c>
      <c r="L3951" s="8" t="str">
        <f ca="1">IFERROR(__xludf.DUMMYFUNCTION("GOOGLEFINANCE(""NSE:""&amp;D3951,""price"")"),"#N/A")</f>
        <v>#N/A</v>
      </c>
      <c r="M3951" s="9" t="e">
        <f t="shared" ca="1" si="77"/>
        <v>#VALUE!</v>
      </c>
      <c r="N3951" s="10" t="e">
        <f t="shared" ca="1" si="78"/>
        <v>#VALUE!</v>
      </c>
      <c r="O3951" s="7" t="str">
        <f ca="1">IFERROR(__xludf.DUMMYFUNCTION("GOOGLEFINANCE(""NSE:""&amp;D3951,""pe"")"),"#N/A")</f>
        <v>#N/A</v>
      </c>
      <c r="P3951" s="7" t="str">
        <f ca="1">IFERROR(__xludf.DUMMYFUNCTION("GOOGLEFINANCE(""NSE:""&amp;D3951,""EPS"")"),"#N/A")</f>
        <v>#N/A</v>
      </c>
      <c r="Q3951" s="7">
        <v>13.5</v>
      </c>
      <c r="R3951" s="7" t="str">
        <f ca="1">IFERROR(__xludf.DUMMYFUNCTION("IMPORTXML(E3951,""/html/body/main/div[3]/div[3]/div[2]/ul/li[7]/span[2]/span"")"),"Loading...")</f>
        <v>Loading...</v>
      </c>
      <c r="S3951" s="7" t="str">
        <f ca="1">IFERROR(__xludf.DUMMYFUNCTION("IMPORTXML(E3951,""/html/body/main/div[3]/div[3]/div[2]/ul/li[8]/span[2]/span"")"),"Loading...")</f>
        <v>Loading...</v>
      </c>
      <c r="T3951" s="4">
        <v>34.6</v>
      </c>
      <c r="U3951" s="4">
        <v>22.7</v>
      </c>
      <c r="V3951" s="4">
        <v>2.6</v>
      </c>
      <c r="W3951" s="4">
        <v>5.7</v>
      </c>
      <c r="X3951" s="4">
        <v>519.92999999999995</v>
      </c>
      <c r="Y3951" s="7" t="e">
        <f t="shared" ca="1" si="79"/>
        <v>#VALUE!</v>
      </c>
    </row>
    <row r="3952" spans="1:25" ht="15" x14ac:dyDescent="0.25">
      <c r="A3952" s="4">
        <v>3951</v>
      </c>
      <c r="C3952" s="41" t="s">
        <v>6318</v>
      </c>
      <c r="D3952" s="42"/>
      <c r="E3952" s="5" t="str">
        <f t="shared" si="75"/>
        <v>https://www.screener.in/company//consolidated/</v>
      </c>
      <c r="F3952" s="4">
        <v>443059</v>
      </c>
      <c r="G3952" s="4">
        <v>3832241897</v>
      </c>
      <c r="H3952" s="6" t="e">
        <f t="shared" ca="1" si="76"/>
        <v>#VALUE!</v>
      </c>
      <c r="I3952" s="7" t="str">
        <f ca="1">IFERROR(__xludf.DUMMYFUNCTION("IMPORTXML(E3952,""/html/body/main/div[3]/div[3]/div[2]/ul/li[5]/span[2]/span"")"),"Loading...")</f>
        <v>Loading...</v>
      </c>
      <c r="J3952" s="7" t="str">
        <f ca="1">IFERROR(__xludf.DUMMYFUNCTION("GOOGLEFINANCE(""NSE:""&amp;D3952,""marketcap"")"),"#N/A")</f>
        <v>#N/A</v>
      </c>
      <c r="K3952" s="7">
        <v>992.8</v>
      </c>
      <c r="L3952" s="8" t="str">
        <f ca="1">IFERROR(__xludf.DUMMYFUNCTION("GOOGLEFINANCE(""NSE:""&amp;D3952,""price"")"),"#N/A")</f>
        <v>#N/A</v>
      </c>
      <c r="M3952" s="9" t="e">
        <f t="shared" ca="1" si="77"/>
        <v>#VALUE!</v>
      </c>
      <c r="N3952" s="10" t="e">
        <f t="shared" ca="1" si="78"/>
        <v>#VALUE!</v>
      </c>
      <c r="O3952" s="7" t="str">
        <f ca="1">IFERROR(__xludf.DUMMYFUNCTION("GOOGLEFINANCE(""NSE:""&amp;D3952,""pe"")"),"#N/A")</f>
        <v>#N/A</v>
      </c>
      <c r="P3952" s="7" t="str">
        <f ca="1">IFERROR(__xludf.DUMMYFUNCTION("GOOGLEFINANCE(""NSE:""&amp;D3952,""EPS"")"),"#N/A")</f>
        <v>#N/A</v>
      </c>
      <c r="Q3952" s="7">
        <v>13.5</v>
      </c>
      <c r="R3952" s="7" t="str">
        <f ca="1">IFERROR(__xludf.DUMMYFUNCTION("IMPORTXML(E3952,""/html/body/main/div[3]/div[3]/div[2]/ul/li[7]/span[2]/span"")"),"Loading...")</f>
        <v>Loading...</v>
      </c>
      <c r="S3952" s="7" t="str">
        <f ca="1">IFERROR(__xludf.DUMMYFUNCTION("IMPORTXML(E3952,""/html/body/main/div[3]/div[3]/div[2]/ul/li[8]/span[2]/span"")"),"Loading...")</f>
        <v>Loading...</v>
      </c>
      <c r="T3952" s="4">
        <v>34.6</v>
      </c>
      <c r="U3952" s="4">
        <v>22.7</v>
      </c>
      <c r="V3952" s="4">
        <v>2.6</v>
      </c>
      <c r="W3952" s="4">
        <v>5.7</v>
      </c>
      <c r="X3952" s="4">
        <v>519.92999999999995</v>
      </c>
      <c r="Y3952" s="7" t="e">
        <f t="shared" ca="1" si="79"/>
        <v>#VALUE!</v>
      </c>
    </row>
    <row r="3953" spans="1:25" ht="15" x14ac:dyDescent="0.25">
      <c r="A3953" s="4">
        <v>3952</v>
      </c>
      <c r="C3953" s="41" t="s">
        <v>6319</v>
      </c>
      <c r="D3953" s="42"/>
      <c r="E3953" s="5" t="str">
        <f t="shared" si="75"/>
        <v>https://www.screener.in/company//consolidated/</v>
      </c>
      <c r="F3953" s="4">
        <v>443059</v>
      </c>
      <c r="G3953" s="4">
        <v>3832241897</v>
      </c>
      <c r="H3953" s="6" t="e">
        <f t="shared" ca="1" si="76"/>
        <v>#VALUE!</v>
      </c>
      <c r="I3953" s="7" t="str">
        <f ca="1">IFERROR(__xludf.DUMMYFUNCTION("IMPORTXML(E3953,""/html/body/main/div[3]/div[3]/div[2]/ul/li[5]/span[2]/span"")"),"Loading...")</f>
        <v>Loading...</v>
      </c>
      <c r="J3953" s="7" t="str">
        <f ca="1">IFERROR(__xludf.DUMMYFUNCTION("GOOGLEFINANCE(""NSE:""&amp;D3953,""marketcap"")"),"#N/A")</f>
        <v>#N/A</v>
      </c>
      <c r="K3953" s="7">
        <v>992.8</v>
      </c>
      <c r="L3953" s="8" t="str">
        <f ca="1">IFERROR(__xludf.DUMMYFUNCTION("GOOGLEFINANCE(""NSE:""&amp;D3953,""price"")"),"#N/A")</f>
        <v>#N/A</v>
      </c>
      <c r="M3953" s="9" t="e">
        <f t="shared" ca="1" si="77"/>
        <v>#VALUE!</v>
      </c>
      <c r="N3953" s="10" t="e">
        <f t="shared" ca="1" si="78"/>
        <v>#VALUE!</v>
      </c>
      <c r="O3953" s="7" t="str">
        <f ca="1">IFERROR(__xludf.DUMMYFUNCTION("GOOGLEFINANCE(""NSE:""&amp;D3953,""pe"")"),"#N/A")</f>
        <v>#N/A</v>
      </c>
      <c r="P3953" s="7" t="str">
        <f ca="1">IFERROR(__xludf.DUMMYFUNCTION("GOOGLEFINANCE(""NSE:""&amp;D3953,""EPS"")"),"#N/A")</f>
        <v>#N/A</v>
      </c>
      <c r="Q3953" s="7">
        <v>13.5</v>
      </c>
      <c r="R3953" s="7" t="str">
        <f ca="1">IFERROR(__xludf.DUMMYFUNCTION("IMPORTXML(E3953,""/html/body/main/div[3]/div[3]/div[2]/ul/li[7]/span[2]/span"")"),"Loading...")</f>
        <v>Loading...</v>
      </c>
      <c r="S3953" s="7" t="str">
        <f ca="1">IFERROR(__xludf.DUMMYFUNCTION("IMPORTXML(E3953,""/html/body/main/div[3]/div[3]/div[2]/ul/li[8]/span[2]/span"")"),"Loading...")</f>
        <v>Loading...</v>
      </c>
      <c r="T3953" s="4">
        <v>34.6</v>
      </c>
      <c r="U3953" s="4">
        <v>22.7</v>
      </c>
      <c r="V3953" s="4">
        <v>2.6</v>
      </c>
      <c r="W3953" s="4">
        <v>5.7</v>
      </c>
      <c r="X3953" s="4">
        <v>519.92999999999995</v>
      </c>
      <c r="Y3953" s="7" t="e">
        <f t="shared" ca="1" si="79"/>
        <v>#VALUE!</v>
      </c>
    </row>
    <row r="3954" spans="1:25" ht="15" x14ac:dyDescent="0.25">
      <c r="A3954" s="4">
        <v>3953</v>
      </c>
      <c r="C3954" s="41" t="s">
        <v>6320</v>
      </c>
      <c r="D3954" s="42"/>
      <c r="E3954" s="5" t="str">
        <f t="shared" si="75"/>
        <v>https://www.screener.in/company//consolidated/</v>
      </c>
      <c r="F3954" s="4">
        <v>443059</v>
      </c>
      <c r="G3954" s="4">
        <v>3832241897</v>
      </c>
      <c r="H3954" s="6" t="e">
        <f t="shared" ca="1" si="76"/>
        <v>#VALUE!</v>
      </c>
      <c r="I3954" s="7" t="str">
        <f ca="1">IFERROR(__xludf.DUMMYFUNCTION("IMPORTXML(E3954,""/html/body/main/div[3]/div[3]/div[2]/ul/li[5]/span[2]/span"")"),"Loading...")</f>
        <v>Loading...</v>
      </c>
      <c r="J3954" s="7" t="str">
        <f ca="1">IFERROR(__xludf.DUMMYFUNCTION("GOOGLEFINANCE(""NSE:""&amp;D3954,""marketcap"")"),"#N/A")</f>
        <v>#N/A</v>
      </c>
      <c r="K3954" s="7">
        <v>992.8</v>
      </c>
      <c r="L3954" s="8" t="str">
        <f ca="1">IFERROR(__xludf.DUMMYFUNCTION("GOOGLEFINANCE(""NSE:""&amp;D3954,""price"")"),"#N/A")</f>
        <v>#N/A</v>
      </c>
      <c r="M3954" s="9" t="e">
        <f t="shared" ca="1" si="77"/>
        <v>#VALUE!</v>
      </c>
      <c r="N3954" s="10" t="e">
        <f t="shared" ca="1" si="78"/>
        <v>#VALUE!</v>
      </c>
      <c r="O3954" s="7" t="str">
        <f ca="1">IFERROR(__xludf.DUMMYFUNCTION("GOOGLEFINANCE(""NSE:""&amp;D3954,""pe"")"),"#N/A")</f>
        <v>#N/A</v>
      </c>
      <c r="P3954" s="7" t="str">
        <f ca="1">IFERROR(__xludf.DUMMYFUNCTION("GOOGLEFINANCE(""NSE:""&amp;D3954,""EPS"")"),"#N/A")</f>
        <v>#N/A</v>
      </c>
      <c r="Q3954" s="7">
        <v>13.5</v>
      </c>
      <c r="R3954" s="7" t="str">
        <f ca="1">IFERROR(__xludf.DUMMYFUNCTION("IMPORTXML(E3954,""/html/body/main/div[3]/div[3]/div[2]/ul/li[7]/span[2]/span"")"),"Loading...")</f>
        <v>Loading...</v>
      </c>
      <c r="S3954" s="7" t="str">
        <f ca="1">IFERROR(__xludf.DUMMYFUNCTION("IMPORTXML(E3954,""/html/body/main/div[3]/div[3]/div[2]/ul/li[8]/span[2]/span"")"),"Loading...")</f>
        <v>Loading...</v>
      </c>
      <c r="T3954" s="4">
        <v>34.6</v>
      </c>
      <c r="U3954" s="4">
        <v>22.7</v>
      </c>
      <c r="V3954" s="4">
        <v>2.6</v>
      </c>
      <c r="W3954" s="4">
        <v>5.7</v>
      </c>
      <c r="X3954" s="4">
        <v>519.92999999999995</v>
      </c>
      <c r="Y3954" s="7" t="e">
        <f t="shared" ca="1" si="79"/>
        <v>#VALUE!</v>
      </c>
    </row>
    <row r="3955" spans="1:25" ht="15" x14ac:dyDescent="0.25">
      <c r="A3955" s="4">
        <v>3954</v>
      </c>
      <c r="C3955" s="41" t="s">
        <v>6321</v>
      </c>
      <c r="D3955" s="42"/>
      <c r="E3955" s="5" t="str">
        <f t="shared" si="75"/>
        <v>https://www.screener.in/company//consolidated/</v>
      </c>
      <c r="F3955" s="4">
        <v>443059</v>
      </c>
      <c r="G3955" s="4">
        <v>3832241897</v>
      </c>
      <c r="H3955" s="6" t="e">
        <f t="shared" ca="1" si="76"/>
        <v>#VALUE!</v>
      </c>
      <c r="I3955" s="7" t="str">
        <f ca="1">IFERROR(__xludf.DUMMYFUNCTION("IMPORTXML(E3955,""/html/body/main/div[3]/div[3]/div[2]/ul/li[5]/span[2]/span"")"),"Loading...")</f>
        <v>Loading...</v>
      </c>
      <c r="J3955" s="7" t="str">
        <f ca="1">IFERROR(__xludf.DUMMYFUNCTION("GOOGLEFINANCE(""NSE:""&amp;D3955,""marketcap"")"),"#N/A")</f>
        <v>#N/A</v>
      </c>
      <c r="K3955" s="7">
        <v>992.8</v>
      </c>
      <c r="L3955" s="8" t="str">
        <f ca="1">IFERROR(__xludf.DUMMYFUNCTION("GOOGLEFINANCE(""NSE:""&amp;D3955,""price"")"),"#N/A")</f>
        <v>#N/A</v>
      </c>
      <c r="M3955" s="9" t="e">
        <f t="shared" ca="1" si="77"/>
        <v>#VALUE!</v>
      </c>
      <c r="N3955" s="10" t="e">
        <f t="shared" ca="1" si="78"/>
        <v>#VALUE!</v>
      </c>
      <c r="O3955" s="7" t="str">
        <f ca="1">IFERROR(__xludf.DUMMYFUNCTION("GOOGLEFINANCE(""NSE:""&amp;D3955,""pe"")"),"#N/A")</f>
        <v>#N/A</v>
      </c>
      <c r="P3955" s="7" t="str">
        <f ca="1">IFERROR(__xludf.DUMMYFUNCTION("GOOGLEFINANCE(""NSE:""&amp;D3955,""EPS"")"),"#N/A")</f>
        <v>#N/A</v>
      </c>
      <c r="Q3955" s="7">
        <v>13.5</v>
      </c>
      <c r="R3955" s="7" t="str">
        <f ca="1">IFERROR(__xludf.DUMMYFUNCTION("IMPORTXML(E3955,""/html/body/main/div[3]/div[3]/div[2]/ul/li[7]/span[2]/span"")"),"Loading...")</f>
        <v>Loading...</v>
      </c>
      <c r="S3955" s="7" t="str">
        <f ca="1">IFERROR(__xludf.DUMMYFUNCTION("IMPORTXML(E3955,""/html/body/main/div[3]/div[3]/div[2]/ul/li[8]/span[2]/span"")"),"Loading...")</f>
        <v>Loading...</v>
      </c>
      <c r="T3955" s="4">
        <v>34.6</v>
      </c>
      <c r="U3955" s="4">
        <v>22.7</v>
      </c>
      <c r="V3955" s="4">
        <v>2.6</v>
      </c>
      <c r="W3955" s="4">
        <v>5.7</v>
      </c>
      <c r="X3955" s="4">
        <v>519.92999999999995</v>
      </c>
      <c r="Y3955" s="7" t="e">
        <f t="shared" ca="1" si="79"/>
        <v>#VALUE!</v>
      </c>
    </row>
    <row r="3956" spans="1:25" ht="15" x14ac:dyDescent="0.25">
      <c r="A3956" s="4">
        <v>3955</v>
      </c>
      <c r="C3956" s="41" t="s">
        <v>6322</v>
      </c>
      <c r="D3956" s="42"/>
      <c r="E3956" s="5" t="str">
        <f t="shared" si="75"/>
        <v>https://www.screener.in/company//consolidated/</v>
      </c>
      <c r="F3956" s="4">
        <v>443059</v>
      </c>
      <c r="G3956" s="4">
        <v>3832241897</v>
      </c>
      <c r="H3956" s="6" t="e">
        <f t="shared" ca="1" si="76"/>
        <v>#VALUE!</v>
      </c>
      <c r="I3956" s="7" t="str">
        <f ca="1">IFERROR(__xludf.DUMMYFUNCTION("IMPORTXML(E3956,""/html/body/main/div[3]/div[3]/div[2]/ul/li[5]/span[2]/span"")"),"Loading...")</f>
        <v>Loading...</v>
      </c>
      <c r="J3956" s="7" t="str">
        <f ca="1">IFERROR(__xludf.DUMMYFUNCTION("GOOGLEFINANCE(""NSE:""&amp;D3956,""marketcap"")"),"#N/A")</f>
        <v>#N/A</v>
      </c>
      <c r="K3956" s="7">
        <v>992.8</v>
      </c>
      <c r="L3956" s="8" t="str">
        <f ca="1">IFERROR(__xludf.DUMMYFUNCTION("GOOGLEFINANCE(""NSE:""&amp;D3956,""price"")"),"#N/A")</f>
        <v>#N/A</v>
      </c>
      <c r="M3956" s="9" t="e">
        <f t="shared" ca="1" si="77"/>
        <v>#VALUE!</v>
      </c>
      <c r="N3956" s="10" t="e">
        <f t="shared" ca="1" si="78"/>
        <v>#VALUE!</v>
      </c>
      <c r="O3956" s="7" t="str">
        <f ca="1">IFERROR(__xludf.DUMMYFUNCTION("GOOGLEFINANCE(""NSE:""&amp;D3956,""pe"")"),"#N/A")</f>
        <v>#N/A</v>
      </c>
      <c r="P3956" s="7" t="str">
        <f ca="1">IFERROR(__xludf.DUMMYFUNCTION("GOOGLEFINANCE(""NSE:""&amp;D3956,""EPS"")"),"#N/A")</f>
        <v>#N/A</v>
      </c>
      <c r="Q3956" s="7">
        <v>13.5</v>
      </c>
      <c r="R3956" s="7" t="str">
        <f ca="1">IFERROR(__xludf.DUMMYFUNCTION("IMPORTXML(E3956,""/html/body/main/div[3]/div[3]/div[2]/ul/li[7]/span[2]/span"")"),"Loading...")</f>
        <v>Loading...</v>
      </c>
      <c r="S3956" s="7" t="str">
        <f ca="1">IFERROR(__xludf.DUMMYFUNCTION("IMPORTXML(E3956,""/html/body/main/div[3]/div[3]/div[2]/ul/li[8]/span[2]/span"")"),"Loading...")</f>
        <v>Loading...</v>
      </c>
      <c r="T3956" s="4">
        <v>34.6</v>
      </c>
      <c r="U3956" s="4">
        <v>22.7</v>
      </c>
      <c r="V3956" s="4">
        <v>2.6</v>
      </c>
      <c r="W3956" s="4">
        <v>5.7</v>
      </c>
      <c r="X3956" s="4">
        <v>519.92999999999995</v>
      </c>
      <c r="Y3956" s="7" t="e">
        <f t="shared" ca="1" si="79"/>
        <v>#VALUE!</v>
      </c>
    </row>
    <row r="3957" spans="1:25" ht="15" x14ac:dyDescent="0.25">
      <c r="A3957" s="4">
        <v>3956</v>
      </c>
      <c r="C3957" s="41" t="s">
        <v>6323</v>
      </c>
      <c r="D3957" s="42"/>
      <c r="E3957" s="5" t="str">
        <f t="shared" si="75"/>
        <v>https://www.screener.in/company//consolidated/</v>
      </c>
      <c r="F3957" s="4">
        <v>443059</v>
      </c>
      <c r="G3957" s="4">
        <v>3832241897</v>
      </c>
      <c r="H3957" s="6" t="e">
        <f t="shared" ca="1" si="76"/>
        <v>#VALUE!</v>
      </c>
      <c r="I3957" s="7" t="str">
        <f ca="1">IFERROR(__xludf.DUMMYFUNCTION("IMPORTXML(E3957,""/html/body/main/div[3]/div[3]/div[2]/ul/li[5]/span[2]/span"")"),"Loading...")</f>
        <v>Loading...</v>
      </c>
      <c r="J3957" s="7" t="str">
        <f ca="1">IFERROR(__xludf.DUMMYFUNCTION("GOOGLEFINANCE(""NSE:""&amp;D3957,""marketcap"")"),"#N/A")</f>
        <v>#N/A</v>
      </c>
      <c r="K3957" s="7">
        <v>992.8</v>
      </c>
      <c r="L3957" s="8" t="str">
        <f ca="1">IFERROR(__xludf.DUMMYFUNCTION("GOOGLEFINANCE(""NSE:""&amp;D3957,""price"")"),"#N/A")</f>
        <v>#N/A</v>
      </c>
      <c r="M3957" s="9" t="e">
        <f t="shared" ca="1" si="77"/>
        <v>#VALUE!</v>
      </c>
      <c r="N3957" s="10" t="e">
        <f t="shared" ca="1" si="78"/>
        <v>#VALUE!</v>
      </c>
      <c r="O3957" s="7" t="str">
        <f ca="1">IFERROR(__xludf.DUMMYFUNCTION("GOOGLEFINANCE(""NSE:""&amp;D3957,""pe"")"),"#N/A")</f>
        <v>#N/A</v>
      </c>
      <c r="P3957" s="7" t="str">
        <f ca="1">IFERROR(__xludf.DUMMYFUNCTION("GOOGLEFINANCE(""NSE:""&amp;D3957,""EPS"")"),"#N/A")</f>
        <v>#N/A</v>
      </c>
      <c r="Q3957" s="7">
        <v>13.5</v>
      </c>
      <c r="R3957" s="7" t="str">
        <f ca="1">IFERROR(__xludf.DUMMYFUNCTION("IMPORTXML(E3957,""/html/body/main/div[3]/div[3]/div[2]/ul/li[7]/span[2]/span"")"),"Loading...")</f>
        <v>Loading...</v>
      </c>
      <c r="S3957" s="7" t="str">
        <f ca="1">IFERROR(__xludf.DUMMYFUNCTION("IMPORTXML(E3957,""/html/body/main/div[3]/div[3]/div[2]/ul/li[8]/span[2]/span"")"),"Loading...")</f>
        <v>Loading...</v>
      </c>
      <c r="T3957" s="4">
        <v>34.6</v>
      </c>
      <c r="U3957" s="4">
        <v>22.7</v>
      </c>
      <c r="V3957" s="4">
        <v>2.6</v>
      </c>
      <c r="W3957" s="4">
        <v>5.7</v>
      </c>
      <c r="X3957" s="4">
        <v>519.92999999999995</v>
      </c>
      <c r="Y3957" s="7" t="e">
        <f t="shared" ca="1" si="79"/>
        <v>#VALUE!</v>
      </c>
    </row>
    <row r="3958" spans="1:25" ht="15" x14ac:dyDescent="0.25">
      <c r="A3958" s="4">
        <v>3957</v>
      </c>
      <c r="C3958" s="41" t="s">
        <v>6324</v>
      </c>
      <c r="D3958" s="42"/>
      <c r="E3958" s="5" t="str">
        <f t="shared" si="75"/>
        <v>https://www.screener.in/company//consolidated/</v>
      </c>
      <c r="F3958" s="4">
        <v>443059</v>
      </c>
      <c r="G3958" s="4">
        <v>3832241897</v>
      </c>
      <c r="H3958" s="6" t="e">
        <f t="shared" ca="1" si="76"/>
        <v>#VALUE!</v>
      </c>
      <c r="I3958" s="7" t="str">
        <f ca="1">IFERROR(__xludf.DUMMYFUNCTION("IMPORTXML(E3958,""/html/body/main/div[3]/div[3]/div[2]/ul/li[5]/span[2]/span"")"),"Loading...")</f>
        <v>Loading...</v>
      </c>
      <c r="J3958" s="7" t="str">
        <f ca="1">IFERROR(__xludf.DUMMYFUNCTION("GOOGLEFINANCE(""NSE:""&amp;D3958,""marketcap"")"),"#N/A")</f>
        <v>#N/A</v>
      </c>
      <c r="K3958" s="7">
        <v>992.8</v>
      </c>
      <c r="L3958" s="8" t="str">
        <f ca="1">IFERROR(__xludf.DUMMYFUNCTION("GOOGLEFINANCE(""NSE:""&amp;D3958,""price"")"),"#N/A")</f>
        <v>#N/A</v>
      </c>
      <c r="M3958" s="9" t="e">
        <f t="shared" ca="1" si="77"/>
        <v>#VALUE!</v>
      </c>
      <c r="N3958" s="10" t="e">
        <f t="shared" ca="1" si="78"/>
        <v>#VALUE!</v>
      </c>
      <c r="O3958" s="7" t="str">
        <f ca="1">IFERROR(__xludf.DUMMYFUNCTION("GOOGLEFINANCE(""NSE:""&amp;D3958,""pe"")"),"#N/A")</f>
        <v>#N/A</v>
      </c>
      <c r="P3958" s="7" t="str">
        <f ca="1">IFERROR(__xludf.DUMMYFUNCTION("GOOGLEFINANCE(""NSE:""&amp;D3958,""EPS"")"),"#N/A")</f>
        <v>#N/A</v>
      </c>
      <c r="Q3958" s="7">
        <v>13.5</v>
      </c>
      <c r="R3958" s="7" t="str">
        <f ca="1">IFERROR(__xludf.DUMMYFUNCTION("IMPORTXML(E3958,""/html/body/main/div[3]/div[3]/div[2]/ul/li[7]/span[2]/span"")"),"Loading...")</f>
        <v>Loading...</v>
      </c>
      <c r="S3958" s="7" t="str">
        <f ca="1">IFERROR(__xludf.DUMMYFUNCTION("IMPORTXML(E3958,""/html/body/main/div[3]/div[3]/div[2]/ul/li[8]/span[2]/span"")"),"Loading...")</f>
        <v>Loading...</v>
      </c>
      <c r="T3958" s="4">
        <v>34.6</v>
      </c>
      <c r="U3958" s="4">
        <v>22.7</v>
      </c>
      <c r="V3958" s="4">
        <v>2.6</v>
      </c>
      <c r="W3958" s="4">
        <v>5.7</v>
      </c>
      <c r="X3958" s="4">
        <v>519.92999999999995</v>
      </c>
      <c r="Y3958" s="7" t="e">
        <f t="shared" ca="1" si="79"/>
        <v>#VALUE!</v>
      </c>
    </row>
    <row r="3959" spans="1:25" ht="15" x14ac:dyDescent="0.25">
      <c r="A3959" s="4">
        <v>3958</v>
      </c>
      <c r="C3959" s="41" t="s">
        <v>6325</v>
      </c>
      <c r="D3959" s="42"/>
      <c r="E3959" s="5" t="str">
        <f t="shared" si="75"/>
        <v>https://www.screener.in/company//consolidated/</v>
      </c>
      <c r="F3959" s="4">
        <v>443059</v>
      </c>
      <c r="G3959" s="4">
        <v>3832241897</v>
      </c>
      <c r="H3959" s="6" t="e">
        <f t="shared" ca="1" si="76"/>
        <v>#VALUE!</v>
      </c>
      <c r="I3959" s="7" t="str">
        <f ca="1">IFERROR(__xludf.DUMMYFUNCTION("IMPORTXML(E3959,""/html/body/main/div[3]/div[3]/div[2]/ul/li[5]/span[2]/span"")"),"Loading...")</f>
        <v>Loading...</v>
      </c>
      <c r="J3959" s="7" t="str">
        <f ca="1">IFERROR(__xludf.DUMMYFUNCTION("GOOGLEFINANCE(""NSE:""&amp;D3959,""marketcap"")"),"#N/A")</f>
        <v>#N/A</v>
      </c>
      <c r="K3959" s="7">
        <v>992.8</v>
      </c>
      <c r="L3959" s="8" t="str">
        <f ca="1">IFERROR(__xludf.DUMMYFUNCTION("GOOGLEFINANCE(""NSE:""&amp;D3959,""price"")"),"#N/A")</f>
        <v>#N/A</v>
      </c>
      <c r="M3959" s="9" t="e">
        <f t="shared" ca="1" si="77"/>
        <v>#VALUE!</v>
      </c>
      <c r="N3959" s="10" t="e">
        <f t="shared" ca="1" si="78"/>
        <v>#VALUE!</v>
      </c>
      <c r="O3959" s="7" t="str">
        <f ca="1">IFERROR(__xludf.DUMMYFUNCTION("GOOGLEFINANCE(""NSE:""&amp;D3959,""pe"")"),"#N/A")</f>
        <v>#N/A</v>
      </c>
      <c r="P3959" s="7" t="str">
        <f ca="1">IFERROR(__xludf.DUMMYFUNCTION("GOOGLEFINANCE(""NSE:""&amp;D3959,""EPS"")"),"#N/A")</f>
        <v>#N/A</v>
      </c>
      <c r="Q3959" s="7">
        <v>13.5</v>
      </c>
      <c r="R3959" s="7" t="str">
        <f ca="1">IFERROR(__xludf.DUMMYFUNCTION("IMPORTXML(E3959,""/html/body/main/div[3]/div[3]/div[2]/ul/li[7]/span[2]/span"")"),"Loading...")</f>
        <v>Loading...</v>
      </c>
      <c r="S3959" s="7" t="str">
        <f ca="1">IFERROR(__xludf.DUMMYFUNCTION("IMPORTXML(E3959,""/html/body/main/div[3]/div[3]/div[2]/ul/li[8]/span[2]/span"")"),"Loading...")</f>
        <v>Loading...</v>
      </c>
      <c r="T3959" s="4">
        <v>34.6</v>
      </c>
      <c r="U3959" s="4">
        <v>22.7</v>
      </c>
      <c r="V3959" s="4">
        <v>2.6</v>
      </c>
      <c r="W3959" s="4">
        <v>5.7</v>
      </c>
      <c r="X3959" s="4">
        <v>519.92999999999995</v>
      </c>
      <c r="Y3959" s="7" t="e">
        <f t="shared" ca="1" si="79"/>
        <v>#VALUE!</v>
      </c>
    </row>
    <row r="3960" spans="1:25" ht="15" x14ac:dyDescent="0.25">
      <c r="A3960" s="4">
        <v>3959</v>
      </c>
      <c r="C3960" s="41" t="s">
        <v>6326</v>
      </c>
      <c r="D3960" s="42"/>
      <c r="E3960" s="5" t="str">
        <f t="shared" si="75"/>
        <v>https://www.screener.in/company//consolidated/</v>
      </c>
      <c r="F3960" s="4">
        <v>443059</v>
      </c>
      <c r="G3960" s="4">
        <v>3832241897</v>
      </c>
      <c r="H3960" s="6" t="e">
        <f t="shared" ca="1" si="76"/>
        <v>#VALUE!</v>
      </c>
      <c r="I3960" s="7" t="str">
        <f ca="1">IFERROR(__xludf.DUMMYFUNCTION("IMPORTXML(E3960,""/html/body/main/div[3]/div[3]/div[2]/ul/li[5]/span[2]/span"")"),"Loading...")</f>
        <v>Loading...</v>
      </c>
      <c r="J3960" s="7" t="str">
        <f ca="1">IFERROR(__xludf.DUMMYFUNCTION("GOOGLEFINANCE(""NSE:""&amp;D3960,""marketcap"")"),"#N/A")</f>
        <v>#N/A</v>
      </c>
      <c r="K3960" s="7">
        <v>992.8</v>
      </c>
      <c r="L3960" s="8" t="str">
        <f ca="1">IFERROR(__xludf.DUMMYFUNCTION("GOOGLEFINANCE(""NSE:""&amp;D3960,""price"")"),"#N/A")</f>
        <v>#N/A</v>
      </c>
      <c r="M3960" s="9" t="e">
        <f t="shared" ca="1" si="77"/>
        <v>#VALUE!</v>
      </c>
      <c r="N3960" s="10" t="e">
        <f t="shared" ca="1" si="78"/>
        <v>#VALUE!</v>
      </c>
      <c r="O3960" s="7" t="str">
        <f ca="1">IFERROR(__xludf.DUMMYFUNCTION("GOOGLEFINANCE(""NSE:""&amp;D3960,""pe"")"),"#N/A")</f>
        <v>#N/A</v>
      </c>
      <c r="P3960" s="7" t="str">
        <f ca="1">IFERROR(__xludf.DUMMYFUNCTION("GOOGLEFINANCE(""NSE:""&amp;D3960,""EPS"")"),"#N/A")</f>
        <v>#N/A</v>
      </c>
      <c r="Q3960" s="7">
        <v>13.5</v>
      </c>
      <c r="R3960" s="7" t="str">
        <f ca="1">IFERROR(__xludf.DUMMYFUNCTION("IMPORTXML(E3960,""/html/body/main/div[3]/div[3]/div[2]/ul/li[7]/span[2]/span"")"),"Loading...")</f>
        <v>Loading...</v>
      </c>
      <c r="S3960" s="7" t="str">
        <f ca="1">IFERROR(__xludf.DUMMYFUNCTION("IMPORTXML(E3960,""/html/body/main/div[3]/div[3]/div[2]/ul/li[8]/span[2]/span"")"),"Loading...")</f>
        <v>Loading...</v>
      </c>
      <c r="T3960" s="4">
        <v>34.6</v>
      </c>
      <c r="U3960" s="4">
        <v>22.7</v>
      </c>
      <c r="V3960" s="4">
        <v>2.6</v>
      </c>
      <c r="W3960" s="4">
        <v>5.7</v>
      </c>
      <c r="X3960" s="4">
        <v>519.92999999999995</v>
      </c>
      <c r="Y3960" s="7" t="e">
        <f t="shared" ca="1" si="79"/>
        <v>#VALUE!</v>
      </c>
    </row>
    <row r="3961" spans="1:25" ht="15" x14ac:dyDescent="0.25">
      <c r="A3961" s="4">
        <v>3960</v>
      </c>
      <c r="C3961" s="41" t="s">
        <v>6327</v>
      </c>
      <c r="D3961" s="42"/>
      <c r="E3961" s="5" t="str">
        <f t="shared" si="75"/>
        <v>https://www.screener.in/company//consolidated/</v>
      </c>
      <c r="F3961" s="4">
        <v>443059</v>
      </c>
      <c r="G3961" s="4">
        <v>3832241897</v>
      </c>
      <c r="H3961" s="6" t="e">
        <f t="shared" ca="1" si="76"/>
        <v>#VALUE!</v>
      </c>
      <c r="I3961" s="7" t="str">
        <f ca="1">IFERROR(__xludf.DUMMYFUNCTION("IMPORTXML(E3961,""/html/body/main/div[3]/div[3]/div[2]/ul/li[5]/span[2]/span"")"),"Loading...")</f>
        <v>Loading...</v>
      </c>
      <c r="J3961" s="7" t="str">
        <f ca="1">IFERROR(__xludf.DUMMYFUNCTION("GOOGLEFINANCE(""NSE:""&amp;D3961,""marketcap"")"),"#N/A")</f>
        <v>#N/A</v>
      </c>
      <c r="K3961" s="7">
        <v>992.8</v>
      </c>
      <c r="L3961" s="8" t="str">
        <f ca="1">IFERROR(__xludf.DUMMYFUNCTION("GOOGLEFINANCE(""NSE:""&amp;D3961,""price"")"),"#N/A")</f>
        <v>#N/A</v>
      </c>
      <c r="M3961" s="9" t="e">
        <f t="shared" ca="1" si="77"/>
        <v>#VALUE!</v>
      </c>
      <c r="N3961" s="10" t="e">
        <f t="shared" ca="1" si="78"/>
        <v>#VALUE!</v>
      </c>
      <c r="O3961" s="7" t="str">
        <f ca="1">IFERROR(__xludf.DUMMYFUNCTION("GOOGLEFINANCE(""NSE:""&amp;D3961,""pe"")"),"#N/A")</f>
        <v>#N/A</v>
      </c>
      <c r="P3961" s="7" t="str">
        <f ca="1">IFERROR(__xludf.DUMMYFUNCTION("GOOGLEFINANCE(""NSE:""&amp;D3961,""EPS"")"),"#N/A")</f>
        <v>#N/A</v>
      </c>
      <c r="Q3961" s="7">
        <v>13.5</v>
      </c>
      <c r="R3961" s="7" t="str">
        <f ca="1">IFERROR(__xludf.DUMMYFUNCTION("IMPORTXML(E3961,""/html/body/main/div[3]/div[3]/div[2]/ul/li[7]/span[2]/span"")"),"Loading...")</f>
        <v>Loading...</v>
      </c>
      <c r="S3961" s="7" t="str">
        <f ca="1">IFERROR(__xludf.DUMMYFUNCTION("IMPORTXML(E3961,""/html/body/main/div[3]/div[3]/div[2]/ul/li[8]/span[2]/span"")"),"Loading...")</f>
        <v>Loading...</v>
      </c>
      <c r="T3961" s="4">
        <v>34.6</v>
      </c>
      <c r="U3961" s="4">
        <v>22.7</v>
      </c>
      <c r="V3961" s="4">
        <v>2.6</v>
      </c>
      <c r="W3961" s="4">
        <v>5.7</v>
      </c>
      <c r="X3961" s="4">
        <v>519.92999999999995</v>
      </c>
      <c r="Y3961" s="7" t="e">
        <f t="shared" ca="1" si="79"/>
        <v>#VALUE!</v>
      </c>
    </row>
    <row r="3962" spans="1:25" ht="15" x14ac:dyDescent="0.25">
      <c r="A3962" s="4">
        <v>3961</v>
      </c>
      <c r="C3962" s="41" t="s">
        <v>6328</v>
      </c>
      <c r="D3962" s="42"/>
      <c r="E3962" s="5" t="str">
        <f t="shared" si="75"/>
        <v>https://www.screener.in/company//consolidated/</v>
      </c>
      <c r="F3962" s="4">
        <v>443059</v>
      </c>
      <c r="G3962" s="4">
        <v>3832241897</v>
      </c>
      <c r="H3962" s="6" t="e">
        <f t="shared" ca="1" si="76"/>
        <v>#VALUE!</v>
      </c>
      <c r="I3962" s="7" t="str">
        <f ca="1">IFERROR(__xludf.DUMMYFUNCTION("IMPORTXML(E3962,""/html/body/main/div[3]/div[3]/div[2]/ul/li[5]/span[2]/span"")"),"Loading...")</f>
        <v>Loading...</v>
      </c>
      <c r="J3962" s="7" t="str">
        <f ca="1">IFERROR(__xludf.DUMMYFUNCTION("GOOGLEFINANCE(""NSE:""&amp;D3962,""marketcap"")"),"#N/A")</f>
        <v>#N/A</v>
      </c>
      <c r="K3962" s="7">
        <v>992.8</v>
      </c>
      <c r="L3962" s="8" t="str">
        <f ca="1">IFERROR(__xludf.DUMMYFUNCTION("GOOGLEFINANCE(""NSE:""&amp;D3962,""price"")"),"#N/A")</f>
        <v>#N/A</v>
      </c>
      <c r="M3962" s="9" t="e">
        <f t="shared" ca="1" si="77"/>
        <v>#VALUE!</v>
      </c>
      <c r="N3962" s="10" t="e">
        <f t="shared" ca="1" si="78"/>
        <v>#VALUE!</v>
      </c>
      <c r="O3962" s="7" t="str">
        <f ca="1">IFERROR(__xludf.DUMMYFUNCTION("GOOGLEFINANCE(""NSE:""&amp;D3962,""pe"")"),"#N/A")</f>
        <v>#N/A</v>
      </c>
      <c r="P3962" s="7" t="str">
        <f ca="1">IFERROR(__xludf.DUMMYFUNCTION("GOOGLEFINANCE(""NSE:""&amp;D3962,""EPS"")"),"#N/A")</f>
        <v>#N/A</v>
      </c>
      <c r="Q3962" s="7">
        <v>13.5</v>
      </c>
      <c r="R3962" s="7" t="str">
        <f ca="1">IFERROR(__xludf.DUMMYFUNCTION("IMPORTXML(E3962,""/html/body/main/div[3]/div[3]/div[2]/ul/li[7]/span[2]/span"")"),"Loading...")</f>
        <v>Loading...</v>
      </c>
      <c r="S3962" s="7" t="str">
        <f ca="1">IFERROR(__xludf.DUMMYFUNCTION("IMPORTXML(E3962,""/html/body/main/div[3]/div[3]/div[2]/ul/li[8]/span[2]/span"")"),"Loading...")</f>
        <v>Loading...</v>
      </c>
      <c r="T3962" s="4">
        <v>34.6</v>
      </c>
      <c r="U3962" s="4">
        <v>22.7</v>
      </c>
      <c r="V3962" s="4">
        <v>2.6</v>
      </c>
      <c r="W3962" s="4">
        <v>5.7</v>
      </c>
      <c r="X3962" s="4">
        <v>519.92999999999995</v>
      </c>
      <c r="Y3962" s="7" t="e">
        <f t="shared" ca="1" si="79"/>
        <v>#VALUE!</v>
      </c>
    </row>
    <row r="3963" spans="1:25" ht="15" x14ac:dyDescent="0.25">
      <c r="A3963" s="4">
        <v>3962</v>
      </c>
      <c r="C3963" s="41" t="s">
        <v>6329</v>
      </c>
      <c r="D3963" s="42"/>
      <c r="E3963" s="5" t="str">
        <f t="shared" si="75"/>
        <v>https://www.screener.in/company//consolidated/</v>
      </c>
      <c r="F3963" s="4">
        <v>443059</v>
      </c>
      <c r="G3963" s="4">
        <v>3832241897</v>
      </c>
      <c r="H3963" s="6" t="e">
        <f t="shared" ca="1" si="76"/>
        <v>#VALUE!</v>
      </c>
      <c r="I3963" s="7" t="str">
        <f ca="1">IFERROR(__xludf.DUMMYFUNCTION("IMPORTXML(E3963,""/html/body/main/div[3]/div[3]/div[2]/ul/li[5]/span[2]/span"")"),"Loading...")</f>
        <v>Loading...</v>
      </c>
      <c r="J3963" s="7" t="str">
        <f ca="1">IFERROR(__xludf.DUMMYFUNCTION("GOOGLEFINANCE(""NSE:""&amp;D3963,""marketcap"")"),"#N/A")</f>
        <v>#N/A</v>
      </c>
      <c r="K3963" s="7">
        <v>992.8</v>
      </c>
      <c r="L3963" s="8" t="str">
        <f ca="1">IFERROR(__xludf.DUMMYFUNCTION("GOOGLEFINANCE(""NSE:""&amp;D3963,""price"")"),"#N/A")</f>
        <v>#N/A</v>
      </c>
      <c r="M3963" s="9" t="e">
        <f t="shared" ca="1" si="77"/>
        <v>#VALUE!</v>
      </c>
      <c r="N3963" s="10" t="e">
        <f t="shared" ca="1" si="78"/>
        <v>#VALUE!</v>
      </c>
      <c r="O3963" s="7" t="str">
        <f ca="1">IFERROR(__xludf.DUMMYFUNCTION("GOOGLEFINANCE(""NSE:""&amp;D3963,""pe"")"),"#N/A")</f>
        <v>#N/A</v>
      </c>
      <c r="P3963" s="7" t="str">
        <f ca="1">IFERROR(__xludf.DUMMYFUNCTION("GOOGLEFINANCE(""NSE:""&amp;D3963,""EPS"")"),"#N/A")</f>
        <v>#N/A</v>
      </c>
      <c r="Q3963" s="7">
        <v>13.5</v>
      </c>
      <c r="R3963" s="7" t="str">
        <f ca="1">IFERROR(__xludf.DUMMYFUNCTION("IMPORTXML(E3963,""/html/body/main/div[3]/div[3]/div[2]/ul/li[7]/span[2]/span"")"),"Loading...")</f>
        <v>Loading...</v>
      </c>
      <c r="S3963" s="7" t="str">
        <f ca="1">IFERROR(__xludf.DUMMYFUNCTION("IMPORTXML(E3963,""/html/body/main/div[3]/div[3]/div[2]/ul/li[8]/span[2]/span"")"),"Loading...")</f>
        <v>Loading...</v>
      </c>
      <c r="T3963" s="4">
        <v>34.6</v>
      </c>
      <c r="U3963" s="4">
        <v>22.7</v>
      </c>
      <c r="V3963" s="4">
        <v>2.6</v>
      </c>
      <c r="W3963" s="4">
        <v>5.7</v>
      </c>
      <c r="X3963" s="4">
        <v>519.92999999999995</v>
      </c>
      <c r="Y3963" s="7" t="e">
        <f t="shared" ca="1" si="79"/>
        <v>#VALUE!</v>
      </c>
    </row>
    <row r="3964" spans="1:25" ht="15" x14ac:dyDescent="0.25">
      <c r="A3964" s="4">
        <v>3963</v>
      </c>
      <c r="C3964" s="41" t="s">
        <v>6330</v>
      </c>
      <c r="D3964" s="42"/>
      <c r="E3964" s="5" t="str">
        <f t="shared" si="75"/>
        <v>https://www.screener.in/company//consolidated/</v>
      </c>
      <c r="F3964" s="4">
        <v>443059</v>
      </c>
      <c r="G3964" s="4">
        <v>3832241897</v>
      </c>
      <c r="H3964" s="6" t="e">
        <f t="shared" ca="1" si="76"/>
        <v>#VALUE!</v>
      </c>
      <c r="I3964" s="7" t="str">
        <f ca="1">IFERROR(__xludf.DUMMYFUNCTION("IMPORTXML(E3964,""/html/body/main/div[3]/div[3]/div[2]/ul/li[5]/span[2]/span"")"),"Loading...")</f>
        <v>Loading...</v>
      </c>
      <c r="J3964" s="7" t="str">
        <f ca="1">IFERROR(__xludf.DUMMYFUNCTION("GOOGLEFINANCE(""NSE:""&amp;D3964,""marketcap"")"),"#N/A")</f>
        <v>#N/A</v>
      </c>
      <c r="K3964" s="7">
        <v>992.8</v>
      </c>
      <c r="L3964" s="8" t="str">
        <f ca="1">IFERROR(__xludf.DUMMYFUNCTION("GOOGLEFINANCE(""NSE:""&amp;D3964,""price"")"),"#N/A")</f>
        <v>#N/A</v>
      </c>
      <c r="M3964" s="9" t="e">
        <f t="shared" ca="1" si="77"/>
        <v>#VALUE!</v>
      </c>
      <c r="N3964" s="10" t="e">
        <f t="shared" ca="1" si="78"/>
        <v>#VALUE!</v>
      </c>
      <c r="O3964" s="7" t="str">
        <f ca="1">IFERROR(__xludf.DUMMYFUNCTION("GOOGLEFINANCE(""NSE:""&amp;D3964,""pe"")"),"#N/A")</f>
        <v>#N/A</v>
      </c>
      <c r="P3964" s="7" t="str">
        <f ca="1">IFERROR(__xludf.DUMMYFUNCTION("GOOGLEFINANCE(""NSE:""&amp;D3964,""EPS"")"),"#N/A")</f>
        <v>#N/A</v>
      </c>
      <c r="Q3964" s="7">
        <v>13.5</v>
      </c>
      <c r="R3964" s="7" t="str">
        <f ca="1">IFERROR(__xludf.DUMMYFUNCTION("IMPORTXML(E3964,""/html/body/main/div[3]/div[3]/div[2]/ul/li[7]/span[2]/span"")"),"Loading...")</f>
        <v>Loading...</v>
      </c>
      <c r="S3964" s="7" t="str">
        <f ca="1">IFERROR(__xludf.DUMMYFUNCTION("IMPORTXML(E3964,""/html/body/main/div[3]/div[3]/div[2]/ul/li[8]/span[2]/span"")"),"Loading...")</f>
        <v>Loading...</v>
      </c>
      <c r="T3964" s="4">
        <v>34.6</v>
      </c>
      <c r="U3964" s="4">
        <v>22.7</v>
      </c>
      <c r="V3964" s="4">
        <v>2.6</v>
      </c>
      <c r="W3964" s="4">
        <v>5.7</v>
      </c>
      <c r="X3964" s="4">
        <v>519.92999999999995</v>
      </c>
      <c r="Y3964" s="7" t="e">
        <f t="shared" ca="1" si="79"/>
        <v>#VALUE!</v>
      </c>
    </row>
    <row r="3965" spans="1:25" ht="15" x14ac:dyDescent="0.25">
      <c r="A3965" s="4">
        <v>3964</v>
      </c>
      <c r="C3965" s="41" t="s">
        <v>6331</v>
      </c>
      <c r="D3965" s="42"/>
      <c r="E3965" s="5" t="str">
        <f t="shared" si="75"/>
        <v>https://www.screener.in/company//consolidated/</v>
      </c>
      <c r="F3965" s="4">
        <v>443059</v>
      </c>
      <c r="G3965" s="4">
        <v>3832241897</v>
      </c>
      <c r="H3965" s="6" t="e">
        <f t="shared" ca="1" si="76"/>
        <v>#VALUE!</v>
      </c>
      <c r="I3965" s="7" t="str">
        <f ca="1">IFERROR(__xludf.DUMMYFUNCTION("IMPORTXML(E3965,""/html/body/main/div[3]/div[3]/div[2]/ul/li[5]/span[2]/span"")"),"Loading...")</f>
        <v>Loading...</v>
      </c>
      <c r="J3965" s="7" t="str">
        <f ca="1">IFERROR(__xludf.DUMMYFUNCTION("GOOGLEFINANCE(""NSE:""&amp;D3965,""marketcap"")"),"#N/A")</f>
        <v>#N/A</v>
      </c>
      <c r="K3965" s="7">
        <v>992.8</v>
      </c>
      <c r="L3965" s="8" t="str">
        <f ca="1">IFERROR(__xludf.DUMMYFUNCTION("GOOGLEFINANCE(""NSE:""&amp;D3965,""price"")"),"#N/A")</f>
        <v>#N/A</v>
      </c>
      <c r="M3965" s="9" t="e">
        <f t="shared" ca="1" si="77"/>
        <v>#VALUE!</v>
      </c>
      <c r="N3965" s="10" t="e">
        <f t="shared" ca="1" si="78"/>
        <v>#VALUE!</v>
      </c>
      <c r="O3965" s="7" t="str">
        <f ca="1">IFERROR(__xludf.DUMMYFUNCTION("GOOGLEFINANCE(""NSE:""&amp;D3965,""pe"")"),"#N/A")</f>
        <v>#N/A</v>
      </c>
      <c r="P3965" s="7" t="str">
        <f ca="1">IFERROR(__xludf.DUMMYFUNCTION("GOOGLEFINANCE(""NSE:""&amp;D3965,""EPS"")"),"#N/A")</f>
        <v>#N/A</v>
      </c>
      <c r="Q3965" s="7">
        <v>13.5</v>
      </c>
      <c r="R3965" s="7" t="str">
        <f ca="1">IFERROR(__xludf.DUMMYFUNCTION("IMPORTXML(E3965,""/html/body/main/div[3]/div[3]/div[2]/ul/li[7]/span[2]/span"")"),"Loading...")</f>
        <v>Loading...</v>
      </c>
      <c r="S3965" s="7" t="str">
        <f ca="1">IFERROR(__xludf.DUMMYFUNCTION("IMPORTXML(E3965,""/html/body/main/div[3]/div[3]/div[2]/ul/li[8]/span[2]/span"")"),"Loading...")</f>
        <v>Loading...</v>
      </c>
      <c r="T3965" s="4">
        <v>34.6</v>
      </c>
      <c r="U3965" s="4">
        <v>22.7</v>
      </c>
      <c r="V3965" s="4">
        <v>2.6</v>
      </c>
      <c r="W3965" s="4">
        <v>5.7</v>
      </c>
      <c r="X3965" s="4">
        <v>519.92999999999995</v>
      </c>
      <c r="Y3965" s="7" t="e">
        <f t="shared" ca="1" si="79"/>
        <v>#VALUE!</v>
      </c>
    </row>
    <row r="3966" spans="1:25" ht="15" x14ac:dyDescent="0.25">
      <c r="A3966" s="4">
        <v>3965</v>
      </c>
      <c r="C3966" s="41" t="s">
        <v>6332</v>
      </c>
      <c r="D3966" s="42"/>
      <c r="E3966" s="5" t="str">
        <f t="shared" si="75"/>
        <v>https://www.screener.in/company//consolidated/</v>
      </c>
      <c r="F3966" s="4">
        <v>443059</v>
      </c>
      <c r="G3966" s="4">
        <v>3832241897</v>
      </c>
      <c r="H3966" s="6" t="e">
        <f t="shared" ca="1" si="76"/>
        <v>#VALUE!</v>
      </c>
      <c r="I3966" s="7" t="str">
        <f ca="1">IFERROR(__xludf.DUMMYFUNCTION("IMPORTXML(E3966,""/html/body/main/div[3]/div[3]/div[2]/ul/li[5]/span[2]/span"")"),"Loading...")</f>
        <v>Loading...</v>
      </c>
      <c r="J3966" s="7" t="str">
        <f ca="1">IFERROR(__xludf.DUMMYFUNCTION("GOOGLEFINANCE(""NSE:""&amp;D3966,""marketcap"")"),"#N/A")</f>
        <v>#N/A</v>
      </c>
      <c r="K3966" s="7">
        <v>992.8</v>
      </c>
      <c r="L3966" s="8" t="str">
        <f ca="1">IFERROR(__xludf.DUMMYFUNCTION("GOOGLEFINANCE(""NSE:""&amp;D3966,""price"")"),"#N/A")</f>
        <v>#N/A</v>
      </c>
      <c r="M3966" s="9" t="e">
        <f t="shared" ca="1" si="77"/>
        <v>#VALUE!</v>
      </c>
      <c r="N3966" s="10" t="e">
        <f t="shared" ca="1" si="78"/>
        <v>#VALUE!</v>
      </c>
      <c r="O3966" s="7" t="str">
        <f ca="1">IFERROR(__xludf.DUMMYFUNCTION("GOOGLEFINANCE(""NSE:""&amp;D3966,""pe"")"),"#N/A")</f>
        <v>#N/A</v>
      </c>
      <c r="P3966" s="7" t="str">
        <f ca="1">IFERROR(__xludf.DUMMYFUNCTION("GOOGLEFINANCE(""NSE:""&amp;D3966,""EPS"")"),"#N/A")</f>
        <v>#N/A</v>
      </c>
      <c r="Q3966" s="7">
        <v>13.5</v>
      </c>
      <c r="R3966" s="7" t="str">
        <f ca="1">IFERROR(__xludf.DUMMYFUNCTION("IMPORTXML(E3966,""/html/body/main/div[3]/div[3]/div[2]/ul/li[7]/span[2]/span"")"),"Loading...")</f>
        <v>Loading...</v>
      </c>
      <c r="S3966" s="7" t="str">
        <f ca="1">IFERROR(__xludf.DUMMYFUNCTION("IMPORTXML(E3966,""/html/body/main/div[3]/div[3]/div[2]/ul/li[8]/span[2]/span"")"),"Loading...")</f>
        <v>Loading...</v>
      </c>
      <c r="T3966" s="4">
        <v>34.6</v>
      </c>
      <c r="U3966" s="4">
        <v>22.7</v>
      </c>
      <c r="V3966" s="4">
        <v>2.6</v>
      </c>
      <c r="W3966" s="4">
        <v>5.7</v>
      </c>
      <c r="X3966" s="4">
        <v>519.92999999999995</v>
      </c>
      <c r="Y3966" s="7" t="e">
        <f t="shared" ca="1" si="79"/>
        <v>#VALUE!</v>
      </c>
    </row>
    <row r="3967" spans="1:25" ht="15" x14ac:dyDescent="0.25">
      <c r="A3967" s="4">
        <v>3966</v>
      </c>
      <c r="C3967" s="41" t="s">
        <v>6333</v>
      </c>
      <c r="D3967" s="42"/>
      <c r="E3967" s="5" t="str">
        <f t="shared" si="75"/>
        <v>https://www.screener.in/company//consolidated/</v>
      </c>
      <c r="F3967" s="4">
        <v>443059</v>
      </c>
      <c r="G3967" s="4">
        <v>3832241897</v>
      </c>
      <c r="H3967" s="6" t="e">
        <f t="shared" ca="1" si="76"/>
        <v>#VALUE!</v>
      </c>
      <c r="I3967" s="7" t="str">
        <f ca="1">IFERROR(__xludf.DUMMYFUNCTION("IMPORTXML(E3967,""/html/body/main/div[3]/div[3]/div[2]/ul/li[5]/span[2]/span"")"),"Loading...")</f>
        <v>Loading...</v>
      </c>
      <c r="J3967" s="7" t="str">
        <f ca="1">IFERROR(__xludf.DUMMYFUNCTION("GOOGLEFINANCE(""NSE:""&amp;D3967,""marketcap"")"),"#N/A")</f>
        <v>#N/A</v>
      </c>
      <c r="K3967" s="7">
        <v>992.8</v>
      </c>
      <c r="L3967" s="8" t="str">
        <f ca="1">IFERROR(__xludf.DUMMYFUNCTION("GOOGLEFINANCE(""NSE:""&amp;D3967,""price"")"),"#N/A")</f>
        <v>#N/A</v>
      </c>
      <c r="M3967" s="9" t="e">
        <f t="shared" ca="1" si="77"/>
        <v>#VALUE!</v>
      </c>
      <c r="N3967" s="10" t="e">
        <f t="shared" ca="1" si="78"/>
        <v>#VALUE!</v>
      </c>
      <c r="O3967" s="7" t="str">
        <f ca="1">IFERROR(__xludf.DUMMYFUNCTION("GOOGLEFINANCE(""NSE:""&amp;D3967,""pe"")"),"#N/A")</f>
        <v>#N/A</v>
      </c>
      <c r="P3967" s="7" t="str">
        <f ca="1">IFERROR(__xludf.DUMMYFUNCTION("GOOGLEFINANCE(""NSE:""&amp;D3967,""EPS"")"),"#N/A")</f>
        <v>#N/A</v>
      </c>
      <c r="Q3967" s="7">
        <v>13.5</v>
      </c>
      <c r="R3967" s="7" t="str">
        <f ca="1">IFERROR(__xludf.DUMMYFUNCTION("IMPORTXML(E3967,""/html/body/main/div[3]/div[3]/div[2]/ul/li[7]/span[2]/span"")"),"Loading...")</f>
        <v>Loading...</v>
      </c>
      <c r="S3967" s="7" t="str">
        <f ca="1">IFERROR(__xludf.DUMMYFUNCTION("IMPORTXML(E3967,""/html/body/main/div[3]/div[3]/div[2]/ul/li[8]/span[2]/span"")"),"Loading...")</f>
        <v>Loading...</v>
      </c>
      <c r="T3967" s="4">
        <v>34.6</v>
      </c>
      <c r="U3967" s="4">
        <v>22.7</v>
      </c>
      <c r="V3967" s="4">
        <v>2.6</v>
      </c>
      <c r="W3967" s="4">
        <v>5.7</v>
      </c>
      <c r="X3967" s="4">
        <v>519.92999999999995</v>
      </c>
      <c r="Y3967" s="7" t="e">
        <f t="shared" ca="1" si="79"/>
        <v>#VALUE!</v>
      </c>
    </row>
    <row r="3968" spans="1:25" ht="15" x14ac:dyDescent="0.25">
      <c r="A3968" s="4">
        <v>3967</v>
      </c>
      <c r="C3968" s="41" t="s">
        <v>6334</v>
      </c>
      <c r="D3968" s="42"/>
      <c r="E3968" s="5" t="str">
        <f t="shared" si="75"/>
        <v>https://www.screener.in/company//consolidated/</v>
      </c>
      <c r="F3968" s="4">
        <v>443059</v>
      </c>
      <c r="G3968" s="4">
        <v>3832241897</v>
      </c>
      <c r="H3968" s="6" t="e">
        <f t="shared" ca="1" si="76"/>
        <v>#VALUE!</v>
      </c>
      <c r="I3968" s="7" t="str">
        <f ca="1">IFERROR(__xludf.DUMMYFUNCTION("IMPORTXML(E3968,""/html/body/main/div[3]/div[3]/div[2]/ul/li[5]/span[2]/span"")"),"Loading...")</f>
        <v>Loading...</v>
      </c>
      <c r="J3968" s="7" t="str">
        <f ca="1">IFERROR(__xludf.DUMMYFUNCTION("GOOGLEFINANCE(""NSE:""&amp;D3968,""marketcap"")"),"#N/A")</f>
        <v>#N/A</v>
      </c>
      <c r="K3968" s="7">
        <v>992.8</v>
      </c>
      <c r="L3968" s="8" t="str">
        <f ca="1">IFERROR(__xludf.DUMMYFUNCTION("GOOGLEFINANCE(""NSE:""&amp;D3968,""price"")"),"#N/A")</f>
        <v>#N/A</v>
      </c>
      <c r="M3968" s="9" t="e">
        <f t="shared" ca="1" si="77"/>
        <v>#VALUE!</v>
      </c>
      <c r="N3968" s="10" t="e">
        <f t="shared" ca="1" si="78"/>
        <v>#VALUE!</v>
      </c>
      <c r="O3968" s="7" t="str">
        <f ca="1">IFERROR(__xludf.DUMMYFUNCTION("GOOGLEFINANCE(""NSE:""&amp;D3968,""pe"")"),"#N/A")</f>
        <v>#N/A</v>
      </c>
      <c r="P3968" s="7" t="str">
        <f ca="1">IFERROR(__xludf.DUMMYFUNCTION("GOOGLEFINANCE(""NSE:""&amp;D3968,""EPS"")"),"#N/A")</f>
        <v>#N/A</v>
      </c>
      <c r="Q3968" s="7">
        <v>13.5</v>
      </c>
      <c r="R3968" s="7" t="str">
        <f ca="1">IFERROR(__xludf.DUMMYFUNCTION("IMPORTXML(E3968,""/html/body/main/div[3]/div[3]/div[2]/ul/li[7]/span[2]/span"")"),"Loading...")</f>
        <v>Loading...</v>
      </c>
      <c r="S3968" s="7" t="str">
        <f ca="1">IFERROR(__xludf.DUMMYFUNCTION("IMPORTXML(E3968,""/html/body/main/div[3]/div[3]/div[2]/ul/li[8]/span[2]/span"")"),"Loading...")</f>
        <v>Loading...</v>
      </c>
      <c r="T3968" s="4">
        <v>34.6</v>
      </c>
      <c r="U3968" s="4">
        <v>22.7</v>
      </c>
      <c r="V3968" s="4">
        <v>2.6</v>
      </c>
      <c r="W3968" s="4">
        <v>5.7</v>
      </c>
      <c r="X3968" s="4">
        <v>519.92999999999995</v>
      </c>
      <c r="Y3968" s="7" t="e">
        <f t="shared" ca="1" si="79"/>
        <v>#VALUE!</v>
      </c>
    </row>
    <row r="3969" spans="1:25" ht="15" x14ac:dyDescent="0.25">
      <c r="A3969" s="4">
        <v>3968</v>
      </c>
      <c r="C3969" s="41" t="s">
        <v>6335</v>
      </c>
      <c r="D3969" s="42"/>
      <c r="E3969" s="5" t="str">
        <f t="shared" si="75"/>
        <v>https://www.screener.in/company//consolidated/</v>
      </c>
      <c r="F3969" s="4">
        <v>443059</v>
      </c>
      <c r="G3969" s="4">
        <v>3832241897</v>
      </c>
      <c r="H3969" s="6" t="e">
        <f t="shared" ca="1" si="76"/>
        <v>#VALUE!</v>
      </c>
      <c r="I3969" s="7" t="str">
        <f ca="1">IFERROR(__xludf.DUMMYFUNCTION("IMPORTXML(E3969,""/html/body/main/div[3]/div[3]/div[2]/ul/li[5]/span[2]/span"")"),"Loading...")</f>
        <v>Loading...</v>
      </c>
      <c r="J3969" s="7" t="str">
        <f ca="1">IFERROR(__xludf.DUMMYFUNCTION("GOOGLEFINANCE(""NSE:""&amp;D3969,""marketcap"")"),"#N/A")</f>
        <v>#N/A</v>
      </c>
      <c r="K3969" s="7">
        <v>992.8</v>
      </c>
      <c r="L3969" s="8" t="str">
        <f ca="1">IFERROR(__xludf.DUMMYFUNCTION("GOOGLEFINANCE(""NSE:""&amp;D3969,""price"")"),"#N/A")</f>
        <v>#N/A</v>
      </c>
      <c r="M3969" s="9" t="e">
        <f t="shared" ca="1" si="77"/>
        <v>#VALUE!</v>
      </c>
      <c r="N3969" s="10" t="e">
        <f t="shared" ca="1" si="78"/>
        <v>#VALUE!</v>
      </c>
      <c r="O3969" s="7" t="str">
        <f ca="1">IFERROR(__xludf.DUMMYFUNCTION("GOOGLEFINANCE(""NSE:""&amp;D3969,""pe"")"),"#N/A")</f>
        <v>#N/A</v>
      </c>
      <c r="P3969" s="7" t="str">
        <f ca="1">IFERROR(__xludf.DUMMYFUNCTION("GOOGLEFINANCE(""NSE:""&amp;D3969,""EPS"")"),"#N/A")</f>
        <v>#N/A</v>
      </c>
      <c r="Q3969" s="7">
        <v>13.5</v>
      </c>
      <c r="R3969" s="7" t="str">
        <f ca="1">IFERROR(__xludf.DUMMYFUNCTION("IMPORTXML(E3969,""/html/body/main/div[3]/div[3]/div[2]/ul/li[7]/span[2]/span"")"),"Loading...")</f>
        <v>Loading...</v>
      </c>
      <c r="S3969" s="7" t="str">
        <f ca="1">IFERROR(__xludf.DUMMYFUNCTION("IMPORTXML(E3969,""/html/body/main/div[3]/div[3]/div[2]/ul/li[8]/span[2]/span"")"),"Loading...")</f>
        <v>Loading...</v>
      </c>
      <c r="T3969" s="4">
        <v>34.6</v>
      </c>
      <c r="U3969" s="4">
        <v>22.7</v>
      </c>
      <c r="V3969" s="4">
        <v>2.6</v>
      </c>
      <c r="W3969" s="4">
        <v>5.7</v>
      </c>
      <c r="X3969" s="4">
        <v>519.92999999999995</v>
      </c>
      <c r="Y3969" s="7" t="e">
        <f t="shared" ca="1" si="79"/>
        <v>#VALUE!</v>
      </c>
    </row>
    <row r="3970" spans="1:25" ht="15" x14ac:dyDescent="0.25">
      <c r="A3970" s="4">
        <v>3969</v>
      </c>
      <c r="C3970" s="41" t="s">
        <v>6336</v>
      </c>
      <c r="D3970" s="42"/>
      <c r="E3970" s="5" t="str">
        <f t="shared" si="75"/>
        <v>https://www.screener.in/company//consolidated/</v>
      </c>
      <c r="F3970" s="4">
        <v>443059</v>
      </c>
      <c r="G3970" s="4">
        <v>3832241897</v>
      </c>
      <c r="H3970" s="6" t="e">
        <f t="shared" ca="1" si="76"/>
        <v>#VALUE!</v>
      </c>
      <c r="I3970" s="7" t="str">
        <f ca="1">IFERROR(__xludf.DUMMYFUNCTION("IMPORTXML(E3970,""/html/body/main/div[3]/div[3]/div[2]/ul/li[5]/span[2]/span"")"),"Loading...")</f>
        <v>Loading...</v>
      </c>
      <c r="J3970" s="7" t="str">
        <f ca="1">IFERROR(__xludf.DUMMYFUNCTION("GOOGLEFINANCE(""NSE:""&amp;D3970,""marketcap"")"),"#N/A")</f>
        <v>#N/A</v>
      </c>
      <c r="K3970" s="7">
        <v>992.8</v>
      </c>
      <c r="L3970" s="8" t="str">
        <f ca="1">IFERROR(__xludf.DUMMYFUNCTION("GOOGLEFINANCE(""NSE:""&amp;D3970,""price"")"),"#N/A")</f>
        <v>#N/A</v>
      </c>
      <c r="M3970" s="9" t="e">
        <f t="shared" ca="1" si="77"/>
        <v>#VALUE!</v>
      </c>
      <c r="N3970" s="10" t="e">
        <f t="shared" ca="1" si="78"/>
        <v>#VALUE!</v>
      </c>
      <c r="O3970" s="7" t="str">
        <f ca="1">IFERROR(__xludf.DUMMYFUNCTION("GOOGLEFINANCE(""NSE:""&amp;D3970,""pe"")"),"#N/A")</f>
        <v>#N/A</v>
      </c>
      <c r="P3970" s="7" t="str">
        <f ca="1">IFERROR(__xludf.DUMMYFUNCTION("GOOGLEFINANCE(""NSE:""&amp;D3970,""EPS"")"),"#N/A")</f>
        <v>#N/A</v>
      </c>
      <c r="Q3970" s="7">
        <v>13.5</v>
      </c>
      <c r="R3970" s="7" t="str">
        <f ca="1">IFERROR(__xludf.DUMMYFUNCTION("IMPORTXML(E3970,""/html/body/main/div[3]/div[3]/div[2]/ul/li[7]/span[2]/span"")"),"Loading...")</f>
        <v>Loading...</v>
      </c>
      <c r="S3970" s="7" t="str">
        <f ca="1">IFERROR(__xludf.DUMMYFUNCTION("IMPORTXML(E3970,""/html/body/main/div[3]/div[3]/div[2]/ul/li[8]/span[2]/span"")"),"Loading...")</f>
        <v>Loading...</v>
      </c>
      <c r="T3970" s="4">
        <v>34.6</v>
      </c>
      <c r="U3970" s="4">
        <v>22.7</v>
      </c>
      <c r="V3970" s="4">
        <v>2.6</v>
      </c>
      <c r="W3970" s="4">
        <v>5.7</v>
      </c>
      <c r="X3970" s="4">
        <v>519.92999999999995</v>
      </c>
      <c r="Y3970" s="7" t="e">
        <f t="shared" ca="1" si="79"/>
        <v>#VALUE!</v>
      </c>
    </row>
    <row r="3971" spans="1:25" ht="15" x14ac:dyDescent="0.25">
      <c r="A3971" s="4">
        <v>3970</v>
      </c>
      <c r="C3971" s="41" t="s">
        <v>6337</v>
      </c>
      <c r="D3971" s="42"/>
      <c r="E3971" s="5" t="str">
        <f t="shared" si="75"/>
        <v>https://www.screener.in/company//consolidated/</v>
      </c>
      <c r="F3971" s="4">
        <v>443059</v>
      </c>
      <c r="G3971" s="4">
        <v>3832241897</v>
      </c>
      <c r="H3971" s="6" t="e">
        <f t="shared" ca="1" si="76"/>
        <v>#VALUE!</v>
      </c>
      <c r="I3971" s="7" t="str">
        <f ca="1">IFERROR(__xludf.DUMMYFUNCTION("IMPORTXML(E3971,""/html/body/main/div[3]/div[3]/div[2]/ul/li[5]/span[2]/span"")"),"Loading...")</f>
        <v>Loading...</v>
      </c>
      <c r="J3971" s="7" t="str">
        <f ca="1">IFERROR(__xludf.DUMMYFUNCTION("GOOGLEFINANCE(""NSE:""&amp;D3971,""marketcap"")"),"#N/A")</f>
        <v>#N/A</v>
      </c>
      <c r="K3971" s="7">
        <v>992.8</v>
      </c>
      <c r="L3971" s="8" t="str">
        <f ca="1">IFERROR(__xludf.DUMMYFUNCTION("GOOGLEFINANCE(""NSE:""&amp;D3971,""price"")"),"#N/A")</f>
        <v>#N/A</v>
      </c>
      <c r="M3971" s="9" t="e">
        <f t="shared" ca="1" si="77"/>
        <v>#VALUE!</v>
      </c>
      <c r="N3971" s="10" t="e">
        <f t="shared" ca="1" si="78"/>
        <v>#VALUE!</v>
      </c>
      <c r="O3971" s="7" t="str">
        <f ca="1">IFERROR(__xludf.DUMMYFUNCTION("GOOGLEFINANCE(""NSE:""&amp;D3971,""pe"")"),"#N/A")</f>
        <v>#N/A</v>
      </c>
      <c r="P3971" s="7" t="str">
        <f ca="1">IFERROR(__xludf.DUMMYFUNCTION("GOOGLEFINANCE(""NSE:""&amp;D3971,""EPS"")"),"#N/A")</f>
        <v>#N/A</v>
      </c>
      <c r="Q3971" s="7">
        <v>13.5</v>
      </c>
      <c r="R3971" s="7" t="str">
        <f ca="1">IFERROR(__xludf.DUMMYFUNCTION("IMPORTXML(E3971,""/html/body/main/div[3]/div[3]/div[2]/ul/li[7]/span[2]/span"")"),"Loading...")</f>
        <v>Loading...</v>
      </c>
      <c r="S3971" s="7" t="str">
        <f ca="1">IFERROR(__xludf.DUMMYFUNCTION("IMPORTXML(E3971,""/html/body/main/div[3]/div[3]/div[2]/ul/li[8]/span[2]/span"")"),"Loading...")</f>
        <v>Loading...</v>
      </c>
      <c r="T3971" s="4">
        <v>34.6</v>
      </c>
      <c r="U3971" s="4">
        <v>22.7</v>
      </c>
      <c r="V3971" s="4">
        <v>2.6</v>
      </c>
      <c r="W3971" s="4">
        <v>5.7</v>
      </c>
      <c r="X3971" s="4">
        <v>519.92999999999995</v>
      </c>
      <c r="Y3971" s="7" t="e">
        <f t="shared" ca="1" si="79"/>
        <v>#VALUE!</v>
      </c>
    </row>
    <row r="3972" spans="1:25" ht="15" x14ac:dyDescent="0.25">
      <c r="A3972" s="4">
        <v>3971</v>
      </c>
      <c r="C3972" s="41" t="s">
        <v>6338</v>
      </c>
      <c r="D3972" s="42"/>
      <c r="E3972" s="5" t="str">
        <f t="shared" si="75"/>
        <v>https://www.screener.in/company//consolidated/</v>
      </c>
      <c r="F3972" s="4">
        <v>443059</v>
      </c>
      <c r="G3972" s="4">
        <v>3832241897</v>
      </c>
      <c r="H3972" s="6" t="e">
        <f t="shared" ca="1" si="76"/>
        <v>#VALUE!</v>
      </c>
      <c r="I3972" s="7" t="str">
        <f ca="1">IFERROR(__xludf.DUMMYFUNCTION("IMPORTXML(E3972,""/html/body/main/div[3]/div[3]/div[2]/ul/li[5]/span[2]/span"")"),"Loading...")</f>
        <v>Loading...</v>
      </c>
      <c r="J3972" s="7" t="str">
        <f ca="1">IFERROR(__xludf.DUMMYFUNCTION("GOOGLEFINANCE(""NSE:""&amp;D3972,""marketcap"")"),"#N/A")</f>
        <v>#N/A</v>
      </c>
      <c r="K3972" s="7">
        <v>992.8</v>
      </c>
      <c r="L3972" s="8" t="str">
        <f ca="1">IFERROR(__xludf.DUMMYFUNCTION("GOOGLEFINANCE(""NSE:""&amp;D3972,""price"")"),"#N/A")</f>
        <v>#N/A</v>
      </c>
      <c r="M3972" s="9" t="e">
        <f t="shared" ca="1" si="77"/>
        <v>#VALUE!</v>
      </c>
      <c r="N3972" s="10" t="e">
        <f t="shared" ca="1" si="78"/>
        <v>#VALUE!</v>
      </c>
      <c r="O3972" s="7" t="str">
        <f ca="1">IFERROR(__xludf.DUMMYFUNCTION("GOOGLEFINANCE(""NSE:""&amp;D3972,""pe"")"),"#N/A")</f>
        <v>#N/A</v>
      </c>
      <c r="P3972" s="7" t="str">
        <f ca="1">IFERROR(__xludf.DUMMYFUNCTION("GOOGLEFINANCE(""NSE:""&amp;D3972,""EPS"")"),"#N/A")</f>
        <v>#N/A</v>
      </c>
      <c r="Q3972" s="7">
        <v>13.5</v>
      </c>
      <c r="R3972" s="7" t="str">
        <f ca="1">IFERROR(__xludf.DUMMYFUNCTION("IMPORTXML(E3972,""/html/body/main/div[3]/div[3]/div[2]/ul/li[7]/span[2]/span"")"),"Loading...")</f>
        <v>Loading...</v>
      </c>
      <c r="S3972" s="7" t="str">
        <f ca="1">IFERROR(__xludf.DUMMYFUNCTION("IMPORTXML(E3972,""/html/body/main/div[3]/div[3]/div[2]/ul/li[8]/span[2]/span"")"),"Loading...")</f>
        <v>Loading...</v>
      </c>
      <c r="T3972" s="4">
        <v>34.6</v>
      </c>
      <c r="U3972" s="4">
        <v>22.7</v>
      </c>
      <c r="V3972" s="4">
        <v>2.6</v>
      </c>
      <c r="W3972" s="4">
        <v>5.7</v>
      </c>
      <c r="X3972" s="4">
        <v>519.92999999999995</v>
      </c>
      <c r="Y3972" s="7" t="e">
        <f t="shared" ca="1" si="79"/>
        <v>#VALUE!</v>
      </c>
    </row>
    <row r="3973" spans="1:25" ht="15" x14ac:dyDescent="0.25">
      <c r="A3973" s="4">
        <v>3972</v>
      </c>
      <c r="C3973" s="41" t="s">
        <v>6339</v>
      </c>
      <c r="D3973" s="42"/>
      <c r="E3973" s="5" t="str">
        <f t="shared" si="75"/>
        <v>https://www.screener.in/company//consolidated/</v>
      </c>
      <c r="F3973" s="4">
        <v>443059</v>
      </c>
      <c r="G3973" s="4">
        <v>3832241897</v>
      </c>
      <c r="H3973" s="6" t="e">
        <f t="shared" ca="1" si="76"/>
        <v>#VALUE!</v>
      </c>
      <c r="I3973" s="7" t="str">
        <f ca="1">IFERROR(__xludf.DUMMYFUNCTION("IMPORTXML(E3973,""/html/body/main/div[3]/div[3]/div[2]/ul/li[5]/span[2]/span"")"),"Loading...")</f>
        <v>Loading...</v>
      </c>
      <c r="J3973" s="7" t="str">
        <f ca="1">IFERROR(__xludf.DUMMYFUNCTION("GOOGLEFINANCE(""NSE:""&amp;D3973,""marketcap"")"),"#N/A")</f>
        <v>#N/A</v>
      </c>
      <c r="K3973" s="7">
        <v>992.8</v>
      </c>
      <c r="L3973" s="8" t="str">
        <f ca="1">IFERROR(__xludf.DUMMYFUNCTION("GOOGLEFINANCE(""NSE:""&amp;D3973,""price"")"),"#N/A")</f>
        <v>#N/A</v>
      </c>
      <c r="M3973" s="9" t="e">
        <f t="shared" ca="1" si="77"/>
        <v>#VALUE!</v>
      </c>
      <c r="N3973" s="10" t="e">
        <f t="shared" ca="1" si="78"/>
        <v>#VALUE!</v>
      </c>
      <c r="O3973" s="7" t="str">
        <f ca="1">IFERROR(__xludf.DUMMYFUNCTION("GOOGLEFINANCE(""NSE:""&amp;D3973,""pe"")"),"#N/A")</f>
        <v>#N/A</v>
      </c>
      <c r="P3973" s="7" t="str">
        <f ca="1">IFERROR(__xludf.DUMMYFUNCTION("GOOGLEFINANCE(""NSE:""&amp;D3973,""EPS"")"),"#N/A")</f>
        <v>#N/A</v>
      </c>
      <c r="Q3973" s="7">
        <v>13.5</v>
      </c>
      <c r="R3973" s="7" t="str">
        <f ca="1">IFERROR(__xludf.DUMMYFUNCTION("IMPORTXML(E3973,""/html/body/main/div[3]/div[3]/div[2]/ul/li[7]/span[2]/span"")"),"Loading...")</f>
        <v>Loading...</v>
      </c>
      <c r="S3973" s="7" t="str">
        <f ca="1">IFERROR(__xludf.DUMMYFUNCTION("IMPORTXML(E3973,""/html/body/main/div[3]/div[3]/div[2]/ul/li[8]/span[2]/span"")"),"Loading...")</f>
        <v>Loading...</v>
      </c>
      <c r="T3973" s="4">
        <v>34.6</v>
      </c>
      <c r="U3973" s="4">
        <v>22.7</v>
      </c>
      <c r="V3973" s="4">
        <v>2.6</v>
      </c>
      <c r="W3973" s="4">
        <v>5.7</v>
      </c>
      <c r="X3973" s="4">
        <v>519.92999999999995</v>
      </c>
      <c r="Y3973" s="7" t="e">
        <f t="shared" ca="1" si="79"/>
        <v>#VALUE!</v>
      </c>
    </row>
    <row r="3974" spans="1:25" ht="15" x14ac:dyDescent="0.25">
      <c r="A3974" s="4">
        <v>3973</v>
      </c>
      <c r="C3974" s="41" t="s">
        <v>6340</v>
      </c>
      <c r="D3974" s="42"/>
      <c r="E3974" s="5" t="str">
        <f t="shared" si="75"/>
        <v>https://www.screener.in/company//consolidated/</v>
      </c>
      <c r="F3974" s="4">
        <v>443059</v>
      </c>
      <c r="G3974" s="4">
        <v>3832241897</v>
      </c>
      <c r="H3974" s="6" t="e">
        <f t="shared" ca="1" si="76"/>
        <v>#VALUE!</v>
      </c>
      <c r="I3974" s="7" t="str">
        <f ca="1">IFERROR(__xludf.DUMMYFUNCTION("IMPORTXML(E3974,""/html/body/main/div[3]/div[3]/div[2]/ul/li[5]/span[2]/span"")"),"Loading...")</f>
        <v>Loading...</v>
      </c>
      <c r="J3974" s="7" t="str">
        <f ca="1">IFERROR(__xludf.DUMMYFUNCTION("GOOGLEFINANCE(""NSE:""&amp;D3974,""marketcap"")"),"#N/A")</f>
        <v>#N/A</v>
      </c>
      <c r="K3974" s="7">
        <v>992.8</v>
      </c>
      <c r="L3974" s="8" t="str">
        <f ca="1">IFERROR(__xludf.DUMMYFUNCTION("GOOGLEFINANCE(""NSE:""&amp;D3974,""price"")"),"#N/A")</f>
        <v>#N/A</v>
      </c>
      <c r="M3974" s="9" t="e">
        <f t="shared" ca="1" si="77"/>
        <v>#VALUE!</v>
      </c>
      <c r="N3974" s="10" t="e">
        <f t="shared" ca="1" si="78"/>
        <v>#VALUE!</v>
      </c>
      <c r="O3974" s="7" t="str">
        <f ca="1">IFERROR(__xludf.DUMMYFUNCTION("GOOGLEFINANCE(""NSE:""&amp;D3974,""pe"")"),"#N/A")</f>
        <v>#N/A</v>
      </c>
      <c r="P3974" s="7" t="str">
        <f ca="1">IFERROR(__xludf.DUMMYFUNCTION("GOOGLEFINANCE(""NSE:""&amp;D3974,""EPS"")"),"#N/A")</f>
        <v>#N/A</v>
      </c>
      <c r="Q3974" s="7">
        <v>13.5</v>
      </c>
      <c r="R3974" s="7" t="str">
        <f ca="1">IFERROR(__xludf.DUMMYFUNCTION("IMPORTXML(E3974,""/html/body/main/div[3]/div[3]/div[2]/ul/li[7]/span[2]/span"")"),"Loading...")</f>
        <v>Loading...</v>
      </c>
      <c r="S3974" s="7" t="str">
        <f ca="1">IFERROR(__xludf.DUMMYFUNCTION("IMPORTXML(E3974,""/html/body/main/div[3]/div[3]/div[2]/ul/li[8]/span[2]/span"")"),"Loading...")</f>
        <v>Loading...</v>
      </c>
      <c r="T3974" s="4">
        <v>34.6</v>
      </c>
      <c r="U3974" s="4">
        <v>22.7</v>
      </c>
      <c r="V3974" s="4">
        <v>2.6</v>
      </c>
      <c r="W3974" s="4">
        <v>5.7</v>
      </c>
      <c r="X3974" s="4">
        <v>519.92999999999995</v>
      </c>
      <c r="Y3974" s="7" t="e">
        <f t="shared" ca="1" si="79"/>
        <v>#VALUE!</v>
      </c>
    </row>
    <row r="3975" spans="1:25" ht="15" x14ac:dyDescent="0.25">
      <c r="A3975" s="4">
        <v>3974</v>
      </c>
      <c r="C3975" s="41" t="s">
        <v>6341</v>
      </c>
      <c r="D3975" s="42"/>
      <c r="E3975" s="5" t="str">
        <f t="shared" si="75"/>
        <v>https://www.screener.in/company//consolidated/</v>
      </c>
      <c r="F3975" s="4">
        <v>443059</v>
      </c>
      <c r="G3975" s="4">
        <v>3832241897</v>
      </c>
      <c r="H3975" s="6" t="e">
        <f t="shared" ca="1" si="76"/>
        <v>#VALUE!</v>
      </c>
      <c r="I3975" s="7" t="str">
        <f ca="1">IFERROR(__xludf.DUMMYFUNCTION("IMPORTXML(E3975,""/html/body/main/div[3]/div[3]/div[2]/ul/li[5]/span[2]/span"")"),"Loading...")</f>
        <v>Loading...</v>
      </c>
      <c r="J3975" s="7" t="str">
        <f ca="1">IFERROR(__xludf.DUMMYFUNCTION("GOOGLEFINANCE(""NSE:""&amp;D3975,""marketcap"")"),"#N/A")</f>
        <v>#N/A</v>
      </c>
      <c r="K3975" s="7">
        <v>992.8</v>
      </c>
      <c r="L3975" s="8" t="str">
        <f ca="1">IFERROR(__xludf.DUMMYFUNCTION("GOOGLEFINANCE(""NSE:""&amp;D3975,""price"")"),"#N/A")</f>
        <v>#N/A</v>
      </c>
      <c r="M3975" s="9" t="e">
        <f t="shared" ca="1" si="77"/>
        <v>#VALUE!</v>
      </c>
      <c r="N3975" s="10" t="e">
        <f t="shared" ca="1" si="78"/>
        <v>#VALUE!</v>
      </c>
      <c r="O3975" s="7" t="str">
        <f ca="1">IFERROR(__xludf.DUMMYFUNCTION("GOOGLEFINANCE(""NSE:""&amp;D3975,""pe"")"),"#N/A")</f>
        <v>#N/A</v>
      </c>
      <c r="P3975" s="7" t="str">
        <f ca="1">IFERROR(__xludf.DUMMYFUNCTION("GOOGLEFINANCE(""NSE:""&amp;D3975,""EPS"")"),"#N/A")</f>
        <v>#N/A</v>
      </c>
      <c r="Q3975" s="7">
        <v>13.5</v>
      </c>
      <c r="R3975" s="7" t="str">
        <f ca="1">IFERROR(__xludf.DUMMYFUNCTION("IMPORTXML(E3975,""/html/body/main/div[3]/div[3]/div[2]/ul/li[7]/span[2]/span"")"),"Loading...")</f>
        <v>Loading...</v>
      </c>
      <c r="S3975" s="7" t="str">
        <f ca="1">IFERROR(__xludf.DUMMYFUNCTION("IMPORTXML(E3975,""/html/body/main/div[3]/div[3]/div[2]/ul/li[8]/span[2]/span"")"),"Loading...")</f>
        <v>Loading...</v>
      </c>
      <c r="T3975" s="4">
        <v>34.6</v>
      </c>
      <c r="U3975" s="4">
        <v>22.7</v>
      </c>
      <c r="V3975" s="4">
        <v>2.6</v>
      </c>
      <c r="W3975" s="4">
        <v>5.7</v>
      </c>
      <c r="X3975" s="4">
        <v>519.92999999999995</v>
      </c>
      <c r="Y3975" s="7" t="e">
        <f t="shared" ca="1" si="79"/>
        <v>#VALUE!</v>
      </c>
    </row>
    <row r="3976" spans="1:25" ht="15" x14ac:dyDescent="0.25">
      <c r="A3976" s="4">
        <v>3975</v>
      </c>
      <c r="C3976" s="41" t="s">
        <v>6342</v>
      </c>
      <c r="D3976" s="42"/>
      <c r="E3976" s="5" t="str">
        <f t="shared" si="75"/>
        <v>https://www.screener.in/company//consolidated/</v>
      </c>
      <c r="F3976" s="4">
        <v>443059</v>
      </c>
      <c r="G3976" s="4">
        <v>3832241897</v>
      </c>
      <c r="H3976" s="6" t="e">
        <f t="shared" ca="1" si="76"/>
        <v>#VALUE!</v>
      </c>
      <c r="I3976" s="7" t="str">
        <f ca="1">IFERROR(__xludf.DUMMYFUNCTION("IMPORTXML(E3976,""/html/body/main/div[3]/div[3]/div[2]/ul/li[5]/span[2]/span"")"),"Loading...")</f>
        <v>Loading...</v>
      </c>
      <c r="J3976" s="7" t="str">
        <f ca="1">IFERROR(__xludf.DUMMYFUNCTION("GOOGLEFINANCE(""NSE:""&amp;D3976,""marketcap"")"),"#N/A")</f>
        <v>#N/A</v>
      </c>
      <c r="K3976" s="7">
        <v>992.8</v>
      </c>
      <c r="L3976" s="8" t="str">
        <f ca="1">IFERROR(__xludf.DUMMYFUNCTION("GOOGLEFINANCE(""NSE:""&amp;D3976,""price"")"),"#N/A")</f>
        <v>#N/A</v>
      </c>
      <c r="M3976" s="9" t="e">
        <f t="shared" ca="1" si="77"/>
        <v>#VALUE!</v>
      </c>
      <c r="N3976" s="10" t="e">
        <f t="shared" ca="1" si="78"/>
        <v>#VALUE!</v>
      </c>
      <c r="O3976" s="7" t="str">
        <f ca="1">IFERROR(__xludf.DUMMYFUNCTION("GOOGLEFINANCE(""NSE:""&amp;D3976,""pe"")"),"#N/A")</f>
        <v>#N/A</v>
      </c>
      <c r="P3976" s="7" t="str">
        <f ca="1">IFERROR(__xludf.DUMMYFUNCTION("GOOGLEFINANCE(""NSE:""&amp;D3976,""EPS"")"),"#N/A")</f>
        <v>#N/A</v>
      </c>
      <c r="Q3976" s="7">
        <v>13.5</v>
      </c>
      <c r="R3976" s="7" t="str">
        <f ca="1">IFERROR(__xludf.DUMMYFUNCTION("IMPORTXML(E3976,""/html/body/main/div[3]/div[3]/div[2]/ul/li[7]/span[2]/span"")"),"Loading...")</f>
        <v>Loading...</v>
      </c>
      <c r="S3976" s="7" t="str">
        <f ca="1">IFERROR(__xludf.DUMMYFUNCTION("IMPORTXML(E3976,""/html/body/main/div[3]/div[3]/div[2]/ul/li[8]/span[2]/span"")"),"Loading...")</f>
        <v>Loading...</v>
      </c>
      <c r="T3976" s="4">
        <v>34.6</v>
      </c>
      <c r="U3976" s="4">
        <v>22.7</v>
      </c>
      <c r="V3976" s="4">
        <v>2.6</v>
      </c>
      <c r="W3976" s="4">
        <v>5.7</v>
      </c>
      <c r="X3976" s="4">
        <v>519.92999999999995</v>
      </c>
      <c r="Y3976" s="7" t="e">
        <f t="shared" ca="1" si="79"/>
        <v>#VALUE!</v>
      </c>
    </row>
    <row r="3977" spans="1:25" ht="15" x14ac:dyDescent="0.25">
      <c r="A3977" s="4">
        <v>3976</v>
      </c>
      <c r="C3977" s="41" t="s">
        <v>6343</v>
      </c>
      <c r="D3977" s="42"/>
      <c r="E3977" s="5" t="str">
        <f t="shared" si="75"/>
        <v>https://www.screener.in/company//consolidated/</v>
      </c>
      <c r="F3977" s="4">
        <v>443059</v>
      </c>
      <c r="G3977" s="4">
        <v>3832241897</v>
      </c>
      <c r="H3977" s="6" t="e">
        <f t="shared" ca="1" si="76"/>
        <v>#VALUE!</v>
      </c>
      <c r="I3977" s="7" t="str">
        <f ca="1">IFERROR(__xludf.DUMMYFUNCTION("IMPORTXML(E3977,""/html/body/main/div[3]/div[3]/div[2]/ul/li[5]/span[2]/span"")"),"Loading...")</f>
        <v>Loading...</v>
      </c>
      <c r="J3977" s="7" t="str">
        <f ca="1">IFERROR(__xludf.DUMMYFUNCTION("GOOGLEFINANCE(""NSE:""&amp;D3977,""marketcap"")"),"#N/A")</f>
        <v>#N/A</v>
      </c>
      <c r="K3977" s="7">
        <v>992.8</v>
      </c>
      <c r="L3977" s="8" t="str">
        <f ca="1">IFERROR(__xludf.DUMMYFUNCTION("GOOGLEFINANCE(""NSE:""&amp;D3977,""price"")"),"#N/A")</f>
        <v>#N/A</v>
      </c>
      <c r="M3977" s="9" t="e">
        <f t="shared" ca="1" si="77"/>
        <v>#VALUE!</v>
      </c>
      <c r="N3977" s="10" t="e">
        <f t="shared" ca="1" si="78"/>
        <v>#VALUE!</v>
      </c>
      <c r="O3977" s="7" t="str">
        <f ca="1">IFERROR(__xludf.DUMMYFUNCTION("GOOGLEFINANCE(""NSE:""&amp;D3977,""pe"")"),"#N/A")</f>
        <v>#N/A</v>
      </c>
      <c r="P3977" s="7" t="str">
        <f ca="1">IFERROR(__xludf.DUMMYFUNCTION("GOOGLEFINANCE(""NSE:""&amp;D3977,""EPS"")"),"#N/A")</f>
        <v>#N/A</v>
      </c>
      <c r="Q3977" s="7">
        <v>13.5</v>
      </c>
      <c r="R3977" s="7" t="str">
        <f ca="1">IFERROR(__xludf.DUMMYFUNCTION("IMPORTXML(E3977,""/html/body/main/div[3]/div[3]/div[2]/ul/li[7]/span[2]/span"")"),"Loading...")</f>
        <v>Loading...</v>
      </c>
      <c r="S3977" s="7" t="str">
        <f ca="1">IFERROR(__xludf.DUMMYFUNCTION("IMPORTXML(E3977,""/html/body/main/div[3]/div[3]/div[2]/ul/li[8]/span[2]/span"")"),"Loading...")</f>
        <v>Loading...</v>
      </c>
      <c r="T3977" s="4">
        <v>34.6</v>
      </c>
      <c r="U3977" s="4">
        <v>22.7</v>
      </c>
      <c r="V3977" s="4">
        <v>2.6</v>
      </c>
      <c r="W3977" s="4">
        <v>5.7</v>
      </c>
      <c r="X3977" s="4">
        <v>519.92999999999995</v>
      </c>
      <c r="Y3977" s="7" t="e">
        <f t="shared" ca="1" si="79"/>
        <v>#VALUE!</v>
      </c>
    </row>
    <row r="3978" spans="1:25" ht="15" x14ac:dyDescent="0.25">
      <c r="A3978" s="4">
        <v>3977</v>
      </c>
      <c r="C3978" s="41" t="s">
        <v>6344</v>
      </c>
      <c r="D3978" s="42"/>
      <c r="E3978" s="5" t="str">
        <f t="shared" si="75"/>
        <v>https://www.screener.in/company//consolidated/</v>
      </c>
      <c r="F3978" s="4">
        <v>443059</v>
      </c>
      <c r="G3978" s="4">
        <v>3832241897</v>
      </c>
      <c r="H3978" s="6" t="e">
        <f t="shared" ca="1" si="76"/>
        <v>#VALUE!</v>
      </c>
      <c r="I3978" s="7" t="str">
        <f ca="1">IFERROR(__xludf.DUMMYFUNCTION("IMPORTXML(E3978,""/html/body/main/div[3]/div[3]/div[2]/ul/li[5]/span[2]/span"")"),"Loading...")</f>
        <v>Loading...</v>
      </c>
      <c r="J3978" s="7" t="str">
        <f ca="1">IFERROR(__xludf.DUMMYFUNCTION("GOOGLEFINANCE(""NSE:""&amp;D3978,""marketcap"")"),"#N/A")</f>
        <v>#N/A</v>
      </c>
      <c r="K3978" s="7">
        <v>992.8</v>
      </c>
      <c r="L3978" s="8" t="str">
        <f ca="1">IFERROR(__xludf.DUMMYFUNCTION("GOOGLEFINANCE(""NSE:""&amp;D3978,""price"")"),"#N/A")</f>
        <v>#N/A</v>
      </c>
      <c r="M3978" s="9" t="e">
        <f t="shared" ca="1" si="77"/>
        <v>#VALUE!</v>
      </c>
      <c r="N3978" s="10" t="e">
        <f t="shared" ca="1" si="78"/>
        <v>#VALUE!</v>
      </c>
      <c r="O3978" s="7" t="str">
        <f ca="1">IFERROR(__xludf.DUMMYFUNCTION("GOOGLEFINANCE(""NSE:""&amp;D3978,""pe"")"),"#N/A")</f>
        <v>#N/A</v>
      </c>
      <c r="P3978" s="7" t="str">
        <f ca="1">IFERROR(__xludf.DUMMYFUNCTION("GOOGLEFINANCE(""NSE:""&amp;D3978,""EPS"")"),"#N/A")</f>
        <v>#N/A</v>
      </c>
      <c r="Q3978" s="7">
        <v>13.5</v>
      </c>
      <c r="R3978" s="7" t="str">
        <f ca="1">IFERROR(__xludf.DUMMYFUNCTION("IMPORTXML(E3978,""/html/body/main/div[3]/div[3]/div[2]/ul/li[7]/span[2]/span"")"),"Loading...")</f>
        <v>Loading...</v>
      </c>
      <c r="S3978" s="7" t="str">
        <f ca="1">IFERROR(__xludf.DUMMYFUNCTION("IMPORTXML(E3978,""/html/body/main/div[3]/div[3]/div[2]/ul/li[8]/span[2]/span"")"),"Loading...")</f>
        <v>Loading...</v>
      </c>
      <c r="T3978" s="4">
        <v>34.6</v>
      </c>
      <c r="U3978" s="4">
        <v>22.7</v>
      </c>
      <c r="V3978" s="4">
        <v>2.6</v>
      </c>
      <c r="W3978" s="4">
        <v>5.7</v>
      </c>
      <c r="X3978" s="4">
        <v>519.92999999999995</v>
      </c>
      <c r="Y3978" s="7" t="e">
        <f t="shared" ca="1" si="79"/>
        <v>#VALUE!</v>
      </c>
    </row>
    <row r="3979" spans="1:25" ht="15" x14ac:dyDescent="0.25">
      <c r="A3979" s="4">
        <v>3978</v>
      </c>
      <c r="C3979" s="41" t="s">
        <v>6345</v>
      </c>
      <c r="D3979" s="42"/>
      <c r="E3979" s="5" t="str">
        <f t="shared" si="75"/>
        <v>https://www.screener.in/company//consolidated/</v>
      </c>
      <c r="F3979" s="4">
        <v>443059</v>
      </c>
      <c r="G3979" s="4">
        <v>3832241897</v>
      </c>
      <c r="H3979" s="6" t="e">
        <f t="shared" ca="1" si="76"/>
        <v>#VALUE!</v>
      </c>
      <c r="I3979" s="7" t="str">
        <f ca="1">IFERROR(__xludf.DUMMYFUNCTION("IMPORTXML(E3979,""/html/body/main/div[3]/div[3]/div[2]/ul/li[5]/span[2]/span"")"),"Loading...")</f>
        <v>Loading...</v>
      </c>
      <c r="J3979" s="7" t="str">
        <f ca="1">IFERROR(__xludf.DUMMYFUNCTION("GOOGLEFINANCE(""NSE:""&amp;D3979,""marketcap"")"),"#N/A")</f>
        <v>#N/A</v>
      </c>
      <c r="K3979" s="7">
        <v>992.8</v>
      </c>
      <c r="L3979" s="8" t="str">
        <f ca="1">IFERROR(__xludf.DUMMYFUNCTION("GOOGLEFINANCE(""NSE:""&amp;D3979,""price"")"),"#N/A")</f>
        <v>#N/A</v>
      </c>
      <c r="M3979" s="9" t="e">
        <f t="shared" ca="1" si="77"/>
        <v>#VALUE!</v>
      </c>
      <c r="N3979" s="10" t="e">
        <f t="shared" ca="1" si="78"/>
        <v>#VALUE!</v>
      </c>
      <c r="O3979" s="7" t="str">
        <f ca="1">IFERROR(__xludf.DUMMYFUNCTION("GOOGLEFINANCE(""NSE:""&amp;D3979,""pe"")"),"#N/A")</f>
        <v>#N/A</v>
      </c>
      <c r="P3979" s="7" t="str">
        <f ca="1">IFERROR(__xludf.DUMMYFUNCTION("GOOGLEFINANCE(""NSE:""&amp;D3979,""EPS"")"),"#N/A")</f>
        <v>#N/A</v>
      </c>
      <c r="Q3979" s="7">
        <v>13.5</v>
      </c>
      <c r="R3979" s="7" t="str">
        <f ca="1">IFERROR(__xludf.DUMMYFUNCTION("IMPORTXML(E3979,""/html/body/main/div[3]/div[3]/div[2]/ul/li[7]/span[2]/span"")"),"Loading...")</f>
        <v>Loading...</v>
      </c>
      <c r="S3979" s="7" t="str">
        <f ca="1">IFERROR(__xludf.DUMMYFUNCTION("IMPORTXML(E3979,""/html/body/main/div[3]/div[3]/div[2]/ul/li[8]/span[2]/span"")"),"Loading...")</f>
        <v>Loading...</v>
      </c>
      <c r="T3979" s="4">
        <v>34.6</v>
      </c>
      <c r="U3979" s="4">
        <v>22.7</v>
      </c>
      <c r="V3979" s="4">
        <v>2.6</v>
      </c>
      <c r="W3979" s="4">
        <v>5.7</v>
      </c>
      <c r="X3979" s="4">
        <v>519.92999999999995</v>
      </c>
      <c r="Y3979" s="7" t="e">
        <f t="shared" ca="1" si="79"/>
        <v>#VALUE!</v>
      </c>
    </row>
    <row r="3980" spans="1:25" ht="15" x14ac:dyDescent="0.25">
      <c r="A3980" s="4">
        <v>3979</v>
      </c>
      <c r="C3980" s="41" t="s">
        <v>6346</v>
      </c>
      <c r="D3980" s="42"/>
      <c r="E3980" s="5" t="str">
        <f t="shared" si="75"/>
        <v>https://www.screener.in/company//consolidated/</v>
      </c>
      <c r="F3980" s="4">
        <v>443059</v>
      </c>
      <c r="G3980" s="4">
        <v>3832241897</v>
      </c>
      <c r="H3980" s="6" t="e">
        <f t="shared" ca="1" si="76"/>
        <v>#VALUE!</v>
      </c>
      <c r="I3980" s="7" t="str">
        <f ca="1">IFERROR(__xludf.DUMMYFUNCTION("IMPORTXML(E3980,""/html/body/main/div[3]/div[3]/div[2]/ul/li[5]/span[2]/span"")"),"Loading...")</f>
        <v>Loading...</v>
      </c>
      <c r="J3980" s="7" t="str">
        <f ca="1">IFERROR(__xludf.DUMMYFUNCTION("GOOGLEFINANCE(""NSE:""&amp;D3980,""marketcap"")"),"#N/A")</f>
        <v>#N/A</v>
      </c>
      <c r="K3980" s="7">
        <v>992.8</v>
      </c>
      <c r="L3980" s="8" t="str">
        <f ca="1">IFERROR(__xludf.DUMMYFUNCTION("GOOGLEFINANCE(""NSE:""&amp;D3980,""price"")"),"#N/A")</f>
        <v>#N/A</v>
      </c>
      <c r="M3980" s="9" t="e">
        <f t="shared" ca="1" si="77"/>
        <v>#VALUE!</v>
      </c>
      <c r="N3980" s="10" t="e">
        <f t="shared" ca="1" si="78"/>
        <v>#VALUE!</v>
      </c>
      <c r="O3980" s="7" t="str">
        <f ca="1">IFERROR(__xludf.DUMMYFUNCTION("GOOGLEFINANCE(""NSE:""&amp;D3980,""pe"")"),"#N/A")</f>
        <v>#N/A</v>
      </c>
      <c r="P3980" s="7" t="str">
        <f ca="1">IFERROR(__xludf.DUMMYFUNCTION("GOOGLEFINANCE(""NSE:""&amp;D3980,""EPS"")"),"#N/A")</f>
        <v>#N/A</v>
      </c>
      <c r="Q3980" s="7">
        <v>13.5</v>
      </c>
      <c r="R3980" s="7" t="str">
        <f ca="1">IFERROR(__xludf.DUMMYFUNCTION("IMPORTXML(E3980,""/html/body/main/div[3]/div[3]/div[2]/ul/li[7]/span[2]/span"")"),"Loading...")</f>
        <v>Loading...</v>
      </c>
      <c r="S3980" s="7" t="str">
        <f ca="1">IFERROR(__xludf.DUMMYFUNCTION("IMPORTXML(E3980,""/html/body/main/div[3]/div[3]/div[2]/ul/li[8]/span[2]/span"")"),"Loading...")</f>
        <v>Loading...</v>
      </c>
      <c r="T3980" s="4">
        <v>34.6</v>
      </c>
      <c r="U3980" s="4">
        <v>22.7</v>
      </c>
      <c r="V3980" s="4">
        <v>2.6</v>
      </c>
      <c r="W3980" s="4">
        <v>5.7</v>
      </c>
      <c r="X3980" s="4">
        <v>519.92999999999995</v>
      </c>
      <c r="Y3980" s="7" t="e">
        <f t="shared" ca="1" si="79"/>
        <v>#VALUE!</v>
      </c>
    </row>
    <row r="3981" spans="1:25" ht="15" x14ac:dyDescent="0.25">
      <c r="A3981" s="4">
        <v>3980</v>
      </c>
      <c r="C3981" s="41" t="s">
        <v>6347</v>
      </c>
      <c r="D3981" s="42"/>
      <c r="E3981" s="5" t="str">
        <f t="shared" si="75"/>
        <v>https://www.screener.in/company//consolidated/</v>
      </c>
      <c r="F3981" s="4">
        <v>443059</v>
      </c>
      <c r="G3981" s="4">
        <v>3832241897</v>
      </c>
      <c r="H3981" s="6" t="e">
        <f t="shared" ca="1" si="76"/>
        <v>#VALUE!</v>
      </c>
      <c r="I3981" s="7" t="str">
        <f ca="1">IFERROR(__xludf.DUMMYFUNCTION("IMPORTXML(E3981,""/html/body/main/div[3]/div[3]/div[2]/ul/li[5]/span[2]/span"")"),"Loading...")</f>
        <v>Loading...</v>
      </c>
      <c r="J3981" s="7" t="str">
        <f ca="1">IFERROR(__xludf.DUMMYFUNCTION("GOOGLEFINANCE(""NSE:""&amp;D3981,""marketcap"")"),"#N/A")</f>
        <v>#N/A</v>
      </c>
      <c r="K3981" s="7">
        <v>992.8</v>
      </c>
      <c r="L3981" s="8" t="str">
        <f ca="1">IFERROR(__xludf.DUMMYFUNCTION("GOOGLEFINANCE(""NSE:""&amp;D3981,""price"")"),"#N/A")</f>
        <v>#N/A</v>
      </c>
      <c r="M3981" s="9" t="e">
        <f t="shared" ca="1" si="77"/>
        <v>#VALUE!</v>
      </c>
      <c r="N3981" s="10" t="e">
        <f t="shared" ca="1" si="78"/>
        <v>#VALUE!</v>
      </c>
      <c r="O3981" s="7" t="str">
        <f ca="1">IFERROR(__xludf.DUMMYFUNCTION("GOOGLEFINANCE(""NSE:""&amp;D3981,""pe"")"),"#N/A")</f>
        <v>#N/A</v>
      </c>
      <c r="P3981" s="7" t="str">
        <f ca="1">IFERROR(__xludf.DUMMYFUNCTION("GOOGLEFINANCE(""NSE:""&amp;D3981,""EPS"")"),"#N/A")</f>
        <v>#N/A</v>
      </c>
      <c r="Q3981" s="7">
        <v>13.5</v>
      </c>
      <c r="R3981" s="7" t="str">
        <f ca="1">IFERROR(__xludf.DUMMYFUNCTION("IMPORTXML(E3981,""/html/body/main/div[3]/div[3]/div[2]/ul/li[7]/span[2]/span"")"),"Loading...")</f>
        <v>Loading...</v>
      </c>
      <c r="S3981" s="7" t="str">
        <f ca="1">IFERROR(__xludf.DUMMYFUNCTION("IMPORTXML(E3981,""/html/body/main/div[3]/div[3]/div[2]/ul/li[8]/span[2]/span"")"),"Loading...")</f>
        <v>Loading...</v>
      </c>
      <c r="T3981" s="4">
        <v>34.6</v>
      </c>
      <c r="U3981" s="4">
        <v>22.7</v>
      </c>
      <c r="V3981" s="4">
        <v>2.6</v>
      </c>
      <c r="W3981" s="4">
        <v>5.7</v>
      </c>
      <c r="X3981" s="4">
        <v>519.92999999999995</v>
      </c>
      <c r="Y3981" s="7" t="e">
        <f t="shared" ca="1" si="79"/>
        <v>#VALUE!</v>
      </c>
    </row>
    <row r="3982" spans="1:25" ht="15" x14ac:dyDescent="0.25">
      <c r="A3982" s="4">
        <v>3981</v>
      </c>
      <c r="C3982" s="41" t="s">
        <v>6348</v>
      </c>
      <c r="D3982" s="42"/>
      <c r="E3982" s="5" t="str">
        <f t="shared" si="75"/>
        <v>https://www.screener.in/company//consolidated/</v>
      </c>
      <c r="F3982" s="4">
        <v>443059</v>
      </c>
      <c r="G3982" s="4">
        <v>3832241897</v>
      </c>
      <c r="H3982" s="6" t="e">
        <f t="shared" ca="1" si="76"/>
        <v>#VALUE!</v>
      </c>
      <c r="I3982" s="7" t="str">
        <f ca="1">IFERROR(__xludf.DUMMYFUNCTION("IMPORTXML(E3982,""/html/body/main/div[3]/div[3]/div[2]/ul/li[5]/span[2]/span"")"),"Loading...")</f>
        <v>Loading...</v>
      </c>
      <c r="J3982" s="7" t="str">
        <f ca="1">IFERROR(__xludf.DUMMYFUNCTION("GOOGLEFINANCE(""NSE:""&amp;D3982,""marketcap"")"),"#N/A")</f>
        <v>#N/A</v>
      </c>
      <c r="K3982" s="7">
        <v>992.8</v>
      </c>
      <c r="L3982" s="8" t="str">
        <f ca="1">IFERROR(__xludf.DUMMYFUNCTION("GOOGLEFINANCE(""NSE:""&amp;D3982,""price"")"),"#N/A")</f>
        <v>#N/A</v>
      </c>
      <c r="M3982" s="9" t="e">
        <f t="shared" ca="1" si="77"/>
        <v>#VALUE!</v>
      </c>
      <c r="N3982" s="10" t="e">
        <f t="shared" ca="1" si="78"/>
        <v>#VALUE!</v>
      </c>
      <c r="O3982" s="7" t="str">
        <f ca="1">IFERROR(__xludf.DUMMYFUNCTION("GOOGLEFINANCE(""NSE:""&amp;D3982,""pe"")"),"#N/A")</f>
        <v>#N/A</v>
      </c>
      <c r="P3982" s="7" t="str">
        <f ca="1">IFERROR(__xludf.DUMMYFUNCTION("GOOGLEFINANCE(""NSE:""&amp;D3982,""EPS"")"),"#N/A")</f>
        <v>#N/A</v>
      </c>
      <c r="Q3982" s="7">
        <v>13.5</v>
      </c>
      <c r="R3982" s="7" t="str">
        <f ca="1">IFERROR(__xludf.DUMMYFUNCTION("IMPORTXML(E3982,""/html/body/main/div[3]/div[3]/div[2]/ul/li[7]/span[2]/span"")"),"Loading...")</f>
        <v>Loading...</v>
      </c>
      <c r="S3982" s="7" t="str">
        <f ca="1">IFERROR(__xludf.DUMMYFUNCTION("IMPORTXML(E3982,""/html/body/main/div[3]/div[3]/div[2]/ul/li[8]/span[2]/span"")"),"Loading...")</f>
        <v>Loading...</v>
      </c>
      <c r="T3982" s="4">
        <v>34.6</v>
      </c>
      <c r="U3982" s="4">
        <v>22.7</v>
      </c>
      <c r="V3982" s="4">
        <v>2.6</v>
      </c>
      <c r="W3982" s="4">
        <v>5.7</v>
      </c>
      <c r="X3982" s="4">
        <v>519.92999999999995</v>
      </c>
      <c r="Y3982" s="7" t="e">
        <f t="shared" ca="1" si="79"/>
        <v>#VALUE!</v>
      </c>
    </row>
    <row r="3983" spans="1:25" ht="15" x14ac:dyDescent="0.25">
      <c r="A3983" s="4">
        <v>3982</v>
      </c>
      <c r="C3983" s="41" t="s">
        <v>6349</v>
      </c>
      <c r="D3983" s="42"/>
      <c r="E3983" s="5" t="str">
        <f t="shared" si="75"/>
        <v>https://www.screener.in/company//consolidated/</v>
      </c>
      <c r="F3983" s="4">
        <v>443059</v>
      </c>
      <c r="G3983" s="4">
        <v>3832241897</v>
      </c>
      <c r="H3983" s="6" t="e">
        <f t="shared" ca="1" si="76"/>
        <v>#VALUE!</v>
      </c>
      <c r="I3983" s="7" t="str">
        <f ca="1">IFERROR(__xludf.DUMMYFUNCTION("IMPORTXML(E3983,""/html/body/main/div[3]/div[3]/div[2]/ul/li[5]/span[2]/span"")"),"Loading...")</f>
        <v>Loading...</v>
      </c>
      <c r="J3983" s="7" t="str">
        <f ca="1">IFERROR(__xludf.DUMMYFUNCTION("GOOGLEFINANCE(""NSE:""&amp;D3983,""marketcap"")"),"#N/A")</f>
        <v>#N/A</v>
      </c>
      <c r="K3983" s="7">
        <v>992.8</v>
      </c>
      <c r="L3983" s="8" t="str">
        <f ca="1">IFERROR(__xludf.DUMMYFUNCTION("GOOGLEFINANCE(""NSE:""&amp;D3983,""price"")"),"#N/A")</f>
        <v>#N/A</v>
      </c>
      <c r="M3983" s="9" t="e">
        <f t="shared" ca="1" si="77"/>
        <v>#VALUE!</v>
      </c>
      <c r="N3983" s="10" t="e">
        <f t="shared" ca="1" si="78"/>
        <v>#VALUE!</v>
      </c>
      <c r="O3983" s="7" t="str">
        <f ca="1">IFERROR(__xludf.DUMMYFUNCTION("GOOGLEFINANCE(""NSE:""&amp;D3983,""pe"")"),"#N/A")</f>
        <v>#N/A</v>
      </c>
      <c r="P3983" s="7" t="str">
        <f ca="1">IFERROR(__xludf.DUMMYFUNCTION("GOOGLEFINANCE(""NSE:""&amp;D3983,""EPS"")"),"#N/A")</f>
        <v>#N/A</v>
      </c>
      <c r="Q3983" s="7">
        <v>13.5</v>
      </c>
      <c r="R3983" s="7" t="str">
        <f ca="1">IFERROR(__xludf.DUMMYFUNCTION("IMPORTXML(E3983,""/html/body/main/div[3]/div[3]/div[2]/ul/li[7]/span[2]/span"")"),"Loading...")</f>
        <v>Loading...</v>
      </c>
      <c r="S3983" s="7" t="str">
        <f ca="1">IFERROR(__xludf.DUMMYFUNCTION("IMPORTXML(E3983,""/html/body/main/div[3]/div[3]/div[2]/ul/li[8]/span[2]/span"")"),"Loading...")</f>
        <v>Loading...</v>
      </c>
      <c r="T3983" s="4">
        <v>34.6</v>
      </c>
      <c r="U3983" s="4">
        <v>22.7</v>
      </c>
      <c r="V3983" s="4">
        <v>2.6</v>
      </c>
      <c r="W3983" s="4">
        <v>5.7</v>
      </c>
      <c r="X3983" s="4">
        <v>519.92999999999995</v>
      </c>
      <c r="Y3983" s="7" t="e">
        <f t="shared" ca="1" si="79"/>
        <v>#VALUE!</v>
      </c>
    </row>
    <row r="3984" spans="1:25" ht="15" x14ac:dyDescent="0.25">
      <c r="A3984" s="4">
        <v>3983</v>
      </c>
      <c r="C3984" s="12" t="s">
        <v>6350</v>
      </c>
      <c r="D3984" s="12" t="s">
        <v>6351</v>
      </c>
      <c r="E3984" s="5" t="str">
        <f t="shared" si="75"/>
        <v>https://www.screener.in/company/SETUINFRA/consolidated/</v>
      </c>
      <c r="F3984" s="4">
        <v>443059</v>
      </c>
      <c r="G3984" s="4">
        <v>3832241897</v>
      </c>
      <c r="H3984" s="6">
        <f t="shared" ca="1" si="76"/>
        <v>295.08262606900001</v>
      </c>
      <c r="I3984" s="7" t="str">
        <f ca="1">IFERROR(__xludf.DUMMYFUNCTION("IMPORTXML(E3984,""/html/body/main/div[3]/div[3]/div[2]/ul/li[5]/span[2]/span"")"),"Loading...")</f>
        <v>Loading...</v>
      </c>
      <c r="J3984" s="7">
        <f ca="1">IFERROR(__xludf.DUMMYFUNCTION("GOOGLEFINANCE(""NSE:""&amp;D3984,""marketcap"")"),96772260)</f>
        <v>96772260</v>
      </c>
      <c r="K3984" s="7">
        <v>992.8</v>
      </c>
      <c r="L3984" s="8">
        <f ca="1">IFERROR(__xludf.DUMMYFUNCTION("GOOGLEFINANCE(""NSE:""&amp;D3984,""price"")"),0.77)</f>
        <v>0.77</v>
      </c>
      <c r="M3984" s="9">
        <f t="shared" ca="1" si="77"/>
        <v>-992.03</v>
      </c>
      <c r="N3984" s="10">
        <f t="shared" ca="1" si="78"/>
        <v>-99.92244157937148</v>
      </c>
      <c r="O3984" s="7" t="str">
        <f ca="1">IFERROR(__xludf.DUMMYFUNCTION("GOOGLEFINANCE(""NSE:""&amp;D3984,""pe"")"),"#N/A")</f>
        <v>#N/A</v>
      </c>
      <c r="P3984" s="7" t="str">
        <f ca="1">IFERROR(__xludf.DUMMYFUNCTION("GOOGLEFINANCE(""NSE:""&amp;D3984,""EPS"")"),"#N/A")</f>
        <v>#N/A</v>
      </c>
      <c r="Q3984" s="7">
        <v>13.5</v>
      </c>
      <c r="R3984" s="7" t="str">
        <f ca="1">IFERROR(__xludf.DUMMYFUNCTION("IMPORTXML(E3984,""/html/body/main/div[3]/div[3]/div[2]/ul/li[7]/span[2]/span"")"),"Loading...")</f>
        <v>Loading...</v>
      </c>
      <c r="S3984" s="7" t="str">
        <f ca="1">IFERROR(__xludf.DUMMYFUNCTION("IMPORTXML(E3984,""/html/body/main/div[3]/div[3]/div[2]/ul/li[8]/span[2]/span"")"),"Loading...")</f>
        <v>Loading...</v>
      </c>
      <c r="T3984" s="4">
        <v>34.6</v>
      </c>
      <c r="U3984" s="4">
        <v>22.7</v>
      </c>
      <c r="V3984" s="4">
        <v>2.6</v>
      </c>
      <c r="W3984" s="4">
        <v>5.7</v>
      </c>
      <c r="X3984" s="4">
        <v>519.92999999999995</v>
      </c>
      <c r="Y3984" s="7">
        <f t="shared" ca="1" si="79"/>
        <v>-519.16</v>
      </c>
    </row>
    <row r="3985" spans="1:25" ht="15" x14ac:dyDescent="0.25">
      <c r="A3985" s="4">
        <v>3984</v>
      </c>
      <c r="C3985" s="41" t="s">
        <v>6352</v>
      </c>
      <c r="D3985" s="42"/>
      <c r="E3985" s="5" t="str">
        <f t="shared" si="75"/>
        <v>https://www.screener.in/company//consolidated/</v>
      </c>
      <c r="F3985" s="4">
        <v>443059</v>
      </c>
      <c r="G3985" s="4">
        <v>3832241897</v>
      </c>
      <c r="H3985" s="6" t="e">
        <f t="shared" ca="1" si="76"/>
        <v>#VALUE!</v>
      </c>
      <c r="I3985" s="7" t="str">
        <f ca="1">IFERROR(__xludf.DUMMYFUNCTION("IMPORTXML(E3985,""/html/body/main/div[3]/div[3]/div[2]/ul/li[5]/span[2]/span"")"),"Loading...")</f>
        <v>Loading...</v>
      </c>
      <c r="J3985" s="7" t="str">
        <f ca="1">IFERROR(__xludf.DUMMYFUNCTION("GOOGLEFINANCE(""NSE:""&amp;D3985,""marketcap"")"),"#N/A")</f>
        <v>#N/A</v>
      </c>
      <c r="K3985" s="7">
        <v>992.8</v>
      </c>
      <c r="L3985" s="8" t="str">
        <f ca="1">IFERROR(__xludf.DUMMYFUNCTION("GOOGLEFINANCE(""NSE:""&amp;D3985,""price"")"),"#N/A")</f>
        <v>#N/A</v>
      </c>
      <c r="M3985" s="9" t="e">
        <f t="shared" ca="1" si="77"/>
        <v>#VALUE!</v>
      </c>
      <c r="N3985" s="10" t="e">
        <f t="shared" ca="1" si="78"/>
        <v>#VALUE!</v>
      </c>
      <c r="O3985" s="7" t="str">
        <f ca="1">IFERROR(__xludf.DUMMYFUNCTION("GOOGLEFINANCE(""NSE:""&amp;D3985,""pe"")"),"#N/A")</f>
        <v>#N/A</v>
      </c>
      <c r="P3985" s="7" t="str">
        <f ca="1">IFERROR(__xludf.DUMMYFUNCTION("GOOGLEFINANCE(""NSE:""&amp;D3985,""EPS"")"),"#N/A")</f>
        <v>#N/A</v>
      </c>
      <c r="Q3985" s="7">
        <v>13.5</v>
      </c>
      <c r="R3985" s="7" t="str">
        <f ca="1">IFERROR(__xludf.DUMMYFUNCTION("IMPORTXML(E3985,""/html/body/main/div[3]/div[3]/div[2]/ul/li[7]/span[2]/span"")"),"Loading...")</f>
        <v>Loading...</v>
      </c>
      <c r="S3985" s="7" t="str">
        <f ca="1">IFERROR(__xludf.DUMMYFUNCTION("IMPORTXML(E3985,""/html/body/main/div[3]/div[3]/div[2]/ul/li[8]/span[2]/span"")"),"Loading...")</f>
        <v>Loading...</v>
      </c>
      <c r="T3985" s="4">
        <v>34.6</v>
      </c>
      <c r="U3985" s="4">
        <v>22.7</v>
      </c>
      <c r="V3985" s="4">
        <v>2.6</v>
      </c>
      <c r="W3985" s="4">
        <v>5.7</v>
      </c>
      <c r="X3985" s="4">
        <v>519.92999999999995</v>
      </c>
      <c r="Y3985" s="7" t="e">
        <f t="shared" ca="1" si="79"/>
        <v>#VALUE!</v>
      </c>
    </row>
    <row r="3986" spans="1:25" ht="15" x14ac:dyDescent="0.25">
      <c r="A3986" s="4">
        <v>3985</v>
      </c>
      <c r="C3986" s="41" t="s">
        <v>6353</v>
      </c>
      <c r="D3986" s="42"/>
      <c r="E3986" s="5" t="str">
        <f t="shared" si="75"/>
        <v>https://www.screener.in/company//consolidated/</v>
      </c>
      <c r="F3986" s="4">
        <v>443059</v>
      </c>
      <c r="G3986" s="4">
        <v>3832241897</v>
      </c>
      <c r="H3986" s="6" t="e">
        <f t="shared" ca="1" si="76"/>
        <v>#VALUE!</v>
      </c>
      <c r="I3986" s="7" t="str">
        <f ca="1">IFERROR(__xludf.DUMMYFUNCTION("IMPORTXML(E3986,""/html/body/main/div[3]/div[3]/div[2]/ul/li[5]/span[2]/span"")"),"Loading...")</f>
        <v>Loading...</v>
      </c>
      <c r="J3986" s="7" t="str">
        <f ca="1">IFERROR(__xludf.DUMMYFUNCTION("GOOGLEFINANCE(""NSE:""&amp;D3986,""marketcap"")"),"#N/A")</f>
        <v>#N/A</v>
      </c>
      <c r="K3986" s="7">
        <v>992.8</v>
      </c>
      <c r="L3986" s="8" t="str">
        <f ca="1">IFERROR(__xludf.DUMMYFUNCTION("GOOGLEFINANCE(""NSE:""&amp;D3986,""price"")"),"#N/A")</f>
        <v>#N/A</v>
      </c>
      <c r="M3986" s="9" t="e">
        <f t="shared" ca="1" si="77"/>
        <v>#VALUE!</v>
      </c>
      <c r="N3986" s="10" t="e">
        <f t="shared" ca="1" si="78"/>
        <v>#VALUE!</v>
      </c>
      <c r="O3986" s="7" t="str">
        <f ca="1">IFERROR(__xludf.DUMMYFUNCTION("GOOGLEFINANCE(""NSE:""&amp;D3986,""pe"")"),"#N/A")</f>
        <v>#N/A</v>
      </c>
      <c r="P3986" s="7" t="str">
        <f ca="1">IFERROR(__xludf.DUMMYFUNCTION("GOOGLEFINANCE(""NSE:""&amp;D3986,""EPS"")"),"#N/A")</f>
        <v>#N/A</v>
      </c>
      <c r="Q3986" s="7">
        <v>13.5</v>
      </c>
      <c r="R3986" s="7" t="str">
        <f ca="1">IFERROR(__xludf.DUMMYFUNCTION("IMPORTXML(E3986,""/html/body/main/div[3]/div[3]/div[2]/ul/li[7]/span[2]/span"")"),"Loading...")</f>
        <v>Loading...</v>
      </c>
      <c r="S3986" s="7" t="str">
        <f ca="1">IFERROR(__xludf.DUMMYFUNCTION("IMPORTXML(E3986,""/html/body/main/div[3]/div[3]/div[2]/ul/li[8]/span[2]/span"")"),"Loading...")</f>
        <v>Loading...</v>
      </c>
      <c r="T3986" s="4">
        <v>34.6</v>
      </c>
      <c r="U3986" s="4">
        <v>22.7</v>
      </c>
      <c r="V3986" s="4">
        <v>2.6</v>
      </c>
      <c r="W3986" s="4">
        <v>5.7</v>
      </c>
      <c r="X3986" s="4">
        <v>519.92999999999995</v>
      </c>
      <c r="Y3986" s="7" t="e">
        <f t="shared" ca="1" si="79"/>
        <v>#VALUE!</v>
      </c>
    </row>
    <row r="3987" spans="1:25" ht="15" x14ac:dyDescent="0.25">
      <c r="A3987" s="4">
        <v>3986</v>
      </c>
      <c r="C3987" s="12" t="s">
        <v>6354</v>
      </c>
      <c r="D3987" s="12" t="s">
        <v>6355</v>
      </c>
      <c r="E3987" s="5" t="str">
        <f t="shared" si="75"/>
        <v>https://www.screener.in/company/UNIVAFOODS/consolidated/</v>
      </c>
      <c r="F3987" s="4">
        <v>443059</v>
      </c>
      <c r="G3987" s="4">
        <v>3832241897</v>
      </c>
      <c r="H3987" s="6">
        <f t="shared" ca="1" si="76"/>
        <v>4721.3220171040002</v>
      </c>
      <c r="I3987" s="7" t="str">
        <f ca="1">IFERROR(__xludf.DUMMYFUNCTION("IMPORTXML(E3987,""/html/body/main/div[3]/div[3]/div[2]/ul/li[5]/span[2]/span"")"),"Loading...")</f>
        <v>Loading...</v>
      </c>
      <c r="J3987" s="7">
        <f ca="1">IFERROR(__xludf.DUMMYFUNCTION("GOOGLEFINANCE(""NSE:""&amp;D3987,""marketcap"")"),176456900)</f>
        <v>176456900</v>
      </c>
      <c r="K3987" s="7">
        <v>992.8</v>
      </c>
      <c r="L3987" s="8">
        <f ca="1">IFERROR(__xludf.DUMMYFUNCTION("GOOGLEFINANCE(""NSE:""&amp;D3987,""price"")"),12.32)</f>
        <v>12.32</v>
      </c>
      <c r="M3987" s="9">
        <f t="shared" ca="1" si="77"/>
        <v>-980.4799999999999</v>
      </c>
      <c r="N3987" s="10">
        <f t="shared" ca="1" si="78"/>
        <v>-98.759065269943591</v>
      </c>
      <c r="O3987" s="7" t="str">
        <f ca="1">IFERROR(__xludf.DUMMYFUNCTION("GOOGLEFINANCE(""NSE:""&amp;D3987,""pe"")"),"#N/A")</f>
        <v>#N/A</v>
      </c>
      <c r="P3987" s="7">
        <f ca="1">IFERROR(__xludf.DUMMYFUNCTION("GOOGLEFINANCE(""NSE:""&amp;D3987,""EPS"")"),-3.8)</f>
        <v>-3.8</v>
      </c>
      <c r="Q3987" s="7">
        <v>13.5</v>
      </c>
      <c r="R3987" s="7" t="str">
        <f ca="1">IFERROR(__xludf.DUMMYFUNCTION("IMPORTXML(E3987,""/html/body/main/div[3]/div[3]/div[2]/ul/li[7]/span[2]/span"")"),"Loading...")</f>
        <v>Loading...</v>
      </c>
      <c r="S3987" s="7" t="str">
        <f ca="1">IFERROR(__xludf.DUMMYFUNCTION("IMPORTXML(E3987,""/html/body/main/div[3]/div[3]/div[2]/ul/li[8]/span[2]/span"")"),"Loading...")</f>
        <v>Loading...</v>
      </c>
      <c r="T3987" s="4">
        <v>34.6</v>
      </c>
      <c r="U3987" s="4">
        <v>22.7</v>
      </c>
      <c r="V3987" s="4">
        <v>2.6</v>
      </c>
      <c r="W3987" s="4">
        <v>5.7</v>
      </c>
      <c r="X3987" s="4">
        <v>519.92999999999995</v>
      </c>
      <c r="Y3987" s="7">
        <f t="shared" ca="1" si="79"/>
        <v>-507.60999999999996</v>
      </c>
    </row>
    <row r="3988" spans="1:25" ht="15" x14ac:dyDescent="0.25">
      <c r="A3988" s="4">
        <v>3987</v>
      </c>
      <c r="C3988" s="41" t="s">
        <v>6356</v>
      </c>
      <c r="D3988" s="42"/>
      <c r="E3988" s="5" t="str">
        <f t="shared" ref="E3988:E4242" si="80">"https://www.screener.in/company/"&amp; D3988&amp;"/consolidated/"</f>
        <v>https://www.screener.in/company//consolidated/</v>
      </c>
      <c r="F3988" s="4">
        <v>443059</v>
      </c>
      <c r="G3988" s="4">
        <v>3832241897</v>
      </c>
      <c r="H3988" s="6" t="e">
        <f t="shared" ref="H3988:H4242" ca="1" si="81">(G3988*L3988)/10^7</f>
        <v>#VALUE!</v>
      </c>
      <c r="I3988" s="7" t="str">
        <f ca="1">IFERROR(__xludf.DUMMYFUNCTION("IMPORTXML(E3988,""/html/body/main/div[3]/div[3]/div[2]/ul/li[5]/span[2]/span"")"),"Loading...")</f>
        <v>Loading...</v>
      </c>
      <c r="J3988" s="7" t="str">
        <f ca="1">IFERROR(__xludf.DUMMYFUNCTION("GOOGLEFINANCE(""NSE:""&amp;D3988,""marketcap"")"),"#N/A")</f>
        <v>#N/A</v>
      </c>
      <c r="K3988" s="7">
        <v>992.8</v>
      </c>
      <c r="L3988" s="8" t="str">
        <f ca="1">IFERROR(__xludf.DUMMYFUNCTION("GOOGLEFINANCE(""NSE:""&amp;D3988,""price"")"),"#N/A")</f>
        <v>#N/A</v>
      </c>
      <c r="M3988" s="9" t="e">
        <f t="shared" ref="M3988:M4242" ca="1" si="82">L3988-K3988</f>
        <v>#VALUE!</v>
      </c>
      <c r="N3988" s="10" t="e">
        <f t="shared" ref="N3988:N4242" ca="1" si="83">(M3988/K3988)*100</f>
        <v>#VALUE!</v>
      </c>
      <c r="O3988" s="7" t="str">
        <f ca="1">IFERROR(__xludf.DUMMYFUNCTION("GOOGLEFINANCE(""NSE:""&amp;D3988,""pe"")"),"#N/A")</f>
        <v>#N/A</v>
      </c>
      <c r="P3988" s="7" t="str">
        <f ca="1">IFERROR(__xludf.DUMMYFUNCTION("GOOGLEFINANCE(""NSE:""&amp;D3988,""EPS"")"),"#N/A")</f>
        <v>#N/A</v>
      </c>
      <c r="Q3988" s="7">
        <v>13.5</v>
      </c>
      <c r="R3988" s="7" t="str">
        <f ca="1">IFERROR(__xludf.DUMMYFUNCTION("IMPORTXML(E3988,""/html/body/main/div[3]/div[3]/div[2]/ul/li[7]/span[2]/span"")"),"Loading...")</f>
        <v>Loading...</v>
      </c>
      <c r="S3988" s="7" t="str">
        <f ca="1">IFERROR(__xludf.DUMMYFUNCTION("IMPORTXML(E3988,""/html/body/main/div[3]/div[3]/div[2]/ul/li[8]/span[2]/span"")"),"Loading...")</f>
        <v>Loading...</v>
      </c>
      <c r="T3988" s="4">
        <v>34.6</v>
      </c>
      <c r="U3988" s="4">
        <v>22.7</v>
      </c>
      <c r="V3988" s="4">
        <v>2.6</v>
      </c>
      <c r="W3988" s="4">
        <v>5.7</v>
      </c>
      <c r="X3988" s="4">
        <v>519.92999999999995</v>
      </c>
      <c r="Y3988" s="7" t="e">
        <f t="shared" ref="Y3988:Y4242" ca="1" si="84">L3988-X3988</f>
        <v>#VALUE!</v>
      </c>
    </row>
    <row r="3989" spans="1:25" ht="15" x14ac:dyDescent="0.25">
      <c r="A3989" s="4">
        <v>3988</v>
      </c>
      <c r="C3989" s="41" t="s">
        <v>6357</v>
      </c>
      <c r="D3989" s="42"/>
      <c r="E3989" s="5" t="str">
        <f t="shared" si="80"/>
        <v>https://www.screener.in/company//consolidated/</v>
      </c>
      <c r="F3989" s="4">
        <v>443059</v>
      </c>
      <c r="G3989" s="4">
        <v>3832241897</v>
      </c>
      <c r="H3989" s="6" t="e">
        <f t="shared" ca="1" si="81"/>
        <v>#VALUE!</v>
      </c>
      <c r="I3989" s="7" t="str">
        <f ca="1">IFERROR(__xludf.DUMMYFUNCTION("IMPORTXML(E3989,""/html/body/main/div[3]/div[3]/div[2]/ul/li[5]/span[2]/span"")"),"Loading...")</f>
        <v>Loading...</v>
      </c>
      <c r="J3989" s="7" t="str">
        <f ca="1">IFERROR(__xludf.DUMMYFUNCTION("GOOGLEFINANCE(""NSE:""&amp;D3989,""marketcap"")"),"#N/A")</f>
        <v>#N/A</v>
      </c>
      <c r="K3989" s="7">
        <v>992.8</v>
      </c>
      <c r="L3989" s="8" t="str">
        <f ca="1">IFERROR(__xludf.DUMMYFUNCTION("GOOGLEFINANCE(""NSE:""&amp;D3989,""price"")"),"#N/A")</f>
        <v>#N/A</v>
      </c>
      <c r="M3989" s="9" t="e">
        <f t="shared" ca="1" si="82"/>
        <v>#VALUE!</v>
      </c>
      <c r="N3989" s="10" t="e">
        <f t="shared" ca="1" si="83"/>
        <v>#VALUE!</v>
      </c>
      <c r="O3989" s="7" t="str">
        <f ca="1">IFERROR(__xludf.DUMMYFUNCTION("GOOGLEFINANCE(""NSE:""&amp;D3989,""pe"")"),"#N/A")</f>
        <v>#N/A</v>
      </c>
      <c r="P3989" s="7" t="str">
        <f ca="1">IFERROR(__xludf.DUMMYFUNCTION("GOOGLEFINANCE(""NSE:""&amp;D3989,""EPS"")"),"#N/A")</f>
        <v>#N/A</v>
      </c>
      <c r="Q3989" s="7">
        <v>13.5</v>
      </c>
      <c r="R3989" s="7" t="str">
        <f ca="1">IFERROR(__xludf.DUMMYFUNCTION("IMPORTXML(E3989,""/html/body/main/div[3]/div[3]/div[2]/ul/li[7]/span[2]/span"")"),"Loading...")</f>
        <v>Loading...</v>
      </c>
      <c r="S3989" s="7" t="str">
        <f ca="1">IFERROR(__xludf.DUMMYFUNCTION("IMPORTXML(E3989,""/html/body/main/div[3]/div[3]/div[2]/ul/li[8]/span[2]/span"")"),"Loading...")</f>
        <v>Loading...</v>
      </c>
      <c r="T3989" s="4">
        <v>34.6</v>
      </c>
      <c r="U3989" s="4">
        <v>22.7</v>
      </c>
      <c r="V3989" s="4">
        <v>2.6</v>
      </c>
      <c r="W3989" s="4">
        <v>5.7</v>
      </c>
      <c r="X3989" s="4">
        <v>519.92999999999995</v>
      </c>
      <c r="Y3989" s="7" t="e">
        <f t="shared" ca="1" si="84"/>
        <v>#VALUE!</v>
      </c>
    </row>
    <row r="3990" spans="1:25" ht="15" x14ac:dyDescent="0.25">
      <c r="A3990" s="4">
        <v>3989</v>
      </c>
      <c r="C3990" s="41" t="s">
        <v>6358</v>
      </c>
      <c r="D3990" s="42"/>
      <c r="E3990" s="5" t="str">
        <f t="shared" si="80"/>
        <v>https://www.screener.in/company//consolidated/</v>
      </c>
      <c r="F3990" s="4">
        <v>443059</v>
      </c>
      <c r="G3990" s="4">
        <v>3832241897</v>
      </c>
      <c r="H3990" s="6" t="e">
        <f t="shared" ca="1" si="81"/>
        <v>#VALUE!</v>
      </c>
      <c r="I3990" s="7" t="str">
        <f ca="1">IFERROR(__xludf.DUMMYFUNCTION("IMPORTXML(E3990,""/html/body/main/div[3]/div[3]/div[2]/ul/li[5]/span[2]/span"")"),"Loading...")</f>
        <v>Loading...</v>
      </c>
      <c r="J3990" s="7" t="str">
        <f ca="1">IFERROR(__xludf.DUMMYFUNCTION("GOOGLEFINANCE(""NSE:""&amp;D3990,""marketcap"")"),"#N/A")</f>
        <v>#N/A</v>
      </c>
      <c r="K3990" s="7">
        <v>992.8</v>
      </c>
      <c r="L3990" s="8" t="str">
        <f ca="1">IFERROR(__xludf.DUMMYFUNCTION("GOOGLEFINANCE(""NSE:""&amp;D3990,""price"")"),"#N/A")</f>
        <v>#N/A</v>
      </c>
      <c r="M3990" s="9" t="e">
        <f t="shared" ca="1" si="82"/>
        <v>#VALUE!</v>
      </c>
      <c r="N3990" s="10" t="e">
        <f t="shared" ca="1" si="83"/>
        <v>#VALUE!</v>
      </c>
      <c r="O3990" s="7" t="str">
        <f ca="1">IFERROR(__xludf.DUMMYFUNCTION("GOOGLEFINANCE(""NSE:""&amp;D3990,""pe"")"),"#N/A")</f>
        <v>#N/A</v>
      </c>
      <c r="P3990" s="7" t="str">
        <f ca="1">IFERROR(__xludf.DUMMYFUNCTION("GOOGLEFINANCE(""NSE:""&amp;D3990,""EPS"")"),"#N/A")</f>
        <v>#N/A</v>
      </c>
      <c r="Q3990" s="7">
        <v>13.5</v>
      </c>
      <c r="R3990" s="7" t="str">
        <f ca="1">IFERROR(__xludf.DUMMYFUNCTION("IMPORTXML(E3990,""/html/body/main/div[3]/div[3]/div[2]/ul/li[7]/span[2]/span"")"),"Loading...")</f>
        <v>Loading...</v>
      </c>
      <c r="S3990" s="7" t="str">
        <f ca="1">IFERROR(__xludf.DUMMYFUNCTION("IMPORTXML(E3990,""/html/body/main/div[3]/div[3]/div[2]/ul/li[8]/span[2]/span"")"),"Loading...")</f>
        <v>Loading...</v>
      </c>
      <c r="T3990" s="4">
        <v>34.6</v>
      </c>
      <c r="U3990" s="4">
        <v>22.7</v>
      </c>
      <c r="V3990" s="4">
        <v>2.6</v>
      </c>
      <c r="W3990" s="4">
        <v>5.7</v>
      </c>
      <c r="X3990" s="4">
        <v>519.92999999999995</v>
      </c>
      <c r="Y3990" s="7" t="e">
        <f t="shared" ca="1" si="84"/>
        <v>#VALUE!</v>
      </c>
    </row>
    <row r="3991" spans="1:25" ht="15" x14ac:dyDescent="0.25">
      <c r="A3991" s="4">
        <v>3990</v>
      </c>
      <c r="C3991" s="41" t="s">
        <v>6359</v>
      </c>
      <c r="D3991" s="42"/>
      <c r="E3991" s="5" t="str">
        <f t="shared" si="80"/>
        <v>https://www.screener.in/company//consolidated/</v>
      </c>
      <c r="F3991" s="4">
        <v>443059</v>
      </c>
      <c r="G3991" s="4">
        <v>3832241897</v>
      </c>
      <c r="H3991" s="6" t="e">
        <f t="shared" ca="1" si="81"/>
        <v>#VALUE!</v>
      </c>
      <c r="I3991" s="7" t="str">
        <f ca="1">IFERROR(__xludf.DUMMYFUNCTION("IMPORTXML(E3991,""/html/body/main/div[3]/div[3]/div[2]/ul/li[5]/span[2]/span"")"),"Loading...")</f>
        <v>Loading...</v>
      </c>
      <c r="J3991" s="7" t="str">
        <f ca="1">IFERROR(__xludf.DUMMYFUNCTION("GOOGLEFINANCE(""NSE:""&amp;D3991,""marketcap"")"),"#N/A")</f>
        <v>#N/A</v>
      </c>
      <c r="K3991" s="7">
        <v>992.8</v>
      </c>
      <c r="L3991" s="8" t="str">
        <f ca="1">IFERROR(__xludf.DUMMYFUNCTION("GOOGLEFINANCE(""NSE:""&amp;D3991,""price"")"),"#N/A")</f>
        <v>#N/A</v>
      </c>
      <c r="M3991" s="9" t="e">
        <f t="shared" ca="1" si="82"/>
        <v>#VALUE!</v>
      </c>
      <c r="N3991" s="10" t="e">
        <f t="shared" ca="1" si="83"/>
        <v>#VALUE!</v>
      </c>
      <c r="O3991" s="7" t="str">
        <f ca="1">IFERROR(__xludf.DUMMYFUNCTION("GOOGLEFINANCE(""NSE:""&amp;D3991,""pe"")"),"#N/A")</f>
        <v>#N/A</v>
      </c>
      <c r="P3991" s="7" t="str">
        <f ca="1">IFERROR(__xludf.DUMMYFUNCTION("GOOGLEFINANCE(""NSE:""&amp;D3991,""EPS"")"),"#N/A")</f>
        <v>#N/A</v>
      </c>
      <c r="Q3991" s="7">
        <v>13.5</v>
      </c>
      <c r="R3991" s="7" t="str">
        <f ca="1">IFERROR(__xludf.DUMMYFUNCTION("IMPORTXML(E3991,""/html/body/main/div[3]/div[3]/div[2]/ul/li[7]/span[2]/span"")"),"Loading...")</f>
        <v>Loading...</v>
      </c>
      <c r="S3991" s="7" t="str">
        <f ca="1">IFERROR(__xludf.DUMMYFUNCTION("IMPORTXML(E3991,""/html/body/main/div[3]/div[3]/div[2]/ul/li[8]/span[2]/span"")"),"Loading...")</f>
        <v>Loading...</v>
      </c>
      <c r="T3991" s="4">
        <v>34.6</v>
      </c>
      <c r="U3991" s="4">
        <v>22.7</v>
      </c>
      <c r="V3991" s="4">
        <v>2.6</v>
      </c>
      <c r="W3991" s="4">
        <v>5.7</v>
      </c>
      <c r="X3991" s="4">
        <v>519.92999999999995</v>
      </c>
      <c r="Y3991" s="7" t="e">
        <f t="shared" ca="1" si="84"/>
        <v>#VALUE!</v>
      </c>
    </row>
    <row r="3992" spans="1:25" ht="15" x14ac:dyDescent="0.25">
      <c r="A3992" s="4">
        <v>3991</v>
      </c>
      <c r="C3992" s="41" t="s">
        <v>6360</v>
      </c>
      <c r="D3992" s="42"/>
      <c r="E3992" s="5" t="str">
        <f t="shared" si="80"/>
        <v>https://www.screener.in/company//consolidated/</v>
      </c>
      <c r="F3992" s="4">
        <v>443059</v>
      </c>
      <c r="G3992" s="4">
        <v>3832241897</v>
      </c>
      <c r="H3992" s="6" t="e">
        <f t="shared" ca="1" si="81"/>
        <v>#VALUE!</v>
      </c>
      <c r="I3992" s="7" t="str">
        <f ca="1">IFERROR(__xludf.DUMMYFUNCTION("IMPORTXML(E3992,""/html/body/main/div[3]/div[3]/div[2]/ul/li[5]/span[2]/span"")"),"Loading...")</f>
        <v>Loading...</v>
      </c>
      <c r="J3992" s="7" t="str">
        <f ca="1">IFERROR(__xludf.DUMMYFUNCTION("GOOGLEFINANCE(""NSE:""&amp;D3992,""marketcap"")"),"#N/A")</f>
        <v>#N/A</v>
      </c>
      <c r="K3992" s="7">
        <v>992.8</v>
      </c>
      <c r="L3992" s="8" t="str">
        <f ca="1">IFERROR(__xludf.DUMMYFUNCTION("GOOGLEFINANCE(""NSE:""&amp;D3992,""price"")"),"#N/A")</f>
        <v>#N/A</v>
      </c>
      <c r="M3992" s="9" t="e">
        <f t="shared" ca="1" si="82"/>
        <v>#VALUE!</v>
      </c>
      <c r="N3992" s="10" t="e">
        <f t="shared" ca="1" si="83"/>
        <v>#VALUE!</v>
      </c>
      <c r="O3992" s="7" t="str">
        <f ca="1">IFERROR(__xludf.DUMMYFUNCTION("GOOGLEFINANCE(""NSE:""&amp;D3992,""pe"")"),"#N/A")</f>
        <v>#N/A</v>
      </c>
      <c r="P3992" s="7" t="str">
        <f ca="1">IFERROR(__xludf.DUMMYFUNCTION("GOOGLEFINANCE(""NSE:""&amp;D3992,""EPS"")"),"#N/A")</f>
        <v>#N/A</v>
      </c>
      <c r="Q3992" s="7">
        <v>13.5</v>
      </c>
      <c r="R3992" s="7" t="str">
        <f ca="1">IFERROR(__xludf.DUMMYFUNCTION("IMPORTXML(E3992,""/html/body/main/div[3]/div[3]/div[2]/ul/li[7]/span[2]/span"")"),"Loading...")</f>
        <v>Loading...</v>
      </c>
      <c r="S3992" s="7" t="str">
        <f ca="1">IFERROR(__xludf.DUMMYFUNCTION("IMPORTXML(E3992,""/html/body/main/div[3]/div[3]/div[2]/ul/li[8]/span[2]/span"")"),"Loading...")</f>
        <v>Loading...</v>
      </c>
      <c r="T3992" s="4">
        <v>34.6</v>
      </c>
      <c r="U3992" s="4">
        <v>22.7</v>
      </c>
      <c r="V3992" s="4">
        <v>2.6</v>
      </c>
      <c r="W3992" s="4">
        <v>5.7</v>
      </c>
      <c r="X3992" s="4">
        <v>519.92999999999995</v>
      </c>
      <c r="Y3992" s="7" t="e">
        <f t="shared" ca="1" si="84"/>
        <v>#VALUE!</v>
      </c>
    </row>
    <row r="3993" spans="1:25" ht="15" x14ac:dyDescent="0.25">
      <c r="A3993" s="4">
        <v>3992</v>
      </c>
      <c r="C3993" s="41" t="s">
        <v>6361</v>
      </c>
      <c r="D3993" s="42"/>
      <c r="E3993" s="5" t="str">
        <f t="shared" si="80"/>
        <v>https://www.screener.in/company//consolidated/</v>
      </c>
      <c r="F3993" s="4">
        <v>443059</v>
      </c>
      <c r="G3993" s="4">
        <v>3832241897</v>
      </c>
      <c r="H3993" s="6" t="e">
        <f t="shared" ca="1" si="81"/>
        <v>#VALUE!</v>
      </c>
      <c r="I3993" s="7" t="str">
        <f ca="1">IFERROR(__xludf.DUMMYFUNCTION("IMPORTXML(E3993,""/html/body/main/div[3]/div[3]/div[2]/ul/li[5]/span[2]/span"")"),"Loading...")</f>
        <v>Loading...</v>
      </c>
      <c r="J3993" s="7" t="str">
        <f ca="1">IFERROR(__xludf.DUMMYFUNCTION("GOOGLEFINANCE(""NSE:""&amp;D3993,""marketcap"")"),"#N/A")</f>
        <v>#N/A</v>
      </c>
      <c r="K3993" s="7">
        <v>992.8</v>
      </c>
      <c r="L3993" s="8" t="str">
        <f ca="1">IFERROR(__xludf.DUMMYFUNCTION("GOOGLEFINANCE(""NSE:""&amp;D3993,""price"")"),"#N/A")</f>
        <v>#N/A</v>
      </c>
      <c r="M3993" s="9" t="e">
        <f t="shared" ca="1" si="82"/>
        <v>#VALUE!</v>
      </c>
      <c r="N3993" s="10" t="e">
        <f t="shared" ca="1" si="83"/>
        <v>#VALUE!</v>
      </c>
      <c r="O3993" s="7" t="str">
        <f ca="1">IFERROR(__xludf.DUMMYFUNCTION("GOOGLEFINANCE(""NSE:""&amp;D3993,""pe"")"),"#N/A")</f>
        <v>#N/A</v>
      </c>
      <c r="P3993" s="7" t="str">
        <f ca="1">IFERROR(__xludf.DUMMYFUNCTION("GOOGLEFINANCE(""NSE:""&amp;D3993,""EPS"")"),"#N/A")</f>
        <v>#N/A</v>
      </c>
      <c r="Q3993" s="7">
        <v>13.5</v>
      </c>
      <c r="R3993" s="7" t="str">
        <f ca="1">IFERROR(__xludf.DUMMYFUNCTION("IMPORTXML(E3993,""/html/body/main/div[3]/div[3]/div[2]/ul/li[7]/span[2]/span"")"),"Loading...")</f>
        <v>Loading...</v>
      </c>
      <c r="S3993" s="7" t="str">
        <f ca="1">IFERROR(__xludf.DUMMYFUNCTION("IMPORTXML(E3993,""/html/body/main/div[3]/div[3]/div[2]/ul/li[8]/span[2]/span"")"),"Loading...")</f>
        <v>Loading...</v>
      </c>
      <c r="T3993" s="4">
        <v>34.6</v>
      </c>
      <c r="U3993" s="4">
        <v>22.7</v>
      </c>
      <c r="V3993" s="4">
        <v>2.6</v>
      </c>
      <c r="W3993" s="4">
        <v>5.7</v>
      </c>
      <c r="X3993" s="4">
        <v>519.92999999999995</v>
      </c>
      <c r="Y3993" s="7" t="e">
        <f t="shared" ca="1" si="84"/>
        <v>#VALUE!</v>
      </c>
    </row>
    <row r="3994" spans="1:25" ht="15" x14ac:dyDescent="0.25">
      <c r="A3994" s="4">
        <v>3993</v>
      </c>
      <c r="C3994" s="41" t="s">
        <v>6362</v>
      </c>
      <c r="D3994" s="42"/>
      <c r="E3994" s="5" t="str">
        <f t="shared" si="80"/>
        <v>https://www.screener.in/company//consolidated/</v>
      </c>
      <c r="F3994" s="4">
        <v>443059</v>
      </c>
      <c r="G3994" s="4">
        <v>3832241897</v>
      </c>
      <c r="H3994" s="6" t="e">
        <f t="shared" ca="1" si="81"/>
        <v>#VALUE!</v>
      </c>
      <c r="I3994" s="7" t="str">
        <f ca="1">IFERROR(__xludf.DUMMYFUNCTION("IMPORTXML(E3994,""/html/body/main/div[3]/div[3]/div[2]/ul/li[5]/span[2]/span"")"),"Loading...")</f>
        <v>Loading...</v>
      </c>
      <c r="J3994" s="7" t="str">
        <f ca="1">IFERROR(__xludf.DUMMYFUNCTION("GOOGLEFINANCE(""NSE:""&amp;D3994,""marketcap"")"),"#N/A")</f>
        <v>#N/A</v>
      </c>
      <c r="K3994" s="7">
        <v>992.8</v>
      </c>
      <c r="L3994" s="8" t="str">
        <f ca="1">IFERROR(__xludf.DUMMYFUNCTION("GOOGLEFINANCE(""NSE:""&amp;D3994,""price"")"),"#N/A")</f>
        <v>#N/A</v>
      </c>
      <c r="M3994" s="9" t="e">
        <f t="shared" ca="1" si="82"/>
        <v>#VALUE!</v>
      </c>
      <c r="N3994" s="10" t="e">
        <f t="shared" ca="1" si="83"/>
        <v>#VALUE!</v>
      </c>
      <c r="O3994" s="7" t="str">
        <f ca="1">IFERROR(__xludf.DUMMYFUNCTION("GOOGLEFINANCE(""NSE:""&amp;D3994,""pe"")"),"#N/A")</f>
        <v>#N/A</v>
      </c>
      <c r="P3994" s="7" t="str">
        <f ca="1">IFERROR(__xludf.DUMMYFUNCTION("GOOGLEFINANCE(""NSE:""&amp;D3994,""EPS"")"),"#N/A")</f>
        <v>#N/A</v>
      </c>
      <c r="Q3994" s="7">
        <v>13.5</v>
      </c>
      <c r="R3994" s="7" t="str">
        <f ca="1">IFERROR(__xludf.DUMMYFUNCTION("IMPORTXML(E3994,""/html/body/main/div[3]/div[3]/div[2]/ul/li[7]/span[2]/span"")"),"Loading...")</f>
        <v>Loading...</v>
      </c>
      <c r="S3994" s="7" t="str">
        <f ca="1">IFERROR(__xludf.DUMMYFUNCTION("IMPORTXML(E3994,""/html/body/main/div[3]/div[3]/div[2]/ul/li[8]/span[2]/span"")"),"Loading...")</f>
        <v>Loading...</v>
      </c>
      <c r="T3994" s="4">
        <v>34.6</v>
      </c>
      <c r="U3994" s="4">
        <v>22.7</v>
      </c>
      <c r="V3994" s="4">
        <v>2.6</v>
      </c>
      <c r="W3994" s="4">
        <v>5.7</v>
      </c>
      <c r="X3994" s="4">
        <v>519.92999999999995</v>
      </c>
      <c r="Y3994" s="7" t="e">
        <f t="shared" ca="1" si="84"/>
        <v>#VALUE!</v>
      </c>
    </row>
    <row r="3995" spans="1:25" ht="15" x14ac:dyDescent="0.25">
      <c r="A3995" s="4">
        <v>3994</v>
      </c>
      <c r="C3995" s="41" t="s">
        <v>6363</v>
      </c>
      <c r="D3995" s="42"/>
      <c r="E3995" s="5" t="str">
        <f t="shared" si="80"/>
        <v>https://www.screener.in/company//consolidated/</v>
      </c>
      <c r="F3995" s="4">
        <v>443059</v>
      </c>
      <c r="G3995" s="4">
        <v>3832241897</v>
      </c>
      <c r="H3995" s="6" t="e">
        <f t="shared" ca="1" si="81"/>
        <v>#VALUE!</v>
      </c>
      <c r="I3995" s="7" t="str">
        <f ca="1">IFERROR(__xludf.DUMMYFUNCTION("IMPORTXML(E3995,""/html/body/main/div[3]/div[3]/div[2]/ul/li[5]/span[2]/span"")"),"Loading...")</f>
        <v>Loading...</v>
      </c>
      <c r="J3995" s="7" t="str">
        <f ca="1">IFERROR(__xludf.DUMMYFUNCTION("GOOGLEFINANCE(""NSE:""&amp;D3995,""marketcap"")"),"#N/A")</f>
        <v>#N/A</v>
      </c>
      <c r="K3995" s="7">
        <v>992.8</v>
      </c>
      <c r="L3995" s="8" t="str">
        <f ca="1">IFERROR(__xludf.DUMMYFUNCTION("GOOGLEFINANCE(""NSE:""&amp;D3995,""price"")"),"#N/A")</f>
        <v>#N/A</v>
      </c>
      <c r="M3995" s="9" t="e">
        <f t="shared" ca="1" si="82"/>
        <v>#VALUE!</v>
      </c>
      <c r="N3995" s="10" t="e">
        <f t="shared" ca="1" si="83"/>
        <v>#VALUE!</v>
      </c>
      <c r="O3995" s="7" t="str">
        <f ca="1">IFERROR(__xludf.DUMMYFUNCTION("GOOGLEFINANCE(""NSE:""&amp;D3995,""pe"")"),"#N/A")</f>
        <v>#N/A</v>
      </c>
      <c r="P3995" s="7" t="str">
        <f ca="1">IFERROR(__xludf.DUMMYFUNCTION("GOOGLEFINANCE(""NSE:""&amp;D3995,""EPS"")"),"#N/A")</f>
        <v>#N/A</v>
      </c>
      <c r="Q3995" s="7">
        <v>13.5</v>
      </c>
      <c r="R3995" s="7" t="str">
        <f ca="1">IFERROR(__xludf.DUMMYFUNCTION("IMPORTXML(E3995,""/html/body/main/div[3]/div[3]/div[2]/ul/li[7]/span[2]/span"")"),"Loading...")</f>
        <v>Loading...</v>
      </c>
      <c r="S3995" s="7" t="str">
        <f ca="1">IFERROR(__xludf.DUMMYFUNCTION("IMPORTXML(E3995,""/html/body/main/div[3]/div[3]/div[2]/ul/li[8]/span[2]/span"")"),"Loading...")</f>
        <v>Loading...</v>
      </c>
      <c r="T3995" s="4">
        <v>34.6</v>
      </c>
      <c r="U3995" s="4">
        <v>22.7</v>
      </c>
      <c r="V3995" s="4">
        <v>2.6</v>
      </c>
      <c r="W3995" s="4">
        <v>5.7</v>
      </c>
      <c r="X3995" s="4">
        <v>519.92999999999995</v>
      </c>
      <c r="Y3995" s="7" t="e">
        <f t="shared" ca="1" si="84"/>
        <v>#VALUE!</v>
      </c>
    </row>
    <row r="3996" spans="1:25" ht="15" x14ac:dyDescent="0.25">
      <c r="A3996" s="4">
        <v>3995</v>
      </c>
      <c r="C3996" s="41" t="s">
        <v>6364</v>
      </c>
      <c r="D3996" s="42"/>
      <c r="E3996" s="5" t="str">
        <f t="shared" si="80"/>
        <v>https://www.screener.in/company//consolidated/</v>
      </c>
      <c r="F3996" s="4">
        <v>443059</v>
      </c>
      <c r="G3996" s="4">
        <v>3832241897</v>
      </c>
      <c r="H3996" s="6" t="e">
        <f t="shared" ca="1" si="81"/>
        <v>#VALUE!</v>
      </c>
      <c r="I3996" s="7" t="str">
        <f ca="1">IFERROR(__xludf.DUMMYFUNCTION("IMPORTXML(E3996,""/html/body/main/div[3]/div[3]/div[2]/ul/li[5]/span[2]/span"")"),"Loading...")</f>
        <v>Loading...</v>
      </c>
      <c r="J3996" s="7" t="str">
        <f ca="1">IFERROR(__xludf.DUMMYFUNCTION("GOOGLEFINANCE(""NSE:""&amp;D3996,""marketcap"")"),"#N/A")</f>
        <v>#N/A</v>
      </c>
      <c r="K3996" s="7">
        <v>992.8</v>
      </c>
      <c r="L3996" s="8" t="str">
        <f ca="1">IFERROR(__xludf.DUMMYFUNCTION("GOOGLEFINANCE(""NSE:""&amp;D3996,""price"")"),"#N/A")</f>
        <v>#N/A</v>
      </c>
      <c r="M3996" s="9" t="e">
        <f t="shared" ca="1" si="82"/>
        <v>#VALUE!</v>
      </c>
      <c r="N3996" s="10" t="e">
        <f t="shared" ca="1" si="83"/>
        <v>#VALUE!</v>
      </c>
      <c r="O3996" s="7" t="str">
        <f ca="1">IFERROR(__xludf.DUMMYFUNCTION("GOOGLEFINANCE(""NSE:""&amp;D3996,""pe"")"),"#N/A")</f>
        <v>#N/A</v>
      </c>
      <c r="P3996" s="7" t="str">
        <f ca="1">IFERROR(__xludf.DUMMYFUNCTION("GOOGLEFINANCE(""NSE:""&amp;D3996,""EPS"")"),"#N/A")</f>
        <v>#N/A</v>
      </c>
      <c r="Q3996" s="7">
        <v>13.5</v>
      </c>
      <c r="R3996" s="7" t="str">
        <f ca="1">IFERROR(__xludf.DUMMYFUNCTION("IMPORTXML(E3996,""/html/body/main/div[3]/div[3]/div[2]/ul/li[7]/span[2]/span"")"),"Loading...")</f>
        <v>Loading...</v>
      </c>
      <c r="S3996" s="7" t="str">
        <f ca="1">IFERROR(__xludf.DUMMYFUNCTION("IMPORTXML(E3996,""/html/body/main/div[3]/div[3]/div[2]/ul/li[8]/span[2]/span"")"),"Loading...")</f>
        <v>Loading...</v>
      </c>
      <c r="T3996" s="4">
        <v>34.6</v>
      </c>
      <c r="U3996" s="4">
        <v>22.7</v>
      </c>
      <c r="V3996" s="4">
        <v>2.6</v>
      </c>
      <c r="W3996" s="4">
        <v>5.7</v>
      </c>
      <c r="X3996" s="4">
        <v>519.92999999999995</v>
      </c>
      <c r="Y3996" s="7" t="e">
        <f t="shared" ca="1" si="84"/>
        <v>#VALUE!</v>
      </c>
    </row>
    <row r="3997" spans="1:25" ht="15" x14ac:dyDescent="0.25">
      <c r="A3997" s="4">
        <v>3996</v>
      </c>
      <c r="C3997" s="41" t="s">
        <v>6365</v>
      </c>
      <c r="D3997" s="42"/>
      <c r="E3997" s="5" t="str">
        <f t="shared" si="80"/>
        <v>https://www.screener.in/company//consolidated/</v>
      </c>
      <c r="F3997" s="4">
        <v>443059</v>
      </c>
      <c r="G3997" s="4">
        <v>3832241897</v>
      </c>
      <c r="H3997" s="6" t="e">
        <f t="shared" ca="1" si="81"/>
        <v>#VALUE!</v>
      </c>
      <c r="I3997" s="7" t="str">
        <f ca="1">IFERROR(__xludf.DUMMYFUNCTION("IMPORTXML(E3997,""/html/body/main/div[3]/div[3]/div[2]/ul/li[5]/span[2]/span"")"),"Loading...")</f>
        <v>Loading...</v>
      </c>
      <c r="J3997" s="7" t="str">
        <f ca="1">IFERROR(__xludf.DUMMYFUNCTION("GOOGLEFINANCE(""NSE:""&amp;D3997,""marketcap"")"),"#N/A")</f>
        <v>#N/A</v>
      </c>
      <c r="K3997" s="7">
        <v>992.8</v>
      </c>
      <c r="L3997" s="8" t="str">
        <f ca="1">IFERROR(__xludf.DUMMYFUNCTION("GOOGLEFINANCE(""NSE:""&amp;D3997,""price"")"),"#N/A")</f>
        <v>#N/A</v>
      </c>
      <c r="M3997" s="9" t="e">
        <f t="shared" ca="1" si="82"/>
        <v>#VALUE!</v>
      </c>
      <c r="N3997" s="10" t="e">
        <f t="shared" ca="1" si="83"/>
        <v>#VALUE!</v>
      </c>
      <c r="O3997" s="7" t="str">
        <f ca="1">IFERROR(__xludf.DUMMYFUNCTION("GOOGLEFINANCE(""NSE:""&amp;D3997,""pe"")"),"#N/A")</f>
        <v>#N/A</v>
      </c>
      <c r="P3997" s="7" t="str">
        <f ca="1">IFERROR(__xludf.DUMMYFUNCTION("GOOGLEFINANCE(""NSE:""&amp;D3997,""EPS"")"),"#N/A")</f>
        <v>#N/A</v>
      </c>
      <c r="Q3997" s="7">
        <v>13.5</v>
      </c>
      <c r="R3997" s="7" t="str">
        <f ca="1">IFERROR(__xludf.DUMMYFUNCTION("IMPORTXML(E3997,""/html/body/main/div[3]/div[3]/div[2]/ul/li[7]/span[2]/span"")"),"Loading...")</f>
        <v>Loading...</v>
      </c>
      <c r="S3997" s="7" t="str">
        <f ca="1">IFERROR(__xludf.DUMMYFUNCTION("IMPORTXML(E3997,""/html/body/main/div[3]/div[3]/div[2]/ul/li[8]/span[2]/span"")"),"Loading...")</f>
        <v>Loading...</v>
      </c>
      <c r="T3997" s="4">
        <v>34.6</v>
      </c>
      <c r="U3997" s="4">
        <v>22.7</v>
      </c>
      <c r="V3997" s="4">
        <v>2.6</v>
      </c>
      <c r="W3997" s="4">
        <v>5.7</v>
      </c>
      <c r="X3997" s="4">
        <v>519.92999999999995</v>
      </c>
      <c r="Y3997" s="7" t="e">
        <f t="shared" ca="1" si="84"/>
        <v>#VALUE!</v>
      </c>
    </row>
    <row r="3998" spans="1:25" ht="15" x14ac:dyDescent="0.25">
      <c r="A3998" s="4">
        <v>3997</v>
      </c>
      <c r="C3998" s="41" t="s">
        <v>6366</v>
      </c>
      <c r="D3998" s="42"/>
      <c r="E3998" s="5" t="str">
        <f t="shared" si="80"/>
        <v>https://www.screener.in/company//consolidated/</v>
      </c>
      <c r="F3998" s="4">
        <v>443059</v>
      </c>
      <c r="G3998" s="4">
        <v>3832241897</v>
      </c>
      <c r="H3998" s="6" t="e">
        <f t="shared" ca="1" si="81"/>
        <v>#VALUE!</v>
      </c>
      <c r="I3998" s="7" t="str">
        <f ca="1">IFERROR(__xludf.DUMMYFUNCTION("IMPORTXML(E3998,""/html/body/main/div[3]/div[3]/div[2]/ul/li[5]/span[2]/span"")"),"Loading...")</f>
        <v>Loading...</v>
      </c>
      <c r="J3998" s="7" t="str">
        <f ca="1">IFERROR(__xludf.DUMMYFUNCTION("GOOGLEFINANCE(""NSE:""&amp;D3998,""marketcap"")"),"#N/A")</f>
        <v>#N/A</v>
      </c>
      <c r="K3998" s="7">
        <v>992.8</v>
      </c>
      <c r="L3998" s="8" t="str">
        <f ca="1">IFERROR(__xludf.DUMMYFUNCTION("GOOGLEFINANCE(""NSE:""&amp;D3998,""price"")"),"#N/A")</f>
        <v>#N/A</v>
      </c>
      <c r="M3998" s="9" t="e">
        <f t="shared" ca="1" si="82"/>
        <v>#VALUE!</v>
      </c>
      <c r="N3998" s="10" t="e">
        <f t="shared" ca="1" si="83"/>
        <v>#VALUE!</v>
      </c>
      <c r="O3998" s="7" t="str">
        <f ca="1">IFERROR(__xludf.DUMMYFUNCTION("GOOGLEFINANCE(""NSE:""&amp;D3998,""pe"")"),"#N/A")</f>
        <v>#N/A</v>
      </c>
      <c r="P3998" s="7" t="str">
        <f ca="1">IFERROR(__xludf.DUMMYFUNCTION("GOOGLEFINANCE(""NSE:""&amp;D3998,""EPS"")"),"#N/A")</f>
        <v>#N/A</v>
      </c>
      <c r="Q3998" s="7">
        <v>13.5</v>
      </c>
      <c r="R3998" s="7" t="str">
        <f ca="1">IFERROR(__xludf.DUMMYFUNCTION("IMPORTXML(E3998,""/html/body/main/div[3]/div[3]/div[2]/ul/li[7]/span[2]/span"")"),"Loading...")</f>
        <v>Loading...</v>
      </c>
      <c r="S3998" s="7" t="str">
        <f ca="1">IFERROR(__xludf.DUMMYFUNCTION("IMPORTXML(E3998,""/html/body/main/div[3]/div[3]/div[2]/ul/li[8]/span[2]/span"")"),"Loading...")</f>
        <v>Loading...</v>
      </c>
      <c r="T3998" s="4">
        <v>34.6</v>
      </c>
      <c r="U3998" s="4">
        <v>22.7</v>
      </c>
      <c r="V3998" s="4">
        <v>2.6</v>
      </c>
      <c r="W3998" s="4">
        <v>5.7</v>
      </c>
      <c r="X3998" s="4">
        <v>519.92999999999995</v>
      </c>
      <c r="Y3998" s="7" t="e">
        <f t="shared" ca="1" si="84"/>
        <v>#VALUE!</v>
      </c>
    </row>
    <row r="3999" spans="1:25" ht="15" x14ac:dyDescent="0.25">
      <c r="A3999" s="4">
        <v>3998</v>
      </c>
      <c r="C3999" s="41" t="s">
        <v>6367</v>
      </c>
      <c r="D3999" s="42"/>
      <c r="E3999" s="5" t="str">
        <f t="shared" si="80"/>
        <v>https://www.screener.in/company//consolidated/</v>
      </c>
      <c r="F3999" s="4">
        <v>443059</v>
      </c>
      <c r="G3999" s="4">
        <v>3832241897</v>
      </c>
      <c r="H3999" s="6" t="e">
        <f t="shared" ca="1" si="81"/>
        <v>#VALUE!</v>
      </c>
      <c r="I3999" s="7" t="str">
        <f ca="1">IFERROR(__xludf.DUMMYFUNCTION("IMPORTXML(E3999,""/html/body/main/div[3]/div[3]/div[2]/ul/li[5]/span[2]/span"")"),"Loading...")</f>
        <v>Loading...</v>
      </c>
      <c r="J3999" s="7" t="str">
        <f ca="1">IFERROR(__xludf.DUMMYFUNCTION("GOOGLEFINANCE(""NSE:""&amp;D3999,""marketcap"")"),"#N/A")</f>
        <v>#N/A</v>
      </c>
      <c r="K3999" s="7">
        <v>992.8</v>
      </c>
      <c r="L3999" s="8" t="str">
        <f ca="1">IFERROR(__xludf.DUMMYFUNCTION("GOOGLEFINANCE(""NSE:""&amp;D3999,""price"")"),"#N/A")</f>
        <v>#N/A</v>
      </c>
      <c r="M3999" s="9" t="e">
        <f t="shared" ca="1" si="82"/>
        <v>#VALUE!</v>
      </c>
      <c r="N3999" s="10" t="e">
        <f t="shared" ca="1" si="83"/>
        <v>#VALUE!</v>
      </c>
      <c r="O3999" s="7" t="str">
        <f ca="1">IFERROR(__xludf.DUMMYFUNCTION("GOOGLEFINANCE(""NSE:""&amp;D3999,""pe"")"),"#N/A")</f>
        <v>#N/A</v>
      </c>
      <c r="P3999" s="7" t="str">
        <f ca="1">IFERROR(__xludf.DUMMYFUNCTION("GOOGLEFINANCE(""NSE:""&amp;D3999,""EPS"")"),"#N/A")</f>
        <v>#N/A</v>
      </c>
      <c r="Q3999" s="7">
        <v>13.5</v>
      </c>
      <c r="R3999" s="7" t="str">
        <f ca="1">IFERROR(__xludf.DUMMYFUNCTION("IMPORTXML(E3999,""/html/body/main/div[3]/div[3]/div[2]/ul/li[7]/span[2]/span"")"),"Loading...")</f>
        <v>Loading...</v>
      </c>
      <c r="S3999" s="7" t="str">
        <f ca="1">IFERROR(__xludf.DUMMYFUNCTION("IMPORTXML(E3999,""/html/body/main/div[3]/div[3]/div[2]/ul/li[8]/span[2]/span"")"),"Loading...")</f>
        <v>Loading...</v>
      </c>
      <c r="T3999" s="4">
        <v>34.6</v>
      </c>
      <c r="U3999" s="4">
        <v>22.7</v>
      </c>
      <c r="V3999" s="4">
        <v>2.6</v>
      </c>
      <c r="W3999" s="4">
        <v>5.7</v>
      </c>
      <c r="X3999" s="4">
        <v>519.92999999999995</v>
      </c>
      <c r="Y3999" s="7" t="e">
        <f t="shared" ca="1" si="84"/>
        <v>#VALUE!</v>
      </c>
    </row>
    <row r="4000" spans="1:25" ht="15" x14ac:dyDescent="0.25">
      <c r="A4000" s="4">
        <v>3999</v>
      </c>
      <c r="C4000" s="41" t="s">
        <v>6368</v>
      </c>
      <c r="D4000" s="42"/>
      <c r="E4000" s="5" t="str">
        <f t="shared" si="80"/>
        <v>https://www.screener.in/company//consolidated/</v>
      </c>
      <c r="F4000" s="4">
        <v>443059</v>
      </c>
      <c r="G4000" s="4">
        <v>3832241897</v>
      </c>
      <c r="H4000" s="6" t="e">
        <f t="shared" ca="1" si="81"/>
        <v>#VALUE!</v>
      </c>
      <c r="I4000" s="7" t="str">
        <f ca="1">IFERROR(__xludf.DUMMYFUNCTION("IMPORTXML(E4000,""/html/body/main/div[3]/div[3]/div[2]/ul/li[5]/span[2]/span"")"),"Loading...")</f>
        <v>Loading...</v>
      </c>
      <c r="J4000" s="7" t="str">
        <f ca="1">IFERROR(__xludf.DUMMYFUNCTION("GOOGLEFINANCE(""NSE:""&amp;D4000,""marketcap"")"),"#N/A")</f>
        <v>#N/A</v>
      </c>
      <c r="K4000" s="7">
        <v>992.8</v>
      </c>
      <c r="L4000" s="8" t="str">
        <f ca="1">IFERROR(__xludf.DUMMYFUNCTION("GOOGLEFINANCE(""NSE:""&amp;D4000,""price"")"),"#N/A")</f>
        <v>#N/A</v>
      </c>
      <c r="M4000" s="9" t="e">
        <f t="shared" ca="1" si="82"/>
        <v>#VALUE!</v>
      </c>
      <c r="N4000" s="10" t="e">
        <f t="shared" ca="1" si="83"/>
        <v>#VALUE!</v>
      </c>
      <c r="O4000" s="7" t="str">
        <f ca="1">IFERROR(__xludf.DUMMYFUNCTION("GOOGLEFINANCE(""NSE:""&amp;D4000,""pe"")"),"#N/A")</f>
        <v>#N/A</v>
      </c>
      <c r="P4000" s="7" t="str">
        <f ca="1">IFERROR(__xludf.DUMMYFUNCTION("GOOGLEFINANCE(""NSE:""&amp;D4000,""EPS"")"),"#N/A")</f>
        <v>#N/A</v>
      </c>
      <c r="Q4000" s="7">
        <v>13.5</v>
      </c>
      <c r="R4000" s="7" t="str">
        <f ca="1">IFERROR(__xludf.DUMMYFUNCTION("IMPORTXML(E4000,""/html/body/main/div[3]/div[3]/div[2]/ul/li[7]/span[2]/span"")"),"Loading...")</f>
        <v>Loading...</v>
      </c>
      <c r="S4000" s="7" t="str">
        <f ca="1">IFERROR(__xludf.DUMMYFUNCTION("IMPORTXML(E4000,""/html/body/main/div[3]/div[3]/div[2]/ul/li[8]/span[2]/span"")"),"Loading...")</f>
        <v>Loading...</v>
      </c>
      <c r="T4000" s="4">
        <v>34.6</v>
      </c>
      <c r="U4000" s="4">
        <v>22.7</v>
      </c>
      <c r="V4000" s="4">
        <v>2.6</v>
      </c>
      <c r="W4000" s="4">
        <v>5.7</v>
      </c>
      <c r="X4000" s="4">
        <v>519.92999999999995</v>
      </c>
      <c r="Y4000" s="7" t="e">
        <f t="shared" ca="1" si="84"/>
        <v>#VALUE!</v>
      </c>
    </row>
    <row r="4001" spans="1:25" ht="15" x14ac:dyDescent="0.25">
      <c r="A4001" s="4">
        <v>4000</v>
      </c>
      <c r="C4001" s="41" t="s">
        <v>6369</v>
      </c>
      <c r="D4001" s="42"/>
      <c r="E4001" s="5" t="str">
        <f t="shared" si="80"/>
        <v>https://www.screener.in/company//consolidated/</v>
      </c>
      <c r="F4001" s="4">
        <v>443059</v>
      </c>
      <c r="G4001" s="4">
        <v>3832241897</v>
      </c>
      <c r="H4001" s="6" t="e">
        <f t="shared" ca="1" si="81"/>
        <v>#VALUE!</v>
      </c>
      <c r="I4001" s="7" t="str">
        <f ca="1">IFERROR(__xludf.DUMMYFUNCTION("IMPORTXML(E4001,""/html/body/main/div[3]/div[3]/div[2]/ul/li[5]/span[2]/span"")"),"Loading...")</f>
        <v>Loading...</v>
      </c>
      <c r="J4001" s="7" t="str">
        <f ca="1">IFERROR(__xludf.DUMMYFUNCTION("GOOGLEFINANCE(""NSE:""&amp;D4001,""marketcap"")"),"#N/A")</f>
        <v>#N/A</v>
      </c>
      <c r="K4001" s="7">
        <v>992.8</v>
      </c>
      <c r="L4001" s="8" t="str">
        <f ca="1">IFERROR(__xludf.DUMMYFUNCTION("GOOGLEFINANCE(""NSE:""&amp;D4001,""price"")"),"#N/A")</f>
        <v>#N/A</v>
      </c>
      <c r="M4001" s="9" t="e">
        <f t="shared" ca="1" si="82"/>
        <v>#VALUE!</v>
      </c>
      <c r="N4001" s="10" t="e">
        <f t="shared" ca="1" si="83"/>
        <v>#VALUE!</v>
      </c>
      <c r="O4001" s="7" t="str">
        <f ca="1">IFERROR(__xludf.DUMMYFUNCTION("GOOGLEFINANCE(""NSE:""&amp;D4001,""pe"")"),"#N/A")</f>
        <v>#N/A</v>
      </c>
      <c r="P4001" s="7" t="str">
        <f ca="1">IFERROR(__xludf.DUMMYFUNCTION("GOOGLEFINANCE(""NSE:""&amp;D4001,""EPS"")"),"#N/A")</f>
        <v>#N/A</v>
      </c>
      <c r="Q4001" s="7">
        <v>13.5</v>
      </c>
      <c r="R4001" s="7" t="str">
        <f ca="1">IFERROR(__xludf.DUMMYFUNCTION("IMPORTXML(E4001,""/html/body/main/div[3]/div[3]/div[2]/ul/li[7]/span[2]/span"")"),"Loading...")</f>
        <v>Loading...</v>
      </c>
      <c r="S4001" s="7" t="str">
        <f ca="1">IFERROR(__xludf.DUMMYFUNCTION("IMPORTXML(E4001,""/html/body/main/div[3]/div[3]/div[2]/ul/li[8]/span[2]/span"")"),"Loading...")</f>
        <v>Loading...</v>
      </c>
      <c r="T4001" s="4">
        <v>34.6</v>
      </c>
      <c r="U4001" s="4">
        <v>22.7</v>
      </c>
      <c r="V4001" s="4">
        <v>2.6</v>
      </c>
      <c r="W4001" s="4">
        <v>5.7</v>
      </c>
      <c r="X4001" s="4">
        <v>519.92999999999995</v>
      </c>
      <c r="Y4001" s="7" t="e">
        <f t="shared" ca="1" si="84"/>
        <v>#VALUE!</v>
      </c>
    </row>
    <row r="4002" spans="1:25" ht="15" x14ac:dyDescent="0.25">
      <c r="A4002" s="4">
        <v>4001</v>
      </c>
      <c r="C4002" s="41" t="s">
        <v>6370</v>
      </c>
      <c r="D4002" s="42"/>
      <c r="E4002" s="5" t="str">
        <f t="shared" si="80"/>
        <v>https://www.screener.in/company//consolidated/</v>
      </c>
      <c r="F4002" s="4">
        <v>443059</v>
      </c>
      <c r="G4002" s="4">
        <v>3832241897</v>
      </c>
      <c r="H4002" s="6" t="e">
        <f t="shared" ca="1" si="81"/>
        <v>#VALUE!</v>
      </c>
      <c r="I4002" s="7" t="str">
        <f ca="1">IFERROR(__xludf.DUMMYFUNCTION("IMPORTXML(E4002,""/html/body/main/div[3]/div[3]/div[2]/ul/li[5]/span[2]/span"")"),"Loading...")</f>
        <v>Loading...</v>
      </c>
      <c r="J4002" s="7" t="str">
        <f ca="1">IFERROR(__xludf.DUMMYFUNCTION("GOOGLEFINANCE(""NSE:""&amp;D4002,""marketcap"")"),"#N/A")</f>
        <v>#N/A</v>
      </c>
      <c r="K4002" s="7">
        <v>992.8</v>
      </c>
      <c r="L4002" s="8" t="str">
        <f ca="1">IFERROR(__xludf.DUMMYFUNCTION("GOOGLEFINANCE(""NSE:""&amp;D4002,""price"")"),"#N/A")</f>
        <v>#N/A</v>
      </c>
      <c r="M4002" s="9" t="e">
        <f t="shared" ca="1" si="82"/>
        <v>#VALUE!</v>
      </c>
      <c r="N4002" s="10" t="e">
        <f t="shared" ca="1" si="83"/>
        <v>#VALUE!</v>
      </c>
      <c r="O4002" s="7" t="str">
        <f ca="1">IFERROR(__xludf.DUMMYFUNCTION("GOOGLEFINANCE(""NSE:""&amp;D4002,""pe"")"),"#N/A")</f>
        <v>#N/A</v>
      </c>
      <c r="P4002" s="7" t="str">
        <f ca="1">IFERROR(__xludf.DUMMYFUNCTION("GOOGLEFINANCE(""NSE:""&amp;D4002,""EPS"")"),"#N/A")</f>
        <v>#N/A</v>
      </c>
      <c r="Q4002" s="7">
        <v>13.5</v>
      </c>
      <c r="R4002" s="7" t="str">
        <f ca="1">IFERROR(__xludf.DUMMYFUNCTION("IMPORTXML(E4002,""/html/body/main/div[3]/div[3]/div[2]/ul/li[7]/span[2]/span"")"),"Loading...")</f>
        <v>Loading...</v>
      </c>
      <c r="S4002" s="7" t="str">
        <f ca="1">IFERROR(__xludf.DUMMYFUNCTION("IMPORTXML(E4002,""/html/body/main/div[3]/div[3]/div[2]/ul/li[8]/span[2]/span"")"),"Loading...")</f>
        <v>Loading...</v>
      </c>
      <c r="T4002" s="4">
        <v>34.6</v>
      </c>
      <c r="U4002" s="4">
        <v>22.7</v>
      </c>
      <c r="V4002" s="4">
        <v>2.6</v>
      </c>
      <c r="W4002" s="4">
        <v>5.7</v>
      </c>
      <c r="X4002" s="4">
        <v>519.92999999999995</v>
      </c>
      <c r="Y4002" s="7" t="e">
        <f t="shared" ca="1" si="84"/>
        <v>#VALUE!</v>
      </c>
    </row>
    <row r="4003" spans="1:25" ht="15" x14ac:dyDescent="0.25">
      <c r="A4003" s="4">
        <v>4002</v>
      </c>
      <c r="C4003" s="41" t="s">
        <v>6371</v>
      </c>
      <c r="D4003" s="42"/>
      <c r="E4003" s="5" t="str">
        <f t="shared" si="80"/>
        <v>https://www.screener.in/company//consolidated/</v>
      </c>
      <c r="F4003" s="4">
        <v>443059</v>
      </c>
      <c r="G4003" s="4">
        <v>3832241897</v>
      </c>
      <c r="H4003" s="6" t="e">
        <f t="shared" ca="1" si="81"/>
        <v>#VALUE!</v>
      </c>
      <c r="I4003" s="7" t="str">
        <f ca="1">IFERROR(__xludf.DUMMYFUNCTION("IMPORTXML(E4003,""/html/body/main/div[3]/div[3]/div[2]/ul/li[5]/span[2]/span"")"),"Loading...")</f>
        <v>Loading...</v>
      </c>
      <c r="J4003" s="7" t="str">
        <f ca="1">IFERROR(__xludf.DUMMYFUNCTION("GOOGLEFINANCE(""NSE:""&amp;D4003,""marketcap"")"),"#N/A")</f>
        <v>#N/A</v>
      </c>
      <c r="K4003" s="7">
        <v>992.8</v>
      </c>
      <c r="L4003" s="8" t="str">
        <f ca="1">IFERROR(__xludf.DUMMYFUNCTION("GOOGLEFINANCE(""NSE:""&amp;D4003,""price"")"),"#N/A")</f>
        <v>#N/A</v>
      </c>
      <c r="M4003" s="9" t="e">
        <f t="shared" ca="1" si="82"/>
        <v>#VALUE!</v>
      </c>
      <c r="N4003" s="10" t="e">
        <f t="shared" ca="1" si="83"/>
        <v>#VALUE!</v>
      </c>
      <c r="O4003" s="7" t="str">
        <f ca="1">IFERROR(__xludf.DUMMYFUNCTION("GOOGLEFINANCE(""NSE:""&amp;D4003,""pe"")"),"#N/A")</f>
        <v>#N/A</v>
      </c>
      <c r="P4003" s="7" t="str">
        <f ca="1">IFERROR(__xludf.DUMMYFUNCTION("GOOGLEFINANCE(""NSE:""&amp;D4003,""EPS"")"),"#N/A")</f>
        <v>#N/A</v>
      </c>
      <c r="Q4003" s="7">
        <v>13.5</v>
      </c>
      <c r="R4003" s="7" t="str">
        <f ca="1">IFERROR(__xludf.DUMMYFUNCTION("IMPORTXML(E4003,""/html/body/main/div[3]/div[3]/div[2]/ul/li[7]/span[2]/span"")"),"Loading...")</f>
        <v>Loading...</v>
      </c>
      <c r="S4003" s="7" t="str">
        <f ca="1">IFERROR(__xludf.DUMMYFUNCTION("IMPORTXML(E4003,""/html/body/main/div[3]/div[3]/div[2]/ul/li[8]/span[2]/span"")"),"Loading...")</f>
        <v>Loading...</v>
      </c>
      <c r="T4003" s="4">
        <v>34.6</v>
      </c>
      <c r="U4003" s="4">
        <v>22.7</v>
      </c>
      <c r="V4003" s="4">
        <v>2.6</v>
      </c>
      <c r="W4003" s="4">
        <v>5.7</v>
      </c>
      <c r="X4003" s="4">
        <v>519.92999999999995</v>
      </c>
      <c r="Y4003" s="7" t="e">
        <f t="shared" ca="1" si="84"/>
        <v>#VALUE!</v>
      </c>
    </row>
    <row r="4004" spans="1:25" ht="15" x14ac:dyDescent="0.25">
      <c r="A4004" s="4">
        <v>4003</v>
      </c>
      <c r="C4004" s="41" t="s">
        <v>6372</v>
      </c>
      <c r="D4004" s="42"/>
      <c r="E4004" s="5" t="str">
        <f t="shared" si="80"/>
        <v>https://www.screener.in/company//consolidated/</v>
      </c>
      <c r="F4004" s="4">
        <v>443059</v>
      </c>
      <c r="G4004" s="4">
        <v>3832241897</v>
      </c>
      <c r="H4004" s="6" t="e">
        <f t="shared" ca="1" si="81"/>
        <v>#VALUE!</v>
      </c>
      <c r="I4004" s="7" t="str">
        <f ca="1">IFERROR(__xludf.DUMMYFUNCTION("IMPORTXML(E4004,""/html/body/main/div[3]/div[3]/div[2]/ul/li[5]/span[2]/span"")"),"Loading...")</f>
        <v>Loading...</v>
      </c>
      <c r="J4004" s="7" t="str">
        <f ca="1">IFERROR(__xludf.DUMMYFUNCTION("GOOGLEFINANCE(""NSE:""&amp;D4004,""marketcap"")"),"#N/A")</f>
        <v>#N/A</v>
      </c>
      <c r="K4004" s="7">
        <v>992.8</v>
      </c>
      <c r="L4004" s="8" t="str">
        <f ca="1">IFERROR(__xludf.DUMMYFUNCTION("GOOGLEFINANCE(""NSE:""&amp;D4004,""price"")"),"#N/A")</f>
        <v>#N/A</v>
      </c>
      <c r="M4004" s="9" t="e">
        <f t="shared" ca="1" si="82"/>
        <v>#VALUE!</v>
      </c>
      <c r="N4004" s="10" t="e">
        <f t="shared" ca="1" si="83"/>
        <v>#VALUE!</v>
      </c>
      <c r="O4004" s="7" t="str">
        <f ca="1">IFERROR(__xludf.DUMMYFUNCTION("GOOGLEFINANCE(""NSE:""&amp;D4004,""pe"")"),"#N/A")</f>
        <v>#N/A</v>
      </c>
      <c r="P4004" s="7" t="str">
        <f ca="1">IFERROR(__xludf.DUMMYFUNCTION("GOOGLEFINANCE(""NSE:""&amp;D4004,""EPS"")"),"#N/A")</f>
        <v>#N/A</v>
      </c>
      <c r="Q4004" s="7">
        <v>13.5</v>
      </c>
      <c r="R4004" s="7" t="str">
        <f ca="1">IFERROR(__xludf.DUMMYFUNCTION("IMPORTXML(E4004,""/html/body/main/div[3]/div[3]/div[2]/ul/li[7]/span[2]/span"")"),"Loading...")</f>
        <v>Loading...</v>
      </c>
      <c r="S4004" s="7" t="str">
        <f ca="1">IFERROR(__xludf.DUMMYFUNCTION("IMPORTXML(E4004,""/html/body/main/div[3]/div[3]/div[2]/ul/li[8]/span[2]/span"")"),"Loading...")</f>
        <v>Loading...</v>
      </c>
      <c r="T4004" s="4">
        <v>34.6</v>
      </c>
      <c r="U4004" s="4">
        <v>22.7</v>
      </c>
      <c r="V4004" s="4">
        <v>2.6</v>
      </c>
      <c r="W4004" s="4">
        <v>5.7</v>
      </c>
      <c r="X4004" s="4">
        <v>519.92999999999995</v>
      </c>
      <c r="Y4004" s="7" t="e">
        <f t="shared" ca="1" si="84"/>
        <v>#VALUE!</v>
      </c>
    </row>
    <row r="4005" spans="1:25" ht="15" x14ac:dyDescent="0.25">
      <c r="A4005" s="4">
        <v>4004</v>
      </c>
      <c r="C4005" s="41" t="s">
        <v>6373</v>
      </c>
      <c r="D4005" s="42"/>
      <c r="E4005" s="5" t="str">
        <f t="shared" si="80"/>
        <v>https://www.screener.in/company//consolidated/</v>
      </c>
      <c r="F4005" s="4">
        <v>443059</v>
      </c>
      <c r="G4005" s="4">
        <v>3832241897</v>
      </c>
      <c r="H4005" s="6" t="e">
        <f t="shared" ca="1" si="81"/>
        <v>#VALUE!</v>
      </c>
      <c r="I4005" s="7" t="str">
        <f ca="1">IFERROR(__xludf.DUMMYFUNCTION("IMPORTXML(E4005,""/html/body/main/div[3]/div[3]/div[2]/ul/li[5]/span[2]/span"")"),"Loading...")</f>
        <v>Loading...</v>
      </c>
      <c r="J4005" s="7" t="str">
        <f ca="1">IFERROR(__xludf.DUMMYFUNCTION("GOOGLEFINANCE(""NSE:""&amp;D4005,""marketcap"")"),"#N/A")</f>
        <v>#N/A</v>
      </c>
      <c r="K4005" s="7">
        <v>992.8</v>
      </c>
      <c r="L4005" s="8" t="str">
        <f ca="1">IFERROR(__xludf.DUMMYFUNCTION("GOOGLEFINANCE(""NSE:""&amp;D4005,""price"")"),"#N/A")</f>
        <v>#N/A</v>
      </c>
      <c r="M4005" s="9" t="e">
        <f t="shared" ca="1" si="82"/>
        <v>#VALUE!</v>
      </c>
      <c r="N4005" s="10" t="e">
        <f t="shared" ca="1" si="83"/>
        <v>#VALUE!</v>
      </c>
      <c r="O4005" s="7" t="str">
        <f ca="1">IFERROR(__xludf.DUMMYFUNCTION("GOOGLEFINANCE(""NSE:""&amp;D4005,""pe"")"),"#N/A")</f>
        <v>#N/A</v>
      </c>
      <c r="P4005" s="7" t="str">
        <f ca="1">IFERROR(__xludf.DUMMYFUNCTION("GOOGLEFINANCE(""NSE:""&amp;D4005,""EPS"")"),"#N/A")</f>
        <v>#N/A</v>
      </c>
      <c r="Q4005" s="7">
        <v>13.5</v>
      </c>
      <c r="R4005" s="7" t="str">
        <f ca="1">IFERROR(__xludf.DUMMYFUNCTION("IMPORTXML(E4005,""/html/body/main/div[3]/div[3]/div[2]/ul/li[7]/span[2]/span"")"),"Loading...")</f>
        <v>Loading...</v>
      </c>
      <c r="S4005" s="7" t="str">
        <f ca="1">IFERROR(__xludf.DUMMYFUNCTION("IMPORTXML(E4005,""/html/body/main/div[3]/div[3]/div[2]/ul/li[8]/span[2]/span"")"),"Loading...")</f>
        <v>Loading...</v>
      </c>
      <c r="T4005" s="4">
        <v>34.6</v>
      </c>
      <c r="U4005" s="4">
        <v>22.7</v>
      </c>
      <c r="V4005" s="4">
        <v>2.6</v>
      </c>
      <c r="W4005" s="4">
        <v>5.7</v>
      </c>
      <c r="X4005" s="4">
        <v>519.92999999999995</v>
      </c>
      <c r="Y4005" s="7" t="e">
        <f t="shared" ca="1" si="84"/>
        <v>#VALUE!</v>
      </c>
    </row>
    <row r="4006" spans="1:25" ht="15" x14ac:dyDescent="0.25">
      <c r="A4006" s="4">
        <v>4005</v>
      </c>
      <c r="C4006" s="41" t="s">
        <v>6374</v>
      </c>
      <c r="D4006" s="42"/>
      <c r="E4006" s="5" t="str">
        <f t="shared" si="80"/>
        <v>https://www.screener.in/company//consolidated/</v>
      </c>
      <c r="F4006" s="4">
        <v>443059</v>
      </c>
      <c r="G4006" s="4">
        <v>3832241897</v>
      </c>
      <c r="H4006" s="6" t="e">
        <f t="shared" ca="1" si="81"/>
        <v>#VALUE!</v>
      </c>
      <c r="I4006" s="7" t="str">
        <f ca="1">IFERROR(__xludf.DUMMYFUNCTION("IMPORTXML(E4006,""/html/body/main/div[3]/div[3]/div[2]/ul/li[5]/span[2]/span"")"),"Loading...")</f>
        <v>Loading...</v>
      </c>
      <c r="J4006" s="7" t="str">
        <f ca="1">IFERROR(__xludf.DUMMYFUNCTION("GOOGLEFINANCE(""NSE:""&amp;D4006,""marketcap"")"),"#N/A")</f>
        <v>#N/A</v>
      </c>
      <c r="K4006" s="7">
        <v>992.8</v>
      </c>
      <c r="L4006" s="8" t="str">
        <f ca="1">IFERROR(__xludf.DUMMYFUNCTION("GOOGLEFINANCE(""NSE:""&amp;D4006,""price"")"),"#N/A")</f>
        <v>#N/A</v>
      </c>
      <c r="M4006" s="9" t="e">
        <f t="shared" ca="1" si="82"/>
        <v>#VALUE!</v>
      </c>
      <c r="N4006" s="10" t="e">
        <f t="shared" ca="1" si="83"/>
        <v>#VALUE!</v>
      </c>
      <c r="O4006" s="7" t="str">
        <f ca="1">IFERROR(__xludf.DUMMYFUNCTION("GOOGLEFINANCE(""NSE:""&amp;D4006,""pe"")"),"#N/A")</f>
        <v>#N/A</v>
      </c>
      <c r="P4006" s="7" t="str">
        <f ca="1">IFERROR(__xludf.DUMMYFUNCTION("GOOGLEFINANCE(""NSE:""&amp;D4006,""EPS"")"),"#N/A")</f>
        <v>#N/A</v>
      </c>
      <c r="Q4006" s="7">
        <v>13.5</v>
      </c>
      <c r="R4006" s="7" t="str">
        <f ca="1">IFERROR(__xludf.DUMMYFUNCTION("IMPORTXML(E4006,""/html/body/main/div[3]/div[3]/div[2]/ul/li[7]/span[2]/span"")"),"Loading...")</f>
        <v>Loading...</v>
      </c>
      <c r="S4006" s="7" t="str">
        <f ca="1">IFERROR(__xludf.DUMMYFUNCTION("IMPORTXML(E4006,""/html/body/main/div[3]/div[3]/div[2]/ul/li[8]/span[2]/span"")"),"Loading...")</f>
        <v>Loading...</v>
      </c>
      <c r="T4006" s="4">
        <v>34.6</v>
      </c>
      <c r="U4006" s="4">
        <v>22.7</v>
      </c>
      <c r="V4006" s="4">
        <v>2.6</v>
      </c>
      <c r="W4006" s="4">
        <v>5.7</v>
      </c>
      <c r="X4006" s="4">
        <v>519.92999999999995</v>
      </c>
      <c r="Y4006" s="7" t="e">
        <f t="shared" ca="1" si="84"/>
        <v>#VALUE!</v>
      </c>
    </row>
    <row r="4007" spans="1:25" ht="15" x14ac:dyDescent="0.25">
      <c r="A4007" s="4">
        <v>4006</v>
      </c>
      <c r="C4007" s="41" t="s">
        <v>6375</v>
      </c>
      <c r="D4007" s="42"/>
      <c r="E4007" s="5" t="str">
        <f t="shared" si="80"/>
        <v>https://www.screener.in/company//consolidated/</v>
      </c>
      <c r="F4007" s="4">
        <v>443059</v>
      </c>
      <c r="G4007" s="4">
        <v>3832241897</v>
      </c>
      <c r="H4007" s="6" t="e">
        <f t="shared" ca="1" si="81"/>
        <v>#VALUE!</v>
      </c>
      <c r="I4007" s="7" t="str">
        <f ca="1">IFERROR(__xludf.DUMMYFUNCTION("IMPORTXML(E4007,""/html/body/main/div[3]/div[3]/div[2]/ul/li[5]/span[2]/span"")"),"Loading...")</f>
        <v>Loading...</v>
      </c>
      <c r="J4007" s="7" t="str">
        <f ca="1">IFERROR(__xludf.DUMMYFUNCTION("GOOGLEFINANCE(""NSE:""&amp;D4007,""marketcap"")"),"#N/A")</f>
        <v>#N/A</v>
      </c>
      <c r="K4007" s="7">
        <v>992.8</v>
      </c>
      <c r="L4007" s="8" t="str">
        <f ca="1">IFERROR(__xludf.DUMMYFUNCTION("GOOGLEFINANCE(""NSE:""&amp;D4007,""price"")"),"#N/A")</f>
        <v>#N/A</v>
      </c>
      <c r="M4007" s="9" t="e">
        <f t="shared" ca="1" si="82"/>
        <v>#VALUE!</v>
      </c>
      <c r="N4007" s="10" t="e">
        <f t="shared" ca="1" si="83"/>
        <v>#VALUE!</v>
      </c>
      <c r="O4007" s="7" t="str">
        <f ca="1">IFERROR(__xludf.DUMMYFUNCTION("GOOGLEFINANCE(""NSE:""&amp;D4007,""pe"")"),"#N/A")</f>
        <v>#N/A</v>
      </c>
      <c r="P4007" s="7" t="str">
        <f ca="1">IFERROR(__xludf.DUMMYFUNCTION("GOOGLEFINANCE(""NSE:""&amp;D4007,""EPS"")"),"#N/A")</f>
        <v>#N/A</v>
      </c>
      <c r="Q4007" s="7">
        <v>13.5</v>
      </c>
      <c r="R4007" s="7" t="str">
        <f ca="1">IFERROR(__xludf.DUMMYFUNCTION("IMPORTXML(E4007,""/html/body/main/div[3]/div[3]/div[2]/ul/li[7]/span[2]/span"")"),"Loading...")</f>
        <v>Loading...</v>
      </c>
      <c r="S4007" s="7" t="str">
        <f ca="1">IFERROR(__xludf.DUMMYFUNCTION("IMPORTXML(E4007,""/html/body/main/div[3]/div[3]/div[2]/ul/li[8]/span[2]/span"")"),"Loading...")</f>
        <v>Loading...</v>
      </c>
      <c r="T4007" s="4">
        <v>34.6</v>
      </c>
      <c r="U4007" s="4">
        <v>22.7</v>
      </c>
      <c r="V4007" s="4">
        <v>2.6</v>
      </c>
      <c r="W4007" s="4">
        <v>5.7</v>
      </c>
      <c r="X4007" s="4">
        <v>519.92999999999995</v>
      </c>
      <c r="Y4007" s="7" t="e">
        <f t="shared" ca="1" si="84"/>
        <v>#VALUE!</v>
      </c>
    </row>
    <row r="4008" spans="1:25" ht="15" x14ac:dyDescent="0.25">
      <c r="A4008" s="4">
        <v>4007</v>
      </c>
      <c r="C4008" s="41" t="s">
        <v>6376</v>
      </c>
      <c r="D4008" s="42"/>
      <c r="E4008" s="5" t="str">
        <f t="shared" si="80"/>
        <v>https://www.screener.in/company//consolidated/</v>
      </c>
      <c r="F4008" s="4">
        <v>443059</v>
      </c>
      <c r="G4008" s="4">
        <v>3832241897</v>
      </c>
      <c r="H4008" s="6" t="e">
        <f t="shared" ca="1" si="81"/>
        <v>#VALUE!</v>
      </c>
      <c r="I4008" s="7" t="str">
        <f ca="1">IFERROR(__xludf.DUMMYFUNCTION("IMPORTXML(E4008,""/html/body/main/div[3]/div[3]/div[2]/ul/li[5]/span[2]/span"")"),"Loading...")</f>
        <v>Loading...</v>
      </c>
      <c r="J4008" s="7" t="str">
        <f ca="1">IFERROR(__xludf.DUMMYFUNCTION("GOOGLEFINANCE(""NSE:""&amp;D4008,""marketcap"")"),"#N/A")</f>
        <v>#N/A</v>
      </c>
      <c r="K4008" s="7">
        <v>992.8</v>
      </c>
      <c r="L4008" s="8" t="str">
        <f ca="1">IFERROR(__xludf.DUMMYFUNCTION("GOOGLEFINANCE(""NSE:""&amp;D4008,""price"")"),"#N/A")</f>
        <v>#N/A</v>
      </c>
      <c r="M4008" s="9" t="e">
        <f t="shared" ca="1" si="82"/>
        <v>#VALUE!</v>
      </c>
      <c r="N4008" s="10" t="e">
        <f t="shared" ca="1" si="83"/>
        <v>#VALUE!</v>
      </c>
      <c r="O4008" s="7" t="str">
        <f ca="1">IFERROR(__xludf.DUMMYFUNCTION("GOOGLEFINANCE(""NSE:""&amp;D4008,""pe"")"),"#N/A")</f>
        <v>#N/A</v>
      </c>
      <c r="P4008" s="7" t="str">
        <f ca="1">IFERROR(__xludf.DUMMYFUNCTION("GOOGLEFINANCE(""NSE:""&amp;D4008,""EPS"")"),"#N/A")</f>
        <v>#N/A</v>
      </c>
      <c r="Q4008" s="7">
        <v>13.5</v>
      </c>
      <c r="R4008" s="7" t="str">
        <f ca="1">IFERROR(__xludf.DUMMYFUNCTION("IMPORTXML(E4008,""/html/body/main/div[3]/div[3]/div[2]/ul/li[7]/span[2]/span"")"),"Loading...")</f>
        <v>Loading...</v>
      </c>
      <c r="S4008" s="7" t="str">
        <f ca="1">IFERROR(__xludf.DUMMYFUNCTION("IMPORTXML(E4008,""/html/body/main/div[3]/div[3]/div[2]/ul/li[8]/span[2]/span"")"),"Loading...")</f>
        <v>Loading...</v>
      </c>
      <c r="T4008" s="4">
        <v>34.6</v>
      </c>
      <c r="U4008" s="4">
        <v>22.7</v>
      </c>
      <c r="V4008" s="4">
        <v>2.6</v>
      </c>
      <c r="W4008" s="4">
        <v>5.7</v>
      </c>
      <c r="X4008" s="4">
        <v>519.92999999999995</v>
      </c>
      <c r="Y4008" s="7" t="e">
        <f t="shared" ca="1" si="84"/>
        <v>#VALUE!</v>
      </c>
    </row>
    <row r="4009" spans="1:25" ht="15" x14ac:dyDescent="0.25">
      <c r="A4009" s="4">
        <v>4008</v>
      </c>
      <c r="C4009" s="41" t="s">
        <v>6377</v>
      </c>
      <c r="D4009" s="42"/>
      <c r="E4009" s="5" t="str">
        <f t="shared" si="80"/>
        <v>https://www.screener.in/company//consolidated/</v>
      </c>
      <c r="F4009" s="4">
        <v>443059</v>
      </c>
      <c r="G4009" s="4">
        <v>3832241897</v>
      </c>
      <c r="H4009" s="6" t="e">
        <f t="shared" ca="1" si="81"/>
        <v>#VALUE!</v>
      </c>
      <c r="I4009" s="7" t="str">
        <f ca="1">IFERROR(__xludf.DUMMYFUNCTION("IMPORTXML(E4009,""/html/body/main/div[3]/div[3]/div[2]/ul/li[5]/span[2]/span"")"),"Loading...")</f>
        <v>Loading...</v>
      </c>
      <c r="J4009" s="7" t="str">
        <f ca="1">IFERROR(__xludf.DUMMYFUNCTION("GOOGLEFINANCE(""NSE:""&amp;D4009,""marketcap"")"),"#N/A")</f>
        <v>#N/A</v>
      </c>
      <c r="K4009" s="7">
        <v>992.8</v>
      </c>
      <c r="L4009" s="8" t="str">
        <f ca="1">IFERROR(__xludf.DUMMYFUNCTION("GOOGLEFINANCE(""NSE:""&amp;D4009,""price"")"),"#N/A")</f>
        <v>#N/A</v>
      </c>
      <c r="M4009" s="9" t="e">
        <f t="shared" ca="1" si="82"/>
        <v>#VALUE!</v>
      </c>
      <c r="N4009" s="10" t="e">
        <f t="shared" ca="1" si="83"/>
        <v>#VALUE!</v>
      </c>
      <c r="O4009" s="7" t="str">
        <f ca="1">IFERROR(__xludf.DUMMYFUNCTION("GOOGLEFINANCE(""NSE:""&amp;D4009,""pe"")"),"#N/A")</f>
        <v>#N/A</v>
      </c>
      <c r="P4009" s="7" t="str">
        <f ca="1">IFERROR(__xludf.DUMMYFUNCTION("GOOGLEFINANCE(""NSE:""&amp;D4009,""EPS"")"),"#N/A")</f>
        <v>#N/A</v>
      </c>
      <c r="Q4009" s="7">
        <v>13.5</v>
      </c>
      <c r="R4009" s="7" t="str">
        <f ca="1">IFERROR(__xludf.DUMMYFUNCTION("IMPORTXML(E4009,""/html/body/main/div[3]/div[3]/div[2]/ul/li[7]/span[2]/span"")"),"Loading...")</f>
        <v>Loading...</v>
      </c>
      <c r="S4009" s="7" t="str">
        <f ca="1">IFERROR(__xludf.DUMMYFUNCTION("IMPORTXML(E4009,""/html/body/main/div[3]/div[3]/div[2]/ul/li[8]/span[2]/span"")"),"Loading...")</f>
        <v>Loading...</v>
      </c>
      <c r="T4009" s="4">
        <v>34.6</v>
      </c>
      <c r="U4009" s="4">
        <v>22.7</v>
      </c>
      <c r="V4009" s="4">
        <v>2.6</v>
      </c>
      <c r="W4009" s="4">
        <v>5.7</v>
      </c>
      <c r="X4009" s="4">
        <v>519.92999999999995</v>
      </c>
      <c r="Y4009" s="7" t="e">
        <f t="shared" ca="1" si="84"/>
        <v>#VALUE!</v>
      </c>
    </row>
    <row r="4010" spans="1:25" ht="15" x14ac:dyDescent="0.25">
      <c r="A4010" s="4">
        <v>4009</v>
      </c>
      <c r="C4010" s="41" t="s">
        <v>6378</v>
      </c>
      <c r="D4010" s="42"/>
      <c r="E4010" s="5" t="str">
        <f t="shared" si="80"/>
        <v>https://www.screener.in/company//consolidated/</v>
      </c>
      <c r="F4010" s="4">
        <v>443059</v>
      </c>
      <c r="G4010" s="4">
        <v>3832241897</v>
      </c>
      <c r="H4010" s="6" t="e">
        <f t="shared" ca="1" si="81"/>
        <v>#VALUE!</v>
      </c>
      <c r="I4010" s="7" t="str">
        <f ca="1">IFERROR(__xludf.DUMMYFUNCTION("IMPORTXML(E4010,""/html/body/main/div[3]/div[3]/div[2]/ul/li[5]/span[2]/span"")"),"Loading...")</f>
        <v>Loading...</v>
      </c>
      <c r="J4010" s="7" t="str">
        <f ca="1">IFERROR(__xludf.DUMMYFUNCTION("GOOGLEFINANCE(""NSE:""&amp;D4010,""marketcap"")"),"#N/A")</f>
        <v>#N/A</v>
      </c>
      <c r="K4010" s="7">
        <v>992.8</v>
      </c>
      <c r="L4010" s="8" t="str">
        <f ca="1">IFERROR(__xludf.DUMMYFUNCTION("GOOGLEFINANCE(""NSE:""&amp;D4010,""price"")"),"#N/A")</f>
        <v>#N/A</v>
      </c>
      <c r="M4010" s="9" t="e">
        <f t="shared" ca="1" si="82"/>
        <v>#VALUE!</v>
      </c>
      <c r="N4010" s="10" t="e">
        <f t="shared" ca="1" si="83"/>
        <v>#VALUE!</v>
      </c>
      <c r="O4010" s="7" t="str">
        <f ca="1">IFERROR(__xludf.DUMMYFUNCTION("GOOGLEFINANCE(""NSE:""&amp;D4010,""pe"")"),"#N/A")</f>
        <v>#N/A</v>
      </c>
      <c r="P4010" s="7" t="str">
        <f ca="1">IFERROR(__xludf.DUMMYFUNCTION("GOOGLEFINANCE(""NSE:""&amp;D4010,""EPS"")"),"#N/A")</f>
        <v>#N/A</v>
      </c>
      <c r="Q4010" s="7">
        <v>13.5</v>
      </c>
      <c r="R4010" s="7" t="str">
        <f ca="1">IFERROR(__xludf.DUMMYFUNCTION("IMPORTXML(E4010,""/html/body/main/div[3]/div[3]/div[2]/ul/li[7]/span[2]/span"")"),"Loading...")</f>
        <v>Loading...</v>
      </c>
      <c r="S4010" s="7" t="str">
        <f ca="1">IFERROR(__xludf.DUMMYFUNCTION("IMPORTXML(E4010,""/html/body/main/div[3]/div[3]/div[2]/ul/li[8]/span[2]/span"")"),"Loading...")</f>
        <v>Loading...</v>
      </c>
      <c r="T4010" s="4">
        <v>34.6</v>
      </c>
      <c r="U4010" s="4">
        <v>22.7</v>
      </c>
      <c r="V4010" s="4">
        <v>2.6</v>
      </c>
      <c r="W4010" s="4">
        <v>5.7</v>
      </c>
      <c r="X4010" s="4">
        <v>519.92999999999995</v>
      </c>
      <c r="Y4010" s="7" t="e">
        <f t="shared" ca="1" si="84"/>
        <v>#VALUE!</v>
      </c>
    </row>
    <row r="4011" spans="1:25" ht="15" x14ac:dyDescent="0.25">
      <c r="A4011" s="4">
        <v>4010</v>
      </c>
      <c r="C4011" s="41" t="s">
        <v>6379</v>
      </c>
      <c r="D4011" s="42"/>
      <c r="E4011" s="5" t="str">
        <f t="shared" si="80"/>
        <v>https://www.screener.in/company//consolidated/</v>
      </c>
      <c r="F4011" s="4">
        <v>443059</v>
      </c>
      <c r="G4011" s="4">
        <v>3832241897</v>
      </c>
      <c r="H4011" s="6" t="e">
        <f t="shared" ca="1" si="81"/>
        <v>#VALUE!</v>
      </c>
      <c r="I4011" s="7" t="str">
        <f ca="1">IFERROR(__xludf.DUMMYFUNCTION("IMPORTXML(E4011,""/html/body/main/div[3]/div[3]/div[2]/ul/li[5]/span[2]/span"")"),"Loading...")</f>
        <v>Loading...</v>
      </c>
      <c r="J4011" s="7" t="str">
        <f ca="1">IFERROR(__xludf.DUMMYFUNCTION("GOOGLEFINANCE(""NSE:""&amp;D4011,""marketcap"")"),"#N/A")</f>
        <v>#N/A</v>
      </c>
      <c r="K4011" s="7">
        <v>992.8</v>
      </c>
      <c r="L4011" s="8" t="str">
        <f ca="1">IFERROR(__xludf.DUMMYFUNCTION("GOOGLEFINANCE(""NSE:""&amp;D4011,""price"")"),"#N/A")</f>
        <v>#N/A</v>
      </c>
      <c r="M4011" s="9" t="e">
        <f t="shared" ca="1" si="82"/>
        <v>#VALUE!</v>
      </c>
      <c r="N4011" s="10" t="e">
        <f t="shared" ca="1" si="83"/>
        <v>#VALUE!</v>
      </c>
      <c r="O4011" s="7" t="str">
        <f ca="1">IFERROR(__xludf.DUMMYFUNCTION("GOOGLEFINANCE(""NSE:""&amp;D4011,""pe"")"),"#N/A")</f>
        <v>#N/A</v>
      </c>
      <c r="P4011" s="7" t="str">
        <f ca="1">IFERROR(__xludf.DUMMYFUNCTION("GOOGLEFINANCE(""NSE:""&amp;D4011,""EPS"")"),"#N/A")</f>
        <v>#N/A</v>
      </c>
      <c r="Q4011" s="7">
        <v>13.5</v>
      </c>
      <c r="R4011" s="7" t="str">
        <f ca="1">IFERROR(__xludf.DUMMYFUNCTION("IMPORTXML(E4011,""/html/body/main/div[3]/div[3]/div[2]/ul/li[7]/span[2]/span"")"),"Loading...")</f>
        <v>Loading...</v>
      </c>
      <c r="S4011" s="7" t="str">
        <f ca="1">IFERROR(__xludf.DUMMYFUNCTION("IMPORTXML(E4011,""/html/body/main/div[3]/div[3]/div[2]/ul/li[8]/span[2]/span"")"),"Loading...")</f>
        <v>Loading...</v>
      </c>
      <c r="T4011" s="4">
        <v>34.6</v>
      </c>
      <c r="U4011" s="4">
        <v>22.7</v>
      </c>
      <c r="V4011" s="4">
        <v>2.6</v>
      </c>
      <c r="W4011" s="4">
        <v>5.7</v>
      </c>
      <c r="X4011" s="4">
        <v>519.92999999999995</v>
      </c>
      <c r="Y4011" s="7" t="e">
        <f t="shared" ca="1" si="84"/>
        <v>#VALUE!</v>
      </c>
    </row>
    <row r="4012" spans="1:25" ht="15" x14ac:dyDescent="0.25">
      <c r="A4012" s="4">
        <v>4011</v>
      </c>
      <c r="C4012" s="41" t="s">
        <v>6380</v>
      </c>
      <c r="D4012" s="42"/>
      <c r="E4012" s="5" t="str">
        <f t="shared" si="80"/>
        <v>https://www.screener.in/company//consolidated/</v>
      </c>
      <c r="F4012" s="4">
        <v>443059</v>
      </c>
      <c r="G4012" s="4">
        <v>3832241897</v>
      </c>
      <c r="H4012" s="6" t="e">
        <f t="shared" ca="1" si="81"/>
        <v>#VALUE!</v>
      </c>
      <c r="I4012" s="7" t="str">
        <f ca="1">IFERROR(__xludf.DUMMYFUNCTION("IMPORTXML(E4012,""/html/body/main/div[3]/div[3]/div[2]/ul/li[5]/span[2]/span"")"),"Loading...")</f>
        <v>Loading...</v>
      </c>
      <c r="J4012" s="7" t="str">
        <f ca="1">IFERROR(__xludf.DUMMYFUNCTION("GOOGLEFINANCE(""NSE:""&amp;D4012,""marketcap"")"),"#N/A")</f>
        <v>#N/A</v>
      </c>
      <c r="K4012" s="7">
        <v>992.8</v>
      </c>
      <c r="L4012" s="8" t="str">
        <f ca="1">IFERROR(__xludf.DUMMYFUNCTION("GOOGLEFINANCE(""NSE:""&amp;D4012,""price"")"),"#N/A")</f>
        <v>#N/A</v>
      </c>
      <c r="M4012" s="9" t="e">
        <f t="shared" ca="1" si="82"/>
        <v>#VALUE!</v>
      </c>
      <c r="N4012" s="10" t="e">
        <f t="shared" ca="1" si="83"/>
        <v>#VALUE!</v>
      </c>
      <c r="O4012" s="7" t="str">
        <f ca="1">IFERROR(__xludf.DUMMYFUNCTION("GOOGLEFINANCE(""NSE:""&amp;D4012,""pe"")"),"#N/A")</f>
        <v>#N/A</v>
      </c>
      <c r="P4012" s="7" t="str">
        <f ca="1">IFERROR(__xludf.DUMMYFUNCTION("GOOGLEFINANCE(""NSE:""&amp;D4012,""EPS"")"),"#N/A")</f>
        <v>#N/A</v>
      </c>
      <c r="Q4012" s="7">
        <v>13.5</v>
      </c>
      <c r="R4012" s="7" t="str">
        <f ca="1">IFERROR(__xludf.DUMMYFUNCTION("IMPORTXML(E4012,""/html/body/main/div[3]/div[3]/div[2]/ul/li[7]/span[2]/span"")"),"Loading...")</f>
        <v>Loading...</v>
      </c>
      <c r="S4012" s="7" t="str">
        <f ca="1">IFERROR(__xludf.DUMMYFUNCTION("IMPORTXML(E4012,""/html/body/main/div[3]/div[3]/div[2]/ul/li[8]/span[2]/span"")"),"Loading...")</f>
        <v>Loading...</v>
      </c>
      <c r="T4012" s="4">
        <v>34.6</v>
      </c>
      <c r="U4012" s="4">
        <v>22.7</v>
      </c>
      <c r="V4012" s="4">
        <v>2.6</v>
      </c>
      <c r="W4012" s="4">
        <v>5.7</v>
      </c>
      <c r="X4012" s="4">
        <v>519.92999999999995</v>
      </c>
      <c r="Y4012" s="7" t="e">
        <f t="shared" ca="1" si="84"/>
        <v>#VALUE!</v>
      </c>
    </row>
    <row r="4013" spans="1:25" ht="15" x14ac:dyDescent="0.25">
      <c r="A4013" s="4">
        <v>4012</v>
      </c>
      <c r="C4013" s="41" t="s">
        <v>6381</v>
      </c>
      <c r="D4013" s="42"/>
      <c r="E4013" s="5" t="str">
        <f t="shared" si="80"/>
        <v>https://www.screener.in/company//consolidated/</v>
      </c>
      <c r="F4013" s="4">
        <v>443059</v>
      </c>
      <c r="G4013" s="4">
        <v>3832241897</v>
      </c>
      <c r="H4013" s="6" t="e">
        <f t="shared" ca="1" si="81"/>
        <v>#VALUE!</v>
      </c>
      <c r="I4013" s="7" t="str">
        <f ca="1">IFERROR(__xludf.DUMMYFUNCTION("IMPORTXML(E4013,""/html/body/main/div[3]/div[3]/div[2]/ul/li[5]/span[2]/span"")"),"Loading...")</f>
        <v>Loading...</v>
      </c>
      <c r="J4013" s="7" t="str">
        <f ca="1">IFERROR(__xludf.DUMMYFUNCTION("GOOGLEFINANCE(""NSE:""&amp;D4013,""marketcap"")"),"#N/A")</f>
        <v>#N/A</v>
      </c>
      <c r="K4013" s="7">
        <v>992.8</v>
      </c>
      <c r="L4013" s="8" t="str">
        <f ca="1">IFERROR(__xludf.DUMMYFUNCTION("GOOGLEFINANCE(""NSE:""&amp;D4013,""price"")"),"#N/A")</f>
        <v>#N/A</v>
      </c>
      <c r="M4013" s="9" t="e">
        <f t="shared" ca="1" si="82"/>
        <v>#VALUE!</v>
      </c>
      <c r="N4013" s="10" t="e">
        <f t="shared" ca="1" si="83"/>
        <v>#VALUE!</v>
      </c>
      <c r="O4013" s="7" t="str">
        <f ca="1">IFERROR(__xludf.DUMMYFUNCTION("GOOGLEFINANCE(""NSE:""&amp;D4013,""pe"")"),"#N/A")</f>
        <v>#N/A</v>
      </c>
      <c r="P4013" s="7" t="str">
        <f ca="1">IFERROR(__xludf.DUMMYFUNCTION("GOOGLEFINANCE(""NSE:""&amp;D4013,""EPS"")"),"#N/A")</f>
        <v>#N/A</v>
      </c>
      <c r="Q4013" s="7">
        <v>13.5</v>
      </c>
      <c r="R4013" s="7" t="str">
        <f ca="1">IFERROR(__xludf.DUMMYFUNCTION("IMPORTXML(E4013,""/html/body/main/div[3]/div[3]/div[2]/ul/li[7]/span[2]/span"")"),"Loading...")</f>
        <v>Loading...</v>
      </c>
      <c r="S4013" s="7" t="str">
        <f ca="1">IFERROR(__xludf.DUMMYFUNCTION("IMPORTXML(E4013,""/html/body/main/div[3]/div[3]/div[2]/ul/li[8]/span[2]/span"")"),"Loading...")</f>
        <v>Loading...</v>
      </c>
      <c r="T4013" s="4">
        <v>34.6</v>
      </c>
      <c r="U4013" s="4">
        <v>22.7</v>
      </c>
      <c r="V4013" s="4">
        <v>2.6</v>
      </c>
      <c r="W4013" s="4">
        <v>5.7</v>
      </c>
      <c r="X4013" s="4">
        <v>519.92999999999995</v>
      </c>
      <c r="Y4013" s="7" t="e">
        <f t="shared" ca="1" si="84"/>
        <v>#VALUE!</v>
      </c>
    </row>
    <row r="4014" spans="1:25" ht="15" x14ac:dyDescent="0.25">
      <c r="A4014" s="4">
        <v>4013</v>
      </c>
      <c r="C4014" s="41" t="s">
        <v>6382</v>
      </c>
      <c r="D4014" s="42"/>
      <c r="E4014" s="5" t="str">
        <f t="shared" si="80"/>
        <v>https://www.screener.in/company//consolidated/</v>
      </c>
      <c r="F4014" s="4">
        <v>443059</v>
      </c>
      <c r="G4014" s="4">
        <v>3832241897</v>
      </c>
      <c r="H4014" s="6" t="e">
        <f t="shared" ca="1" si="81"/>
        <v>#VALUE!</v>
      </c>
      <c r="I4014" s="7" t="str">
        <f ca="1">IFERROR(__xludf.DUMMYFUNCTION("IMPORTXML(E4014,""/html/body/main/div[3]/div[3]/div[2]/ul/li[5]/span[2]/span"")"),"Loading...")</f>
        <v>Loading...</v>
      </c>
      <c r="J4014" s="7" t="str">
        <f ca="1">IFERROR(__xludf.DUMMYFUNCTION("GOOGLEFINANCE(""NSE:""&amp;D4014,""marketcap"")"),"#N/A")</f>
        <v>#N/A</v>
      </c>
      <c r="K4014" s="7">
        <v>992.8</v>
      </c>
      <c r="L4014" s="8" t="str">
        <f ca="1">IFERROR(__xludf.DUMMYFUNCTION("GOOGLEFINANCE(""NSE:""&amp;D4014,""price"")"),"#N/A")</f>
        <v>#N/A</v>
      </c>
      <c r="M4014" s="9" t="e">
        <f t="shared" ca="1" si="82"/>
        <v>#VALUE!</v>
      </c>
      <c r="N4014" s="10" t="e">
        <f t="shared" ca="1" si="83"/>
        <v>#VALUE!</v>
      </c>
      <c r="O4014" s="7" t="str">
        <f ca="1">IFERROR(__xludf.DUMMYFUNCTION("GOOGLEFINANCE(""NSE:""&amp;D4014,""pe"")"),"#N/A")</f>
        <v>#N/A</v>
      </c>
      <c r="P4014" s="7" t="str">
        <f ca="1">IFERROR(__xludf.DUMMYFUNCTION("GOOGLEFINANCE(""NSE:""&amp;D4014,""EPS"")"),"#N/A")</f>
        <v>#N/A</v>
      </c>
      <c r="Q4014" s="7">
        <v>13.5</v>
      </c>
      <c r="R4014" s="7" t="str">
        <f ca="1">IFERROR(__xludf.DUMMYFUNCTION("IMPORTXML(E4014,""/html/body/main/div[3]/div[3]/div[2]/ul/li[7]/span[2]/span"")"),"Loading...")</f>
        <v>Loading...</v>
      </c>
      <c r="S4014" s="7" t="str">
        <f ca="1">IFERROR(__xludf.DUMMYFUNCTION("IMPORTXML(E4014,""/html/body/main/div[3]/div[3]/div[2]/ul/li[8]/span[2]/span"")"),"Loading...")</f>
        <v>Loading...</v>
      </c>
      <c r="T4014" s="4">
        <v>34.6</v>
      </c>
      <c r="U4014" s="4">
        <v>22.7</v>
      </c>
      <c r="V4014" s="4">
        <v>2.6</v>
      </c>
      <c r="W4014" s="4">
        <v>5.7</v>
      </c>
      <c r="X4014" s="4">
        <v>519.92999999999995</v>
      </c>
      <c r="Y4014" s="7" t="e">
        <f t="shared" ca="1" si="84"/>
        <v>#VALUE!</v>
      </c>
    </row>
    <row r="4015" spans="1:25" ht="15" x14ac:dyDescent="0.25">
      <c r="A4015" s="4">
        <v>4014</v>
      </c>
      <c r="C4015" s="12" t="s">
        <v>6383</v>
      </c>
      <c r="D4015" s="37"/>
      <c r="E4015" s="5" t="str">
        <f t="shared" si="80"/>
        <v>https://www.screener.in/company//consolidated/</v>
      </c>
      <c r="F4015" s="4">
        <v>443059</v>
      </c>
      <c r="G4015" s="4">
        <v>3832241897</v>
      </c>
      <c r="H4015" s="6" t="e">
        <f t="shared" ca="1" si="81"/>
        <v>#VALUE!</v>
      </c>
      <c r="I4015" s="7" t="str">
        <f ca="1">IFERROR(__xludf.DUMMYFUNCTION("IMPORTXML(E4015,""/html/body/main/div[3]/div[3]/div[2]/ul/li[5]/span[2]/span"")"),"Loading...")</f>
        <v>Loading...</v>
      </c>
      <c r="J4015" s="7" t="str">
        <f ca="1">IFERROR(__xludf.DUMMYFUNCTION("GOOGLEFINANCE(""NSE:""&amp;D4015,""marketcap"")"),"#N/A")</f>
        <v>#N/A</v>
      </c>
      <c r="K4015" s="7">
        <v>992.8</v>
      </c>
      <c r="L4015" s="8" t="str">
        <f ca="1">IFERROR(__xludf.DUMMYFUNCTION("GOOGLEFINANCE(""NSE:""&amp;D4015,""price"")"),"#N/A")</f>
        <v>#N/A</v>
      </c>
      <c r="M4015" s="9" t="e">
        <f t="shared" ca="1" si="82"/>
        <v>#VALUE!</v>
      </c>
      <c r="N4015" s="10" t="e">
        <f t="shared" ca="1" si="83"/>
        <v>#VALUE!</v>
      </c>
      <c r="O4015" s="7" t="str">
        <f ca="1">IFERROR(__xludf.DUMMYFUNCTION("GOOGLEFINANCE(""NSE:""&amp;D4015,""pe"")"),"#N/A")</f>
        <v>#N/A</v>
      </c>
      <c r="P4015" s="7" t="str">
        <f ca="1">IFERROR(__xludf.DUMMYFUNCTION("GOOGLEFINANCE(""NSE:""&amp;D4015,""EPS"")"),"#N/A")</f>
        <v>#N/A</v>
      </c>
      <c r="Q4015" s="7">
        <v>13.5</v>
      </c>
      <c r="R4015" s="7" t="str">
        <f ca="1">IFERROR(__xludf.DUMMYFUNCTION("IMPORTXML(E4015,""/html/body/main/div[3]/div[3]/div[2]/ul/li[7]/span[2]/span"")"),"Loading...")</f>
        <v>Loading...</v>
      </c>
      <c r="S4015" s="7" t="str">
        <f ca="1">IFERROR(__xludf.DUMMYFUNCTION("IMPORTXML(E4015,""/html/body/main/div[3]/div[3]/div[2]/ul/li[8]/span[2]/span"")"),"Loading...")</f>
        <v>Loading...</v>
      </c>
      <c r="T4015" s="4">
        <v>34.6</v>
      </c>
      <c r="U4015" s="4">
        <v>22.7</v>
      </c>
      <c r="V4015" s="4">
        <v>2.6</v>
      </c>
      <c r="W4015" s="4">
        <v>5.7</v>
      </c>
      <c r="X4015" s="4">
        <v>519.92999999999995</v>
      </c>
      <c r="Y4015" s="7" t="e">
        <f t="shared" ca="1" si="84"/>
        <v>#VALUE!</v>
      </c>
    </row>
    <row r="4016" spans="1:25" ht="15" x14ac:dyDescent="0.25">
      <c r="A4016" s="4">
        <v>4015</v>
      </c>
      <c r="C4016" s="41" t="s">
        <v>6384</v>
      </c>
      <c r="D4016" s="42"/>
      <c r="E4016" s="5" t="str">
        <f t="shared" si="80"/>
        <v>https://www.screener.in/company//consolidated/</v>
      </c>
      <c r="F4016" s="4">
        <v>443059</v>
      </c>
      <c r="G4016" s="4">
        <v>3832241897</v>
      </c>
      <c r="H4016" s="6" t="e">
        <f t="shared" ca="1" si="81"/>
        <v>#VALUE!</v>
      </c>
      <c r="I4016" s="7" t="str">
        <f ca="1">IFERROR(__xludf.DUMMYFUNCTION("IMPORTXML(E4016,""/html/body/main/div[3]/div[3]/div[2]/ul/li[5]/span[2]/span"")"),"Loading...")</f>
        <v>Loading...</v>
      </c>
      <c r="J4016" s="7" t="str">
        <f ca="1">IFERROR(__xludf.DUMMYFUNCTION("GOOGLEFINANCE(""NSE:""&amp;D4016,""marketcap"")"),"#N/A")</f>
        <v>#N/A</v>
      </c>
      <c r="K4016" s="7">
        <v>992.8</v>
      </c>
      <c r="L4016" s="8" t="str">
        <f ca="1">IFERROR(__xludf.DUMMYFUNCTION("GOOGLEFINANCE(""NSE:""&amp;D4016,""price"")"),"#N/A")</f>
        <v>#N/A</v>
      </c>
      <c r="M4016" s="9" t="e">
        <f t="shared" ca="1" si="82"/>
        <v>#VALUE!</v>
      </c>
      <c r="N4016" s="10" t="e">
        <f t="shared" ca="1" si="83"/>
        <v>#VALUE!</v>
      </c>
      <c r="O4016" s="7" t="str">
        <f ca="1">IFERROR(__xludf.DUMMYFUNCTION("GOOGLEFINANCE(""NSE:""&amp;D4016,""pe"")"),"#N/A")</f>
        <v>#N/A</v>
      </c>
      <c r="P4016" s="7" t="str">
        <f ca="1">IFERROR(__xludf.DUMMYFUNCTION("GOOGLEFINANCE(""NSE:""&amp;D4016,""EPS"")"),"#N/A")</f>
        <v>#N/A</v>
      </c>
      <c r="Q4016" s="7">
        <v>13.5</v>
      </c>
      <c r="R4016" s="7" t="str">
        <f ca="1">IFERROR(__xludf.DUMMYFUNCTION("IMPORTXML(E4016,""/html/body/main/div[3]/div[3]/div[2]/ul/li[7]/span[2]/span"")"),"Loading...")</f>
        <v>Loading...</v>
      </c>
      <c r="S4016" s="7" t="str">
        <f ca="1">IFERROR(__xludf.DUMMYFUNCTION("IMPORTXML(E4016,""/html/body/main/div[3]/div[3]/div[2]/ul/li[8]/span[2]/span"")"),"Loading...")</f>
        <v>Loading...</v>
      </c>
      <c r="T4016" s="4">
        <v>34.6</v>
      </c>
      <c r="U4016" s="4">
        <v>22.7</v>
      </c>
      <c r="V4016" s="4">
        <v>2.6</v>
      </c>
      <c r="W4016" s="4">
        <v>5.7</v>
      </c>
      <c r="X4016" s="4">
        <v>519.92999999999995</v>
      </c>
      <c r="Y4016" s="7" t="e">
        <f t="shared" ca="1" si="84"/>
        <v>#VALUE!</v>
      </c>
    </row>
    <row r="4017" spans="1:25" ht="15" x14ac:dyDescent="0.25">
      <c r="A4017" s="4">
        <v>4016</v>
      </c>
      <c r="C4017" s="41" t="s">
        <v>6385</v>
      </c>
      <c r="D4017" s="42"/>
      <c r="E4017" s="5" t="str">
        <f t="shared" si="80"/>
        <v>https://www.screener.in/company//consolidated/</v>
      </c>
      <c r="F4017" s="4">
        <v>443059</v>
      </c>
      <c r="G4017" s="4">
        <v>3832241897</v>
      </c>
      <c r="H4017" s="6" t="e">
        <f t="shared" ca="1" si="81"/>
        <v>#VALUE!</v>
      </c>
      <c r="I4017" s="7" t="str">
        <f ca="1">IFERROR(__xludf.DUMMYFUNCTION("IMPORTXML(E4017,""/html/body/main/div[3]/div[3]/div[2]/ul/li[5]/span[2]/span"")"),"Loading...")</f>
        <v>Loading...</v>
      </c>
      <c r="J4017" s="7" t="str">
        <f ca="1">IFERROR(__xludf.DUMMYFUNCTION("GOOGLEFINANCE(""NSE:""&amp;D4017,""marketcap"")"),"#N/A")</f>
        <v>#N/A</v>
      </c>
      <c r="K4017" s="7">
        <v>992.8</v>
      </c>
      <c r="L4017" s="8" t="str">
        <f ca="1">IFERROR(__xludf.DUMMYFUNCTION("GOOGLEFINANCE(""NSE:""&amp;D4017,""price"")"),"#N/A")</f>
        <v>#N/A</v>
      </c>
      <c r="M4017" s="9" t="e">
        <f t="shared" ca="1" si="82"/>
        <v>#VALUE!</v>
      </c>
      <c r="N4017" s="10" t="e">
        <f t="shared" ca="1" si="83"/>
        <v>#VALUE!</v>
      </c>
      <c r="O4017" s="7" t="str">
        <f ca="1">IFERROR(__xludf.DUMMYFUNCTION("GOOGLEFINANCE(""NSE:""&amp;D4017,""pe"")"),"#N/A")</f>
        <v>#N/A</v>
      </c>
      <c r="P4017" s="7" t="str">
        <f ca="1">IFERROR(__xludf.DUMMYFUNCTION("GOOGLEFINANCE(""NSE:""&amp;D4017,""EPS"")"),"#N/A")</f>
        <v>#N/A</v>
      </c>
      <c r="Q4017" s="7">
        <v>13.5</v>
      </c>
      <c r="R4017" s="7" t="str">
        <f ca="1">IFERROR(__xludf.DUMMYFUNCTION("IMPORTXML(E4017,""/html/body/main/div[3]/div[3]/div[2]/ul/li[7]/span[2]/span"")"),"Loading...")</f>
        <v>Loading...</v>
      </c>
      <c r="S4017" s="7" t="str">
        <f ca="1">IFERROR(__xludf.DUMMYFUNCTION("IMPORTXML(E4017,""/html/body/main/div[3]/div[3]/div[2]/ul/li[8]/span[2]/span"")"),"Loading...")</f>
        <v>Loading...</v>
      </c>
      <c r="T4017" s="4">
        <v>34.6</v>
      </c>
      <c r="U4017" s="4">
        <v>22.7</v>
      </c>
      <c r="V4017" s="4">
        <v>2.6</v>
      </c>
      <c r="W4017" s="4">
        <v>5.7</v>
      </c>
      <c r="X4017" s="4">
        <v>519.92999999999995</v>
      </c>
      <c r="Y4017" s="7" t="e">
        <f t="shared" ca="1" si="84"/>
        <v>#VALUE!</v>
      </c>
    </row>
    <row r="4018" spans="1:25" ht="15" x14ac:dyDescent="0.25">
      <c r="A4018" s="4">
        <v>4017</v>
      </c>
      <c r="C4018" s="41" t="s">
        <v>6386</v>
      </c>
      <c r="D4018" s="42"/>
      <c r="E4018" s="5" t="str">
        <f t="shared" si="80"/>
        <v>https://www.screener.in/company//consolidated/</v>
      </c>
      <c r="F4018" s="4">
        <v>443059</v>
      </c>
      <c r="G4018" s="4">
        <v>3832241897</v>
      </c>
      <c r="H4018" s="6" t="e">
        <f t="shared" ca="1" si="81"/>
        <v>#VALUE!</v>
      </c>
      <c r="I4018" s="7" t="str">
        <f ca="1">IFERROR(__xludf.DUMMYFUNCTION("IMPORTXML(E4018,""/html/body/main/div[3]/div[3]/div[2]/ul/li[5]/span[2]/span"")"),"Loading...")</f>
        <v>Loading...</v>
      </c>
      <c r="J4018" s="7" t="str">
        <f ca="1">IFERROR(__xludf.DUMMYFUNCTION("GOOGLEFINANCE(""NSE:""&amp;D4018,""marketcap"")"),"#N/A")</f>
        <v>#N/A</v>
      </c>
      <c r="K4018" s="7">
        <v>992.8</v>
      </c>
      <c r="L4018" s="8" t="str">
        <f ca="1">IFERROR(__xludf.DUMMYFUNCTION("GOOGLEFINANCE(""NSE:""&amp;D4018,""price"")"),"#N/A")</f>
        <v>#N/A</v>
      </c>
      <c r="M4018" s="9" t="e">
        <f t="shared" ca="1" si="82"/>
        <v>#VALUE!</v>
      </c>
      <c r="N4018" s="10" t="e">
        <f t="shared" ca="1" si="83"/>
        <v>#VALUE!</v>
      </c>
      <c r="O4018" s="7" t="str">
        <f ca="1">IFERROR(__xludf.DUMMYFUNCTION("GOOGLEFINANCE(""NSE:""&amp;D4018,""pe"")"),"#N/A")</f>
        <v>#N/A</v>
      </c>
      <c r="P4018" s="7" t="str">
        <f ca="1">IFERROR(__xludf.DUMMYFUNCTION("GOOGLEFINANCE(""NSE:""&amp;D4018,""EPS"")"),"#N/A")</f>
        <v>#N/A</v>
      </c>
      <c r="Q4018" s="7">
        <v>13.5</v>
      </c>
      <c r="R4018" s="7" t="str">
        <f ca="1">IFERROR(__xludf.DUMMYFUNCTION("IMPORTXML(E4018,""/html/body/main/div[3]/div[3]/div[2]/ul/li[7]/span[2]/span"")"),"Loading...")</f>
        <v>Loading...</v>
      </c>
      <c r="S4018" s="7" t="str">
        <f ca="1">IFERROR(__xludf.DUMMYFUNCTION("IMPORTXML(E4018,""/html/body/main/div[3]/div[3]/div[2]/ul/li[8]/span[2]/span"")"),"Loading...")</f>
        <v>Loading...</v>
      </c>
      <c r="T4018" s="4">
        <v>34.6</v>
      </c>
      <c r="U4018" s="4">
        <v>22.7</v>
      </c>
      <c r="V4018" s="4">
        <v>2.6</v>
      </c>
      <c r="W4018" s="4">
        <v>5.7</v>
      </c>
      <c r="X4018" s="4">
        <v>519.92999999999995</v>
      </c>
      <c r="Y4018" s="7" t="e">
        <f t="shared" ca="1" si="84"/>
        <v>#VALUE!</v>
      </c>
    </row>
    <row r="4019" spans="1:25" ht="15" x14ac:dyDescent="0.25">
      <c r="A4019" s="4">
        <v>4018</v>
      </c>
      <c r="C4019" s="41" t="s">
        <v>6387</v>
      </c>
      <c r="D4019" s="42"/>
      <c r="E4019" s="5" t="str">
        <f t="shared" si="80"/>
        <v>https://www.screener.in/company//consolidated/</v>
      </c>
      <c r="F4019" s="4">
        <v>443059</v>
      </c>
      <c r="G4019" s="4">
        <v>3832241897</v>
      </c>
      <c r="H4019" s="6" t="e">
        <f t="shared" ca="1" si="81"/>
        <v>#VALUE!</v>
      </c>
      <c r="I4019" s="7" t="str">
        <f ca="1">IFERROR(__xludf.DUMMYFUNCTION("IMPORTXML(E4019,""/html/body/main/div[3]/div[3]/div[2]/ul/li[5]/span[2]/span"")"),"Loading...")</f>
        <v>Loading...</v>
      </c>
      <c r="J4019" s="7" t="str">
        <f ca="1">IFERROR(__xludf.DUMMYFUNCTION("GOOGLEFINANCE(""NSE:""&amp;D4019,""marketcap"")"),"#N/A")</f>
        <v>#N/A</v>
      </c>
      <c r="K4019" s="7">
        <v>992.8</v>
      </c>
      <c r="L4019" s="8" t="str">
        <f ca="1">IFERROR(__xludf.DUMMYFUNCTION("GOOGLEFINANCE(""NSE:""&amp;D4019,""price"")"),"#N/A")</f>
        <v>#N/A</v>
      </c>
      <c r="M4019" s="9" t="e">
        <f t="shared" ca="1" si="82"/>
        <v>#VALUE!</v>
      </c>
      <c r="N4019" s="10" t="e">
        <f t="shared" ca="1" si="83"/>
        <v>#VALUE!</v>
      </c>
      <c r="O4019" s="7" t="str">
        <f ca="1">IFERROR(__xludf.DUMMYFUNCTION("GOOGLEFINANCE(""NSE:""&amp;D4019,""pe"")"),"#N/A")</f>
        <v>#N/A</v>
      </c>
      <c r="P4019" s="7" t="str">
        <f ca="1">IFERROR(__xludf.DUMMYFUNCTION("GOOGLEFINANCE(""NSE:""&amp;D4019,""EPS"")"),"#N/A")</f>
        <v>#N/A</v>
      </c>
      <c r="Q4019" s="7">
        <v>13.5</v>
      </c>
      <c r="R4019" s="7" t="str">
        <f ca="1">IFERROR(__xludf.DUMMYFUNCTION("IMPORTXML(E4019,""/html/body/main/div[3]/div[3]/div[2]/ul/li[7]/span[2]/span"")"),"Loading...")</f>
        <v>Loading...</v>
      </c>
      <c r="S4019" s="7" t="str">
        <f ca="1">IFERROR(__xludf.DUMMYFUNCTION("IMPORTXML(E4019,""/html/body/main/div[3]/div[3]/div[2]/ul/li[8]/span[2]/span"")"),"Loading...")</f>
        <v>Loading...</v>
      </c>
      <c r="T4019" s="4">
        <v>34.6</v>
      </c>
      <c r="U4019" s="4">
        <v>22.7</v>
      </c>
      <c r="V4019" s="4">
        <v>2.6</v>
      </c>
      <c r="W4019" s="4">
        <v>5.7</v>
      </c>
      <c r="X4019" s="4">
        <v>519.92999999999995</v>
      </c>
      <c r="Y4019" s="7" t="e">
        <f t="shared" ca="1" si="84"/>
        <v>#VALUE!</v>
      </c>
    </row>
    <row r="4020" spans="1:25" ht="15" x14ac:dyDescent="0.25">
      <c r="A4020" s="4">
        <v>4019</v>
      </c>
      <c r="C4020" s="12" t="s">
        <v>6388</v>
      </c>
      <c r="D4020" s="37"/>
      <c r="E4020" s="5" t="str">
        <f t="shared" si="80"/>
        <v>https://www.screener.in/company//consolidated/</v>
      </c>
      <c r="F4020" s="4">
        <v>443059</v>
      </c>
      <c r="G4020" s="4">
        <v>3832241897</v>
      </c>
      <c r="H4020" s="6" t="e">
        <f t="shared" ca="1" si="81"/>
        <v>#VALUE!</v>
      </c>
      <c r="I4020" s="7" t="str">
        <f ca="1">IFERROR(__xludf.DUMMYFUNCTION("IMPORTXML(E4020,""/html/body/main/div[3]/div[3]/div[2]/ul/li[5]/span[2]/span"")"),"Loading...")</f>
        <v>Loading...</v>
      </c>
      <c r="J4020" s="7" t="str">
        <f ca="1">IFERROR(__xludf.DUMMYFUNCTION("GOOGLEFINANCE(""NSE:""&amp;D4020,""marketcap"")"),"#N/A")</f>
        <v>#N/A</v>
      </c>
      <c r="K4020" s="7">
        <v>992.8</v>
      </c>
      <c r="L4020" s="8" t="str">
        <f ca="1">IFERROR(__xludf.DUMMYFUNCTION("GOOGLEFINANCE(""NSE:""&amp;D4020,""price"")"),"#N/A")</f>
        <v>#N/A</v>
      </c>
      <c r="M4020" s="9" t="e">
        <f t="shared" ca="1" si="82"/>
        <v>#VALUE!</v>
      </c>
      <c r="N4020" s="10" t="e">
        <f t="shared" ca="1" si="83"/>
        <v>#VALUE!</v>
      </c>
      <c r="O4020" s="7" t="str">
        <f ca="1">IFERROR(__xludf.DUMMYFUNCTION("GOOGLEFINANCE(""NSE:""&amp;D4020,""pe"")"),"#N/A")</f>
        <v>#N/A</v>
      </c>
      <c r="P4020" s="7" t="str">
        <f ca="1">IFERROR(__xludf.DUMMYFUNCTION("GOOGLEFINANCE(""NSE:""&amp;D4020,""EPS"")"),"#N/A")</f>
        <v>#N/A</v>
      </c>
      <c r="Q4020" s="7">
        <v>13.5</v>
      </c>
      <c r="R4020" s="7" t="str">
        <f ca="1">IFERROR(__xludf.DUMMYFUNCTION("IMPORTXML(E4020,""/html/body/main/div[3]/div[3]/div[2]/ul/li[7]/span[2]/span"")"),"Loading...")</f>
        <v>Loading...</v>
      </c>
      <c r="S4020" s="7" t="str">
        <f ca="1">IFERROR(__xludf.DUMMYFUNCTION("IMPORTXML(E4020,""/html/body/main/div[3]/div[3]/div[2]/ul/li[8]/span[2]/span"")"),"Loading...")</f>
        <v>Loading...</v>
      </c>
      <c r="T4020" s="4">
        <v>34.6</v>
      </c>
      <c r="U4020" s="4">
        <v>22.7</v>
      </c>
      <c r="V4020" s="4">
        <v>2.6</v>
      </c>
      <c r="W4020" s="4">
        <v>5.7</v>
      </c>
      <c r="X4020" s="4">
        <v>519.92999999999995</v>
      </c>
      <c r="Y4020" s="7" t="e">
        <f t="shared" ca="1" si="84"/>
        <v>#VALUE!</v>
      </c>
    </row>
    <row r="4021" spans="1:25" ht="15" x14ac:dyDescent="0.25">
      <c r="A4021" s="4">
        <v>4020</v>
      </c>
      <c r="C4021" s="41" t="s">
        <v>6389</v>
      </c>
      <c r="D4021" s="42"/>
      <c r="E4021" s="5" t="str">
        <f t="shared" si="80"/>
        <v>https://www.screener.in/company//consolidated/</v>
      </c>
      <c r="F4021" s="4">
        <v>443059</v>
      </c>
      <c r="G4021" s="4">
        <v>3832241897</v>
      </c>
      <c r="H4021" s="6" t="e">
        <f t="shared" ca="1" si="81"/>
        <v>#VALUE!</v>
      </c>
      <c r="I4021" s="7" t="str">
        <f ca="1">IFERROR(__xludf.DUMMYFUNCTION("IMPORTXML(E4021,""/html/body/main/div[3]/div[3]/div[2]/ul/li[5]/span[2]/span"")"),"Loading...")</f>
        <v>Loading...</v>
      </c>
      <c r="J4021" s="7" t="str">
        <f ca="1">IFERROR(__xludf.DUMMYFUNCTION("GOOGLEFINANCE(""NSE:""&amp;D4021,""marketcap"")"),"#N/A")</f>
        <v>#N/A</v>
      </c>
      <c r="K4021" s="7">
        <v>992.8</v>
      </c>
      <c r="L4021" s="8" t="str">
        <f ca="1">IFERROR(__xludf.DUMMYFUNCTION("GOOGLEFINANCE(""NSE:""&amp;D4021,""price"")"),"#N/A")</f>
        <v>#N/A</v>
      </c>
      <c r="M4021" s="9" t="e">
        <f t="shared" ca="1" si="82"/>
        <v>#VALUE!</v>
      </c>
      <c r="N4021" s="10" t="e">
        <f t="shared" ca="1" si="83"/>
        <v>#VALUE!</v>
      </c>
      <c r="O4021" s="7" t="str">
        <f ca="1">IFERROR(__xludf.DUMMYFUNCTION("GOOGLEFINANCE(""NSE:""&amp;D4021,""pe"")"),"#N/A")</f>
        <v>#N/A</v>
      </c>
      <c r="P4021" s="7" t="str">
        <f ca="1">IFERROR(__xludf.DUMMYFUNCTION("GOOGLEFINANCE(""NSE:""&amp;D4021,""EPS"")"),"#N/A")</f>
        <v>#N/A</v>
      </c>
      <c r="Q4021" s="7">
        <v>13.5</v>
      </c>
      <c r="R4021" s="7" t="str">
        <f ca="1">IFERROR(__xludf.DUMMYFUNCTION("IMPORTXML(E4021,""/html/body/main/div[3]/div[3]/div[2]/ul/li[7]/span[2]/span"")"),"Loading...")</f>
        <v>Loading...</v>
      </c>
      <c r="S4021" s="7" t="str">
        <f ca="1">IFERROR(__xludf.DUMMYFUNCTION("IMPORTXML(E4021,""/html/body/main/div[3]/div[3]/div[2]/ul/li[8]/span[2]/span"")"),"Loading...")</f>
        <v>Loading...</v>
      </c>
      <c r="T4021" s="4">
        <v>34.6</v>
      </c>
      <c r="U4021" s="4">
        <v>22.7</v>
      </c>
      <c r="V4021" s="4">
        <v>2.6</v>
      </c>
      <c r="W4021" s="4">
        <v>5.7</v>
      </c>
      <c r="X4021" s="4">
        <v>519.92999999999995</v>
      </c>
      <c r="Y4021" s="7" t="e">
        <f t="shared" ca="1" si="84"/>
        <v>#VALUE!</v>
      </c>
    </row>
    <row r="4022" spans="1:25" ht="15" x14ac:dyDescent="0.25">
      <c r="A4022" s="4">
        <v>4021</v>
      </c>
      <c r="C4022" s="41" t="s">
        <v>6390</v>
      </c>
      <c r="D4022" s="42"/>
      <c r="E4022" s="5" t="str">
        <f t="shared" si="80"/>
        <v>https://www.screener.in/company//consolidated/</v>
      </c>
      <c r="F4022" s="4">
        <v>443059</v>
      </c>
      <c r="G4022" s="4">
        <v>3832241897</v>
      </c>
      <c r="H4022" s="6" t="e">
        <f t="shared" ca="1" si="81"/>
        <v>#VALUE!</v>
      </c>
      <c r="I4022" s="7" t="str">
        <f ca="1">IFERROR(__xludf.DUMMYFUNCTION("IMPORTXML(E4022,""/html/body/main/div[3]/div[3]/div[2]/ul/li[5]/span[2]/span"")"),"Loading...")</f>
        <v>Loading...</v>
      </c>
      <c r="J4022" s="7" t="str">
        <f ca="1">IFERROR(__xludf.DUMMYFUNCTION("GOOGLEFINANCE(""NSE:""&amp;D4022,""marketcap"")"),"#N/A")</f>
        <v>#N/A</v>
      </c>
      <c r="K4022" s="7">
        <v>992.8</v>
      </c>
      <c r="L4022" s="8" t="str">
        <f ca="1">IFERROR(__xludf.DUMMYFUNCTION("GOOGLEFINANCE(""NSE:""&amp;D4022,""price"")"),"#N/A")</f>
        <v>#N/A</v>
      </c>
      <c r="M4022" s="9" t="e">
        <f t="shared" ca="1" si="82"/>
        <v>#VALUE!</v>
      </c>
      <c r="N4022" s="10" t="e">
        <f t="shared" ca="1" si="83"/>
        <v>#VALUE!</v>
      </c>
      <c r="O4022" s="7" t="str">
        <f ca="1">IFERROR(__xludf.DUMMYFUNCTION("GOOGLEFINANCE(""NSE:""&amp;D4022,""pe"")"),"#N/A")</f>
        <v>#N/A</v>
      </c>
      <c r="P4022" s="7" t="str">
        <f ca="1">IFERROR(__xludf.DUMMYFUNCTION("GOOGLEFINANCE(""NSE:""&amp;D4022,""EPS"")"),"#N/A")</f>
        <v>#N/A</v>
      </c>
      <c r="Q4022" s="7">
        <v>13.5</v>
      </c>
      <c r="R4022" s="7" t="str">
        <f ca="1">IFERROR(__xludf.DUMMYFUNCTION("IMPORTXML(E4022,""/html/body/main/div[3]/div[3]/div[2]/ul/li[7]/span[2]/span"")"),"Loading...")</f>
        <v>Loading...</v>
      </c>
      <c r="S4022" s="7" t="str">
        <f ca="1">IFERROR(__xludf.DUMMYFUNCTION("IMPORTXML(E4022,""/html/body/main/div[3]/div[3]/div[2]/ul/li[8]/span[2]/span"")"),"Loading...")</f>
        <v>Loading...</v>
      </c>
      <c r="T4022" s="4">
        <v>34.6</v>
      </c>
      <c r="U4022" s="4">
        <v>22.7</v>
      </c>
      <c r="V4022" s="4">
        <v>2.6</v>
      </c>
      <c r="W4022" s="4">
        <v>5.7</v>
      </c>
      <c r="X4022" s="4">
        <v>519.92999999999995</v>
      </c>
      <c r="Y4022" s="7" t="e">
        <f t="shared" ca="1" si="84"/>
        <v>#VALUE!</v>
      </c>
    </row>
    <row r="4023" spans="1:25" ht="15" x14ac:dyDescent="0.25">
      <c r="A4023" s="4">
        <v>4022</v>
      </c>
      <c r="C4023" s="41" t="s">
        <v>6391</v>
      </c>
      <c r="D4023" s="42"/>
      <c r="E4023" s="5" t="str">
        <f t="shared" si="80"/>
        <v>https://www.screener.in/company//consolidated/</v>
      </c>
      <c r="F4023" s="4">
        <v>443059</v>
      </c>
      <c r="G4023" s="4">
        <v>3832241897</v>
      </c>
      <c r="H4023" s="6" t="e">
        <f t="shared" ca="1" si="81"/>
        <v>#VALUE!</v>
      </c>
      <c r="I4023" s="7" t="str">
        <f ca="1">IFERROR(__xludf.DUMMYFUNCTION("IMPORTXML(E4023,""/html/body/main/div[3]/div[3]/div[2]/ul/li[5]/span[2]/span"")"),"Loading...")</f>
        <v>Loading...</v>
      </c>
      <c r="J4023" s="7" t="str">
        <f ca="1">IFERROR(__xludf.DUMMYFUNCTION("GOOGLEFINANCE(""NSE:""&amp;D4023,""marketcap"")"),"#N/A")</f>
        <v>#N/A</v>
      </c>
      <c r="K4023" s="7">
        <v>992.8</v>
      </c>
      <c r="L4023" s="8" t="str">
        <f ca="1">IFERROR(__xludf.DUMMYFUNCTION("GOOGLEFINANCE(""NSE:""&amp;D4023,""price"")"),"#N/A")</f>
        <v>#N/A</v>
      </c>
      <c r="M4023" s="9" t="e">
        <f t="shared" ca="1" si="82"/>
        <v>#VALUE!</v>
      </c>
      <c r="N4023" s="10" t="e">
        <f t="shared" ca="1" si="83"/>
        <v>#VALUE!</v>
      </c>
      <c r="O4023" s="7" t="str">
        <f ca="1">IFERROR(__xludf.DUMMYFUNCTION("GOOGLEFINANCE(""NSE:""&amp;D4023,""pe"")"),"#N/A")</f>
        <v>#N/A</v>
      </c>
      <c r="P4023" s="7" t="str">
        <f ca="1">IFERROR(__xludf.DUMMYFUNCTION("GOOGLEFINANCE(""NSE:""&amp;D4023,""EPS"")"),"#N/A")</f>
        <v>#N/A</v>
      </c>
      <c r="Q4023" s="7">
        <v>13.5</v>
      </c>
      <c r="R4023" s="7" t="str">
        <f ca="1">IFERROR(__xludf.DUMMYFUNCTION("IMPORTXML(E4023,""/html/body/main/div[3]/div[3]/div[2]/ul/li[7]/span[2]/span"")"),"Loading...")</f>
        <v>Loading...</v>
      </c>
      <c r="S4023" s="7" t="str">
        <f ca="1">IFERROR(__xludf.DUMMYFUNCTION("IMPORTXML(E4023,""/html/body/main/div[3]/div[3]/div[2]/ul/li[8]/span[2]/span"")"),"Loading...")</f>
        <v>Loading...</v>
      </c>
      <c r="T4023" s="4">
        <v>34.6</v>
      </c>
      <c r="U4023" s="4">
        <v>22.7</v>
      </c>
      <c r="V4023" s="4">
        <v>2.6</v>
      </c>
      <c r="W4023" s="4">
        <v>5.7</v>
      </c>
      <c r="X4023" s="4">
        <v>519.92999999999995</v>
      </c>
      <c r="Y4023" s="7" t="e">
        <f t="shared" ca="1" si="84"/>
        <v>#VALUE!</v>
      </c>
    </row>
    <row r="4024" spans="1:25" ht="15" x14ac:dyDescent="0.25">
      <c r="A4024" s="4">
        <v>4023</v>
      </c>
      <c r="C4024" s="41" t="s">
        <v>6392</v>
      </c>
      <c r="D4024" s="42"/>
      <c r="E4024" s="5" t="str">
        <f t="shared" si="80"/>
        <v>https://www.screener.in/company//consolidated/</v>
      </c>
      <c r="F4024" s="4">
        <v>443059</v>
      </c>
      <c r="G4024" s="4">
        <v>3832241897</v>
      </c>
      <c r="H4024" s="6" t="e">
        <f t="shared" ca="1" si="81"/>
        <v>#VALUE!</v>
      </c>
      <c r="I4024" s="7" t="str">
        <f ca="1">IFERROR(__xludf.DUMMYFUNCTION("IMPORTXML(E4024,""/html/body/main/div[3]/div[3]/div[2]/ul/li[5]/span[2]/span"")"),"Loading...")</f>
        <v>Loading...</v>
      </c>
      <c r="J4024" s="7" t="str">
        <f ca="1">IFERROR(__xludf.DUMMYFUNCTION("GOOGLEFINANCE(""NSE:""&amp;D4024,""marketcap"")"),"#N/A")</f>
        <v>#N/A</v>
      </c>
      <c r="K4024" s="7">
        <v>992.8</v>
      </c>
      <c r="L4024" s="8" t="str">
        <f ca="1">IFERROR(__xludf.DUMMYFUNCTION("GOOGLEFINANCE(""NSE:""&amp;D4024,""price"")"),"#N/A")</f>
        <v>#N/A</v>
      </c>
      <c r="M4024" s="9" t="e">
        <f t="shared" ca="1" si="82"/>
        <v>#VALUE!</v>
      </c>
      <c r="N4024" s="10" t="e">
        <f t="shared" ca="1" si="83"/>
        <v>#VALUE!</v>
      </c>
      <c r="O4024" s="7" t="str">
        <f ca="1">IFERROR(__xludf.DUMMYFUNCTION("GOOGLEFINANCE(""NSE:""&amp;D4024,""pe"")"),"#N/A")</f>
        <v>#N/A</v>
      </c>
      <c r="P4024" s="7" t="str">
        <f ca="1">IFERROR(__xludf.DUMMYFUNCTION("GOOGLEFINANCE(""NSE:""&amp;D4024,""EPS"")"),"#N/A")</f>
        <v>#N/A</v>
      </c>
      <c r="Q4024" s="7">
        <v>13.5</v>
      </c>
      <c r="R4024" s="7" t="str">
        <f ca="1">IFERROR(__xludf.DUMMYFUNCTION("IMPORTXML(E4024,""/html/body/main/div[3]/div[3]/div[2]/ul/li[7]/span[2]/span"")"),"Loading...")</f>
        <v>Loading...</v>
      </c>
      <c r="S4024" s="7" t="str">
        <f ca="1">IFERROR(__xludf.DUMMYFUNCTION("IMPORTXML(E4024,""/html/body/main/div[3]/div[3]/div[2]/ul/li[8]/span[2]/span"")"),"Loading...")</f>
        <v>Loading...</v>
      </c>
      <c r="T4024" s="4">
        <v>34.6</v>
      </c>
      <c r="U4024" s="4">
        <v>22.7</v>
      </c>
      <c r="V4024" s="4">
        <v>2.6</v>
      </c>
      <c r="W4024" s="4">
        <v>5.7</v>
      </c>
      <c r="X4024" s="4">
        <v>519.92999999999995</v>
      </c>
      <c r="Y4024" s="7" t="e">
        <f t="shared" ca="1" si="84"/>
        <v>#VALUE!</v>
      </c>
    </row>
    <row r="4025" spans="1:25" ht="15" x14ac:dyDescent="0.25">
      <c r="A4025" s="4">
        <v>4024</v>
      </c>
      <c r="C4025" s="41" t="s">
        <v>6393</v>
      </c>
      <c r="D4025" s="42"/>
      <c r="E4025" s="5" t="str">
        <f t="shared" si="80"/>
        <v>https://www.screener.in/company//consolidated/</v>
      </c>
      <c r="F4025" s="4">
        <v>443059</v>
      </c>
      <c r="G4025" s="4">
        <v>3832241897</v>
      </c>
      <c r="H4025" s="6" t="e">
        <f t="shared" ca="1" si="81"/>
        <v>#VALUE!</v>
      </c>
      <c r="I4025" s="7" t="str">
        <f ca="1">IFERROR(__xludf.DUMMYFUNCTION("IMPORTXML(E4025,""/html/body/main/div[3]/div[3]/div[2]/ul/li[5]/span[2]/span"")"),"Loading...")</f>
        <v>Loading...</v>
      </c>
      <c r="J4025" s="7" t="str">
        <f ca="1">IFERROR(__xludf.DUMMYFUNCTION("GOOGLEFINANCE(""NSE:""&amp;D4025,""marketcap"")"),"#N/A")</f>
        <v>#N/A</v>
      </c>
      <c r="K4025" s="7">
        <v>992.8</v>
      </c>
      <c r="L4025" s="8" t="str">
        <f ca="1">IFERROR(__xludf.DUMMYFUNCTION("GOOGLEFINANCE(""NSE:""&amp;D4025,""price"")"),"#N/A")</f>
        <v>#N/A</v>
      </c>
      <c r="M4025" s="9" t="e">
        <f t="shared" ca="1" si="82"/>
        <v>#VALUE!</v>
      </c>
      <c r="N4025" s="10" t="e">
        <f t="shared" ca="1" si="83"/>
        <v>#VALUE!</v>
      </c>
      <c r="O4025" s="7" t="str">
        <f ca="1">IFERROR(__xludf.DUMMYFUNCTION("GOOGLEFINANCE(""NSE:""&amp;D4025,""pe"")"),"#N/A")</f>
        <v>#N/A</v>
      </c>
      <c r="P4025" s="7" t="str">
        <f ca="1">IFERROR(__xludf.DUMMYFUNCTION("GOOGLEFINANCE(""NSE:""&amp;D4025,""EPS"")"),"#N/A")</f>
        <v>#N/A</v>
      </c>
      <c r="Q4025" s="7">
        <v>13.5</v>
      </c>
      <c r="R4025" s="7" t="str">
        <f ca="1">IFERROR(__xludf.DUMMYFUNCTION("IMPORTXML(E4025,""/html/body/main/div[3]/div[3]/div[2]/ul/li[7]/span[2]/span"")"),"Loading...")</f>
        <v>Loading...</v>
      </c>
      <c r="S4025" s="7" t="str">
        <f ca="1">IFERROR(__xludf.DUMMYFUNCTION("IMPORTXML(E4025,""/html/body/main/div[3]/div[3]/div[2]/ul/li[8]/span[2]/span"")"),"Loading...")</f>
        <v>Loading...</v>
      </c>
      <c r="T4025" s="4">
        <v>34.6</v>
      </c>
      <c r="U4025" s="4">
        <v>22.7</v>
      </c>
      <c r="V4025" s="4">
        <v>2.6</v>
      </c>
      <c r="W4025" s="4">
        <v>5.7</v>
      </c>
      <c r="X4025" s="4">
        <v>519.92999999999995</v>
      </c>
      <c r="Y4025" s="7" t="e">
        <f t="shared" ca="1" si="84"/>
        <v>#VALUE!</v>
      </c>
    </row>
    <row r="4026" spans="1:25" ht="15" x14ac:dyDescent="0.25">
      <c r="A4026" s="4">
        <v>4025</v>
      </c>
      <c r="C4026" s="41" t="s">
        <v>6394</v>
      </c>
      <c r="D4026" s="42"/>
      <c r="E4026" s="5" t="str">
        <f t="shared" si="80"/>
        <v>https://www.screener.in/company//consolidated/</v>
      </c>
      <c r="F4026" s="4">
        <v>443059</v>
      </c>
      <c r="G4026" s="4">
        <v>3832241897</v>
      </c>
      <c r="H4026" s="6" t="e">
        <f t="shared" ca="1" si="81"/>
        <v>#VALUE!</v>
      </c>
      <c r="I4026" s="7" t="str">
        <f ca="1">IFERROR(__xludf.DUMMYFUNCTION("IMPORTXML(E4026,""/html/body/main/div[3]/div[3]/div[2]/ul/li[5]/span[2]/span"")"),"Loading...")</f>
        <v>Loading...</v>
      </c>
      <c r="J4026" s="7" t="str">
        <f ca="1">IFERROR(__xludf.DUMMYFUNCTION("GOOGLEFINANCE(""NSE:""&amp;D4026,""marketcap"")"),"#N/A")</f>
        <v>#N/A</v>
      </c>
      <c r="K4026" s="7">
        <v>992.8</v>
      </c>
      <c r="L4026" s="8" t="str">
        <f ca="1">IFERROR(__xludf.DUMMYFUNCTION("GOOGLEFINANCE(""NSE:""&amp;D4026,""price"")"),"#N/A")</f>
        <v>#N/A</v>
      </c>
      <c r="M4026" s="9" t="e">
        <f t="shared" ca="1" si="82"/>
        <v>#VALUE!</v>
      </c>
      <c r="N4026" s="10" t="e">
        <f t="shared" ca="1" si="83"/>
        <v>#VALUE!</v>
      </c>
      <c r="O4026" s="7" t="str">
        <f ca="1">IFERROR(__xludf.DUMMYFUNCTION("GOOGLEFINANCE(""NSE:""&amp;D4026,""pe"")"),"#N/A")</f>
        <v>#N/A</v>
      </c>
      <c r="P4026" s="7" t="str">
        <f ca="1">IFERROR(__xludf.DUMMYFUNCTION("GOOGLEFINANCE(""NSE:""&amp;D4026,""EPS"")"),"#N/A")</f>
        <v>#N/A</v>
      </c>
      <c r="Q4026" s="7">
        <v>13.5</v>
      </c>
      <c r="R4026" s="7" t="str">
        <f ca="1">IFERROR(__xludf.DUMMYFUNCTION("IMPORTXML(E4026,""/html/body/main/div[3]/div[3]/div[2]/ul/li[7]/span[2]/span"")"),"Loading...")</f>
        <v>Loading...</v>
      </c>
      <c r="S4026" s="7" t="str">
        <f ca="1">IFERROR(__xludf.DUMMYFUNCTION("IMPORTXML(E4026,""/html/body/main/div[3]/div[3]/div[2]/ul/li[8]/span[2]/span"")"),"Loading...")</f>
        <v>Loading...</v>
      </c>
      <c r="T4026" s="4">
        <v>34.6</v>
      </c>
      <c r="U4026" s="4">
        <v>22.7</v>
      </c>
      <c r="V4026" s="4">
        <v>2.6</v>
      </c>
      <c r="W4026" s="4">
        <v>5.7</v>
      </c>
      <c r="X4026" s="4">
        <v>519.92999999999995</v>
      </c>
      <c r="Y4026" s="7" t="e">
        <f t="shared" ca="1" si="84"/>
        <v>#VALUE!</v>
      </c>
    </row>
    <row r="4027" spans="1:25" ht="15" x14ac:dyDescent="0.25">
      <c r="A4027" s="4">
        <v>4026</v>
      </c>
      <c r="C4027" s="41" t="s">
        <v>6395</v>
      </c>
      <c r="D4027" s="42"/>
      <c r="E4027" s="5" t="str">
        <f t="shared" si="80"/>
        <v>https://www.screener.in/company//consolidated/</v>
      </c>
      <c r="F4027" s="4">
        <v>443059</v>
      </c>
      <c r="G4027" s="4">
        <v>3832241897</v>
      </c>
      <c r="H4027" s="6" t="e">
        <f t="shared" ca="1" si="81"/>
        <v>#VALUE!</v>
      </c>
      <c r="I4027" s="7" t="str">
        <f ca="1">IFERROR(__xludf.DUMMYFUNCTION("IMPORTXML(E4027,""/html/body/main/div[3]/div[3]/div[2]/ul/li[5]/span[2]/span"")"),"Loading...")</f>
        <v>Loading...</v>
      </c>
      <c r="J4027" s="7" t="str">
        <f ca="1">IFERROR(__xludf.DUMMYFUNCTION("GOOGLEFINANCE(""NSE:""&amp;D4027,""marketcap"")"),"#N/A")</f>
        <v>#N/A</v>
      </c>
      <c r="K4027" s="7">
        <v>992.8</v>
      </c>
      <c r="L4027" s="8" t="str">
        <f ca="1">IFERROR(__xludf.DUMMYFUNCTION("GOOGLEFINANCE(""NSE:""&amp;D4027,""price"")"),"#N/A")</f>
        <v>#N/A</v>
      </c>
      <c r="M4027" s="9" t="e">
        <f t="shared" ca="1" si="82"/>
        <v>#VALUE!</v>
      </c>
      <c r="N4027" s="10" t="e">
        <f t="shared" ca="1" si="83"/>
        <v>#VALUE!</v>
      </c>
      <c r="O4027" s="7" t="str">
        <f ca="1">IFERROR(__xludf.DUMMYFUNCTION("GOOGLEFINANCE(""NSE:""&amp;D4027,""pe"")"),"#N/A")</f>
        <v>#N/A</v>
      </c>
      <c r="P4027" s="7" t="str">
        <f ca="1">IFERROR(__xludf.DUMMYFUNCTION("GOOGLEFINANCE(""NSE:""&amp;D4027,""EPS"")"),"#N/A")</f>
        <v>#N/A</v>
      </c>
      <c r="Q4027" s="7">
        <v>13.5</v>
      </c>
      <c r="R4027" s="7" t="str">
        <f ca="1">IFERROR(__xludf.DUMMYFUNCTION("IMPORTXML(E4027,""/html/body/main/div[3]/div[3]/div[2]/ul/li[7]/span[2]/span"")"),"Loading...")</f>
        <v>Loading...</v>
      </c>
      <c r="S4027" s="7" t="str">
        <f ca="1">IFERROR(__xludf.DUMMYFUNCTION("IMPORTXML(E4027,""/html/body/main/div[3]/div[3]/div[2]/ul/li[8]/span[2]/span"")"),"Loading...")</f>
        <v>Loading...</v>
      </c>
      <c r="T4027" s="4">
        <v>34.6</v>
      </c>
      <c r="U4027" s="4">
        <v>22.7</v>
      </c>
      <c r="V4027" s="4">
        <v>2.6</v>
      </c>
      <c r="W4027" s="4">
        <v>5.7</v>
      </c>
      <c r="X4027" s="4">
        <v>519.92999999999995</v>
      </c>
      <c r="Y4027" s="7" t="e">
        <f t="shared" ca="1" si="84"/>
        <v>#VALUE!</v>
      </c>
    </row>
    <row r="4028" spans="1:25" ht="15" x14ac:dyDescent="0.25">
      <c r="A4028" s="4">
        <v>4027</v>
      </c>
      <c r="C4028" s="41" t="s">
        <v>6396</v>
      </c>
      <c r="D4028" s="42"/>
      <c r="E4028" s="5" t="str">
        <f t="shared" si="80"/>
        <v>https://www.screener.in/company//consolidated/</v>
      </c>
      <c r="F4028" s="4">
        <v>443059</v>
      </c>
      <c r="G4028" s="4">
        <v>3832241897</v>
      </c>
      <c r="H4028" s="6" t="e">
        <f t="shared" ca="1" si="81"/>
        <v>#VALUE!</v>
      </c>
      <c r="I4028" s="7" t="str">
        <f ca="1">IFERROR(__xludf.DUMMYFUNCTION("IMPORTXML(E4028,""/html/body/main/div[3]/div[3]/div[2]/ul/li[5]/span[2]/span"")"),"Loading...")</f>
        <v>Loading...</v>
      </c>
      <c r="J4028" s="7" t="str">
        <f ca="1">IFERROR(__xludf.DUMMYFUNCTION("GOOGLEFINANCE(""NSE:""&amp;D4028,""marketcap"")"),"#N/A")</f>
        <v>#N/A</v>
      </c>
      <c r="K4028" s="7">
        <v>992.8</v>
      </c>
      <c r="L4028" s="8" t="str">
        <f ca="1">IFERROR(__xludf.DUMMYFUNCTION("GOOGLEFINANCE(""NSE:""&amp;D4028,""price"")"),"#N/A")</f>
        <v>#N/A</v>
      </c>
      <c r="M4028" s="9" t="e">
        <f t="shared" ca="1" si="82"/>
        <v>#VALUE!</v>
      </c>
      <c r="N4028" s="10" t="e">
        <f t="shared" ca="1" si="83"/>
        <v>#VALUE!</v>
      </c>
      <c r="O4028" s="7" t="str">
        <f ca="1">IFERROR(__xludf.DUMMYFUNCTION("GOOGLEFINANCE(""NSE:""&amp;D4028,""pe"")"),"#N/A")</f>
        <v>#N/A</v>
      </c>
      <c r="P4028" s="7" t="str">
        <f ca="1">IFERROR(__xludf.DUMMYFUNCTION("GOOGLEFINANCE(""NSE:""&amp;D4028,""EPS"")"),"#N/A")</f>
        <v>#N/A</v>
      </c>
      <c r="Q4028" s="7">
        <v>13.5</v>
      </c>
      <c r="R4028" s="7" t="str">
        <f ca="1">IFERROR(__xludf.DUMMYFUNCTION("IMPORTXML(E4028,""/html/body/main/div[3]/div[3]/div[2]/ul/li[7]/span[2]/span"")"),"Loading...")</f>
        <v>Loading...</v>
      </c>
      <c r="S4028" s="7" t="str">
        <f ca="1">IFERROR(__xludf.DUMMYFUNCTION("IMPORTXML(E4028,""/html/body/main/div[3]/div[3]/div[2]/ul/li[8]/span[2]/span"")"),"Loading...")</f>
        <v>Loading...</v>
      </c>
      <c r="T4028" s="4">
        <v>34.6</v>
      </c>
      <c r="U4028" s="4">
        <v>22.7</v>
      </c>
      <c r="V4028" s="4">
        <v>2.6</v>
      </c>
      <c r="W4028" s="4">
        <v>5.7</v>
      </c>
      <c r="X4028" s="4">
        <v>519.92999999999995</v>
      </c>
      <c r="Y4028" s="7" t="e">
        <f t="shared" ca="1" si="84"/>
        <v>#VALUE!</v>
      </c>
    </row>
    <row r="4029" spans="1:25" ht="15" x14ac:dyDescent="0.25">
      <c r="A4029" s="4">
        <v>4028</v>
      </c>
      <c r="C4029" s="41" t="s">
        <v>6397</v>
      </c>
      <c r="D4029" s="42"/>
      <c r="E4029" s="5" t="str">
        <f t="shared" si="80"/>
        <v>https://www.screener.in/company//consolidated/</v>
      </c>
      <c r="F4029" s="4">
        <v>443059</v>
      </c>
      <c r="G4029" s="4">
        <v>3832241897</v>
      </c>
      <c r="H4029" s="6" t="e">
        <f t="shared" ca="1" si="81"/>
        <v>#VALUE!</v>
      </c>
      <c r="I4029" s="7" t="str">
        <f ca="1">IFERROR(__xludf.DUMMYFUNCTION("IMPORTXML(E4029,""/html/body/main/div[3]/div[3]/div[2]/ul/li[5]/span[2]/span"")"),"Loading...")</f>
        <v>Loading...</v>
      </c>
      <c r="J4029" s="7" t="str">
        <f ca="1">IFERROR(__xludf.DUMMYFUNCTION("GOOGLEFINANCE(""NSE:""&amp;D4029,""marketcap"")"),"#N/A")</f>
        <v>#N/A</v>
      </c>
      <c r="K4029" s="7">
        <v>992.8</v>
      </c>
      <c r="L4029" s="8" t="str">
        <f ca="1">IFERROR(__xludf.DUMMYFUNCTION("GOOGLEFINANCE(""NSE:""&amp;D4029,""price"")"),"#N/A")</f>
        <v>#N/A</v>
      </c>
      <c r="M4029" s="9" t="e">
        <f t="shared" ca="1" si="82"/>
        <v>#VALUE!</v>
      </c>
      <c r="N4029" s="10" t="e">
        <f t="shared" ca="1" si="83"/>
        <v>#VALUE!</v>
      </c>
      <c r="O4029" s="7" t="str">
        <f ca="1">IFERROR(__xludf.DUMMYFUNCTION("GOOGLEFINANCE(""NSE:""&amp;D4029,""pe"")"),"#N/A")</f>
        <v>#N/A</v>
      </c>
      <c r="P4029" s="7" t="str">
        <f ca="1">IFERROR(__xludf.DUMMYFUNCTION("GOOGLEFINANCE(""NSE:""&amp;D4029,""EPS"")"),"#N/A")</f>
        <v>#N/A</v>
      </c>
      <c r="Q4029" s="7">
        <v>13.5</v>
      </c>
      <c r="R4029" s="7" t="str">
        <f ca="1">IFERROR(__xludf.DUMMYFUNCTION("IMPORTXML(E4029,""/html/body/main/div[3]/div[3]/div[2]/ul/li[7]/span[2]/span"")"),"Loading...")</f>
        <v>Loading...</v>
      </c>
      <c r="S4029" s="7" t="str">
        <f ca="1">IFERROR(__xludf.DUMMYFUNCTION("IMPORTXML(E4029,""/html/body/main/div[3]/div[3]/div[2]/ul/li[8]/span[2]/span"")"),"Loading...")</f>
        <v>Loading...</v>
      </c>
      <c r="T4029" s="4">
        <v>34.6</v>
      </c>
      <c r="U4029" s="4">
        <v>22.7</v>
      </c>
      <c r="V4029" s="4">
        <v>2.6</v>
      </c>
      <c r="W4029" s="4">
        <v>5.7</v>
      </c>
      <c r="X4029" s="4">
        <v>519.92999999999995</v>
      </c>
      <c r="Y4029" s="7" t="e">
        <f t="shared" ca="1" si="84"/>
        <v>#VALUE!</v>
      </c>
    </row>
    <row r="4030" spans="1:25" ht="15" x14ac:dyDescent="0.25">
      <c r="A4030" s="4">
        <v>4029</v>
      </c>
      <c r="C4030" s="41" t="s">
        <v>6398</v>
      </c>
      <c r="D4030" s="42"/>
      <c r="E4030" s="5" t="str">
        <f t="shared" si="80"/>
        <v>https://www.screener.in/company//consolidated/</v>
      </c>
      <c r="F4030" s="4">
        <v>443059</v>
      </c>
      <c r="G4030" s="4">
        <v>3832241897</v>
      </c>
      <c r="H4030" s="6" t="e">
        <f t="shared" ca="1" si="81"/>
        <v>#VALUE!</v>
      </c>
      <c r="I4030" s="7" t="str">
        <f ca="1">IFERROR(__xludf.DUMMYFUNCTION("IMPORTXML(E4030,""/html/body/main/div[3]/div[3]/div[2]/ul/li[5]/span[2]/span"")"),"Loading...")</f>
        <v>Loading...</v>
      </c>
      <c r="J4030" s="7" t="str">
        <f ca="1">IFERROR(__xludf.DUMMYFUNCTION("GOOGLEFINANCE(""NSE:""&amp;D4030,""marketcap"")"),"#N/A")</f>
        <v>#N/A</v>
      </c>
      <c r="K4030" s="7">
        <v>992.8</v>
      </c>
      <c r="L4030" s="8" t="str">
        <f ca="1">IFERROR(__xludf.DUMMYFUNCTION("GOOGLEFINANCE(""NSE:""&amp;D4030,""price"")"),"#N/A")</f>
        <v>#N/A</v>
      </c>
      <c r="M4030" s="9" t="e">
        <f t="shared" ca="1" si="82"/>
        <v>#VALUE!</v>
      </c>
      <c r="N4030" s="10" t="e">
        <f t="shared" ca="1" si="83"/>
        <v>#VALUE!</v>
      </c>
      <c r="O4030" s="7" t="str">
        <f ca="1">IFERROR(__xludf.DUMMYFUNCTION("GOOGLEFINANCE(""NSE:""&amp;D4030,""pe"")"),"#N/A")</f>
        <v>#N/A</v>
      </c>
      <c r="P4030" s="7" t="str">
        <f ca="1">IFERROR(__xludf.DUMMYFUNCTION("GOOGLEFINANCE(""NSE:""&amp;D4030,""EPS"")"),"#N/A")</f>
        <v>#N/A</v>
      </c>
      <c r="Q4030" s="7">
        <v>13.5</v>
      </c>
      <c r="R4030" s="7" t="str">
        <f ca="1">IFERROR(__xludf.DUMMYFUNCTION("IMPORTXML(E4030,""/html/body/main/div[3]/div[3]/div[2]/ul/li[7]/span[2]/span"")"),"Loading...")</f>
        <v>Loading...</v>
      </c>
      <c r="S4030" s="7" t="str">
        <f ca="1">IFERROR(__xludf.DUMMYFUNCTION("IMPORTXML(E4030,""/html/body/main/div[3]/div[3]/div[2]/ul/li[8]/span[2]/span"")"),"Loading...")</f>
        <v>Loading...</v>
      </c>
      <c r="T4030" s="4">
        <v>34.6</v>
      </c>
      <c r="U4030" s="4">
        <v>22.7</v>
      </c>
      <c r="V4030" s="4">
        <v>2.6</v>
      </c>
      <c r="W4030" s="4">
        <v>5.7</v>
      </c>
      <c r="X4030" s="4">
        <v>519.92999999999995</v>
      </c>
      <c r="Y4030" s="7" t="e">
        <f t="shared" ca="1" si="84"/>
        <v>#VALUE!</v>
      </c>
    </row>
    <row r="4031" spans="1:25" ht="15" x14ac:dyDescent="0.25">
      <c r="A4031" s="4">
        <v>4030</v>
      </c>
      <c r="C4031" s="41" t="s">
        <v>6399</v>
      </c>
      <c r="D4031" s="42"/>
      <c r="E4031" s="5" t="str">
        <f t="shared" si="80"/>
        <v>https://www.screener.in/company//consolidated/</v>
      </c>
      <c r="F4031" s="4">
        <v>443059</v>
      </c>
      <c r="G4031" s="4">
        <v>3832241897</v>
      </c>
      <c r="H4031" s="6" t="e">
        <f t="shared" ca="1" si="81"/>
        <v>#VALUE!</v>
      </c>
      <c r="I4031" s="7" t="str">
        <f ca="1">IFERROR(__xludf.DUMMYFUNCTION("IMPORTXML(E4031,""/html/body/main/div[3]/div[3]/div[2]/ul/li[5]/span[2]/span"")"),"Loading...")</f>
        <v>Loading...</v>
      </c>
      <c r="J4031" s="7" t="str">
        <f ca="1">IFERROR(__xludf.DUMMYFUNCTION("GOOGLEFINANCE(""NSE:""&amp;D4031,""marketcap"")"),"#N/A")</f>
        <v>#N/A</v>
      </c>
      <c r="K4031" s="7">
        <v>992.8</v>
      </c>
      <c r="L4031" s="8" t="str">
        <f ca="1">IFERROR(__xludf.DUMMYFUNCTION("GOOGLEFINANCE(""NSE:""&amp;D4031,""price"")"),"#N/A")</f>
        <v>#N/A</v>
      </c>
      <c r="M4031" s="9" t="e">
        <f t="shared" ca="1" si="82"/>
        <v>#VALUE!</v>
      </c>
      <c r="N4031" s="10" t="e">
        <f t="shared" ca="1" si="83"/>
        <v>#VALUE!</v>
      </c>
      <c r="O4031" s="7" t="str">
        <f ca="1">IFERROR(__xludf.DUMMYFUNCTION("GOOGLEFINANCE(""NSE:""&amp;D4031,""pe"")"),"#N/A")</f>
        <v>#N/A</v>
      </c>
      <c r="P4031" s="7" t="str">
        <f ca="1">IFERROR(__xludf.DUMMYFUNCTION("GOOGLEFINANCE(""NSE:""&amp;D4031,""EPS"")"),"#N/A")</f>
        <v>#N/A</v>
      </c>
      <c r="Q4031" s="7">
        <v>13.5</v>
      </c>
      <c r="R4031" s="7" t="str">
        <f ca="1">IFERROR(__xludf.DUMMYFUNCTION("IMPORTXML(E4031,""/html/body/main/div[3]/div[3]/div[2]/ul/li[7]/span[2]/span"")"),"Loading...")</f>
        <v>Loading...</v>
      </c>
      <c r="S4031" s="7" t="str">
        <f ca="1">IFERROR(__xludf.DUMMYFUNCTION("IMPORTXML(E4031,""/html/body/main/div[3]/div[3]/div[2]/ul/li[8]/span[2]/span"")"),"Loading...")</f>
        <v>Loading...</v>
      </c>
      <c r="T4031" s="4">
        <v>34.6</v>
      </c>
      <c r="U4031" s="4">
        <v>22.7</v>
      </c>
      <c r="V4031" s="4">
        <v>2.6</v>
      </c>
      <c r="W4031" s="4">
        <v>5.7</v>
      </c>
      <c r="X4031" s="4">
        <v>519.92999999999995</v>
      </c>
      <c r="Y4031" s="7" t="e">
        <f t="shared" ca="1" si="84"/>
        <v>#VALUE!</v>
      </c>
    </row>
    <row r="4032" spans="1:25" ht="15" x14ac:dyDescent="0.25">
      <c r="A4032" s="4">
        <v>4031</v>
      </c>
      <c r="C4032" s="41" t="s">
        <v>6400</v>
      </c>
      <c r="D4032" s="42"/>
      <c r="E4032" s="5" t="str">
        <f t="shared" si="80"/>
        <v>https://www.screener.in/company//consolidated/</v>
      </c>
      <c r="F4032" s="4">
        <v>443059</v>
      </c>
      <c r="G4032" s="4">
        <v>3832241897</v>
      </c>
      <c r="H4032" s="6" t="e">
        <f t="shared" ca="1" si="81"/>
        <v>#VALUE!</v>
      </c>
      <c r="I4032" s="7" t="str">
        <f ca="1">IFERROR(__xludf.DUMMYFUNCTION("IMPORTXML(E4032,""/html/body/main/div[3]/div[3]/div[2]/ul/li[5]/span[2]/span"")"),"Loading...")</f>
        <v>Loading...</v>
      </c>
      <c r="J4032" s="7" t="str">
        <f ca="1">IFERROR(__xludf.DUMMYFUNCTION("GOOGLEFINANCE(""NSE:""&amp;D4032,""marketcap"")"),"#N/A")</f>
        <v>#N/A</v>
      </c>
      <c r="K4032" s="7">
        <v>992.8</v>
      </c>
      <c r="L4032" s="8" t="str">
        <f ca="1">IFERROR(__xludf.DUMMYFUNCTION("GOOGLEFINANCE(""NSE:""&amp;D4032,""price"")"),"#N/A")</f>
        <v>#N/A</v>
      </c>
      <c r="M4032" s="9" t="e">
        <f t="shared" ca="1" si="82"/>
        <v>#VALUE!</v>
      </c>
      <c r="N4032" s="10" t="e">
        <f t="shared" ca="1" si="83"/>
        <v>#VALUE!</v>
      </c>
      <c r="O4032" s="7" t="str">
        <f ca="1">IFERROR(__xludf.DUMMYFUNCTION("GOOGLEFINANCE(""NSE:""&amp;D4032,""pe"")"),"#N/A")</f>
        <v>#N/A</v>
      </c>
      <c r="P4032" s="7" t="str">
        <f ca="1">IFERROR(__xludf.DUMMYFUNCTION("GOOGLEFINANCE(""NSE:""&amp;D4032,""EPS"")"),"#N/A")</f>
        <v>#N/A</v>
      </c>
      <c r="Q4032" s="7">
        <v>13.5</v>
      </c>
      <c r="R4032" s="7" t="str">
        <f ca="1">IFERROR(__xludf.DUMMYFUNCTION("IMPORTXML(E4032,""/html/body/main/div[3]/div[3]/div[2]/ul/li[7]/span[2]/span"")"),"Loading...")</f>
        <v>Loading...</v>
      </c>
      <c r="S4032" s="7" t="str">
        <f ca="1">IFERROR(__xludf.DUMMYFUNCTION("IMPORTXML(E4032,""/html/body/main/div[3]/div[3]/div[2]/ul/li[8]/span[2]/span"")"),"Loading...")</f>
        <v>Loading...</v>
      </c>
      <c r="T4032" s="4">
        <v>34.6</v>
      </c>
      <c r="U4032" s="4">
        <v>22.7</v>
      </c>
      <c r="V4032" s="4">
        <v>2.6</v>
      </c>
      <c r="W4032" s="4">
        <v>5.7</v>
      </c>
      <c r="X4032" s="4">
        <v>519.92999999999995</v>
      </c>
      <c r="Y4032" s="7" t="e">
        <f t="shared" ca="1" si="84"/>
        <v>#VALUE!</v>
      </c>
    </row>
    <row r="4033" spans="1:25" ht="15" x14ac:dyDescent="0.25">
      <c r="A4033" s="4">
        <v>4032</v>
      </c>
      <c r="C4033" s="41" t="s">
        <v>6401</v>
      </c>
      <c r="D4033" s="42"/>
      <c r="E4033" s="5" t="str">
        <f t="shared" si="80"/>
        <v>https://www.screener.in/company//consolidated/</v>
      </c>
      <c r="F4033" s="4">
        <v>443059</v>
      </c>
      <c r="G4033" s="4">
        <v>3832241897</v>
      </c>
      <c r="H4033" s="6" t="e">
        <f t="shared" ca="1" si="81"/>
        <v>#VALUE!</v>
      </c>
      <c r="I4033" s="7" t="str">
        <f ca="1">IFERROR(__xludf.DUMMYFUNCTION("IMPORTXML(E4033,""/html/body/main/div[3]/div[3]/div[2]/ul/li[5]/span[2]/span"")"),"Loading...")</f>
        <v>Loading...</v>
      </c>
      <c r="J4033" s="7" t="str">
        <f ca="1">IFERROR(__xludf.DUMMYFUNCTION("GOOGLEFINANCE(""NSE:""&amp;D4033,""marketcap"")"),"#N/A")</f>
        <v>#N/A</v>
      </c>
      <c r="K4033" s="7">
        <v>992.8</v>
      </c>
      <c r="L4033" s="8" t="str">
        <f ca="1">IFERROR(__xludf.DUMMYFUNCTION("GOOGLEFINANCE(""NSE:""&amp;D4033,""price"")"),"#N/A")</f>
        <v>#N/A</v>
      </c>
      <c r="M4033" s="9" t="e">
        <f t="shared" ca="1" si="82"/>
        <v>#VALUE!</v>
      </c>
      <c r="N4033" s="10" t="e">
        <f t="shared" ca="1" si="83"/>
        <v>#VALUE!</v>
      </c>
      <c r="O4033" s="7" t="str">
        <f ca="1">IFERROR(__xludf.DUMMYFUNCTION("GOOGLEFINANCE(""NSE:""&amp;D4033,""pe"")"),"#N/A")</f>
        <v>#N/A</v>
      </c>
      <c r="P4033" s="7" t="str">
        <f ca="1">IFERROR(__xludf.DUMMYFUNCTION("GOOGLEFINANCE(""NSE:""&amp;D4033,""EPS"")"),"#N/A")</f>
        <v>#N/A</v>
      </c>
      <c r="Q4033" s="7">
        <v>13.5</v>
      </c>
      <c r="R4033" s="7" t="str">
        <f ca="1">IFERROR(__xludf.DUMMYFUNCTION("IMPORTXML(E4033,""/html/body/main/div[3]/div[3]/div[2]/ul/li[7]/span[2]/span"")"),"Loading...")</f>
        <v>Loading...</v>
      </c>
      <c r="S4033" s="7" t="str">
        <f ca="1">IFERROR(__xludf.DUMMYFUNCTION("IMPORTXML(E4033,""/html/body/main/div[3]/div[3]/div[2]/ul/li[8]/span[2]/span"")"),"Loading...")</f>
        <v>Loading...</v>
      </c>
      <c r="T4033" s="4">
        <v>34.6</v>
      </c>
      <c r="U4033" s="4">
        <v>22.7</v>
      </c>
      <c r="V4033" s="4">
        <v>2.6</v>
      </c>
      <c r="W4033" s="4">
        <v>5.7</v>
      </c>
      <c r="X4033" s="4">
        <v>519.92999999999995</v>
      </c>
      <c r="Y4033" s="7" t="e">
        <f t="shared" ca="1" si="84"/>
        <v>#VALUE!</v>
      </c>
    </row>
    <row r="4034" spans="1:25" ht="15" x14ac:dyDescent="0.25">
      <c r="A4034" s="4">
        <v>4033</v>
      </c>
      <c r="C4034" s="41" t="s">
        <v>6402</v>
      </c>
      <c r="D4034" s="42"/>
      <c r="E4034" s="5" t="str">
        <f t="shared" si="80"/>
        <v>https://www.screener.in/company//consolidated/</v>
      </c>
      <c r="F4034" s="4">
        <v>443059</v>
      </c>
      <c r="G4034" s="4">
        <v>3832241897</v>
      </c>
      <c r="H4034" s="6" t="e">
        <f t="shared" ca="1" si="81"/>
        <v>#VALUE!</v>
      </c>
      <c r="I4034" s="7" t="str">
        <f ca="1">IFERROR(__xludf.DUMMYFUNCTION("IMPORTXML(E4034,""/html/body/main/div[3]/div[3]/div[2]/ul/li[5]/span[2]/span"")"),"Loading...")</f>
        <v>Loading...</v>
      </c>
      <c r="J4034" s="7" t="str">
        <f ca="1">IFERROR(__xludf.DUMMYFUNCTION("GOOGLEFINANCE(""NSE:""&amp;D4034,""marketcap"")"),"#N/A")</f>
        <v>#N/A</v>
      </c>
      <c r="K4034" s="7">
        <v>992.8</v>
      </c>
      <c r="L4034" s="8" t="str">
        <f ca="1">IFERROR(__xludf.DUMMYFUNCTION("GOOGLEFINANCE(""NSE:""&amp;D4034,""price"")"),"#N/A")</f>
        <v>#N/A</v>
      </c>
      <c r="M4034" s="9" t="e">
        <f t="shared" ca="1" si="82"/>
        <v>#VALUE!</v>
      </c>
      <c r="N4034" s="10" t="e">
        <f t="shared" ca="1" si="83"/>
        <v>#VALUE!</v>
      </c>
      <c r="O4034" s="7" t="str">
        <f ca="1">IFERROR(__xludf.DUMMYFUNCTION("GOOGLEFINANCE(""NSE:""&amp;D4034,""pe"")"),"#N/A")</f>
        <v>#N/A</v>
      </c>
      <c r="P4034" s="7" t="str">
        <f ca="1">IFERROR(__xludf.DUMMYFUNCTION("GOOGLEFINANCE(""NSE:""&amp;D4034,""EPS"")"),"#N/A")</f>
        <v>#N/A</v>
      </c>
      <c r="Q4034" s="7">
        <v>13.5</v>
      </c>
      <c r="R4034" s="7" t="str">
        <f ca="1">IFERROR(__xludf.DUMMYFUNCTION("IMPORTXML(E4034,""/html/body/main/div[3]/div[3]/div[2]/ul/li[7]/span[2]/span"")"),"Loading...")</f>
        <v>Loading...</v>
      </c>
      <c r="S4034" s="7" t="str">
        <f ca="1">IFERROR(__xludf.DUMMYFUNCTION("IMPORTXML(E4034,""/html/body/main/div[3]/div[3]/div[2]/ul/li[8]/span[2]/span"")"),"Loading...")</f>
        <v>Loading...</v>
      </c>
      <c r="T4034" s="4">
        <v>34.6</v>
      </c>
      <c r="U4034" s="4">
        <v>22.7</v>
      </c>
      <c r="V4034" s="4">
        <v>2.6</v>
      </c>
      <c r="W4034" s="4">
        <v>5.7</v>
      </c>
      <c r="X4034" s="4">
        <v>519.92999999999995</v>
      </c>
      <c r="Y4034" s="7" t="e">
        <f t="shared" ca="1" si="84"/>
        <v>#VALUE!</v>
      </c>
    </row>
    <row r="4035" spans="1:25" ht="15" x14ac:dyDescent="0.25">
      <c r="A4035" s="4">
        <v>4034</v>
      </c>
      <c r="C4035" s="41" t="s">
        <v>6403</v>
      </c>
      <c r="D4035" s="42"/>
      <c r="E4035" s="5" t="str">
        <f t="shared" si="80"/>
        <v>https://www.screener.in/company//consolidated/</v>
      </c>
      <c r="F4035" s="4">
        <v>443059</v>
      </c>
      <c r="G4035" s="4">
        <v>3832241897</v>
      </c>
      <c r="H4035" s="6" t="e">
        <f t="shared" ca="1" si="81"/>
        <v>#VALUE!</v>
      </c>
      <c r="I4035" s="7" t="str">
        <f ca="1">IFERROR(__xludf.DUMMYFUNCTION("IMPORTXML(E4035,""/html/body/main/div[3]/div[3]/div[2]/ul/li[5]/span[2]/span"")"),"Loading...")</f>
        <v>Loading...</v>
      </c>
      <c r="J4035" s="7" t="str">
        <f ca="1">IFERROR(__xludf.DUMMYFUNCTION("GOOGLEFINANCE(""NSE:""&amp;D4035,""marketcap"")"),"#N/A")</f>
        <v>#N/A</v>
      </c>
      <c r="K4035" s="7">
        <v>992.8</v>
      </c>
      <c r="L4035" s="8" t="str">
        <f ca="1">IFERROR(__xludf.DUMMYFUNCTION("GOOGLEFINANCE(""NSE:""&amp;D4035,""price"")"),"#N/A")</f>
        <v>#N/A</v>
      </c>
      <c r="M4035" s="9" t="e">
        <f t="shared" ca="1" si="82"/>
        <v>#VALUE!</v>
      </c>
      <c r="N4035" s="10" t="e">
        <f t="shared" ca="1" si="83"/>
        <v>#VALUE!</v>
      </c>
      <c r="O4035" s="7" t="str">
        <f ca="1">IFERROR(__xludf.DUMMYFUNCTION("GOOGLEFINANCE(""NSE:""&amp;D4035,""pe"")"),"#N/A")</f>
        <v>#N/A</v>
      </c>
      <c r="P4035" s="7" t="str">
        <f ca="1">IFERROR(__xludf.DUMMYFUNCTION("GOOGLEFINANCE(""NSE:""&amp;D4035,""EPS"")"),"#N/A")</f>
        <v>#N/A</v>
      </c>
      <c r="Q4035" s="7">
        <v>13.5</v>
      </c>
      <c r="R4035" s="7" t="str">
        <f ca="1">IFERROR(__xludf.DUMMYFUNCTION("IMPORTXML(E4035,""/html/body/main/div[3]/div[3]/div[2]/ul/li[7]/span[2]/span"")"),"Loading...")</f>
        <v>Loading...</v>
      </c>
      <c r="S4035" s="7" t="str">
        <f ca="1">IFERROR(__xludf.DUMMYFUNCTION("IMPORTXML(E4035,""/html/body/main/div[3]/div[3]/div[2]/ul/li[8]/span[2]/span"")"),"Loading...")</f>
        <v>Loading...</v>
      </c>
      <c r="T4035" s="4">
        <v>34.6</v>
      </c>
      <c r="U4035" s="4">
        <v>22.7</v>
      </c>
      <c r="V4035" s="4">
        <v>2.6</v>
      </c>
      <c r="W4035" s="4">
        <v>5.7</v>
      </c>
      <c r="X4035" s="4">
        <v>519.92999999999995</v>
      </c>
      <c r="Y4035" s="7" t="e">
        <f t="shared" ca="1" si="84"/>
        <v>#VALUE!</v>
      </c>
    </row>
    <row r="4036" spans="1:25" ht="15" x14ac:dyDescent="0.25">
      <c r="A4036" s="4">
        <v>4035</v>
      </c>
      <c r="C4036" s="41" t="s">
        <v>6404</v>
      </c>
      <c r="D4036" s="42"/>
      <c r="E4036" s="5" t="str">
        <f t="shared" si="80"/>
        <v>https://www.screener.in/company//consolidated/</v>
      </c>
      <c r="F4036" s="4">
        <v>443059</v>
      </c>
      <c r="G4036" s="4">
        <v>3832241897</v>
      </c>
      <c r="H4036" s="6" t="e">
        <f t="shared" ca="1" si="81"/>
        <v>#VALUE!</v>
      </c>
      <c r="I4036" s="7" t="str">
        <f ca="1">IFERROR(__xludf.DUMMYFUNCTION("IMPORTXML(E4036,""/html/body/main/div[3]/div[3]/div[2]/ul/li[5]/span[2]/span"")"),"Loading...")</f>
        <v>Loading...</v>
      </c>
      <c r="J4036" s="7" t="str">
        <f ca="1">IFERROR(__xludf.DUMMYFUNCTION("GOOGLEFINANCE(""NSE:""&amp;D4036,""marketcap"")"),"#N/A")</f>
        <v>#N/A</v>
      </c>
      <c r="K4036" s="7">
        <v>992.8</v>
      </c>
      <c r="L4036" s="8" t="str">
        <f ca="1">IFERROR(__xludf.DUMMYFUNCTION("GOOGLEFINANCE(""NSE:""&amp;D4036,""price"")"),"#N/A")</f>
        <v>#N/A</v>
      </c>
      <c r="M4036" s="9" t="e">
        <f t="shared" ca="1" si="82"/>
        <v>#VALUE!</v>
      </c>
      <c r="N4036" s="10" t="e">
        <f t="shared" ca="1" si="83"/>
        <v>#VALUE!</v>
      </c>
      <c r="O4036" s="7" t="str">
        <f ca="1">IFERROR(__xludf.DUMMYFUNCTION("GOOGLEFINANCE(""NSE:""&amp;D4036,""pe"")"),"#N/A")</f>
        <v>#N/A</v>
      </c>
      <c r="P4036" s="7" t="str">
        <f ca="1">IFERROR(__xludf.DUMMYFUNCTION("GOOGLEFINANCE(""NSE:""&amp;D4036,""EPS"")"),"#N/A")</f>
        <v>#N/A</v>
      </c>
      <c r="Q4036" s="7">
        <v>13.5</v>
      </c>
      <c r="R4036" s="7" t="str">
        <f ca="1">IFERROR(__xludf.DUMMYFUNCTION("IMPORTXML(E4036,""/html/body/main/div[3]/div[3]/div[2]/ul/li[7]/span[2]/span"")"),"Loading...")</f>
        <v>Loading...</v>
      </c>
      <c r="S4036" s="7" t="str">
        <f ca="1">IFERROR(__xludf.DUMMYFUNCTION("IMPORTXML(E4036,""/html/body/main/div[3]/div[3]/div[2]/ul/li[8]/span[2]/span"")"),"Loading...")</f>
        <v>Loading...</v>
      </c>
      <c r="T4036" s="4">
        <v>34.6</v>
      </c>
      <c r="U4036" s="4">
        <v>22.7</v>
      </c>
      <c r="V4036" s="4">
        <v>2.6</v>
      </c>
      <c r="W4036" s="4">
        <v>5.7</v>
      </c>
      <c r="X4036" s="4">
        <v>519.92999999999995</v>
      </c>
      <c r="Y4036" s="7" t="e">
        <f t="shared" ca="1" si="84"/>
        <v>#VALUE!</v>
      </c>
    </row>
    <row r="4037" spans="1:25" ht="15" x14ac:dyDescent="0.25">
      <c r="A4037" s="4">
        <v>4036</v>
      </c>
      <c r="C4037" s="41" t="s">
        <v>6405</v>
      </c>
      <c r="D4037" s="42"/>
      <c r="E4037" s="5" t="str">
        <f t="shared" si="80"/>
        <v>https://www.screener.in/company//consolidated/</v>
      </c>
      <c r="F4037" s="4">
        <v>443059</v>
      </c>
      <c r="G4037" s="4">
        <v>3832241897</v>
      </c>
      <c r="H4037" s="6" t="e">
        <f t="shared" ca="1" si="81"/>
        <v>#VALUE!</v>
      </c>
      <c r="I4037" s="7" t="str">
        <f ca="1">IFERROR(__xludf.DUMMYFUNCTION("IMPORTXML(E4037,""/html/body/main/div[3]/div[3]/div[2]/ul/li[5]/span[2]/span"")"),"Loading...")</f>
        <v>Loading...</v>
      </c>
      <c r="J4037" s="7" t="str">
        <f ca="1">IFERROR(__xludf.DUMMYFUNCTION("GOOGLEFINANCE(""NSE:""&amp;D4037,""marketcap"")"),"#N/A")</f>
        <v>#N/A</v>
      </c>
      <c r="K4037" s="7">
        <v>992.8</v>
      </c>
      <c r="L4037" s="8" t="str">
        <f ca="1">IFERROR(__xludf.DUMMYFUNCTION("GOOGLEFINANCE(""NSE:""&amp;D4037,""price"")"),"#N/A")</f>
        <v>#N/A</v>
      </c>
      <c r="M4037" s="9" t="e">
        <f t="shared" ca="1" si="82"/>
        <v>#VALUE!</v>
      </c>
      <c r="N4037" s="10" t="e">
        <f t="shared" ca="1" si="83"/>
        <v>#VALUE!</v>
      </c>
      <c r="O4037" s="7" t="str">
        <f ca="1">IFERROR(__xludf.DUMMYFUNCTION("GOOGLEFINANCE(""NSE:""&amp;D4037,""pe"")"),"#N/A")</f>
        <v>#N/A</v>
      </c>
      <c r="P4037" s="7" t="str">
        <f ca="1">IFERROR(__xludf.DUMMYFUNCTION("GOOGLEFINANCE(""NSE:""&amp;D4037,""EPS"")"),"#N/A")</f>
        <v>#N/A</v>
      </c>
      <c r="Q4037" s="7">
        <v>13.5</v>
      </c>
      <c r="R4037" s="7" t="str">
        <f ca="1">IFERROR(__xludf.DUMMYFUNCTION("IMPORTXML(E4037,""/html/body/main/div[3]/div[3]/div[2]/ul/li[7]/span[2]/span"")"),"Loading...")</f>
        <v>Loading...</v>
      </c>
      <c r="S4037" s="7" t="str">
        <f ca="1">IFERROR(__xludf.DUMMYFUNCTION("IMPORTXML(E4037,""/html/body/main/div[3]/div[3]/div[2]/ul/li[8]/span[2]/span"")"),"Loading...")</f>
        <v>Loading...</v>
      </c>
      <c r="T4037" s="4">
        <v>34.6</v>
      </c>
      <c r="U4037" s="4">
        <v>22.7</v>
      </c>
      <c r="V4037" s="4">
        <v>2.6</v>
      </c>
      <c r="W4037" s="4">
        <v>5.7</v>
      </c>
      <c r="X4037" s="4">
        <v>519.92999999999995</v>
      </c>
      <c r="Y4037" s="7" t="e">
        <f t="shared" ca="1" si="84"/>
        <v>#VALUE!</v>
      </c>
    </row>
    <row r="4038" spans="1:25" ht="15" x14ac:dyDescent="0.25">
      <c r="A4038" s="4">
        <v>4037</v>
      </c>
      <c r="C4038" s="41" t="s">
        <v>6406</v>
      </c>
      <c r="D4038" s="42"/>
      <c r="E4038" s="5" t="str">
        <f t="shared" si="80"/>
        <v>https://www.screener.in/company//consolidated/</v>
      </c>
      <c r="F4038" s="4">
        <v>443059</v>
      </c>
      <c r="G4038" s="4">
        <v>3832241897</v>
      </c>
      <c r="H4038" s="6" t="e">
        <f t="shared" ca="1" si="81"/>
        <v>#VALUE!</v>
      </c>
      <c r="I4038" s="7" t="str">
        <f ca="1">IFERROR(__xludf.DUMMYFUNCTION("IMPORTXML(E4038,""/html/body/main/div[3]/div[3]/div[2]/ul/li[5]/span[2]/span"")"),"Loading...")</f>
        <v>Loading...</v>
      </c>
      <c r="J4038" s="7" t="str">
        <f ca="1">IFERROR(__xludf.DUMMYFUNCTION("GOOGLEFINANCE(""NSE:""&amp;D4038,""marketcap"")"),"#N/A")</f>
        <v>#N/A</v>
      </c>
      <c r="K4038" s="7">
        <v>992.8</v>
      </c>
      <c r="L4038" s="8" t="str">
        <f ca="1">IFERROR(__xludf.DUMMYFUNCTION("GOOGLEFINANCE(""NSE:""&amp;D4038,""price"")"),"#N/A")</f>
        <v>#N/A</v>
      </c>
      <c r="M4038" s="9" t="e">
        <f t="shared" ca="1" si="82"/>
        <v>#VALUE!</v>
      </c>
      <c r="N4038" s="10" t="e">
        <f t="shared" ca="1" si="83"/>
        <v>#VALUE!</v>
      </c>
      <c r="O4038" s="7" t="str">
        <f ca="1">IFERROR(__xludf.DUMMYFUNCTION("GOOGLEFINANCE(""NSE:""&amp;D4038,""pe"")"),"#N/A")</f>
        <v>#N/A</v>
      </c>
      <c r="P4038" s="7" t="str">
        <f ca="1">IFERROR(__xludf.DUMMYFUNCTION("GOOGLEFINANCE(""NSE:""&amp;D4038,""EPS"")"),"#N/A")</f>
        <v>#N/A</v>
      </c>
      <c r="Q4038" s="7">
        <v>13.5</v>
      </c>
      <c r="R4038" s="7" t="str">
        <f ca="1">IFERROR(__xludf.DUMMYFUNCTION("IMPORTXML(E4038,""/html/body/main/div[3]/div[3]/div[2]/ul/li[7]/span[2]/span"")"),"Loading...")</f>
        <v>Loading...</v>
      </c>
      <c r="S4038" s="7" t="str">
        <f ca="1">IFERROR(__xludf.DUMMYFUNCTION("IMPORTXML(E4038,""/html/body/main/div[3]/div[3]/div[2]/ul/li[8]/span[2]/span"")"),"Loading...")</f>
        <v>Loading...</v>
      </c>
      <c r="T4038" s="4">
        <v>34.6</v>
      </c>
      <c r="U4038" s="4">
        <v>22.7</v>
      </c>
      <c r="V4038" s="4">
        <v>2.6</v>
      </c>
      <c r="W4038" s="4">
        <v>5.7</v>
      </c>
      <c r="X4038" s="4">
        <v>519.92999999999995</v>
      </c>
      <c r="Y4038" s="7" t="e">
        <f t="shared" ca="1" si="84"/>
        <v>#VALUE!</v>
      </c>
    </row>
    <row r="4039" spans="1:25" ht="15" x14ac:dyDescent="0.25">
      <c r="A4039" s="4">
        <v>4038</v>
      </c>
      <c r="C4039" s="41" t="s">
        <v>6407</v>
      </c>
      <c r="D4039" s="42"/>
      <c r="E4039" s="5" t="str">
        <f t="shared" si="80"/>
        <v>https://www.screener.in/company//consolidated/</v>
      </c>
      <c r="F4039" s="4">
        <v>443059</v>
      </c>
      <c r="G4039" s="4">
        <v>3832241897</v>
      </c>
      <c r="H4039" s="6" t="e">
        <f t="shared" ca="1" si="81"/>
        <v>#VALUE!</v>
      </c>
      <c r="I4039" s="7" t="str">
        <f ca="1">IFERROR(__xludf.DUMMYFUNCTION("IMPORTXML(E4039,""/html/body/main/div[3]/div[3]/div[2]/ul/li[5]/span[2]/span"")"),"Loading...")</f>
        <v>Loading...</v>
      </c>
      <c r="J4039" s="7" t="str">
        <f ca="1">IFERROR(__xludf.DUMMYFUNCTION("GOOGLEFINANCE(""NSE:""&amp;D4039,""marketcap"")"),"#N/A")</f>
        <v>#N/A</v>
      </c>
      <c r="K4039" s="7">
        <v>992.8</v>
      </c>
      <c r="L4039" s="8" t="str">
        <f ca="1">IFERROR(__xludf.DUMMYFUNCTION("GOOGLEFINANCE(""NSE:""&amp;D4039,""price"")"),"#N/A")</f>
        <v>#N/A</v>
      </c>
      <c r="M4039" s="9" t="e">
        <f t="shared" ca="1" si="82"/>
        <v>#VALUE!</v>
      </c>
      <c r="N4039" s="10" t="e">
        <f t="shared" ca="1" si="83"/>
        <v>#VALUE!</v>
      </c>
      <c r="O4039" s="7" t="str">
        <f ca="1">IFERROR(__xludf.DUMMYFUNCTION("GOOGLEFINANCE(""NSE:""&amp;D4039,""pe"")"),"#N/A")</f>
        <v>#N/A</v>
      </c>
      <c r="P4039" s="7" t="str">
        <f ca="1">IFERROR(__xludf.DUMMYFUNCTION("GOOGLEFINANCE(""NSE:""&amp;D4039,""EPS"")"),"#N/A")</f>
        <v>#N/A</v>
      </c>
      <c r="Q4039" s="7">
        <v>13.5</v>
      </c>
      <c r="R4039" s="7" t="str">
        <f ca="1">IFERROR(__xludf.DUMMYFUNCTION("IMPORTXML(E4039,""/html/body/main/div[3]/div[3]/div[2]/ul/li[7]/span[2]/span"")"),"Loading...")</f>
        <v>Loading...</v>
      </c>
      <c r="S4039" s="7" t="str">
        <f ca="1">IFERROR(__xludf.DUMMYFUNCTION("IMPORTXML(E4039,""/html/body/main/div[3]/div[3]/div[2]/ul/li[8]/span[2]/span"")"),"Loading...")</f>
        <v>Loading...</v>
      </c>
      <c r="T4039" s="4">
        <v>34.6</v>
      </c>
      <c r="U4039" s="4">
        <v>22.7</v>
      </c>
      <c r="V4039" s="4">
        <v>2.6</v>
      </c>
      <c r="W4039" s="4">
        <v>5.7</v>
      </c>
      <c r="X4039" s="4">
        <v>519.92999999999995</v>
      </c>
      <c r="Y4039" s="7" t="e">
        <f t="shared" ca="1" si="84"/>
        <v>#VALUE!</v>
      </c>
    </row>
    <row r="4040" spans="1:25" ht="15" x14ac:dyDescent="0.25">
      <c r="A4040" s="4">
        <v>4039</v>
      </c>
      <c r="C4040" s="41" t="s">
        <v>6408</v>
      </c>
      <c r="D4040" s="42"/>
      <c r="E4040" s="5" t="str">
        <f t="shared" si="80"/>
        <v>https://www.screener.in/company//consolidated/</v>
      </c>
      <c r="F4040" s="4">
        <v>443059</v>
      </c>
      <c r="G4040" s="4">
        <v>3832241897</v>
      </c>
      <c r="H4040" s="6" t="e">
        <f t="shared" ca="1" si="81"/>
        <v>#VALUE!</v>
      </c>
      <c r="I4040" s="7" t="str">
        <f ca="1">IFERROR(__xludf.DUMMYFUNCTION("IMPORTXML(E4040,""/html/body/main/div[3]/div[3]/div[2]/ul/li[5]/span[2]/span"")"),"Loading...")</f>
        <v>Loading...</v>
      </c>
      <c r="J4040" s="7" t="str">
        <f ca="1">IFERROR(__xludf.DUMMYFUNCTION("GOOGLEFINANCE(""NSE:""&amp;D4040,""marketcap"")"),"#N/A")</f>
        <v>#N/A</v>
      </c>
      <c r="K4040" s="7">
        <v>992.8</v>
      </c>
      <c r="L4040" s="8" t="str">
        <f ca="1">IFERROR(__xludf.DUMMYFUNCTION("GOOGLEFINANCE(""NSE:""&amp;D4040,""price"")"),"#N/A")</f>
        <v>#N/A</v>
      </c>
      <c r="M4040" s="9" t="e">
        <f t="shared" ca="1" si="82"/>
        <v>#VALUE!</v>
      </c>
      <c r="N4040" s="10" t="e">
        <f t="shared" ca="1" si="83"/>
        <v>#VALUE!</v>
      </c>
      <c r="O4040" s="7" t="str">
        <f ca="1">IFERROR(__xludf.DUMMYFUNCTION("GOOGLEFINANCE(""NSE:""&amp;D4040,""pe"")"),"#N/A")</f>
        <v>#N/A</v>
      </c>
      <c r="P4040" s="7" t="str">
        <f ca="1">IFERROR(__xludf.DUMMYFUNCTION("GOOGLEFINANCE(""NSE:""&amp;D4040,""EPS"")"),"#N/A")</f>
        <v>#N/A</v>
      </c>
      <c r="Q4040" s="7">
        <v>13.5</v>
      </c>
      <c r="R4040" s="7" t="str">
        <f ca="1">IFERROR(__xludf.DUMMYFUNCTION("IMPORTXML(E4040,""/html/body/main/div[3]/div[3]/div[2]/ul/li[7]/span[2]/span"")"),"Loading...")</f>
        <v>Loading...</v>
      </c>
      <c r="S4040" s="7" t="str">
        <f ca="1">IFERROR(__xludf.DUMMYFUNCTION("IMPORTXML(E4040,""/html/body/main/div[3]/div[3]/div[2]/ul/li[8]/span[2]/span"")"),"Loading...")</f>
        <v>Loading...</v>
      </c>
      <c r="T4040" s="4">
        <v>34.6</v>
      </c>
      <c r="U4040" s="4">
        <v>22.7</v>
      </c>
      <c r="V4040" s="4">
        <v>2.6</v>
      </c>
      <c r="W4040" s="4">
        <v>5.7</v>
      </c>
      <c r="X4040" s="4">
        <v>519.92999999999995</v>
      </c>
      <c r="Y4040" s="7" t="e">
        <f t="shared" ca="1" si="84"/>
        <v>#VALUE!</v>
      </c>
    </row>
    <row r="4041" spans="1:25" ht="15" x14ac:dyDescent="0.25">
      <c r="A4041" s="4">
        <v>4040</v>
      </c>
      <c r="C4041" s="12" t="s">
        <v>6409</v>
      </c>
      <c r="D4041" s="37"/>
      <c r="E4041" s="5" t="str">
        <f t="shared" si="80"/>
        <v>https://www.screener.in/company//consolidated/</v>
      </c>
      <c r="F4041" s="4">
        <v>443059</v>
      </c>
      <c r="G4041" s="4">
        <v>3832241897</v>
      </c>
      <c r="H4041" s="6" t="e">
        <f t="shared" ca="1" si="81"/>
        <v>#VALUE!</v>
      </c>
      <c r="I4041" s="7" t="str">
        <f ca="1">IFERROR(__xludf.DUMMYFUNCTION("IMPORTXML(E4041,""/html/body/main/div[3]/div[3]/div[2]/ul/li[5]/span[2]/span"")"),"Loading...")</f>
        <v>Loading...</v>
      </c>
      <c r="J4041" s="7" t="str">
        <f ca="1">IFERROR(__xludf.DUMMYFUNCTION("GOOGLEFINANCE(""NSE:""&amp;D4041,""marketcap"")"),"#N/A")</f>
        <v>#N/A</v>
      </c>
      <c r="K4041" s="7">
        <v>992.8</v>
      </c>
      <c r="L4041" s="8" t="str">
        <f ca="1">IFERROR(__xludf.DUMMYFUNCTION("GOOGLEFINANCE(""NSE:""&amp;D4041,""price"")"),"#N/A")</f>
        <v>#N/A</v>
      </c>
      <c r="M4041" s="9" t="e">
        <f t="shared" ca="1" si="82"/>
        <v>#VALUE!</v>
      </c>
      <c r="N4041" s="10" t="e">
        <f t="shared" ca="1" si="83"/>
        <v>#VALUE!</v>
      </c>
      <c r="O4041" s="7" t="str">
        <f ca="1">IFERROR(__xludf.DUMMYFUNCTION("GOOGLEFINANCE(""NSE:""&amp;D4041,""pe"")"),"#N/A")</f>
        <v>#N/A</v>
      </c>
      <c r="P4041" s="7" t="str">
        <f ca="1">IFERROR(__xludf.DUMMYFUNCTION("GOOGLEFINANCE(""NSE:""&amp;D4041,""EPS"")"),"#N/A")</f>
        <v>#N/A</v>
      </c>
      <c r="Q4041" s="7">
        <v>13.5</v>
      </c>
      <c r="R4041" s="7" t="str">
        <f ca="1">IFERROR(__xludf.DUMMYFUNCTION("IMPORTXML(E4041,""/html/body/main/div[3]/div[3]/div[2]/ul/li[7]/span[2]/span"")"),"Loading...")</f>
        <v>Loading...</v>
      </c>
      <c r="S4041" s="7" t="str">
        <f ca="1">IFERROR(__xludf.DUMMYFUNCTION("IMPORTXML(E4041,""/html/body/main/div[3]/div[3]/div[2]/ul/li[8]/span[2]/span"")"),"Loading...")</f>
        <v>Loading...</v>
      </c>
      <c r="T4041" s="4">
        <v>34.6</v>
      </c>
      <c r="U4041" s="4">
        <v>22.7</v>
      </c>
      <c r="V4041" s="4">
        <v>2.6</v>
      </c>
      <c r="W4041" s="4">
        <v>5.7</v>
      </c>
      <c r="X4041" s="4">
        <v>519.92999999999995</v>
      </c>
      <c r="Y4041" s="7" t="e">
        <f t="shared" ca="1" si="84"/>
        <v>#VALUE!</v>
      </c>
    </row>
    <row r="4042" spans="1:25" ht="15" x14ac:dyDescent="0.25">
      <c r="A4042" s="4">
        <v>4041</v>
      </c>
      <c r="C4042" s="41" t="s">
        <v>6410</v>
      </c>
      <c r="D4042" s="42"/>
      <c r="E4042" s="5" t="str">
        <f t="shared" si="80"/>
        <v>https://www.screener.in/company//consolidated/</v>
      </c>
      <c r="F4042" s="4">
        <v>443059</v>
      </c>
      <c r="G4042" s="4">
        <v>3832241897</v>
      </c>
      <c r="H4042" s="6" t="e">
        <f t="shared" ca="1" si="81"/>
        <v>#VALUE!</v>
      </c>
      <c r="I4042" s="7" t="str">
        <f ca="1">IFERROR(__xludf.DUMMYFUNCTION("IMPORTXML(E4042,""/html/body/main/div[3]/div[3]/div[2]/ul/li[5]/span[2]/span"")"),"Loading...")</f>
        <v>Loading...</v>
      </c>
      <c r="J4042" s="7" t="str">
        <f ca="1">IFERROR(__xludf.DUMMYFUNCTION("GOOGLEFINANCE(""NSE:""&amp;D4042,""marketcap"")"),"#N/A")</f>
        <v>#N/A</v>
      </c>
      <c r="K4042" s="7">
        <v>992.8</v>
      </c>
      <c r="L4042" s="8" t="str">
        <f ca="1">IFERROR(__xludf.DUMMYFUNCTION("GOOGLEFINANCE(""NSE:""&amp;D4042,""price"")"),"#N/A")</f>
        <v>#N/A</v>
      </c>
      <c r="M4042" s="9" t="e">
        <f t="shared" ca="1" si="82"/>
        <v>#VALUE!</v>
      </c>
      <c r="N4042" s="10" t="e">
        <f t="shared" ca="1" si="83"/>
        <v>#VALUE!</v>
      </c>
      <c r="O4042" s="7" t="str">
        <f ca="1">IFERROR(__xludf.DUMMYFUNCTION("GOOGLEFINANCE(""NSE:""&amp;D4042,""pe"")"),"#N/A")</f>
        <v>#N/A</v>
      </c>
      <c r="P4042" s="7" t="str">
        <f ca="1">IFERROR(__xludf.DUMMYFUNCTION("GOOGLEFINANCE(""NSE:""&amp;D4042,""EPS"")"),"#N/A")</f>
        <v>#N/A</v>
      </c>
      <c r="Q4042" s="7">
        <v>13.5</v>
      </c>
      <c r="R4042" s="7" t="str">
        <f ca="1">IFERROR(__xludf.DUMMYFUNCTION("IMPORTXML(E4042,""/html/body/main/div[3]/div[3]/div[2]/ul/li[7]/span[2]/span"")"),"Loading...")</f>
        <v>Loading...</v>
      </c>
      <c r="S4042" s="7" t="str">
        <f ca="1">IFERROR(__xludf.DUMMYFUNCTION("IMPORTXML(E4042,""/html/body/main/div[3]/div[3]/div[2]/ul/li[8]/span[2]/span"")"),"Loading...")</f>
        <v>Loading...</v>
      </c>
      <c r="T4042" s="4">
        <v>34.6</v>
      </c>
      <c r="U4042" s="4">
        <v>22.7</v>
      </c>
      <c r="V4042" s="4">
        <v>2.6</v>
      </c>
      <c r="W4042" s="4">
        <v>5.7</v>
      </c>
      <c r="X4042" s="4">
        <v>519.92999999999995</v>
      </c>
      <c r="Y4042" s="7" t="e">
        <f t="shared" ca="1" si="84"/>
        <v>#VALUE!</v>
      </c>
    </row>
    <row r="4043" spans="1:25" ht="15" x14ac:dyDescent="0.25">
      <c r="A4043" s="4">
        <v>4042</v>
      </c>
      <c r="C4043" s="41" t="s">
        <v>6411</v>
      </c>
      <c r="D4043" s="42"/>
      <c r="E4043" s="5" t="str">
        <f t="shared" si="80"/>
        <v>https://www.screener.in/company//consolidated/</v>
      </c>
      <c r="F4043" s="4">
        <v>443059</v>
      </c>
      <c r="G4043" s="4">
        <v>3832241897</v>
      </c>
      <c r="H4043" s="6" t="e">
        <f t="shared" ca="1" si="81"/>
        <v>#VALUE!</v>
      </c>
      <c r="I4043" s="7" t="str">
        <f ca="1">IFERROR(__xludf.DUMMYFUNCTION("IMPORTXML(E4043,""/html/body/main/div[3]/div[3]/div[2]/ul/li[5]/span[2]/span"")"),"Loading...")</f>
        <v>Loading...</v>
      </c>
      <c r="J4043" s="7" t="str">
        <f ca="1">IFERROR(__xludf.DUMMYFUNCTION("GOOGLEFINANCE(""NSE:""&amp;D4043,""marketcap"")"),"#N/A")</f>
        <v>#N/A</v>
      </c>
      <c r="K4043" s="7">
        <v>992.8</v>
      </c>
      <c r="L4043" s="8" t="str">
        <f ca="1">IFERROR(__xludf.DUMMYFUNCTION("GOOGLEFINANCE(""NSE:""&amp;D4043,""price"")"),"#N/A")</f>
        <v>#N/A</v>
      </c>
      <c r="M4043" s="9" t="e">
        <f t="shared" ca="1" si="82"/>
        <v>#VALUE!</v>
      </c>
      <c r="N4043" s="10" t="e">
        <f t="shared" ca="1" si="83"/>
        <v>#VALUE!</v>
      </c>
      <c r="O4043" s="7" t="str">
        <f ca="1">IFERROR(__xludf.DUMMYFUNCTION("GOOGLEFINANCE(""NSE:""&amp;D4043,""pe"")"),"#N/A")</f>
        <v>#N/A</v>
      </c>
      <c r="P4043" s="7" t="str">
        <f ca="1">IFERROR(__xludf.DUMMYFUNCTION("GOOGLEFINANCE(""NSE:""&amp;D4043,""EPS"")"),"#N/A")</f>
        <v>#N/A</v>
      </c>
      <c r="Q4043" s="7">
        <v>13.5</v>
      </c>
      <c r="R4043" s="7" t="str">
        <f ca="1">IFERROR(__xludf.DUMMYFUNCTION("IMPORTXML(E4043,""/html/body/main/div[3]/div[3]/div[2]/ul/li[7]/span[2]/span"")"),"Loading...")</f>
        <v>Loading...</v>
      </c>
      <c r="S4043" s="7" t="str">
        <f ca="1">IFERROR(__xludf.DUMMYFUNCTION("IMPORTXML(E4043,""/html/body/main/div[3]/div[3]/div[2]/ul/li[8]/span[2]/span"")"),"Loading...")</f>
        <v>Loading...</v>
      </c>
      <c r="T4043" s="4">
        <v>34.6</v>
      </c>
      <c r="U4043" s="4">
        <v>22.7</v>
      </c>
      <c r="V4043" s="4">
        <v>2.6</v>
      </c>
      <c r="W4043" s="4">
        <v>5.7</v>
      </c>
      <c r="X4043" s="4">
        <v>519.92999999999995</v>
      </c>
      <c r="Y4043" s="7" t="e">
        <f t="shared" ca="1" si="84"/>
        <v>#VALUE!</v>
      </c>
    </row>
    <row r="4044" spans="1:25" ht="15" x14ac:dyDescent="0.25">
      <c r="A4044" s="4">
        <v>4043</v>
      </c>
      <c r="C4044" s="41" t="s">
        <v>6412</v>
      </c>
      <c r="D4044" s="42"/>
      <c r="E4044" s="5" t="str">
        <f t="shared" si="80"/>
        <v>https://www.screener.in/company//consolidated/</v>
      </c>
      <c r="F4044" s="4">
        <v>443059</v>
      </c>
      <c r="G4044" s="4">
        <v>3832241897</v>
      </c>
      <c r="H4044" s="6" t="e">
        <f t="shared" ca="1" si="81"/>
        <v>#VALUE!</v>
      </c>
      <c r="I4044" s="7" t="str">
        <f ca="1">IFERROR(__xludf.DUMMYFUNCTION("IMPORTXML(E4044,""/html/body/main/div[3]/div[3]/div[2]/ul/li[5]/span[2]/span"")"),"Loading...")</f>
        <v>Loading...</v>
      </c>
      <c r="J4044" s="7" t="str">
        <f ca="1">IFERROR(__xludf.DUMMYFUNCTION("GOOGLEFINANCE(""NSE:""&amp;D4044,""marketcap"")"),"#N/A")</f>
        <v>#N/A</v>
      </c>
      <c r="K4044" s="7">
        <v>992.8</v>
      </c>
      <c r="L4044" s="8" t="str">
        <f ca="1">IFERROR(__xludf.DUMMYFUNCTION("GOOGLEFINANCE(""NSE:""&amp;D4044,""price"")"),"#N/A")</f>
        <v>#N/A</v>
      </c>
      <c r="M4044" s="9" t="e">
        <f t="shared" ca="1" si="82"/>
        <v>#VALUE!</v>
      </c>
      <c r="N4044" s="10" t="e">
        <f t="shared" ca="1" si="83"/>
        <v>#VALUE!</v>
      </c>
      <c r="O4044" s="7" t="str">
        <f ca="1">IFERROR(__xludf.DUMMYFUNCTION("GOOGLEFINANCE(""NSE:""&amp;D4044,""pe"")"),"#N/A")</f>
        <v>#N/A</v>
      </c>
      <c r="P4044" s="7" t="str">
        <f ca="1">IFERROR(__xludf.DUMMYFUNCTION("GOOGLEFINANCE(""NSE:""&amp;D4044,""EPS"")"),"#N/A")</f>
        <v>#N/A</v>
      </c>
      <c r="Q4044" s="7">
        <v>13.5</v>
      </c>
      <c r="R4044" s="7" t="str">
        <f ca="1">IFERROR(__xludf.DUMMYFUNCTION("IMPORTXML(E4044,""/html/body/main/div[3]/div[3]/div[2]/ul/li[7]/span[2]/span"")"),"Loading...")</f>
        <v>Loading...</v>
      </c>
      <c r="S4044" s="7" t="str">
        <f ca="1">IFERROR(__xludf.DUMMYFUNCTION("IMPORTXML(E4044,""/html/body/main/div[3]/div[3]/div[2]/ul/li[8]/span[2]/span"")"),"Loading...")</f>
        <v>Loading...</v>
      </c>
      <c r="T4044" s="4">
        <v>34.6</v>
      </c>
      <c r="U4044" s="4">
        <v>22.7</v>
      </c>
      <c r="V4044" s="4">
        <v>2.6</v>
      </c>
      <c r="W4044" s="4">
        <v>5.7</v>
      </c>
      <c r="X4044" s="4">
        <v>519.92999999999995</v>
      </c>
      <c r="Y4044" s="7" t="e">
        <f t="shared" ca="1" si="84"/>
        <v>#VALUE!</v>
      </c>
    </row>
    <row r="4045" spans="1:25" ht="15" x14ac:dyDescent="0.25">
      <c r="A4045" s="4">
        <v>4044</v>
      </c>
      <c r="C4045" s="41" t="s">
        <v>6413</v>
      </c>
      <c r="D4045" s="42"/>
      <c r="E4045" s="5" t="str">
        <f t="shared" si="80"/>
        <v>https://www.screener.in/company//consolidated/</v>
      </c>
      <c r="F4045" s="4">
        <v>443059</v>
      </c>
      <c r="G4045" s="4">
        <v>3832241897</v>
      </c>
      <c r="H4045" s="6" t="e">
        <f t="shared" ca="1" si="81"/>
        <v>#VALUE!</v>
      </c>
      <c r="I4045" s="7" t="str">
        <f ca="1">IFERROR(__xludf.DUMMYFUNCTION("IMPORTXML(E4045,""/html/body/main/div[3]/div[3]/div[2]/ul/li[5]/span[2]/span"")"),"Loading...")</f>
        <v>Loading...</v>
      </c>
      <c r="J4045" s="7" t="str">
        <f ca="1">IFERROR(__xludf.DUMMYFUNCTION("GOOGLEFINANCE(""NSE:""&amp;D4045,""marketcap"")"),"#N/A")</f>
        <v>#N/A</v>
      </c>
      <c r="K4045" s="7">
        <v>992.8</v>
      </c>
      <c r="L4045" s="8" t="str">
        <f ca="1">IFERROR(__xludf.DUMMYFUNCTION("GOOGLEFINANCE(""NSE:""&amp;D4045,""price"")"),"#N/A")</f>
        <v>#N/A</v>
      </c>
      <c r="M4045" s="9" t="e">
        <f t="shared" ca="1" si="82"/>
        <v>#VALUE!</v>
      </c>
      <c r="N4045" s="10" t="e">
        <f t="shared" ca="1" si="83"/>
        <v>#VALUE!</v>
      </c>
      <c r="O4045" s="7" t="str">
        <f ca="1">IFERROR(__xludf.DUMMYFUNCTION("GOOGLEFINANCE(""NSE:""&amp;D4045,""pe"")"),"#N/A")</f>
        <v>#N/A</v>
      </c>
      <c r="P4045" s="7" t="str">
        <f ca="1">IFERROR(__xludf.DUMMYFUNCTION("GOOGLEFINANCE(""NSE:""&amp;D4045,""EPS"")"),"#N/A")</f>
        <v>#N/A</v>
      </c>
      <c r="Q4045" s="7">
        <v>13.5</v>
      </c>
      <c r="R4045" s="7" t="str">
        <f ca="1">IFERROR(__xludf.DUMMYFUNCTION("IMPORTXML(E4045,""/html/body/main/div[3]/div[3]/div[2]/ul/li[7]/span[2]/span"")"),"Loading...")</f>
        <v>Loading...</v>
      </c>
      <c r="S4045" s="7" t="str">
        <f ca="1">IFERROR(__xludf.DUMMYFUNCTION("IMPORTXML(E4045,""/html/body/main/div[3]/div[3]/div[2]/ul/li[8]/span[2]/span"")"),"Loading...")</f>
        <v>Loading...</v>
      </c>
      <c r="T4045" s="4">
        <v>34.6</v>
      </c>
      <c r="U4045" s="4">
        <v>22.7</v>
      </c>
      <c r="V4045" s="4">
        <v>2.6</v>
      </c>
      <c r="W4045" s="4">
        <v>5.7</v>
      </c>
      <c r="X4045" s="4">
        <v>519.92999999999995</v>
      </c>
      <c r="Y4045" s="7" t="e">
        <f t="shared" ca="1" si="84"/>
        <v>#VALUE!</v>
      </c>
    </row>
    <row r="4046" spans="1:25" ht="15" x14ac:dyDescent="0.25">
      <c r="A4046" s="4">
        <v>4045</v>
      </c>
      <c r="C4046" s="41" t="s">
        <v>6414</v>
      </c>
      <c r="D4046" s="42"/>
      <c r="E4046" s="5" t="str">
        <f t="shared" si="80"/>
        <v>https://www.screener.in/company//consolidated/</v>
      </c>
      <c r="F4046" s="4">
        <v>443059</v>
      </c>
      <c r="G4046" s="4">
        <v>3832241897</v>
      </c>
      <c r="H4046" s="6" t="e">
        <f t="shared" ca="1" si="81"/>
        <v>#VALUE!</v>
      </c>
      <c r="I4046" s="7" t="str">
        <f ca="1">IFERROR(__xludf.DUMMYFUNCTION("IMPORTXML(E4046,""/html/body/main/div[3]/div[3]/div[2]/ul/li[5]/span[2]/span"")"),"Loading...")</f>
        <v>Loading...</v>
      </c>
      <c r="J4046" s="7" t="str">
        <f ca="1">IFERROR(__xludf.DUMMYFUNCTION("GOOGLEFINANCE(""NSE:""&amp;D4046,""marketcap"")"),"#N/A")</f>
        <v>#N/A</v>
      </c>
      <c r="K4046" s="7">
        <v>992.8</v>
      </c>
      <c r="L4046" s="8" t="str">
        <f ca="1">IFERROR(__xludf.DUMMYFUNCTION("GOOGLEFINANCE(""NSE:""&amp;D4046,""price"")"),"#N/A")</f>
        <v>#N/A</v>
      </c>
      <c r="M4046" s="9" t="e">
        <f t="shared" ca="1" si="82"/>
        <v>#VALUE!</v>
      </c>
      <c r="N4046" s="10" t="e">
        <f t="shared" ca="1" si="83"/>
        <v>#VALUE!</v>
      </c>
      <c r="O4046" s="7" t="str">
        <f ca="1">IFERROR(__xludf.DUMMYFUNCTION("GOOGLEFINANCE(""NSE:""&amp;D4046,""pe"")"),"#N/A")</f>
        <v>#N/A</v>
      </c>
      <c r="P4046" s="7" t="str">
        <f ca="1">IFERROR(__xludf.DUMMYFUNCTION("GOOGLEFINANCE(""NSE:""&amp;D4046,""EPS"")"),"#N/A")</f>
        <v>#N/A</v>
      </c>
      <c r="Q4046" s="7">
        <v>13.5</v>
      </c>
      <c r="R4046" s="7" t="str">
        <f ca="1">IFERROR(__xludf.DUMMYFUNCTION("IMPORTXML(E4046,""/html/body/main/div[3]/div[3]/div[2]/ul/li[7]/span[2]/span"")"),"Loading...")</f>
        <v>Loading...</v>
      </c>
      <c r="S4046" s="7" t="str">
        <f ca="1">IFERROR(__xludf.DUMMYFUNCTION("IMPORTXML(E4046,""/html/body/main/div[3]/div[3]/div[2]/ul/li[8]/span[2]/span"")"),"Loading...")</f>
        <v>Loading...</v>
      </c>
      <c r="T4046" s="4">
        <v>34.6</v>
      </c>
      <c r="U4046" s="4">
        <v>22.7</v>
      </c>
      <c r="V4046" s="4">
        <v>2.6</v>
      </c>
      <c r="W4046" s="4">
        <v>5.7</v>
      </c>
      <c r="X4046" s="4">
        <v>519.92999999999995</v>
      </c>
      <c r="Y4046" s="7" t="e">
        <f t="shared" ca="1" si="84"/>
        <v>#VALUE!</v>
      </c>
    </row>
    <row r="4047" spans="1:25" ht="15" x14ac:dyDescent="0.25">
      <c r="A4047" s="4">
        <v>4046</v>
      </c>
      <c r="C4047" s="41" t="s">
        <v>6415</v>
      </c>
      <c r="D4047" s="42"/>
      <c r="E4047" s="5" t="str">
        <f t="shared" si="80"/>
        <v>https://www.screener.in/company//consolidated/</v>
      </c>
      <c r="F4047" s="4">
        <v>443059</v>
      </c>
      <c r="G4047" s="4">
        <v>3832241897</v>
      </c>
      <c r="H4047" s="6" t="e">
        <f t="shared" ca="1" si="81"/>
        <v>#VALUE!</v>
      </c>
      <c r="I4047" s="7" t="str">
        <f ca="1">IFERROR(__xludf.DUMMYFUNCTION("IMPORTXML(E4047,""/html/body/main/div[3]/div[3]/div[2]/ul/li[5]/span[2]/span"")"),"Loading...")</f>
        <v>Loading...</v>
      </c>
      <c r="J4047" s="7" t="str">
        <f ca="1">IFERROR(__xludf.DUMMYFUNCTION("GOOGLEFINANCE(""NSE:""&amp;D4047,""marketcap"")"),"#N/A")</f>
        <v>#N/A</v>
      </c>
      <c r="K4047" s="7">
        <v>992.8</v>
      </c>
      <c r="L4047" s="8" t="str">
        <f ca="1">IFERROR(__xludf.DUMMYFUNCTION("GOOGLEFINANCE(""NSE:""&amp;D4047,""price"")"),"#N/A")</f>
        <v>#N/A</v>
      </c>
      <c r="M4047" s="9" t="e">
        <f t="shared" ca="1" si="82"/>
        <v>#VALUE!</v>
      </c>
      <c r="N4047" s="10" t="e">
        <f t="shared" ca="1" si="83"/>
        <v>#VALUE!</v>
      </c>
      <c r="O4047" s="7" t="str">
        <f ca="1">IFERROR(__xludf.DUMMYFUNCTION("GOOGLEFINANCE(""NSE:""&amp;D4047,""pe"")"),"#N/A")</f>
        <v>#N/A</v>
      </c>
      <c r="P4047" s="7" t="str">
        <f ca="1">IFERROR(__xludf.DUMMYFUNCTION("GOOGLEFINANCE(""NSE:""&amp;D4047,""EPS"")"),"#N/A")</f>
        <v>#N/A</v>
      </c>
      <c r="Q4047" s="7">
        <v>13.5</v>
      </c>
      <c r="R4047" s="7" t="str">
        <f ca="1">IFERROR(__xludf.DUMMYFUNCTION("IMPORTXML(E4047,""/html/body/main/div[3]/div[3]/div[2]/ul/li[7]/span[2]/span"")"),"Loading...")</f>
        <v>Loading...</v>
      </c>
      <c r="S4047" s="7" t="str">
        <f ca="1">IFERROR(__xludf.DUMMYFUNCTION("IMPORTXML(E4047,""/html/body/main/div[3]/div[3]/div[2]/ul/li[8]/span[2]/span"")"),"Loading...")</f>
        <v>Loading...</v>
      </c>
      <c r="T4047" s="4">
        <v>34.6</v>
      </c>
      <c r="U4047" s="4">
        <v>22.7</v>
      </c>
      <c r="V4047" s="4">
        <v>2.6</v>
      </c>
      <c r="W4047" s="4">
        <v>5.7</v>
      </c>
      <c r="X4047" s="4">
        <v>519.92999999999995</v>
      </c>
      <c r="Y4047" s="7" t="e">
        <f t="shared" ca="1" si="84"/>
        <v>#VALUE!</v>
      </c>
    </row>
    <row r="4048" spans="1:25" ht="15" x14ac:dyDescent="0.25">
      <c r="A4048" s="4">
        <v>4047</v>
      </c>
      <c r="C4048" s="41" t="s">
        <v>6416</v>
      </c>
      <c r="D4048" s="42"/>
      <c r="E4048" s="5" t="str">
        <f t="shared" si="80"/>
        <v>https://www.screener.in/company//consolidated/</v>
      </c>
      <c r="F4048" s="4">
        <v>443059</v>
      </c>
      <c r="G4048" s="4">
        <v>3832241897</v>
      </c>
      <c r="H4048" s="6" t="e">
        <f t="shared" ca="1" si="81"/>
        <v>#VALUE!</v>
      </c>
      <c r="I4048" s="7" t="str">
        <f ca="1">IFERROR(__xludf.DUMMYFUNCTION("IMPORTXML(E4048,""/html/body/main/div[3]/div[3]/div[2]/ul/li[5]/span[2]/span"")"),"Loading...")</f>
        <v>Loading...</v>
      </c>
      <c r="J4048" s="7" t="str">
        <f ca="1">IFERROR(__xludf.DUMMYFUNCTION("GOOGLEFINANCE(""NSE:""&amp;D4048,""marketcap"")"),"#N/A")</f>
        <v>#N/A</v>
      </c>
      <c r="K4048" s="7">
        <v>992.8</v>
      </c>
      <c r="L4048" s="8" t="str">
        <f ca="1">IFERROR(__xludf.DUMMYFUNCTION("GOOGLEFINANCE(""NSE:""&amp;D4048,""price"")"),"#N/A")</f>
        <v>#N/A</v>
      </c>
      <c r="M4048" s="9" t="e">
        <f t="shared" ca="1" si="82"/>
        <v>#VALUE!</v>
      </c>
      <c r="N4048" s="10" t="e">
        <f t="shared" ca="1" si="83"/>
        <v>#VALUE!</v>
      </c>
      <c r="O4048" s="7" t="str">
        <f ca="1">IFERROR(__xludf.DUMMYFUNCTION("GOOGLEFINANCE(""NSE:""&amp;D4048,""pe"")"),"#N/A")</f>
        <v>#N/A</v>
      </c>
      <c r="P4048" s="7" t="str">
        <f ca="1">IFERROR(__xludf.DUMMYFUNCTION("GOOGLEFINANCE(""NSE:""&amp;D4048,""EPS"")"),"#N/A")</f>
        <v>#N/A</v>
      </c>
      <c r="Q4048" s="7">
        <v>13.5</v>
      </c>
      <c r="R4048" s="7" t="str">
        <f ca="1">IFERROR(__xludf.DUMMYFUNCTION("IMPORTXML(E4048,""/html/body/main/div[3]/div[3]/div[2]/ul/li[7]/span[2]/span"")"),"Loading...")</f>
        <v>Loading...</v>
      </c>
      <c r="S4048" s="7" t="str">
        <f ca="1">IFERROR(__xludf.DUMMYFUNCTION("IMPORTXML(E4048,""/html/body/main/div[3]/div[3]/div[2]/ul/li[8]/span[2]/span"")"),"Loading...")</f>
        <v>Loading...</v>
      </c>
      <c r="T4048" s="4">
        <v>34.6</v>
      </c>
      <c r="U4048" s="4">
        <v>22.7</v>
      </c>
      <c r="V4048" s="4">
        <v>2.6</v>
      </c>
      <c r="W4048" s="4">
        <v>5.7</v>
      </c>
      <c r="X4048" s="4">
        <v>519.92999999999995</v>
      </c>
      <c r="Y4048" s="7" t="e">
        <f t="shared" ca="1" si="84"/>
        <v>#VALUE!</v>
      </c>
    </row>
    <row r="4049" spans="1:25" ht="15" x14ac:dyDescent="0.25">
      <c r="A4049" s="4">
        <v>4048</v>
      </c>
      <c r="C4049" s="41" t="s">
        <v>6417</v>
      </c>
      <c r="D4049" s="42"/>
      <c r="E4049" s="5" t="str">
        <f t="shared" si="80"/>
        <v>https://www.screener.in/company//consolidated/</v>
      </c>
      <c r="F4049" s="4">
        <v>443059</v>
      </c>
      <c r="G4049" s="4">
        <v>3832241897</v>
      </c>
      <c r="H4049" s="6" t="e">
        <f t="shared" ca="1" si="81"/>
        <v>#VALUE!</v>
      </c>
      <c r="I4049" s="7" t="str">
        <f ca="1">IFERROR(__xludf.DUMMYFUNCTION("IMPORTXML(E4049,""/html/body/main/div[3]/div[3]/div[2]/ul/li[5]/span[2]/span"")"),"Loading...")</f>
        <v>Loading...</v>
      </c>
      <c r="J4049" s="7" t="str">
        <f ca="1">IFERROR(__xludf.DUMMYFUNCTION("GOOGLEFINANCE(""NSE:""&amp;D4049,""marketcap"")"),"#N/A")</f>
        <v>#N/A</v>
      </c>
      <c r="K4049" s="7">
        <v>992.8</v>
      </c>
      <c r="L4049" s="8" t="str">
        <f ca="1">IFERROR(__xludf.DUMMYFUNCTION("GOOGLEFINANCE(""NSE:""&amp;D4049,""price"")"),"#N/A")</f>
        <v>#N/A</v>
      </c>
      <c r="M4049" s="9" t="e">
        <f t="shared" ca="1" si="82"/>
        <v>#VALUE!</v>
      </c>
      <c r="N4049" s="10" t="e">
        <f t="shared" ca="1" si="83"/>
        <v>#VALUE!</v>
      </c>
      <c r="O4049" s="7" t="str">
        <f ca="1">IFERROR(__xludf.DUMMYFUNCTION("GOOGLEFINANCE(""NSE:""&amp;D4049,""pe"")"),"#N/A")</f>
        <v>#N/A</v>
      </c>
      <c r="P4049" s="7" t="str">
        <f ca="1">IFERROR(__xludf.DUMMYFUNCTION("GOOGLEFINANCE(""NSE:""&amp;D4049,""EPS"")"),"#N/A")</f>
        <v>#N/A</v>
      </c>
      <c r="Q4049" s="7">
        <v>13.5</v>
      </c>
      <c r="R4049" s="7" t="str">
        <f ca="1">IFERROR(__xludf.DUMMYFUNCTION("IMPORTXML(E4049,""/html/body/main/div[3]/div[3]/div[2]/ul/li[7]/span[2]/span"")"),"Loading...")</f>
        <v>Loading...</v>
      </c>
      <c r="S4049" s="7" t="str">
        <f ca="1">IFERROR(__xludf.DUMMYFUNCTION("IMPORTXML(E4049,""/html/body/main/div[3]/div[3]/div[2]/ul/li[8]/span[2]/span"")"),"Loading...")</f>
        <v>Loading...</v>
      </c>
      <c r="T4049" s="4">
        <v>34.6</v>
      </c>
      <c r="U4049" s="4">
        <v>22.7</v>
      </c>
      <c r="V4049" s="4">
        <v>2.6</v>
      </c>
      <c r="W4049" s="4">
        <v>5.7</v>
      </c>
      <c r="X4049" s="4">
        <v>519.92999999999995</v>
      </c>
      <c r="Y4049" s="7" t="e">
        <f t="shared" ca="1" si="84"/>
        <v>#VALUE!</v>
      </c>
    </row>
    <row r="4050" spans="1:25" ht="15" x14ac:dyDescent="0.25">
      <c r="A4050" s="4">
        <v>4049</v>
      </c>
      <c r="C4050" s="41" t="s">
        <v>6418</v>
      </c>
      <c r="D4050" s="42"/>
      <c r="E4050" s="5" t="str">
        <f t="shared" si="80"/>
        <v>https://www.screener.in/company//consolidated/</v>
      </c>
      <c r="F4050" s="4">
        <v>443059</v>
      </c>
      <c r="G4050" s="4">
        <v>3832241897</v>
      </c>
      <c r="H4050" s="6" t="e">
        <f t="shared" ca="1" si="81"/>
        <v>#VALUE!</v>
      </c>
      <c r="I4050" s="7" t="str">
        <f ca="1">IFERROR(__xludf.DUMMYFUNCTION("IMPORTXML(E4050,""/html/body/main/div[3]/div[3]/div[2]/ul/li[5]/span[2]/span"")"),"Loading...")</f>
        <v>Loading...</v>
      </c>
      <c r="J4050" s="7" t="str">
        <f ca="1">IFERROR(__xludf.DUMMYFUNCTION("GOOGLEFINANCE(""NSE:""&amp;D4050,""marketcap"")"),"#N/A")</f>
        <v>#N/A</v>
      </c>
      <c r="K4050" s="7">
        <v>992.8</v>
      </c>
      <c r="L4050" s="8" t="str">
        <f ca="1">IFERROR(__xludf.DUMMYFUNCTION("GOOGLEFINANCE(""NSE:""&amp;D4050,""price"")"),"#N/A")</f>
        <v>#N/A</v>
      </c>
      <c r="M4050" s="9" t="e">
        <f t="shared" ca="1" si="82"/>
        <v>#VALUE!</v>
      </c>
      <c r="N4050" s="10" t="e">
        <f t="shared" ca="1" si="83"/>
        <v>#VALUE!</v>
      </c>
      <c r="O4050" s="7" t="str">
        <f ca="1">IFERROR(__xludf.DUMMYFUNCTION("GOOGLEFINANCE(""NSE:""&amp;D4050,""pe"")"),"#N/A")</f>
        <v>#N/A</v>
      </c>
      <c r="P4050" s="7" t="str">
        <f ca="1">IFERROR(__xludf.DUMMYFUNCTION("GOOGLEFINANCE(""NSE:""&amp;D4050,""EPS"")"),"#N/A")</f>
        <v>#N/A</v>
      </c>
      <c r="Q4050" s="7">
        <v>13.5</v>
      </c>
      <c r="R4050" s="7" t="str">
        <f ca="1">IFERROR(__xludf.DUMMYFUNCTION("IMPORTXML(E4050,""/html/body/main/div[3]/div[3]/div[2]/ul/li[7]/span[2]/span"")"),"Loading...")</f>
        <v>Loading...</v>
      </c>
      <c r="S4050" s="7" t="str">
        <f ca="1">IFERROR(__xludf.DUMMYFUNCTION("IMPORTXML(E4050,""/html/body/main/div[3]/div[3]/div[2]/ul/li[8]/span[2]/span"")"),"Loading...")</f>
        <v>Loading...</v>
      </c>
      <c r="T4050" s="4">
        <v>34.6</v>
      </c>
      <c r="U4050" s="4">
        <v>22.7</v>
      </c>
      <c r="V4050" s="4">
        <v>2.6</v>
      </c>
      <c r="W4050" s="4">
        <v>5.7</v>
      </c>
      <c r="X4050" s="4">
        <v>519.92999999999995</v>
      </c>
      <c r="Y4050" s="7" t="e">
        <f t="shared" ca="1" si="84"/>
        <v>#VALUE!</v>
      </c>
    </row>
    <row r="4051" spans="1:25" ht="15" x14ac:dyDescent="0.25">
      <c r="A4051" s="4">
        <v>4050</v>
      </c>
      <c r="C4051" s="41" t="s">
        <v>6419</v>
      </c>
      <c r="D4051" s="42"/>
      <c r="E4051" s="5" t="str">
        <f t="shared" si="80"/>
        <v>https://www.screener.in/company//consolidated/</v>
      </c>
      <c r="F4051" s="4">
        <v>443059</v>
      </c>
      <c r="G4051" s="4">
        <v>3832241897</v>
      </c>
      <c r="H4051" s="6" t="e">
        <f t="shared" ca="1" si="81"/>
        <v>#VALUE!</v>
      </c>
      <c r="I4051" s="7" t="str">
        <f ca="1">IFERROR(__xludf.DUMMYFUNCTION("IMPORTXML(E4051,""/html/body/main/div[3]/div[3]/div[2]/ul/li[5]/span[2]/span"")"),"Loading...")</f>
        <v>Loading...</v>
      </c>
      <c r="J4051" s="7" t="str">
        <f ca="1">IFERROR(__xludf.DUMMYFUNCTION("GOOGLEFINANCE(""NSE:""&amp;D4051,""marketcap"")"),"#N/A")</f>
        <v>#N/A</v>
      </c>
      <c r="K4051" s="7">
        <v>992.8</v>
      </c>
      <c r="L4051" s="8" t="str">
        <f ca="1">IFERROR(__xludf.DUMMYFUNCTION("GOOGLEFINANCE(""NSE:""&amp;D4051,""price"")"),"#N/A")</f>
        <v>#N/A</v>
      </c>
      <c r="M4051" s="9" t="e">
        <f t="shared" ca="1" si="82"/>
        <v>#VALUE!</v>
      </c>
      <c r="N4051" s="10" t="e">
        <f t="shared" ca="1" si="83"/>
        <v>#VALUE!</v>
      </c>
      <c r="O4051" s="7" t="str">
        <f ca="1">IFERROR(__xludf.DUMMYFUNCTION("GOOGLEFINANCE(""NSE:""&amp;D4051,""pe"")"),"#N/A")</f>
        <v>#N/A</v>
      </c>
      <c r="P4051" s="7" t="str">
        <f ca="1">IFERROR(__xludf.DUMMYFUNCTION("GOOGLEFINANCE(""NSE:""&amp;D4051,""EPS"")"),"#N/A")</f>
        <v>#N/A</v>
      </c>
      <c r="Q4051" s="7">
        <v>13.5</v>
      </c>
      <c r="R4051" s="7" t="str">
        <f ca="1">IFERROR(__xludf.DUMMYFUNCTION("IMPORTXML(E4051,""/html/body/main/div[3]/div[3]/div[2]/ul/li[7]/span[2]/span"")"),"Loading...")</f>
        <v>Loading...</v>
      </c>
      <c r="S4051" s="7" t="str">
        <f ca="1">IFERROR(__xludf.DUMMYFUNCTION("IMPORTXML(E4051,""/html/body/main/div[3]/div[3]/div[2]/ul/li[8]/span[2]/span"")"),"Loading...")</f>
        <v>Loading...</v>
      </c>
      <c r="T4051" s="4">
        <v>34.6</v>
      </c>
      <c r="U4051" s="4">
        <v>22.7</v>
      </c>
      <c r="V4051" s="4">
        <v>2.6</v>
      </c>
      <c r="W4051" s="4">
        <v>5.7</v>
      </c>
      <c r="X4051" s="4">
        <v>519.92999999999995</v>
      </c>
      <c r="Y4051" s="7" t="e">
        <f t="shared" ca="1" si="84"/>
        <v>#VALUE!</v>
      </c>
    </row>
    <row r="4052" spans="1:25" ht="15" x14ac:dyDescent="0.25">
      <c r="A4052" s="4">
        <v>4051</v>
      </c>
      <c r="C4052" s="41" t="s">
        <v>6420</v>
      </c>
      <c r="D4052" s="42"/>
      <c r="E4052" s="5" t="str">
        <f t="shared" si="80"/>
        <v>https://www.screener.in/company//consolidated/</v>
      </c>
      <c r="F4052" s="4">
        <v>443059</v>
      </c>
      <c r="G4052" s="4">
        <v>3832241897</v>
      </c>
      <c r="H4052" s="6" t="e">
        <f t="shared" ca="1" si="81"/>
        <v>#VALUE!</v>
      </c>
      <c r="I4052" s="7" t="str">
        <f ca="1">IFERROR(__xludf.DUMMYFUNCTION("IMPORTXML(E4052,""/html/body/main/div[3]/div[3]/div[2]/ul/li[5]/span[2]/span"")"),"Loading...")</f>
        <v>Loading...</v>
      </c>
      <c r="J4052" s="7" t="str">
        <f ca="1">IFERROR(__xludf.DUMMYFUNCTION("GOOGLEFINANCE(""NSE:""&amp;D4052,""marketcap"")"),"#N/A")</f>
        <v>#N/A</v>
      </c>
      <c r="K4052" s="7">
        <v>992.8</v>
      </c>
      <c r="L4052" s="8" t="str">
        <f ca="1">IFERROR(__xludf.DUMMYFUNCTION("GOOGLEFINANCE(""NSE:""&amp;D4052,""price"")"),"#N/A")</f>
        <v>#N/A</v>
      </c>
      <c r="M4052" s="9" t="e">
        <f t="shared" ca="1" si="82"/>
        <v>#VALUE!</v>
      </c>
      <c r="N4052" s="10" t="e">
        <f t="shared" ca="1" si="83"/>
        <v>#VALUE!</v>
      </c>
      <c r="O4052" s="7" t="str">
        <f ca="1">IFERROR(__xludf.DUMMYFUNCTION("GOOGLEFINANCE(""NSE:""&amp;D4052,""pe"")"),"#N/A")</f>
        <v>#N/A</v>
      </c>
      <c r="P4052" s="7" t="str">
        <f ca="1">IFERROR(__xludf.DUMMYFUNCTION("GOOGLEFINANCE(""NSE:""&amp;D4052,""EPS"")"),"#N/A")</f>
        <v>#N/A</v>
      </c>
      <c r="Q4052" s="7">
        <v>13.5</v>
      </c>
      <c r="R4052" s="7" t="str">
        <f ca="1">IFERROR(__xludf.DUMMYFUNCTION("IMPORTXML(E4052,""/html/body/main/div[3]/div[3]/div[2]/ul/li[7]/span[2]/span"")"),"Loading...")</f>
        <v>Loading...</v>
      </c>
      <c r="S4052" s="7" t="str">
        <f ca="1">IFERROR(__xludf.DUMMYFUNCTION("IMPORTXML(E4052,""/html/body/main/div[3]/div[3]/div[2]/ul/li[8]/span[2]/span"")"),"Loading...")</f>
        <v>Loading...</v>
      </c>
      <c r="T4052" s="4">
        <v>34.6</v>
      </c>
      <c r="U4052" s="4">
        <v>22.7</v>
      </c>
      <c r="V4052" s="4">
        <v>2.6</v>
      </c>
      <c r="W4052" s="4">
        <v>5.7</v>
      </c>
      <c r="X4052" s="4">
        <v>519.92999999999995</v>
      </c>
      <c r="Y4052" s="7" t="e">
        <f t="shared" ca="1" si="84"/>
        <v>#VALUE!</v>
      </c>
    </row>
    <row r="4053" spans="1:25" ht="15" x14ac:dyDescent="0.25">
      <c r="A4053" s="4">
        <v>4052</v>
      </c>
      <c r="C4053" s="41" t="s">
        <v>6421</v>
      </c>
      <c r="D4053" s="42"/>
      <c r="E4053" s="5" t="str">
        <f t="shared" si="80"/>
        <v>https://www.screener.in/company//consolidated/</v>
      </c>
      <c r="F4053" s="4">
        <v>443059</v>
      </c>
      <c r="G4053" s="4">
        <v>3832241897</v>
      </c>
      <c r="H4053" s="6" t="e">
        <f t="shared" ca="1" si="81"/>
        <v>#VALUE!</v>
      </c>
      <c r="I4053" s="7" t="str">
        <f ca="1">IFERROR(__xludf.DUMMYFUNCTION("IMPORTXML(E4053,""/html/body/main/div[3]/div[3]/div[2]/ul/li[5]/span[2]/span"")"),"Loading...")</f>
        <v>Loading...</v>
      </c>
      <c r="J4053" s="7" t="str">
        <f ca="1">IFERROR(__xludf.DUMMYFUNCTION("GOOGLEFINANCE(""NSE:""&amp;D4053,""marketcap"")"),"#N/A")</f>
        <v>#N/A</v>
      </c>
      <c r="K4053" s="7">
        <v>992.8</v>
      </c>
      <c r="L4053" s="8" t="str">
        <f ca="1">IFERROR(__xludf.DUMMYFUNCTION("GOOGLEFINANCE(""NSE:""&amp;D4053,""price"")"),"#N/A")</f>
        <v>#N/A</v>
      </c>
      <c r="M4053" s="9" t="e">
        <f t="shared" ca="1" si="82"/>
        <v>#VALUE!</v>
      </c>
      <c r="N4053" s="10" t="e">
        <f t="shared" ca="1" si="83"/>
        <v>#VALUE!</v>
      </c>
      <c r="O4053" s="7" t="str">
        <f ca="1">IFERROR(__xludf.DUMMYFUNCTION("GOOGLEFINANCE(""NSE:""&amp;D4053,""pe"")"),"#N/A")</f>
        <v>#N/A</v>
      </c>
      <c r="P4053" s="7" t="str">
        <f ca="1">IFERROR(__xludf.DUMMYFUNCTION("GOOGLEFINANCE(""NSE:""&amp;D4053,""EPS"")"),"#N/A")</f>
        <v>#N/A</v>
      </c>
      <c r="Q4053" s="7">
        <v>13.5</v>
      </c>
      <c r="R4053" s="7" t="str">
        <f ca="1">IFERROR(__xludf.DUMMYFUNCTION("IMPORTXML(E4053,""/html/body/main/div[3]/div[3]/div[2]/ul/li[7]/span[2]/span"")"),"Loading...")</f>
        <v>Loading...</v>
      </c>
      <c r="S4053" s="7" t="str">
        <f ca="1">IFERROR(__xludf.DUMMYFUNCTION("IMPORTXML(E4053,""/html/body/main/div[3]/div[3]/div[2]/ul/li[8]/span[2]/span"")"),"Loading...")</f>
        <v>Loading...</v>
      </c>
      <c r="T4053" s="4">
        <v>34.6</v>
      </c>
      <c r="U4053" s="4">
        <v>22.7</v>
      </c>
      <c r="V4053" s="4">
        <v>2.6</v>
      </c>
      <c r="W4053" s="4">
        <v>5.7</v>
      </c>
      <c r="X4053" s="4">
        <v>519.92999999999995</v>
      </c>
      <c r="Y4053" s="7" t="e">
        <f t="shared" ca="1" si="84"/>
        <v>#VALUE!</v>
      </c>
    </row>
    <row r="4054" spans="1:25" ht="15" x14ac:dyDescent="0.25">
      <c r="A4054" s="4">
        <v>4053</v>
      </c>
      <c r="C4054" s="41" t="s">
        <v>6422</v>
      </c>
      <c r="D4054" s="42"/>
      <c r="E4054" s="5" t="str">
        <f t="shared" si="80"/>
        <v>https://www.screener.in/company//consolidated/</v>
      </c>
      <c r="F4054" s="4">
        <v>443059</v>
      </c>
      <c r="G4054" s="4">
        <v>3832241897</v>
      </c>
      <c r="H4054" s="6" t="e">
        <f t="shared" ca="1" si="81"/>
        <v>#VALUE!</v>
      </c>
      <c r="I4054" s="7" t="str">
        <f ca="1">IFERROR(__xludf.DUMMYFUNCTION("IMPORTXML(E4054,""/html/body/main/div[3]/div[3]/div[2]/ul/li[5]/span[2]/span"")"),"Loading...")</f>
        <v>Loading...</v>
      </c>
      <c r="J4054" s="7" t="str">
        <f ca="1">IFERROR(__xludf.DUMMYFUNCTION("GOOGLEFINANCE(""NSE:""&amp;D4054,""marketcap"")"),"#N/A")</f>
        <v>#N/A</v>
      </c>
      <c r="K4054" s="7">
        <v>992.8</v>
      </c>
      <c r="L4054" s="8" t="str">
        <f ca="1">IFERROR(__xludf.DUMMYFUNCTION("GOOGLEFINANCE(""NSE:""&amp;D4054,""price"")"),"#N/A")</f>
        <v>#N/A</v>
      </c>
      <c r="M4054" s="9" t="e">
        <f t="shared" ca="1" si="82"/>
        <v>#VALUE!</v>
      </c>
      <c r="N4054" s="10" t="e">
        <f t="shared" ca="1" si="83"/>
        <v>#VALUE!</v>
      </c>
      <c r="O4054" s="7" t="str">
        <f ca="1">IFERROR(__xludf.DUMMYFUNCTION("GOOGLEFINANCE(""NSE:""&amp;D4054,""pe"")"),"#N/A")</f>
        <v>#N/A</v>
      </c>
      <c r="P4054" s="7" t="str">
        <f ca="1">IFERROR(__xludf.DUMMYFUNCTION("GOOGLEFINANCE(""NSE:""&amp;D4054,""EPS"")"),"#N/A")</f>
        <v>#N/A</v>
      </c>
      <c r="Q4054" s="7">
        <v>13.5</v>
      </c>
      <c r="R4054" s="7" t="str">
        <f ca="1">IFERROR(__xludf.DUMMYFUNCTION("IMPORTXML(E4054,""/html/body/main/div[3]/div[3]/div[2]/ul/li[7]/span[2]/span"")"),"Loading...")</f>
        <v>Loading...</v>
      </c>
      <c r="S4054" s="7" t="str">
        <f ca="1">IFERROR(__xludf.DUMMYFUNCTION("IMPORTXML(E4054,""/html/body/main/div[3]/div[3]/div[2]/ul/li[8]/span[2]/span"")"),"Loading...")</f>
        <v>Loading...</v>
      </c>
      <c r="T4054" s="4">
        <v>34.6</v>
      </c>
      <c r="U4054" s="4">
        <v>22.7</v>
      </c>
      <c r="V4054" s="4">
        <v>2.6</v>
      </c>
      <c r="W4054" s="4">
        <v>5.7</v>
      </c>
      <c r="X4054" s="4">
        <v>519.92999999999995</v>
      </c>
      <c r="Y4054" s="7" t="e">
        <f t="shared" ca="1" si="84"/>
        <v>#VALUE!</v>
      </c>
    </row>
    <row r="4055" spans="1:25" ht="15" x14ac:dyDescent="0.25">
      <c r="A4055" s="4">
        <v>4054</v>
      </c>
      <c r="C4055" s="41" t="s">
        <v>6423</v>
      </c>
      <c r="D4055" s="42"/>
      <c r="E4055" s="5" t="str">
        <f t="shared" si="80"/>
        <v>https://www.screener.in/company//consolidated/</v>
      </c>
      <c r="F4055" s="4">
        <v>443059</v>
      </c>
      <c r="G4055" s="4">
        <v>3832241897</v>
      </c>
      <c r="H4055" s="6" t="e">
        <f t="shared" ca="1" si="81"/>
        <v>#VALUE!</v>
      </c>
      <c r="I4055" s="7" t="str">
        <f ca="1">IFERROR(__xludf.DUMMYFUNCTION("IMPORTXML(E4055,""/html/body/main/div[3]/div[3]/div[2]/ul/li[5]/span[2]/span"")"),"Loading...")</f>
        <v>Loading...</v>
      </c>
      <c r="J4055" s="7" t="str">
        <f ca="1">IFERROR(__xludf.DUMMYFUNCTION("GOOGLEFINANCE(""NSE:""&amp;D4055,""marketcap"")"),"#N/A")</f>
        <v>#N/A</v>
      </c>
      <c r="K4055" s="7">
        <v>992.8</v>
      </c>
      <c r="L4055" s="8" t="str">
        <f ca="1">IFERROR(__xludf.DUMMYFUNCTION("GOOGLEFINANCE(""NSE:""&amp;D4055,""price"")"),"#N/A")</f>
        <v>#N/A</v>
      </c>
      <c r="M4055" s="9" t="e">
        <f t="shared" ca="1" si="82"/>
        <v>#VALUE!</v>
      </c>
      <c r="N4055" s="10" t="e">
        <f t="shared" ca="1" si="83"/>
        <v>#VALUE!</v>
      </c>
      <c r="O4055" s="7" t="str">
        <f ca="1">IFERROR(__xludf.DUMMYFUNCTION("GOOGLEFINANCE(""NSE:""&amp;D4055,""pe"")"),"#N/A")</f>
        <v>#N/A</v>
      </c>
      <c r="P4055" s="7" t="str">
        <f ca="1">IFERROR(__xludf.DUMMYFUNCTION("GOOGLEFINANCE(""NSE:""&amp;D4055,""EPS"")"),"#N/A")</f>
        <v>#N/A</v>
      </c>
      <c r="Q4055" s="7">
        <v>13.5</v>
      </c>
      <c r="R4055" s="7" t="str">
        <f ca="1">IFERROR(__xludf.DUMMYFUNCTION("IMPORTXML(E4055,""/html/body/main/div[3]/div[3]/div[2]/ul/li[7]/span[2]/span"")"),"Loading...")</f>
        <v>Loading...</v>
      </c>
      <c r="S4055" s="7" t="str">
        <f ca="1">IFERROR(__xludf.DUMMYFUNCTION("IMPORTXML(E4055,""/html/body/main/div[3]/div[3]/div[2]/ul/li[8]/span[2]/span"")"),"Loading...")</f>
        <v>Loading...</v>
      </c>
      <c r="T4055" s="4">
        <v>34.6</v>
      </c>
      <c r="U4055" s="4">
        <v>22.7</v>
      </c>
      <c r="V4055" s="4">
        <v>2.6</v>
      </c>
      <c r="W4055" s="4">
        <v>5.7</v>
      </c>
      <c r="X4055" s="4">
        <v>519.92999999999995</v>
      </c>
      <c r="Y4055" s="7" t="e">
        <f t="shared" ca="1" si="84"/>
        <v>#VALUE!</v>
      </c>
    </row>
    <row r="4056" spans="1:25" ht="15" x14ac:dyDescent="0.25">
      <c r="A4056" s="4">
        <v>4055</v>
      </c>
      <c r="C4056" s="41" t="s">
        <v>6424</v>
      </c>
      <c r="D4056" s="42"/>
      <c r="E4056" s="5" t="str">
        <f t="shared" si="80"/>
        <v>https://www.screener.in/company//consolidated/</v>
      </c>
      <c r="F4056" s="4">
        <v>443059</v>
      </c>
      <c r="G4056" s="4">
        <v>3832241897</v>
      </c>
      <c r="H4056" s="6" t="e">
        <f t="shared" ca="1" si="81"/>
        <v>#VALUE!</v>
      </c>
      <c r="I4056" s="7" t="str">
        <f ca="1">IFERROR(__xludf.DUMMYFUNCTION("IMPORTXML(E4056,""/html/body/main/div[3]/div[3]/div[2]/ul/li[5]/span[2]/span"")"),"Loading...")</f>
        <v>Loading...</v>
      </c>
      <c r="J4056" s="7" t="str">
        <f ca="1">IFERROR(__xludf.DUMMYFUNCTION("GOOGLEFINANCE(""NSE:""&amp;D4056,""marketcap"")"),"#N/A")</f>
        <v>#N/A</v>
      </c>
      <c r="K4056" s="7">
        <v>992.8</v>
      </c>
      <c r="L4056" s="8" t="str">
        <f ca="1">IFERROR(__xludf.DUMMYFUNCTION("GOOGLEFINANCE(""NSE:""&amp;D4056,""price"")"),"#N/A")</f>
        <v>#N/A</v>
      </c>
      <c r="M4056" s="9" t="e">
        <f t="shared" ca="1" si="82"/>
        <v>#VALUE!</v>
      </c>
      <c r="N4056" s="10" t="e">
        <f t="shared" ca="1" si="83"/>
        <v>#VALUE!</v>
      </c>
      <c r="O4056" s="7" t="str">
        <f ca="1">IFERROR(__xludf.DUMMYFUNCTION("GOOGLEFINANCE(""NSE:""&amp;D4056,""pe"")"),"#N/A")</f>
        <v>#N/A</v>
      </c>
      <c r="P4056" s="7" t="str">
        <f ca="1">IFERROR(__xludf.DUMMYFUNCTION("GOOGLEFINANCE(""NSE:""&amp;D4056,""EPS"")"),"#N/A")</f>
        <v>#N/A</v>
      </c>
      <c r="Q4056" s="7">
        <v>13.5</v>
      </c>
      <c r="R4056" s="7" t="str">
        <f ca="1">IFERROR(__xludf.DUMMYFUNCTION("IMPORTXML(E4056,""/html/body/main/div[3]/div[3]/div[2]/ul/li[7]/span[2]/span"")"),"Loading...")</f>
        <v>Loading...</v>
      </c>
      <c r="S4056" s="7" t="str">
        <f ca="1">IFERROR(__xludf.DUMMYFUNCTION("IMPORTXML(E4056,""/html/body/main/div[3]/div[3]/div[2]/ul/li[8]/span[2]/span"")"),"Loading...")</f>
        <v>Loading...</v>
      </c>
      <c r="T4056" s="4">
        <v>34.6</v>
      </c>
      <c r="U4056" s="4">
        <v>22.7</v>
      </c>
      <c r="V4056" s="4">
        <v>2.6</v>
      </c>
      <c r="W4056" s="4">
        <v>5.7</v>
      </c>
      <c r="X4056" s="4">
        <v>519.92999999999995</v>
      </c>
      <c r="Y4056" s="7" t="e">
        <f t="shared" ca="1" si="84"/>
        <v>#VALUE!</v>
      </c>
    </row>
    <row r="4057" spans="1:25" ht="15" x14ac:dyDescent="0.25">
      <c r="A4057" s="4">
        <v>4056</v>
      </c>
      <c r="C4057" s="41" t="s">
        <v>6425</v>
      </c>
      <c r="D4057" s="42"/>
      <c r="E4057" s="5" t="str">
        <f t="shared" si="80"/>
        <v>https://www.screener.in/company//consolidated/</v>
      </c>
      <c r="F4057" s="4">
        <v>443059</v>
      </c>
      <c r="G4057" s="4">
        <v>3832241897</v>
      </c>
      <c r="H4057" s="6" t="e">
        <f t="shared" ca="1" si="81"/>
        <v>#VALUE!</v>
      </c>
      <c r="I4057" s="7" t="str">
        <f ca="1">IFERROR(__xludf.DUMMYFUNCTION("IMPORTXML(E4057,""/html/body/main/div[3]/div[3]/div[2]/ul/li[5]/span[2]/span"")"),"Loading...")</f>
        <v>Loading...</v>
      </c>
      <c r="J4057" s="7" t="str">
        <f ca="1">IFERROR(__xludf.DUMMYFUNCTION("GOOGLEFINANCE(""NSE:""&amp;D4057,""marketcap"")"),"#N/A")</f>
        <v>#N/A</v>
      </c>
      <c r="K4057" s="7">
        <v>992.8</v>
      </c>
      <c r="L4057" s="8" t="str">
        <f ca="1">IFERROR(__xludf.DUMMYFUNCTION("GOOGLEFINANCE(""NSE:""&amp;D4057,""price"")"),"#N/A")</f>
        <v>#N/A</v>
      </c>
      <c r="M4057" s="9" t="e">
        <f t="shared" ca="1" si="82"/>
        <v>#VALUE!</v>
      </c>
      <c r="N4057" s="10" t="e">
        <f t="shared" ca="1" si="83"/>
        <v>#VALUE!</v>
      </c>
      <c r="O4057" s="7" t="str">
        <f ca="1">IFERROR(__xludf.DUMMYFUNCTION("GOOGLEFINANCE(""NSE:""&amp;D4057,""pe"")"),"#N/A")</f>
        <v>#N/A</v>
      </c>
      <c r="P4057" s="7" t="str">
        <f ca="1">IFERROR(__xludf.DUMMYFUNCTION("GOOGLEFINANCE(""NSE:""&amp;D4057,""EPS"")"),"#N/A")</f>
        <v>#N/A</v>
      </c>
      <c r="Q4057" s="7">
        <v>13.5</v>
      </c>
      <c r="R4057" s="7" t="str">
        <f ca="1">IFERROR(__xludf.DUMMYFUNCTION("IMPORTXML(E4057,""/html/body/main/div[3]/div[3]/div[2]/ul/li[7]/span[2]/span"")"),"Loading...")</f>
        <v>Loading...</v>
      </c>
      <c r="S4057" s="7" t="str">
        <f ca="1">IFERROR(__xludf.DUMMYFUNCTION("IMPORTXML(E4057,""/html/body/main/div[3]/div[3]/div[2]/ul/li[8]/span[2]/span"")"),"Loading...")</f>
        <v>Loading...</v>
      </c>
      <c r="T4057" s="4">
        <v>34.6</v>
      </c>
      <c r="U4057" s="4">
        <v>22.7</v>
      </c>
      <c r="V4057" s="4">
        <v>2.6</v>
      </c>
      <c r="W4057" s="4">
        <v>5.7</v>
      </c>
      <c r="X4057" s="4">
        <v>519.92999999999995</v>
      </c>
      <c r="Y4057" s="7" t="e">
        <f t="shared" ca="1" si="84"/>
        <v>#VALUE!</v>
      </c>
    </row>
    <row r="4058" spans="1:25" ht="15" x14ac:dyDescent="0.25">
      <c r="A4058" s="4">
        <v>4057</v>
      </c>
      <c r="C4058" s="41" t="s">
        <v>6426</v>
      </c>
      <c r="D4058" s="42"/>
      <c r="E4058" s="5" t="str">
        <f t="shared" si="80"/>
        <v>https://www.screener.in/company//consolidated/</v>
      </c>
      <c r="F4058" s="4">
        <v>443059</v>
      </c>
      <c r="G4058" s="4">
        <v>3832241897</v>
      </c>
      <c r="H4058" s="6" t="e">
        <f t="shared" ca="1" si="81"/>
        <v>#VALUE!</v>
      </c>
      <c r="I4058" s="7" t="str">
        <f ca="1">IFERROR(__xludf.DUMMYFUNCTION("IMPORTXML(E4058,""/html/body/main/div[3]/div[3]/div[2]/ul/li[5]/span[2]/span"")"),"Loading...")</f>
        <v>Loading...</v>
      </c>
      <c r="J4058" s="7" t="str">
        <f ca="1">IFERROR(__xludf.DUMMYFUNCTION("GOOGLEFINANCE(""NSE:""&amp;D4058,""marketcap"")"),"#N/A")</f>
        <v>#N/A</v>
      </c>
      <c r="K4058" s="7">
        <v>992.8</v>
      </c>
      <c r="L4058" s="8" t="str">
        <f ca="1">IFERROR(__xludf.DUMMYFUNCTION("GOOGLEFINANCE(""NSE:""&amp;D4058,""price"")"),"#N/A")</f>
        <v>#N/A</v>
      </c>
      <c r="M4058" s="9" t="e">
        <f t="shared" ca="1" si="82"/>
        <v>#VALUE!</v>
      </c>
      <c r="N4058" s="10" t="e">
        <f t="shared" ca="1" si="83"/>
        <v>#VALUE!</v>
      </c>
      <c r="O4058" s="7" t="str">
        <f ca="1">IFERROR(__xludf.DUMMYFUNCTION("GOOGLEFINANCE(""NSE:""&amp;D4058,""pe"")"),"#N/A")</f>
        <v>#N/A</v>
      </c>
      <c r="P4058" s="7" t="str">
        <f ca="1">IFERROR(__xludf.DUMMYFUNCTION("GOOGLEFINANCE(""NSE:""&amp;D4058,""EPS"")"),"#N/A")</f>
        <v>#N/A</v>
      </c>
      <c r="Q4058" s="7">
        <v>13.5</v>
      </c>
      <c r="R4058" s="7" t="str">
        <f ca="1">IFERROR(__xludf.DUMMYFUNCTION("IMPORTXML(E4058,""/html/body/main/div[3]/div[3]/div[2]/ul/li[7]/span[2]/span"")"),"Loading...")</f>
        <v>Loading...</v>
      </c>
      <c r="S4058" s="7" t="str">
        <f ca="1">IFERROR(__xludf.DUMMYFUNCTION("IMPORTXML(E4058,""/html/body/main/div[3]/div[3]/div[2]/ul/li[8]/span[2]/span"")"),"Loading...")</f>
        <v>Loading...</v>
      </c>
      <c r="T4058" s="4">
        <v>34.6</v>
      </c>
      <c r="U4058" s="4">
        <v>22.7</v>
      </c>
      <c r="V4058" s="4">
        <v>2.6</v>
      </c>
      <c r="W4058" s="4">
        <v>5.7</v>
      </c>
      <c r="X4058" s="4">
        <v>519.92999999999995</v>
      </c>
      <c r="Y4058" s="7" t="e">
        <f t="shared" ca="1" si="84"/>
        <v>#VALUE!</v>
      </c>
    </row>
    <row r="4059" spans="1:25" ht="15" x14ac:dyDescent="0.25">
      <c r="A4059" s="4">
        <v>4058</v>
      </c>
      <c r="C4059" s="41" t="s">
        <v>6427</v>
      </c>
      <c r="D4059" s="42"/>
      <c r="E4059" s="5" t="str">
        <f t="shared" si="80"/>
        <v>https://www.screener.in/company//consolidated/</v>
      </c>
      <c r="F4059" s="4">
        <v>443059</v>
      </c>
      <c r="G4059" s="4">
        <v>3832241897</v>
      </c>
      <c r="H4059" s="6" t="e">
        <f t="shared" ca="1" si="81"/>
        <v>#VALUE!</v>
      </c>
      <c r="I4059" s="7" t="str">
        <f ca="1">IFERROR(__xludf.DUMMYFUNCTION("IMPORTXML(E4059,""/html/body/main/div[3]/div[3]/div[2]/ul/li[5]/span[2]/span"")"),"Loading...")</f>
        <v>Loading...</v>
      </c>
      <c r="J4059" s="7" t="str">
        <f ca="1">IFERROR(__xludf.DUMMYFUNCTION("GOOGLEFINANCE(""NSE:""&amp;D4059,""marketcap"")"),"#N/A")</f>
        <v>#N/A</v>
      </c>
      <c r="K4059" s="7">
        <v>992.8</v>
      </c>
      <c r="L4059" s="8" t="str">
        <f ca="1">IFERROR(__xludf.DUMMYFUNCTION("GOOGLEFINANCE(""NSE:""&amp;D4059,""price"")"),"#N/A")</f>
        <v>#N/A</v>
      </c>
      <c r="M4059" s="9" t="e">
        <f t="shared" ca="1" si="82"/>
        <v>#VALUE!</v>
      </c>
      <c r="N4059" s="10" t="e">
        <f t="shared" ca="1" si="83"/>
        <v>#VALUE!</v>
      </c>
      <c r="O4059" s="7" t="str">
        <f ca="1">IFERROR(__xludf.DUMMYFUNCTION("GOOGLEFINANCE(""NSE:""&amp;D4059,""pe"")"),"#N/A")</f>
        <v>#N/A</v>
      </c>
      <c r="P4059" s="7" t="str">
        <f ca="1">IFERROR(__xludf.DUMMYFUNCTION("GOOGLEFINANCE(""NSE:""&amp;D4059,""EPS"")"),"#N/A")</f>
        <v>#N/A</v>
      </c>
      <c r="Q4059" s="7">
        <v>13.5</v>
      </c>
      <c r="R4059" s="7" t="str">
        <f ca="1">IFERROR(__xludf.DUMMYFUNCTION("IMPORTXML(E4059,""/html/body/main/div[3]/div[3]/div[2]/ul/li[7]/span[2]/span"")"),"Loading...")</f>
        <v>Loading...</v>
      </c>
      <c r="S4059" s="7" t="str">
        <f ca="1">IFERROR(__xludf.DUMMYFUNCTION("IMPORTXML(E4059,""/html/body/main/div[3]/div[3]/div[2]/ul/li[8]/span[2]/span"")"),"Loading...")</f>
        <v>Loading...</v>
      </c>
      <c r="T4059" s="4">
        <v>34.6</v>
      </c>
      <c r="U4059" s="4">
        <v>22.7</v>
      </c>
      <c r="V4059" s="4">
        <v>2.6</v>
      </c>
      <c r="W4059" s="4">
        <v>5.7</v>
      </c>
      <c r="X4059" s="4">
        <v>519.92999999999995</v>
      </c>
      <c r="Y4059" s="7" t="e">
        <f t="shared" ca="1" si="84"/>
        <v>#VALUE!</v>
      </c>
    </row>
    <row r="4060" spans="1:25" ht="15" x14ac:dyDescent="0.25">
      <c r="A4060" s="4">
        <v>4059</v>
      </c>
      <c r="C4060" s="41" t="s">
        <v>6428</v>
      </c>
      <c r="D4060" s="42"/>
      <c r="E4060" s="5" t="str">
        <f t="shared" si="80"/>
        <v>https://www.screener.in/company//consolidated/</v>
      </c>
      <c r="F4060" s="4">
        <v>443059</v>
      </c>
      <c r="G4060" s="4">
        <v>3832241897</v>
      </c>
      <c r="H4060" s="6" t="e">
        <f t="shared" ca="1" si="81"/>
        <v>#VALUE!</v>
      </c>
      <c r="I4060" s="7" t="str">
        <f ca="1">IFERROR(__xludf.DUMMYFUNCTION("IMPORTXML(E4060,""/html/body/main/div[3]/div[3]/div[2]/ul/li[5]/span[2]/span"")"),"Loading...")</f>
        <v>Loading...</v>
      </c>
      <c r="J4060" s="7" t="str">
        <f ca="1">IFERROR(__xludf.DUMMYFUNCTION("GOOGLEFINANCE(""NSE:""&amp;D4060,""marketcap"")"),"#N/A")</f>
        <v>#N/A</v>
      </c>
      <c r="K4060" s="7">
        <v>992.8</v>
      </c>
      <c r="L4060" s="8" t="str">
        <f ca="1">IFERROR(__xludf.DUMMYFUNCTION("GOOGLEFINANCE(""NSE:""&amp;D4060,""price"")"),"#N/A")</f>
        <v>#N/A</v>
      </c>
      <c r="M4060" s="9" t="e">
        <f t="shared" ca="1" si="82"/>
        <v>#VALUE!</v>
      </c>
      <c r="N4060" s="10" t="e">
        <f t="shared" ca="1" si="83"/>
        <v>#VALUE!</v>
      </c>
      <c r="O4060" s="7" t="str">
        <f ca="1">IFERROR(__xludf.DUMMYFUNCTION("GOOGLEFINANCE(""NSE:""&amp;D4060,""pe"")"),"#N/A")</f>
        <v>#N/A</v>
      </c>
      <c r="P4060" s="7" t="str">
        <f ca="1">IFERROR(__xludf.DUMMYFUNCTION("GOOGLEFINANCE(""NSE:""&amp;D4060,""EPS"")"),"#N/A")</f>
        <v>#N/A</v>
      </c>
      <c r="Q4060" s="7">
        <v>13.5</v>
      </c>
      <c r="R4060" s="7" t="str">
        <f ca="1">IFERROR(__xludf.DUMMYFUNCTION("IMPORTXML(E4060,""/html/body/main/div[3]/div[3]/div[2]/ul/li[7]/span[2]/span"")"),"Loading...")</f>
        <v>Loading...</v>
      </c>
      <c r="S4060" s="7" t="str">
        <f ca="1">IFERROR(__xludf.DUMMYFUNCTION("IMPORTXML(E4060,""/html/body/main/div[3]/div[3]/div[2]/ul/li[8]/span[2]/span"")"),"Loading...")</f>
        <v>Loading...</v>
      </c>
      <c r="T4060" s="4">
        <v>34.6</v>
      </c>
      <c r="U4060" s="4">
        <v>22.7</v>
      </c>
      <c r="V4060" s="4">
        <v>2.6</v>
      </c>
      <c r="W4060" s="4">
        <v>5.7</v>
      </c>
      <c r="X4060" s="4">
        <v>519.92999999999995</v>
      </c>
      <c r="Y4060" s="7" t="e">
        <f t="shared" ca="1" si="84"/>
        <v>#VALUE!</v>
      </c>
    </row>
    <row r="4061" spans="1:25" ht="15" x14ac:dyDescent="0.25">
      <c r="A4061" s="4">
        <v>4060</v>
      </c>
      <c r="C4061" s="41" t="s">
        <v>6429</v>
      </c>
      <c r="D4061" s="42"/>
      <c r="E4061" s="5" t="str">
        <f t="shared" si="80"/>
        <v>https://www.screener.in/company//consolidated/</v>
      </c>
      <c r="F4061" s="4">
        <v>443059</v>
      </c>
      <c r="G4061" s="4">
        <v>3832241897</v>
      </c>
      <c r="H4061" s="6" t="e">
        <f t="shared" ca="1" si="81"/>
        <v>#VALUE!</v>
      </c>
      <c r="I4061" s="7" t="str">
        <f ca="1">IFERROR(__xludf.DUMMYFUNCTION("IMPORTXML(E4061,""/html/body/main/div[3]/div[3]/div[2]/ul/li[5]/span[2]/span"")"),"Loading...")</f>
        <v>Loading...</v>
      </c>
      <c r="J4061" s="7" t="str">
        <f ca="1">IFERROR(__xludf.DUMMYFUNCTION("GOOGLEFINANCE(""NSE:""&amp;D4061,""marketcap"")"),"#N/A")</f>
        <v>#N/A</v>
      </c>
      <c r="K4061" s="7">
        <v>992.8</v>
      </c>
      <c r="L4061" s="8" t="str">
        <f ca="1">IFERROR(__xludf.DUMMYFUNCTION("GOOGLEFINANCE(""NSE:""&amp;D4061,""price"")"),"#N/A")</f>
        <v>#N/A</v>
      </c>
      <c r="M4061" s="9" t="e">
        <f t="shared" ca="1" si="82"/>
        <v>#VALUE!</v>
      </c>
      <c r="N4061" s="10" t="e">
        <f t="shared" ca="1" si="83"/>
        <v>#VALUE!</v>
      </c>
      <c r="O4061" s="7" t="str">
        <f ca="1">IFERROR(__xludf.DUMMYFUNCTION("GOOGLEFINANCE(""NSE:""&amp;D4061,""pe"")"),"#N/A")</f>
        <v>#N/A</v>
      </c>
      <c r="P4061" s="7" t="str">
        <f ca="1">IFERROR(__xludf.DUMMYFUNCTION("GOOGLEFINANCE(""NSE:""&amp;D4061,""EPS"")"),"#N/A")</f>
        <v>#N/A</v>
      </c>
      <c r="Q4061" s="7">
        <v>13.5</v>
      </c>
      <c r="R4061" s="7" t="str">
        <f ca="1">IFERROR(__xludf.DUMMYFUNCTION("IMPORTXML(E4061,""/html/body/main/div[3]/div[3]/div[2]/ul/li[7]/span[2]/span"")"),"Loading...")</f>
        <v>Loading...</v>
      </c>
      <c r="S4061" s="7" t="str">
        <f ca="1">IFERROR(__xludf.DUMMYFUNCTION("IMPORTXML(E4061,""/html/body/main/div[3]/div[3]/div[2]/ul/li[8]/span[2]/span"")"),"Loading...")</f>
        <v>Loading...</v>
      </c>
      <c r="T4061" s="4">
        <v>34.6</v>
      </c>
      <c r="U4061" s="4">
        <v>22.7</v>
      </c>
      <c r="V4061" s="4">
        <v>2.6</v>
      </c>
      <c r="W4061" s="4">
        <v>5.7</v>
      </c>
      <c r="X4061" s="4">
        <v>519.92999999999995</v>
      </c>
      <c r="Y4061" s="7" t="e">
        <f t="shared" ca="1" si="84"/>
        <v>#VALUE!</v>
      </c>
    </row>
    <row r="4062" spans="1:25" ht="15" x14ac:dyDescent="0.25">
      <c r="A4062" s="4">
        <v>4061</v>
      </c>
      <c r="C4062" s="41" t="s">
        <v>6430</v>
      </c>
      <c r="D4062" s="42"/>
      <c r="E4062" s="5" t="str">
        <f t="shared" si="80"/>
        <v>https://www.screener.in/company//consolidated/</v>
      </c>
      <c r="F4062" s="4">
        <v>443059</v>
      </c>
      <c r="G4062" s="4">
        <v>3832241897</v>
      </c>
      <c r="H4062" s="6" t="e">
        <f t="shared" ca="1" si="81"/>
        <v>#VALUE!</v>
      </c>
      <c r="I4062" s="7" t="str">
        <f ca="1">IFERROR(__xludf.DUMMYFUNCTION("IMPORTXML(E4062,""/html/body/main/div[3]/div[3]/div[2]/ul/li[5]/span[2]/span"")"),"Loading...")</f>
        <v>Loading...</v>
      </c>
      <c r="J4062" s="7" t="str">
        <f ca="1">IFERROR(__xludf.DUMMYFUNCTION("GOOGLEFINANCE(""NSE:""&amp;D4062,""marketcap"")"),"#N/A")</f>
        <v>#N/A</v>
      </c>
      <c r="K4062" s="7">
        <v>992.8</v>
      </c>
      <c r="L4062" s="8" t="str">
        <f ca="1">IFERROR(__xludf.DUMMYFUNCTION("GOOGLEFINANCE(""NSE:""&amp;D4062,""price"")"),"#N/A")</f>
        <v>#N/A</v>
      </c>
      <c r="M4062" s="9" t="e">
        <f t="shared" ca="1" si="82"/>
        <v>#VALUE!</v>
      </c>
      <c r="N4062" s="10" t="e">
        <f t="shared" ca="1" si="83"/>
        <v>#VALUE!</v>
      </c>
      <c r="O4062" s="7" t="str">
        <f ca="1">IFERROR(__xludf.DUMMYFUNCTION("GOOGLEFINANCE(""NSE:""&amp;D4062,""pe"")"),"#N/A")</f>
        <v>#N/A</v>
      </c>
      <c r="P4062" s="7" t="str">
        <f ca="1">IFERROR(__xludf.DUMMYFUNCTION("GOOGLEFINANCE(""NSE:""&amp;D4062,""EPS"")"),"#N/A")</f>
        <v>#N/A</v>
      </c>
      <c r="Q4062" s="7">
        <v>13.5</v>
      </c>
      <c r="R4062" s="7" t="str">
        <f ca="1">IFERROR(__xludf.DUMMYFUNCTION("IMPORTXML(E4062,""/html/body/main/div[3]/div[3]/div[2]/ul/li[7]/span[2]/span"")"),"Loading...")</f>
        <v>Loading...</v>
      </c>
      <c r="S4062" s="7" t="str">
        <f ca="1">IFERROR(__xludf.DUMMYFUNCTION("IMPORTXML(E4062,""/html/body/main/div[3]/div[3]/div[2]/ul/li[8]/span[2]/span"")"),"Loading...")</f>
        <v>Loading...</v>
      </c>
      <c r="T4062" s="4">
        <v>34.6</v>
      </c>
      <c r="U4062" s="4">
        <v>22.7</v>
      </c>
      <c r="V4062" s="4">
        <v>2.6</v>
      </c>
      <c r="W4062" s="4">
        <v>5.7</v>
      </c>
      <c r="X4062" s="4">
        <v>519.92999999999995</v>
      </c>
      <c r="Y4062" s="7" t="e">
        <f t="shared" ca="1" si="84"/>
        <v>#VALUE!</v>
      </c>
    </row>
    <row r="4063" spans="1:25" ht="15" x14ac:dyDescent="0.25">
      <c r="A4063" s="4">
        <v>4062</v>
      </c>
      <c r="C4063" s="41" t="s">
        <v>6431</v>
      </c>
      <c r="D4063" s="42"/>
      <c r="E4063" s="5" t="str">
        <f t="shared" si="80"/>
        <v>https://www.screener.in/company//consolidated/</v>
      </c>
      <c r="F4063" s="4">
        <v>443059</v>
      </c>
      <c r="G4063" s="4">
        <v>3832241897</v>
      </c>
      <c r="H4063" s="6" t="e">
        <f t="shared" ca="1" si="81"/>
        <v>#VALUE!</v>
      </c>
      <c r="I4063" s="7" t="str">
        <f ca="1">IFERROR(__xludf.DUMMYFUNCTION("IMPORTXML(E4063,""/html/body/main/div[3]/div[3]/div[2]/ul/li[5]/span[2]/span"")"),"Loading...")</f>
        <v>Loading...</v>
      </c>
      <c r="J4063" s="7" t="str">
        <f ca="1">IFERROR(__xludf.DUMMYFUNCTION("GOOGLEFINANCE(""NSE:""&amp;D4063,""marketcap"")"),"#N/A")</f>
        <v>#N/A</v>
      </c>
      <c r="K4063" s="7">
        <v>992.8</v>
      </c>
      <c r="L4063" s="8" t="str">
        <f ca="1">IFERROR(__xludf.DUMMYFUNCTION("GOOGLEFINANCE(""NSE:""&amp;D4063,""price"")"),"#N/A")</f>
        <v>#N/A</v>
      </c>
      <c r="M4063" s="9" t="e">
        <f t="shared" ca="1" si="82"/>
        <v>#VALUE!</v>
      </c>
      <c r="N4063" s="10" t="e">
        <f t="shared" ca="1" si="83"/>
        <v>#VALUE!</v>
      </c>
      <c r="O4063" s="7" t="str">
        <f ca="1">IFERROR(__xludf.DUMMYFUNCTION("GOOGLEFINANCE(""NSE:""&amp;D4063,""pe"")"),"#N/A")</f>
        <v>#N/A</v>
      </c>
      <c r="P4063" s="7" t="str">
        <f ca="1">IFERROR(__xludf.DUMMYFUNCTION("GOOGLEFINANCE(""NSE:""&amp;D4063,""EPS"")"),"#N/A")</f>
        <v>#N/A</v>
      </c>
      <c r="Q4063" s="7">
        <v>13.5</v>
      </c>
      <c r="R4063" s="7" t="str">
        <f ca="1">IFERROR(__xludf.DUMMYFUNCTION("IMPORTXML(E4063,""/html/body/main/div[3]/div[3]/div[2]/ul/li[7]/span[2]/span"")"),"Loading...")</f>
        <v>Loading...</v>
      </c>
      <c r="S4063" s="7" t="str">
        <f ca="1">IFERROR(__xludf.DUMMYFUNCTION("IMPORTXML(E4063,""/html/body/main/div[3]/div[3]/div[2]/ul/li[8]/span[2]/span"")"),"Loading...")</f>
        <v>Loading...</v>
      </c>
      <c r="T4063" s="4">
        <v>34.6</v>
      </c>
      <c r="U4063" s="4">
        <v>22.7</v>
      </c>
      <c r="V4063" s="4">
        <v>2.6</v>
      </c>
      <c r="W4063" s="4">
        <v>5.7</v>
      </c>
      <c r="X4063" s="4">
        <v>519.92999999999995</v>
      </c>
      <c r="Y4063" s="7" t="e">
        <f t="shared" ca="1" si="84"/>
        <v>#VALUE!</v>
      </c>
    </row>
    <row r="4064" spans="1:25" ht="15" x14ac:dyDescent="0.25">
      <c r="A4064" s="4">
        <v>4063</v>
      </c>
      <c r="C4064" s="41" t="s">
        <v>6432</v>
      </c>
      <c r="D4064" s="42"/>
      <c r="E4064" s="5" t="str">
        <f t="shared" si="80"/>
        <v>https://www.screener.in/company//consolidated/</v>
      </c>
      <c r="F4064" s="4">
        <v>443059</v>
      </c>
      <c r="G4064" s="4">
        <v>3832241897</v>
      </c>
      <c r="H4064" s="6" t="e">
        <f t="shared" ca="1" si="81"/>
        <v>#VALUE!</v>
      </c>
      <c r="I4064" s="7" t="str">
        <f ca="1">IFERROR(__xludf.DUMMYFUNCTION("IMPORTXML(E4064,""/html/body/main/div[3]/div[3]/div[2]/ul/li[5]/span[2]/span"")"),"Loading...")</f>
        <v>Loading...</v>
      </c>
      <c r="J4064" s="7" t="str">
        <f ca="1">IFERROR(__xludf.DUMMYFUNCTION("GOOGLEFINANCE(""NSE:""&amp;D4064,""marketcap"")"),"#N/A")</f>
        <v>#N/A</v>
      </c>
      <c r="K4064" s="7">
        <v>992.8</v>
      </c>
      <c r="L4064" s="8" t="str">
        <f ca="1">IFERROR(__xludf.DUMMYFUNCTION("GOOGLEFINANCE(""NSE:""&amp;D4064,""price"")"),"#N/A")</f>
        <v>#N/A</v>
      </c>
      <c r="M4064" s="9" t="e">
        <f t="shared" ca="1" si="82"/>
        <v>#VALUE!</v>
      </c>
      <c r="N4064" s="10" t="e">
        <f t="shared" ca="1" si="83"/>
        <v>#VALUE!</v>
      </c>
      <c r="O4064" s="7" t="str">
        <f ca="1">IFERROR(__xludf.DUMMYFUNCTION("GOOGLEFINANCE(""NSE:""&amp;D4064,""pe"")"),"#N/A")</f>
        <v>#N/A</v>
      </c>
      <c r="P4064" s="7" t="str">
        <f ca="1">IFERROR(__xludf.DUMMYFUNCTION("GOOGLEFINANCE(""NSE:""&amp;D4064,""EPS"")"),"#N/A")</f>
        <v>#N/A</v>
      </c>
      <c r="Q4064" s="7">
        <v>13.5</v>
      </c>
      <c r="R4064" s="7" t="str">
        <f ca="1">IFERROR(__xludf.DUMMYFUNCTION("IMPORTXML(E4064,""/html/body/main/div[3]/div[3]/div[2]/ul/li[7]/span[2]/span"")"),"Loading...")</f>
        <v>Loading...</v>
      </c>
      <c r="S4064" s="7" t="str">
        <f ca="1">IFERROR(__xludf.DUMMYFUNCTION("IMPORTXML(E4064,""/html/body/main/div[3]/div[3]/div[2]/ul/li[8]/span[2]/span"")"),"Loading...")</f>
        <v>Loading...</v>
      </c>
      <c r="T4064" s="4">
        <v>34.6</v>
      </c>
      <c r="U4064" s="4">
        <v>22.7</v>
      </c>
      <c r="V4064" s="4">
        <v>2.6</v>
      </c>
      <c r="W4064" s="4">
        <v>5.7</v>
      </c>
      <c r="X4064" s="4">
        <v>519.92999999999995</v>
      </c>
      <c r="Y4064" s="7" t="e">
        <f t="shared" ca="1" si="84"/>
        <v>#VALUE!</v>
      </c>
    </row>
    <row r="4065" spans="1:25" ht="15" x14ac:dyDescent="0.25">
      <c r="A4065" s="4">
        <v>4064</v>
      </c>
      <c r="C4065" s="41" t="s">
        <v>6433</v>
      </c>
      <c r="D4065" s="42"/>
      <c r="E4065" s="5" t="str">
        <f t="shared" si="80"/>
        <v>https://www.screener.in/company//consolidated/</v>
      </c>
      <c r="F4065" s="4">
        <v>443059</v>
      </c>
      <c r="G4065" s="4">
        <v>3832241897</v>
      </c>
      <c r="H4065" s="6" t="e">
        <f t="shared" ca="1" si="81"/>
        <v>#VALUE!</v>
      </c>
      <c r="I4065" s="7" t="str">
        <f ca="1">IFERROR(__xludf.DUMMYFUNCTION("IMPORTXML(E4065,""/html/body/main/div[3]/div[3]/div[2]/ul/li[5]/span[2]/span"")"),"Loading...")</f>
        <v>Loading...</v>
      </c>
      <c r="J4065" s="7" t="str">
        <f ca="1">IFERROR(__xludf.DUMMYFUNCTION("GOOGLEFINANCE(""NSE:""&amp;D4065,""marketcap"")"),"#N/A")</f>
        <v>#N/A</v>
      </c>
      <c r="K4065" s="7">
        <v>992.8</v>
      </c>
      <c r="L4065" s="8" t="str">
        <f ca="1">IFERROR(__xludf.DUMMYFUNCTION("GOOGLEFINANCE(""NSE:""&amp;D4065,""price"")"),"#N/A")</f>
        <v>#N/A</v>
      </c>
      <c r="M4065" s="9" t="e">
        <f t="shared" ca="1" si="82"/>
        <v>#VALUE!</v>
      </c>
      <c r="N4065" s="10" t="e">
        <f t="shared" ca="1" si="83"/>
        <v>#VALUE!</v>
      </c>
      <c r="O4065" s="7" t="str">
        <f ca="1">IFERROR(__xludf.DUMMYFUNCTION("GOOGLEFINANCE(""NSE:""&amp;D4065,""pe"")"),"#N/A")</f>
        <v>#N/A</v>
      </c>
      <c r="P4065" s="7" t="str">
        <f ca="1">IFERROR(__xludf.DUMMYFUNCTION("GOOGLEFINANCE(""NSE:""&amp;D4065,""EPS"")"),"#N/A")</f>
        <v>#N/A</v>
      </c>
      <c r="Q4065" s="7">
        <v>13.5</v>
      </c>
      <c r="R4065" s="7" t="str">
        <f ca="1">IFERROR(__xludf.DUMMYFUNCTION("IMPORTXML(E4065,""/html/body/main/div[3]/div[3]/div[2]/ul/li[7]/span[2]/span"")"),"Loading...")</f>
        <v>Loading...</v>
      </c>
      <c r="S4065" s="7" t="str">
        <f ca="1">IFERROR(__xludf.DUMMYFUNCTION("IMPORTXML(E4065,""/html/body/main/div[3]/div[3]/div[2]/ul/li[8]/span[2]/span"")"),"Loading...")</f>
        <v>Loading...</v>
      </c>
      <c r="T4065" s="4">
        <v>34.6</v>
      </c>
      <c r="U4065" s="4">
        <v>22.7</v>
      </c>
      <c r="V4065" s="4">
        <v>2.6</v>
      </c>
      <c r="W4065" s="4">
        <v>5.7</v>
      </c>
      <c r="X4065" s="4">
        <v>519.92999999999995</v>
      </c>
      <c r="Y4065" s="7" t="e">
        <f t="shared" ca="1" si="84"/>
        <v>#VALUE!</v>
      </c>
    </row>
    <row r="4066" spans="1:25" ht="15" x14ac:dyDescent="0.25">
      <c r="A4066" s="4">
        <v>4065</v>
      </c>
      <c r="C4066" s="41" t="s">
        <v>6434</v>
      </c>
      <c r="D4066" s="42"/>
      <c r="E4066" s="5" t="str">
        <f t="shared" si="80"/>
        <v>https://www.screener.in/company//consolidated/</v>
      </c>
      <c r="F4066" s="4">
        <v>443059</v>
      </c>
      <c r="G4066" s="4">
        <v>3832241897</v>
      </c>
      <c r="H4066" s="6" t="e">
        <f t="shared" ca="1" si="81"/>
        <v>#VALUE!</v>
      </c>
      <c r="I4066" s="7" t="str">
        <f ca="1">IFERROR(__xludf.DUMMYFUNCTION("IMPORTXML(E4066,""/html/body/main/div[3]/div[3]/div[2]/ul/li[5]/span[2]/span"")"),"Loading...")</f>
        <v>Loading...</v>
      </c>
      <c r="J4066" s="7" t="str">
        <f ca="1">IFERROR(__xludf.DUMMYFUNCTION("GOOGLEFINANCE(""NSE:""&amp;D4066,""marketcap"")"),"#N/A")</f>
        <v>#N/A</v>
      </c>
      <c r="K4066" s="7">
        <v>992.8</v>
      </c>
      <c r="L4066" s="8" t="str">
        <f ca="1">IFERROR(__xludf.DUMMYFUNCTION("GOOGLEFINANCE(""NSE:""&amp;D4066,""price"")"),"#N/A")</f>
        <v>#N/A</v>
      </c>
      <c r="M4066" s="9" t="e">
        <f t="shared" ca="1" si="82"/>
        <v>#VALUE!</v>
      </c>
      <c r="N4066" s="10" t="e">
        <f t="shared" ca="1" si="83"/>
        <v>#VALUE!</v>
      </c>
      <c r="O4066" s="7" t="str">
        <f ca="1">IFERROR(__xludf.DUMMYFUNCTION("GOOGLEFINANCE(""NSE:""&amp;D4066,""pe"")"),"#N/A")</f>
        <v>#N/A</v>
      </c>
      <c r="P4066" s="7" t="str">
        <f ca="1">IFERROR(__xludf.DUMMYFUNCTION("GOOGLEFINANCE(""NSE:""&amp;D4066,""EPS"")"),"#N/A")</f>
        <v>#N/A</v>
      </c>
      <c r="Q4066" s="7">
        <v>13.5</v>
      </c>
      <c r="R4066" s="7" t="str">
        <f ca="1">IFERROR(__xludf.DUMMYFUNCTION("IMPORTXML(E4066,""/html/body/main/div[3]/div[3]/div[2]/ul/li[7]/span[2]/span"")"),"Loading...")</f>
        <v>Loading...</v>
      </c>
      <c r="S4066" s="7" t="str">
        <f ca="1">IFERROR(__xludf.DUMMYFUNCTION("IMPORTXML(E4066,""/html/body/main/div[3]/div[3]/div[2]/ul/li[8]/span[2]/span"")"),"Loading...")</f>
        <v>Loading...</v>
      </c>
      <c r="T4066" s="4">
        <v>34.6</v>
      </c>
      <c r="U4066" s="4">
        <v>22.7</v>
      </c>
      <c r="V4066" s="4">
        <v>2.6</v>
      </c>
      <c r="W4066" s="4">
        <v>5.7</v>
      </c>
      <c r="X4066" s="4">
        <v>519.92999999999995</v>
      </c>
      <c r="Y4066" s="7" t="e">
        <f t="shared" ca="1" si="84"/>
        <v>#VALUE!</v>
      </c>
    </row>
    <row r="4067" spans="1:25" ht="15" x14ac:dyDescent="0.25">
      <c r="A4067" s="4">
        <v>4066</v>
      </c>
      <c r="C4067" s="41" t="s">
        <v>6435</v>
      </c>
      <c r="D4067" s="42"/>
      <c r="E4067" s="5" t="str">
        <f t="shared" si="80"/>
        <v>https://www.screener.in/company//consolidated/</v>
      </c>
      <c r="F4067" s="4">
        <v>443059</v>
      </c>
      <c r="G4067" s="4">
        <v>3832241897</v>
      </c>
      <c r="H4067" s="6" t="e">
        <f t="shared" ca="1" si="81"/>
        <v>#VALUE!</v>
      </c>
      <c r="I4067" s="7" t="str">
        <f ca="1">IFERROR(__xludf.DUMMYFUNCTION("IMPORTXML(E4067,""/html/body/main/div[3]/div[3]/div[2]/ul/li[5]/span[2]/span"")"),"Loading...")</f>
        <v>Loading...</v>
      </c>
      <c r="J4067" s="7" t="str">
        <f ca="1">IFERROR(__xludf.DUMMYFUNCTION("GOOGLEFINANCE(""NSE:""&amp;D4067,""marketcap"")"),"#N/A")</f>
        <v>#N/A</v>
      </c>
      <c r="K4067" s="7">
        <v>992.8</v>
      </c>
      <c r="L4067" s="8" t="str">
        <f ca="1">IFERROR(__xludf.DUMMYFUNCTION("GOOGLEFINANCE(""NSE:""&amp;D4067,""price"")"),"#N/A")</f>
        <v>#N/A</v>
      </c>
      <c r="M4067" s="9" t="e">
        <f t="shared" ca="1" si="82"/>
        <v>#VALUE!</v>
      </c>
      <c r="N4067" s="10" t="e">
        <f t="shared" ca="1" si="83"/>
        <v>#VALUE!</v>
      </c>
      <c r="O4067" s="7" t="str">
        <f ca="1">IFERROR(__xludf.DUMMYFUNCTION("GOOGLEFINANCE(""NSE:""&amp;D4067,""pe"")"),"#N/A")</f>
        <v>#N/A</v>
      </c>
      <c r="P4067" s="7" t="str">
        <f ca="1">IFERROR(__xludf.DUMMYFUNCTION("GOOGLEFINANCE(""NSE:""&amp;D4067,""EPS"")"),"#N/A")</f>
        <v>#N/A</v>
      </c>
      <c r="Q4067" s="7">
        <v>13.5</v>
      </c>
      <c r="R4067" s="7" t="str">
        <f ca="1">IFERROR(__xludf.DUMMYFUNCTION("IMPORTXML(E4067,""/html/body/main/div[3]/div[3]/div[2]/ul/li[7]/span[2]/span"")"),"Loading...")</f>
        <v>Loading...</v>
      </c>
      <c r="S4067" s="7" t="str">
        <f ca="1">IFERROR(__xludf.DUMMYFUNCTION("IMPORTXML(E4067,""/html/body/main/div[3]/div[3]/div[2]/ul/li[8]/span[2]/span"")"),"Loading...")</f>
        <v>Loading...</v>
      </c>
      <c r="T4067" s="4">
        <v>34.6</v>
      </c>
      <c r="U4067" s="4">
        <v>22.7</v>
      </c>
      <c r="V4067" s="4">
        <v>2.6</v>
      </c>
      <c r="W4067" s="4">
        <v>5.7</v>
      </c>
      <c r="X4067" s="4">
        <v>519.92999999999995</v>
      </c>
      <c r="Y4067" s="7" t="e">
        <f t="shared" ca="1" si="84"/>
        <v>#VALUE!</v>
      </c>
    </row>
    <row r="4068" spans="1:25" ht="15" x14ac:dyDescent="0.25">
      <c r="A4068" s="4">
        <v>4067</v>
      </c>
      <c r="C4068" s="41" t="s">
        <v>6436</v>
      </c>
      <c r="D4068" s="42"/>
      <c r="E4068" s="5" t="str">
        <f t="shared" si="80"/>
        <v>https://www.screener.in/company//consolidated/</v>
      </c>
      <c r="F4068" s="4">
        <v>443059</v>
      </c>
      <c r="G4068" s="4">
        <v>3832241897</v>
      </c>
      <c r="H4068" s="6" t="e">
        <f t="shared" ca="1" si="81"/>
        <v>#VALUE!</v>
      </c>
      <c r="I4068" s="7" t="str">
        <f ca="1">IFERROR(__xludf.DUMMYFUNCTION("IMPORTXML(E4068,""/html/body/main/div[3]/div[3]/div[2]/ul/li[5]/span[2]/span"")"),"Loading...")</f>
        <v>Loading...</v>
      </c>
      <c r="J4068" s="7" t="str">
        <f ca="1">IFERROR(__xludf.DUMMYFUNCTION("GOOGLEFINANCE(""NSE:""&amp;D4068,""marketcap"")"),"#N/A")</f>
        <v>#N/A</v>
      </c>
      <c r="K4068" s="7">
        <v>992.8</v>
      </c>
      <c r="L4068" s="8" t="str">
        <f ca="1">IFERROR(__xludf.DUMMYFUNCTION("GOOGLEFINANCE(""NSE:""&amp;D4068,""price"")"),"#N/A")</f>
        <v>#N/A</v>
      </c>
      <c r="M4068" s="9" t="e">
        <f t="shared" ca="1" si="82"/>
        <v>#VALUE!</v>
      </c>
      <c r="N4068" s="10" t="e">
        <f t="shared" ca="1" si="83"/>
        <v>#VALUE!</v>
      </c>
      <c r="O4068" s="7" t="str">
        <f ca="1">IFERROR(__xludf.DUMMYFUNCTION("GOOGLEFINANCE(""NSE:""&amp;D4068,""pe"")"),"#N/A")</f>
        <v>#N/A</v>
      </c>
      <c r="P4068" s="7" t="str">
        <f ca="1">IFERROR(__xludf.DUMMYFUNCTION("GOOGLEFINANCE(""NSE:""&amp;D4068,""EPS"")"),"#N/A")</f>
        <v>#N/A</v>
      </c>
      <c r="Q4068" s="7">
        <v>13.5</v>
      </c>
      <c r="R4068" s="7" t="str">
        <f ca="1">IFERROR(__xludf.DUMMYFUNCTION("IMPORTXML(E4068,""/html/body/main/div[3]/div[3]/div[2]/ul/li[7]/span[2]/span"")"),"Loading...")</f>
        <v>Loading...</v>
      </c>
      <c r="S4068" s="7" t="str">
        <f ca="1">IFERROR(__xludf.DUMMYFUNCTION("IMPORTXML(E4068,""/html/body/main/div[3]/div[3]/div[2]/ul/li[8]/span[2]/span"")"),"Loading...")</f>
        <v>Loading...</v>
      </c>
      <c r="T4068" s="4">
        <v>34.6</v>
      </c>
      <c r="U4068" s="4">
        <v>22.7</v>
      </c>
      <c r="V4068" s="4">
        <v>2.6</v>
      </c>
      <c r="W4068" s="4">
        <v>5.7</v>
      </c>
      <c r="X4068" s="4">
        <v>519.92999999999995</v>
      </c>
      <c r="Y4068" s="7" t="e">
        <f t="shared" ca="1" si="84"/>
        <v>#VALUE!</v>
      </c>
    </row>
    <row r="4069" spans="1:25" ht="15" x14ac:dyDescent="0.25">
      <c r="A4069" s="4">
        <v>4068</v>
      </c>
      <c r="C4069" s="41" t="s">
        <v>6437</v>
      </c>
      <c r="D4069" s="42"/>
      <c r="E4069" s="5" t="str">
        <f t="shared" si="80"/>
        <v>https://www.screener.in/company//consolidated/</v>
      </c>
      <c r="F4069" s="4">
        <v>443059</v>
      </c>
      <c r="G4069" s="4">
        <v>3832241897</v>
      </c>
      <c r="H4069" s="6" t="e">
        <f t="shared" ca="1" si="81"/>
        <v>#VALUE!</v>
      </c>
      <c r="I4069" s="7" t="str">
        <f ca="1">IFERROR(__xludf.DUMMYFUNCTION("IMPORTXML(E4069,""/html/body/main/div[3]/div[3]/div[2]/ul/li[5]/span[2]/span"")"),"Loading...")</f>
        <v>Loading...</v>
      </c>
      <c r="J4069" s="7" t="str">
        <f ca="1">IFERROR(__xludf.DUMMYFUNCTION("GOOGLEFINANCE(""NSE:""&amp;D4069,""marketcap"")"),"#N/A")</f>
        <v>#N/A</v>
      </c>
      <c r="K4069" s="7">
        <v>992.8</v>
      </c>
      <c r="L4069" s="8" t="str">
        <f ca="1">IFERROR(__xludf.DUMMYFUNCTION("GOOGLEFINANCE(""NSE:""&amp;D4069,""price"")"),"#N/A")</f>
        <v>#N/A</v>
      </c>
      <c r="M4069" s="9" t="e">
        <f t="shared" ca="1" si="82"/>
        <v>#VALUE!</v>
      </c>
      <c r="N4069" s="10" t="e">
        <f t="shared" ca="1" si="83"/>
        <v>#VALUE!</v>
      </c>
      <c r="O4069" s="7" t="str">
        <f ca="1">IFERROR(__xludf.DUMMYFUNCTION("GOOGLEFINANCE(""NSE:""&amp;D4069,""pe"")"),"#N/A")</f>
        <v>#N/A</v>
      </c>
      <c r="P4069" s="7" t="str">
        <f ca="1">IFERROR(__xludf.DUMMYFUNCTION("GOOGLEFINANCE(""NSE:""&amp;D4069,""EPS"")"),"#N/A")</f>
        <v>#N/A</v>
      </c>
      <c r="Q4069" s="7">
        <v>13.5</v>
      </c>
      <c r="R4069" s="7" t="str">
        <f ca="1">IFERROR(__xludf.DUMMYFUNCTION("IMPORTXML(E4069,""/html/body/main/div[3]/div[3]/div[2]/ul/li[7]/span[2]/span"")"),"Loading...")</f>
        <v>Loading...</v>
      </c>
      <c r="S4069" s="7" t="str">
        <f ca="1">IFERROR(__xludf.DUMMYFUNCTION("IMPORTXML(E4069,""/html/body/main/div[3]/div[3]/div[2]/ul/li[8]/span[2]/span"")"),"Loading...")</f>
        <v>Loading...</v>
      </c>
      <c r="T4069" s="4">
        <v>34.6</v>
      </c>
      <c r="U4069" s="4">
        <v>22.7</v>
      </c>
      <c r="V4069" s="4">
        <v>2.6</v>
      </c>
      <c r="W4069" s="4">
        <v>5.7</v>
      </c>
      <c r="X4069" s="4">
        <v>519.92999999999995</v>
      </c>
      <c r="Y4069" s="7" t="e">
        <f t="shared" ca="1" si="84"/>
        <v>#VALUE!</v>
      </c>
    </row>
    <row r="4070" spans="1:25" ht="15" x14ac:dyDescent="0.25">
      <c r="A4070" s="4">
        <v>4069</v>
      </c>
      <c r="C4070" s="41" t="s">
        <v>6438</v>
      </c>
      <c r="D4070" s="42"/>
      <c r="E4070" s="5" t="str">
        <f t="shared" si="80"/>
        <v>https://www.screener.in/company//consolidated/</v>
      </c>
      <c r="F4070" s="4">
        <v>443059</v>
      </c>
      <c r="G4070" s="4">
        <v>3832241897</v>
      </c>
      <c r="H4070" s="6" t="e">
        <f t="shared" ca="1" si="81"/>
        <v>#VALUE!</v>
      </c>
      <c r="I4070" s="7" t="str">
        <f ca="1">IFERROR(__xludf.DUMMYFUNCTION("IMPORTXML(E4070,""/html/body/main/div[3]/div[3]/div[2]/ul/li[5]/span[2]/span"")"),"Loading...")</f>
        <v>Loading...</v>
      </c>
      <c r="J4070" s="7" t="str">
        <f ca="1">IFERROR(__xludf.DUMMYFUNCTION("GOOGLEFINANCE(""NSE:""&amp;D4070,""marketcap"")"),"#N/A")</f>
        <v>#N/A</v>
      </c>
      <c r="K4070" s="7">
        <v>992.8</v>
      </c>
      <c r="L4070" s="8" t="str">
        <f ca="1">IFERROR(__xludf.DUMMYFUNCTION("GOOGLEFINANCE(""NSE:""&amp;D4070,""price"")"),"#N/A")</f>
        <v>#N/A</v>
      </c>
      <c r="M4070" s="9" t="e">
        <f t="shared" ca="1" si="82"/>
        <v>#VALUE!</v>
      </c>
      <c r="N4070" s="10" t="e">
        <f t="shared" ca="1" si="83"/>
        <v>#VALUE!</v>
      </c>
      <c r="O4070" s="7" t="str">
        <f ca="1">IFERROR(__xludf.DUMMYFUNCTION("GOOGLEFINANCE(""NSE:""&amp;D4070,""pe"")"),"#N/A")</f>
        <v>#N/A</v>
      </c>
      <c r="P4070" s="7" t="str">
        <f ca="1">IFERROR(__xludf.DUMMYFUNCTION("GOOGLEFINANCE(""NSE:""&amp;D4070,""EPS"")"),"#N/A")</f>
        <v>#N/A</v>
      </c>
      <c r="Q4070" s="7">
        <v>13.5</v>
      </c>
      <c r="R4070" s="7" t="str">
        <f ca="1">IFERROR(__xludf.DUMMYFUNCTION("IMPORTXML(E4070,""/html/body/main/div[3]/div[3]/div[2]/ul/li[7]/span[2]/span"")"),"Loading...")</f>
        <v>Loading...</v>
      </c>
      <c r="S4070" s="7" t="str">
        <f ca="1">IFERROR(__xludf.DUMMYFUNCTION("IMPORTXML(E4070,""/html/body/main/div[3]/div[3]/div[2]/ul/li[8]/span[2]/span"")"),"Loading...")</f>
        <v>Loading...</v>
      </c>
      <c r="T4070" s="4">
        <v>34.6</v>
      </c>
      <c r="U4070" s="4">
        <v>22.7</v>
      </c>
      <c r="V4070" s="4">
        <v>2.6</v>
      </c>
      <c r="W4070" s="4">
        <v>5.7</v>
      </c>
      <c r="X4070" s="4">
        <v>519.92999999999995</v>
      </c>
      <c r="Y4070" s="7" t="e">
        <f t="shared" ca="1" si="84"/>
        <v>#VALUE!</v>
      </c>
    </row>
    <row r="4071" spans="1:25" ht="15" x14ac:dyDescent="0.25">
      <c r="A4071" s="4">
        <v>4070</v>
      </c>
      <c r="C4071" s="41" t="s">
        <v>6439</v>
      </c>
      <c r="D4071" s="42"/>
      <c r="E4071" s="5" t="str">
        <f t="shared" si="80"/>
        <v>https://www.screener.in/company//consolidated/</v>
      </c>
      <c r="F4071" s="4">
        <v>443059</v>
      </c>
      <c r="G4071" s="4">
        <v>3832241897</v>
      </c>
      <c r="H4071" s="6" t="e">
        <f t="shared" ca="1" si="81"/>
        <v>#VALUE!</v>
      </c>
      <c r="I4071" s="7" t="str">
        <f ca="1">IFERROR(__xludf.DUMMYFUNCTION("IMPORTXML(E4071,""/html/body/main/div[3]/div[3]/div[2]/ul/li[5]/span[2]/span"")"),"Loading...")</f>
        <v>Loading...</v>
      </c>
      <c r="J4071" s="7" t="str">
        <f ca="1">IFERROR(__xludf.DUMMYFUNCTION("GOOGLEFINANCE(""NSE:""&amp;D4071,""marketcap"")"),"#N/A")</f>
        <v>#N/A</v>
      </c>
      <c r="K4071" s="7">
        <v>992.8</v>
      </c>
      <c r="L4071" s="8" t="str">
        <f ca="1">IFERROR(__xludf.DUMMYFUNCTION("GOOGLEFINANCE(""NSE:""&amp;D4071,""price"")"),"#N/A")</f>
        <v>#N/A</v>
      </c>
      <c r="M4071" s="9" t="e">
        <f t="shared" ca="1" si="82"/>
        <v>#VALUE!</v>
      </c>
      <c r="N4071" s="10" t="e">
        <f t="shared" ca="1" si="83"/>
        <v>#VALUE!</v>
      </c>
      <c r="O4071" s="7" t="str">
        <f ca="1">IFERROR(__xludf.DUMMYFUNCTION("GOOGLEFINANCE(""NSE:""&amp;D4071,""pe"")"),"#N/A")</f>
        <v>#N/A</v>
      </c>
      <c r="P4071" s="7" t="str">
        <f ca="1">IFERROR(__xludf.DUMMYFUNCTION("GOOGLEFINANCE(""NSE:""&amp;D4071,""EPS"")"),"#N/A")</f>
        <v>#N/A</v>
      </c>
      <c r="Q4071" s="7">
        <v>13.5</v>
      </c>
      <c r="R4071" s="7" t="str">
        <f ca="1">IFERROR(__xludf.DUMMYFUNCTION("IMPORTXML(E4071,""/html/body/main/div[3]/div[3]/div[2]/ul/li[7]/span[2]/span"")"),"Loading...")</f>
        <v>Loading...</v>
      </c>
      <c r="S4071" s="7" t="str">
        <f ca="1">IFERROR(__xludf.DUMMYFUNCTION("IMPORTXML(E4071,""/html/body/main/div[3]/div[3]/div[2]/ul/li[8]/span[2]/span"")"),"Loading...")</f>
        <v>Loading...</v>
      </c>
      <c r="T4071" s="4">
        <v>34.6</v>
      </c>
      <c r="U4071" s="4">
        <v>22.7</v>
      </c>
      <c r="V4071" s="4">
        <v>2.6</v>
      </c>
      <c r="W4071" s="4">
        <v>5.7</v>
      </c>
      <c r="X4071" s="4">
        <v>519.92999999999995</v>
      </c>
      <c r="Y4071" s="7" t="e">
        <f t="shared" ca="1" si="84"/>
        <v>#VALUE!</v>
      </c>
    </row>
    <row r="4072" spans="1:25" ht="15" x14ac:dyDescent="0.25">
      <c r="A4072" s="4">
        <v>4071</v>
      </c>
      <c r="C4072" s="41" t="s">
        <v>6440</v>
      </c>
      <c r="D4072" s="42"/>
      <c r="E4072" s="5" t="str">
        <f t="shared" si="80"/>
        <v>https://www.screener.in/company//consolidated/</v>
      </c>
      <c r="F4072" s="4">
        <v>443059</v>
      </c>
      <c r="G4072" s="4">
        <v>3832241897</v>
      </c>
      <c r="H4072" s="6" t="e">
        <f t="shared" ca="1" si="81"/>
        <v>#VALUE!</v>
      </c>
      <c r="I4072" s="7" t="str">
        <f ca="1">IFERROR(__xludf.DUMMYFUNCTION("IMPORTXML(E4072,""/html/body/main/div[3]/div[3]/div[2]/ul/li[5]/span[2]/span"")"),"Loading...")</f>
        <v>Loading...</v>
      </c>
      <c r="J4072" s="7" t="str">
        <f ca="1">IFERROR(__xludf.DUMMYFUNCTION("GOOGLEFINANCE(""NSE:""&amp;D4072,""marketcap"")"),"#N/A")</f>
        <v>#N/A</v>
      </c>
      <c r="K4072" s="7">
        <v>992.8</v>
      </c>
      <c r="L4072" s="8" t="str">
        <f ca="1">IFERROR(__xludf.DUMMYFUNCTION("GOOGLEFINANCE(""NSE:""&amp;D4072,""price"")"),"#N/A")</f>
        <v>#N/A</v>
      </c>
      <c r="M4072" s="9" t="e">
        <f t="shared" ca="1" si="82"/>
        <v>#VALUE!</v>
      </c>
      <c r="N4072" s="10" t="e">
        <f t="shared" ca="1" si="83"/>
        <v>#VALUE!</v>
      </c>
      <c r="O4072" s="7" t="str">
        <f ca="1">IFERROR(__xludf.DUMMYFUNCTION("GOOGLEFINANCE(""NSE:""&amp;D4072,""pe"")"),"#N/A")</f>
        <v>#N/A</v>
      </c>
      <c r="P4072" s="7" t="str">
        <f ca="1">IFERROR(__xludf.DUMMYFUNCTION("GOOGLEFINANCE(""NSE:""&amp;D4072,""EPS"")"),"#N/A")</f>
        <v>#N/A</v>
      </c>
      <c r="Q4072" s="7">
        <v>13.5</v>
      </c>
      <c r="R4072" s="7" t="str">
        <f ca="1">IFERROR(__xludf.DUMMYFUNCTION("IMPORTXML(E4072,""/html/body/main/div[3]/div[3]/div[2]/ul/li[7]/span[2]/span"")"),"Loading...")</f>
        <v>Loading...</v>
      </c>
      <c r="S4072" s="7" t="str">
        <f ca="1">IFERROR(__xludf.DUMMYFUNCTION("IMPORTXML(E4072,""/html/body/main/div[3]/div[3]/div[2]/ul/li[8]/span[2]/span"")"),"Loading...")</f>
        <v>Loading...</v>
      </c>
      <c r="T4072" s="4">
        <v>34.6</v>
      </c>
      <c r="U4072" s="4">
        <v>22.7</v>
      </c>
      <c r="V4072" s="4">
        <v>2.6</v>
      </c>
      <c r="W4072" s="4">
        <v>5.7</v>
      </c>
      <c r="X4072" s="4">
        <v>519.92999999999995</v>
      </c>
      <c r="Y4072" s="7" t="e">
        <f t="shared" ca="1" si="84"/>
        <v>#VALUE!</v>
      </c>
    </row>
    <row r="4073" spans="1:25" ht="15" x14ac:dyDescent="0.25">
      <c r="A4073" s="4">
        <v>4072</v>
      </c>
      <c r="C4073" s="41" t="s">
        <v>6441</v>
      </c>
      <c r="D4073" s="42"/>
      <c r="E4073" s="5" t="str">
        <f t="shared" si="80"/>
        <v>https://www.screener.in/company//consolidated/</v>
      </c>
      <c r="F4073" s="4">
        <v>443059</v>
      </c>
      <c r="G4073" s="4">
        <v>3832241897</v>
      </c>
      <c r="H4073" s="6" t="e">
        <f t="shared" ca="1" si="81"/>
        <v>#VALUE!</v>
      </c>
      <c r="I4073" s="7" t="str">
        <f ca="1">IFERROR(__xludf.DUMMYFUNCTION("IMPORTXML(E4073,""/html/body/main/div[3]/div[3]/div[2]/ul/li[5]/span[2]/span"")"),"Loading...")</f>
        <v>Loading...</v>
      </c>
      <c r="J4073" s="7" t="str">
        <f ca="1">IFERROR(__xludf.DUMMYFUNCTION("GOOGLEFINANCE(""NSE:""&amp;D4073,""marketcap"")"),"#N/A")</f>
        <v>#N/A</v>
      </c>
      <c r="K4073" s="7">
        <v>992.8</v>
      </c>
      <c r="L4073" s="8" t="str">
        <f ca="1">IFERROR(__xludf.DUMMYFUNCTION("GOOGLEFINANCE(""NSE:""&amp;D4073,""price"")"),"#N/A")</f>
        <v>#N/A</v>
      </c>
      <c r="M4073" s="9" t="e">
        <f t="shared" ca="1" si="82"/>
        <v>#VALUE!</v>
      </c>
      <c r="N4073" s="10" t="e">
        <f t="shared" ca="1" si="83"/>
        <v>#VALUE!</v>
      </c>
      <c r="O4073" s="7" t="str">
        <f ca="1">IFERROR(__xludf.DUMMYFUNCTION("GOOGLEFINANCE(""NSE:""&amp;D4073,""pe"")"),"#N/A")</f>
        <v>#N/A</v>
      </c>
      <c r="P4073" s="7" t="str">
        <f ca="1">IFERROR(__xludf.DUMMYFUNCTION("GOOGLEFINANCE(""NSE:""&amp;D4073,""EPS"")"),"#N/A")</f>
        <v>#N/A</v>
      </c>
      <c r="Q4073" s="7">
        <v>13.5</v>
      </c>
      <c r="R4073" s="7" t="str">
        <f ca="1">IFERROR(__xludf.DUMMYFUNCTION("IMPORTXML(E4073,""/html/body/main/div[3]/div[3]/div[2]/ul/li[7]/span[2]/span"")"),"Loading...")</f>
        <v>Loading...</v>
      </c>
      <c r="S4073" s="7" t="str">
        <f ca="1">IFERROR(__xludf.DUMMYFUNCTION("IMPORTXML(E4073,""/html/body/main/div[3]/div[3]/div[2]/ul/li[8]/span[2]/span"")"),"Loading...")</f>
        <v>Loading...</v>
      </c>
      <c r="T4073" s="4">
        <v>34.6</v>
      </c>
      <c r="U4073" s="4">
        <v>22.7</v>
      </c>
      <c r="V4073" s="4">
        <v>2.6</v>
      </c>
      <c r="W4073" s="4">
        <v>5.7</v>
      </c>
      <c r="X4073" s="4">
        <v>519.92999999999995</v>
      </c>
      <c r="Y4073" s="7" t="e">
        <f t="shared" ca="1" si="84"/>
        <v>#VALUE!</v>
      </c>
    </row>
    <row r="4074" spans="1:25" ht="15" x14ac:dyDescent="0.25">
      <c r="A4074" s="4">
        <v>4073</v>
      </c>
      <c r="C4074" s="41" t="s">
        <v>6442</v>
      </c>
      <c r="D4074" s="42"/>
      <c r="E4074" s="5" t="str">
        <f t="shared" si="80"/>
        <v>https://www.screener.in/company//consolidated/</v>
      </c>
      <c r="F4074" s="4">
        <v>443059</v>
      </c>
      <c r="G4074" s="4">
        <v>3832241897</v>
      </c>
      <c r="H4074" s="6" t="e">
        <f t="shared" ca="1" si="81"/>
        <v>#VALUE!</v>
      </c>
      <c r="I4074" s="7" t="str">
        <f ca="1">IFERROR(__xludf.DUMMYFUNCTION("IMPORTXML(E4074,""/html/body/main/div[3]/div[3]/div[2]/ul/li[5]/span[2]/span"")"),"Loading...")</f>
        <v>Loading...</v>
      </c>
      <c r="J4074" s="7" t="str">
        <f ca="1">IFERROR(__xludf.DUMMYFUNCTION("GOOGLEFINANCE(""NSE:""&amp;D4074,""marketcap"")"),"#N/A")</f>
        <v>#N/A</v>
      </c>
      <c r="K4074" s="7">
        <v>992.8</v>
      </c>
      <c r="L4074" s="8" t="str">
        <f ca="1">IFERROR(__xludf.DUMMYFUNCTION("GOOGLEFINANCE(""NSE:""&amp;D4074,""price"")"),"#N/A")</f>
        <v>#N/A</v>
      </c>
      <c r="M4074" s="9" t="e">
        <f t="shared" ca="1" si="82"/>
        <v>#VALUE!</v>
      </c>
      <c r="N4074" s="10" t="e">
        <f t="shared" ca="1" si="83"/>
        <v>#VALUE!</v>
      </c>
      <c r="O4074" s="7" t="str">
        <f ca="1">IFERROR(__xludf.DUMMYFUNCTION("GOOGLEFINANCE(""NSE:""&amp;D4074,""pe"")"),"#N/A")</f>
        <v>#N/A</v>
      </c>
      <c r="P4074" s="7" t="str">
        <f ca="1">IFERROR(__xludf.DUMMYFUNCTION("GOOGLEFINANCE(""NSE:""&amp;D4074,""EPS"")"),"#N/A")</f>
        <v>#N/A</v>
      </c>
      <c r="Q4074" s="7">
        <v>13.5</v>
      </c>
      <c r="R4074" s="7" t="str">
        <f ca="1">IFERROR(__xludf.DUMMYFUNCTION("IMPORTXML(E4074,""/html/body/main/div[3]/div[3]/div[2]/ul/li[7]/span[2]/span"")"),"Loading...")</f>
        <v>Loading...</v>
      </c>
      <c r="S4074" s="7" t="str">
        <f ca="1">IFERROR(__xludf.DUMMYFUNCTION("IMPORTXML(E4074,""/html/body/main/div[3]/div[3]/div[2]/ul/li[8]/span[2]/span"")"),"Loading...")</f>
        <v>Loading...</v>
      </c>
      <c r="T4074" s="4">
        <v>34.6</v>
      </c>
      <c r="U4074" s="4">
        <v>22.7</v>
      </c>
      <c r="V4074" s="4">
        <v>2.6</v>
      </c>
      <c r="W4074" s="4">
        <v>5.7</v>
      </c>
      <c r="X4074" s="4">
        <v>519.92999999999995</v>
      </c>
      <c r="Y4074" s="7" t="e">
        <f t="shared" ca="1" si="84"/>
        <v>#VALUE!</v>
      </c>
    </row>
    <row r="4075" spans="1:25" ht="15" x14ac:dyDescent="0.25">
      <c r="A4075" s="4">
        <v>4074</v>
      </c>
      <c r="C4075" s="41" t="s">
        <v>6443</v>
      </c>
      <c r="D4075" s="42"/>
      <c r="E4075" s="5" t="str">
        <f t="shared" si="80"/>
        <v>https://www.screener.in/company//consolidated/</v>
      </c>
      <c r="F4075" s="4">
        <v>443059</v>
      </c>
      <c r="G4075" s="4">
        <v>3832241897</v>
      </c>
      <c r="H4075" s="6" t="e">
        <f t="shared" ca="1" si="81"/>
        <v>#VALUE!</v>
      </c>
      <c r="I4075" s="7" t="str">
        <f ca="1">IFERROR(__xludf.DUMMYFUNCTION("IMPORTXML(E4075,""/html/body/main/div[3]/div[3]/div[2]/ul/li[5]/span[2]/span"")"),"Loading...")</f>
        <v>Loading...</v>
      </c>
      <c r="J4075" s="7" t="str">
        <f ca="1">IFERROR(__xludf.DUMMYFUNCTION("GOOGLEFINANCE(""NSE:""&amp;D4075,""marketcap"")"),"#N/A")</f>
        <v>#N/A</v>
      </c>
      <c r="K4075" s="7">
        <v>992.8</v>
      </c>
      <c r="L4075" s="8" t="str">
        <f ca="1">IFERROR(__xludf.DUMMYFUNCTION("GOOGLEFINANCE(""NSE:""&amp;D4075,""price"")"),"#N/A")</f>
        <v>#N/A</v>
      </c>
      <c r="M4075" s="9" t="e">
        <f t="shared" ca="1" si="82"/>
        <v>#VALUE!</v>
      </c>
      <c r="N4075" s="10" t="e">
        <f t="shared" ca="1" si="83"/>
        <v>#VALUE!</v>
      </c>
      <c r="O4075" s="7" t="str">
        <f ca="1">IFERROR(__xludf.DUMMYFUNCTION("GOOGLEFINANCE(""NSE:""&amp;D4075,""pe"")"),"#N/A")</f>
        <v>#N/A</v>
      </c>
      <c r="P4075" s="7" t="str">
        <f ca="1">IFERROR(__xludf.DUMMYFUNCTION("GOOGLEFINANCE(""NSE:""&amp;D4075,""EPS"")"),"#N/A")</f>
        <v>#N/A</v>
      </c>
      <c r="Q4075" s="7">
        <v>13.5</v>
      </c>
      <c r="R4075" s="7" t="str">
        <f ca="1">IFERROR(__xludf.DUMMYFUNCTION("IMPORTXML(E4075,""/html/body/main/div[3]/div[3]/div[2]/ul/li[7]/span[2]/span"")"),"Loading...")</f>
        <v>Loading...</v>
      </c>
      <c r="S4075" s="7" t="str">
        <f ca="1">IFERROR(__xludf.DUMMYFUNCTION("IMPORTXML(E4075,""/html/body/main/div[3]/div[3]/div[2]/ul/li[8]/span[2]/span"")"),"Loading...")</f>
        <v>Loading...</v>
      </c>
      <c r="T4075" s="4">
        <v>34.6</v>
      </c>
      <c r="U4075" s="4">
        <v>22.7</v>
      </c>
      <c r="V4075" s="4">
        <v>2.6</v>
      </c>
      <c r="W4075" s="4">
        <v>5.7</v>
      </c>
      <c r="X4075" s="4">
        <v>519.92999999999995</v>
      </c>
      <c r="Y4075" s="7" t="e">
        <f t="shared" ca="1" si="84"/>
        <v>#VALUE!</v>
      </c>
    </row>
    <row r="4076" spans="1:25" ht="15" x14ac:dyDescent="0.25">
      <c r="A4076" s="4">
        <v>4075</v>
      </c>
      <c r="C4076" s="41" t="s">
        <v>6444</v>
      </c>
      <c r="D4076" s="42"/>
      <c r="E4076" s="5" t="str">
        <f t="shared" si="80"/>
        <v>https://www.screener.in/company//consolidated/</v>
      </c>
      <c r="F4076" s="4">
        <v>443059</v>
      </c>
      <c r="G4076" s="4">
        <v>3832241897</v>
      </c>
      <c r="H4076" s="6" t="e">
        <f t="shared" ca="1" si="81"/>
        <v>#VALUE!</v>
      </c>
      <c r="I4076" s="7" t="str">
        <f ca="1">IFERROR(__xludf.DUMMYFUNCTION("IMPORTXML(E4076,""/html/body/main/div[3]/div[3]/div[2]/ul/li[5]/span[2]/span"")"),"Loading...")</f>
        <v>Loading...</v>
      </c>
      <c r="J4076" s="7" t="str">
        <f ca="1">IFERROR(__xludf.DUMMYFUNCTION("GOOGLEFINANCE(""NSE:""&amp;D4076,""marketcap"")"),"#N/A")</f>
        <v>#N/A</v>
      </c>
      <c r="K4076" s="7">
        <v>992.8</v>
      </c>
      <c r="L4076" s="8" t="str">
        <f ca="1">IFERROR(__xludf.DUMMYFUNCTION("GOOGLEFINANCE(""NSE:""&amp;D4076,""price"")"),"#N/A")</f>
        <v>#N/A</v>
      </c>
      <c r="M4076" s="9" t="e">
        <f t="shared" ca="1" si="82"/>
        <v>#VALUE!</v>
      </c>
      <c r="N4076" s="10" t="e">
        <f t="shared" ca="1" si="83"/>
        <v>#VALUE!</v>
      </c>
      <c r="O4076" s="7" t="str">
        <f ca="1">IFERROR(__xludf.DUMMYFUNCTION("GOOGLEFINANCE(""NSE:""&amp;D4076,""pe"")"),"#N/A")</f>
        <v>#N/A</v>
      </c>
      <c r="P4076" s="7" t="str">
        <f ca="1">IFERROR(__xludf.DUMMYFUNCTION("GOOGLEFINANCE(""NSE:""&amp;D4076,""EPS"")"),"#N/A")</f>
        <v>#N/A</v>
      </c>
      <c r="Q4076" s="7">
        <v>13.5</v>
      </c>
      <c r="R4076" s="7" t="str">
        <f ca="1">IFERROR(__xludf.DUMMYFUNCTION("IMPORTXML(E4076,""/html/body/main/div[3]/div[3]/div[2]/ul/li[7]/span[2]/span"")"),"Loading...")</f>
        <v>Loading...</v>
      </c>
      <c r="S4076" s="7" t="str">
        <f ca="1">IFERROR(__xludf.DUMMYFUNCTION("IMPORTXML(E4076,""/html/body/main/div[3]/div[3]/div[2]/ul/li[8]/span[2]/span"")"),"Loading...")</f>
        <v>Loading...</v>
      </c>
      <c r="T4076" s="4">
        <v>34.6</v>
      </c>
      <c r="U4076" s="4">
        <v>22.7</v>
      </c>
      <c r="V4076" s="4">
        <v>2.6</v>
      </c>
      <c r="W4076" s="4">
        <v>5.7</v>
      </c>
      <c r="X4076" s="4">
        <v>519.92999999999995</v>
      </c>
      <c r="Y4076" s="7" t="e">
        <f t="shared" ca="1" si="84"/>
        <v>#VALUE!</v>
      </c>
    </row>
    <row r="4077" spans="1:25" ht="15" x14ac:dyDescent="0.25">
      <c r="A4077" s="4">
        <v>4076</v>
      </c>
      <c r="C4077" s="41" t="s">
        <v>6445</v>
      </c>
      <c r="D4077" s="42"/>
      <c r="E4077" s="5" t="str">
        <f t="shared" si="80"/>
        <v>https://www.screener.in/company//consolidated/</v>
      </c>
      <c r="F4077" s="4">
        <v>443059</v>
      </c>
      <c r="G4077" s="4">
        <v>3832241897</v>
      </c>
      <c r="H4077" s="6" t="e">
        <f t="shared" ca="1" si="81"/>
        <v>#VALUE!</v>
      </c>
      <c r="I4077" s="7" t="str">
        <f ca="1">IFERROR(__xludf.DUMMYFUNCTION("IMPORTXML(E4077,""/html/body/main/div[3]/div[3]/div[2]/ul/li[5]/span[2]/span"")"),"Loading...")</f>
        <v>Loading...</v>
      </c>
      <c r="J4077" s="7" t="str">
        <f ca="1">IFERROR(__xludf.DUMMYFUNCTION("GOOGLEFINANCE(""NSE:""&amp;D4077,""marketcap"")"),"#N/A")</f>
        <v>#N/A</v>
      </c>
      <c r="K4077" s="7">
        <v>992.8</v>
      </c>
      <c r="L4077" s="8" t="str">
        <f ca="1">IFERROR(__xludf.DUMMYFUNCTION("GOOGLEFINANCE(""NSE:""&amp;D4077,""price"")"),"#N/A")</f>
        <v>#N/A</v>
      </c>
      <c r="M4077" s="9" t="e">
        <f t="shared" ca="1" si="82"/>
        <v>#VALUE!</v>
      </c>
      <c r="N4077" s="10" t="e">
        <f t="shared" ca="1" si="83"/>
        <v>#VALUE!</v>
      </c>
      <c r="O4077" s="7" t="str">
        <f ca="1">IFERROR(__xludf.DUMMYFUNCTION("GOOGLEFINANCE(""NSE:""&amp;D4077,""pe"")"),"#N/A")</f>
        <v>#N/A</v>
      </c>
      <c r="P4077" s="7" t="str">
        <f ca="1">IFERROR(__xludf.DUMMYFUNCTION("GOOGLEFINANCE(""NSE:""&amp;D4077,""EPS"")"),"#N/A")</f>
        <v>#N/A</v>
      </c>
      <c r="Q4077" s="7">
        <v>13.5</v>
      </c>
      <c r="R4077" s="7" t="str">
        <f ca="1">IFERROR(__xludf.DUMMYFUNCTION("IMPORTXML(E4077,""/html/body/main/div[3]/div[3]/div[2]/ul/li[7]/span[2]/span"")"),"Loading...")</f>
        <v>Loading...</v>
      </c>
      <c r="S4077" s="7" t="str">
        <f ca="1">IFERROR(__xludf.DUMMYFUNCTION("IMPORTXML(E4077,""/html/body/main/div[3]/div[3]/div[2]/ul/li[8]/span[2]/span"")"),"Loading...")</f>
        <v>Loading...</v>
      </c>
      <c r="T4077" s="4">
        <v>34.6</v>
      </c>
      <c r="U4077" s="4">
        <v>22.7</v>
      </c>
      <c r="V4077" s="4">
        <v>2.6</v>
      </c>
      <c r="W4077" s="4">
        <v>5.7</v>
      </c>
      <c r="X4077" s="4">
        <v>519.92999999999995</v>
      </c>
      <c r="Y4077" s="7" t="e">
        <f t="shared" ca="1" si="84"/>
        <v>#VALUE!</v>
      </c>
    </row>
    <row r="4078" spans="1:25" ht="15" x14ac:dyDescent="0.25">
      <c r="A4078" s="4">
        <v>4077</v>
      </c>
      <c r="C4078" s="41" t="s">
        <v>6446</v>
      </c>
      <c r="D4078" s="42"/>
      <c r="E4078" s="5" t="str">
        <f t="shared" si="80"/>
        <v>https://www.screener.in/company//consolidated/</v>
      </c>
      <c r="F4078" s="4">
        <v>443059</v>
      </c>
      <c r="G4078" s="4">
        <v>3832241897</v>
      </c>
      <c r="H4078" s="6" t="e">
        <f t="shared" ca="1" si="81"/>
        <v>#VALUE!</v>
      </c>
      <c r="I4078" s="7" t="str">
        <f ca="1">IFERROR(__xludf.DUMMYFUNCTION("IMPORTXML(E4078,""/html/body/main/div[3]/div[3]/div[2]/ul/li[5]/span[2]/span"")"),"Loading...")</f>
        <v>Loading...</v>
      </c>
      <c r="J4078" s="7" t="str">
        <f ca="1">IFERROR(__xludf.DUMMYFUNCTION("GOOGLEFINANCE(""NSE:""&amp;D4078,""marketcap"")"),"#N/A")</f>
        <v>#N/A</v>
      </c>
      <c r="K4078" s="7">
        <v>992.8</v>
      </c>
      <c r="L4078" s="8" t="str">
        <f ca="1">IFERROR(__xludf.DUMMYFUNCTION("GOOGLEFINANCE(""NSE:""&amp;D4078,""price"")"),"#N/A")</f>
        <v>#N/A</v>
      </c>
      <c r="M4078" s="9" t="e">
        <f t="shared" ca="1" si="82"/>
        <v>#VALUE!</v>
      </c>
      <c r="N4078" s="10" t="e">
        <f t="shared" ca="1" si="83"/>
        <v>#VALUE!</v>
      </c>
      <c r="O4078" s="7" t="str">
        <f ca="1">IFERROR(__xludf.DUMMYFUNCTION("GOOGLEFINANCE(""NSE:""&amp;D4078,""pe"")"),"#N/A")</f>
        <v>#N/A</v>
      </c>
      <c r="P4078" s="7" t="str">
        <f ca="1">IFERROR(__xludf.DUMMYFUNCTION("GOOGLEFINANCE(""NSE:""&amp;D4078,""EPS"")"),"#N/A")</f>
        <v>#N/A</v>
      </c>
      <c r="Q4078" s="7">
        <v>13.5</v>
      </c>
      <c r="R4078" s="7" t="str">
        <f ca="1">IFERROR(__xludf.DUMMYFUNCTION("IMPORTXML(E4078,""/html/body/main/div[3]/div[3]/div[2]/ul/li[7]/span[2]/span"")"),"Loading...")</f>
        <v>Loading...</v>
      </c>
      <c r="S4078" s="7" t="str">
        <f ca="1">IFERROR(__xludf.DUMMYFUNCTION("IMPORTXML(E4078,""/html/body/main/div[3]/div[3]/div[2]/ul/li[8]/span[2]/span"")"),"Loading...")</f>
        <v>Loading...</v>
      </c>
      <c r="T4078" s="4">
        <v>34.6</v>
      </c>
      <c r="U4078" s="4">
        <v>22.7</v>
      </c>
      <c r="V4078" s="4">
        <v>2.6</v>
      </c>
      <c r="W4078" s="4">
        <v>5.7</v>
      </c>
      <c r="X4078" s="4">
        <v>519.92999999999995</v>
      </c>
      <c r="Y4078" s="7" t="e">
        <f t="shared" ca="1" si="84"/>
        <v>#VALUE!</v>
      </c>
    </row>
    <row r="4079" spans="1:25" ht="15" x14ac:dyDescent="0.25">
      <c r="A4079" s="4">
        <v>4078</v>
      </c>
      <c r="C4079" s="41" t="s">
        <v>6447</v>
      </c>
      <c r="D4079" s="42"/>
      <c r="E4079" s="5" t="str">
        <f t="shared" si="80"/>
        <v>https://www.screener.in/company//consolidated/</v>
      </c>
      <c r="F4079" s="4">
        <v>443059</v>
      </c>
      <c r="G4079" s="4">
        <v>3832241897</v>
      </c>
      <c r="H4079" s="6" t="e">
        <f t="shared" ca="1" si="81"/>
        <v>#VALUE!</v>
      </c>
      <c r="I4079" s="7" t="str">
        <f ca="1">IFERROR(__xludf.DUMMYFUNCTION("IMPORTXML(E4079,""/html/body/main/div[3]/div[3]/div[2]/ul/li[5]/span[2]/span"")"),"Loading...")</f>
        <v>Loading...</v>
      </c>
      <c r="J4079" s="7" t="str">
        <f ca="1">IFERROR(__xludf.DUMMYFUNCTION("GOOGLEFINANCE(""NSE:""&amp;D4079,""marketcap"")"),"#N/A")</f>
        <v>#N/A</v>
      </c>
      <c r="K4079" s="7">
        <v>992.8</v>
      </c>
      <c r="L4079" s="8" t="str">
        <f ca="1">IFERROR(__xludf.DUMMYFUNCTION("GOOGLEFINANCE(""NSE:""&amp;D4079,""price"")"),"#N/A")</f>
        <v>#N/A</v>
      </c>
      <c r="M4079" s="9" t="e">
        <f t="shared" ca="1" si="82"/>
        <v>#VALUE!</v>
      </c>
      <c r="N4079" s="10" t="e">
        <f t="shared" ca="1" si="83"/>
        <v>#VALUE!</v>
      </c>
      <c r="O4079" s="7" t="str">
        <f ca="1">IFERROR(__xludf.DUMMYFUNCTION("GOOGLEFINANCE(""NSE:""&amp;D4079,""pe"")"),"#N/A")</f>
        <v>#N/A</v>
      </c>
      <c r="P4079" s="7" t="str">
        <f ca="1">IFERROR(__xludf.DUMMYFUNCTION("GOOGLEFINANCE(""NSE:""&amp;D4079,""EPS"")"),"#N/A")</f>
        <v>#N/A</v>
      </c>
      <c r="Q4079" s="7">
        <v>13.5</v>
      </c>
      <c r="R4079" s="7" t="str">
        <f ca="1">IFERROR(__xludf.DUMMYFUNCTION("IMPORTXML(E4079,""/html/body/main/div[3]/div[3]/div[2]/ul/li[7]/span[2]/span"")"),"Loading...")</f>
        <v>Loading...</v>
      </c>
      <c r="S4079" s="7" t="str">
        <f ca="1">IFERROR(__xludf.DUMMYFUNCTION("IMPORTXML(E4079,""/html/body/main/div[3]/div[3]/div[2]/ul/li[8]/span[2]/span"")"),"Loading...")</f>
        <v>Loading...</v>
      </c>
      <c r="T4079" s="4">
        <v>34.6</v>
      </c>
      <c r="U4079" s="4">
        <v>22.7</v>
      </c>
      <c r="V4079" s="4">
        <v>2.6</v>
      </c>
      <c r="W4079" s="4">
        <v>5.7</v>
      </c>
      <c r="X4079" s="4">
        <v>519.92999999999995</v>
      </c>
      <c r="Y4079" s="7" t="e">
        <f t="shared" ca="1" si="84"/>
        <v>#VALUE!</v>
      </c>
    </row>
    <row r="4080" spans="1:25" ht="15" x14ac:dyDescent="0.25">
      <c r="A4080" s="4">
        <v>4079</v>
      </c>
      <c r="C4080" s="41" t="s">
        <v>6448</v>
      </c>
      <c r="D4080" s="42"/>
      <c r="E4080" s="5" t="str">
        <f t="shared" si="80"/>
        <v>https://www.screener.in/company//consolidated/</v>
      </c>
      <c r="F4080" s="4">
        <v>443059</v>
      </c>
      <c r="G4080" s="4">
        <v>3832241897</v>
      </c>
      <c r="H4080" s="6" t="e">
        <f t="shared" ca="1" si="81"/>
        <v>#VALUE!</v>
      </c>
      <c r="I4080" s="7" t="str">
        <f ca="1">IFERROR(__xludf.DUMMYFUNCTION("IMPORTXML(E4080,""/html/body/main/div[3]/div[3]/div[2]/ul/li[5]/span[2]/span"")"),"Loading...")</f>
        <v>Loading...</v>
      </c>
      <c r="J4080" s="7" t="str">
        <f ca="1">IFERROR(__xludf.DUMMYFUNCTION("GOOGLEFINANCE(""NSE:""&amp;D4080,""marketcap"")"),"#N/A")</f>
        <v>#N/A</v>
      </c>
      <c r="K4080" s="7">
        <v>992.8</v>
      </c>
      <c r="L4080" s="8" t="str">
        <f ca="1">IFERROR(__xludf.DUMMYFUNCTION("GOOGLEFINANCE(""NSE:""&amp;D4080,""price"")"),"#N/A")</f>
        <v>#N/A</v>
      </c>
      <c r="M4080" s="9" t="e">
        <f t="shared" ca="1" si="82"/>
        <v>#VALUE!</v>
      </c>
      <c r="N4080" s="10" t="e">
        <f t="shared" ca="1" si="83"/>
        <v>#VALUE!</v>
      </c>
      <c r="O4080" s="7" t="str">
        <f ca="1">IFERROR(__xludf.DUMMYFUNCTION("GOOGLEFINANCE(""NSE:""&amp;D4080,""pe"")"),"#N/A")</f>
        <v>#N/A</v>
      </c>
      <c r="P4080" s="7" t="str">
        <f ca="1">IFERROR(__xludf.DUMMYFUNCTION("GOOGLEFINANCE(""NSE:""&amp;D4080,""EPS"")"),"#N/A")</f>
        <v>#N/A</v>
      </c>
      <c r="Q4080" s="7">
        <v>13.5</v>
      </c>
      <c r="R4080" s="7" t="str">
        <f ca="1">IFERROR(__xludf.DUMMYFUNCTION("IMPORTXML(E4080,""/html/body/main/div[3]/div[3]/div[2]/ul/li[7]/span[2]/span"")"),"Loading...")</f>
        <v>Loading...</v>
      </c>
      <c r="S4080" s="7" t="str">
        <f ca="1">IFERROR(__xludf.DUMMYFUNCTION("IMPORTXML(E4080,""/html/body/main/div[3]/div[3]/div[2]/ul/li[8]/span[2]/span"")"),"Loading...")</f>
        <v>Loading...</v>
      </c>
      <c r="T4080" s="4">
        <v>34.6</v>
      </c>
      <c r="U4080" s="4">
        <v>22.7</v>
      </c>
      <c r="V4080" s="4">
        <v>2.6</v>
      </c>
      <c r="W4080" s="4">
        <v>5.7</v>
      </c>
      <c r="X4080" s="4">
        <v>519.92999999999995</v>
      </c>
      <c r="Y4080" s="7" t="e">
        <f t="shared" ca="1" si="84"/>
        <v>#VALUE!</v>
      </c>
    </row>
    <row r="4081" spans="1:25" ht="15" x14ac:dyDescent="0.25">
      <c r="A4081" s="4">
        <v>4080</v>
      </c>
      <c r="C4081" s="41" t="s">
        <v>6449</v>
      </c>
      <c r="D4081" s="42"/>
      <c r="E4081" s="5" t="str">
        <f t="shared" si="80"/>
        <v>https://www.screener.in/company//consolidated/</v>
      </c>
      <c r="F4081" s="4">
        <v>443059</v>
      </c>
      <c r="G4081" s="4">
        <v>3832241897</v>
      </c>
      <c r="H4081" s="6" t="e">
        <f t="shared" ca="1" si="81"/>
        <v>#VALUE!</v>
      </c>
      <c r="I4081" s="7" t="str">
        <f ca="1">IFERROR(__xludf.DUMMYFUNCTION("IMPORTXML(E4081,""/html/body/main/div[3]/div[3]/div[2]/ul/li[5]/span[2]/span"")"),"Loading...")</f>
        <v>Loading...</v>
      </c>
      <c r="J4081" s="7" t="str">
        <f ca="1">IFERROR(__xludf.DUMMYFUNCTION("GOOGLEFINANCE(""NSE:""&amp;D4081,""marketcap"")"),"#N/A")</f>
        <v>#N/A</v>
      </c>
      <c r="K4081" s="7">
        <v>992.8</v>
      </c>
      <c r="L4081" s="8" t="str">
        <f ca="1">IFERROR(__xludf.DUMMYFUNCTION("GOOGLEFINANCE(""NSE:""&amp;D4081,""price"")"),"#N/A")</f>
        <v>#N/A</v>
      </c>
      <c r="M4081" s="9" t="e">
        <f t="shared" ca="1" si="82"/>
        <v>#VALUE!</v>
      </c>
      <c r="N4081" s="10" t="e">
        <f t="shared" ca="1" si="83"/>
        <v>#VALUE!</v>
      </c>
      <c r="O4081" s="7" t="str">
        <f ca="1">IFERROR(__xludf.DUMMYFUNCTION("GOOGLEFINANCE(""NSE:""&amp;D4081,""pe"")"),"#N/A")</f>
        <v>#N/A</v>
      </c>
      <c r="P4081" s="7" t="str">
        <f ca="1">IFERROR(__xludf.DUMMYFUNCTION("GOOGLEFINANCE(""NSE:""&amp;D4081,""EPS"")"),"#N/A")</f>
        <v>#N/A</v>
      </c>
      <c r="Q4081" s="7">
        <v>13.5</v>
      </c>
      <c r="R4081" s="7" t="str">
        <f ca="1">IFERROR(__xludf.DUMMYFUNCTION("IMPORTXML(E4081,""/html/body/main/div[3]/div[3]/div[2]/ul/li[7]/span[2]/span"")"),"Loading...")</f>
        <v>Loading...</v>
      </c>
      <c r="S4081" s="7" t="str">
        <f ca="1">IFERROR(__xludf.DUMMYFUNCTION("IMPORTXML(E4081,""/html/body/main/div[3]/div[3]/div[2]/ul/li[8]/span[2]/span"")"),"Loading...")</f>
        <v>Loading...</v>
      </c>
      <c r="T4081" s="4">
        <v>34.6</v>
      </c>
      <c r="U4081" s="4">
        <v>22.7</v>
      </c>
      <c r="V4081" s="4">
        <v>2.6</v>
      </c>
      <c r="W4081" s="4">
        <v>5.7</v>
      </c>
      <c r="X4081" s="4">
        <v>519.92999999999995</v>
      </c>
      <c r="Y4081" s="7" t="e">
        <f t="shared" ca="1" si="84"/>
        <v>#VALUE!</v>
      </c>
    </row>
    <row r="4082" spans="1:25" ht="15" x14ac:dyDescent="0.25">
      <c r="A4082" s="4">
        <v>4081</v>
      </c>
      <c r="C4082" s="41" t="s">
        <v>6450</v>
      </c>
      <c r="D4082" s="42"/>
      <c r="E4082" s="5" t="str">
        <f t="shared" si="80"/>
        <v>https://www.screener.in/company//consolidated/</v>
      </c>
      <c r="F4082" s="4">
        <v>443059</v>
      </c>
      <c r="G4082" s="4">
        <v>3832241897</v>
      </c>
      <c r="H4082" s="6" t="e">
        <f t="shared" ca="1" si="81"/>
        <v>#VALUE!</v>
      </c>
      <c r="I4082" s="7" t="str">
        <f ca="1">IFERROR(__xludf.DUMMYFUNCTION("IMPORTXML(E4082,""/html/body/main/div[3]/div[3]/div[2]/ul/li[5]/span[2]/span"")"),"Loading...")</f>
        <v>Loading...</v>
      </c>
      <c r="J4082" s="7" t="str">
        <f ca="1">IFERROR(__xludf.DUMMYFUNCTION("GOOGLEFINANCE(""NSE:""&amp;D4082,""marketcap"")"),"#N/A")</f>
        <v>#N/A</v>
      </c>
      <c r="K4082" s="7">
        <v>992.8</v>
      </c>
      <c r="L4082" s="8" t="str">
        <f ca="1">IFERROR(__xludf.DUMMYFUNCTION("GOOGLEFINANCE(""NSE:""&amp;D4082,""price"")"),"#N/A")</f>
        <v>#N/A</v>
      </c>
      <c r="M4082" s="9" t="e">
        <f t="shared" ca="1" si="82"/>
        <v>#VALUE!</v>
      </c>
      <c r="N4082" s="10" t="e">
        <f t="shared" ca="1" si="83"/>
        <v>#VALUE!</v>
      </c>
      <c r="O4082" s="7" t="str">
        <f ca="1">IFERROR(__xludf.DUMMYFUNCTION("GOOGLEFINANCE(""NSE:""&amp;D4082,""pe"")"),"#N/A")</f>
        <v>#N/A</v>
      </c>
      <c r="P4082" s="7" t="str">
        <f ca="1">IFERROR(__xludf.DUMMYFUNCTION("GOOGLEFINANCE(""NSE:""&amp;D4082,""EPS"")"),"#N/A")</f>
        <v>#N/A</v>
      </c>
      <c r="Q4082" s="7">
        <v>13.5</v>
      </c>
      <c r="R4082" s="7" t="str">
        <f ca="1">IFERROR(__xludf.DUMMYFUNCTION("IMPORTXML(E4082,""/html/body/main/div[3]/div[3]/div[2]/ul/li[7]/span[2]/span"")"),"Loading...")</f>
        <v>Loading...</v>
      </c>
      <c r="S4082" s="7" t="str">
        <f ca="1">IFERROR(__xludf.DUMMYFUNCTION("IMPORTXML(E4082,""/html/body/main/div[3]/div[3]/div[2]/ul/li[8]/span[2]/span"")"),"Loading...")</f>
        <v>Loading...</v>
      </c>
      <c r="T4082" s="4">
        <v>34.6</v>
      </c>
      <c r="U4082" s="4">
        <v>22.7</v>
      </c>
      <c r="V4082" s="4">
        <v>2.6</v>
      </c>
      <c r="W4082" s="4">
        <v>5.7</v>
      </c>
      <c r="X4082" s="4">
        <v>519.92999999999995</v>
      </c>
      <c r="Y4082" s="7" t="e">
        <f t="shared" ca="1" si="84"/>
        <v>#VALUE!</v>
      </c>
    </row>
    <row r="4083" spans="1:25" ht="15" x14ac:dyDescent="0.25">
      <c r="A4083" s="4">
        <v>4082</v>
      </c>
      <c r="C4083" s="41" t="s">
        <v>6451</v>
      </c>
      <c r="D4083" s="42"/>
      <c r="E4083" s="5" t="str">
        <f t="shared" si="80"/>
        <v>https://www.screener.in/company//consolidated/</v>
      </c>
      <c r="F4083" s="4">
        <v>443059</v>
      </c>
      <c r="G4083" s="4">
        <v>3832241897</v>
      </c>
      <c r="H4083" s="6" t="e">
        <f t="shared" ca="1" si="81"/>
        <v>#VALUE!</v>
      </c>
      <c r="I4083" s="7" t="str">
        <f ca="1">IFERROR(__xludf.DUMMYFUNCTION("IMPORTXML(E4083,""/html/body/main/div[3]/div[3]/div[2]/ul/li[5]/span[2]/span"")"),"Loading...")</f>
        <v>Loading...</v>
      </c>
      <c r="J4083" s="7" t="str">
        <f ca="1">IFERROR(__xludf.DUMMYFUNCTION("GOOGLEFINANCE(""NSE:""&amp;D4083,""marketcap"")"),"#N/A")</f>
        <v>#N/A</v>
      </c>
      <c r="K4083" s="7">
        <v>992.8</v>
      </c>
      <c r="L4083" s="8" t="str">
        <f ca="1">IFERROR(__xludf.DUMMYFUNCTION("GOOGLEFINANCE(""NSE:""&amp;D4083,""price"")"),"#N/A")</f>
        <v>#N/A</v>
      </c>
      <c r="M4083" s="9" t="e">
        <f t="shared" ca="1" si="82"/>
        <v>#VALUE!</v>
      </c>
      <c r="N4083" s="10" t="e">
        <f t="shared" ca="1" si="83"/>
        <v>#VALUE!</v>
      </c>
      <c r="O4083" s="7" t="str">
        <f ca="1">IFERROR(__xludf.DUMMYFUNCTION("GOOGLEFINANCE(""NSE:""&amp;D4083,""pe"")"),"#N/A")</f>
        <v>#N/A</v>
      </c>
      <c r="P4083" s="7" t="str">
        <f ca="1">IFERROR(__xludf.DUMMYFUNCTION("GOOGLEFINANCE(""NSE:""&amp;D4083,""EPS"")"),"#N/A")</f>
        <v>#N/A</v>
      </c>
      <c r="Q4083" s="7">
        <v>13.5</v>
      </c>
      <c r="R4083" s="7" t="str">
        <f ca="1">IFERROR(__xludf.DUMMYFUNCTION("IMPORTXML(E4083,""/html/body/main/div[3]/div[3]/div[2]/ul/li[7]/span[2]/span"")"),"Loading...")</f>
        <v>Loading...</v>
      </c>
      <c r="S4083" s="7" t="str">
        <f ca="1">IFERROR(__xludf.DUMMYFUNCTION("IMPORTXML(E4083,""/html/body/main/div[3]/div[3]/div[2]/ul/li[8]/span[2]/span"")"),"Loading...")</f>
        <v>Loading...</v>
      </c>
      <c r="T4083" s="4">
        <v>34.6</v>
      </c>
      <c r="U4083" s="4">
        <v>22.7</v>
      </c>
      <c r="V4083" s="4">
        <v>2.6</v>
      </c>
      <c r="W4083" s="4">
        <v>5.7</v>
      </c>
      <c r="X4083" s="4">
        <v>519.92999999999995</v>
      </c>
      <c r="Y4083" s="7" t="e">
        <f t="shared" ca="1" si="84"/>
        <v>#VALUE!</v>
      </c>
    </row>
    <row r="4084" spans="1:25" ht="15" x14ac:dyDescent="0.25">
      <c r="A4084" s="4">
        <v>4083</v>
      </c>
      <c r="C4084" s="41" t="s">
        <v>6452</v>
      </c>
      <c r="D4084" s="42"/>
      <c r="E4084" s="5" t="str">
        <f t="shared" si="80"/>
        <v>https://www.screener.in/company//consolidated/</v>
      </c>
      <c r="F4084" s="4">
        <v>443059</v>
      </c>
      <c r="G4084" s="4">
        <v>3832241897</v>
      </c>
      <c r="H4084" s="6" t="e">
        <f t="shared" ca="1" si="81"/>
        <v>#VALUE!</v>
      </c>
      <c r="I4084" s="7" t="str">
        <f ca="1">IFERROR(__xludf.DUMMYFUNCTION("IMPORTXML(E4084,""/html/body/main/div[3]/div[3]/div[2]/ul/li[5]/span[2]/span"")"),"Loading...")</f>
        <v>Loading...</v>
      </c>
      <c r="J4084" s="7" t="str">
        <f ca="1">IFERROR(__xludf.DUMMYFUNCTION("GOOGLEFINANCE(""NSE:""&amp;D4084,""marketcap"")"),"#N/A")</f>
        <v>#N/A</v>
      </c>
      <c r="K4084" s="7">
        <v>992.8</v>
      </c>
      <c r="L4084" s="8" t="str">
        <f ca="1">IFERROR(__xludf.DUMMYFUNCTION("GOOGLEFINANCE(""NSE:""&amp;D4084,""price"")"),"#N/A")</f>
        <v>#N/A</v>
      </c>
      <c r="M4084" s="9" t="e">
        <f t="shared" ca="1" si="82"/>
        <v>#VALUE!</v>
      </c>
      <c r="N4084" s="10" t="e">
        <f t="shared" ca="1" si="83"/>
        <v>#VALUE!</v>
      </c>
      <c r="O4084" s="7" t="str">
        <f ca="1">IFERROR(__xludf.DUMMYFUNCTION("GOOGLEFINANCE(""NSE:""&amp;D4084,""pe"")"),"#N/A")</f>
        <v>#N/A</v>
      </c>
      <c r="P4084" s="7" t="str">
        <f ca="1">IFERROR(__xludf.DUMMYFUNCTION("GOOGLEFINANCE(""NSE:""&amp;D4084,""EPS"")"),"#N/A")</f>
        <v>#N/A</v>
      </c>
      <c r="Q4084" s="7">
        <v>13.5</v>
      </c>
      <c r="R4084" s="7" t="str">
        <f ca="1">IFERROR(__xludf.DUMMYFUNCTION("IMPORTXML(E4084,""/html/body/main/div[3]/div[3]/div[2]/ul/li[7]/span[2]/span"")"),"Loading...")</f>
        <v>Loading...</v>
      </c>
      <c r="S4084" s="7" t="str">
        <f ca="1">IFERROR(__xludf.DUMMYFUNCTION("IMPORTXML(E4084,""/html/body/main/div[3]/div[3]/div[2]/ul/li[8]/span[2]/span"")"),"Loading...")</f>
        <v>Loading...</v>
      </c>
      <c r="T4084" s="4">
        <v>34.6</v>
      </c>
      <c r="U4084" s="4">
        <v>22.7</v>
      </c>
      <c r="V4084" s="4">
        <v>2.6</v>
      </c>
      <c r="W4084" s="4">
        <v>5.7</v>
      </c>
      <c r="X4084" s="4">
        <v>519.92999999999995</v>
      </c>
      <c r="Y4084" s="7" t="e">
        <f t="shared" ca="1" si="84"/>
        <v>#VALUE!</v>
      </c>
    </row>
    <row r="4085" spans="1:25" ht="15" x14ac:dyDescent="0.25">
      <c r="A4085" s="4">
        <v>4084</v>
      </c>
      <c r="C4085" s="41" t="s">
        <v>6453</v>
      </c>
      <c r="D4085" s="42"/>
      <c r="E4085" s="5" t="str">
        <f t="shared" si="80"/>
        <v>https://www.screener.in/company//consolidated/</v>
      </c>
      <c r="F4085" s="4">
        <v>443059</v>
      </c>
      <c r="G4085" s="4">
        <v>3832241897</v>
      </c>
      <c r="H4085" s="6" t="e">
        <f t="shared" ca="1" si="81"/>
        <v>#VALUE!</v>
      </c>
      <c r="I4085" s="7" t="str">
        <f ca="1">IFERROR(__xludf.DUMMYFUNCTION("IMPORTXML(E4085,""/html/body/main/div[3]/div[3]/div[2]/ul/li[5]/span[2]/span"")"),"Loading...")</f>
        <v>Loading...</v>
      </c>
      <c r="J4085" s="7" t="str">
        <f ca="1">IFERROR(__xludf.DUMMYFUNCTION("GOOGLEFINANCE(""NSE:""&amp;D4085,""marketcap"")"),"#N/A")</f>
        <v>#N/A</v>
      </c>
      <c r="K4085" s="7">
        <v>992.8</v>
      </c>
      <c r="L4085" s="8" t="str">
        <f ca="1">IFERROR(__xludf.DUMMYFUNCTION("GOOGLEFINANCE(""NSE:""&amp;D4085,""price"")"),"#N/A")</f>
        <v>#N/A</v>
      </c>
      <c r="M4085" s="9" t="e">
        <f t="shared" ca="1" si="82"/>
        <v>#VALUE!</v>
      </c>
      <c r="N4085" s="10" t="e">
        <f t="shared" ca="1" si="83"/>
        <v>#VALUE!</v>
      </c>
      <c r="O4085" s="7" t="str">
        <f ca="1">IFERROR(__xludf.DUMMYFUNCTION("GOOGLEFINANCE(""NSE:""&amp;D4085,""pe"")"),"#N/A")</f>
        <v>#N/A</v>
      </c>
      <c r="P4085" s="7" t="str">
        <f ca="1">IFERROR(__xludf.DUMMYFUNCTION("GOOGLEFINANCE(""NSE:""&amp;D4085,""EPS"")"),"#N/A")</f>
        <v>#N/A</v>
      </c>
      <c r="Q4085" s="7">
        <v>13.5</v>
      </c>
      <c r="R4085" s="7" t="str">
        <f ca="1">IFERROR(__xludf.DUMMYFUNCTION("IMPORTXML(E4085,""/html/body/main/div[3]/div[3]/div[2]/ul/li[7]/span[2]/span"")"),"Loading...")</f>
        <v>Loading...</v>
      </c>
      <c r="S4085" s="7" t="str">
        <f ca="1">IFERROR(__xludf.DUMMYFUNCTION("IMPORTXML(E4085,""/html/body/main/div[3]/div[3]/div[2]/ul/li[8]/span[2]/span"")"),"Loading...")</f>
        <v>Loading...</v>
      </c>
      <c r="T4085" s="4">
        <v>34.6</v>
      </c>
      <c r="U4085" s="4">
        <v>22.7</v>
      </c>
      <c r="V4085" s="4">
        <v>2.6</v>
      </c>
      <c r="W4085" s="4">
        <v>5.7</v>
      </c>
      <c r="X4085" s="4">
        <v>519.92999999999995</v>
      </c>
      <c r="Y4085" s="7" t="e">
        <f t="shared" ca="1" si="84"/>
        <v>#VALUE!</v>
      </c>
    </row>
    <row r="4086" spans="1:25" ht="15" x14ac:dyDescent="0.25">
      <c r="A4086" s="4">
        <v>4085</v>
      </c>
      <c r="C4086" s="41" t="s">
        <v>6454</v>
      </c>
      <c r="D4086" s="42"/>
      <c r="E4086" s="5" t="str">
        <f t="shared" si="80"/>
        <v>https://www.screener.in/company//consolidated/</v>
      </c>
      <c r="F4086" s="4">
        <v>443059</v>
      </c>
      <c r="G4086" s="4">
        <v>3832241897</v>
      </c>
      <c r="H4086" s="6" t="e">
        <f t="shared" ca="1" si="81"/>
        <v>#VALUE!</v>
      </c>
      <c r="I4086" s="7" t="str">
        <f ca="1">IFERROR(__xludf.DUMMYFUNCTION("IMPORTXML(E4086,""/html/body/main/div[3]/div[3]/div[2]/ul/li[5]/span[2]/span"")"),"Loading...")</f>
        <v>Loading...</v>
      </c>
      <c r="J4086" s="7" t="str">
        <f ca="1">IFERROR(__xludf.DUMMYFUNCTION("GOOGLEFINANCE(""NSE:""&amp;D4086,""marketcap"")"),"#N/A")</f>
        <v>#N/A</v>
      </c>
      <c r="K4086" s="7">
        <v>992.8</v>
      </c>
      <c r="L4086" s="8" t="str">
        <f ca="1">IFERROR(__xludf.DUMMYFUNCTION("GOOGLEFINANCE(""NSE:""&amp;D4086,""price"")"),"#N/A")</f>
        <v>#N/A</v>
      </c>
      <c r="M4086" s="9" t="e">
        <f t="shared" ca="1" si="82"/>
        <v>#VALUE!</v>
      </c>
      <c r="N4086" s="10" t="e">
        <f t="shared" ca="1" si="83"/>
        <v>#VALUE!</v>
      </c>
      <c r="O4086" s="7" t="str">
        <f ca="1">IFERROR(__xludf.DUMMYFUNCTION("GOOGLEFINANCE(""NSE:""&amp;D4086,""pe"")"),"#N/A")</f>
        <v>#N/A</v>
      </c>
      <c r="P4086" s="7" t="str">
        <f ca="1">IFERROR(__xludf.DUMMYFUNCTION("GOOGLEFINANCE(""NSE:""&amp;D4086,""EPS"")"),"#N/A")</f>
        <v>#N/A</v>
      </c>
      <c r="Q4086" s="7">
        <v>13.5</v>
      </c>
      <c r="R4086" s="7" t="str">
        <f ca="1">IFERROR(__xludf.DUMMYFUNCTION("IMPORTXML(E4086,""/html/body/main/div[3]/div[3]/div[2]/ul/li[7]/span[2]/span"")"),"Loading...")</f>
        <v>Loading...</v>
      </c>
      <c r="S4086" s="7" t="str">
        <f ca="1">IFERROR(__xludf.DUMMYFUNCTION("IMPORTXML(E4086,""/html/body/main/div[3]/div[3]/div[2]/ul/li[8]/span[2]/span"")"),"Loading...")</f>
        <v>Loading...</v>
      </c>
      <c r="T4086" s="4">
        <v>34.6</v>
      </c>
      <c r="U4086" s="4">
        <v>22.7</v>
      </c>
      <c r="V4086" s="4">
        <v>2.6</v>
      </c>
      <c r="W4086" s="4">
        <v>5.7</v>
      </c>
      <c r="X4086" s="4">
        <v>519.92999999999995</v>
      </c>
      <c r="Y4086" s="7" t="e">
        <f t="shared" ca="1" si="84"/>
        <v>#VALUE!</v>
      </c>
    </row>
    <row r="4087" spans="1:25" ht="15" x14ac:dyDescent="0.25">
      <c r="A4087" s="4">
        <v>4086</v>
      </c>
      <c r="C4087" s="41" t="s">
        <v>6455</v>
      </c>
      <c r="D4087" s="42"/>
      <c r="E4087" s="5" t="str">
        <f t="shared" si="80"/>
        <v>https://www.screener.in/company//consolidated/</v>
      </c>
      <c r="F4087" s="4">
        <v>443059</v>
      </c>
      <c r="G4087" s="4">
        <v>3832241897</v>
      </c>
      <c r="H4087" s="6" t="e">
        <f t="shared" ca="1" si="81"/>
        <v>#VALUE!</v>
      </c>
      <c r="I4087" s="7" t="str">
        <f ca="1">IFERROR(__xludf.DUMMYFUNCTION("IMPORTXML(E4087,""/html/body/main/div[3]/div[3]/div[2]/ul/li[5]/span[2]/span"")"),"Loading...")</f>
        <v>Loading...</v>
      </c>
      <c r="J4087" s="7" t="str">
        <f ca="1">IFERROR(__xludf.DUMMYFUNCTION("GOOGLEFINANCE(""NSE:""&amp;D4087,""marketcap"")"),"#N/A")</f>
        <v>#N/A</v>
      </c>
      <c r="K4087" s="7">
        <v>992.8</v>
      </c>
      <c r="L4087" s="8" t="str">
        <f ca="1">IFERROR(__xludf.DUMMYFUNCTION("GOOGLEFINANCE(""NSE:""&amp;D4087,""price"")"),"#N/A")</f>
        <v>#N/A</v>
      </c>
      <c r="M4087" s="9" t="e">
        <f t="shared" ca="1" si="82"/>
        <v>#VALUE!</v>
      </c>
      <c r="N4087" s="10" t="e">
        <f t="shared" ca="1" si="83"/>
        <v>#VALUE!</v>
      </c>
      <c r="O4087" s="7" t="str">
        <f ca="1">IFERROR(__xludf.DUMMYFUNCTION("GOOGLEFINANCE(""NSE:""&amp;D4087,""pe"")"),"#N/A")</f>
        <v>#N/A</v>
      </c>
      <c r="P4087" s="7" t="str">
        <f ca="1">IFERROR(__xludf.DUMMYFUNCTION("GOOGLEFINANCE(""NSE:""&amp;D4087,""EPS"")"),"#N/A")</f>
        <v>#N/A</v>
      </c>
      <c r="Q4087" s="7">
        <v>13.5</v>
      </c>
      <c r="R4087" s="7" t="str">
        <f ca="1">IFERROR(__xludf.DUMMYFUNCTION("IMPORTXML(E4087,""/html/body/main/div[3]/div[3]/div[2]/ul/li[7]/span[2]/span"")"),"Loading...")</f>
        <v>Loading...</v>
      </c>
      <c r="S4087" s="7" t="str">
        <f ca="1">IFERROR(__xludf.DUMMYFUNCTION("IMPORTXML(E4087,""/html/body/main/div[3]/div[3]/div[2]/ul/li[8]/span[2]/span"")"),"Loading...")</f>
        <v>Loading...</v>
      </c>
      <c r="T4087" s="4">
        <v>34.6</v>
      </c>
      <c r="U4087" s="4">
        <v>22.7</v>
      </c>
      <c r="V4087" s="4">
        <v>2.6</v>
      </c>
      <c r="W4087" s="4">
        <v>5.7</v>
      </c>
      <c r="X4087" s="4">
        <v>519.92999999999995</v>
      </c>
      <c r="Y4087" s="7" t="e">
        <f t="shared" ca="1" si="84"/>
        <v>#VALUE!</v>
      </c>
    </row>
    <row r="4088" spans="1:25" ht="15" x14ac:dyDescent="0.25">
      <c r="A4088" s="4">
        <v>4087</v>
      </c>
      <c r="C4088" s="41" t="s">
        <v>6456</v>
      </c>
      <c r="D4088" s="42"/>
      <c r="E4088" s="5" t="str">
        <f t="shared" si="80"/>
        <v>https://www.screener.in/company//consolidated/</v>
      </c>
      <c r="F4088" s="4">
        <v>443059</v>
      </c>
      <c r="G4088" s="4">
        <v>3832241897</v>
      </c>
      <c r="H4088" s="6" t="e">
        <f t="shared" ca="1" si="81"/>
        <v>#VALUE!</v>
      </c>
      <c r="I4088" s="7" t="str">
        <f ca="1">IFERROR(__xludf.DUMMYFUNCTION("IMPORTXML(E4088,""/html/body/main/div[3]/div[3]/div[2]/ul/li[5]/span[2]/span"")"),"Loading...")</f>
        <v>Loading...</v>
      </c>
      <c r="J4088" s="7" t="str">
        <f ca="1">IFERROR(__xludf.DUMMYFUNCTION("GOOGLEFINANCE(""NSE:""&amp;D4088,""marketcap"")"),"#N/A")</f>
        <v>#N/A</v>
      </c>
      <c r="K4088" s="7">
        <v>992.8</v>
      </c>
      <c r="L4088" s="8" t="str">
        <f ca="1">IFERROR(__xludf.DUMMYFUNCTION("GOOGLEFINANCE(""NSE:""&amp;D4088,""price"")"),"#N/A")</f>
        <v>#N/A</v>
      </c>
      <c r="M4088" s="9" t="e">
        <f t="shared" ca="1" si="82"/>
        <v>#VALUE!</v>
      </c>
      <c r="N4088" s="10" t="e">
        <f t="shared" ca="1" si="83"/>
        <v>#VALUE!</v>
      </c>
      <c r="O4088" s="7" t="str">
        <f ca="1">IFERROR(__xludf.DUMMYFUNCTION("GOOGLEFINANCE(""NSE:""&amp;D4088,""pe"")"),"#N/A")</f>
        <v>#N/A</v>
      </c>
      <c r="P4088" s="7" t="str">
        <f ca="1">IFERROR(__xludf.DUMMYFUNCTION("GOOGLEFINANCE(""NSE:""&amp;D4088,""EPS"")"),"#N/A")</f>
        <v>#N/A</v>
      </c>
      <c r="Q4088" s="7">
        <v>13.5</v>
      </c>
      <c r="R4088" s="7" t="str">
        <f ca="1">IFERROR(__xludf.DUMMYFUNCTION("IMPORTXML(E4088,""/html/body/main/div[3]/div[3]/div[2]/ul/li[7]/span[2]/span"")"),"Loading...")</f>
        <v>Loading...</v>
      </c>
      <c r="S4088" s="7" t="str">
        <f ca="1">IFERROR(__xludf.DUMMYFUNCTION("IMPORTXML(E4088,""/html/body/main/div[3]/div[3]/div[2]/ul/li[8]/span[2]/span"")"),"Loading...")</f>
        <v>Loading...</v>
      </c>
      <c r="T4088" s="4">
        <v>34.6</v>
      </c>
      <c r="U4088" s="4">
        <v>22.7</v>
      </c>
      <c r="V4088" s="4">
        <v>2.6</v>
      </c>
      <c r="W4088" s="4">
        <v>5.7</v>
      </c>
      <c r="X4088" s="4">
        <v>519.92999999999995</v>
      </c>
      <c r="Y4088" s="7" t="e">
        <f t="shared" ca="1" si="84"/>
        <v>#VALUE!</v>
      </c>
    </row>
    <row r="4089" spans="1:25" ht="15" x14ac:dyDescent="0.25">
      <c r="A4089" s="4">
        <v>4088</v>
      </c>
      <c r="C4089" s="41" t="s">
        <v>6457</v>
      </c>
      <c r="D4089" s="42"/>
      <c r="E4089" s="5" t="str">
        <f t="shared" si="80"/>
        <v>https://www.screener.in/company//consolidated/</v>
      </c>
      <c r="F4089" s="4">
        <v>443059</v>
      </c>
      <c r="G4089" s="4">
        <v>3832241897</v>
      </c>
      <c r="H4089" s="6" t="e">
        <f t="shared" ca="1" si="81"/>
        <v>#VALUE!</v>
      </c>
      <c r="I4089" s="7" t="str">
        <f ca="1">IFERROR(__xludf.DUMMYFUNCTION("IMPORTXML(E4089,""/html/body/main/div[3]/div[3]/div[2]/ul/li[5]/span[2]/span"")"),"Loading...")</f>
        <v>Loading...</v>
      </c>
      <c r="J4089" s="7" t="str">
        <f ca="1">IFERROR(__xludf.DUMMYFUNCTION("GOOGLEFINANCE(""NSE:""&amp;D4089,""marketcap"")"),"#N/A")</f>
        <v>#N/A</v>
      </c>
      <c r="K4089" s="7">
        <v>992.8</v>
      </c>
      <c r="L4089" s="8" t="str">
        <f ca="1">IFERROR(__xludf.DUMMYFUNCTION("GOOGLEFINANCE(""NSE:""&amp;D4089,""price"")"),"#N/A")</f>
        <v>#N/A</v>
      </c>
      <c r="M4089" s="9" t="e">
        <f t="shared" ca="1" si="82"/>
        <v>#VALUE!</v>
      </c>
      <c r="N4089" s="10" t="e">
        <f t="shared" ca="1" si="83"/>
        <v>#VALUE!</v>
      </c>
      <c r="O4089" s="7" t="str">
        <f ca="1">IFERROR(__xludf.DUMMYFUNCTION("GOOGLEFINANCE(""NSE:""&amp;D4089,""pe"")"),"#N/A")</f>
        <v>#N/A</v>
      </c>
      <c r="P4089" s="7" t="str">
        <f ca="1">IFERROR(__xludf.DUMMYFUNCTION("GOOGLEFINANCE(""NSE:""&amp;D4089,""EPS"")"),"#N/A")</f>
        <v>#N/A</v>
      </c>
      <c r="Q4089" s="7">
        <v>13.5</v>
      </c>
      <c r="R4089" s="7" t="str">
        <f ca="1">IFERROR(__xludf.DUMMYFUNCTION("IMPORTXML(E4089,""/html/body/main/div[3]/div[3]/div[2]/ul/li[7]/span[2]/span"")"),"Loading...")</f>
        <v>Loading...</v>
      </c>
      <c r="S4089" s="7" t="str">
        <f ca="1">IFERROR(__xludf.DUMMYFUNCTION("IMPORTXML(E4089,""/html/body/main/div[3]/div[3]/div[2]/ul/li[8]/span[2]/span"")"),"Loading...")</f>
        <v>Loading...</v>
      </c>
      <c r="T4089" s="4">
        <v>34.6</v>
      </c>
      <c r="U4089" s="4">
        <v>22.7</v>
      </c>
      <c r="V4089" s="4">
        <v>2.6</v>
      </c>
      <c r="W4089" s="4">
        <v>5.7</v>
      </c>
      <c r="X4089" s="4">
        <v>519.92999999999995</v>
      </c>
      <c r="Y4089" s="7" t="e">
        <f t="shared" ca="1" si="84"/>
        <v>#VALUE!</v>
      </c>
    </row>
    <row r="4090" spans="1:25" ht="15" x14ac:dyDescent="0.25">
      <c r="A4090" s="4">
        <v>4089</v>
      </c>
      <c r="C4090" s="41" t="s">
        <v>6458</v>
      </c>
      <c r="D4090" s="42"/>
      <c r="E4090" s="5" t="str">
        <f t="shared" si="80"/>
        <v>https://www.screener.in/company//consolidated/</v>
      </c>
      <c r="F4090" s="4">
        <v>443059</v>
      </c>
      <c r="G4090" s="4">
        <v>3832241897</v>
      </c>
      <c r="H4090" s="6" t="e">
        <f t="shared" ca="1" si="81"/>
        <v>#VALUE!</v>
      </c>
      <c r="I4090" s="7" t="str">
        <f ca="1">IFERROR(__xludf.DUMMYFUNCTION("IMPORTXML(E4090,""/html/body/main/div[3]/div[3]/div[2]/ul/li[5]/span[2]/span"")"),"Loading...")</f>
        <v>Loading...</v>
      </c>
      <c r="J4090" s="7" t="str">
        <f ca="1">IFERROR(__xludf.DUMMYFUNCTION("GOOGLEFINANCE(""NSE:""&amp;D4090,""marketcap"")"),"#N/A")</f>
        <v>#N/A</v>
      </c>
      <c r="K4090" s="7">
        <v>992.8</v>
      </c>
      <c r="L4090" s="8" t="str">
        <f ca="1">IFERROR(__xludf.DUMMYFUNCTION("GOOGLEFINANCE(""NSE:""&amp;D4090,""price"")"),"#N/A")</f>
        <v>#N/A</v>
      </c>
      <c r="M4090" s="9" t="e">
        <f t="shared" ca="1" si="82"/>
        <v>#VALUE!</v>
      </c>
      <c r="N4090" s="10" t="e">
        <f t="shared" ca="1" si="83"/>
        <v>#VALUE!</v>
      </c>
      <c r="O4090" s="7" t="str">
        <f ca="1">IFERROR(__xludf.DUMMYFUNCTION("GOOGLEFINANCE(""NSE:""&amp;D4090,""pe"")"),"#N/A")</f>
        <v>#N/A</v>
      </c>
      <c r="P4090" s="7" t="str">
        <f ca="1">IFERROR(__xludf.DUMMYFUNCTION("GOOGLEFINANCE(""NSE:""&amp;D4090,""EPS"")"),"#N/A")</f>
        <v>#N/A</v>
      </c>
      <c r="Q4090" s="7">
        <v>13.5</v>
      </c>
      <c r="R4090" s="7" t="str">
        <f ca="1">IFERROR(__xludf.DUMMYFUNCTION("IMPORTXML(E4090,""/html/body/main/div[3]/div[3]/div[2]/ul/li[7]/span[2]/span"")"),"Loading...")</f>
        <v>Loading...</v>
      </c>
      <c r="S4090" s="7" t="str">
        <f ca="1">IFERROR(__xludf.DUMMYFUNCTION("IMPORTXML(E4090,""/html/body/main/div[3]/div[3]/div[2]/ul/li[8]/span[2]/span"")"),"Loading...")</f>
        <v>Loading...</v>
      </c>
      <c r="T4090" s="4">
        <v>34.6</v>
      </c>
      <c r="U4090" s="4">
        <v>22.7</v>
      </c>
      <c r="V4090" s="4">
        <v>2.6</v>
      </c>
      <c r="W4090" s="4">
        <v>5.7</v>
      </c>
      <c r="X4090" s="4">
        <v>519.92999999999995</v>
      </c>
      <c r="Y4090" s="7" t="e">
        <f t="shared" ca="1" si="84"/>
        <v>#VALUE!</v>
      </c>
    </row>
    <row r="4091" spans="1:25" ht="15" x14ac:dyDescent="0.25">
      <c r="A4091" s="4">
        <v>4090</v>
      </c>
      <c r="C4091" s="41" t="s">
        <v>6459</v>
      </c>
      <c r="D4091" s="42"/>
      <c r="E4091" s="5" t="str">
        <f t="shared" si="80"/>
        <v>https://www.screener.in/company//consolidated/</v>
      </c>
      <c r="F4091" s="4">
        <v>443059</v>
      </c>
      <c r="G4091" s="4">
        <v>3832241897</v>
      </c>
      <c r="H4091" s="6" t="e">
        <f t="shared" ca="1" si="81"/>
        <v>#VALUE!</v>
      </c>
      <c r="I4091" s="7" t="str">
        <f ca="1">IFERROR(__xludf.DUMMYFUNCTION("IMPORTXML(E4091,""/html/body/main/div[3]/div[3]/div[2]/ul/li[5]/span[2]/span"")"),"Loading...")</f>
        <v>Loading...</v>
      </c>
      <c r="J4091" s="7" t="str">
        <f ca="1">IFERROR(__xludf.DUMMYFUNCTION("GOOGLEFINANCE(""NSE:""&amp;D4091,""marketcap"")"),"#N/A")</f>
        <v>#N/A</v>
      </c>
      <c r="K4091" s="7">
        <v>992.8</v>
      </c>
      <c r="L4091" s="8" t="str">
        <f ca="1">IFERROR(__xludf.DUMMYFUNCTION("GOOGLEFINANCE(""NSE:""&amp;D4091,""price"")"),"#N/A")</f>
        <v>#N/A</v>
      </c>
      <c r="M4091" s="9" t="e">
        <f t="shared" ca="1" si="82"/>
        <v>#VALUE!</v>
      </c>
      <c r="N4091" s="10" t="e">
        <f t="shared" ca="1" si="83"/>
        <v>#VALUE!</v>
      </c>
      <c r="O4091" s="7" t="str">
        <f ca="1">IFERROR(__xludf.DUMMYFUNCTION("GOOGLEFINANCE(""NSE:""&amp;D4091,""pe"")"),"#N/A")</f>
        <v>#N/A</v>
      </c>
      <c r="P4091" s="7" t="str">
        <f ca="1">IFERROR(__xludf.DUMMYFUNCTION("GOOGLEFINANCE(""NSE:""&amp;D4091,""EPS"")"),"#N/A")</f>
        <v>#N/A</v>
      </c>
      <c r="Q4091" s="7">
        <v>13.5</v>
      </c>
      <c r="R4091" s="7" t="str">
        <f ca="1">IFERROR(__xludf.DUMMYFUNCTION("IMPORTXML(E4091,""/html/body/main/div[3]/div[3]/div[2]/ul/li[7]/span[2]/span"")"),"Loading...")</f>
        <v>Loading...</v>
      </c>
      <c r="S4091" s="7" t="str">
        <f ca="1">IFERROR(__xludf.DUMMYFUNCTION("IMPORTXML(E4091,""/html/body/main/div[3]/div[3]/div[2]/ul/li[8]/span[2]/span"")"),"Loading...")</f>
        <v>Loading...</v>
      </c>
      <c r="T4091" s="4">
        <v>34.6</v>
      </c>
      <c r="U4091" s="4">
        <v>22.7</v>
      </c>
      <c r="V4091" s="4">
        <v>2.6</v>
      </c>
      <c r="W4091" s="4">
        <v>5.7</v>
      </c>
      <c r="X4091" s="4">
        <v>519.92999999999995</v>
      </c>
      <c r="Y4091" s="7" t="e">
        <f t="shared" ca="1" si="84"/>
        <v>#VALUE!</v>
      </c>
    </row>
    <row r="4092" spans="1:25" ht="15" x14ac:dyDescent="0.25">
      <c r="A4092" s="4">
        <v>4091</v>
      </c>
      <c r="C4092" s="41" t="s">
        <v>6460</v>
      </c>
      <c r="D4092" s="42"/>
      <c r="E4092" s="5" t="str">
        <f t="shared" si="80"/>
        <v>https://www.screener.in/company//consolidated/</v>
      </c>
      <c r="F4092" s="4">
        <v>443059</v>
      </c>
      <c r="G4092" s="4">
        <v>3832241897</v>
      </c>
      <c r="H4092" s="6" t="e">
        <f t="shared" ca="1" si="81"/>
        <v>#VALUE!</v>
      </c>
      <c r="I4092" s="7" t="str">
        <f ca="1">IFERROR(__xludf.DUMMYFUNCTION("IMPORTXML(E4092,""/html/body/main/div[3]/div[3]/div[2]/ul/li[5]/span[2]/span"")"),"Loading...")</f>
        <v>Loading...</v>
      </c>
      <c r="J4092" s="7" t="str">
        <f ca="1">IFERROR(__xludf.DUMMYFUNCTION("GOOGLEFINANCE(""NSE:""&amp;D4092,""marketcap"")"),"#N/A")</f>
        <v>#N/A</v>
      </c>
      <c r="K4092" s="7">
        <v>992.8</v>
      </c>
      <c r="L4092" s="8" t="str">
        <f ca="1">IFERROR(__xludf.DUMMYFUNCTION("GOOGLEFINANCE(""NSE:""&amp;D4092,""price"")"),"#N/A")</f>
        <v>#N/A</v>
      </c>
      <c r="M4092" s="9" t="e">
        <f t="shared" ca="1" si="82"/>
        <v>#VALUE!</v>
      </c>
      <c r="N4092" s="10" t="e">
        <f t="shared" ca="1" si="83"/>
        <v>#VALUE!</v>
      </c>
      <c r="O4092" s="7" t="str">
        <f ca="1">IFERROR(__xludf.DUMMYFUNCTION("GOOGLEFINANCE(""NSE:""&amp;D4092,""pe"")"),"#N/A")</f>
        <v>#N/A</v>
      </c>
      <c r="P4092" s="7" t="str">
        <f ca="1">IFERROR(__xludf.DUMMYFUNCTION("GOOGLEFINANCE(""NSE:""&amp;D4092,""EPS"")"),"#N/A")</f>
        <v>#N/A</v>
      </c>
      <c r="Q4092" s="7">
        <v>13.5</v>
      </c>
      <c r="R4092" s="7" t="str">
        <f ca="1">IFERROR(__xludf.DUMMYFUNCTION("IMPORTXML(E4092,""/html/body/main/div[3]/div[3]/div[2]/ul/li[7]/span[2]/span"")"),"Loading...")</f>
        <v>Loading...</v>
      </c>
      <c r="S4092" s="7" t="str">
        <f ca="1">IFERROR(__xludf.DUMMYFUNCTION("IMPORTXML(E4092,""/html/body/main/div[3]/div[3]/div[2]/ul/li[8]/span[2]/span"")"),"Loading...")</f>
        <v>Loading...</v>
      </c>
      <c r="T4092" s="4">
        <v>34.6</v>
      </c>
      <c r="U4092" s="4">
        <v>22.7</v>
      </c>
      <c r="V4092" s="4">
        <v>2.6</v>
      </c>
      <c r="W4092" s="4">
        <v>5.7</v>
      </c>
      <c r="X4092" s="4">
        <v>519.92999999999995</v>
      </c>
      <c r="Y4092" s="7" t="e">
        <f t="shared" ca="1" si="84"/>
        <v>#VALUE!</v>
      </c>
    </row>
    <row r="4093" spans="1:25" ht="15" x14ac:dyDescent="0.25">
      <c r="A4093" s="4">
        <v>4092</v>
      </c>
      <c r="C4093" s="41" t="s">
        <v>6461</v>
      </c>
      <c r="D4093" s="42"/>
      <c r="E4093" s="5" t="str">
        <f t="shared" si="80"/>
        <v>https://www.screener.in/company//consolidated/</v>
      </c>
      <c r="F4093" s="4">
        <v>443059</v>
      </c>
      <c r="G4093" s="4">
        <v>3832241897</v>
      </c>
      <c r="H4093" s="6" t="e">
        <f t="shared" ca="1" si="81"/>
        <v>#VALUE!</v>
      </c>
      <c r="I4093" s="7" t="str">
        <f ca="1">IFERROR(__xludf.DUMMYFUNCTION("IMPORTXML(E4093,""/html/body/main/div[3]/div[3]/div[2]/ul/li[5]/span[2]/span"")"),"Loading...")</f>
        <v>Loading...</v>
      </c>
      <c r="J4093" s="7" t="str">
        <f ca="1">IFERROR(__xludf.DUMMYFUNCTION("GOOGLEFINANCE(""NSE:""&amp;D4093,""marketcap"")"),"#N/A")</f>
        <v>#N/A</v>
      </c>
      <c r="K4093" s="7">
        <v>992.8</v>
      </c>
      <c r="L4093" s="8" t="str">
        <f ca="1">IFERROR(__xludf.DUMMYFUNCTION("GOOGLEFINANCE(""NSE:""&amp;D4093,""price"")"),"#N/A")</f>
        <v>#N/A</v>
      </c>
      <c r="M4093" s="9" t="e">
        <f t="shared" ca="1" si="82"/>
        <v>#VALUE!</v>
      </c>
      <c r="N4093" s="10" t="e">
        <f t="shared" ca="1" si="83"/>
        <v>#VALUE!</v>
      </c>
      <c r="O4093" s="7" t="str">
        <f ca="1">IFERROR(__xludf.DUMMYFUNCTION("GOOGLEFINANCE(""NSE:""&amp;D4093,""pe"")"),"#N/A")</f>
        <v>#N/A</v>
      </c>
      <c r="P4093" s="7" t="str">
        <f ca="1">IFERROR(__xludf.DUMMYFUNCTION("GOOGLEFINANCE(""NSE:""&amp;D4093,""EPS"")"),"#N/A")</f>
        <v>#N/A</v>
      </c>
      <c r="Q4093" s="7">
        <v>13.5</v>
      </c>
      <c r="R4093" s="7" t="str">
        <f ca="1">IFERROR(__xludf.DUMMYFUNCTION("IMPORTXML(E4093,""/html/body/main/div[3]/div[3]/div[2]/ul/li[7]/span[2]/span"")"),"Loading...")</f>
        <v>Loading...</v>
      </c>
      <c r="S4093" s="7" t="str">
        <f ca="1">IFERROR(__xludf.DUMMYFUNCTION("IMPORTXML(E4093,""/html/body/main/div[3]/div[3]/div[2]/ul/li[8]/span[2]/span"")"),"Loading...")</f>
        <v>Loading...</v>
      </c>
      <c r="T4093" s="4">
        <v>34.6</v>
      </c>
      <c r="U4093" s="4">
        <v>22.7</v>
      </c>
      <c r="V4093" s="4">
        <v>2.6</v>
      </c>
      <c r="W4093" s="4">
        <v>5.7</v>
      </c>
      <c r="X4093" s="4">
        <v>519.92999999999995</v>
      </c>
      <c r="Y4093" s="7" t="e">
        <f t="shared" ca="1" si="84"/>
        <v>#VALUE!</v>
      </c>
    </row>
    <row r="4094" spans="1:25" ht="15" x14ac:dyDescent="0.25">
      <c r="A4094" s="4">
        <v>4093</v>
      </c>
      <c r="C4094" s="41" t="s">
        <v>6462</v>
      </c>
      <c r="D4094" s="42"/>
      <c r="E4094" s="5" t="str">
        <f t="shared" si="80"/>
        <v>https://www.screener.in/company//consolidated/</v>
      </c>
      <c r="F4094" s="4">
        <v>443059</v>
      </c>
      <c r="G4094" s="4">
        <v>3832241897</v>
      </c>
      <c r="H4094" s="6" t="e">
        <f t="shared" ca="1" si="81"/>
        <v>#VALUE!</v>
      </c>
      <c r="I4094" s="7" t="str">
        <f ca="1">IFERROR(__xludf.DUMMYFUNCTION("IMPORTXML(E4094,""/html/body/main/div[3]/div[3]/div[2]/ul/li[5]/span[2]/span"")"),"Loading...")</f>
        <v>Loading...</v>
      </c>
      <c r="J4094" s="7" t="str">
        <f ca="1">IFERROR(__xludf.DUMMYFUNCTION("GOOGLEFINANCE(""NSE:""&amp;D4094,""marketcap"")"),"#N/A")</f>
        <v>#N/A</v>
      </c>
      <c r="K4094" s="7">
        <v>992.8</v>
      </c>
      <c r="L4094" s="8" t="str">
        <f ca="1">IFERROR(__xludf.DUMMYFUNCTION("GOOGLEFINANCE(""NSE:""&amp;D4094,""price"")"),"#N/A")</f>
        <v>#N/A</v>
      </c>
      <c r="M4094" s="9" t="e">
        <f t="shared" ca="1" si="82"/>
        <v>#VALUE!</v>
      </c>
      <c r="N4094" s="10" t="e">
        <f t="shared" ca="1" si="83"/>
        <v>#VALUE!</v>
      </c>
      <c r="O4094" s="7" t="str">
        <f ca="1">IFERROR(__xludf.DUMMYFUNCTION("GOOGLEFINANCE(""NSE:""&amp;D4094,""pe"")"),"#N/A")</f>
        <v>#N/A</v>
      </c>
      <c r="P4094" s="7" t="str">
        <f ca="1">IFERROR(__xludf.DUMMYFUNCTION("GOOGLEFINANCE(""NSE:""&amp;D4094,""EPS"")"),"#N/A")</f>
        <v>#N/A</v>
      </c>
      <c r="Q4094" s="7">
        <v>13.5</v>
      </c>
      <c r="R4094" s="7" t="str">
        <f ca="1">IFERROR(__xludf.DUMMYFUNCTION("IMPORTXML(E4094,""/html/body/main/div[3]/div[3]/div[2]/ul/li[7]/span[2]/span"")"),"Loading...")</f>
        <v>Loading...</v>
      </c>
      <c r="S4094" s="7" t="str">
        <f ca="1">IFERROR(__xludf.DUMMYFUNCTION("IMPORTXML(E4094,""/html/body/main/div[3]/div[3]/div[2]/ul/li[8]/span[2]/span"")"),"Loading...")</f>
        <v>Loading...</v>
      </c>
      <c r="T4094" s="4">
        <v>34.6</v>
      </c>
      <c r="U4094" s="4">
        <v>22.7</v>
      </c>
      <c r="V4094" s="4">
        <v>2.6</v>
      </c>
      <c r="W4094" s="4">
        <v>5.7</v>
      </c>
      <c r="X4094" s="4">
        <v>519.92999999999995</v>
      </c>
      <c r="Y4094" s="7" t="e">
        <f t="shared" ca="1" si="84"/>
        <v>#VALUE!</v>
      </c>
    </row>
    <row r="4095" spans="1:25" ht="15" x14ac:dyDescent="0.25">
      <c r="A4095" s="4">
        <v>4094</v>
      </c>
      <c r="C4095" s="41" t="s">
        <v>6463</v>
      </c>
      <c r="D4095" s="42"/>
      <c r="E4095" s="5" t="str">
        <f t="shared" si="80"/>
        <v>https://www.screener.in/company//consolidated/</v>
      </c>
      <c r="F4095" s="4">
        <v>443059</v>
      </c>
      <c r="G4095" s="4">
        <v>3832241897</v>
      </c>
      <c r="H4095" s="6" t="e">
        <f t="shared" ca="1" si="81"/>
        <v>#VALUE!</v>
      </c>
      <c r="I4095" s="7" t="str">
        <f ca="1">IFERROR(__xludf.DUMMYFUNCTION("IMPORTXML(E4095,""/html/body/main/div[3]/div[3]/div[2]/ul/li[5]/span[2]/span"")"),"Loading...")</f>
        <v>Loading...</v>
      </c>
      <c r="J4095" s="7" t="str">
        <f ca="1">IFERROR(__xludf.DUMMYFUNCTION("GOOGLEFINANCE(""NSE:""&amp;D4095,""marketcap"")"),"#N/A")</f>
        <v>#N/A</v>
      </c>
      <c r="K4095" s="7">
        <v>992.8</v>
      </c>
      <c r="L4095" s="8" t="str">
        <f ca="1">IFERROR(__xludf.DUMMYFUNCTION("GOOGLEFINANCE(""NSE:""&amp;D4095,""price"")"),"#N/A")</f>
        <v>#N/A</v>
      </c>
      <c r="M4095" s="9" t="e">
        <f t="shared" ca="1" si="82"/>
        <v>#VALUE!</v>
      </c>
      <c r="N4095" s="10" t="e">
        <f t="shared" ca="1" si="83"/>
        <v>#VALUE!</v>
      </c>
      <c r="O4095" s="7" t="str">
        <f ca="1">IFERROR(__xludf.DUMMYFUNCTION("GOOGLEFINANCE(""NSE:""&amp;D4095,""pe"")"),"#N/A")</f>
        <v>#N/A</v>
      </c>
      <c r="P4095" s="7" t="str">
        <f ca="1">IFERROR(__xludf.DUMMYFUNCTION("GOOGLEFINANCE(""NSE:""&amp;D4095,""EPS"")"),"#N/A")</f>
        <v>#N/A</v>
      </c>
      <c r="Q4095" s="7">
        <v>13.5</v>
      </c>
      <c r="R4095" s="7" t="str">
        <f ca="1">IFERROR(__xludf.DUMMYFUNCTION("IMPORTXML(E4095,""/html/body/main/div[3]/div[3]/div[2]/ul/li[7]/span[2]/span"")"),"Loading...")</f>
        <v>Loading...</v>
      </c>
      <c r="S4095" s="7" t="str">
        <f ca="1">IFERROR(__xludf.DUMMYFUNCTION("IMPORTXML(E4095,""/html/body/main/div[3]/div[3]/div[2]/ul/li[8]/span[2]/span"")"),"Loading...")</f>
        <v>Loading...</v>
      </c>
      <c r="T4095" s="4">
        <v>34.6</v>
      </c>
      <c r="U4095" s="4">
        <v>22.7</v>
      </c>
      <c r="V4095" s="4">
        <v>2.6</v>
      </c>
      <c r="W4095" s="4">
        <v>5.7</v>
      </c>
      <c r="X4095" s="4">
        <v>519.92999999999995</v>
      </c>
      <c r="Y4095" s="7" t="e">
        <f t="shared" ca="1" si="84"/>
        <v>#VALUE!</v>
      </c>
    </row>
    <row r="4096" spans="1:25" ht="15" x14ac:dyDescent="0.25">
      <c r="A4096" s="4">
        <v>4095</v>
      </c>
      <c r="C4096" s="41" t="s">
        <v>6464</v>
      </c>
      <c r="D4096" s="42"/>
      <c r="E4096" s="5" t="str">
        <f t="shared" si="80"/>
        <v>https://www.screener.in/company//consolidated/</v>
      </c>
      <c r="F4096" s="4">
        <v>443059</v>
      </c>
      <c r="G4096" s="4">
        <v>3832241897</v>
      </c>
      <c r="H4096" s="6" t="e">
        <f t="shared" ca="1" si="81"/>
        <v>#VALUE!</v>
      </c>
      <c r="I4096" s="7" t="str">
        <f ca="1">IFERROR(__xludf.DUMMYFUNCTION("IMPORTXML(E4096,""/html/body/main/div[3]/div[3]/div[2]/ul/li[5]/span[2]/span"")"),"Loading...")</f>
        <v>Loading...</v>
      </c>
      <c r="J4096" s="7" t="str">
        <f ca="1">IFERROR(__xludf.DUMMYFUNCTION("GOOGLEFINANCE(""NSE:""&amp;D4096,""marketcap"")"),"#N/A")</f>
        <v>#N/A</v>
      </c>
      <c r="K4096" s="7">
        <v>992.8</v>
      </c>
      <c r="L4096" s="8" t="str">
        <f ca="1">IFERROR(__xludf.DUMMYFUNCTION("GOOGLEFINANCE(""NSE:""&amp;D4096,""price"")"),"#N/A")</f>
        <v>#N/A</v>
      </c>
      <c r="M4096" s="9" t="e">
        <f t="shared" ca="1" si="82"/>
        <v>#VALUE!</v>
      </c>
      <c r="N4096" s="10" t="e">
        <f t="shared" ca="1" si="83"/>
        <v>#VALUE!</v>
      </c>
      <c r="O4096" s="7" t="str">
        <f ca="1">IFERROR(__xludf.DUMMYFUNCTION("GOOGLEFINANCE(""NSE:""&amp;D4096,""pe"")"),"#N/A")</f>
        <v>#N/A</v>
      </c>
      <c r="P4096" s="7" t="str">
        <f ca="1">IFERROR(__xludf.DUMMYFUNCTION("GOOGLEFINANCE(""NSE:""&amp;D4096,""EPS"")"),"#N/A")</f>
        <v>#N/A</v>
      </c>
      <c r="Q4096" s="7">
        <v>13.5</v>
      </c>
      <c r="R4096" s="7" t="str">
        <f ca="1">IFERROR(__xludf.DUMMYFUNCTION("IMPORTXML(E4096,""/html/body/main/div[3]/div[3]/div[2]/ul/li[7]/span[2]/span"")"),"Loading...")</f>
        <v>Loading...</v>
      </c>
      <c r="S4096" s="7" t="str">
        <f ca="1">IFERROR(__xludf.DUMMYFUNCTION("IMPORTXML(E4096,""/html/body/main/div[3]/div[3]/div[2]/ul/li[8]/span[2]/span"")"),"Loading...")</f>
        <v>Loading...</v>
      </c>
      <c r="T4096" s="4">
        <v>34.6</v>
      </c>
      <c r="U4096" s="4">
        <v>22.7</v>
      </c>
      <c r="V4096" s="4">
        <v>2.6</v>
      </c>
      <c r="W4096" s="4">
        <v>5.7</v>
      </c>
      <c r="X4096" s="4">
        <v>519.92999999999995</v>
      </c>
      <c r="Y4096" s="7" t="e">
        <f t="shared" ca="1" si="84"/>
        <v>#VALUE!</v>
      </c>
    </row>
    <row r="4097" spans="1:25" ht="15" x14ac:dyDescent="0.25">
      <c r="A4097" s="4">
        <v>4096</v>
      </c>
      <c r="C4097" s="41" t="s">
        <v>6465</v>
      </c>
      <c r="D4097" s="42"/>
      <c r="E4097" s="5" t="str">
        <f t="shared" si="80"/>
        <v>https://www.screener.in/company//consolidated/</v>
      </c>
      <c r="F4097" s="4">
        <v>443059</v>
      </c>
      <c r="G4097" s="4">
        <v>3832241897</v>
      </c>
      <c r="H4097" s="6" t="e">
        <f t="shared" ca="1" si="81"/>
        <v>#VALUE!</v>
      </c>
      <c r="I4097" s="7" t="str">
        <f ca="1">IFERROR(__xludf.DUMMYFUNCTION("IMPORTXML(E4097,""/html/body/main/div[3]/div[3]/div[2]/ul/li[5]/span[2]/span"")"),"Loading...")</f>
        <v>Loading...</v>
      </c>
      <c r="J4097" s="7" t="str">
        <f ca="1">IFERROR(__xludf.DUMMYFUNCTION("GOOGLEFINANCE(""NSE:""&amp;D4097,""marketcap"")"),"#N/A")</f>
        <v>#N/A</v>
      </c>
      <c r="K4097" s="7">
        <v>992.8</v>
      </c>
      <c r="L4097" s="8" t="str">
        <f ca="1">IFERROR(__xludf.DUMMYFUNCTION("GOOGLEFINANCE(""NSE:""&amp;D4097,""price"")"),"#N/A")</f>
        <v>#N/A</v>
      </c>
      <c r="M4097" s="9" t="e">
        <f t="shared" ca="1" si="82"/>
        <v>#VALUE!</v>
      </c>
      <c r="N4097" s="10" t="e">
        <f t="shared" ca="1" si="83"/>
        <v>#VALUE!</v>
      </c>
      <c r="O4097" s="7" t="str">
        <f ca="1">IFERROR(__xludf.DUMMYFUNCTION("GOOGLEFINANCE(""NSE:""&amp;D4097,""pe"")"),"#N/A")</f>
        <v>#N/A</v>
      </c>
      <c r="P4097" s="7" t="str">
        <f ca="1">IFERROR(__xludf.DUMMYFUNCTION("GOOGLEFINANCE(""NSE:""&amp;D4097,""EPS"")"),"#N/A")</f>
        <v>#N/A</v>
      </c>
      <c r="Q4097" s="7">
        <v>13.5</v>
      </c>
      <c r="R4097" s="7" t="str">
        <f ca="1">IFERROR(__xludf.DUMMYFUNCTION("IMPORTXML(E4097,""/html/body/main/div[3]/div[3]/div[2]/ul/li[7]/span[2]/span"")"),"Loading...")</f>
        <v>Loading...</v>
      </c>
      <c r="S4097" s="7" t="str">
        <f ca="1">IFERROR(__xludf.DUMMYFUNCTION("IMPORTXML(E4097,""/html/body/main/div[3]/div[3]/div[2]/ul/li[8]/span[2]/span"")"),"Loading...")</f>
        <v>Loading...</v>
      </c>
      <c r="T4097" s="4">
        <v>34.6</v>
      </c>
      <c r="U4097" s="4">
        <v>22.7</v>
      </c>
      <c r="V4097" s="4">
        <v>2.6</v>
      </c>
      <c r="W4097" s="4">
        <v>5.7</v>
      </c>
      <c r="X4097" s="4">
        <v>519.92999999999995</v>
      </c>
      <c r="Y4097" s="7" t="e">
        <f t="shared" ca="1" si="84"/>
        <v>#VALUE!</v>
      </c>
    </row>
    <row r="4098" spans="1:25" ht="15" x14ac:dyDescent="0.25">
      <c r="A4098" s="4">
        <v>4097</v>
      </c>
      <c r="C4098" s="41" t="s">
        <v>6466</v>
      </c>
      <c r="D4098" s="42"/>
      <c r="E4098" s="5" t="str">
        <f t="shared" si="80"/>
        <v>https://www.screener.in/company//consolidated/</v>
      </c>
      <c r="F4098" s="4">
        <v>443059</v>
      </c>
      <c r="G4098" s="4">
        <v>3832241897</v>
      </c>
      <c r="H4098" s="6" t="e">
        <f t="shared" ca="1" si="81"/>
        <v>#VALUE!</v>
      </c>
      <c r="I4098" s="7" t="str">
        <f ca="1">IFERROR(__xludf.DUMMYFUNCTION("IMPORTXML(E4098,""/html/body/main/div[3]/div[3]/div[2]/ul/li[5]/span[2]/span"")"),"Loading...")</f>
        <v>Loading...</v>
      </c>
      <c r="J4098" s="7" t="str">
        <f ca="1">IFERROR(__xludf.DUMMYFUNCTION("GOOGLEFINANCE(""NSE:""&amp;D4098,""marketcap"")"),"#N/A")</f>
        <v>#N/A</v>
      </c>
      <c r="K4098" s="7">
        <v>992.8</v>
      </c>
      <c r="L4098" s="8" t="str">
        <f ca="1">IFERROR(__xludf.DUMMYFUNCTION("GOOGLEFINANCE(""NSE:""&amp;D4098,""price"")"),"#N/A")</f>
        <v>#N/A</v>
      </c>
      <c r="M4098" s="9" t="e">
        <f t="shared" ca="1" si="82"/>
        <v>#VALUE!</v>
      </c>
      <c r="N4098" s="10" t="e">
        <f t="shared" ca="1" si="83"/>
        <v>#VALUE!</v>
      </c>
      <c r="O4098" s="7" t="str">
        <f ca="1">IFERROR(__xludf.DUMMYFUNCTION("GOOGLEFINANCE(""NSE:""&amp;D4098,""pe"")"),"#N/A")</f>
        <v>#N/A</v>
      </c>
      <c r="P4098" s="7" t="str">
        <f ca="1">IFERROR(__xludf.DUMMYFUNCTION("GOOGLEFINANCE(""NSE:""&amp;D4098,""EPS"")"),"#N/A")</f>
        <v>#N/A</v>
      </c>
      <c r="Q4098" s="7">
        <v>13.5</v>
      </c>
      <c r="R4098" s="7" t="str">
        <f ca="1">IFERROR(__xludf.DUMMYFUNCTION("IMPORTXML(E4098,""/html/body/main/div[3]/div[3]/div[2]/ul/li[7]/span[2]/span"")"),"Loading...")</f>
        <v>Loading...</v>
      </c>
      <c r="S4098" s="7" t="str">
        <f ca="1">IFERROR(__xludf.DUMMYFUNCTION("IMPORTXML(E4098,""/html/body/main/div[3]/div[3]/div[2]/ul/li[8]/span[2]/span"")"),"Loading...")</f>
        <v>Loading...</v>
      </c>
      <c r="T4098" s="4">
        <v>34.6</v>
      </c>
      <c r="U4098" s="4">
        <v>22.7</v>
      </c>
      <c r="V4098" s="4">
        <v>2.6</v>
      </c>
      <c r="W4098" s="4">
        <v>5.7</v>
      </c>
      <c r="X4098" s="4">
        <v>519.92999999999995</v>
      </c>
      <c r="Y4098" s="7" t="e">
        <f t="shared" ca="1" si="84"/>
        <v>#VALUE!</v>
      </c>
    </row>
    <row r="4099" spans="1:25" ht="15" x14ac:dyDescent="0.25">
      <c r="A4099" s="4">
        <v>4098</v>
      </c>
      <c r="C4099" s="41" t="s">
        <v>6467</v>
      </c>
      <c r="D4099" s="42"/>
      <c r="E4099" s="5" t="str">
        <f t="shared" si="80"/>
        <v>https://www.screener.in/company//consolidated/</v>
      </c>
      <c r="F4099" s="4">
        <v>443059</v>
      </c>
      <c r="G4099" s="4">
        <v>3832241897</v>
      </c>
      <c r="H4099" s="6" t="e">
        <f t="shared" ca="1" si="81"/>
        <v>#VALUE!</v>
      </c>
      <c r="I4099" s="7" t="str">
        <f ca="1">IFERROR(__xludf.DUMMYFUNCTION("IMPORTXML(E4099,""/html/body/main/div[3]/div[3]/div[2]/ul/li[5]/span[2]/span"")"),"Loading...")</f>
        <v>Loading...</v>
      </c>
      <c r="J4099" s="7" t="str">
        <f ca="1">IFERROR(__xludf.DUMMYFUNCTION("GOOGLEFINANCE(""NSE:""&amp;D4099,""marketcap"")"),"#N/A")</f>
        <v>#N/A</v>
      </c>
      <c r="K4099" s="7">
        <v>992.8</v>
      </c>
      <c r="L4099" s="8" t="str">
        <f ca="1">IFERROR(__xludf.DUMMYFUNCTION("GOOGLEFINANCE(""NSE:""&amp;D4099,""price"")"),"#N/A")</f>
        <v>#N/A</v>
      </c>
      <c r="M4099" s="9" t="e">
        <f t="shared" ca="1" si="82"/>
        <v>#VALUE!</v>
      </c>
      <c r="N4099" s="10" t="e">
        <f t="shared" ca="1" si="83"/>
        <v>#VALUE!</v>
      </c>
      <c r="O4099" s="7" t="str">
        <f ca="1">IFERROR(__xludf.DUMMYFUNCTION("GOOGLEFINANCE(""NSE:""&amp;D4099,""pe"")"),"#N/A")</f>
        <v>#N/A</v>
      </c>
      <c r="P4099" s="7" t="str">
        <f ca="1">IFERROR(__xludf.DUMMYFUNCTION("GOOGLEFINANCE(""NSE:""&amp;D4099,""EPS"")"),"#N/A")</f>
        <v>#N/A</v>
      </c>
      <c r="Q4099" s="7">
        <v>13.5</v>
      </c>
      <c r="R4099" s="7" t="str">
        <f ca="1">IFERROR(__xludf.DUMMYFUNCTION("IMPORTXML(E4099,""/html/body/main/div[3]/div[3]/div[2]/ul/li[7]/span[2]/span"")"),"Loading...")</f>
        <v>Loading...</v>
      </c>
      <c r="S4099" s="7" t="str">
        <f ca="1">IFERROR(__xludf.DUMMYFUNCTION("IMPORTXML(E4099,""/html/body/main/div[3]/div[3]/div[2]/ul/li[8]/span[2]/span"")"),"Loading...")</f>
        <v>Loading...</v>
      </c>
      <c r="T4099" s="4">
        <v>34.6</v>
      </c>
      <c r="U4099" s="4">
        <v>22.7</v>
      </c>
      <c r="V4099" s="4">
        <v>2.6</v>
      </c>
      <c r="W4099" s="4">
        <v>5.7</v>
      </c>
      <c r="X4099" s="4">
        <v>519.92999999999995</v>
      </c>
      <c r="Y4099" s="7" t="e">
        <f t="shared" ca="1" si="84"/>
        <v>#VALUE!</v>
      </c>
    </row>
    <row r="4100" spans="1:25" ht="15" x14ac:dyDescent="0.25">
      <c r="A4100" s="4">
        <v>4099</v>
      </c>
      <c r="C4100" s="41" t="s">
        <v>6468</v>
      </c>
      <c r="D4100" s="42"/>
      <c r="E4100" s="5" t="str">
        <f t="shared" si="80"/>
        <v>https://www.screener.in/company//consolidated/</v>
      </c>
      <c r="F4100" s="4">
        <v>443059</v>
      </c>
      <c r="G4100" s="4">
        <v>3832241897</v>
      </c>
      <c r="H4100" s="6" t="e">
        <f t="shared" ca="1" si="81"/>
        <v>#VALUE!</v>
      </c>
      <c r="I4100" s="7" t="str">
        <f ca="1">IFERROR(__xludf.DUMMYFUNCTION("IMPORTXML(E4100,""/html/body/main/div[3]/div[3]/div[2]/ul/li[5]/span[2]/span"")"),"Loading...")</f>
        <v>Loading...</v>
      </c>
      <c r="J4100" s="7" t="str">
        <f ca="1">IFERROR(__xludf.DUMMYFUNCTION("GOOGLEFINANCE(""NSE:""&amp;D4100,""marketcap"")"),"#N/A")</f>
        <v>#N/A</v>
      </c>
      <c r="K4100" s="7">
        <v>992.8</v>
      </c>
      <c r="L4100" s="8" t="str">
        <f ca="1">IFERROR(__xludf.DUMMYFUNCTION("GOOGLEFINANCE(""NSE:""&amp;D4100,""price"")"),"#N/A")</f>
        <v>#N/A</v>
      </c>
      <c r="M4100" s="9" t="e">
        <f t="shared" ca="1" si="82"/>
        <v>#VALUE!</v>
      </c>
      <c r="N4100" s="10" t="e">
        <f t="shared" ca="1" si="83"/>
        <v>#VALUE!</v>
      </c>
      <c r="O4100" s="7" t="str">
        <f ca="1">IFERROR(__xludf.DUMMYFUNCTION("GOOGLEFINANCE(""NSE:""&amp;D4100,""pe"")"),"#N/A")</f>
        <v>#N/A</v>
      </c>
      <c r="P4100" s="7" t="str">
        <f ca="1">IFERROR(__xludf.DUMMYFUNCTION("GOOGLEFINANCE(""NSE:""&amp;D4100,""EPS"")"),"#N/A")</f>
        <v>#N/A</v>
      </c>
      <c r="Q4100" s="7">
        <v>13.5</v>
      </c>
      <c r="R4100" s="7" t="str">
        <f ca="1">IFERROR(__xludf.DUMMYFUNCTION("IMPORTXML(E4100,""/html/body/main/div[3]/div[3]/div[2]/ul/li[7]/span[2]/span"")"),"Loading...")</f>
        <v>Loading...</v>
      </c>
      <c r="S4100" s="7" t="str">
        <f ca="1">IFERROR(__xludf.DUMMYFUNCTION("IMPORTXML(E4100,""/html/body/main/div[3]/div[3]/div[2]/ul/li[8]/span[2]/span"")"),"Loading...")</f>
        <v>Loading...</v>
      </c>
      <c r="T4100" s="4">
        <v>34.6</v>
      </c>
      <c r="U4100" s="4">
        <v>22.7</v>
      </c>
      <c r="V4100" s="4">
        <v>2.6</v>
      </c>
      <c r="W4100" s="4">
        <v>5.7</v>
      </c>
      <c r="X4100" s="4">
        <v>519.92999999999995</v>
      </c>
      <c r="Y4100" s="7" t="e">
        <f t="shared" ca="1" si="84"/>
        <v>#VALUE!</v>
      </c>
    </row>
    <row r="4101" spans="1:25" ht="15" x14ac:dyDescent="0.25">
      <c r="A4101" s="4">
        <v>4100</v>
      </c>
      <c r="C4101" s="41" t="s">
        <v>6469</v>
      </c>
      <c r="D4101" s="42"/>
      <c r="E4101" s="5" t="str">
        <f t="shared" si="80"/>
        <v>https://www.screener.in/company//consolidated/</v>
      </c>
      <c r="F4101" s="4">
        <v>443059</v>
      </c>
      <c r="G4101" s="4">
        <v>3832241897</v>
      </c>
      <c r="H4101" s="6" t="e">
        <f t="shared" ca="1" si="81"/>
        <v>#VALUE!</v>
      </c>
      <c r="I4101" s="7" t="str">
        <f ca="1">IFERROR(__xludf.DUMMYFUNCTION("IMPORTXML(E4101,""/html/body/main/div[3]/div[3]/div[2]/ul/li[5]/span[2]/span"")"),"Loading...")</f>
        <v>Loading...</v>
      </c>
      <c r="J4101" s="7" t="str">
        <f ca="1">IFERROR(__xludf.DUMMYFUNCTION("GOOGLEFINANCE(""NSE:""&amp;D4101,""marketcap"")"),"#N/A")</f>
        <v>#N/A</v>
      </c>
      <c r="K4101" s="7">
        <v>992.8</v>
      </c>
      <c r="L4101" s="8" t="str">
        <f ca="1">IFERROR(__xludf.DUMMYFUNCTION("GOOGLEFINANCE(""NSE:""&amp;D4101,""price"")"),"#N/A")</f>
        <v>#N/A</v>
      </c>
      <c r="M4101" s="9" t="e">
        <f t="shared" ca="1" si="82"/>
        <v>#VALUE!</v>
      </c>
      <c r="N4101" s="10" t="e">
        <f t="shared" ca="1" si="83"/>
        <v>#VALUE!</v>
      </c>
      <c r="O4101" s="7" t="str">
        <f ca="1">IFERROR(__xludf.DUMMYFUNCTION("GOOGLEFINANCE(""NSE:""&amp;D4101,""pe"")"),"#N/A")</f>
        <v>#N/A</v>
      </c>
      <c r="P4101" s="7" t="str">
        <f ca="1">IFERROR(__xludf.DUMMYFUNCTION("GOOGLEFINANCE(""NSE:""&amp;D4101,""EPS"")"),"#N/A")</f>
        <v>#N/A</v>
      </c>
      <c r="Q4101" s="7">
        <v>13.5</v>
      </c>
      <c r="R4101" s="7" t="str">
        <f ca="1">IFERROR(__xludf.DUMMYFUNCTION("IMPORTXML(E4101,""/html/body/main/div[3]/div[3]/div[2]/ul/li[7]/span[2]/span"")"),"Loading...")</f>
        <v>Loading...</v>
      </c>
      <c r="S4101" s="7" t="str">
        <f ca="1">IFERROR(__xludf.DUMMYFUNCTION("IMPORTXML(E4101,""/html/body/main/div[3]/div[3]/div[2]/ul/li[8]/span[2]/span"")"),"Loading...")</f>
        <v>Loading...</v>
      </c>
      <c r="T4101" s="4">
        <v>34.6</v>
      </c>
      <c r="U4101" s="4">
        <v>22.7</v>
      </c>
      <c r="V4101" s="4">
        <v>2.6</v>
      </c>
      <c r="W4101" s="4">
        <v>5.7</v>
      </c>
      <c r="X4101" s="4">
        <v>519.92999999999995</v>
      </c>
      <c r="Y4101" s="7" t="e">
        <f t="shared" ca="1" si="84"/>
        <v>#VALUE!</v>
      </c>
    </row>
    <row r="4102" spans="1:25" ht="15" x14ac:dyDescent="0.25">
      <c r="A4102" s="4">
        <v>4101</v>
      </c>
      <c r="C4102" s="41" t="s">
        <v>6470</v>
      </c>
      <c r="D4102" s="42"/>
      <c r="E4102" s="5" t="str">
        <f t="shared" si="80"/>
        <v>https://www.screener.in/company//consolidated/</v>
      </c>
      <c r="F4102" s="4">
        <v>443059</v>
      </c>
      <c r="G4102" s="4">
        <v>3832241897</v>
      </c>
      <c r="H4102" s="6" t="e">
        <f t="shared" ca="1" si="81"/>
        <v>#VALUE!</v>
      </c>
      <c r="I4102" s="7" t="str">
        <f ca="1">IFERROR(__xludf.DUMMYFUNCTION("IMPORTXML(E4102,""/html/body/main/div[3]/div[3]/div[2]/ul/li[5]/span[2]/span"")"),"Loading...")</f>
        <v>Loading...</v>
      </c>
      <c r="J4102" s="7" t="str">
        <f ca="1">IFERROR(__xludf.DUMMYFUNCTION("GOOGLEFINANCE(""NSE:""&amp;D4102,""marketcap"")"),"#N/A")</f>
        <v>#N/A</v>
      </c>
      <c r="K4102" s="7">
        <v>992.8</v>
      </c>
      <c r="L4102" s="8" t="str">
        <f ca="1">IFERROR(__xludf.DUMMYFUNCTION("GOOGLEFINANCE(""NSE:""&amp;D4102,""price"")"),"#N/A")</f>
        <v>#N/A</v>
      </c>
      <c r="M4102" s="9" t="e">
        <f t="shared" ca="1" si="82"/>
        <v>#VALUE!</v>
      </c>
      <c r="N4102" s="10" t="e">
        <f t="shared" ca="1" si="83"/>
        <v>#VALUE!</v>
      </c>
      <c r="O4102" s="7" t="str">
        <f ca="1">IFERROR(__xludf.DUMMYFUNCTION("GOOGLEFINANCE(""NSE:""&amp;D4102,""pe"")"),"#N/A")</f>
        <v>#N/A</v>
      </c>
      <c r="P4102" s="7" t="str">
        <f ca="1">IFERROR(__xludf.DUMMYFUNCTION("GOOGLEFINANCE(""NSE:""&amp;D4102,""EPS"")"),"#N/A")</f>
        <v>#N/A</v>
      </c>
      <c r="Q4102" s="7">
        <v>13.5</v>
      </c>
      <c r="R4102" s="7" t="str">
        <f ca="1">IFERROR(__xludf.DUMMYFUNCTION("IMPORTXML(E4102,""/html/body/main/div[3]/div[3]/div[2]/ul/li[7]/span[2]/span"")"),"Loading...")</f>
        <v>Loading...</v>
      </c>
      <c r="S4102" s="7" t="str">
        <f ca="1">IFERROR(__xludf.DUMMYFUNCTION("IMPORTXML(E4102,""/html/body/main/div[3]/div[3]/div[2]/ul/li[8]/span[2]/span"")"),"Loading...")</f>
        <v>Loading...</v>
      </c>
      <c r="T4102" s="4">
        <v>34.6</v>
      </c>
      <c r="U4102" s="4">
        <v>22.7</v>
      </c>
      <c r="V4102" s="4">
        <v>2.6</v>
      </c>
      <c r="W4102" s="4">
        <v>5.7</v>
      </c>
      <c r="X4102" s="4">
        <v>519.92999999999995</v>
      </c>
      <c r="Y4102" s="7" t="e">
        <f t="shared" ca="1" si="84"/>
        <v>#VALUE!</v>
      </c>
    </row>
    <row r="4103" spans="1:25" ht="15" x14ac:dyDescent="0.25">
      <c r="A4103" s="4">
        <v>4102</v>
      </c>
      <c r="C4103" s="41" t="s">
        <v>6471</v>
      </c>
      <c r="D4103" s="42"/>
      <c r="E4103" s="5" t="str">
        <f t="shared" si="80"/>
        <v>https://www.screener.in/company//consolidated/</v>
      </c>
      <c r="F4103" s="4">
        <v>443059</v>
      </c>
      <c r="G4103" s="4">
        <v>3832241897</v>
      </c>
      <c r="H4103" s="6" t="e">
        <f t="shared" ca="1" si="81"/>
        <v>#VALUE!</v>
      </c>
      <c r="I4103" s="7" t="str">
        <f ca="1">IFERROR(__xludf.DUMMYFUNCTION("IMPORTXML(E4103,""/html/body/main/div[3]/div[3]/div[2]/ul/li[5]/span[2]/span"")"),"Loading...")</f>
        <v>Loading...</v>
      </c>
      <c r="J4103" s="7" t="str">
        <f ca="1">IFERROR(__xludf.DUMMYFUNCTION("GOOGLEFINANCE(""NSE:""&amp;D4103,""marketcap"")"),"#N/A")</f>
        <v>#N/A</v>
      </c>
      <c r="K4103" s="7">
        <v>992.8</v>
      </c>
      <c r="L4103" s="8" t="str">
        <f ca="1">IFERROR(__xludf.DUMMYFUNCTION("GOOGLEFINANCE(""NSE:""&amp;D4103,""price"")"),"#N/A")</f>
        <v>#N/A</v>
      </c>
      <c r="M4103" s="9" t="e">
        <f t="shared" ca="1" si="82"/>
        <v>#VALUE!</v>
      </c>
      <c r="N4103" s="10" t="e">
        <f t="shared" ca="1" si="83"/>
        <v>#VALUE!</v>
      </c>
      <c r="O4103" s="7" t="str">
        <f ca="1">IFERROR(__xludf.DUMMYFUNCTION("GOOGLEFINANCE(""NSE:""&amp;D4103,""pe"")"),"#N/A")</f>
        <v>#N/A</v>
      </c>
      <c r="P4103" s="7" t="str">
        <f ca="1">IFERROR(__xludf.DUMMYFUNCTION("GOOGLEFINANCE(""NSE:""&amp;D4103,""EPS"")"),"#N/A")</f>
        <v>#N/A</v>
      </c>
      <c r="Q4103" s="7">
        <v>13.5</v>
      </c>
      <c r="R4103" s="7" t="str">
        <f ca="1">IFERROR(__xludf.DUMMYFUNCTION("IMPORTXML(E4103,""/html/body/main/div[3]/div[3]/div[2]/ul/li[7]/span[2]/span"")"),"Loading...")</f>
        <v>Loading...</v>
      </c>
      <c r="S4103" s="7" t="str">
        <f ca="1">IFERROR(__xludf.DUMMYFUNCTION("IMPORTXML(E4103,""/html/body/main/div[3]/div[3]/div[2]/ul/li[8]/span[2]/span"")"),"Loading...")</f>
        <v>Loading...</v>
      </c>
      <c r="T4103" s="4">
        <v>34.6</v>
      </c>
      <c r="U4103" s="4">
        <v>22.7</v>
      </c>
      <c r="V4103" s="4">
        <v>2.6</v>
      </c>
      <c r="W4103" s="4">
        <v>5.7</v>
      </c>
      <c r="X4103" s="4">
        <v>519.92999999999995</v>
      </c>
      <c r="Y4103" s="7" t="e">
        <f t="shared" ca="1" si="84"/>
        <v>#VALUE!</v>
      </c>
    </row>
    <row r="4104" spans="1:25" ht="15" x14ac:dyDescent="0.25">
      <c r="A4104" s="4">
        <v>4103</v>
      </c>
      <c r="C4104" s="41" t="s">
        <v>6472</v>
      </c>
      <c r="D4104" s="42"/>
      <c r="E4104" s="5" t="str">
        <f t="shared" si="80"/>
        <v>https://www.screener.in/company//consolidated/</v>
      </c>
      <c r="F4104" s="4">
        <v>443059</v>
      </c>
      <c r="G4104" s="4">
        <v>3832241897</v>
      </c>
      <c r="H4104" s="6" t="e">
        <f t="shared" ca="1" si="81"/>
        <v>#VALUE!</v>
      </c>
      <c r="I4104" s="7" t="str">
        <f ca="1">IFERROR(__xludf.DUMMYFUNCTION("IMPORTXML(E4104,""/html/body/main/div[3]/div[3]/div[2]/ul/li[5]/span[2]/span"")"),"Loading...")</f>
        <v>Loading...</v>
      </c>
      <c r="J4104" s="7" t="str">
        <f ca="1">IFERROR(__xludf.DUMMYFUNCTION("GOOGLEFINANCE(""NSE:""&amp;D4104,""marketcap"")"),"#N/A")</f>
        <v>#N/A</v>
      </c>
      <c r="K4104" s="7">
        <v>992.8</v>
      </c>
      <c r="L4104" s="8" t="str">
        <f ca="1">IFERROR(__xludf.DUMMYFUNCTION("GOOGLEFINANCE(""NSE:""&amp;D4104,""price"")"),"#N/A")</f>
        <v>#N/A</v>
      </c>
      <c r="M4104" s="9" t="e">
        <f t="shared" ca="1" si="82"/>
        <v>#VALUE!</v>
      </c>
      <c r="N4104" s="10" t="e">
        <f t="shared" ca="1" si="83"/>
        <v>#VALUE!</v>
      </c>
      <c r="O4104" s="7" t="str">
        <f ca="1">IFERROR(__xludf.DUMMYFUNCTION("GOOGLEFINANCE(""NSE:""&amp;D4104,""pe"")"),"#N/A")</f>
        <v>#N/A</v>
      </c>
      <c r="P4104" s="7" t="str">
        <f ca="1">IFERROR(__xludf.DUMMYFUNCTION("GOOGLEFINANCE(""NSE:""&amp;D4104,""EPS"")"),"#N/A")</f>
        <v>#N/A</v>
      </c>
      <c r="Q4104" s="7">
        <v>13.5</v>
      </c>
      <c r="R4104" s="7" t="str">
        <f ca="1">IFERROR(__xludf.DUMMYFUNCTION("IMPORTXML(E4104,""/html/body/main/div[3]/div[3]/div[2]/ul/li[7]/span[2]/span"")"),"Loading...")</f>
        <v>Loading...</v>
      </c>
      <c r="S4104" s="7" t="str">
        <f ca="1">IFERROR(__xludf.DUMMYFUNCTION("IMPORTXML(E4104,""/html/body/main/div[3]/div[3]/div[2]/ul/li[8]/span[2]/span"")"),"Loading...")</f>
        <v>Loading...</v>
      </c>
      <c r="T4104" s="4">
        <v>34.6</v>
      </c>
      <c r="U4104" s="4">
        <v>22.7</v>
      </c>
      <c r="V4104" s="4">
        <v>2.6</v>
      </c>
      <c r="W4104" s="4">
        <v>5.7</v>
      </c>
      <c r="X4104" s="4">
        <v>519.92999999999995</v>
      </c>
      <c r="Y4104" s="7" t="e">
        <f t="shared" ca="1" si="84"/>
        <v>#VALUE!</v>
      </c>
    </row>
    <row r="4105" spans="1:25" ht="15" x14ac:dyDescent="0.25">
      <c r="A4105" s="4">
        <v>4104</v>
      </c>
      <c r="C4105" s="41" t="s">
        <v>6473</v>
      </c>
      <c r="D4105" s="42"/>
      <c r="E4105" s="5" t="str">
        <f t="shared" si="80"/>
        <v>https://www.screener.in/company//consolidated/</v>
      </c>
      <c r="F4105" s="4">
        <v>443059</v>
      </c>
      <c r="G4105" s="4">
        <v>3832241897</v>
      </c>
      <c r="H4105" s="6" t="e">
        <f t="shared" ca="1" si="81"/>
        <v>#VALUE!</v>
      </c>
      <c r="I4105" s="7" t="str">
        <f ca="1">IFERROR(__xludf.DUMMYFUNCTION("IMPORTXML(E4105,""/html/body/main/div[3]/div[3]/div[2]/ul/li[5]/span[2]/span"")"),"Loading...")</f>
        <v>Loading...</v>
      </c>
      <c r="J4105" s="7" t="str">
        <f ca="1">IFERROR(__xludf.DUMMYFUNCTION("GOOGLEFINANCE(""NSE:""&amp;D4105,""marketcap"")"),"#N/A")</f>
        <v>#N/A</v>
      </c>
      <c r="K4105" s="7">
        <v>992.8</v>
      </c>
      <c r="L4105" s="8" t="str">
        <f ca="1">IFERROR(__xludf.DUMMYFUNCTION("GOOGLEFINANCE(""NSE:""&amp;D4105,""price"")"),"#N/A")</f>
        <v>#N/A</v>
      </c>
      <c r="M4105" s="9" t="e">
        <f t="shared" ca="1" si="82"/>
        <v>#VALUE!</v>
      </c>
      <c r="N4105" s="10" t="e">
        <f t="shared" ca="1" si="83"/>
        <v>#VALUE!</v>
      </c>
      <c r="O4105" s="7" t="str">
        <f ca="1">IFERROR(__xludf.DUMMYFUNCTION("GOOGLEFINANCE(""NSE:""&amp;D4105,""pe"")"),"#N/A")</f>
        <v>#N/A</v>
      </c>
      <c r="P4105" s="7" t="str">
        <f ca="1">IFERROR(__xludf.DUMMYFUNCTION("GOOGLEFINANCE(""NSE:""&amp;D4105,""EPS"")"),"#N/A")</f>
        <v>#N/A</v>
      </c>
      <c r="Q4105" s="7">
        <v>13.5</v>
      </c>
      <c r="R4105" s="7" t="str">
        <f ca="1">IFERROR(__xludf.DUMMYFUNCTION("IMPORTXML(E4105,""/html/body/main/div[3]/div[3]/div[2]/ul/li[7]/span[2]/span"")"),"Loading...")</f>
        <v>Loading...</v>
      </c>
      <c r="S4105" s="7" t="str">
        <f ca="1">IFERROR(__xludf.DUMMYFUNCTION("IMPORTXML(E4105,""/html/body/main/div[3]/div[3]/div[2]/ul/li[8]/span[2]/span"")"),"Loading...")</f>
        <v>Loading...</v>
      </c>
      <c r="T4105" s="4">
        <v>34.6</v>
      </c>
      <c r="U4105" s="4">
        <v>22.7</v>
      </c>
      <c r="V4105" s="4">
        <v>2.6</v>
      </c>
      <c r="W4105" s="4">
        <v>5.7</v>
      </c>
      <c r="X4105" s="4">
        <v>519.92999999999995</v>
      </c>
      <c r="Y4105" s="7" t="e">
        <f t="shared" ca="1" si="84"/>
        <v>#VALUE!</v>
      </c>
    </row>
    <row r="4106" spans="1:25" ht="15" x14ac:dyDescent="0.25">
      <c r="A4106" s="4">
        <v>4105</v>
      </c>
      <c r="C4106" s="41" t="s">
        <v>6474</v>
      </c>
      <c r="D4106" s="42"/>
      <c r="E4106" s="5" t="str">
        <f t="shared" si="80"/>
        <v>https://www.screener.in/company//consolidated/</v>
      </c>
      <c r="F4106" s="4">
        <v>443059</v>
      </c>
      <c r="G4106" s="4">
        <v>3832241897</v>
      </c>
      <c r="H4106" s="6" t="e">
        <f t="shared" ca="1" si="81"/>
        <v>#VALUE!</v>
      </c>
      <c r="I4106" s="7" t="str">
        <f ca="1">IFERROR(__xludf.DUMMYFUNCTION("IMPORTXML(E4106,""/html/body/main/div[3]/div[3]/div[2]/ul/li[5]/span[2]/span"")"),"Loading...")</f>
        <v>Loading...</v>
      </c>
      <c r="J4106" s="7" t="str">
        <f ca="1">IFERROR(__xludf.DUMMYFUNCTION("GOOGLEFINANCE(""NSE:""&amp;D4106,""marketcap"")"),"#N/A")</f>
        <v>#N/A</v>
      </c>
      <c r="K4106" s="7">
        <v>992.8</v>
      </c>
      <c r="L4106" s="8" t="str">
        <f ca="1">IFERROR(__xludf.DUMMYFUNCTION("GOOGLEFINANCE(""NSE:""&amp;D4106,""price"")"),"#N/A")</f>
        <v>#N/A</v>
      </c>
      <c r="M4106" s="9" t="e">
        <f t="shared" ca="1" si="82"/>
        <v>#VALUE!</v>
      </c>
      <c r="N4106" s="10" t="e">
        <f t="shared" ca="1" si="83"/>
        <v>#VALUE!</v>
      </c>
      <c r="O4106" s="7" t="str">
        <f ca="1">IFERROR(__xludf.DUMMYFUNCTION("GOOGLEFINANCE(""NSE:""&amp;D4106,""pe"")"),"#N/A")</f>
        <v>#N/A</v>
      </c>
      <c r="P4106" s="7" t="str">
        <f ca="1">IFERROR(__xludf.DUMMYFUNCTION("GOOGLEFINANCE(""NSE:""&amp;D4106,""EPS"")"),"#N/A")</f>
        <v>#N/A</v>
      </c>
      <c r="Q4106" s="7">
        <v>13.5</v>
      </c>
      <c r="R4106" s="7" t="str">
        <f ca="1">IFERROR(__xludf.DUMMYFUNCTION("IMPORTXML(E4106,""/html/body/main/div[3]/div[3]/div[2]/ul/li[7]/span[2]/span"")"),"Loading...")</f>
        <v>Loading...</v>
      </c>
      <c r="S4106" s="7" t="str">
        <f ca="1">IFERROR(__xludf.DUMMYFUNCTION("IMPORTXML(E4106,""/html/body/main/div[3]/div[3]/div[2]/ul/li[8]/span[2]/span"")"),"Loading...")</f>
        <v>Loading...</v>
      </c>
      <c r="T4106" s="4">
        <v>34.6</v>
      </c>
      <c r="U4106" s="4">
        <v>22.7</v>
      </c>
      <c r="V4106" s="4">
        <v>2.6</v>
      </c>
      <c r="W4106" s="4">
        <v>5.7</v>
      </c>
      <c r="X4106" s="4">
        <v>519.92999999999995</v>
      </c>
      <c r="Y4106" s="7" t="e">
        <f t="shared" ca="1" si="84"/>
        <v>#VALUE!</v>
      </c>
    </row>
    <row r="4107" spans="1:25" ht="15" x14ac:dyDescent="0.25">
      <c r="A4107" s="4">
        <v>4106</v>
      </c>
      <c r="C4107" s="41" t="s">
        <v>6475</v>
      </c>
      <c r="D4107" s="42"/>
      <c r="E4107" s="5" t="str">
        <f t="shared" si="80"/>
        <v>https://www.screener.in/company//consolidated/</v>
      </c>
      <c r="F4107" s="4">
        <v>443059</v>
      </c>
      <c r="G4107" s="4">
        <v>3832241897</v>
      </c>
      <c r="H4107" s="6" t="e">
        <f t="shared" ca="1" si="81"/>
        <v>#VALUE!</v>
      </c>
      <c r="I4107" s="7" t="str">
        <f ca="1">IFERROR(__xludf.DUMMYFUNCTION("IMPORTXML(E4107,""/html/body/main/div[3]/div[3]/div[2]/ul/li[5]/span[2]/span"")"),"Loading...")</f>
        <v>Loading...</v>
      </c>
      <c r="J4107" s="7" t="str">
        <f ca="1">IFERROR(__xludf.DUMMYFUNCTION("GOOGLEFINANCE(""NSE:""&amp;D4107,""marketcap"")"),"#N/A")</f>
        <v>#N/A</v>
      </c>
      <c r="K4107" s="7">
        <v>992.8</v>
      </c>
      <c r="L4107" s="8" t="str">
        <f ca="1">IFERROR(__xludf.DUMMYFUNCTION("GOOGLEFINANCE(""NSE:""&amp;D4107,""price"")"),"#N/A")</f>
        <v>#N/A</v>
      </c>
      <c r="M4107" s="9" t="e">
        <f t="shared" ca="1" si="82"/>
        <v>#VALUE!</v>
      </c>
      <c r="N4107" s="10" t="e">
        <f t="shared" ca="1" si="83"/>
        <v>#VALUE!</v>
      </c>
      <c r="O4107" s="7" t="str">
        <f ca="1">IFERROR(__xludf.DUMMYFUNCTION("GOOGLEFINANCE(""NSE:""&amp;D4107,""pe"")"),"#N/A")</f>
        <v>#N/A</v>
      </c>
      <c r="P4107" s="7" t="str">
        <f ca="1">IFERROR(__xludf.DUMMYFUNCTION("GOOGLEFINANCE(""NSE:""&amp;D4107,""EPS"")"),"#N/A")</f>
        <v>#N/A</v>
      </c>
      <c r="Q4107" s="7">
        <v>13.5</v>
      </c>
      <c r="R4107" s="7" t="str">
        <f ca="1">IFERROR(__xludf.DUMMYFUNCTION("IMPORTXML(E4107,""/html/body/main/div[3]/div[3]/div[2]/ul/li[7]/span[2]/span"")"),"Loading...")</f>
        <v>Loading...</v>
      </c>
      <c r="S4107" s="7" t="str">
        <f ca="1">IFERROR(__xludf.DUMMYFUNCTION("IMPORTXML(E4107,""/html/body/main/div[3]/div[3]/div[2]/ul/li[8]/span[2]/span"")"),"Loading...")</f>
        <v>Loading...</v>
      </c>
      <c r="T4107" s="4">
        <v>34.6</v>
      </c>
      <c r="U4107" s="4">
        <v>22.7</v>
      </c>
      <c r="V4107" s="4">
        <v>2.6</v>
      </c>
      <c r="W4107" s="4">
        <v>5.7</v>
      </c>
      <c r="X4107" s="4">
        <v>519.92999999999995</v>
      </c>
      <c r="Y4107" s="7" t="e">
        <f t="shared" ca="1" si="84"/>
        <v>#VALUE!</v>
      </c>
    </row>
    <row r="4108" spans="1:25" ht="15" x14ac:dyDescent="0.25">
      <c r="A4108" s="4">
        <v>4107</v>
      </c>
      <c r="C4108" s="41" t="s">
        <v>6476</v>
      </c>
      <c r="D4108" s="42"/>
      <c r="E4108" s="5" t="str">
        <f t="shared" si="80"/>
        <v>https://www.screener.in/company//consolidated/</v>
      </c>
      <c r="F4108" s="4">
        <v>443059</v>
      </c>
      <c r="G4108" s="4">
        <v>3832241897</v>
      </c>
      <c r="H4108" s="6" t="e">
        <f t="shared" ca="1" si="81"/>
        <v>#VALUE!</v>
      </c>
      <c r="I4108" s="7" t="str">
        <f ca="1">IFERROR(__xludf.DUMMYFUNCTION("IMPORTXML(E4108,""/html/body/main/div[3]/div[3]/div[2]/ul/li[5]/span[2]/span"")"),"Loading...")</f>
        <v>Loading...</v>
      </c>
      <c r="J4108" s="7" t="str">
        <f ca="1">IFERROR(__xludf.DUMMYFUNCTION("GOOGLEFINANCE(""NSE:""&amp;D4108,""marketcap"")"),"#N/A")</f>
        <v>#N/A</v>
      </c>
      <c r="K4108" s="7">
        <v>992.8</v>
      </c>
      <c r="L4108" s="8" t="str">
        <f ca="1">IFERROR(__xludf.DUMMYFUNCTION("GOOGLEFINANCE(""NSE:""&amp;D4108,""price"")"),"#N/A")</f>
        <v>#N/A</v>
      </c>
      <c r="M4108" s="9" t="e">
        <f t="shared" ca="1" si="82"/>
        <v>#VALUE!</v>
      </c>
      <c r="N4108" s="10" t="e">
        <f t="shared" ca="1" si="83"/>
        <v>#VALUE!</v>
      </c>
      <c r="O4108" s="7" t="str">
        <f ca="1">IFERROR(__xludf.DUMMYFUNCTION("GOOGLEFINANCE(""NSE:""&amp;D4108,""pe"")"),"#N/A")</f>
        <v>#N/A</v>
      </c>
      <c r="P4108" s="7" t="str">
        <f ca="1">IFERROR(__xludf.DUMMYFUNCTION("GOOGLEFINANCE(""NSE:""&amp;D4108,""EPS"")"),"#N/A")</f>
        <v>#N/A</v>
      </c>
      <c r="Q4108" s="7">
        <v>13.5</v>
      </c>
      <c r="R4108" s="7" t="str">
        <f ca="1">IFERROR(__xludf.DUMMYFUNCTION("IMPORTXML(E4108,""/html/body/main/div[3]/div[3]/div[2]/ul/li[7]/span[2]/span"")"),"Loading...")</f>
        <v>Loading...</v>
      </c>
      <c r="S4108" s="7" t="str">
        <f ca="1">IFERROR(__xludf.DUMMYFUNCTION("IMPORTXML(E4108,""/html/body/main/div[3]/div[3]/div[2]/ul/li[8]/span[2]/span"")"),"Loading...")</f>
        <v>Loading...</v>
      </c>
      <c r="T4108" s="4">
        <v>34.6</v>
      </c>
      <c r="U4108" s="4">
        <v>22.7</v>
      </c>
      <c r="V4108" s="4">
        <v>2.6</v>
      </c>
      <c r="W4108" s="4">
        <v>5.7</v>
      </c>
      <c r="X4108" s="4">
        <v>519.92999999999995</v>
      </c>
      <c r="Y4108" s="7" t="e">
        <f t="shared" ca="1" si="84"/>
        <v>#VALUE!</v>
      </c>
    </row>
    <row r="4109" spans="1:25" ht="15" x14ac:dyDescent="0.25">
      <c r="A4109" s="4">
        <v>4108</v>
      </c>
      <c r="C4109" s="41" t="s">
        <v>6477</v>
      </c>
      <c r="D4109" s="42"/>
      <c r="E4109" s="5" t="str">
        <f t="shared" si="80"/>
        <v>https://www.screener.in/company//consolidated/</v>
      </c>
      <c r="F4109" s="4">
        <v>443059</v>
      </c>
      <c r="G4109" s="4">
        <v>3832241897</v>
      </c>
      <c r="H4109" s="6" t="e">
        <f t="shared" ca="1" si="81"/>
        <v>#VALUE!</v>
      </c>
      <c r="I4109" s="7" t="str">
        <f ca="1">IFERROR(__xludf.DUMMYFUNCTION("IMPORTXML(E4109,""/html/body/main/div[3]/div[3]/div[2]/ul/li[5]/span[2]/span"")"),"Loading...")</f>
        <v>Loading...</v>
      </c>
      <c r="J4109" s="7" t="str">
        <f ca="1">IFERROR(__xludf.DUMMYFUNCTION("GOOGLEFINANCE(""NSE:""&amp;D4109,""marketcap"")"),"#N/A")</f>
        <v>#N/A</v>
      </c>
      <c r="K4109" s="7">
        <v>992.8</v>
      </c>
      <c r="L4109" s="8" t="str">
        <f ca="1">IFERROR(__xludf.DUMMYFUNCTION("GOOGLEFINANCE(""NSE:""&amp;D4109,""price"")"),"#N/A")</f>
        <v>#N/A</v>
      </c>
      <c r="M4109" s="9" t="e">
        <f t="shared" ca="1" si="82"/>
        <v>#VALUE!</v>
      </c>
      <c r="N4109" s="10" t="e">
        <f t="shared" ca="1" si="83"/>
        <v>#VALUE!</v>
      </c>
      <c r="O4109" s="7" t="str">
        <f ca="1">IFERROR(__xludf.DUMMYFUNCTION("GOOGLEFINANCE(""NSE:""&amp;D4109,""pe"")"),"#N/A")</f>
        <v>#N/A</v>
      </c>
      <c r="P4109" s="7" t="str">
        <f ca="1">IFERROR(__xludf.DUMMYFUNCTION("GOOGLEFINANCE(""NSE:""&amp;D4109,""EPS"")"),"#N/A")</f>
        <v>#N/A</v>
      </c>
      <c r="Q4109" s="7">
        <v>13.5</v>
      </c>
      <c r="R4109" s="7" t="str">
        <f ca="1">IFERROR(__xludf.DUMMYFUNCTION("IMPORTXML(E4109,""/html/body/main/div[3]/div[3]/div[2]/ul/li[7]/span[2]/span"")"),"Loading...")</f>
        <v>Loading...</v>
      </c>
      <c r="S4109" s="7" t="str">
        <f ca="1">IFERROR(__xludf.DUMMYFUNCTION("IMPORTXML(E4109,""/html/body/main/div[3]/div[3]/div[2]/ul/li[8]/span[2]/span"")"),"Loading...")</f>
        <v>Loading...</v>
      </c>
      <c r="T4109" s="4">
        <v>34.6</v>
      </c>
      <c r="U4109" s="4">
        <v>22.7</v>
      </c>
      <c r="V4109" s="4">
        <v>2.6</v>
      </c>
      <c r="W4109" s="4">
        <v>5.7</v>
      </c>
      <c r="X4109" s="4">
        <v>519.92999999999995</v>
      </c>
      <c r="Y4109" s="7" t="e">
        <f t="shared" ca="1" si="84"/>
        <v>#VALUE!</v>
      </c>
    </row>
    <row r="4110" spans="1:25" ht="15" x14ac:dyDescent="0.25">
      <c r="A4110" s="4">
        <v>4109</v>
      </c>
      <c r="C4110" s="41" t="s">
        <v>6478</v>
      </c>
      <c r="D4110" s="42"/>
      <c r="E4110" s="5" t="str">
        <f t="shared" si="80"/>
        <v>https://www.screener.in/company//consolidated/</v>
      </c>
      <c r="F4110" s="4">
        <v>443059</v>
      </c>
      <c r="G4110" s="4">
        <v>3832241897</v>
      </c>
      <c r="H4110" s="6" t="e">
        <f t="shared" ca="1" si="81"/>
        <v>#VALUE!</v>
      </c>
      <c r="I4110" s="7" t="str">
        <f ca="1">IFERROR(__xludf.DUMMYFUNCTION("IMPORTXML(E4110,""/html/body/main/div[3]/div[3]/div[2]/ul/li[5]/span[2]/span"")"),"Loading...")</f>
        <v>Loading...</v>
      </c>
      <c r="J4110" s="7" t="str">
        <f ca="1">IFERROR(__xludf.DUMMYFUNCTION("GOOGLEFINANCE(""NSE:""&amp;D4110,""marketcap"")"),"#N/A")</f>
        <v>#N/A</v>
      </c>
      <c r="K4110" s="7">
        <v>992.8</v>
      </c>
      <c r="L4110" s="8" t="str">
        <f ca="1">IFERROR(__xludf.DUMMYFUNCTION("GOOGLEFINANCE(""NSE:""&amp;D4110,""price"")"),"#N/A")</f>
        <v>#N/A</v>
      </c>
      <c r="M4110" s="9" t="e">
        <f t="shared" ca="1" si="82"/>
        <v>#VALUE!</v>
      </c>
      <c r="N4110" s="10" t="e">
        <f t="shared" ca="1" si="83"/>
        <v>#VALUE!</v>
      </c>
      <c r="O4110" s="7" t="str">
        <f ca="1">IFERROR(__xludf.DUMMYFUNCTION("GOOGLEFINANCE(""NSE:""&amp;D4110,""pe"")"),"#N/A")</f>
        <v>#N/A</v>
      </c>
      <c r="P4110" s="7" t="str">
        <f ca="1">IFERROR(__xludf.DUMMYFUNCTION("GOOGLEFINANCE(""NSE:""&amp;D4110,""EPS"")"),"#N/A")</f>
        <v>#N/A</v>
      </c>
      <c r="Q4110" s="7">
        <v>13.5</v>
      </c>
      <c r="R4110" s="7" t="str">
        <f ca="1">IFERROR(__xludf.DUMMYFUNCTION("IMPORTXML(E4110,""/html/body/main/div[3]/div[3]/div[2]/ul/li[7]/span[2]/span"")"),"Loading...")</f>
        <v>Loading...</v>
      </c>
      <c r="S4110" s="7" t="str">
        <f ca="1">IFERROR(__xludf.DUMMYFUNCTION("IMPORTXML(E4110,""/html/body/main/div[3]/div[3]/div[2]/ul/li[8]/span[2]/span"")"),"Loading...")</f>
        <v>Loading...</v>
      </c>
      <c r="T4110" s="4">
        <v>34.6</v>
      </c>
      <c r="U4110" s="4">
        <v>22.7</v>
      </c>
      <c r="V4110" s="4">
        <v>2.6</v>
      </c>
      <c r="W4110" s="4">
        <v>5.7</v>
      </c>
      <c r="X4110" s="4">
        <v>519.92999999999995</v>
      </c>
      <c r="Y4110" s="7" t="e">
        <f t="shared" ca="1" si="84"/>
        <v>#VALUE!</v>
      </c>
    </row>
    <row r="4111" spans="1:25" ht="15" x14ac:dyDescent="0.25">
      <c r="A4111" s="4">
        <v>4110</v>
      </c>
      <c r="C4111" s="41" t="s">
        <v>6479</v>
      </c>
      <c r="D4111" s="42"/>
      <c r="E4111" s="5" t="str">
        <f t="shared" si="80"/>
        <v>https://www.screener.in/company//consolidated/</v>
      </c>
      <c r="F4111" s="4">
        <v>443059</v>
      </c>
      <c r="G4111" s="4">
        <v>3832241897</v>
      </c>
      <c r="H4111" s="6" t="e">
        <f t="shared" ca="1" si="81"/>
        <v>#VALUE!</v>
      </c>
      <c r="I4111" s="7" t="str">
        <f ca="1">IFERROR(__xludf.DUMMYFUNCTION("IMPORTXML(E4111,""/html/body/main/div[3]/div[3]/div[2]/ul/li[5]/span[2]/span"")"),"Loading...")</f>
        <v>Loading...</v>
      </c>
      <c r="J4111" s="7" t="str">
        <f ca="1">IFERROR(__xludf.DUMMYFUNCTION("GOOGLEFINANCE(""NSE:""&amp;D4111,""marketcap"")"),"#N/A")</f>
        <v>#N/A</v>
      </c>
      <c r="K4111" s="7">
        <v>992.8</v>
      </c>
      <c r="L4111" s="8" t="str">
        <f ca="1">IFERROR(__xludf.DUMMYFUNCTION("GOOGLEFINANCE(""NSE:""&amp;D4111,""price"")"),"#N/A")</f>
        <v>#N/A</v>
      </c>
      <c r="M4111" s="9" t="e">
        <f t="shared" ca="1" si="82"/>
        <v>#VALUE!</v>
      </c>
      <c r="N4111" s="10" t="e">
        <f t="shared" ca="1" si="83"/>
        <v>#VALUE!</v>
      </c>
      <c r="O4111" s="7" t="str">
        <f ca="1">IFERROR(__xludf.DUMMYFUNCTION("GOOGLEFINANCE(""NSE:""&amp;D4111,""pe"")"),"#N/A")</f>
        <v>#N/A</v>
      </c>
      <c r="P4111" s="7" t="str">
        <f ca="1">IFERROR(__xludf.DUMMYFUNCTION("GOOGLEFINANCE(""NSE:""&amp;D4111,""EPS"")"),"#N/A")</f>
        <v>#N/A</v>
      </c>
      <c r="Q4111" s="7">
        <v>13.5</v>
      </c>
      <c r="R4111" s="7" t="str">
        <f ca="1">IFERROR(__xludf.DUMMYFUNCTION("IMPORTXML(E4111,""/html/body/main/div[3]/div[3]/div[2]/ul/li[7]/span[2]/span"")"),"Loading...")</f>
        <v>Loading...</v>
      </c>
      <c r="S4111" s="7" t="str">
        <f ca="1">IFERROR(__xludf.DUMMYFUNCTION("IMPORTXML(E4111,""/html/body/main/div[3]/div[3]/div[2]/ul/li[8]/span[2]/span"")"),"Loading...")</f>
        <v>Loading...</v>
      </c>
      <c r="T4111" s="4">
        <v>34.6</v>
      </c>
      <c r="U4111" s="4">
        <v>22.7</v>
      </c>
      <c r="V4111" s="4">
        <v>2.6</v>
      </c>
      <c r="W4111" s="4">
        <v>5.7</v>
      </c>
      <c r="X4111" s="4">
        <v>519.92999999999995</v>
      </c>
      <c r="Y4111" s="7" t="e">
        <f t="shared" ca="1" si="84"/>
        <v>#VALUE!</v>
      </c>
    </row>
    <row r="4112" spans="1:25" ht="15" x14ac:dyDescent="0.25">
      <c r="A4112" s="4">
        <v>4111</v>
      </c>
      <c r="C4112" s="41" t="s">
        <v>6480</v>
      </c>
      <c r="D4112" s="42"/>
      <c r="E4112" s="5" t="str">
        <f t="shared" si="80"/>
        <v>https://www.screener.in/company//consolidated/</v>
      </c>
      <c r="F4112" s="4">
        <v>443059</v>
      </c>
      <c r="G4112" s="4">
        <v>3832241897</v>
      </c>
      <c r="H4112" s="6" t="e">
        <f t="shared" ca="1" si="81"/>
        <v>#VALUE!</v>
      </c>
      <c r="I4112" s="7" t="str">
        <f ca="1">IFERROR(__xludf.DUMMYFUNCTION("IMPORTXML(E4112,""/html/body/main/div[3]/div[3]/div[2]/ul/li[5]/span[2]/span"")"),"Loading...")</f>
        <v>Loading...</v>
      </c>
      <c r="J4112" s="7" t="str">
        <f ca="1">IFERROR(__xludf.DUMMYFUNCTION("GOOGLEFINANCE(""NSE:""&amp;D4112,""marketcap"")"),"#N/A")</f>
        <v>#N/A</v>
      </c>
      <c r="K4112" s="7">
        <v>992.8</v>
      </c>
      <c r="L4112" s="8" t="str">
        <f ca="1">IFERROR(__xludf.DUMMYFUNCTION("GOOGLEFINANCE(""NSE:""&amp;D4112,""price"")"),"#N/A")</f>
        <v>#N/A</v>
      </c>
      <c r="M4112" s="9" t="e">
        <f t="shared" ca="1" si="82"/>
        <v>#VALUE!</v>
      </c>
      <c r="N4112" s="10" t="e">
        <f t="shared" ca="1" si="83"/>
        <v>#VALUE!</v>
      </c>
      <c r="O4112" s="7" t="str">
        <f ca="1">IFERROR(__xludf.DUMMYFUNCTION("GOOGLEFINANCE(""NSE:""&amp;D4112,""pe"")"),"#N/A")</f>
        <v>#N/A</v>
      </c>
      <c r="P4112" s="7" t="str">
        <f ca="1">IFERROR(__xludf.DUMMYFUNCTION("GOOGLEFINANCE(""NSE:""&amp;D4112,""EPS"")"),"#N/A")</f>
        <v>#N/A</v>
      </c>
      <c r="Q4112" s="7">
        <v>13.5</v>
      </c>
      <c r="R4112" s="7" t="str">
        <f ca="1">IFERROR(__xludf.DUMMYFUNCTION("IMPORTXML(E4112,""/html/body/main/div[3]/div[3]/div[2]/ul/li[7]/span[2]/span"")"),"Loading...")</f>
        <v>Loading...</v>
      </c>
      <c r="S4112" s="7" t="str">
        <f ca="1">IFERROR(__xludf.DUMMYFUNCTION("IMPORTXML(E4112,""/html/body/main/div[3]/div[3]/div[2]/ul/li[8]/span[2]/span"")"),"Loading...")</f>
        <v>Loading...</v>
      </c>
      <c r="T4112" s="4">
        <v>34.6</v>
      </c>
      <c r="U4112" s="4">
        <v>22.7</v>
      </c>
      <c r="V4112" s="4">
        <v>2.6</v>
      </c>
      <c r="W4112" s="4">
        <v>5.7</v>
      </c>
      <c r="X4112" s="4">
        <v>519.92999999999995</v>
      </c>
      <c r="Y4112" s="7" t="e">
        <f t="shared" ca="1" si="84"/>
        <v>#VALUE!</v>
      </c>
    </row>
    <row r="4113" spans="1:25" ht="15" x14ac:dyDescent="0.25">
      <c r="A4113" s="4">
        <v>4112</v>
      </c>
      <c r="C4113" s="41" t="s">
        <v>6481</v>
      </c>
      <c r="D4113" s="42"/>
      <c r="E4113" s="5" t="str">
        <f t="shared" si="80"/>
        <v>https://www.screener.in/company//consolidated/</v>
      </c>
      <c r="F4113" s="4">
        <v>443059</v>
      </c>
      <c r="G4113" s="4">
        <v>3832241897</v>
      </c>
      <c r="H4113" s="6" t="e">
        <f t="shared" ca="1" si="81"/>
        <v>#VALUE!</v>
      </c>
      <c r="I4113" s="7" t="str">
        <f ca="1">IFERROR(__xludf.DUMMYFUNCTION("IMPORTXML(E4113,""/html/body/main/div[3]/div[3]/div[2]/ul/li[5]/span[2]/span"")"),"Loading...")</f>
        <v>Loading...</v>
      </c>
      <c r="J4113" s="7" t="str">
        <f ca="1">IFERROR(__xludf.DUMMYFUNCTION("GOOGLEFINANCE(""NSE:""&amp;D4113,""marketcap"")"),"#N/A")</f>
        <v>#N/A</v>
      </c>
      <c r="K4113" s="7">
        <v>992.8</v>
      </c>
      <c r="L4113" s="8" t="str">
        <f ca="1">IFERROR(__xludf.DUMMYFUNCTION("GOOGLEFINANCE(""NSE:""&amp;D4113,""price"")"),"#N/A")</f>
        <v>#N/A</v>
      </c>
      <c r="M4113" s="9" t="e">
        <f t="shared" ca="1" si="82"/>
        <v>#VALUE!</v>
      </c>
      <c r="N4113" s="10" t="e">
        <f t="shared" ca="1" si="83"/>
        <v>#VALUE!</v>
      </c>
      <c r="O4113" s="7" t="str">
        <f ca="1">IFERROR(__xludf.DUMMYFUNCTION("GOOGLEFINANCE(""NSE:""&amp;D4113,""pe"")"),"#N/A")</f>
        <v>#N/A</v>
      </c>
      <c r="P4113" s="7" t="str">
        <f ca="1">IFERROR(__xludf.DUMMYFUNCTION("GOOGLEFINANCE(""NSE:""&amp;D4113,""EPS"")"),"#N/A")</f>
        <v>#N/A</v>
      </c>
      <c r="Q4113" s="7">
        <v>13.5</v>
      </c>
      <c r="R4113" s="7" t="str">
        <f ca="1">IFERROR(__xludf.DUMMYFUNCTION("IMPORTXML(E4113,""/html/body/main/div[3]/div[3]/div[2]/ul/li[7]/span[2]/span"")"),"Loading...")</f>
        <v>Loading...</v>
      </c>
      <c r="S4113" s="7" t="str">
        <f ca="1">IFERROR(__xludf.DUMMYFUNCTION("IMPORTXML(E4113,""/html/body/main/div[3]/div[3]/div[2]/ul/li[8]/span[2]/span"")"),"Loading...")</f>
        <v>Loading...</v>
      </c>
      <c r="T4113" s="4">
        <v>34.6</v>
      </c>
      <c r="U4113" s="4">
        <v>22.7</v>
      </c>
      <c r="V4113" s="4">
        <v>2.6</v>
      </c>
      <c r="W4113" s="4">
        <v>5.7</v>
      </c>
      <c r="X4113" s="4">
        <v>519.92999999999995</v>
      </c>
      <c r="Y4113" s="7" t="e">
        <f t="shared" ca="1" si="84"/>
        <v>#VALUE!</v>
      </c>
    </row>
    <row r="4114" spans="1:25" ht="15" x14ac:dyDescent="0.25">
      <c r="A4114" s="4">
        <v>4113</v>
      </c>
      <c r="C4114" s="41" t="s">
        <v>6482</v>
      </c>
      <c r="D4114" s="42"/>
      <c r="E4114" s="5" t="str">
        <f t="shared" si="80"/>
        <v>https://www.screener.in/company//consolidated/</v>
      </c>
      <c r="F4114" s="4">
        <v>443059</v>
      </c>
      <c r="G4114" s="4">
        <v>3832241897</v>
      </c>
      <c r="H4114" s="6" t="e">
        <f t="shared" ca="1" si="81"/>
        <v>#VALUE!</v>
      </c>
      <c r="I4114" s="7" t="str">
        <f ca="1">IFERROR(__xludf.DUMMYFUNCTION("IMPORTXML(E4114,""/html/body/main/div[3]/div[3]/div[2]/ul/li[5]/span[2]/span"")"),"Loading...")</f>
        <v>Loading...</v>
      </c>
      <c r="J4114" s="7" t="str">
        <f ca="1">IFERROR(__xludf.DUMMYFUNCTION("GOOGLEFINANCE(""NSE:""&amp;D4114,""marketcap"")"),"#N/A")</f>
        <v>#N/A</v>
      </c>
      <c r="K4114" s="7">
        <v>992.8</v>
      </c>
      <c r="L4114" s="8" t="str">
        <f ca="1">IFERROR(__xludf.DUMMYFUNCTION("GOOGLEFINANCE(""NSE:""&amp;D4114,""price"")"),"#N/A")</f>
        <v>#N/A</v>
      </c>
      <c r="M4114" s="9" t="e">
        <f t="shared" ca="1" si="82"/>
        <v>#VALUE!</v>
      </c>
      <c r="N4114" s="10" t="e">
        <f t="shared" ca="1" si="83"/>
        <v>#VALUE!</v>
      </c>
      <c r="O4114" s="7" t="str">
        <f ca="1">IFERROR(__xludf.DUMMYFUNCTION("GOOGLEFINANCE(""NSE:""&amp;D4114,""pe"")"),"#N/A")</f>
        <v>#N/A</v>
      </c>
      <c r="P4114" s="7" t="str">
        <f ca="1">IFERROR(__xludf.DUMMYFUNCTION("GOOGLEFINANCE(""NSE:""&amp;D4114,""EPS"")"),"#N/A")</f>
        <v>#N/A</v>
      </c>
      <c r="Q4114" s="7">
        <v>13.5</v>
      </c>
      <c r="R4114" s="7" t="str">
        <f ca="1">IFERROR(__xludf.DUMMYFUNCTION("IMPORTXML(E4114,""/html/body/main/div[3]/div[3]/div[2]/ul/li[7]/span[2]/span"")"),"Loading...")</f>
        <v>Loading...</v>
      </c>
      <c r="S4114" s="7" t="str">
        <f ca="1">IFERROR(__xludf.DUMMYFUNCTION("IMPORTXML(E4114,""/html/body/main/div[3]/div[3]/div[2]/ul/li[8]/span[2]/span"")"),"Loading...")</f>
        <v>Loading...</v>
      </c>
      <c r="T4114" s="4">
        <v>34.6</v>
      </c>
      <c r="U4114" s="4">
        <v>22.7</v>
      </c>
      <c r="V4114" s="4">
        <v>2.6</v>
      </c>
      <c r="W4114" s="4">
        <v>5.7</v>
      </c>
      <c r="X4114" s="4">
        <v>519.92999999999995</v>
      </c>
      <c r="Y4114" s="7" t="e">
        <f t="shared" ca="1" si="84"/>
        <v>#VALUE!</v>
      </c>
    </row>
    <row r="4115" spans="1:25" ht="15" x14ac:dyDescent="0.25">
      <c r="A4115" s="4">
        <v>4114</v>
      </c>
      <c r="C4115" s="41" t="s">
        <v>6483</v>
      </c>
      <c r="D4115" s="42"/>
      <c r="E4115" s="5" t="str">
        <f t="shared" si="80"/>
        <v>https://www.screener.in/company//consolidated/</v>
      </c>
      <c r="F4115" s="4">
        <v>443059</v>
      </c>
      <c r="G4115" s="4">
        <v>3832241897</v>
      </c>
      <c r="H4115" s="6" t="e">
        <f t="shared" ca="1" si="81"/>
        <v>#VALUE!</v>
      </c>
      <c r="I4115" s="7" t="str">
        <f ca="1">IFERROR(__xludf.DUMMYFUNCTION("IMPORTXML(E4115,""/html/body/main/div[3]/div[3]/div[2]/ul/li[5]/span[2]/span"")"),"Loading...")</f>
        <v>Loading...</v>
      </c>
      <c r="J4115" s="7" t="str">
        <f ca="1">IFERROR(__xludf.DUMMYFUNCTION("GOOGLEFINANCE(""NSE:""&amp;D4115,""marketcap"")"),"#N/A")</f>
        <v>#N/A</v>
      </c>
      <c r="K4115" s="7">
        <v>992.8</v>
      </c>
      <c r="L4115" s="8" t="str">
        <f ca="1">IFERROR(__xludf.DUMMYFUNCTION("GOOGLEFINANCE(""NSE:""&amp;D4115,""price"")"),"#N/A")</f>
        <v>#N/A</v>
      </c>
      <c r="M4115" s="9" t="e">
        <f t="shared" ca="1" si="82"/>
        <v>#VALUE!</v>
      </c>
      <c r="N4115" s="10" t="e">
        <f t="shared" ca="1" si="83"/>
        <v>#VALUE!</v>
      </c>
      <c r="O4115" s="7" t="str">
        <f ca="1">IFERROR(__xludf.DUMMYFUNCTION("GOOGLEFINANCE(""NSE:""&amp;D4115,""pe"")"),"#N/A")</f>
        <v>#N/A</v>
      </c>
      <c r="P4115" s="7" t="str">
        <f ca="1">IFERROR(__xludf.DUMMYFUNCTION("GOOGLEFINANCE(""NSE:""&amp;D4115,""EPS"")"),"#N/A")</f>
        <v>#N/A</v>
      </c>
      <c r="Q4115" s="7">
        <v>13.5</v>
      </c>
      <c r="R4115" s="7" t="str">
        <f ca="1">IFERROR(__xludf.DUMMYFUNCTION("IMPORTXML(E4115,""/html/body/main/div[3]/div[3]/div[2]/ul/li[7]/span[2]/span"")"),"Loading...")</f>
        <v>Loading...</v>
      </c>
      <c r="S4115" s="7" t="str">
        <f ca="1">IFERROR(__xludf.DUMMYFUNCTION("IMPORTXML(E4115,""/html/body/main/div[3]/div[3]/div[2]/ul/li[8]/span[2]/span"")"),"Loading...")</f>
        <v>Loading...</v>
      </c>
      <c r="T4115" s="4">
        <v>34.6</v>
      </c>
      <c r="U4115" s="4">
        <v>22.7</v>
      </c>
      <c r="V4115" s="4">
        <v>2.6</v>
      </c>
      <c r="W4115" s="4">
        <v>5.7</v>
      </c>
      <c r="X4115" s="4">
        <v>519.92999999999995</v>
      </c>
      <c r="Y4115" s="7" t="e">
        <f t="shared" ca="1" si="84"/>
        <v>#VALUE!</v>
      </c>
    </row>
    <row r="4116" spans="1:25" ht="15" x14ac:dyDescent="0.25">
      <c r="A4116" s="4">
        <v>4115</v>
      </c>
      <c r="C4116" s="41" t="s">
        <v>6484</v>
      </c>
      <c r="D4116" s="42"/>
      <c r="E4116" s="5" t="str">
        <f t="shared" si="80"/>
        <v>https://www.screener.in/company//consolidated/</v>
      </c>
      <c r="F4116" s="4">
        <v>443059</v>
      </c>
      <c r="G4116" s="4">
        <v>3832241897</v>
      </c>
      <c r="H4116" s="6" t="e">
        <f t="shared" ca="1" si="81"/>
        <v>#VALUE!</v>
      </c>
      <c r="I4116" s="7" t="str">
        <f ca="1">IFERROR(__xludf.DUMMYFUNCTION("IMPORTXML(E4116,""/html/body/main/div[3]/div[3]/div[2]/ul/li[5]/span[2]/span"")"),"Loading...")</f>
        <v>Loading...</v>
      </c>
      <c r="J4116" s="7" t="str">
        <f ca="1">IFERROR(__xludf.DUMMYFUNCTION("GOOGLEFINANCE(""NSE:""&amp;D4116,""marketcap"")"),"#N/A")</f>
        <v>#N/A</v>
      </c>
      <c r="K4116" s="7">
        <v>992.8</v>
      </c>
      <c r="L4116" s="8" t="str">
        <f ca="1">IFERROR(__xludf.DUMMYFUNCTION("GOOGLEFINANCE(""NSE:""&amp;D4116,""price"")"),"#N/A")</f>
        <v>#N/A</v>
      </c>
      <c r="M4116" s="9" t="e">
        <f t="shared" ca="1" si="82"/>
        <v>#VALUE!</v>
      </c>
      <c r="N4116" s="10" t="e">
        <f t="shared" ca="1" si="83"/>
        <v>#VALUE!</v>
      </c>
      <c r="O4116" s="7" t="str">
        <f ca="1">IFERROR(__xludf.DUMMYFUNCTION("GOOGLEFINANCE(""NSE:""&amp;D4116,""pe"")"),"#N/A")</f>
        <v>#N/A</v>
      </c>
      <c r="P4116" s="7" t="str">
        <f ca="1">IFERROR(__xludf.DUMMYFUNCTION("GOOGLEFINANCE(""NSE:""&amp;D4116,""EPS"")"),"#N/A")</f>
        <v>#N/A</v>
      </c>
      <c r="Q4116" s="7">
        <v>13.5</v>
      </c>
      <c r="R4116" s="7" t="str">
        <f ca="1">IFERROR(__xludf.DUMMYFUNCTION("IMPORTXML(E4116,""/html/body/main/div[3]/div[3]/div[2]/ul/li[7]/span[2]/span"")"),"Loading...")</f>
        <v>Loading...</v>
      </c>
      <c r="S4116" s="7" t="str">
        <f ca="1">IFERROR(__xludf.DUMMYFUNCTION("IMPORTXML(E4116,""/html/body/main/div[3]/div[3]/div[2]/ul/li[8]/span[2]/span"")"),"Loading...")</f>
        <v>Loading...</v>
      </c>
      <c r="T4116" s="4">
        <v>34.6</v>
      </c>
      <c r="U4116" s="4">
        <v>22.7</v>
      </c>
      <c r="V4116" s="4">
        <v>2.6</v>
      </c>
      <c r="W4116" s="4">
        <v>5.7</v>
      </c>
      <c r="X4116" s="4">
        <v>519.92999999999995</v>
      </c>
      <c r="Y4116" s="7" t="e">
        <f t="shared" ca="1" si="84"/>
        <v>#VALUE!</v>
      </c>
    </row>
    <row r="4117" spans="1:25" ht="15" x14ac:dyDescent="0.25">
      <c r="A4117" s="4">
        <v>4116</v>
      </c>
      <c r="C4117" s="41" t="s">
        <v>6485</v>
      </c>
      <c r="D4117" s="42"/>
      <c r="E4117" s="5" t="str">
        <f t="shared" si="80"/>
        <v>https://www.screener.in/company//consolidated/</v>
      </c>
      <c r="F4117" s="4">
        <v>443059</v>
      </c>
      <c r="G4117" s="4">
        <v>3832241897</v>
      </c>
      <c r="H4117" s="6" t="e">
        <f t="shared" ca="1" si="81"/>
        <v>#VALUE!</v>
      </c>
      <c r="I4117" s="7" t="str">
        <f ca="1">IFERROR(__xludf.DUMMYFUNCTION("IMPORTXML(E4117,""/html/body/main/div[3]/div[3]/div[2]/ul/li[5]/span[2]/span"")"),"Loading...")</f>
        <v>Loading...</v>
      </c>
      <c r="J4117" s="7" t="str">
        <f ca="1">IFERROR(__xludf.DUMMYFUNCTION("GOOGLEFINANCE(""NSE:""&amp;D4117,""marketcap"")"),"#N/A")</f>
        <v>#N/A</v>
      </c>
      <c r="K4117" s="7">
        <v>992.8</v>
      </c>
      <c r="L4117" s="8" t="str">
        <f ca="1">IFERROR(__xludf.DUMMYFUNCTION("GOOGLEFINANCE(""NSE:""&amp;D4117,""price"")"),"#N/A")</f>
        <v>#N/A</v>
      </c>
      <c r="M4117" s="9" t="e">
        <f t="shared" ca="1" si="82"/>
        <v>#VALUE!</v>
      </c>
      <c r="N4117" s="10" t="e">
        <f t="shared" ca="1" si="83"/>
        <v>#VALUE!</v>
      </c>
      <c r="O4117" s="7" t="str">
        <f ca="1">IFERROR(__xludf.DUMMYFUNCTION("GOOGLEFINANCE(""NSE:""&amp;D4117,""pe"")"),"#N/A")</f>
        <v>#N/A</v>
      </c>
      <c r="P4117" s="7" t="str">
        <f ca="1">IFERROR(__xludf.DUMMYFUNCTION("GOOGLEFINANCE(""NSE:""&amp;D4117,""EPS"")"),"#N/A")</f>
        <v>#N/A</v>
      </c>
      <c r="Q4117" s="7">
        <v>13.5</v>
      </c>
      <c r="R4117" s="7" t="str">
        <f ca="1">IFERROR(__xludf.DUMMYFUNCTION("IMPORTXML(E4117,""/html/body/main/div[3]/div[3]/div[2]/ul/li[7]/span[2]/span"")"),"Loading...")</f>
        <v>Loading...</v>
      </c>
      <c r="S4117" s="7" t="str">
        <f ca="1">IFERROR(__xludf.DUMMYFUNCTION("IMPORTXML(E4117,""/html/body/main/div[3]/div[3]/div[2]/ul/li[8]/span[2]/span"")"),"Loading...")</f>
        <v>Loading...</v>
      </c>
      <c r="T4117" s="4">
        <v>34.6</v>
      </c>
      <c r="U4117" s="4">
        <v>22.7</v>
      </c>
      <c r="V4117" s="4">
        <v>2.6</v>
      </c>
      <c r="W4117" s="4">
        <v>5.7</v>
      </c>
      <c r="X4117" s="4">
        <v>519.92999999999995</v>
      </c>
      <c r="Y4117" s="7" t="e">
        <f t="shared" ca="1" si="84"/>
        <v>#VALUE!</v>
      </c>
    </row>
    <row r="4118" spans="1:25" ht="15" x14ac:dyDescent="0.25">
      <c r="A4118" s="4">
        <v>4117</v>
      </c>
      <c r="C4118" s="41" t="s">
        <v>6486</v>
      </c>
      <c r="D4118" s="42"/>
      <c r="E4118" s="5" t="str">
        <f t="shared" si="80"/>
        <v>https://www.screener.in/company//consolidated/</v>
      </c>
      <c r="F4118" s="4">
        <v>443059</v>
      </c>
      <c r="G4118" s="4">
        <v>3832241897</v>
      </c>
      <c r="H4118" s="6" t="e">
        <f t="shared" ca="1" si="81"/>
        <v>#VALUE!</v>
      </c>
      <c r="I4118" s="7" t="str">
        <f ca="1">IFERROR(__xludf.DUMMYFUNCTION("IMPORTXML(E4118,""/html/body/main/div[3]/div[3]/div[2]/ul/li[5]/span[2]/span"")"),"Loading...")</f>
        <v>Loading...</v>
      </c>
      <c r="J4118" s="7" t="str">
        <f ca="1">IFERROR(__xludf.DUMMYFUNCTION("GOOGLEFINANCE(""NSE:""&amp;D4118,""marketcap"")"),"#N/A")</f>
        <v>#N/A</v>
      </c>
      <c r="K4118" s="7">
        <v>992.8</v>
      </c>
      <c r="L4118" s="8" t="str">
        <f ca="1">IFERROR(__xludf.DUMMYFUNCTION("GOOGLEFINANCE(""NSE:""&amp;D4118,""price"")"),"#N/A")</f>
        <v>#N/A</v>
      </c>
      <c r="M4118" s="9" t="e">
        <f t="shared" ca="1" si="82"/>
        <v>#VALUE!</v>
      </c>
      <c r="N4118" s="10" t="e">
        <f t="shared" ca="1" si="83"/>
        <v>#VALUE!</v>
      </c>
      <c r="O4118" s="7" t="str">
        <f ca="1">IFERROR(__xludf.DUMMYFUNCTION("GOOGLEFINANCE(""NSE:""&amp;D4118,""pe"")"),"#N/A")</f>
        <v>#N/A</v>
      </c>
      <c r="P4118" s="7" t="str">
        <f ca="1">IFERROR(__xludf.DUMMYFUNCTION("GOOGLEFINANCE(""NSE:""&amp;D4118,""EPS"")"),"#N/A")</f>
        <v>#N/A</v>
      </c>
      <c r="Q4118" s="7">
        <v>13.5</v>
      </c>
      <c r="R4118" s="7" t="str">
        <f ca="1">IFERROR(__xludf.DUMMYFUNCTION("IMPORTXML(E4118,""/html/body/main/div[3]/div[3]/div[2]/ul/li[7]/span[2]/span"")"),"Loading...")</f>
        <v>Loading...</v>
      </c>
      <c r="S4118" s="7" t="str">
        <f ca="1">IFERROR(__xludf.DUMMYFUNCTION("IMPORTXML(E4118,""/html/body/main/div[3]/div[3]/div[2]/ul/li[8]/span[2]/span"")"),"Loading...")</f>
        <v>Loading...</v>
      </c>
      <c r="T4118" s="4">
        <v>34.6</v>
      </c>
      <c r="U4118" s="4">
        <v>22.7</v>
      </c>
      <c r="V4118" s="4">
        <v>2.6</v>
      </c>
      <c r="W4118" s="4">
        <v>5.7</v>
      </c>
      <c r="X4118" s="4">
        <v>519.92999999999995</v>
      </c>
      <c r="Y4118" s="7" t="e">
        <f t="shared" ca="1" si="84"/>
        <v>#VALUE!</v>
      </c>
    </row>
    <row r="4119" spans="1:25" ht="15" x14ac:dyDescent="0.25">
      <c r="A4119" s="4">
        <v>4118</v>
      </c>
      <c r="C4119" s="41" t="s">
        <v>6487</v>
      </c>
      <c r="D4119" s="42"/>
      <c r="E4119" s="5" t="str">
        <f t="shared" si="80"/>
        <v>https://www.screener.in/company//consolidated/</v>
      </c>
      <c r="F4119" s="4">
        <v>443059</v>
      </c>
      <c r="G4119" s="4">
        <v>3832241897</v>
      </c>
      <c r="H4119" s="6" t="e">
        <f t="shared" ca="1" si="81"/>
        <v>#VALUE!</v>
      </c>
      <c r="I4119" s="7" t="str">
        <f ca="1">IFERROR(__xludf.DUMMYFUNCTION("IMPORTXML(E4119,""/html/body/main/div[3]/div[3]/div[2]/ul/li[5]/span[2]/span"")"),"Loading...")</f>
        <v>Loading...</v>
      </c>
      <c r="J4119" s="7" t="str">
        <f ca="1">IFERROR(__xludf.DUMMYFUNCTION("GOOGLEFINANCE(""NSE:""&amp;D4119,""marketcap"")"),"#N/A")</f>
        <v>#N/A</v>
      </c>
      <c r="K4119" s="7">
        <v>992.8</v>
      </c>
      <c r="L4119" s="8" t="str">
        <f ca="1">IFERROR(__xludf.DUMMYFUNCTION("GOOGLEFINANCE(""NSE:""&amp;D4119,""price"")"),"#N/A")</f>
        <v>#N/A</v>
      </c>
      <c r="M4119" s="9" t="e">
        <f t="shared" ca="1" si="82"/>
        <v>#VALUE!</v>
      </c>
      <c r="N4119" s="10" t="e">
        <f t="shared" ca="1" si="83"/>
        <v>#VALUE!</v>
      </c>
      <c r="O4119" s="7" t="str">
        <f ca="1">IFERROR(__xludf.DUMMYFUNCTION("GOOGLEFINANCE(""NSE:""&amp;D4119,""pe"")"),"#N/A")</f>
        <v>#N/A</v>
      </c>
      <c r="P4119" s="7" t="str">
        <f ca="1">IFERROR(__xludf.DUMMYFUNCTION("GOOGLEFINANCE(""NSE:""&amp;D4119,""EPS"")"),"#N/A")</f>
        <v>#N/A</v>
      </c>
      <c r="Q4119" s="7">
        <v>13.5</v>
      </c>
      <c r="R4119" s="7" t="str">
        <f ca="1">IFERROR(__xludf.DUMMYFUNCTION("IMPORTXML(E4119,""/html/body/main/div[3]/div[3]/div[2]/ul/li[7]/span[2]/span"")"),"Loading...")</f>
        <v>Loading...</v>
      </c>
      <c r="S4119" s="7" t="str">
        <f ca="1">IFERROR(__xludf.DUMMYFUNCTION("IMPORTXML(E4119,""/html/body/main/div[3]/div[3]/div[2]/ul/li[8]/span[2]/span"")"),"Loading...")</f>
        <v>Loading...</v>
      </c>
      <c r="T4119" s="4">
        <v>34.6</v>
      </c>
      <c r="U4119" s="4">
        <v>22.7</v>
      </c>
      <c r="V4119" s="4">
        <v>2.6</v>
      </c>
      <c r="W4119" s="4">
        <v>5.7</v>
      </c>
      <c r="X4119" s="4">
        <v>519.92999999999995</v>
      </c>
      <c r="Y4119" s="7" t="e">
        <f t="shared" ca="1" si="84"/>
        <v>#VALUE!</v>
      </c>
    </row>
    <row r="4120" spans="1:25" ht="15" x14ac:dyDescent="0.25">
      <c r="A4120" s="4">
        <v>4119</v>
      </c>
      <c r="C4120" s="41" t="s">
        <v>6488</v>
      </c>
      <c r="D4120" s="42"/>
      <c r="E4120" s="5" t="str">
        <f t="shared" si="80"/>
        <v>https://www.screener.in/company//consolidated/</v>
      </c>
      <c r="F4120" s="4">
        <v>443059</v>
      </c>
      <c r="G4120" s="4">
        <v>3832241897</v>
      </c>
      <c r="H4120" s="6" t="e">
        <f t="shared" ca="1" si="81"/>
        <v>#VALUE!</v>
      </c>
      <c r="I4120" s="7" t="str">
        <f ca="1">IFERROR(__xludf.DUMMYFUNCTION("IMPORTXML(E4120,""/html/body/main/div[3]/div[3]/div[2]/ul/li[5]/span[2]/span"")"),"Loading...")</f>
        <v>Loading...</v>
      </c>
      <c r="J4120" s="7" t="str">
        <f ca="1">IFERROR(__xludf.DUMMYFUNCTION("GOOGLEFINANCE(""NSE:""&amp;D4120,""marketcap"")"),"#N/A")</f>
        <v>#N/A</v>
      </c>
      <c r="K4120" s="7">
        <v>992.8</v>
      </c>
      <c r="L4120" s="8" t="str">
        <f ca="1">IFERROR(__xludf.DUMMYFUNCTION("GOOGLEFINANCE(""NSE:""&amp;D4120,""price"")"),"#N/A")</f>
        <v>#N/A</v>
      </c>
      <c r="M4120" s="9" t="e">
        <f t="shared" ca="1" si="82"/>
        <v>#VALUE!</v>
      </c>
      <c r="N4120" s="10" t="e">
        <f t="shared" ca="1" si="83"/>
        <v>#VALUE!</v>
      </c>
      <c r="O4120" s="7" t="str">
        <f ca="1">IFERROR(__xludf.DUMMYFUNCTION("GOOGLEFINANCE(""NSE:""&amp;D4120,""pe"")"),"#N/A")</f>
        <v>#N/A</v>
      </c>
      <c r="P4120" s="7" t="str">
        <f ca="1">IFERROR(__xludf.DUMMYFUNCTION("GOOGLEFINANCE(""NSE:""&amp;D4120,""EPS"")"),"#N/A")</f>
        <v>#N/A</v>
      </c>
      <c r="Q4120" s="7">
        <v>13.5</v>
      </c>
      <c r="R4120" s="7" t="str">
        <f ca="1">IFERROR(__xludf.DUMMYFUNCTION("IMPORTXML(E4120,""/html/body/main/div[3]/div[3]/div[2]/ul/li[7]/span[2]/span"")"),"Loading...")</f>
        <v>Loading...</v>
      </c>
      <c r="S4120" s="7" t="str">
        <f ca="1">IFERROR(__xludf.DUMMYFUNCTION("IMPORTXML(E4120,""/html/body/main/div[3]/div[3]/div[2]/ul/li[8]/span[2]/span"")"),"Loading...")</f>
        <v>Loading...</v>
      </c>
      <c r="T4120" s="4">
        <v>34.6</v>
      </c>
      <c r="U4120" s="4">
        <v>22.7</v>
      </c>
      <c r="V4120" s="4">
        <v>2.6</v>
      </c>
      <c r="W4120" s="4">
        <v>5.7</v>
      </c>
      <c r="X4120" s="4">
        <v>519.92999999999995</v>
      </c>
      <c r="Y4120" s="7" t="e">
        <f t="shared" ca="1" si="84"/>
        <v>#VALUE!</v>
      </c>
    </row>
    <row r="4121" spans="1:25" ht="15" x14ac:dyDescent="0.25">
      <c r="A4121" s="4">
        <v>4120</v>
      </c>
      <c r="C4121" s="41" t="s">
        <v>6489</v>
      </c>
      <c r="D4121" s="42"/>
      <c r="E4121" s="5" t="str">
        <f t="shared" si="80"/>
        <v>https://www.screener.in/company//consolidated/</v>
      </c>
      <c r="F4121" s="4">
        <v>443059</v>
      </c>
      <c r="G4121" s="4">
        <v>3832241897</v>
      </c>
      <c r="H4121" s="6" t="e">
        <f t="shared" ca="1" si="81"/>
        <v>#VALUE!</v>
      </c>
      <c r="I4121" s="7" t="str">
        <f ca="1">IFERROR(__xludf.DUMMYFUNCTION("IMPORTXML(E4121,""/html/body/main/div[3]/div[3]/div[2]/ul/li[5]/span[2]/span"")"),"Loading...")</f>
        <v>Loading...</v>
      </c>
      <c r="J4121" s="7" t="str">
        <f ca="1">IFERROR(__xludf.DUMMYFUNCTION("GOOGLEFINANCE(""NSE:""&amp;D4121,""marketcap"")"),"#N/A")</f>
        <v>#N/A</v>
      </c>
      <c r="K4121" s="7">
        <v>992.8</v>
      </c>
      <c r="L4121" s="8" t="str">
        <f ca="1">IFERROR(__xludf.DUMMYFUNCTION("GOOGLEFINANCE(""NSE:""&amp;D4121,""price"")"),"#N/A")</f>
        <v>#N/A</v>
      </c>
      <c r="M4121" s="9" t="e">
        <f t="shared" ca="1" si="82"/>
        <v>#VALUE!</v>
      </c>
      <c r="N4121" s="10" t="e">
        <f t="shared" ca="1" si="83"/>
        <v>#VALUE!</v>
      </c>
      <c r="O4121" s="7" t="str">
        <f ca="1">IFERROR(__xludf.DUMMYFUNCTION("GOOGLEFINANCE(""NSE:""&amp;D4121,""pe"")"),"#N/A")</f>
        <v>#N/A</v>
      </c>
      <c r="P4121" s="7" t="str">
        <f ca="1">IFERROR(__xludf.DUMMYFUNCTION("GOOGLEFINANCE(""NSE:""&amp;D4121,""EPS"")"),"#N/A")</f>
        <v>#N/A</v>
      </c>
      <c r="Q4121" s="7">
        <v>13.5</v>
      </c>
      <c r="R4121" s="7" t="str">
        <f ca="1">IFERROR(__xludf.DUMMYFUNCTION("IMPORTXML(E4121,""/html/body/main/div[3]/div[3]/div[2]/ul/li[7]/span[2]/span"")"),"Loading...")</f>
        <v>Loading...</v>
      </c>
      <c r="S4121" s="7" t="str">
        <f ca="1">IFERROR(__xludf.DUMMYFUNCTION("IMPORTXML(E4121,""/html/body/main/div[3]/div[3]/div[2]/ul/li[8]/span[2]/span"")"),"Loading...")</f>
        <v>Loading...</v>
      </c>
      <c r="T4121" s="4">
        <v>34.6</v>
      </c>
      <c r="U4121" s="4">
        <v>22.7</v>
      </c>
      <c r="V4121" s="4">
        <v>2.6</v>
      </c>
      <c r="W4121" s="4">
        <v>5.7</v>
      </c>
      <c r="X4121" s="4">
        <v>519.92999999999995</v>
      </c>
      <c r="Y4121" s="7" t="e">
        <f t="shared" ca="1" si="84"/>
        <v>#VALUE!</v>
      </c>
    </row>
    <row r="4122" spans="1:25" ht="15" x14ac:dyDescent="0.25">
      <c r="A4122" s="4">
        <v>4121</v>
      </c>
      <c r="C4122" s="41" t="s">
        <v>6490</v>
      </c>
      <c r="D4122" s="42"/>
      <c r="E4122" s="5" t="str">
        <f t="shared" si="80"/>
        <v>https://www.screener.in/company//consolidated/</v>
      </c>
      <c r="F4122" s="4">
        <v>443059</v>
      </c>
      <c r="G4122" s="4">
        <v>3832241897</v>
      </c>
      <c r="H4122" s="6" t="e">
        <f t="shared" ca="1" si="81"/>
        <v>#VALUE!</v>
      </c>
      <c r="I4122" s="7" t="str">
        <f ca="1">IFERROR(__xludf.DUMMYFUNCTION("IMPORTXML(E4122,""/html/body/main/div[3]/div[3]/div[2]/ul/li[5]/span[2]/span"")"),"Loading...")</f>
        <v>Loading...</v>
      </c>
      <c r="J4122" s="7" t="str">
        <f ca="1">IFERROR(__xludf.DUMMYFUNCTION("GOOGLEFINANCE(""NSE:""&amp;D4122,""marketcap"")"),"#N/A")</f>
        <v>#N/A</v>
      </c>
      <c r="K4122" s="7">
        <v>992.8</v>
      </c>
      <c r="L4122" s="8" t="str">
        <f ca="1">IFERROR(__xludf.DUMMYFUNCTION("GOOGLEFINANCE(""NSE:""&amp;D4122,""price"")"),"#N/A")</f>
        <v>#N/A</v>
      </c>
      <c r="M4122" s="9" t="e">
        <f t="shared" ca="1" si="82"/>
        <v>#VALUE!</v>
      </c>
      <c r="N4122" s="10" t="e">
        <f t="shared" ca="1" si="83"/>
        <v>#VALUE!</v>
      </c>
      <c r="O4122" s="7" t="str">
        <f ca="1">IFERROR(__xludf.DUMMYFUNCTION("GOOGLEFINANCE(""NSE:""&amp;D4122,""pe"")"),"#N/A")</f>
        <v>#N/A</v>
      </c>
      <c r="P4122" s="7" t="str">
        <f ca="1">IFERROR(__xludf.DUMMYFUNCTION("GOOGLEFINANCE(""NSE:""&amp;D4122,""EPS"")"),"#N/A")</f>
        <v>#N/A</v>
      </c>
      <c r="Q4122" s="7">
        <v>13.5</v>
      </c>
      <c r="R4122" s="7" t="str">
        <f ca="1">IFERROR(__xludf.DUMMYFUNCTION("IMPORTXML(E4122,""/html/body/main/div[3]/div[3]/div[2]/ul/li[7]/span[2]/span"")"),"Loading...")</f>
        <v>Loading...</v>
      </c>
      <c r="S4122" s="7" t="str">
        <f ca="1">IFERROR(__xludf.DUMMYFUNCTION("IMPORTXML(E4122,""/html/body/main/div[3]/div[3]/div[2]/ul/li[8]/span[2]/span"")"),"Loading...")</f>
        <v>Loading...</v>
      </c>
      <c r="T4122" s="4">
        <v>34.6</v>
      </c>
      <c r="U4122" s="4">
        <v>22.7</v>
      </c>
      <c r="V4122" s="4">
        <v>2.6</v>
      </c>
      <c r="W4122" s="4">
        <v>5.7</v>
      </c>
      <c r="X4122" s="4">
        <v>519.92999999999995</v>
      </c>
      <c r="Y4122" s="7" t="e">
        <f t="shared" ca="1" si="84"/>
        <v>#VALUE!</v>
      </c>
    </row>
    <row r="4123" spans="1:25" ht="15" x14ac:dyDescent="0.25">
      <c r="A4123" s="4">
        <v>4122</v>
      </c>
      <c r="C4123" s="41" t="s">
        <v>6491</v>
      </c>
      <c r="D4123" s="42"/>
      <c r="E4123" s="5" t="str">
        <f t="shared" si="80"/>
        <v>https://www.screener.in/company//consolidated/</v>
      </c>
      <c r="F4123" s="4">
        <v>443059</v>
      </c>
      <c r="G4123" s="4">
        <v>3832241897</v>
      </c>
      <c r="H4123" s="6" t="e">
        <f t="shared" ca="1" si="81"/>
        <v>#VALUE!</v>
      </c>
      <c r="I4123" s="7" t="str">
        <f ca="1">IFERROR(__xludf.DUMMYFUNCTION("IMPORTXML(E4123,""/html/body/main/div[3]/div[3]/div[2]/ul/li[5]/span[2]/span"")"),"Loading...")</f>
        <v>Loading...</v>
      </c>
      <c r="J4123" s="7" t="str">
        <f ca="1">IFERROR(__xludf.DUMMYFUNCTION("GOOGLEFINANCE(""NSE:""&amp;D4123,""marketcap"")"),"#N/A")</f>
        <v>#N/A</v>
      </c>
      <c r="K4123" s="7">
        <v>992.8</v>
      </c>
      <c r="L4123" s="8" t="str">
        <f ca="1">IFERROR(__xludf.DUMMYFUNCTION("GOOGLEFINANCE(""NSE:""&amp;D4123,""price"")"),"#N/A")</f>
        <v>#N/A</v>
      </c>
      <c r="M4123" s="9" t="e">
        <f t="shared" ca="1" si="82"/>
        <v>#VALUE!</v>
      </c>
      <c r="N4123" s="10" t="e">
        <f t="shared" ca="1" si="83"/>
        <v>#VALUE!</v>
      </c>
      <c r="O4123" s="7" t="str">
        <f ca="1">IFERROR(__xludf.DUMMYFUNCTION("GOOGLEFINANCE(""NSE:""&amp;D4123,""pe"")"),"#N/A")</f>
        <v>#N/A</v>
      </c>
      <c r="P4123" s="7" t="str">
        <f ca="1">IFERROR(__xludf.DUMMYFUNCTION("GOOGLEFINANCE(""NSE:""&amp;D4123,""EPS"")"),"#N/A")</f>
        <v>#N/A</v>
      </c>
      <c r="Q4123" s="7">
        <v>13.5</v>
      </c>
      <c r="R4123" s="7" t="str">
        <f ca="1">IFERROR(__xludf.DUMMYFUNCTION("IMPORTXML(E4123,""/html/body/main/div[3]/div[3]/div[2]/ul/li[7]/span[2]/span"")"),"Loading...")</f>
        <v>Loading...</v>
      </c>
      <c r="S4123" s="7" t="str">
        <f ca="1">IFERROR(__xludf.DUMMYFUNCTION("IMPORTXML(E4123,""/html/body/main/div[3]/div[3]/div[2]/ul/li[8]/span[2]/span"")"),"Loading...")</f>
        <v>Loading...</v>
      </c>
      <c r="T4123" s="4">
        <v>34.6</v>
      </c>
      <c r="U4123" s="4">
        <v>22.7</v>
      </c>
      <c r="V4123" s="4">
        <v>2.6</v>
      </c>
      <c r="W4123" s="4">
        <v>5.7</v>
      </c>
      <c r="X4123" s="4">
        <v>519.92999999999995</v>
      </c>
      <c r="Y4123" s="7" t="e">
        <f t="shared" ca="1" si="84"/>
        <v>#VALUE!</v>
      </c>
    </row>
    <row r="4124" spans="1:25" ht="15" x14ac:dyDescent="0.25">
      <c r="A4124" s="4">
        <v>4123</v>
      </c>
      <c r="C4124" s="41" t="s">
        <v>6492</v>
      </c>
      <c r="D4124" s="42"/>
      <c r="E4124" s="5" t="str">
        <f t="shared" si="80"/>
        <v>https://www.screener.in/company//consolidated/</v>
      </c>
      <c r="F4124" s="4">
        <v>443059</v>
      </c>
      <c r="G4124" s="4">
        <v>3832241897</v>
      </c>
      <c r="H4124" s="6" t="e">
        <f t="shared" ca="1" si="81"/>
        <v>#VALUE!</v>
      </c>
      <c r="I4124" s="7" t="str">
        <f ca="1">IFERROR(__xludf.DUMMYFUNCTION("IMPORTXML(E4124,""/html/body/main/div[3]/div[3]/div[2]/ul/li[5]/span[2]/span"")"),"Loading...")</f>
        <v>Loading...</v>
      </c>
      <c r="J4124" s="7" t="str">
        <f ca="1">IFERROR(__xludf.DUMMYFUNCTION("GOOGLEFINANCE(""NSE:""&amp;D4124,""marketcap"")"),"#N/A")</f>
        <v>#N/A</v>
      </c>
      <c r="K4124" s="7">
        <v>992.8</v>
      </c>
      <c r="L4124" s="8" t="str">
        <f ca="1">IFERROR(__xludf.DUMMYFUNCTION("GOOGLEFINANCE(""NSE:""&amp;D4124,""price"")"),"#N/A")</f>
        <v>#N/A</v>
      </c>
      <c r="M4124" s="9" t="e">
        <f t="shared" ca="1" si="82"/>
        <v>#VALUE!</v>
      </c>
      <c r="N4124" s="10" t="e">
        <f t="shared" ca="1" si="83"/>
        <v>#VALUE!</v>
      </c>
      <c r="O4124" s="7" t="str">
        <f ca="1">IFERROR(__xludf.DUMMYFUNCTION("GOOGLEFINANCE(""NSE:""&amp;D4124,""pe"")"),"#N/A")</f>
        <v>#N/A</v>
      </c>
      <c r="P4124" s="7" t="str">
        <f ca="1">IFERROR(__xludf.DUMMYFUNCTION("GOOGLEFINANCE(""NSE:""&amp;D4124,""EPS"")"),"#N/A")</f>
        <v>#N/A</v>
      </c>
      <c r="Q4124" s="7">
        <v>13.5</v>
      </c>
      <c r="R4124" s="7" t="str">
        <f ca="1">IFERROR(__xludf.DUMMYFUNCTION("IMPORTXML(E4124,""/html/body/main/div[3]/div[3]/div[2]/ul/li[7]/span[2]/span"")"),"Loading...")</f>
        <v>Loading...</v>
      </c>
      <c r="S4124" s="7" t="str">
        <f ca="1">IFERROR(__xludf.DUMMYFUNCTION("IMPORTXML(E4124,""/html/body/main/div[3]/div[3]/div[2]/ul/li[8]/span[2]/span"")"),"Loading...")</f>
        <v>Loading...</v>
      </c>
      <c r="T4124" s="4">
        <v>34.6</v>
      </c>
      <c r="U4124" s="4">
        <v>22.7</v>
      </c>
      <c r="V4124" s="4">
        <v>2.6</v>
      </c>
      <c r="W4124" s="4">
        <v>5.7</v>
      </c>
      <c r="X4124" s="4">
        <v>519.92999999999995</v>
      </c>
      <c r="Y4124" s="7" t="e">
        <f t="shared" ca="1" si="84"/>
        <v>#VALUE!</v>
      </c>
    </row>
    <row r="4125" spans="1:25" ht="15" x14ac:dyDescent="0.25">
      <c r="A4125" s="4">
        <v>4124</v>
      </c>
      <c r="C4125" s="41" t="s">
        <v>6493</v>
      </c>
      <c r="D4125" s="42"/>
      <c r="E4125" s="5" t="str">
        <f t="shared" si="80"/>
        <v>https://www.screener.in/company//consolidated/</v>
      </c>
      <c r="F4125" s="4">
        <v>443059</v>
      </c>
      <c r="G4125" s="4">
        <v>3832241897</v>
      </c>
      <c r="H4125" s="6" t="e">
        <f t="shared" ca="1" si="81"/>
        <v>#VALUE!</v>
      </c>
      <c r="I4125" s="7" t="str">
        <f ca="1">IFERROR(__xludf.DUMMYFUNCTION("IMPORTXML(E4125,""/html/body/main/div[3]/div[3]/div[2]/ul/li[5]/span[2]/span"")"),"Loading...")</f>
        <v>Loading...</v>
      </c>
      <c r="J4125" s="7" t="str">
        <f ca="1">IFERROR(__xludf.DUMMYFUNCTION("GOOGLEFINANCE(""NSE:""&amp;D4125,""marketcap"")"),"#N/A")</f>
        <v>#N/A</v>
      </c>
      <c r="K4125" s="7">
        <v>992.8</v>
      </c>
      <c r="L4125" s="8" t="str">
        <f ca="1">IFERROR(__xludf.DUMMYFUNCTION("GOOGLEFINANCE(""NSE:""&amp;D4125,""price"")"),"#N/A")</f>
        <v>#N/A</v>
      </c>
      <c r="M4125" s="9" t="e">
        <f t="shared" ca="1" si="82"/>
        <v>#VALUE!</v>
      </c>
      <c r="N4125" s="10" t="e">
        <f t="shared" ca="1" si="83"/>
        <v>#VALUE!</v>
      </c>
      <c r="O4125" s="7" t="str">
        <f ca="1">IFERROR(__xludf.DUMMYFUNCTION("GOOGLEFINANCE(""NSE:""&amp;D4125,""pe"")"),"#N/A")</f>
        <v>#N/A</v>
      </c>
      <c r="P4125" s="7" t="str">
        <f ca="1">IFERROR(__xludf.DUMMYFUNCTION("GOOGLEFINANCE(""NSE:""&amp;D4125,""EPS"")"),"#N/A")</f>
        <v>#N/A</v>
      </c>
      <c r="Q4125" s="7">
        <v>13.5</v>
      </c>
      <c r="R4125" s="7" t="str">
        <f ca="1">IFERROR(__xludf.DUMMYFUNCTION("IMPORTXML(E4125,""/html/body/main/div[3]/div[3]/div[2]/ul/li[7]/span[2]/span"")"),"Loading...")</f>
        <v>Loading...</v>
      </c>
      <c r="S4125" s="7" t="str">
        <f ca="1">IFERROR(__xludf.DUMMYFUNCTION("IMPORTXML(E4125,""/html/body/main/div[3]/div[3]/div[2]/ul/li[8]/span[2]/span"")"),"Loading...")</f>
        <v>Loading...</v>
      </c>
      <c r="T4125" s="4">
        <v>34.6</v>
      </c>
      <c r="U4125" s="4">
        <v>22.7</v>
      </c>
      <c r="V4125" s="4">
        <v>2.6</v>
      </c>
      <c r="W4125" s="4">
        <v>5.7</v>
      </c>
      <c r="X4125" s="4">
        <v>519.92999999999995</v>
      </c>
      <c r="Y4125" s="7" t="e">
        <f t="shared" ca="1" si="84"/>
        <v>#VALUE!</v>
      </c>
    </row>
    <row r="4126" spans="1:25" ht="15" x14ac:dyDescent="0.25">
      <c r="A4126" s="4">
        <v>4125</v>
      </c>
      <c r="C4126" s="41" t="s">
        <v>6494</v>
      </c>
      <c r="D4126" s="42"/>
      <c r="E4126" s="5" t="str">
        <f t="shared" si="80"/>
        <v>https://www.screener.in/company//consolidated/</v>
      </c>
      <c r="F4126" s="4">
        <v>443059</v>
      </c>
      <c r="G4126" s="4">
        <v>3832241897</v>
      </c>
      <c r="H4126" s="6" t="e">
        <f t="shared" ca="1" si="81"/>
        <v>#VALUE!</v>
      </c>
      <c r="I4126" s="7" t="str">
        <f ca="1">IFERROR(__xludf.DUMMYFUNCTION("IMPORTXML(E4126,""/html/body/main/div[3]/div[3]/div[2]/ul/li[5]/span[2]/span"")"),"Loading...")</f>
        <v>Loading...</v>
      </c>
      <c r="J4126" s="7" t="str">
        <f ca="1">IFERROR(__xludf.DUMMYFUNCTION("GOOGLEFINANCE(""NSE:""&amp;D4126,""marketcap"")"),"#N/A")</f>
        <v>#N/A</v>
      </c>
      <c r="K4126" s="7">
        <v>992.8</v>
      </c>
      <c r="L4126" s="8" t="str">
        <f ca="1">IFERROR(__xludf.DUMMYFUNCTION("GOOGLEFINANCE(""NSE:""&amp;D4126,""price"")"),"#N/A")</f>
        <v>#N/A</v>
      </c>
      <c r="M4126" s="9" t="e">
        <f t="shared" ca="1" si="82"/>
        <v>#VALUE!</v>
      </c>
      <c r="N4126" s="10" t="e">
        <f t="shared" ca="1" si="83"/>
        <v>#VALUE!</v>
      </c>
      <c r="O4126" s="7" t="str">
        <f ca="1">IFERROR(__xludf.DUMMYFUNCTION("GOOGLEFINANCE(""NSE:""&amp;D4126,""pe"")"),"#N/A")</f>
        <v>#N/A</v>
      </c>
      <c r="P4126" s="7" t="str">
        <f ca="1">IFERROR(__xludf.DUMMYFUNCTION("GOOGLEFINANCE(""NSE:""&amp;D4126,""EPS"")"),"#N/A")</f>
        <v>#N/A</v>
      </c>
      <c r="Q4126" s="7">
        <v>13.5</v>
      </c>
      <c r="R4126" s="7" t="str">
        <f ca="1">IFERROR(__xludf.DUMMYFUNCTION("IMPORTXML(E4126,""/html/body/main/div[3]/div[3]/div[2]/ul/li[7]/span[2]/span"")"),"Loading...")</f>
        <v>Loading...</v>
      </c>
      <c r="S4126" s="7" t="str">
        <f ca="1">IFERROR(__xludf.DUMMYFUNCTION("IMPORTXML(E4126,""/html/body/main/div[3]/div[3]/div[2]/ul/li[8]/span[2]/span"")"),"Loading...")</f>
        <v>Loading...</v>
      </c>
      <c r="T4126" s="4">
        <v>34.6</v>
      </c>
      <c r="U4126" s="4">
        <v>22.7</v>
      </c>
      <c r="V4126" s="4">
        <v>2.6</v>
      </c>
      <c r="W4126" s="4">
        <v>5.7</v>
      </c>
      <c r="X4126" s="4">
        <v>519.92999999999995</v>
      </c>
      <c r="Y4126" s="7" t="e">
        <f t="shared" ca="1" si="84"/>
        <v>#VALUE!</v>
      </c>
    </row>
    <row r="4127" spans="1:25" ht="15" x14ac:dyDescent="0.25">
      <c r="A4127" s="4">
        <v>4126</v>
      </c>
      <c r="C4127" s="41" t="s">
        <v>6495</v>
      </c>
      <c r="D4127" s="42"/>
      <c r="E4127" s="5" t="str">
        <f t="shared" si="80"/>
        <v>https://www.screener.in/company//consolidated/</v>
      </c>
      <c r="F4127" s="4">
        <v>443059</v>
      </c>
      <c r="G4127" s="4">
        <v>3832241897</v>
      </c>
      <c r="H4127" s="6" t="e">
        <f t="shared" ca="1" si="81"/>
        <v>#VALUE!</v>
      </c>
      <c r="I4127" s="7" t="str">
        <f ca="1">IFERROR(__xludf.DUMMYFUNCTION("IMPORTXML(E4127,""/html/body/main/div[3]/div[3]/div[2]/ul/li[5]/span[2]/span"")"),"Loading...")</f>
        <v>Loading...</v>
      </c>
      <c r="J4127" s="7" t="str">
        <f ca="1">IFERROR(__xludf.DUMMYFUNCTION("GOOGLEFINANCE(""NSE:""&amp;D4127,""marketcap"")"),"#N/A")</f>
        <v>#N/A</v>
      </c>
      <c r="K4127" s="7">
        <v>992.8</v>
      </c>
      <c r="L4127" s="8" t="str">
        <f ca="1">IFERROR(__xludf.DUMMYFUNCTION("GOOGLEFINANCE(""NSE:""&amp;D4127,""price"")"),"#N/A")</f>
        <v>#N/A</v>
      </c>
      <c r="M4127" s="9" t="e">
        <f t="shared" ca="1" si="82"/>
        <v>#VALUE!</v>
      </c>
      <c r="N4127" s="10" t="e">
        <f t="shared" ca="1" si="83"/>
        <v>#VALUE!</v>
      </c>
      <c r="O4127" s="7" t="str">
        <f ca="1">IFERROR(__xludf.DUMMYFUNCTION("GOOGLEFINANCE(""NSE:""&amp;D4127,""pe"")"),"#N/A")</f>
        <v>#N/A</v>
      </c>
      <c r="P4127" s="7" t="str">
        <f ca="1">IFERROR(__xludf.DUMMYFUNCTION("GOOGLEFINANCE(""NSE:""&amp;D4127,""EPS"")"),"#N/A")</f>
        <v>#N/A</v>
      </c>
      <c r="Q4127" s="7">
        <v>13.5</v>
      </c>
      <c r="R4127" s="7" t="str">
        <f ca="1">IFERROR(__xludf.DUMMYFUNCTION("IMPORTXML(E4127,""/html/body/main/div[3]/div[3]/div[2]/ul/li[7]/span[2]/span"")"),"Loading...")</f>
        <v>Loading...</v>
      </c>
      <c r="S4127" s="7" t="str">
        <f ca="1">IFERROR(__xludf.DUMMYFUNCTION("IMPORTXML(E4127,""/html/body/main/div[3]/div[3]/div[2]/ul/li[8]/span[2]/span"")"),"Loading...")</f>
        <v>Loading...</v>
      </c>
      <c r="T4127" s="4">
        <v>34.6</v>
      </c>
      <c r="U4127" s="4">
        <v>22.7</v>
      </c>
      <c r="V4127" s="4">
        <v>2.6</v>
      </c>
      <c r="W4127" s="4">
        <v>5.7</v>
      </c>
      <c r="X4127" s="4">
        <v>519.92999999999995</v>
      </c>
      <c r="Y4127" s="7" t="e">
        <f t="shared" ca="1" si="84"/>
        <v>#VALUE!</v>
      </c>
    </row>
    <row r="4128" spans="1:25" ht="15" x14ac:dyDescent="0.25">
      <c r="A4128" s="4">
        <v>4127</v>
      </c>
      <c r="C4128" s="41" t="s">
        <v>6496</v>
      </c>
      <c r="D4128" s="42"/>
      <c r="E4128" s="5" t="str">
        <f t="shared" si="80"/>
        <v>https://www.screener.in/company//consolidated/</v>
      </c>
      <c r="F4128" s="4">
        <v>443059</v>
      </c>
      <c r="G4128" s="4">
        <v>3832241897</v>
      </c>
      <c r="H4128" s="6" t="e">
        <f t="shared" ca="1" si="81"/>
        <v>#VALUE!</v>
      </c>
      <c r="I4128" s="7" t="str">
        <f ca="1">IFERROR(__xludf.DUMMYFUNCTION("IMPORTXML(E4128,""/html/body/main/div[3]/div[3]/div[2]/ul/li[5]/span[2]/span"")"),"Loading...")</f>
        <v>Loading...</v>
      </c>
      <c r="J4128" s="7" t="str">
        <f ca="1">IFERROR(__xludf.DUMMYFUNCTION("GOOGLEFINANCE(""NSE:""&amp;D4128,""marketcap"")"),"#N/A")</f>
        <v>#N/A</v>
      </c>
      <c r="K4128" s="7">
        <v>992.8</v>
      </c>
      <c r="L4128" s="8" t="str">
        <f ca="1">IFERROR(__xludf.DUMMYFUNCTION("GOOGLEFINANCE(""NSE:""&amp;D4128,""price"")"),"#N/A")</f>
        <v>#N/A</v>
      </c>
      <c r="M4128" s="9" t="e">
        <f t="shared" ca="1" si="82"/>
        <v>#VALUE!</v>
      </c>
      <c r="N4128" s="10" t="e">
        <f t="shared" ca="1" si="83"/>
        <v>#VALUE!</v>
      </c>
      <c r="O4128" s="7" t="str">
        <f ca="1">IFERROR(__xludf.DUMMYFUNCTION("GOOGLEFINANCE(""NSE:""&amp;D4128,""pe"")"),"#N/A")</f>
        <v>#N/A</v>
      </c>
      <c r="P4128" s="7" t="str">
        <f ca="1">IFERROR(__xludf.DUMMYFUNCTION("GOOGLEFINANCE(""NSE:""&amp;D4128,""EPS"")"),"#N/A")</f>
        <v>#N/A</v>
      </c>
      <c r="Q4128" s="7">
        <v>13.5</v>
      </c>
      <c r="R4128" s="7" t="str">
        <f ca="1">IFERROR(__xludf.DUMMYFUNCTION("IMPORTXML(E4128,""/html/body/main/div[3]/div[3]/div[2]/ul/li[7]/span[2]/span"")"),"Loading...")</f>
        <v>Loading...</v>
      </c>
      <c r="S4128" s="7" t="str">
        <f ca="1">IFERROR(__xludf.DUMMYFUNCTION("IMPORTXML(E4128,""/html/body/main/div[3]/div[3]/div[2]/ul/li[8]/span[2]/span"")"),"Loading...")</f>
        <v>Loading...</v>
      </c>
      <c r="T4128" s="4">
        <v>34.6</v>
      </c>
      <c r="U4128" s="4">
        <v>22.7</v>
      </c>
      <c r="V4128" s="4">
        <v>2.6</v>
      </c>
      <c r="W4128" s="4">
        <v>5.7</v>
      </c>
      <c r="X4128" s="4">
        <v>519.92999999999995</v>
      </c>
      <c r="Y4128" s="7" t="e">
        <f t="shared" ca="1" si="84"/>
        <v>#VALUE!</v>
      </c>
    </row>
    <row r="4129" spans="1:25" ht="15" x14ac:dyDescent="0.25">
      <c r="A4129" s="4">
        <v>4128</v>
      </c>
      <c r="C4129" s="41" t="s">
        <v>6497</v>
      </c>
      <c r="D4129" s="42"/>
      <c r="E4129" s="5" t="str">
        <f t="shared" si="80"/>
        <v>https://www.screener.in/company//consolidated/</v>
      </c>
      <c r="F4129" s="4">
        <v>443059</v>
      </c>
      <c r="G4129" s="4">
        <v>3832241897</v>
      </c>
      <c r="H4129" s="6" t="e">
        <f t="shared" ca="1" si="81"/>
        <v>#VALUE!</v>
      </c>
      <c r="I4129" s="7" t="str">
        <f ca="1">IFERROR(__xludf.DUMMYFUNCTION("IMPORTXML(E4129,""/html/body/main/div[3]/div[3]/div[2]/ul/li[5]/span[2]/span"")"),"Loading...")</f>
        <v>Loading...</v>
      </c>
      <c r="J4129" s="7" t="str">
        <f ca="1">IFERROR(__xludf.DUMMYFUNCTION("GOOGLEFINANCE(""NSE:""&amp;D4129,""marketcap"")"),"#N/A")</f>
        <v>#N/A</v>
      </c>
      <c r="K4129" s="7">
        <v>992.8</v>
      </c>
      <c r="L4129" s="8" t="str">
        <f ca="1">IFERROR(__xludf.DUMMYFUNCTION("GOOGLEFINANCE(""NSE:""&amp;D4129,""price"")"),"#N/A")</f>
        <v>#N/A</v>
      </c>
      <c r="M4129" s="9" t="e">
        <f t="shared" ca="1" si="82"/>
        <v>#VALUE!</v>
      </c>
      <c r="N4129" s="10" t="e">
        <f t="shared" ca="1" si="83"/>
        <v>#VALUE!</v>
      </c>
      <c r="O4129" s="7" t="str">
        <f ca="1">IFERROR(__xludf.DUMMYFUNCTION("GOOGLEFINANCE(""NSE:""&amp;D4129,""pe"")"),"#N/A")</f>
        <v>#N/A</v>
      </c>
      <c r="P4129" s="7" t="str">
        <f ca="1">IFERROR(__xludf.DUMMYFUNCTION("GOOGLEFINANCE(""NSE:""&amp;D4129,""EPS"")"),"#N/A")</f>
        <v>#N/A</v>
      </c>
      <c r="Q4129" s="7">
        <v>13.5</v>
      </c>
      <c r="R4129" s="7" t="str">
        <f ca="1">IFERROR(__xludf.DUMMYFUNCTION("IMPORTXML(E4129,""/html/body/main/div[3]/div[3]/div[2]/ul/li[7]/span[2]/span"")"),"Loading...")</f>
        <v>Loading...</v>
      </c>
      <c r="S4129" s="7" t="str">
        <f ca="1">IFERROR(__xludf.DUMMYFUNCTION("IMPORTXML(E4129,""/html/body/main/div[3]/div[3]/div[2]/ul/li[8]/span[2]/span"")"),"Loading...")</f>
        <v>Loading...</v>
      </c>
      <c r="T4129" s="4">
        <v>34.6</v>
      </c>
      <c r="U4129" s="4">
        <v>22.7</v>
      </c>
      <c r="V4129" s="4">
        <v>2.6</v>
      </c>
      <c r="W4129" s="4">
        <v>5.7</v>
      </c>
      <c r="X4129" s="4">
        <v>519.92999999999995</v>
      </c>
      <c r="Y4129" s="7" t="e">
        <f t="shared" ca="1" si="84"/>
        <v>#VALUE!</v>
      </c>
    </row>
    <row r="4130" spans="1:25" ht="15" x14ac:dyDescent="0.25">
      <c r="A4130" s="4">
        <v>4129</v>
      </c>
      <c r="C4130" s="41" t="s">
        <v>6498</v>
      </c>
      <c r="D4130" s="42"/>
      <c r="E4130" s="5" t="str">
        <f t="shared" si="80"/>
        <v>https://www.screener.in/company//consolidated/</v>
      </c>
      <c r="F4130" s="4">
        <v>443059</v>
      </c>
      <c r="G4130" s="4">
        <v>3832241897</v>
      </c>
      <c r="H4130" s="6" t="e">
        <f t="shared" ca="1" si="81"/>
        <v>#VALUE!</v>
      </c>
      <c r="I4130" s="7" t="str">
        <f ca="1">IFERROR(__xludf.DUMMYFUNCTION("IMPORTXML(E4130,""/html/body/main/div[3]/div[3]/div[2]/ul/li[5]/span[2]/span"")"),"Loading...")</f>
        <v>Loading...</v>
      </c>
      <c r="J4130" s="7" t="str">
        <f ca="1">IFERROR(__xludf.DUMMYFUNCTION("GOOGLEFINANCE(""NSE:""&amp;D4130,""marketcap"")"),"#N/A")</f>
        <v>#N/A</v>
      </c>
      <c r="K4130" s="7">
        <v>992.8</v>
      </c>
      <c r="L4130" s="8" t="str">
        <f ca="1">IFERROR(__xludf.DUMMYFUNCTION("GOOGLEFINANCE(""NSE:""&amp;D4130,""price"")"),"#N/A")</f>
        <v>#N/A</v>
      </c>
      <c r="M4130" s="9" t="e">
        <f t="shared" ca="1" si="82"/>
        <v>#VALUE!</v>
      </c>
      <c r="N4130" s="10" t="e">
        <f t="shared" ca="1" si="83"/>
        <v>#VALUE!</v>
      </c>
      <c r="O4130" s="7" t="str">
        <f ca="1">IFERROR(__xludf.DUMMYFUNCTION("GOOGLEFINANCE(""NSE:""&amp;D4130,""pe"")"),"#N/A")</f>
        <v>#N/A</v>
      </c>
      <c r="P4130" s="7" t="str">
        <f ca="1">IFERROR(__xludf.DUMMYFUNCTION("GOOGLEFINANCE(""NSE:""&amp;D4130,""EPS"")"),"#N/A")</f>
        <v>#N/A</v>
      </c>
      <c r="Q4130" s="7">
        <v>13.5</v>
      </c>
      <c r="R4130" s="7" t="str">
        <f ca="1">IFERROR(__xludf.DUMMYFUNCTION("IMPORTXML(E4130,""/html/body/main/div[3]/div[3]/div[2]/ul/li[7]/span[2]/span"")"),"Loading...")</f>
        <v>Loading...</v>
      </c>
      <c r="S4130" s="7" t="str">
        <f ca="1">IFERROR(__xludf.DUMMYFUNCTION("IMPORTXML(E4130,""/html/body/main/div[3]/div[3]/div[2]/ul/li[8]/span[2]/span"")"),"Loading...")</f>
        <v>Loading...</v>
      </c>
      <c r="T4130" s="4">
        <v>34.6</v>
      </c>
      <c r="U4130" s="4">
        <v>22.7</v>
      </c>
      <c r="V4130" s="4">
        <v>2.6</v>
      </c>
      <c r="W4130" s="4">
        <v>5.7</v>
      </c>
      <c r="X4130" s="4">
        <v>519.92999999999995</v>
      </c>
      <c r="Y4130" s="7" t="e">
        <f t="shared" ca="1" si="84"/>
        <v>#VALUE!</v>
      </c>
    </row>
    <row r="4131" spans="1:25" ht="15" x14ac:dyDescent="0.25">
      <c r="A4131" s="4">
        <v>4130</v>
      </c>
      <c r="C4131" s="41" t="s">
        <v>6499</v>
      </c>
      <c r="D4131" s="42"/>
      <c r="E4131" s="5" t="str">
        <f t="shared" si="80"/>
        <v>https://www.screener.in/company//consolidated/</v>
      </c>
      <c r="F4131" s="4">
        <v>443059</v>
      </c>
      <c r="G4131" s="4">
        <v>3832241897</v>
      </c>
      <c r="H4131" s="6" t="e">
        <f t="shared" ca="1" si="81"/>
        <v>#VALUE!</v>
      </c>
      <c r="I4131" s="7" t="str">
        <f ca="1">IFERROR(__xludf.DUMMYFUNCTION("IMPORTXML(E4131,""/html/body/main/div[3]/div[3]/div[2]/ul/li[5]/span[2]/span"")"),"Loading...")</f>
        <v>Loading...</v>
      </c>
      <c r="J4131" s="7" t="str">
        <f ca="1">IFERROR(__xludf.DUMMYFUNCTION("GOOGLEFINANCE(""NSE:""&amp;D4131,""marketcap"")"),"#N/A")</f>
        <v>#N/A</v>
      </c>
      <c r="K4131" s="7">
        <v>992.8</v>
      </c>
      <c r="L4131" s="8" t="str">
        <f ca="1">IFERROR(__xludf.DUMMYFUNCTION("GOOGLEFINANCE(""NSE:""&amp;D4131,""price"")"),"#N/A")</f>
        <v>#N/A</v>
      </c>
      <c r="M4131" s="9" t="e">
        <f t="shared" ca="1" si="82"/>
        <v>#VALUE!</v>
      </c>
      <c r="N4131" s="10" t="e">
        <f t="shared" ca="1" si="83"/>
        <v>#VALUE!</v>
      </c>
      <c r="O4131" s="7" t="str">
        <f ca="1">IFERROR(__xludf.DUMMYFUNCTION("GOOGLEFINANCE(""NSE:""&amp;D4131,""pe"")"),"#N/A")</f>
        <v>#N/A</v>
      </c>
      <c r="P4131" s="7" t="str">
        <f ca="1">IFERROR(__xludf.DUMMYFUNCTION("GOOGLEFINANCE(""NSE:""&amp;D4131,""EPS"")"),"#N/A")</f>
        <v>#N/A</v>
      </c>
      <c r="Q4131" s="7">
        <v>13.5</v>
      </c>
      <c r="R4131" s="7" t="str">
        <f ca="1">IFERROR(__xludf.DUMMYFUNCTION("IMPORTXML(E4131,""/html/body/main/div[3]/div[3]/div[2]/ul/li[7]/span[2]/span"")"),"Loading...")</f>
        <v>Loading...</v>
      </c>
      <c r="S4131" s="7" t="str">
        <f ca="1">IFERROR(__xludf.DUMMYFUNCTION("IMPORTXML(E4131,""/html/body/main/div[3]/div[3]/div[2]/ul/li[8]/span[2]/span"")"),"Loading...")</f>
        <v>Loading...</v>
      </c>
      <c r="T4131" s="4">
        <v>34.6</v>
      </c>
      <c r="U4131" s="4">
        <v>22.7</v>
      </c>
      <c r="V4131" s="4">
        <v>2.6</v>
      </c>
      <c r="W4131" s="4">
        <v>5.7</v>
      </c>
      <c r="X4131" s="4">
        <v>519.92999999999995</v>
      </c>
      <c r="Y4131" s="7" t="e">
        <f t="shared" ca="1" si="84"/>
        <v>#VALUE!</v>
      </c>
    </row>
    <row r="4132" spans="1:25" ht="15" x14ac:dyDescent="0.25">
      <c r="A4132" s="4">
        <v>4131</v>
      </c>
      <c r="C4132" s="41" t="s">
        <v>6500</v>
      </c>
      <c r="D4132" s="42"/>
      <c r="E4132" s="5" t="str">
        <f t="shared" si="80"/>
        <v>https://www.screener.in/company//consolidated/</v>
      </c>
      <c r="F4132" s="4">
        <v>443059</v>
      </c>
      <c r="G4132" s="4">
        <v>3832241897</v>
      </c>
      <c r="H4132" s="6" t="e">
        <f t="shared" ca="1" si="81"/>
        <v>#VALUE!</v>
      </c>
      <c r="I4132" s="7" t="str">
        <f ca="1">IFERROR(__xludf.DUMMYFUNCTION("IMPORTXML(E4132,""/html/body/main/div[3]/div[3]/div[2]/ul/li[5]/span[2]/span"")"),"Loading...")</f>
        <v>Loading...</v>
      </c>
      <c r="J4132" s="7" t="str">
        <f ca="1">IFERROR(__xludf.DUMMYFUNCTION("GOOGLEFINANCE(""NSE:""&amp;D4132,""marketcap"")"),"#N/A")</f>
        <v>#N/A</v>
      </c>
      <c r="K4132" s="7">
        <v>992.8</v>
      </c>
      <c r="L4132" s="8" t="str">
        <f ca="1">IFERROR(__xludf.DUMMYFUNCTION("GOOGLEFINANCE(""NSE:""&amp;D4132,""price"")"),"#N/A")</f>
        <v>#N/A</v>
      </c>
      <c r="M4132" s="9" t="e">
        <f t="shared" ca="1" si="82"/>
        <v>#VALUE!</v>
      </c>
      <c r="N4132" s="10" t="e">
        <f t="shared" ca="1" si="83"/>
        <v>#VALUE!</v>
      </c>
      <c r="O4132" s="7" t="str">
        <f ca="1">IFERROR(__xludf.DUMMYFUNCTION("GOOGLEFINANCE(""NSE:""&amp;D4132,""pe"")"),"#N/A")</f>
        <v>#N/A</v>
      </c>
      <c r="P4132" s="7" t="str">
        <f ca="1">IFERROR(__xludf.DUMMYFUNCTION("GOOGLEFINANCE(""NSE:""&amp;D4132,""EPS"")"),"#N/A")</f>
        <v>#N/A</v>
      </c>
      <c r="Q4132" s="7">
        <v>13.5</v>
      </c>
      <c r="R4132" s="7" t="str">
        <f ca="1">IFERROR(__xludf.DUMMYFUNCTION("IMPORTXML(E4132,""/html/body/main/div[3]/div[3]/div[2]/ul/li[7]/span[2]/span"")"),"Loading...")</f>
        <v>Loading...</v>
      </c>
      <c r="S4132" s="7" t="str">
        <f ca="1">IFERROR(__xludf.DUMMYFUNCTION("IMPORTXML(E4132,""/html/body/main/div[3]/div[3]/div[2]/ul/li[8]/span[2]/span"")"),"Loading...")</f>
        <v>Loading...</v>
      </c>
      <c r="T4132" s="4">
        <v>34.6</v>
      </c>
      <c r="U4132" s="4">
        <v>22.7</v>
      </c>
      <c r="V4132" s="4">
        <v>2.6</v>
      </c>
      <c r="W4132" s="4">
        <v>5.7</v>
      </c>
      <c r="X4132" s="4">
        <v>519.92999999999995</v>
      </c>
      <c r="Y4132" s="7" t="e">
        <f t="shared" ca="1" si="84"/>
        <v>#VALUE!</v>
      </c>
    </row>
    <row r="4133" spans="1:25" ht="15" x14ac:dyDescent="0.25">
      <c r="A4133" s="4">
        <v>4132</v>
      </c>
      <c r="C4133" s="41" t="s">
        <v>6501</v>
      </c>
      <c r="D4133" s="42"/>
      <c r="E4133" s="5" t="str">
        <f t="shared" si="80"/>
        <v>https://www.screener.in/company//consolidated/</v>
      </c>
      <c r="F4133" s="4">
        <v>443059</v>
      </c>
      <c r="G4133" s="4">
        <v>3832241897</v>
      </c>
      <c r="H4133" s="6" t="e">
        <f t="shared" ca="1" si="81"/>
        <v>#VALUE!</v>
      </c>
      <c r="I4133" s="7" t="str">
        <f ca="1">IFERROR(__xludf.DUMMYFUNCTION("IMPORTXML(E4133,""/html/body/main/div[3]/div[3]/div[2]/ul/li[5]/span[2]/span"")"),"Loading...")</f>
        <v>Loading...</v>
      </c>
      <c r="J4133" s="7" t="str">
        <f ca="1">IFERROR(__xludf.DUMMYFUNCTION("GOOGLEFINANCE(""NSE:""&amp;D4133,""marketcap"")"),"#N/A")</f>
        <v>#N/A</v>
      </c>
      <c r="K4133" s="7">
        <v>992.8</v>
      </c>
      <c r="L4133" s="8" t="str">
        <f ca="1">IFERROR(__xludf.DUMMYFUNCTION("GOOGLEFINANCE(""NSE:""&amp;D4133,""price"")"),"#N/A")</f>
        <v>#N/A</v>
      </c>
      <c r="M4133" s="9" t="e">
        <f t="shared" ca="1" si="82"/>
        <v>#VALUE!</v>
      </c>
      <c r="N4133" s="10" t="e">
        <f t="shared" ca="1" si="83"/>
        <v>#VALUE!</v>
      </c>
      <c r="O4133" s="7" t="str">
        <f ca="1">IFERROR(__xludf.DUMMYFUNCTION("GOOGLEFINANCE(""NSE:""&amp;D4133,""pe"")"),"#N/A")</f>
        <v>#N/A</v>
      </c>
      <c r="P4133" s="7" t="str">
        <f ca="1">IFERROR(__xludf.DUMMYFUNCTION("GOOGLEFINANCE(""NSE:""&amp;D4133,""EPS"")"),"#N/A")</f>
        <v>#N/A</v>
      </c>
      <c r="Q4133" s="7">
        <v>13.5</v>
      </c>
      <c r="R4133" s="7" t="str">
        <f ca="1">IFERROR(__xludf.DUMMYFUNCTION("IMPORTXML(E4133,""/html/body/main/div[3]/div[3]/div[2]/ul/li[7]/span[2]/span"")"),"Loading...")</f>
        <v>Loading...</v>
      </c>
      <c r="S4133" s="7" t="str">
        <f ca="1">IFERROR(__xludf.DUMMYFUNCTION("IMPORTXML(E4133,""/html/body/main/div[3]/div[3]/div[2]/ul/li[8]/span[2]/span"")"),"Loading...")</f>
        <v>Loading...</v>
      </c>
      <c r="T4133" s="4">
        <v>34.6</v>
      </c>
      <c r="U4133" s="4">
        <v>22.7</v>
      </c>
      <c r="V4133" s="4">
        <v>2.6</v>
      </c>
      <c r="W4133" s="4">
        <v>5.7</v>
      </c>
      <c r="X4133" s="4">
        <v>519.92999999999995</v>
      </c>
      <c r="Y4133" s="7" t="e">
        <f t="shared" ca="1" si="84"/>
        <v>#VALUE!</v>
      </c>
    </row>
    <row r="4134" spans="1:25" ht="15" x14ac:dyDescent="0.25">
      <c r="A4134" s="4">
        <v>4133</v>
      </c>
      <c r="C4134" s="41" t="s">
        <v>6502</v>
      </c>
      <c r="D4134" s="42"/>
      <c r="E4134" s="5" t="str">
        <f t="shared" si="80"/>
        <v>https://www.screener.in/company//consolidated/</v>
      </c>
      <c r="F4134" s="4">
        <v>443059</v>
      </c>
      <c r="G4134" s="4">
        <v>3832241897</v>
      </c>
      <c r="H4134" s="6" t="e">
        <f t="shared" ca="1" si="81"/>
        <v>#VALUE!</v>
      </c>
      <c r="I4134" s="7" t="str">
        <f ca="1">IFERROR(__xludf.DUMMYFUNCTION("IMPORTXML(E4134,""/html/body/main/div[3]/div[3]/div[2]/ul/li[5]/span[2]/span"")"),"Loading...")</f>
        <v>Loading...</v>
      </c>
      <c r="J4134" s="7" t="str">
        <f ca="1">IFERROR(__xludf.DUMMYFUNCTION("GOOGLEFINANCE(""NSE:""&amp;D4134,""marketcap"")"),"#N/A")</f>
        <v>#N/A</v>
      </c>
      <c r="K4134" s="7">
        <v>992.8</v>
      </c>
      <c r="L4134" s="8" t="str">
        <f ca="1">IFERROR(__xludf.DUMMYFUNCTION("GOOGLEFINANCE(""NSE:""&amp;D4134,""price"")"),"#N/A")</f>
        <v>#N/A</v>
      </c>
      <c r="M4134" s="9" t="e">
        <f t="shared" ca="1" si="82"/>
        <v>#VALUE!</v>
      </c>
      <c r="N4134" s="10" t="e">
        <f t="shared" ca="1" si="83"/>
        <v>#VALUE!</v>
      </c>
      <c r="O4134" s="7" t="str">
        <f ca="1">IFERROR(__xludf.DUMMYFUNCTION("GOOGLEFINANCE(""NSE:""&amp;D4134,""pe"")"),"#N/A")</f>
        <v>#N/A</v>
      </c>
      <c r="P4134" s="7" t="str">
        <f ca="1">IFERROR(__xludf.DUMMYFUNCTION("GOOGLEFINANCE(""NSE:""&amp;D4134,""EPS"")"),"#N/A")</f>
        <v>#N/A</v>
      </c>
      <c r="Q4134" s="7">
        <v>13.5</v>
      </c>
      <c r="R4134" s="7" t="str">
        <f ca="1">IFERROR(__xludf.DUMMYFUNCTION("IMPORTXML(E4134,""/html/body/main/div[3]/div[3]/div[2]/ul/li[7]/span[2]/span"")"),"Loading...")</f>
        <v>Loading...</v>
      </c>
      <c r="S4134" s="7" t="str">
        <f ca="1">IFERROR(__xludf.DUMMYFUNCTION("IMPORTXML(E4134,""/html/body/main/div[3]/div[3]/div[2]/ul/li[8]/span[2]/span"")"),"Loading...")</f>
        <v>Loading...</v>
      </c>
      <c r="T4134" s="4">
        <v>34.6</v>
      </c>
      <c r="U4134" s="4">
        <v>22.7</v>
      </c>
      <c r="V4134" s="4">
        <v>2.6</v>
      </c>
      <c r="W4134" s="4">
        <v>5.7</v>
      </c>
      <c r="X4134" s="4">
        <v>519.92999999999995</v>
      </c>
      <c r="Y4134" s="7" t="e">
        <f t="shared" ca="1" si="84"/>
        <v>#VALUE!</v>
      </c>
    </row>
    <row r="4135" spans="1:25" ht="15" x14ac:dyDescent="0.25">
      <c r="A4135" s="4">
        <v>4134</v>
      </c>
      <c r="C4135" s="41" t="s">
        <v>6503</v>
      </c>
      <c r="D4135" s="42"/>
      <c r="E4135" s="5" t="str">
        <f t="shared" si="80"/>
        <v>https://www.screener.in/company//consolidated/</v>
      </c>
      <c r="F4135" s="4">
        <v>443059</v>
      </c>
      <c r="G4135" s="4">
        <v>3832241897</v>
      </c>
      <c r="H4135" s="6" t="e">
        <f t="shared" ca="1" si="81"/>
        <v>#VALUE!</v>
      </c>
      <c r="I4135" s="7" t="str">
        <f ca="1">IFERROR(__xludf.DUMMYFUNCTION("IMPORTXML(E4135,""/html/body/main/div[3]/div[3]/div[2]/ul/li[5]/span[2]/span"")"),"Loading...")</f>
        <v>Loading...</v>
      </c>
      <c r="J4135" s="7" t="str">
        <f ca="1">IFERROR(__xludf.DUMMYFUNCTION("GOOGLEFINANCE(""NSE:""&amp;D4135,""marketcap"")"),"#N/A")</f>
        <v>#N/A</v>
      </c>
      <c r="K4135" s="7">
        <v>992.8</v>
      </c>
      <c r="L4135" s="8" t="str">
        <f ca="1">IFERROR(__xludf.DUMMYFUNCTION("GOOGLEFINANCE(""NSE:""&amp;D4135,""price"")"),"#N/A")</f>
        <v>#N/A</v>
      </c>
      <c r="M4135" s="9" t="e">
        <f t="shared" ca="1" si="82"/>
        <v>#VALUE!</v>
      </c>
      <c r="N4135" s="10" t="e">
        <f t="shared" ca="1" si="83"/>
        <v>#VALUE!</v>
      </c>
      <c r="O4135" s="7" t="str">
        <f ca="1">IFERROR(__xludf.DUMMYFUNCTION("GOOGLEFINANCE(""NSE:""&amp;D4135,""pe"")"),"#N/A")</f>
        <v>#N/A</v>
      </c>
      <c r="P4135" s="7" t="str">
        <f ca="1">IFERROR(__xludf.DUMMYFUNCTION("GOOGLEFINANCE(""NSE:""&amp;D4135,""EPS"")"),"#N/A")</f>
        <v>#N/A</v>
      </c>
      <c r="Q4135" s="7">
        <v>13.5</v>
      </c>
      <c r="R4135" s="7" t="str">
        <f ca="1">IFERROR(__xludf.DUMMYFUNCTION("IMPORTXML(E4135,""/html/body/main/div[3]/div[3]/div[2]/ul/li[7]/span[2]/span"")"),"Loading...")</f>
        <v>Loading...</v>
      </c>
      <c r="S4135" s="7" t="str">
        <f ca="1">IFERROR(__xludf.DUMMYFUNCTION("IMPORTXML(E4135,""/html/body/main/div[3]/div[3]/div[2]/ul/li[8]/span[2]/span"")"),"Loading...")</f>
        <v>Loading...</v>
      </c>
      <c r="T4135" s="4">
        <v>34.6</v>
      </c>
      <c r="U4135" s="4">
        <v>22.7</v>
      </c>
      <c r="V4135" s="4">
        <v>2.6</v>
      </c>
      <c r="W4135" s="4">
        <v>5.7</v>
      </c>
      <c r="X4135" s="4">
        <v>519.92999999999995</v>
      </c>
      <c r="Y4135" s="7" t="e">
        <f t="shared" ca="1" si="84"/>
        <v>#VALUE!</v>
      </c>
    </row>
    <row r="4136" spans="1:25" ht="15" x14ac:dyDescent="0.25">
      <c r="A4136" s="4">
        <v>4135</v>
      </c>
      <c r="C4136" s="41" t="s">
        <v>6504</v>
      </c>
      <c r="D4136" s="42"/>
      <c r="E4136" s="5" t="str">
        <f t="shared" si="80"/>
        <v>https://www.screener.in/company//consolidated/</v>
      </c>
      <c r="F4136" s="4">
        <v>443059</v>
      </c>
      <c r="G4136" s="4">
        <v>3832241897</v>
      </c>
      <c r="H4136" s="6" t="e">
        <f t="shared" ca="1" si="81"/>
        <v>#VALUE!</v>
      </c>
      <c r="I4136" s="7" t="str">
        <f ca="1">IFERROR(__xludf.DUMMYFUNCTION("IMPORTXML(E4136,""/html/body/main/div[3]/div[3]/div[2]/ul/li[5]/span[2]/span"")"),"Loading...")</f>
        <v>Loading...</v>
      </c>
      <c r="J4136" s="7" t="str">
        <f ca="1">IFERROR(__xludf.DUMMYFUNCTION("GOOGLEFINANCE(""NSE:""&amp;D4136,""marketcap"")"),"#N/A")</f>
        <v>#N/A</v>
      </c>
      <c r="K4136" s="7">
        <v>992.8</v>
      </c>
      <c r="L4136" s="8" t="str">
        <f ca="1">IFERROR(__xludf.DUMMYFUNCTION("GOOGLEFINANCE(""NSE:""&amp;D4136,""price"")"),"#N/A")</f>
        <v>#N/A</v>
      </c>
      <c r="M4136" s="9" t="e">
        <f t="shared" ca="1" si="82"/>
        <v>#VALUE!</v>
      </c>
      <c r="N4136" s="10" t="e">
        <f t="shared" ca="1" si="83"/>
        <v>#VALUE!</v>
      </c>
      <c r="O4136" s="7" t="str">
        <f ca="1">IFERROR(__xludf.DUMMYFUNCTION("GOOGLEFINANCE(""NSE:""&amp;D4136,""pe"")"),"#N/A")</f>
        <v>#N/A</v>
      </c>
      <c r="P4136" s="7" t="str">
        <f ca="1">IFERROR(__xludf.DUMMYFUNCTION("GOOGLEFINANCE(""NSE:""&amp;D4136,""EPS"")"),"#N/A")</f>
        <v>#N/A</v>
      </c>
      <c r="Q4136" s="7">
        <v>13.5</v>
      </c>
      <c r="R4136" s="7" t="str">
        <f ca="1">IFERROR(__xludf.DUMMYFUNCTION("IMPORTXML(E4136,""/html/body/main/div[3]/div[3]/div[2]/ul/li[7]/span[2]/span"")"),"Loading...")</f>
        <v>Loading...</v>
      </c>
      <c r="S4136" s="7" t="str">
        <f ca="1">IFERROR(__xludf.DUMMYFUNCTION("IMPORTXML(E4136,""/html/body/main/div[3]/div[3]/div[2]/ul/li[8]/span[2]/span"")"),"Loading...")</f>
        <v>Loading...</v>
      </c>
      <c r="T4136" s="4">
        <v>34.6</v>
      </c>
      <c r="U4136" s="4">
        <v>22.7</v>
      </c>
      <c r="V4136" s="4">
        <v>2.6</v>
      </c>
      <c r="W4136" s="4">
        <v>5.7</v>
      </c>
      <c r="X4136" s="4">
        <v>519.92999999999995</v>
      </c>
      <c r="Y4136" s="7" t="e">
        <f t="shared" ca="1" si="84"/>
        <v>#VALUE!</v>
      </c>
    </row>
    <row r="4137" spans="1:25" ht="15" x14ac:dyDescent="0.25">
      <c r="A4137" s="4">
        <v>4136</v>
      </c>
      <c r="C4137" s="41" t="s">
        <v>6505</v>
      </c>
      <c r="D4137" s="42"/>
      <c r="E4137" s="5" t="str">
        <f t="shared" si="80"/>
        <v>https://www.screener.in/company//consolidated/</v>
      </c>
      <c r="F4137" s="4">
        <v>443059</v>
      </c>
      <c r="G4137" s="4">
        <v>3832241897</v>
      </c>
      <c r="H4137" s="6" t="e">
        <f t="shared" ca="1" si="81"/>
        <v>#VALUE!</v>
      </c>
      <c r="I4137" s="7" t="str">
        <f ca="1">IFERROR(__xludf.DUMMYFUNCTION("IMPORTXML(E4137,""/html/body/main/div[3]/div[3]/div[2]/ul/li[5]/span[2]/span"")"),"Loading...")</f>
        <v>Loading...</v>
      </c>
      <c r="J4137" s="7" t="str">
        <f ca="1">IFERROR(__xludf.DUMMYFUNCTION("GOOGLEFINANCE(""NSE:""&amp;D4137,""marketcap"")"),"#N/A")</f>
        <v>#N/A</v>
      </c>
      <c r="K4137" s="7">
        <v>992.8</v>
      </c>
      <c r="L4137" s="8" t="str">
        <f ca="1">IFERROR(__xludf.DUMMYFUNCTION("GOOGLEFINANCE(""NSE:""&amp;D4137,""price"")"),"#N/A")</f>
        <v>#N/A</v>
      </c>
      <c r="M4137" s="9" t="e">
        <f t="shared" ca="1" si="82"/>
        <v>#VALUE!</v>
      </c>
      <c r="N4137" s="10" t="e">
        <f t="shared" ca="1" si="83"/>
        <v>#VALUE!</v>
      </c>
      <c r="O4137" s="7" t="str">
        <f ca="1">IFERROR(__xludf.DUMMYFUNCTION("GOOGLEFINANCE(""NSE:""&amp;D4137,""pe"")"),"#N/A")</f>
        <v>#N/A</v>
      </c>
      <c r="P4137" s="7" t="str">
        <f ca="1">IFERROR(__xludf.DUMMYFUNCTION("GOOGLEFINANCE(""NSE:""&amp;D4137,""EPS"")"),"#N/A")</f>
        <v>#N/A</v>
      </c>
      <c r="Q4137" s="7">
        <v>13.5</v>
      </c>
      <c r="R4137" s="7" t="str">
        <f ca="1">IFERROR(__xludf.DUMMYFUNCTION("IMPORTXML(E4137,""/html/body/main/div[3]/div[3]/div[2]/ul/li[7]/span[2]/span"")"),"Loading...")</f>
        <v>Loading...</v>
      </c>
      <c r="S4137" s="7" t="str">
        <f ca="1">IFERROR(__xludf.DUMMYFUNCTION("IMPORTXML(E4137,""/html/body/main/div[3]/div[3]/div[2]/ul/li[8]/span[2]/span"")"),"Loading...")</f>
        <v>Loading...</v>
      </c>
      <c r="T4137" s="4">
        <v>34.6</v>
      </c>
      <c r="U4137" s="4">
        <v>22.7</v>
      </c>
      <c r="V4137" s="4">
        <v>2.6</v>
      </c>
      <c r="W4137" s="4">
        <v>5.7</v>
      </c>
      <c r="X4137" s="4">
        <v>519.92999999999995</v>
      </c>
      <c r="Y4137" s="7" t="e">
        <f t="shared" ca="1" si="84"/>
        <v>#VALUE!</v>
      </c>
    </row>
    <row r="4138" spans="1:25" ht="15" x14ac:dyDescent="0.25">
      <c r="A4138" s="4">
        <v>4137</v>
      </c>
      <c r="C4138" s="41" t="s">
        <v>6506</v>
      </c>
      <c r="D4138" s="42"/>
      <c r="E4138" s="5" t="str">
        <f t="shared" si="80"/>
        <v>https://www.screener.in/company//consolidated/</v>
      </c>
      <c r="F4138" s="4">
        <v>443059</v>
      </c>
      <c r="G4138" s="4">
        <v>3832241897</v>
      </c>
      <c r="H4138" s="6" t="e">
        <f t="shared" ca="1" si="81"/>
        <v>#VALUE!</v>
      </c>
      <c r="I4138" s="7" t="str">
        <f ca="1">IFERROR(__xludf.DUMMYFUNCTION("IMPORTXML(E4138,""/html/body/main/div[3]/div[3]/div[2]/ul/li[5]/span[2]/span"")"),"Loading...")</f>
        <v>Loading...</v>
      </c>
      <c r="J4138" s="7" t="str">
        <f ca="1">IFERROR(__xludf.DUMMYFUNCTION("GOOGLEFINANCE(""NSE:""&amp;D4138,""marketcap"")"),"#N/A")</f>
        <v>#N/A</v>
      </c>
      <c r="K4138" s="7">
        <v>992.8</v>
      </c>
      <c r="L4138" s="8" t="str">
        <f ca="1">IFERROR(__xludf.DUMMYFUNCTION("GOOGLEFINANCE(""NSE:""&amp;D4138,""price"")"),"#N/A")</f>
        <v>#N/A</v>
      </c>
      <c r="M4138" s="9" t="e">
        <f t="shared" ca="1" si="82"/>
        <v>#VALUE!</v>
      </c>
      <c r="N4138" s="10" t="e">
        <f t="shared" ca="1" si="83"/>
        <v>#VALUE!</v>
      </c>
      <c r="O4138" s="7" t="str">
        <f ca="1">IFERROR(__xludf.DUMMYFUNCTION("GOOGLEFINANCE(""NSE:""&amp;D4138,""pe"")"),"#N/A")</f>
        <v>#N/A</v>
      </c>
      <c r="P4138" s="7" t="str">
        <f ca="1">IFERROR(__xludf.DUMMYFUNCTION("GOOGLEFINANCE(""NSE:""&amp;D4138,""EPS"")"),"#N/A")</f>
        <v>#N/A</v>
      </c>
      <c r="Q4138" s="7">
        <v>13.5</v>
      </c>
      <c r="R4138" s="7" t="str">
        <f ca="1">IFERROR(__xludf.DUMMYFUNCTION("IMPORTXML(E4138,""/html/body/main/div[3]/div[3]/div[2]/ul/li[7]/span[2]/span"")"),"Loading...")</f>
        <v>Loading...</v>
      </c>
      <c r="S4138" s="7" t="str">
        <f ca="1">IFERROR(__xludf.DUMMYFUNCTION("IMPORTXML(E4138,""/html/body/main/div[3]/div[3]/div[2]/ul/li[8]/span[2]/span"")"),"Loading...")</f>
        <v>Loading...</v>
      </c>
      <c r="T4138" s="4">
        <v>34.6</v>
      </c>
      <c r="U4138" s="4">
        <v>22.7</v>
      </c>
      <c r="V4138" s="4">
        <v>2.6</v>
      </c>
      <c r="W4138" s="4">
        <v>5.7</v>
      </c>
      <c r="X4138" s="4">
        <v>519.92999999999995</v>
      </c>
      <c r="Y4138" s="7" t="e">
        <f t="shared" ca="1" si="84"/>
        <v>#VALUE!</v>
      </c>
    </row>
    <row r="4139" spans="1:25" ht="15" x14ac:dyDescent="0.25">
      <c r="A4139" s="4">
        <v>4138</v>
      </c>
      <c r="C4139" s="41" t="s">
        <v>6507</v>
      </c>
      <c r="D4139" s="42"/>
      <c r="E4139" s="5" t="str">
        <f t="shared" si="80"/>
        <v>https://www.screener.in/company//consolidated/</v>
      </c>
      <c r="F4139" s="4">
        <v>443059</v>
      </c>
      <c r="G4139" s="4">
        <v>3832241897</v>
      </c>
      <c r="H4139" s="6" t="e">
        <f t="shared" ca="1" si="81"/>
        <v>#VALUE!</v>
      </c>
      <c r="I4139" s="7" t="str">
        <f ca="1">IFERROR(__xludf.DUMMYFUNCTION("IMPORTXML(E4139,""/html/body/main/div[3]/div[3]/div[2]/ul/li[5]/span[2]/span"")"),"Loading...")</f>
        <v>Loading...</v>
      </c>
      <c r="J4139" s="7" t="str">
        <f ca="1">IFERROR(__xludf.DUMMYFUNCTION("GOOGLEFINANCE(""NSE:""&amp;D4139,""marketcap"")"),"#N/A")</f>
        <v>#N/A</v>
      </c>
      <c r="K4139" s="7">
        <v>992.8</v>
      </c>
      <c r="L4139" s="8" t="str">
        <f ca="1">IFERROR(__xludf.DUMMYFUNCTION("GOOGLEFINANCE(""NSE:""&amp;D4139,""price"")"),"#N/A")</f>
        <v>#N/A</v>
      </c>
      <c r="M4139" s="9" t="e">
        <f t="shared" ca="1" si="82"/>
        <v>#VALUE!</v>
      </c>
      <c r="N4139" s="10" t="e">
        <f t="shared" ca="1" si="83"/>
        <v>#VALUE!</v>
      </c>
      <c r="O4139" s="7" t="str">
        <f ca="1">IFERROR(__xludf.DUMMYFUNCTION("GOOGLEFINANCE(""NSE:""&amp;D4139,""pe"")"),"#N/A")</f>
        <v>#N/A</v>
      </c>
      <c r="P4139" s="7" t="str">
        <f ca="1">IFERROR(__xludf.DUMMYFUNCTION("GOOGLEFINANCE(""NSE:""&amp;D4139,""EPS"")"),"#N/A")</f>
        <v>#N/A</v>
      </c>
      <c r="Q4139" s="7">
        <v>13.5</v>
      </c>
      <c r="R4139" s="7" t="str">
        <f ca="1">IFERROR(__xludf.DUMMYFUNCTION("IMPORTXML(E4139,""/html/body/main/div[3]/div[3]/div[2]/ul/li[7]/span[2]/span"")"),"Loading...")</f>
        <v>Loading...</v>
      </c>
      <c r="S4139" s="7" t="str">
        <f ca="1">IFERROR(__xludf.DUMMYFUNCTION("IMPORTXML(E4139,""/html/body/main/div[3]/div[3]/div[2]/ul/li[8]/span[2]/span"")"),"Loading...")</f>
        <v>Loading...</v>
      </c>
      <c r="T4139" s="4">
        <v>34.6</v>
      </c>
      <c r="U4139" s="4">
        <v>22.7</v>
      </c>
      <c r="V4139" s="4">
        <v>2.6</v>
      </c>
      <c r="W4139" s="4">
        <v>5.7</v>
      </c>
      <c r="X4139" s="4">
        <v>519.92999999999995</v>
      </c>
      <c r="Y4139" s="7" t="e">
        <f t="shared" ca="1" si="84"/>
        <v>#VALUE!</v>
      </c>
    </row>
    <row r="4140" spans="1:25" ht="15" x14ac:dyDescent="0.25">
      <c r="A4140" s="4">
        <v>4139</v>
      </c>
      <c r="C4140" s="41" t="s">
        <v>6508</v>
      </c>
      <c r="D4140" s="42"/>
      <c r="E4140" s="5" t="str">
        <f t="shared" si="80"/>
        <v>https://www.screener.in/company//consolidated/</v>
      </c>
      <c r="F4140" s="4">
        <v>443059</v>
      </c>
      <c r="G4140" s="4">
        <v>3832241897</v>
      </c>
      <c r="H4140" s="6" t="e">
        <f t="shared" ca="1" si="81"/>
        <v>#VALUE!</v>
      </c>
      <c r="I4140" s="7" t="str">
        <f ca="1">IFERROR(__xludf.DUMMYFUNCTION("IMPORTXML(E4140,""/html/body/main/div[3]/div[3]/div[2]/ul/li[5]/span[2]/span"")"),"Loading...")</f>
        <v>Loading...</v>
      </c>
      <c r="J4140" s="7" t="str">
        <f ca="1">IFERROR(__xludf.DUMMYFUNCTION("GOOGLEFINANCE(""NSE:""&amp;D4140,""marketcap"")"),"#N/A")</f>
        <v>#N/A</v>
      </c>
      <c r="K4140" s="7">
        <v>992.8</v>
      </c>
      <c r="L4140" s="8" t="str">
        <f ca="1">IFERROR(__xludf.DUMMYFUNCTION("GOOGLEFINANCE(""NSE:""&amp;D4140,""price"")"),"#N/A")</f>
        <v>#N/A</v>
      </c>
      <c r="M4140" s="9" t="e">
        <f t="shared" ca="1" si="82"/>
        <v>#VALUE!</v>
      </c>
      <c r="N4140" s="10" t="e">
        <f t="shared" ca="1" si="83"/>
        <v>#VALUE!</v>
      </c>
      <c r="O4140" s="7" t="str">
        <f ca="1">IFERROR(__xludf.DUMMYFUNCTION("GOOGLEFINANCE(""NSE:""&amp;D4140,""pe"")"),"#N/A")</f>
        <v>#N/A</v>
      </c>
      <c r="P4140" s="7" t="str">
        <f ca="1">IFERROR(__xludf.DUMMYFUNCTION("GOOGLEFINANCE(""NSE:""&amp;D4140,""EPS"")"),"#N/A")</f>
        <v>#N/A</v>
      </c>
      <c r="Q4140" s="7">
        <v>13.5</v>
      </c>
      <c r="R4140" s="7" t="str">
        <f ca="1">IFERROR(__xludf.DUMMYFUNCTION("IMPORTXML(E4140,""/html/body/main/div[3]/div[3]/div[2]/ul/li[7]/span[2]/span"")"),"Loading...")</f>
        <v>Loading...</v>
      </c>
      <c r="S4140" s="7" t="str">
        <f ca="1">IFERROR(__xludf.DUMMYFUNCTION("IMPORTXML(E4140,""/html/body/main/div[3]/div[3]/div[2]/ul/li[8]/span[2]/span"")"),"Loading...")</f>
        <v>Loading...</v>
      </c>
      <c r="T4140" s="4">
        <v>34.6</v>
      </c>
      <c r="U4140" s="4">
        <v>22.7</v>
      </c>
      <c r="V4140" s="4">
        <v>2.6</v>
      </c>
      <c r="W4140" s="4">
        <v>5.7</v>
      </c>
      <c r="X4140" s="4">
        <v>519.92999999999995</v>
      </c>
      <c r="Y4140" s="7" t="e">
        <f t="shared" ca="1" si="84"/>
        <v>#VALUE!</v>
      </c>
    </row>
    <row r="4141" spans="1:25" ht="15" x14ac:dyDescent="0.25">
      <c r="A4141" s="4">
        <v>4140</v>
      </c>
      <c r="C4141" s="41" t="s">
        <v>6509</v>
      </c>
      <c r="D4141" s="42"/>
      <c r="E4141" s="5" t="str">
        <f t="shared" si="80"/>
        <v>https://www.screener.in/company//consolidated/</v>
      </c>
      <c r="F4141" s="4">
        <v>443059</v>
      </c>
      <c r="G4141" s="4">
        <v>3832241897</v>
      </c>
      <c r="H4141" s="6" t="e">
        <f t="shared" ca="1" si="81"/>
        <v>#VALUE!</v>
      </c>
      <c r="I4141" s="7" t="str">
        <f ca="1">IFERROR(__xludf.DUMMYFUNCTION("IMPORTXML(E4141,""/html/body/main/div[3]/div[3]/div[2]/ul/li[5]/span[2]/span"")"),"Loading...")</f>
        <v>Loading...</v>
      </c>
      <c r="J4141" s="7" t="str">
        <f ca="1">IFERROR(__xludf.DUMMYFUNCTION("GOOGLEFINANCE(""NSE:""&amp;D4141,""marketcap"")"),"#N/A")</f>
        <v>#N/A</v>
      </c>
      <c r="K4141" s="7">
        <v>992.8</v>
      </c>
      <c r="L4141" s="8" t="str">
        <f ca="1">IFERROR(__xludf.DUMMYFUNCTION("GOOGLEFINANCE(""NSE:""&amp;D4141,""price"")"),"#N/A")</f>
        <v>#N/A</v>
      </c>
      <c r="M4141" s="9" t="e">
        <f t="shared" ca="1" si="82"/>
        <v>#VALUE!</v>
      </c>
      <c r="N4141" s="10" t="e">
        <f t="shared" ca="1" si="83"/>
        <v>#VALUE!</v>
      </c>
      <c r="O4141" s="7" t="str">
        <f ca="1">IFERROR(__xludf.DUMMYFUNCTION("GOOGLEFINANCE(""NSE:""&amp;D4141,""pe"")"),"#N/A")</f>
        <v>#N/A</v>
      </c>
      <c r="P4141" s="7" t="str">
        <f ca="1">IFERROR(__xludf.DUMMYFUNCTION("GOOGLEFINANCE(""NSE:""&amp;D4141,""EPS"")"),"#N/A")</f>
        <v>#N/A</v>
      </c>
      <c r="Q4141" s="7">
        <v>13.5</v>
      </c>
      <c r="R4141" s="7" t="str">
        <f ca="1">IFERROR(__xludf.DUMMYFUNCTION("IMPORTXML(E4141,""/html/body/main/div[3]/div[3]/div[2]/ul/li[7]/span[2]/span"")"),"Loading...")</f>
        <v>Loading...</v>
      </c>
      <c r="S4141" s="7" t="str">
        <f ca="1">IFERROR(__xludf.DUMMYFUNCTION("IMPORTXML(E4141,""/html/body/main/div[3]/div[3]/div[2]/ul/li[8]/span[2]/span"")"),"Loading...")</f>
        <v>Loading...</v>
      </c>
      <c r="T4141" s="4">
        <v>34.6</v>
      </c>
      <c r="U4141" s="4">
        <v>22.7</v>
      </c>
      <c r="V4141" s="4">
        <v>2.6</v>
      </c>
      <c r="W4141" s="4">
        <v>5.7</v>
      </c>
      <c r="X4141" s="4">
        <v>519.92999999999995</v>
      </c>
      <c r="Y4141" s="7" t="e">
        <f t="shared" ca="1" si="84"/>
        <v>#VALUE!</v>
      </c>
    </row>
    <row r="4142" spans="1:25" ht="15" x14ac:dyDescent="0.25">
      <c r="A4142" s="4">
        <v>4141</v>
      </c>
      <c r="C4142" s="41" t="s">
        <v>6510</v>
      </c>
      <c r="D4142" s="42"/>
      <c r="E4142" s="5" t="str">
        <f t="shared" si="80"/>
        <v>https://www.screener.in/company//consolidated/</v>
      </c>
      <c r="F4142" s="4">
        <v>443059</v>
      </c>
      <c r="G4142" s="4">
        <v>3832241897</v>
      </c>
      <c r="H4142" s="6" t="e">
        <f t="shared" ca="1" si="81"/>
        <v>#VALUE!</v>
      </c>
      <c r="I4142" s="7" t="str">
        <f ca="1">IFERROR(__xludf.DUMMYFUNCTION("IMPORTXML(E4142,""/html/body/main/div[3]/div[3]/div[2]/ul/li[5]/span[2]/span"")"),"Loading...")</f>
        <v>Loading...</v>
      </c>
      <c r="J4142" s="7" t="str">
        <f ca="1">IFERROR(__xludf.DUMMYFUNCTION("GOOGLEFINANCE(""NSE:""&amp;D4142,""marketcap"")"),"#N/A")</f>
        <v>#N/A</v>
      </c>
      <c r="K4142" s="7">
        <v>992.8</v>
      </c>
      <c r="L4142" s="8" t="str">
        <f ca="1">IFERROR(__xludf.DUMMYFUNCTION("GOOGLEFINANCE(""NSE:""&amp;D4142,""price"")"),"#N/A")</f>
        <v>#N/A</v>
      </c>
      <c r="M4142" s="9" t="e">
        <f t="shared" ca="1" si="82"/>
        <v>#VALUE!</v>
      </c>
      <c r="N4142" s="10" t="e">
        <f t="shared" ca="1" si="83"/>
        <v>#VALUE!</v>
      </c>
      <c r="O4142" s="7" t="str">
        <f ca="1">IFERROR(__xludf.DUMMYFUNCTION("GOOGLEFINANCE(""NSE:""&amp;D4142,""pe"")"),"#N/A")</f>
        <v>#N/A</v>
      </c>
      <c r="P4142" s="7" t="str">
        <f ca="1">IFERROR(__xludf.DUMMYFUNCTION("GOOGLEFINANCE(""NSE:""&amp;D4142,""EPS"")"),"#N/A")</f>
        <v>#N/A</v>
      </c>
      <c r="Q4142" s="7">
        <v>13.5</v>
      </c>
      <c r="R4142" s="7" t="str">
        <f ca="1">IFERROR(__xludf.DUMMYFUNCTION("IMPORTXML(E4142,""/html/body/main/div[3]/div[3]/div[2]/ul/li[7]/span[2]/span"")"),"Loading...")</f>
        <v>Loading...</v>
      </c>
      <c r="S4142" s="7" t="str">
        <f ca="1">IFERROR(__xludf.DUMMYFUNCTION("IMPORTXML(E4142,""/html/body/main/div[3]/div[3]/div[2]/ul/li[8]/span[2]/span"")"),"Loading...")</f>
        <v>Loading...</v>
      </c>
      <c r="T4142" s="4">
        <v>34.6</v>
      </c>
      <c r="U4142" s="4">
        <v>22.7</v>
      </c>
      <c r="V4142" s="4">
        <v>2.6</v>
      </c>
      <c r="W4142" s="4">
        <v>5.7</v>
      </c>
      <c r="X4142" s="4">
        <v>519.92999999999995</v>
      </c>
      <c r="Y4142" s="7" t="e">
        <f t="shared" ca="1" si="84"/>
        <v>#VALUE!</v>
      </c>
    </row>
    <row r="4143" spans="1:25" ht="15" x14ac:dyDescent="0.25">
      <c r="A4143" s="4">
        <v>4142</v>
      </c>
      <c r="C4143" s="41" t="s">
        <v>6511</v>
      </c>
      <c r="D4143" s="42"/>
      <c r="E4143" s="5" t="str">
        <f t="shared" si="80"/>
        <v>https://www.screener.in/company//consolidated/</v>
      </c>
      <c r="F4143" s="4">
        <v>443059</v>
      </c>
      <c r="G4143" s="4">
        <v>3832241897</v>
      </c>
      <c r="H4143" s="6" t="e">
        <f t="shared" ca="1" si="81"/>
        <v>#VALUE!</v>
      </c>
      <c r="I4143" s="7" t="str">
        <f ca="1">IFERROR(__xludf.DUMMYFUNCTION("IMPORTXML(E4143,""/html/body/main/div[3]/div[3]/div[2]/ul/li[5]/span[2]/span"")"),"Loading...")</f>
        <v>Loading...</v>
      </c>
      <c r="J4143" s="7" t="str">
        <f ca="1">IFERROR(__xludf.DUMMYFUNCTION("GOOGLEFINANCE(""NSE:""&amp;D4143,""marketcap"")"),"#N/A")</f>
        <v>#N/A</v>
      </c>
      <c r="K4143" s="7">
        <v>992.8</v>
      </c>
      <c r="L4143" s="8" t="str">
        <f ca="1">IFERROR(__xludf.DUMMYFUNCTION("GOOGLEFINANCE(""NSE:""&amp;D4143,""price"")"),"#N/A")</f>
        <v>#N/A</v>
      </c>
      <c r="M4143" s="9" t="e">
        <f t="shared" ca="1" si="82"/>
        <v>#VALUE!</v>
      </c>
      <c r="N4143" s="10" t="e">
        <f t="shared" ca="1" si="83"/>
        <v>#VALUE!</v>
      </c>
      <c r="O4143" s="7" t="str">
        <f ca="1">IFERROR(__xludf.DUMMYFUNCTION("GOOGLEFINANCE(""NSE:""&amp;D4143,""pe"")"),"#N/A")</f>
        <v>#N/A</v>
      </c>
      <c r="P4143" s="7" t="str">
        <f ca="1">IFERROR(__xludf.DUMMYFUNCTION("GOOGLEFINANCE(""NSE:""&amp;D4143,""EPS"")"),"#N/A")</f>
        <v>#N/A</v>
      </c>
      <c r="Q4143" s="7">
        <v>13.5</v>
      </c>
      <c r="R4143" s="7" t="str">
        <f ca="1">IFERROR(__xludf.DUMMYFUNCTION("IMPORTXML(E4143,""/html/body/main/div[3]/div[3]/div[2]/ul/li[7]/span[2]/span"")"),"Loading...")</f>
        <v>Loading...</v>
      </c>
      <c r="S4143" s="7" t="str">
        <f ca="1">IFERROR(__xludf.DUMMYFUNCTION("IMPORTXML(E4143,""/html/body/main/div[3]/div[3]/div[2]/ul/li[8]/span[2]/span"")"),"Loading...")</f>
        <v>Loading...</v>
      </c>
      <c r="T4143" s="4">
        <v>34.6</v>
      </c>
      <c r="U4143" s="4">
        <v>22.7</v>
      </c>
      <c r="V4143" s="4">
        <v>2.6</v>
      </c>
      <c r="W4143" s="4">
        <v>5.7</v>
      </c>
      <c r="X4143" s="4">
        <v>519.92999999999995</v>
      </c>
      <c r="Y4143" s="7" t="e">
        <f t="shared" ca="1" si="84"/>
        <v>#VALUE!</v>
      </c>
    </row>
    <row r="4144" spans="1:25" ht="15" x14ac:dyDescent="0.25">
      <c r="A4144" s="4">
        <v>4143</v>
      </c>
      <c r="C4144" s="41" t="s">
        <v>6512</v>
      </c>
      <c r="D4144" s="42"/>
      <c r="E4144" s="5" t="str">
        <f t="shared" si="80"/>
        <v>https://www.screener.in/company//consolidated/</v>
      </c>
      <c r="F4144" s="4">
        <v>443059</v>
      </c>
      <c r="G4144" s="4">
        <v>3832241897</v>
      </c>
      <c r="H4144" s="6" t="e">
        <f t="shared" ca="1" si="81"/>
        <v>#VALUE!</v>
      </c>
      <c r="I4144" s="7" t="str">
        <f ca="1">IFERROR(__xludf.DUMMYFUNCTION("IMPORTXML(E4144,""/html/body/main/div[3]/div[3]/div[2]/ul/li[5]/span[2]/span"")"),"Loading...")</f>
        <v>Loading...</v>
      </c>
      <c r="J4144" s="7" t="str">
        <f ca="1">IFERROR(__xludf.DUMMYFUNCTION("GOOGLEFINANCE(""NSE:""&amp;D4144,""marketcap"")"),"#N/A")</f>
        <v>#N/A</v>
      </c>
      <c r="K4144" s="7">
        <v>992.8</v>
      </c>
      <c r="L4144" s="8" t="str">
        <f ca="1">IFERROR(__xludf.DUMMYFUNCTION("GOOGLEFINANCE(""NSE:""&amp;D4144,""price"")"),"#N/A")</f>
        <v>#N/A</v>
      </c>
      <c r="M4144" s="9" t="e">
        <f t="shared" ca="1" si="82"/>
        <v>#VALUE!</v>
      </c>
      <c r="N4144" s="10" t="e">
        <f t="shared" ca="1" si="83"/>
        <v>#VALUE!</v>
      </c>
      <c r="O4144" s="7" t="str">
        <f ca="1">IFERROR(__xludf.DUMMYFUNCTION("GOOGLEFINANCE(""NSE:""&amp;D4144,""pe"")"),"#N/A")</f>
        <v>#N/A</v>
      </c>
      <c r="P4144" s="7" t="str">
        <f ca="1">IFERROR(__xludf.DUMMYFUNCTION("GOOGLEFINANCE(""NSE:""&amp;D4144,""EPS"")"),"#N/A")</f>
        <v>#N/A</v>
      </c>
      <c r="Q4144" s="7">
        <v>13.5</v>
      </c>
      <c r="R4144" s="7" t="str">
        <f ca="1">IFERROR(__xludf.DUMMYFUNCTION("IMPORTXML(E4144,""/html/body/main/div[3]/div[3]/div[2]/ul/li[7]/span[2]/span"")"),"Loading...")</f>
        <v>Loading...</v>
      </c>
      <c r="S4144" s="7" t="str">
        <f ca="1">IFERROR(__xludf.DUMMYFUNCTION("IMPORTXML(E4144,""/html/body/main/div[3]/div[3]/div[2]/ul/li[8]/span[2]/span"")"),"Loading...")</f>
        <v>Loading...</v>
      </c>
      <c r="T4144" s="4">
        <v>34.6</v>
      </c>
      <c r="U4144" s="4">
        <v>22.7</v>
      </c>
      <c r="V4144" s="4">
        <v>2.6</v>
      </c>
      <c r="W4144" s="4">
        <v>5.7</v>
      </c>
      <c r="X4144" s="4">
        <v>519.92999999999995</v>
      </c>
      <c r="Y4144" s="7" t="e">
        <f t="shared" ca="1" si="84"/>
        <v>#VALUE!</v>
      </c>
    </row>
    <row r="4145" spans="1:25" ht="15" x14ac:dyDescent="0.25">
      <c r="A4145" s="4">
        <v>4144</v>
      </c>
      <c r="C4145" s="41" t="s">
        <v>6513</v>
      </c>
      <c r="D4145" s="42"/>
      <c r="E4145" s="5" t="str">
        <f t="shared" si="80"/>
        <v>https://www.screener.in/company//consolidated/</v>
      </c>
      <c r="F4145" s="4">
        <v>443059</v>
      </c>
      <c r="G4145" s="4">
        <v>3832241897</v>
      </c>
      <c r="H4145" s="6" t="e">
        <f t="shared" ca="1" si="81"/>
        <v>#VALUE!</v>
      </c>
      <c r="I4145" s="7" t="str">
        <f ca="1">IFERROR(__xludf.DUMMYFUNCTION("IMPORTXML(E4145,""/html/body/main/div[3]/div[3]/div[2]/ul/li[5]/span[2]/span"")"),"Loading...")</f>
        <v>Loading...</v>
      </c>
      <c r="J4145" s="7" t="str">
        <f ca="1">IFERROR(__xludf.DUMMYFUNCTION("GOOGLEFINANCE(""NSE:""&amp;D4145,""marketcap"")"),"#N/A")</f>
        <v>#N/A</v>
      </c>
      <c r="K4145" s="7">
        <v>992.8</v>
      </c>
      <c r="L4145" s="8" t="str">
        <f ca="1">IFERROR(__xludf.DUMMYFUNCTION("GOOGLEFINANCE(""NSE:""&amp;D4145,""price"")"),"#N/A")</f>
        <v>#N/A</v>
      </c>
      <c r="M4145" s="9" t="e">
        <f t="shared" ca="1" si="82"/>
        <v>#VALUE!</v>
      </c>
      <c r="N4145" s="10" t="e">
        <f t="shared" ca="1" si="83"/>
        <v>#VALUE!</v>
      </c>
      <c r="O4145" s="7" t="str">
        <f ca="1">IFERROR(__xludf.DUMMYFUNCTION("GOOGLEFINANCE(""NSE:""&amp;D4145,""pe"")"),"#N/A")</f>
        <v>#N/A</v>
      </c>
      <c r="P4145" s="7" t="str">
        <f ca="1">IFERROR(__xludf.DUMMYFUNCTION("GOOGLEFINANCE(""NSE:""&amp;D4145,""EPS"")"),"#N/A")</f>
        <v>#N/A</v>
      </c>
      <c r="Q4145" s="7">
        <v>13.5</v>
      </c>
      <c r="R4145" s="7" t="str">
        <f ca="1">IFERROR(__xludf.DUMMYFUNCTION("IMPORTXML(E4145,""/html/body/main/div[3]/div[3]/div[2]/ul/li[7]/span[2]/span"")"),"Loading...")</f>
        <v>Loading...</v>
      </c>
      <c r="S4145" s="7" t="str">
        <f ca="1">IFERROR(__xludf.DUMMYFUNCTION("IMPORTXML(E4145,""/html/body/main/div[3]/div[3]/div[2]/ul/li[8]/span[2]/span"")"),"Loading...")</f>
        <v>Loading...</v>
      </c>
      <c r="T4145" s="4">
        <v>34.6</v>
      </c>
      <c r="U4145" s="4">
        <v>22.7</v>
      </c>
      <c r="V4145" s="4">
        <v>2.6</v>
      </c>
      <c r="W4145" s="4">
        <v>5.7</v>
      </c>
      <c r="X4145" s="4">
        <v>519.92999999999995</v>
      </c>
      <c r="Y4145" s="7" t="e">
        <f t="shared" ca="1" si="84"/>
        <v>#VALUE!</v>
      </c>
    </row>
    <row r="4146" spans="1:25" ht="15" x14ac:dyDescent="0.25">
      <c r="A4146" s="4">
        <v>4145</v>
      </c>
      <c r="C4146" s="41" t="s">
        <v>6514</v>
      </c>
      <c r="D4146" s="42"/>
      <c r="E4146" s="5" t="str">
        <f t="shared" si="80"/>
        <v>https://www.screener.in/company//consolidated/</v>
      </c>
      <c r="F4146" s="4">
        <v>443059</v>
      </c>
      <c r="G4146" s="4">
        <v>3832241897</v>
      </c>
      <c r="H4146" s="6" t="e">
        <f t="shared" ca="1" si="81"/>
        <v>#VALUE!</v>
      </c>
      <c r="I4146" s="7" t="str">
        <f ca="1">IFERROR(__xludf.DUMMYFUNCTION("IMPORTXML(E4146,""/html/body/main/div[3]/div[3]/div[2]/ul/li[5]/span[2]/span"")"),"Loading...")</f>
        <v>Loading...</v>
      </c>
      <c r="J4146" s="7" t="str">
        <f ca="1">IFERROR(__xludf.DUMMYFUNCTION("GOOGLEFINANCE(""NSE:""&amp;D4146,""marketcap"")"),"#N/A")</f>
        <v>#N/A</v>
      </c>
      <c r="K4146" s="7">
        <v>992.8</v>
      </c>
      <c r="L4146" s="8" t="str">
        <f ca="1">IFERROR(__xludf.DUMMYFUNCTION("GOOGLEFINANCE(""NSE:""&amp;D4146,""price"")"),"#N/A")</f>
        <v>#N/A</v>
      </c>
      <c r="M4146" s="9" t="e">
        <f t="shared" ca="1" si="82"/>
        <v>#VALUE!</v>
      </c>
      <c r="N4146" s="10" t="e">
        <f t="shared" ca="1" si="83"/>
        <v>#VALUE!</v>
      </c>
      <c r="O4146" s="7" t="str">
        <f ca="1">IFERROR(__xludf.DUMMYFUNCTION("GOOGLEFINANCE(""NSE:""&amp;D4146,""pe"")"),"#N/A")</f>
        <v>#N/A</v>
      </c>
      <c r="P4146" s="7" t="str">
        <f ca="1">IFERROR(__xludf.DUMMYFUNCTION("GOOGLEFINANCE(""NSE:""&amp;D4146,""EPS"")"),"#N/A")</f>
        <v>#N/A</v>
      </c>
      <c r="Q4146" s="7">
        <v>13.5</v>
      </c>
      <c r="R4146" s="7" t="str">
        <f ca="1">IFERROR(__xludf.DUMMYFUNCTION("IMPORTXML(E4146,""/html/body/main/div[3]/div[3]/div[2]/ul/li[7]/span[2]/span"")"),"Loading...")</f>
        <v>Loading...</v>
      </c>
      <c r="S4146" s="7" t="str">
        <f ca="1">IFERROR(__xludf.DUMMYFUNCTION("IMPORTXML(E4146,""/html/body/main/div[3]/div[3]/div[2]/ul/li[8]/span[2]/span"")"),"Loading...")</f>
        <v>Loading...</v>
      </c>
      <c r="T4146" s="4">
        <v>34.6</v>
      </c>
      <c r="U4146" s="4">
        <v>22.7</v>
      </c>
      <c r="V4146" s="4">
        <v>2.6</v>
      </c>
      <c r="W4146" s="4">
        <v>5.7</v>
      </c>
      <c r="X4146" s="4">
        <v>519.92999999999995</v>
      </c>
      <c r="Y4146" s="7" t="e">
        <f t="shared" ca="1" si="84"/>
        <v>#VALUE!</v>
      </c>
    </row>
    <row r="4147" spans="1:25" ht="15" x14ac:dyDescent="0.25">
      <c r="A4147" s="4">
        <v>4146</v>
      </c>
      <c r="C4147" s="12" t="s">
        <v>6515</v>
      </c>
      <c r="D4147" s="12" t="s">
        <v>6516</v>
      </c>
      <c r="E4147" s="5" t="str">
        <f t="shared" si="80"/>
        <v>https://www.screener.in/company/CMICABLES/consolidated/</v>
      </c>
      <c r="F4147" s="4">
        <v>443059</v>
      </c>
      <c r="G4147" s="4">
        <v>3832241897</v>
      </c>
      <c r="H4147" s="6">
        <f t="shared" ca="1" si="81"/>
        <v>1302.9622449799999</v>
      </c>
      <c r="I4147" s="7" t="str">
        <f ca="1">IFERROR(__xludf.DUMMYFUNCTION("IMPORTXML(E4147,""/html/body/main/div[3]/div[3]/div[2]/ul/li[5]/span[2]/span"")"),"Loading...")</f>
        <v>Loading...</v>
      </c>
      <c r="J4147" s="7">
        <f ca="1">IFERROR(__xludf.DUMMYFUNCTION("GOOGLEFINANCE(""NSE:""&amp;D4147,""marketcap"")"),54493350)</f>
        <v>54493350</v>
      </c>
      <c r="K4147" s="7">
        <v>992.8</v>
      </c>
      <c r="L4147" s="8">
        <f ca="1">IFERROR(__xludf.DUMMYFUNCTION("GOOGLEFINANCE(""NSE:""&amp;D4147,""price"")"),3.4)</f>
        <v>3.4</v>
      </c>
      <c r="M4147" s="9">
        <f t="shared" ca="1" si="82"/>
        <v>-989.4</v>
      </c>
      <c r="N4147" s="10">
        <f t="shared" ca="1" si="83"/>
        <v>-99.657534246575338</v>
      </c>
      <c r="O4147" s="7" t="str">
        <f ca="1">IFERROR(__xludf.DUMMYFUNCTION("GOOGLEFINANCE(""NSE:""&amp;D4147,""pe"")"),"#N/A")</f>
        <v>#N/A</v>
      </c>
      <c r="P4147" s="7" t="str">
        <f ca="1">IFERROR(__xludf.DUMMYFUNCTION("GOOGLEFINANCE(""NSE:""&amp;D4147,""EPS"")"),"#N/A")</f>
        <v>#N/A</v>
      </c>
      <c r="Q4147" s="7">
        <v>13.5</v>
      </c>
      <c r="R4147" s="7" t="str">
        <f ca="1">IFERROR(__xludf.DUMMYFUNCTION("IMPORTXML(E4147,""/html/body/main/div[3]/div[3]/div[2]/ul/li[7]/span[2]/span"")"),"Loading...")</f>
        <v>Loading...</v>
      </c>
      <c r="S4147" s="7" t="str">
        <f ca="1">IFERROR(__xludf.DUMMYFUNCTION("IMPORTXML(E4147,""/html/body/main/div[3]/div[3]/div[2]/ul/li[8]/span[2]/span"")"),"Loading...")</f>
        <v>Loading...</v>
      </c>
      <c r="T4147" s="4">
        <v>34.6</v>
      </c>
      <c r="U4147" s="4">
        <v>22.7</v>
      </c>
      <c r="V4147" s="4">
        <v>2.6</v>
      </c>
      <c r="W4147" s="4">
        <v>5.7</v>
      </c>
      <c r="X4147" s="4">
        <v>519.92999999999995</v>
      </c>
      <c r="Y4147" s="7">
        <f t="shared" ca="1" si="84"/>
        <v>-516.53</v>
      </c>
    </row>
    <row r="4148" spans="1:25" ht="15" x14ac:dyDescent="0.25">
      <c r="A4148" s="4">
        <v>4147</v>
      </c>
      <c r="C4148" s="41" t="s">
        <v>6517</v>
      </c>
      <c r="D4148" s="42"/>
      <c r="E4148" s="5" t="str">
        <f t="shared" si="80"/>
        <v>https://www.screener.in/company//consolidated/</v>
      </c>
      <c r="F4148" s="4">
        <v>443059</v>
      </c>
      <c r="G4148" s="4">
        <v>3832241897</v>
      </c>
      <c r="H4148" s="6" t="e">
        <f t="shared" ca="1" si="81"/>
        <v>#VALUE!</v>
      </c>
      <c r="I4148" s="7" t="str">
        <f ca="1">IFERROR(__xludf.DUMMYFUNCTION("IMPORTXML(E4148,""/html/body/main/div[3]/div[3]/div[2]/ul/li[5]/span[2]/span"")"),"Loading...")</f>
        <v>Loading...</v>
      </c>
      <c r="J4148" s="7" t="str">
        <f ca="1">IFERROR(__xludf.DUMMYFUNCTION("GOOGLEFINANCE(""NSE:""&amp;D4148,""marketcap"")"),"#N/A")</f>
        <v>#N/A</v>
      </c>
      <c r="K4148" s="7">
        <v>992.8</v>
      </c>
      <c r="L4148" s="8" t="str">
        <f ca="1">IFERROR(__xludf.DUMMYFUNCTION("GOOGLEFINANCE(""NSE:""&amp;D4148,""price"")"),"#N/A")</f>
        <v>#N/A</v>
      </c>
      <c r="M4148" s="9" t="e">
        <f t="shared" ca="1" si="82"/>
        <v>#VALUE!</v>
      </c>
      <c r="N4148" s="10" t="e">
        <f t="shared" ca="1" si="83"/>
        <v>#VALUE!</v>
      </c>
      <c r="O4148" s="7" t="str">
        <f ca="1">IFERROR(__xludf.DUMMYFUNCTION("GOOGLEFINANCE(""NSE:""&amp;D4148,""pe"")"),"#N/A")</f>
        <v>#N/A</v>
      </c>
      <c r="P4148" s="7" t="str">
        <f ca="1">IFERROR(__xludf.DUMMYFUNCTION("GOOGLEFINANCE(""NSE:""&amp;D4148,""EPS"")"),"#N/A")</f>
        <v>#N/A</v>
      </c>
      <c r="Q4148" s="7">
        <v>13.5</v>
      </c>
      <c r="R4148" s="7" t="str">
        <f ca="1">IFERROR(__xludf.DUMMYFUNCTION("IMPORTXML(E4148,""/html/body/main/div[3]/div[3]/div[2]/ul/li[7]/span[2]/span"")"),"Loading...")</f>
        <v>Loading...</v>
      </c>
      <c r="S4148" s="7" t="str">
        <f ca="1">IFERROR(__xludf.DUMMYFUNCTION("IMPORTXML(E4148,""/html/body/main/div[3]/div[3]/div[2]/ul/li[8]/span[2]/span"")"),"Loading...")</f>
        <v>Loading...</v>
      </c>
      <c r="T4148" s="4">
        <v>34.6</v>
      </c>
      <c r="U4148" s="4">
        <v>22.7</v>
      </c>
      <c r="V4148" s="4">
        <v>2.6</v>
      </c>
      <c r="W4148" s="4">
        <v>5.7</v>
      </c>
      <c r="X4148" s="4">
        <v>519.92999999999995</v>
      </c>
      <c r="Y4148" s="7" t="e">
        <f t="shared" ca="1" si="84"/>
        <v>#VALUE!</v>
      </c>
    </row>
    <row r="4149" spans="1:25" ht="15" x14ac:dyDescent="0.25">
      <c r="A4149" s="4">
        <v>4148</v>
      </c>
      <c r="C4149" s="41" t="s">
        <v>6518</v>
      </c>
      <c r="D4149" s="42"/>
      <c r="E4149" s="5" t="str">
        <f t="shared" si="80"/>
        <v>https://www.screener.in/company//consolidated/</v>
      </c>
      <c r="F4149" s="4">
        <v>443059</v>
      </c>
      <c r="G4149" s="4">
        <v>3832241897</v>
      </c>
      <c r="H4149" s="6" t="e">
        <f t="shared" ca="1" si="81"/>
        <v>#VALUE!</v>
      </c>
      <c r="I4149" s="7" t="str">
        <f ca="1">IFERROR(__xludf.DUMMYFUNCTION("IMPORTXML(E4149,""/html/body/main/div[3]/div[3]/div[2]/ul/li[5]/span[2]/span"")"),"Loading...")</f>
        <v>Loading...</v>
      </c>
      <c r="J4149" s="7" t="str">
        <f ca="1">IFERROR(__xludf.DUMMYFUNCTION("GOOGLEFINANCE(""NSE:""&amp;D4149,""marketcap"")"),"#N/A")</f>
        <v>#N/A</v>
      </c>
      <c r="K4149" s="7">
        <v>992.8</v>
      </c>
      <c r="L4149" s="8" t="str">
        <f ca="1">IFERROR(__xludf.DUMMYFUNCTION("GOOGLEFINANCE(""NSE:""&amp;D4149,""price"")"),"#N/A")</f>
        <v>#N/A</v>
      </c>
      <c r="M4149" s="9" t="e">
        <f t="shared" ca="1" si="82"/>
        <v>#VALUE!</v>
      </c>
      <c r="N4149" s="10" t="e">
        <f t="shared" ca="1" si="83"/>
        <v>#VALUE!</v>
      </c>
      <c r="O4149" s="7" t="str">
        <f ca="1">IFERROR(__xludf.DUMMYFUNCTION("GOOGLEFINANCE(""NSE:""&amp;D4149,""pe"")"),"#N/A")</f>
        <v>#N/A</v>
      </c>
      <c r="P4149" s="7" t="str">
        <f ca="1">IFERROR(__xludf.DUMMYFUNCTION("GOOGLEFINANCE(""NSE:""&amp;D4149,""EPS"")"),"#N/A")</f>
        <v>#N/A</v>
      </c>
      <c r="Q4149" s="7">
        <v>13.5</v>
      </c>
      <c r="R4149" s="7" t="str">
        <f ca="1">IFERROR(__xludf.DUMMYFUNCTION("IMPORTXML(E4149,""/html/body/main/div[3]/div[3]/div[2]/ul/li[7]/span[2]/span"")"),"Loading...")</f>
        <v>Loading...</v>
      </c>
      <c r="S4149" s="7" t="str">
        <f ca="1">IFERROR(__xludf.DUMMYFUNCTION("IMPORTXML(E4149,""/html/body/main/div[3]/div[3]/div[2]/ul/li[8]/span[2]/span"")"),"Loading...")</f>
        <v>Loading...</v>
      </c>
      <c r="T4149" s="4">
        <v>34.6</v>
      </c>
      <c r="U4149" s="4">
        <v>22.7</v>
      </c>
      <c r="V4149" s="4">
        <v>2.6</v>
      </c>
      <c r="W4149" s="4">
        <v>5.7</v>
      </c>
      <c r="X4149" s="4">
        <v>519.92999999999995</v>
      </c>
      <c r="Y4149" s="7" t="e">
        <f t="shared" ca="1" si="84"/>
        <v>#VALUE!</v>
      </c>
    </row>
    <row r="4150" spans="1:25" ht="15" x14ac:dyDescent="0.25">
      <c r="A4150" s="4">
        <v>4149</v>
      </c>
      <c r="C4150" s="41" t="s">
        <v>6519</v>
      </c>
      <c r="D4150" s="42"/>
      <c r="E4150" s="5" t="str">
        <f t="shared" si="80"/>
        <v>https://www.screener.in/company//consolidated/</v>
      </c>
      <c r="F4150" s="4">
        <v>443059</v>
      </c>
      <c r="G4150" s="4">
        <v>3832241897</v>
      </c>
      <c r="H4150" s="6" t="e">
        <f t="shared" ca="1" si="81"/>
        <v>#VALUE!</v>
      </c>
      <c r="I4150" s="7" t="str">
        <f ca="1">IFERROR(__xludf.DUMMYFUNCTION("IMPORTXML(E4150,""/html/body/main/div[3]/div[3]/div[2]/ul/li[5]/span[2]/span"")"),"Loading...")</f>
        <v>Loading...</v>
      </c>
      <c r="J4150" s="7" t="str">
        <f ca="1">IFERROR(__xludf.DUMMYFUNCTION("GOOGLEFINANCE(""NSE:""&amp;D4150,""marketcap"")"),"#N/A")</f>
        <v>#N/A</v>
      </c>
      <c r="K4150" s="7">
        <v>992.8</v>
      </c>
      <c r="L4150" s="8" t="str">
        <f ca="1">IFERROR(__xludf.DUMMYFUNCTION("GOOGLEFINANCE(""NSE:""&amp;D4150,""price"")"),"#N/A")</f>
        <v>#N/A</v>
      </c>
      <c r="M4150" s="9" t="e">
        <f t="shared" ca="1" si="82"/>
        <v>#VALUE!</v>
      </c>
      <c r="N4150" s="10" t="e">
        <f t="shared" ca="1" si="83"/>
        <v>#VALUE!</v>
      </c>
      <c r="O4150" s="7" t="str">
        <f ca="1">IFERROR(__xludf.DUMMYFUNCTION("GOOGLEFINANCE(""NSE:""&amp;D4150,""pe"")"),"#N/A")</f>
        <v>#N/A</v>
      </c>
      <c r="P4150" s="7" t="str">
        <f ca="1">IFERROR(__xludf.DUMMYFUNCTION("GOOGLEFINANCE(""NSE:""&amp;D4150,""EPS"")"),"#N/A")</f>
        <v>#N/A</v>
      </c>
      <c r="Q4150" s="7">
        <v>13.5</v>
      </c>
      <c r="R4150" s="7" t="str">
        <f ca="1">IFERROR(__xludf.DUMMYFUNCTION("IMPORTXML(E4150,""/html/body/main/div[3]/div[3]/div[2]/ul/li[7]/span[2]/span"")"),"Loading...")</f>
        <v>Loading...</v>
      </c>
      <c r="S4150" s="7" t="str">
        <f ca="1">IFERROR(__xludf.DUMMYFUNCTION("IMPORTXML(E4150,""/html/body/main/div[3]/div[3]/div[2]/ul/li[8]/span[2]/span"")"),"Loading...")</f>
        <v>Loading...</v>
      </c>
      <c r="T4150" s="4">
        <v>34.6</v>
      </c>
      <c r="U4150" s="4">
        <v>22.7</v>
      </c>
      <c r="V4150" s="4">
        <v>2.6</v>
      </c>
      <c r="W4150" s="4">
        <v>5.7</v>
      </c>
      <c r="X4150" s="4">
        <v>519.92999999999995</v>
      </c>
      <c r="Y4150" s="7" t="e">
        <f t="shared" ca="1" si="84"/>
        <v>#VALUE!</v>
      </c>
    </row>
    <row r="4151" spans="1:25" ht="15" x14ac:dyDescent="0.25">
      <c r="A4151" s="4">
        <v>4150</v>
      </c>
      <c r="C4151" s="41" t="s">
        <v>6520</v>
      </c>
      <c r="D4151" s="42"/>
      <c r="E4151" s="5" t="str">
        <f t="shared" si="80"/>
        <v>https://www.screener.in/company//consolidated/</v>
      </c>
      <c r="F4151" s="4">
        <v>443059</v>
      </c>
      <c r="G4151" s="4">
        <v>3832241897</v>
      </c>
      <c r="H4151" s="6" t="e">
        <f t="shared" ca="1" si="81"/>
        <v>#VALUE!</v>
      </c>
      <c r="I4151" s="7" t="str">
        <f ca="1">IFERROR(__xludf.DUMMYFUNCTION("IMPORTXML(E4151,""/html/body/main/div[3]/div[3]/div[2]/ul/li[5]/span[2]/span"")"),"Loading...")</f>
        <v>Loading...</v>
      </c>
      <c r="J4151" s="7" t="str">
        <f ca="1">IFERROR(__xludf.DUMMYFUNCTION("GOOGLEFINANCE(""NSE:""&amp;D4151,""marketcap"")"),"#N/A")</f>
        <v>#N/A</v>
      </c>
      <c r="K4151" s="7">
        <v>992.8</v>
      </c>
      <c r="L4151" s="8" t="str">
        <f ca="1">IFERROR(__xludf.DUMMYFUNCTION("GOOGLEFINANCE(""NSE:""&amp;D4151,""price"")"),"#N/A")</f>
        <v>#N/A</v>
      </c>
      <c r="M4151" s="9" t="e">
        <f t="shared" ca="1" si="82"/>
        <v>#VALUE!</v>
      </c>
      <c r="N4151" s="10" t="e">
        <f t="shared" ca="1" si="83"/>
        <v>#VALUE!</v>
      </c>
      <c r="O4151" s="7" t="str">
        <f ca="1">IFERROR(__xludf.DUMMYFUNCTION("GOOGLEFINANCE(""NSE:""&amp;D4151,""pe"")"),"#N/A")</f>
        <v>#N/A</v>
      </c>
      <c r="P4151" s="7" t="str">
        <f ca="1">IFERROR(__xludf.DUMMYFUNCTION("GOOGLEFINANCE(""NSE:""&amp;D4151,""EPS"")"),"#N/A")</f>
        <v>#N/A</v>
      </c>
      <c r="Q4151" s="7">
        <v>13.5</v>
      </c>
      <c r="R4151" s="7" t="str">
        <f ca="1">IFERROR(__xludf.DUMMYFUNCTION("IMPORTXML(E4151,""/html/body/main/div[3]/div[3]/div[2]/ul/li[7]/span[2]/span"")"),"Loading...")</f>
        <v>Loading...</v>
      </c>
      <c r="S4151" s="7" t="str">
        <f ca="1">IFERROR(__xludf.DUMMYFUNCTION("IMPORTXML(E4151,""/html/body/main/div[3]/div[3]/div[2]/ul/li[8]/span[2]/span"")"),"Loading...")</f>
        <v>Loading...</v>
      </c>
      <c r="T4151" s="4">
        <v>34.6</v>
      </c>
      <c r="U4151" s="4">
        <v>22.7</v>
      </c>
      <c r="V4151" s="4">
        <v>2.6</v>
      </c>
      <c r="W4151" s="4">
        <v>5.7</v>
      </c>
      <c r="X4151" s="4">
        <v>519.92999999999995</v>
      </c>
      <c r="Y4151" s="7" t="e">
        <f t="shared" ca="1" si="84"/>
        <v>#VALUE!</v>
      </c>
    </row>
    <row r="4152" spans="1:25" ht="15" x14ac:dyDescent="0.25">
      <c r="A4152" s="4">
        <v>4151</v>
      </c>
      <c r="C4152" s="41" t="s">
        <v>6521</v>
      </c>
      <c r="D4152" s="42"/>
      <c r="E4152" s="5" t="str">
        <f t="shared" si="80"/>
        <v>https://www.screener.in/company//consolidated/</v>
      </c>
      <c r="F4152" s="4">
        <v>443059</v>
      </c>
      <c r="G4152" s="4">
        <v>3832241897</v>
      </c>
      <c r="H4152" s="6" t="e">
        <f t="shared" ca="1" si="81"/>
        <v>#VALUE!</v>
      </c>
      <c r="I4152" s="7" t="str">
        <f ca="1">IFERROR(__xludf.DUMMYFUNCTION("IMPORTXML(E4152,""/html/body/main/div[3]/div[3]/div[2]/ul/li[5]/span[2]/span"")"),"Loading...")</f>
        <v>Loading...</v>
      </c>
      <c r="J4152" s="7" t="str">
        <f ca="1">IFERROR(__xludf.DUMMYFUNCTION("GOOGLEFINANCE(""NSE:""&amp;D4152,""marketcap"")"),"#N/A")</f>
        <v>#N/A</v>
      </c>
      <c r="K4152" s="7">
        <v>992.8</v>
      </c>
      <c r="L4152" s="8" t="str">
        <f ca="1">IFERROR(__xludf.DUMMYFUNCTION("GOOGLEFINANCE(""NSE:""&amp;D4152,""price"")"),"#N/A")</f>
        <v>#N/A</v>
      </c>
      <c r="M4152" s="9" t="e">
        <f t="shared" ca="1" si="82"/>
        <v>#VALUE!</v>
      </c>
      <c r="N4152" s="10" t="e">
        <f t="shared" ca="1" si="83"/>
        <v>#VALUE!</v>
      </c>
      <c r="O4152" s="7" t="str">
        <f ca="1">IFERROR(__xludf.DUMMYFUNCTION("GOOGLEFINANCE(""NSE:""&amp;D4152,""pe"")"),"#N/A")</f>
        <v>#N/A</v>
      </c>
      <c r="P4152" s="7" t="str">
        <f ca="1">IFERROR(__xludf.DUMMYFUNCTION("GOOGLEFINANCE(""NSE:""&amp;D4152,""EPS"")"),"#N/A")</f>
        <v>#N/A</v>
      </c>
      <c r="Q4152" s="7">
        <v>13.5</v>
      </c>
      <c r="R4152" s="7" t="str">
        <f ca="1">IFERROR(__xludf.DUMMYFUNCTION("IMPORTXML(E4152,""/html/body/main/div[3]/div[3]/div[2]/ul/li[7]/span[2]/span"")"),"Loading...")</f>
        <v>Loading...</v>
      </c>
      <c r="S4152" s="7" t="str">
        <f ca="1">IFERROR(__xludf.DUMMYFUNCTION("IMPORTXML(E4152,""/html/body/main/div[3]/div[3]/div[2]/ul/li[8]/span[2]/span"")"),"Loading...")</f>
        <v>Loading...</v>
      </c>
      <c r="T4152" s="4">
        <v>34.6</v>
      </c>
      <c r="U4152" s="4">
        <v>22.7</v>
      </c>
      <c r="V4152" s="4">
        <v>2.6</v>
      </c>
      <c r="W4152" s="4">
        <v>5.7</v>
      </c>
      <c r="X4152" s="4">
        <v>519.92999999999995</v>
      </c>
      <c r="Y4152" s="7" t="e">
        <f t="shared" ca="1" si="84"/>
        <v>#VALUE!</v>
      </c>
    </row>
    <row r="4153" spans="1:25" ht="15" x14ac:dyDescent="0.25">
      <c r="A4153" s="4">
        <v>4152</v>
      </c>
      <c r="C4153" s="41" t="s">
        <v>6522</v>
      </c>
      <c r="D4153" s="42"/>
      <c r="E4153" s="5" t="str">
        <f t="shared" si="80"/>
        <v>https://www.screener.in/company//consolidated/</v>
      </c>
      <c r="F4153" s="4">
        <v>443059</v>
      </c>
      <c r="G4153" s="4">
        <v>3832241897</v>
      </c>
      <c r="H4153" s="6" t="e">
        <f t="shared" ca="1" si="81"/>
        <v>#VALUE!</v>
      </c>
      <c r="I4153" s="7" t="str">
        <f ca="1">IFERROR(__xludf.DUMMYFUNCTION("IMPORTXML(E4153,""/html/body/main/div[3]/div[3]/div[2]/ul/li[5]/span[2]/span"")"),"Loading...")</f>
        <v>Loading...</v>
      </c>
      <c r="J4153" s="7" t="str">
        <f ca="1">IFERROR(__xludf.DUMMYFUNCTION("GOOGLEFINANCE(""NSE:""&amp;D4153,""marketcap"")"),"#N/A")</f>
        <v>#N/A</v>
      </c>
      <c r="K4153" s="7">
        <v>992.8</v>
      </c>
      <c r="L4153" s="8" t="str">
        <f ca="1">IFERROR(__xludf.DUMMYFUNCTION("GOOGLEFINANCE(""NSE:""&amp;D4153,""price"")"),"#N/A")</f>
        <v>#N/A</v>
      </c>
      <c r="M4153" s="9" t="e">
        <f t="shared" ca="1" si="82"/>
        <v>#VALUE!</v>
      </c>
      <c r="N4153" s="10" t="e">
        <f t="shared" ca="1" si="83"/>
        <v>#VALUE!</v>
      </c>
      <c r="O4153" s="7" t="str">
        <f ca="1">IFERROR(__xludf.DUMMYFUNCTION("GOOGLEFINANCE(""NSE:""&amp;D4153,""pe"")"),"#N/A")</f>
        <v>#N/A</v>
      </c>
      <c r="P4153" s="7" t="str">
        <f ca="1">IFERROR(__xludf.DUMMYFUNCTION("GOOGLEFINANCE(""NSE:""&amp;D4153,""EPS"")"),"#N/A")</f>
        <v>#N/A</v>
      </c>
      <c r="Q4153" s="7">
        <v>13.5</v>
      </c>
      <c r="R4153" s="7" t="str">
        <f ca="1">IFERROR(__xludf.DUMMYFUNCTION("IMPORTXML(E4153,""/html/body/main/div[3]/div[3]/div[2]/ul/li[7]/span[2]/span"")"),"Loading...")</f>
        <v>Loading...</v>
      </c>
      <c r="S4153" s="7" t="str">
        <f ca="1">IFERROR(__xludf.DUMMYFUNCTION("IMPORTXML(E4153,""/html/body/main/div[3]/div[3]/div[2]/ul/li[8]/span[2]/span"")"),"Loading...")</f>
        <v>Loading...</v>
      </c>
      <c r="T4153" s="4">
        <v>34.6</v>
      </c>
      <c r="U4153" s="4">
        <v>22.7</v>
      </c>
      <c r="V4153" s="4">
        <v>2.6</v>
      </c>
      <c r="W4153" s="4">
        <v>5.7</v>
      </c>
      <c r="X4153" s="4">
        <v>519.92999999999995</v>
      </c>
      <c r="Y4153" s="7" t="e">
        <f t="shared" ca="1" si="84"/>
        <v>#VALUE!</v>
      </c>
    </row>
    <row r="4154" spans="1:25" ht="15" x14ac:dyDescent="0.25">
      <c r="A4154" s="4">
        <v>4153</v>
      </c>
      <c r="C4154" s="41" t="s">
        <v>6523</v>
      </c>
      <c r="D4154" s="42"/>
      <c r="E4154" s="5" t="str">
        <f t="shared" si="80"/>
        <v>https://www.screener.in/company//consolidated/</v>
      </c>
      <c r="F4154" s="4">
        <v>443059</v>
      </c>
      <c r="G4154" s="4">
        <v>3832241897</v>
      </c>
      <c r="H4154" s="6" t="e">
        <f t="shared" ca="1" si="81"/>
        <v>#VALUE!</v>
      </c>
      <c r="I4154" s="7" t="str">
        <f ca="1">IFERROR(__xludf.DUMMYFUNCTION("IMPORTXML(E4154,""/html/body/main/div[3]/div[3]/div[2]/ul/li[5]/span[2]/span"")"),"Loading...")</f>
        <v>Loading...</v>
      </c>
      <c r="J4154" s="7" t="str">
        <f ca="1">IFERROR(__xludf.DUMMYFUNCTION("GOOGLEFINANCE(""NSE:""&amp;D4154,""marketcap"")"),"#N/A")</f>
        <v>#N/A</v>
      </c>
      <c r="K4154" s="7">
        <v>992.8</v>
      </c>
      <c r="L4154" s="8" t="str">
        <f ca="1">IFERROR(__xludf.DUMMYFUNCTION("GOOGLEFINANCE(""NSE:""&amp;D4154,""price"")"),"#N/A")</f>
        <v>#N/A</v>
      </c>
      <c r="M4154" s="9" t="e">
        <f t="shared" ca="1" si="82"/>
        <v>#VALUE!</v>
      </c>
      <c r="N4154" s="10" t="e">
        <f t="shared" ca="1" si="83"/>
        <v>#VALUE!</v>
      </c>
      <c r="O4154" s="7" t="str">
        <f ca="1">IFERROR(__xludf.DUMMYFUNCTION("GOOGLEFINANCE(""NSE:""&amp;D4154,""pe"")"),"#N/A")</f>
        <v>#N/A</v>
      </c>
      <c r="P4154" s="7" t="str">
        <f ca="1">IFERROR(__xludf.DUMMYFUNCTION("GOOGLEFINANCE(""NSE:""&amp;D4154,""EPS"")"),"#N/A")</f>
        <v>#N/A</v>
      </c>
      <c r="Q4154" s="7">
        <v>13.5</v>
      </c>
      <c r="R4154" s="7" t="str">
        <f ca="1">IFERROR(__xludf.DUMMYFUNCTION("IMPORTXML(E4154,""/html/body/main/div[3]/div[3]/div[2]/ul/li[7]/span[2]/span"")"),"Loading...")</f>
        <v>Loading...</v>
      </c>
      <c r="S4154" s="7" t="str">
        <f ca="1">IFERROR(__xludf.DUMMYFUNCTION("IMPORTXML(E4154,""/html/body/main/div[3]/div[3]/div[2]/ul/li[8]/span[2]/span"")"),"Loading...")</f>
        <v>Loading...</v>
      </c>
      <c r="T4154" s="4">
        <v>34.6</v>
      </c>
      <c r="U4154" s="4">
        <v>22.7</v>
      </c>
      <c r="V4154" s="4">
        <v>2.6</v>
      </c>
      <c r="W4154" s="4">
        <v>5.7</v>
      </c>
      <c r="X4154" s="4">
        <v>519.92999999999995</v>
      </c>
      <c r="Y4154" s="7" t="e">
        <f t="shared" ca="1" si="84"/>
        <v>#VALUE!</v>
      </c>
    </row>
    <row r="4155" spans="1:25" ht="15" x14ac:dyDescent="0.25">
      <c r="A4155" s="4">
        <v>4154</v>
      </c>
      <c r="C4155" s="41" t="s">
        <v>6524</v>
      </c>
      <c r="D4155" s="42"/>
      <c r="E4155" s="5" t="str">
        <f t="shared" si="80"/>
        <v>https://www.screener.in/company//consolidated/</v>
      </c>
      <c r="F4155" s="4">
        <v>443059</v>
      </c>
      <c r="G4155" s="4">
        <v>3832241897</v>
      </c>
      <c r="H4155" s="6" t="e">
        <f t="shared" ca="1" si="81"/>
        <v>#VALUE!</v>
      </c>
      <c r="I4155" s="7" t="str">
        <f ca="1">IFERROR(__xludf.DUMMYFUNCTION("IMPORTXML(E4155,""/html/body/main/div[3]/div[3]/div[2]/ul/li[5]/span[2]/span"")"),"Loading...")</f>
        <v>Loading...</v>
      </c>
      <c r="J4155" s="7" t="str">
        <f ca="1">IFERROR(__xludf.DUMMYFUNCTION("GOOGLEFINANCE(""NSE:""&amp;D4155,""marketcap"")"),"#N/A")</f>
        <v>#N/A</v>
      </c>
      <c r="K4155" s="7">
        <v>992.8</v>
      </c>
      <c r="L4155" s="8" t="str">
        <f ca="1">IFERROR(__xludf.DUMMYFUNCTION("GOOGLEFINANCE(""NSE:""&amp;D4155,""price"")"),"#N/A")</f>
        <v>#N/A</v>
      </c>
      <c r="M4155" s="9" t="e">
        <f t="shared" ca="1" si="82"/>
        <v>#VALUE!</v>
      </c>
      <c r="N4155" s="10" t="e">
        <f t="shared" ca="1" si="83"/>
        <v>#VALUE!</v>
      </c>
      <c r="O4155" s="7" t="str">
        <f ca="1">IFERROR(__xludf.DUMMYFUNCTION("GOOGLEFINANCE(""NSE:""&amp;D4155,""pe"")"),"#N/A")</f>
        <v>#N/A</v>
      </c>
      <c r="P4155" s="7" t="str">
        <f ca="1">IFERROR(__xludf.DUMMYFUNCTION("GOOGLEFINANCE(""NSE:""&amp;D4155,""EPS"")"),"#N/A")</f>
        <v>#N/A</v>
      </c>
      <c r="Q4155" s="7">
        <v>13.5</v>
      </c>
      <c r="R4155" s="7" t="str">
        <f ca="1">IFERROR(__xludf.DUMMYFUNCTION("IMPORTXML(E4155,""/html/body/main/div[3]/div[3]/div[2]/ul/li[7]/span[2]/span"")"),"Loading...")</f>
        <v>Loading...</v>
      </c>
      <c r="S4155" s="7" t="str">
        <f ca="1">IFERROR(__xludf.DUMMYFUNCTION("IMPORTXML(E4155,""/html/body/main/div[3]/div[3]/div[2]/ul/li[8]/span[2]/span"")"),"Loading...")</f>
        <v>Loading...</v>
      </c>
      <c r="T4155" s="4">
        <v>34.6</v>
      </c>
      <c r="U4155" s="4">
        <v>22.7</v>
      </c>
      <c r="V4155" s="4">
        <v>2.6</v>
      </c>
      <c r="W4155" s="4">
        <v>5.7</v>
      </c>
      <c r="X4155" s="4">
        <v>519.92999999999995</v>
      </c>
      <c r="Y4155" s="7" t="e">
        <f t="shared" ca="1" si="84"/>
        <v>#VALUE!</v>
      </c>
    </row>
    <row r="4156" spans="1:25" ht="15" x14ac:dyDescent="0.25">
      <c r="A4156" s="4">
        <v>4155</v>
      </c>
      <c r="C4156" s="41" t="s">
        <v>6525</v>
      </c>
      <c r="D4156" s="42"/>
      <c r="E4156" s="5" t="str">
        <f t="shared" si="80"/>
        <v>https://www.screener.in/company//consolidated/</v>
      </c>
      <c r="F4156" s="4">
        <v>443059</v>
      </c>
      <c r="G4156" s="4">
        <v>3832241897</v>
      </c>
      <c r="H4156" s="6" t="e">
        <f t="shared" ca="1" si="81"/>
        <v>#VALUE!</v>
      </c>
      <c r="I4156" s="7" t="str">
        <f ca="1">IFERROR(__xludf.DUMMYFUNCTION("IMPORTXML(E4156,""/html/body/main/div[3]/div[3]/div[2]/ul/li[5]/span[2]/span"")"),"Loading...")</f>
        <v>Loading...</v>
      </c>
      <c r="J4156" s="7" t="str">
        <f ca="1">IFERROR(__xludf.DUMMYFUNCTION("GOOGLEFINANCE(""NSE:""&amp;D4156,""marketcap"")"),"#N/A")</f>
        <v>#N/A</v>
      </c>
      <c r="K4156" s="7">
        <v>992.8</v>
      </c>
      <c r="L4156" s="8" t="str">
        <f ca="1">IFERROR(__xludf.DUMMYFUNCTION("GOOGLEFINANCE(""NSE:""&amp;D4156,""price"")"),"#N/A")</f>
        <v>#N/A</v>
      </c>
      <c r="M4156" s="9" t="e">
        <f t="shared" ca="1" si="82"/>
        <v>#VALUE!</v>
      </c>
      <c r="N4156" s="10" t="e">
        <f t="shared" ca="1" si="83"/>
        <v>#VALUE!</v>
      </c>
      <c r="O4156" s="7" t="str">
        <f ca="1">IFERROR(__xludf.DUMMYFUNCTION("GOOGLEFINANCE(""NSE:""&amp;D4156,""pe"")"),"#N/A")</f>
        <v>#N/A</v>
      </c>
      <c r="P4156" s="7" t="str">
        <f ca="1">IFERROR(__xludf.DUMMYFUNCTION("GOOGLEFINANCE(""NSE:""&amp;D4156,""EPS"")"),"#N/A")</f>
        <v>#N/A</v>
      </c>
      <c r="Q4156" s="7">
        <v>13.5</v>
      </c>
      <c r="R4156" s="7" t="str">
        <f ca="1">IFERROR(__xludf.DUMMYFUNCTION("IMPORTXML(E4156,""/html/body/main/div[3]/div[3]/div[2]/ul/li[7]/span[2]/span"")"),"Loading...")</f>
        <v>Loading...</v>
      </c>
      <c r="S4156" s="7" t="str">
        <f ca="1">IFERROR(__xludf.DUMMYFUNCTION("IMPORTXML(E4156,""/html/body/main/div[3]/div[3]/div[2]/ul/li[8]/span[2]/span"")"),"Loading...")</f>
        <v>Loading...</v>
      </c>
      <c r="T4156" s="4">
        <v>34.6</v>
      </c>
      <c r="U4156" s="4">
        <v>22.7</v>
      </c>
      <c r="V4156" s="4">
        <v>2.6</v>
      </c>
      <c r="W4156" s="4">
        <v>5.7</v>
      </c>
      <c r="X4156" s="4">
        <v>519.92999999999995</v>
      </c>
      <c r="Y4156" s="7" t="e">
        <f t="shared" ca="1" si="84"/>
        <v>#VALUE!</v>
      </c>
    </row>
    <row r="4157" spans="1:25" ht="15" x14ac:dyDescent="0.25">
      <c r="A4157" s="4">
        <v>4156</v>
      </c>
      <c r="C4157" s="41" t="s">
        <v>6526</v>
      </c>
      <c r="D4157" s="42"/>
      <c r="E4157" s="5" t="str">
        <f t="shared" si="80"/>
        <v>https://www.screener.in/company//consolidated/</v>
      </c>
      <c r="F4157" s="4">
        <v>443059</v>
      </c>
      <c r="G4157" s="4">
        <v>3832241897</v>
      </c>
      <c r="H4157" s="6" t="e">
        <f t="shared" ca="1" si="81"/>
        <v>#VALUE!</v>
      </c>
      <c r="I4157" s="7" t="str">
        <f ca="1">IFERROR(__xludf.DUMMYFUNCTION("IMPORTXML(E4157,""/html/body/main/div[3]/div[3]/div[2]/ul/li[5]/span[2]/span"")"),"Loading...")</f>
        <v>Loading...</v>
      </c>
      <c r="J4157" s="7" t="str">
        <f ca="1">IFERROR(__xludf.DUMMYFUNCTION("GOOGLEFINANCE(""NSE:""&amp;D4157,""marketcap"")"),"#N/A")</f>
        <v>#N/A</v>
      </c>
      <c r="K4157" s="7">
        <v>992.8</v>
      </c>
      <c r="L4157" s="8" t="str">
        <f ca="1">IFERROR(__xludf.DUMMYFUNCTION("GOOGLEFINANCE(""NSE:""&amp;D4157,""price"")"),"#N/A")</f>
        <v>#N/A</v>
      </c>
      <c r="M4157" s="9" t="e">
        <f t="shared" ca="1" si="82"/>
        <v>#VALUE!</v>
      </c>
      <c r="N4157" s="10" t="e">
        <f t="shared" ca="1" si="83"/>
        <v>#VALUE!</v>
      </c>
      <c r="O4157" s="7" t="str">
        <f ca="1">IFERROR(__xludf.DUMMYFUNCTION("GOOGLEFINANCE(""NSE:""&amp;D4157,""pe"")"),"#N/A")</f>
        <v>#N/A</v>
      </c>
      <c r="P4157" s="7" t="str">
        <f ca="1">IFERROR(__xludf.DUMMYFUNCTION("GOOGLEFINANCE(""NSE:""&amp;D4157,""EPS"")"),"#N/A")</f>
        <v>#N/A</v>
      </c>
      <c r="Q4157" s="7">
        <v>13.5</v>
      </c>
      <c r="R4157" s="7" t="str">
        <f ca="1">IFERROR(__xludf.DUMMYFUNCTION("IMPORTXML(E4157,""/html/body/main/div[3]/div[3]/div[2]/ul/li[7]/span[2]/span"")"),"Loading...")</f>
        <v>Loading...</v>
      </c>
      <c r="S4157" s="7" t="str">
        <f ca="1">IFERROR(__xludf.DUMMYFUNCTION("IMPORTXML(E4157,""/html/body/main/div[3]/div[3]/div[2]/ul/li[8]/span[2]/span"")"),"Loading...")</f>
        <v>Loading...</v>
      </c>
      <c r="T4157" s="4">
        <v>34.6</v>
      </c>
      <c r="U4157" s="4">
        <v>22.7</v>
      </c>
      <c r="V4157" s="4">
        <v>2.6</v>
      </c>
      <c r="W4157" s="4">
        <v>5.7</v>
      </c>
      <c r="X4157" s="4">
        <v>519.92999999999995</v>
      </c>
      <c r="Y4157" s="7" t="e">
        <f t="shared" ca="1" si="84"/>
        <v>#VALUE!</v>
      </c>
    </row>
    <row r="4158" spans="1:25" ht="15" x14ac:dyDescent="0.25">
      <c r="A4158" s="4">
        <v>4157</v>
      </c>
      <c r="C4158" s="41" t="s">
        <v>6527</v>
      </c>
      <c r="D4158" s="42"/>
      <c r="E4158" s="5" t="str">
        <f t="shared" si="80"/>
        <v>https://www.screener.in/company//consolidated/</v>
      </c>
      <c r="F4158" s="4">
        <v>443059</v>
      </c>
      <c r="G4158" s="4">
        <v>3832241897</v>
      </c>
      <c r="H4158" s="6" t="e">
        <f t="shared" ca="1" si="81"/>
        <v>#VALUE!</v>
      </c>
      <c r="I4158" s="7" t="str">
        <f ca="1">IFERROR(__xludf.DUMMYFUNCTION("IMPORTXML(E4158,""/html/body/main/div[3]/div[3]/div[2]/ul/li[5]/span[2]/span"")"),"Loading...")</f>
        <v>Loading...</v>
      </c>
      <c r="J4158" s="7" t="str">
        <f ca="1">IFERROR(__xludf.DUMMYFUNCTION("GOOGLEFINANCE(""NSE:""&amp;D4158,""marketcap"")"),"#N/A")</f>
        <v>#N/A</v>
      </c>
      <c r="K4158" s="7">
        <v>992.8</v>
      </c>
      <c r="L4158" s="8" t="str">
        <f ca="1">IFERROR(__xludf.DUMMYFUNCTION("GOOGLEFINANCE(""NSE:""&amp;D4158,""price"")"),"#N/A")</f>
        <v>#N/A</v>
      </c>
      <c r="M4158" s="9" t="e">
        <f t="shared" ca="1" si="82"/>
        <v>#VALUE!</v>
      </c>
      <c r="N4158" s="10" t="e">
        <f t="shared" ca="1" si="83"/>
        <v>#VALUE!</v>
      </c>
      <c r="O4158" s="7" t="str">
        <f ca="1">IFERROR(__xludf.DUMMYFUNCTION("GOOGLEFINANCE(""NSE:""&amp;D4158,""pe"")"),"#N/A")</f>
        <v>#N/A</v>
      </c>
      <c r="P4158" s="7" t="str">
        <f ca="1">IFERROR(__xludf.DUMMYFUNCTION("GOOGLEFINANCE(""NSE:""&amp;D4158,""EPS"")"),"#N/A")</f>
        <v>#N/A</v>
      </c>
      <c r="Q4158" s="7">
        <v>13.5</v>
      </c>
      <c r="R4158" s="7" t="str">
        <f ca="1">IFERROR(__xludf.DUMMYFUNCTION("IMPORTXML(E4158,""/html/body/main/div[3]/div[3]/div[2]/ul/li[7]/span[2]/span"")"),"Loading...")</f>
        <v>Loading...</v>
      </c>
      <c r="S4158" s="7" t="str">
        <f ca="1">IFERROR(__xludf.DUMMYFUNCTION("IMPORTXML(E4158,""/html/body/main/div[3]/div[3]/div[2]/ul/li[8]/span[2]/span"")"),"Loading...")</f>
        <v>Loading...</v>
      </c>
      <c r="T4158" s="4">
        <v>34.6</v>
      </c>
      <c r="U4158" s="4">
        <v>22.7</v>
      </c>
      <c r="V4158" s="4">
        <v>2.6</v>
      </c>
      <c r="W4158" s="4">
        <v>5.7</v>
      </c>
      <c r="X4158" s="4">
        <v>519.92999999999995</v>
      </c>
      <c r="Y4158" s="7" t="e">
        <f t="shared" ca="1" si="84"/>
        <v>#VALUE!</v>
      </c>
    </row>
    <row r="4159" spans="1:25" ht="15" x14ac:dyDescent="0.25">
      <c r="A4159" s="4">
        <v>4158</v>
      </c>
      <c r="C4159" s="41" t="s">
        <v>6528</v>
      </c>
      <c r="D4159" s="42"/>
      <c r="E4159" s="5" t="str">
        <f t="shared" si="80"/>
        <v>https://www.screener.in/company//consolidated/</v>
      </c>
      <c r="F4159" s="4">
        <v>443059</v>
      </c>
      <c r="G4159" s="4">
        <v>3832241897</v>
      </c>
      <c r="H4159" s="6" t="e">
        <f t="shared" ca="1" si="81"/>
        <v>#VALUE!</v>
      </c>
      <c r="I4159" s="7" t="str">
        <f ca="1">IFERROR(__xludf.DUMMYFUNCTION("IMPORTXML(E4159,""/html/body/main/div[3]/div[3]/div[2]/ul/li[5]/span[2]/span"")"),"Loading...")</f>
        <v>Loading...</v>
      </c>
      <c r="J4159" s="7" t="str">
        <f ca="1">IFERROR(__xludf.DUMMYFUNCTION("GOOGLEFINANCE(""NSE:""&amp;D4159,""marketcap"")"),"#N/A")</f>
        <v>#N/A</v>
      </c>
      <c r="K4159" s="7">
        <v>992.8</v>
      </c>
      <c r="L4159" s="8" t="str">
        <f ca="1">IFERROR(__xludf.DUMMYFUNCTION("GOOGLEFINANCE(""NSE:""&amp;D4159,""price"")"),"#N/A")</f>
        <v>#N/A</v>
      </c>
      <c r="M4159" s="9" t="e">
        <f t="shared" ca="1" si="82"/>
        <v>#VALUE!</v>
      </c>
      <c r="N4159" s="10" t="e">
        <f t="shared" ca="1" si="83"/>
        <v>#VALUE!</v>
      </c>
      <c r="O4159" s="7" t="str">
        <f ca="1">IFERROR(__xludf.DUMMYFUNCTION("GOOGLEFINANCE(""NSE:""&amp;D4159,""pe"")"),"#N/A")</f>
        <v>#N/A</v>
      </c>
      <c r="P4159" s="7" t="str">
        <f ca="1">IFERROR(__xludf.DUMMYFUNCTION("GOOGLEFINANCE(""NSE:""&amp;D4159,""EPS"")"),"#N/A")</f>
        <v>#N/A</v>
      </c>
      <c r="Q4159" s="7">
        <v>13.5</v>
      </c>
      <c r="R4159" s="7" t="str">
        <f ca="1">IFERROR(__xludf.DUMMYFUNCTION("IMPORTXML(E4159,""/html/body/main/div[3]/div[3]/div[2]/ul/li[7]/span[2]/span"")"),"Loading...")</f>
        <v>Loading...</v>
      </c>
      <c r="S4159" s="7" t="str">
        <f ca="1">IFERROR(__xludf.DUMMYFUNCTION("IMPORTXML(E4159,""/html/body/main/div[3]/div[3]/div[2]/ul/li[8]/span[2]/span"")"),"Loading...")</f>
        <v>Loading...</v>
      </c>
      <c r="T4159" s="4">
        <v>34.6</v>
      </c>
      <c r="U4159" s="4">
        <v>22.7</v>
      </c>
      <c r="V4159" s="4">
        <v>2.6</v>
      </c>
      <c r="W4159" s="4">
        <v>5.7</v>
      </c>
      <c r="X4159" s="4">
        <v>519.92999999999995</v>
      </c>
      <c r="Y4159" s="7" t="e">
        <f t="shared" ca="1" si="84"/>
        <v>#VALUE!</v>
      </c>
    </row>
    <row r="4160" spans="1:25" ht="15" x14ac:dyDescent="0.25">
      <c r="A4160" s="4">
        <v>4159</v>
      </c>
      <c r="C4160" s="41" t="s">
        <v>6529</v>
      </c>
      <c r="D4160" s="42"/>
      <c r="E4160" s="5" t="str">
        <f t="shared" si="80"/>
        <v>https://www.screener.in/company//consolidated/</v>
      </c>
      <c r="F4160" s="4">
        <v>443059</v>
      </c>
      <c r="G4160" s="4">
        <v>3832241897</v>
      </c>
      <c r="H4160" s="6" t="e">
        <f t="shared" ca="1" si="81"/>
        <v>#VALUE!</v>
      </c>
      <c r="I4160" s="7" t="str">
        <f ca="1">IFERROR(__xludf.DUMMYFUNCTION("IMPORTXML(E4160,""/html/body/main/div[3]/div[3]/div[2]/ul/li[5]/span[2]/span"")"),"Loading...")</f>
        <v>Loading...</v>
      </c>
      <c r="J4160" s="7" t="str">
        <f ca="1">IFERROR(__xludf.DUMMYFUNCTION("GOOGLEFINANCE(""NSE:""&amp;D4160,""marketcap"")"),"#N/A")</f>
        <v>#N/A</v>
      </c>
      <c r="K4160" s="7">
        <v>992.8</v>
      </c>
      <c r="L4160" s="8" t="str">
        <f ca="1">IFERROR(__xludf.DUMMYFUNCTION("GOOGLEFINANCE(""NSE:""&amp;D4160,""price"")"),"#N/A")</f>
        <v>#N/A</v>
      </c>
      <c r="M4160" s="9" t="e">
        <f t="shared" ca="1" si="82"/>
        <v>#VALUE!</v>
      </c>
      <c r="N4160" s="10" t="e">
        <f t="shared" ca="1" si="83"/>
        <v>#VALUE!</v>
      </c>
      <c r="O4160" s="7" t="str">
        <f ca="1">IFERROR(__xludf.DUMMYFUNCTION("GOOGLEFINANCE(""NSE:""&amp;D4160,""pe"")"),"#N/A")</f>
        <v>#N/A</v>
      </c>
      <c r="P4160" s="7" t="str">
        <f ca="1">IFERROR(__xludf.DUMMYFUNCTION("GOOGLEFINANCE(""NSE:""&amp;D4160,""EPS"")"),"#N/A")</f>
        <v>#N/A</v>
      </c>
      <c r="Q4160" s="7">
        <v>13.5</v>
      </c>
      <c r="R4160" s="7" t="str">
        <f ca="1">IFERROR(__xludf.DUMMYFUNCTION("IMPORTXML(E4160,""/html/body/main/div[3]/div[3]/div[2]/ul/li[7]/span[2]/span"")"),"Loading...")</f>
        <v>Loading...</v>
      </c>
      <c r="S4160" s="7" t="str">
        <f ca="1">IFERROR(__xludf.DUMMYFUNCTION("IMPORTXML(E4160,""/html/body/main/div[3]/div[3]/div[2]/ul/li[8]/span[2]/span"")"),"Loading...")</f>
        <v>Loading...</v>
      </c>
      <c r="T4160" s="4">
        <v>34.6</v>
      </c>
      <c r="U4160" s="4">
        <v>22.7</v>
      </c>
      <c r="V4160" s="4">
        <v>2.6</v>
      </c>
      <c r="W4160" s="4">
        <v>5.7</v>
      </c>
      <c r="X4160" s="4">
        <v>519.92999999999995</v>
      </c>
      <c r="Y4160" s="7" t="e">
        <f t="shared" ca="1" si="84"/>
        <v>#VALUE!</v>
      </c>
    </row>
    <row r="4161" spans="1:25" ht="15" x14ac:dyDescent="0.25">
      <c r="A4161" s="4">
        <v>4160</v>
      </c>
      <c r="C4161" s="41" t="s">
        <v>6530</v>
      </c>
      <c r="D4161" s="42"/>
      <c r="E4161" s="5" t="str">
        <f t="shared" si="80"/>
        <v>https://www.screener.in/company//consolidated/</v>
      </c>
      <c r="F4161" s="4">
        <v>443059</v>
      </c>
      <c r="G4161" s="4">
        <v>3832241897</v>
      </c>
      <c r="H4161" s="6" t="e">
        <f t="shared" ca="1" si="81"/>
        <v>#VALUE!</v>
      </c>
      <c r="I4161" s="7" t="str">
        <f ca="1">IFERROR(__xludf.DUMMYFUNCTION("IMPORTXML(E4161,""/html/body/main/div[3]/div[3]/div[2]/ul/li[5]/span[2]/span"")"),"Loading...")</f>
        <v>Loading...</v>
      </c>
      <c r="J4161" s="7" t="str">
        <f ca="1">IFERROR(__xludf.DUMMYFUNCTION("GOOGLEFINANCE(""NSE:""&amp;D4161,""marketcap"")"),"#N/A")</f>
        <v>#N/A</v>
      </c>
      <c r="K4161" s="7">
        <v>992.8</v>
      </c>
      <c r="L4161" s="8" t="str">
        <f ca="1">IFERROR(__xludf.DUMMYFUNCTION("GOOGLEFINANCE(""NSE:""&amp;D4161,""price"")"),"#N/A")</f>
        <v>#N/A</v>
      </c>
      <c r="M4161" s="9" t="e">
        <f t="shared" ca="1" si="82"/>
        <v>#VALUE!</v>
      </c>
      <c r="N4161" s="10" t="e">
        <f t="shared" ca="1" si="83"/>
        <v>#VALUE!</v>
      </c>
      <c r="O4161" s="7" t="str">
        <f ca="1">IFERROR(__xludf.DUMMYFUNCTION("GOOGLEFINANCE(""NSE:""&amp;D4161,""pe"")"),"#N/A")</f>
        <v>#N/A</v>
      </c>
      <c r="P4161" s="7" t="str">
        <f ca="1">IFERROR(__xludf.DUMMYFUNCTION("GOOGLEFINANCE(""NSE:""&amp;D4161,""EPS"")"),"#N/A")</f>
        <v>#N/A</v>
      </c>
      <c r="Q4161" s="7">
        <v>13.5</v>
      </c>
      <c r="R4161" s="7" t="str">
        <f ca="1">IFERROR(__xludf.DUMMYFUNCTION("IMPORTXML(E4161,""/html/body/main/div[3]/div[3]/div[2]/ul/li[7]/span[2]/span"")"),"Loading...")</f>
        <v>Loading...</v>
      </c>
      <c r="S4161" s="7" t="str">
        <f ca="1">IFERROR(__xludf.DUMMYFUNCTION("IMPORTXML(E4161,""/html/body/main/div[3]/div[3]/div[2]/ul/li[8]/span[2]/span"")"),"Loading...")</f>
        <v>Loading...</v>
      </c>
      <c r="T4161" s="4">
        <v>34.6</v>
      </c>
      <c r="U4161" s="4">
        <v>22.7</v>
      </c>
      <c r="V4161" s="4">
        <v>2.6</v>
      </c>
      <c r="W4161" s="4">
        <v>5.7</v>
      </c>
      <c r="X4161" s="4">
        <v>519.92999999999995</v>
      </c>
      <c r="Y4161" s="7" t="e">
        <f t="shared" ca="1" si="84"/>
        <v>#VALUE!</v>
      </c>
    </row>
    <row r="4162" spans="1:25" ht="15" x14ac:dyDescent="0.25">
      <c r="A4162" s="4">
        <v>4161</v>
      </c>
      <c r="C4162" s="41" t="s">
        <v>6531</v>
      </c>
      <c r="D4162" s="42"/>
      <c r="E4162" s="5" t="str">
        <f t="shared" si="80"/>
        <v>https://www.screener.in/company//consolidated/</v>
      </c>
      <c r="F4162" s="4">
        <v>443059</v>
      </c>
      <c r="G4162" s="4">
        <v>3832241897</v>
      </c>
      <c r="H4162" s="6" t="e">
        <f t="shared" ca="1" si="81"/>
        <v>#VALUE!</v>
      </c>
      <c r="I4162" s="7" t="str">
        <f ca="1">IFERROR(__xludf.DUMMYFUNCTION("IMPORTXML(E4162,""/html/body/main/div[3]/div[3]/div[2]/ul/li[5]/span[2]/span"")"),"Loading...")</f>
        <v>Loading...</v>
      </c>
      <c r="J4162" s="7" t="str">
        <f ca="1">IFERROR(__xludf.DUMMYFUNCTION("GOOGLEFINANCE(""NSE:""&amp;D4162,""marketcap"")"),"#N/A")</f>
        <v>#N/A</v>
      </c>
      <c r="K4162" s="7">
        <v>992.8</v>
      </c>
      <c r="L4162" s="8" t="str">
        <f ca="1">IFERROR(__xludf.DUMMYFUNCTION("GOOGLEFINANCE(""NSE:""&amp;D4162,""price"")"),"#N/A")</f>
        <v>#N/A</v>
      </c>
      <c r="M4162" s="9" t="e">
        <f t="shared" ca="1" si="82"/>
        <v>#VALUE!</v>
      </c>
      <c r="N4162" s="10" t="e">
        <f t="shared" ca="1" si="83"/>
        <v>#VALUE!</v>
      </c>
      <c r="O4162" s="7" t="str">
        <f ca="1">IFERROR(__xludf.DUMMYFUNCTION("GOOGLEFINANCE(""NSE:""&amp;D4162,""pe"")"),"#N/A")</f>
        <v>#N/A</v>
      </c>
      <c r="P4162" s="7" t="str">
        <f ca="1">IFERROR(__xludf.DUMMYFUNCTION("GOOGLEFINANCE(""NSE:""&amp;D4162,""EPS"")"),"#N/A")</f>
        <v>#N/A</v>
      </c>
      <c r="Q4162" s="7">
        <v>13.5</v>
      </c>
      <c r="R4162" s="7" t="str">
        <f ca="1">IFERROR(__xludf.DUMMYFUNCTION("IMPORTXML(E4162,""/html/body/main/div[3]/div[3]/div[2]/ul/li[7]/span[2]/span"")"),"Loading...")</f>
        <v>Loading...</v>
      </c>
      <c r="S4162" s="7" t="str">
        <f ca="1">IFERROR(__xludf.DUMMYFUNCTION("IMPORTXML(E4162,""/html/body/main/div[3]/div[3]/div[2]/ul/li[8]/span[2]/span"")"),"Loading...")</f>
        <v>Loading...</v>
      </c>
      <c r="T4162" s="4">
        <v>34.6</v>
      </c>
      <c r="U4162" s="4">
        <v>22.7</v>
      </c>
      <c r="V4162" s="4">
        <v>2.6</v>
      </c>
      <c r="W4162" s="4">
        <v>5.7</v>
      </c>
      <c r="X4162" s="4">
        <v>519.92999999999995</v>
      </c>
      <c r="Y4162" s="7" t="e">
        <f t="shared" ca="1" si="84"/>
        <v>#VALUE!</v>
      </c>
    </row>
    <row r="4163" spans="1:25" ht="15" x14ac:dyDescent="0.25">
      <c r="A4163" s="4">
        <v>4162</v>
      </c>
      <c r="C4163" s="41" t="s">
        <v>6532</v>
      </c>
      <c r="D4163" s="42"/>
      <c r="E4163" s="5" t="str">
        <f t="shared" si="80"/>
        <v>https://www.screener.in/company//consolidated/</v>
      </c>
      <c r="F4163" s="4">
        <v>443059</v>
      </c>
      <c r="G4163" s="4">
        <v>3832241897</v>
      </c>
      <c r="H4163" s="6" t="e">
        <f t="shared" ca="1" si="81"/>
        <v>#VALUE!</v>
      </c>
      <c r="I4163" s="7" t="str">
        <f ca="1">IFERROR(__xludf.DUMMYFUNCTION("IMPORTXML(E4163,""/html/body/main/div[3]/div[3]/div[2]/ul/li[5]/span[2]/span"")"),"Loading...")</f>
        <v>Loading...</v>
      </c>
      <c r="J4163" s="7" t="str">
        <f ca="1">IFERROR(__xludf.DUMMYFUNCTION("GOOGLEFINANCE(""NSE:""&amp;D4163,""marketcap"")"),"#N/A")</f>
        <v>#N/A</v>
      </c>
      <c r="K4163" s="7">
        <v>992.8</v>
      </c>
      <c r="L4163" s="8" t="str">
        <f ca="1">IFERROR(__xludf.DUMMYFUNCTION("GOOGLEFINANCE(""NSE:""&amp;D4163,""price"")"),"#N/A")</f>
        <v>#N/A</v>
      </c>
      <c r="M4163" s="9" t="e">
        <f t="shared" ca="1" si="82"/>
        <v>#VALUE!</v>
      </c>
      <c r="N4163" s="10" t="e">
        <f t="shared" ca="1" si="83"/>
        <v>#VALUE!</v>
      </c>
      <c r="O4163" s="7" t="str">
        <f ca="1">IFERROR(__xludf.DUMMYFUNCTION("GOOGLEFINANCE(""NSE:""&amp;D4163,""pe"")"),"#N/A")</f>
        <v>#N/A</v>
      </c>
      <c r="P4163" s="7" t="str">
        <f ca="1">IFERROR(__xludf.DUMMYFUNCTION("GOOGLEFINANCE(""NSE:""&amp;D4163,""EPS"")"),"#N/A")</f>
        <v>#N/A</v>
      </c>
      <c r="Q4163" s="7">
        <v>13.5</v>
      </c>
      <c r="R4163" s="7" t="str">
        <f ca="1">IFERROR(__xludf.DUMMYFUNCTION("IMPORTXML(E4163,""/html/body/main/div[3]/div[3]/div[2]/ul/li[7]/span[2]/span"")"),"Loading...")</f>
        <v>Loading...</v>
      </c>
      <c r="S4163" s="7" t="str">
        <f ca="1">IFERROR(__xludf.DUMMYFUNCTION("IMPORTXML(E4163,""/html/body/main/div[3]/div[3]/div[2]/ul/li[8]/span[2]/span"")"),"Loading...")</f>
        <v>Loading...</v>
      </c>
      <c r="T4163" s="4">
        <v>34.6</v>
      </c>
      <c r="U4163" s="4">
        <v>22.7</v>
      </c>
      <c r="V4163" s="4">
        <v>2.6</v>
      </c>
      <c r="W4163" s="4">
        <v>5.7</v>
      </c>
      <c r="X4163" s="4">
        <v>519.92999999999995</v>
      </c>
      <c r="Y4163" s="7" t="e">
        <f t="shared" ca="1" si="84"/>
        <v>#VALUE!</v>
      </c>
    </row>
    <row r="4164" spans="1:25" ht="15" x14ac:dyDescent="0.25">
      <c r="A4164" s="4">
        <v>4163</v>
      </c>
      <c r="C4164" s="41" t="s">
        <v>6533</v>
      </c>
      <c r="D4164" s="42"/>
      <c r="E4164" s="5" t="str">
        <f t="shared" si="80"/>
        <v>https://www.screener.in/company//consolidated/</v>
      </c>
      <c r="F4164" s="4">
        <v>443059</v>
      </c>
      <c r="G4164" s="4">
        <v>3832241897</v>
      </c>
      <c r="H4164" s="6" t="e">
        <f t="shared" ca="1" si="81"/>
        <v>#VALUE!</v>
      </c>
      <c r="I4164" s="7" t="str">
        <f ca="1">IFERROR(__xludf.DUMMYFUNCTION("IMPORTXML(E4164,""/html/body/main/div[3]/div[3]/div[2]/ul/li[5]/span[2]/span"")"),"Loading...")</f>
        <v>Loading...</v>
      </c>
      <c r="J4164" s="7" t="str">
        <f ca="1">IFERROR(__xludf.DUMMYFUNCTION("GOOGLEFINANCE(""NSE:""&amp;D4164,""marketcap"")"),"#N/A")</f>
        <v>#N/A</v>
      </c>
      <c r="K4164" s="7">
        <v>992.8</v>
      </c>
      <c r="L4164" s="8" t="str">
        <f ca="1">IFERROR(__xludf.DUMMYFUNCTION("GOOGLEFINANCE(""NSE:""&amp;D4164,""price"")"),"#N/A")</f>
        <v>#N/A</v>
      </c>
      <c r="M4164" s="9" t="e">
        <f t="shared" ca="1" si="82"/>
        <v>#VALUE!</v>
      </c>
      <c r="N4164" s="10" t="e">
        <f t="shared" ca="1" si="83"/>
        <v>#VALUE!</v>
      </c>
      <c r="O4164" s="7" t="str">
        <f ca="1">IFERROR(__xludf.DUMMYFUNCTION("GOOGLEFINANCE(""NSE:""&amp;D4164,""pe"")"),"#N/A")</f>
        <v>#N/A</v>
      </c>
      <c r="P4164" s="7" t="str">
        <f ca="1">IFERROR(__xludf.DUMMYFUNCTION("GOOGLEFINANCE(""NSE:""&amp;D4164,""EPS"")"),"#N/A")</f>
        <v>#N/A</v>
      </c>
      <c r="Q4164" s="7">
        <v>13.5</v>
      </c>
      <c r="R4164" s="7" t="str">
        <f ca="1">IFERROR(__xludf.DUMMYFUNCTION("IMPORTXML(E4164,""/html/body/main/div[3]/div[3]/div[2]/ul/li[7]/span[2]/span"")"),"Loading...")</f>
        <v>Loading...</v>
      </c>
      <c r="S4164" s="7" t="str">
        <f ca="1">IFERROR(__xludf.DUMMYFUNCTION("IMPORTXML(E4164,""/html/body/main/div[3]/div[3]/div[2]/ul/li[8]/span[2]/span"")"),"Loading...")</f>
        <v>Loading...</v>
      </c>
      <c r="T4164" s="4">
        <v>34.6</v>
      </c>
      <c r="U4164" s="4">
        <v>22.7</v>
      </c>
      <c r="V4164" s="4">
        <v>2.6</v>
      </c>
      <c r="W4164" s="4">
        <v>5.7</v>
      </c>
      <c r="X4164" s="4">
        <v>519.92999999999995</v>
      </c>
      <c r="Y4164" s="7" t="e">
        <f t="shared" ca="1" si="84"/>
        <v>#VALUE!</v>
      </c>
    </row>
    <row r="4165" spans="1:25" ht="15" x14ac:dyDescent="0.25">
      <c r="A4165" s="4">
        <v>4164</v>
      </c>
      <c r="C4165" s="41" t="s">
        <v>6534</v>
      </c>
      <c r="D4165" s="42"/>
      <c r="E4165" s="5" t="str">
        <f t="shared" si="80"/>
        <v>https://www.screener.in/company//consolidated/</v>
      </c>
      <c r="F4165" s="4">
        <v>443059</v>
      </c>
      <c r="G4165" s="4">
        <v>3832241897</v>
      </c>
      <c r="H4165" s="6" t="e">
        <f t="shared" ca="1" si="81"/>
        <v>#VALUE!</v>
      </c>
      <c r="I4165" s="7" t="str">
        <f ca="1">IFERROR(__xludf.DUMMYFUNCTION("IMPORTXML(E4165,""/html/body/main/div[3]/div[3]/div[2]/ul/li[5]/span[2]/span"")"),"Loading...")</f>
        <v>Loading...</v>
      </c>
      <c r="J4165" s="7" t="str">
        <f ca="1">IFERROR(__xludf.DUMMYFUNCTION("GOOGLEFINANCE(""NSE:""&amp;D4165,""marketcap"")"),"#N/A")</f>
        <v>#N/A</v>
      </c>
      <c r="K4165" s="7">
        <v>992.8</v>
      </c>
      <c r="L4165" s="8" t="str">
        <f ca="1">IFERROR(__xludf.DUMMYFUNCTION("GOOGLEFINANCE(""NSE:""&amp;D4165,""price"")"),"#N/A")</f>
        <v>#N/A</v>
      </c>
      <c r="M4165" s="9" t="e">
        <f t="shared" ca="1" si="82"/>
        <v>#VALUE!</v>
      </c>
      <c r="N4165" s="10" t="e">
        <f t="shared" ca="1" si="83"/>
        <v>#VALUE!</v>
      </c>
      <c r="O4165" s="7" t="str">
        <f ca="1">IFERROR(__xludf.DUMMYFUNCTION("GOOGLEFINANCE(""NSE:""&amp;D4165,""pe"")"),"#N/A")</f>
        <v>#N/A</v>
      </c>
      <c r="P4165" s="7" t="str">
        <f ca="1">IFERROR(__xludf.DUMMYFUNCTION("GOOGLEFINANCE(""NSE:""&amp;D4165,""EPS"")"),"#N/A")</f>
        <v>#N/A</v>
      </c>
      <c r="Q4165" s="7">
        <v>13.5</v>
      </c>
      <c r="R4165" s="7" t="str">
        <f ca="1">IFERROR(__xludf.DUMMYFUNCTION("IMPORTXML(E4165,""/html/body/main/div[3]/div[3]/div[2]/ul/li[7]/span[2]/span"")"),"Loading...")</f>
        <v>Loading...</v>
      </c>
      <c r="S4165" s="7" t="str">
        <f ca="1">IFERROR(__xludf.DUMMYFUNCTION("IMPORTXML(E4165,""/html/body/main/div[3]/div[3]/div[2]/ul/li[8]/span[2]/span"")"),"Loading...")</f>
        <v>Loading...</v>
      </c>
      <c r="T4165" s="4">
        <v>34.6</v>
      </c>
      <c r="U4165" s="4">
        <v>22.7</v>
      </c>
      <c r="V4165" s="4">
        <v>2.6</v>
      </c>
      <c r="W4165" s="4">
        <v>5.7</v>
      </c>
      <c r="X4165" s="4">
        <v>519.92999999999995</v>
      </c>
      <c r="Y4165" s="7" t="e">
        <f t="shared" ca="1" si="84"/>
        <v>#VALUE!</v>
      </c>
    </row>
    <row r="4166" spans="1:25" ht="15" x14ac:dyDescent="0.25">
      <c r="A4166" s="4">
        <v>4165</v>
      </c>
      <c r="C4166" s="41" t="s">
        <v>6535</v>
      </c>
      <c r="D4166" s="42"/>
      <c r="E4166" s="5" t="str">
        <f t="shared" si="80"/>
        <v>https://www.screener.in/company//consolidated/</v>
      </c>
      <c r="F4166" s="4">
        <v>443059</v>
      </c>
      <c r="G4166" s="4">
        <v>3832241897</v>
      </c>
      <c r="H4166" s="6" t="e">
        <f t="shared" ca="1" si="81"/>
        <v>#VALUE!</v>
      </c>
      <c r="I4166" s="7" t="str">
        <f ca="1">IFERROR(__xludf.DUMMYFUNCTION("IMPORTXML(E4166,""/html/body/main/div[3]/div[3]/div[2]/ul/li[5]/span[2]/span"")"),"Loading...")</f>
        <v>Loading...</v>
      </c>
      <c r="J4166" s="7" t="str">
        <f ca="1">IFERROR(__xludf.DUMMYFUNCTION("GOOGLEFINANCE(""NSE:""&amp;D4166,""marketcap"")"),"#N/A")</f>
        <v>#N/A</v>
      </c>
      <c r="K4166" s="7">
        <v>992.8</v>
      </c>
      <c r="L4166" s="8" t="str">
        <f ca="1">IFERROR(__xludf.DUMMYFUNCTION("GOOGLEFINANCE(""NSE:""&amp;D4166,""price"")"),"#N/A")</f>
        <v>#N/A</v>
      </c>
      <c r="M4166" s="9" t="e">
        <f t="shared" ca="1" si="82"/>
        <v>#VALUE!</v>
      </c>
      <c r="N4166" s="10" t="e">
        <f t="shared" ca="1" si="83"/>
        <v>#VALUE!</v>
      </c>
      <c r="O4166" s="7" t="str">
        <f ca="1">IFERROR(__xludf.DUMMYFUNCTION("GOOGLEFINANCE(""NSE:""&amp;D4166,""pe"")"),"#N/A")</f>
        <v>#N/A</v>
      </c>
      <c r="P4166" s="7" t="str">
        <f ca="1">IFERROR(__xludf.DUMMYFUNCTION("GOOGLEFINANCE(""NSE:""&amp;D4166,""EPS"")"),"#N/A")</f>
        <v>#N/A</v>
      </c>
      <c r="Q4166" s="7">
        <v>13.5</v>
      </c>
      <c r="R4166" s="7" t="str">
        <f ca="1">IFERROR(__xludf.DUMMYFUNCTION("IMPORTXML(E4166,""/html/body/main/div[3]/div[3]/div[2]/ul/li[7]/span[2]/span"")"),"Loading...")</f>
        <v>Loading...</v>
      </c>
      <c r="S4166" s="7" t="str">
        <f ca="1">IFERROR(__xludf.DUMMYFUNCTION("IMPORTXML(E4166,""/html/body/main/div[3]/div[3]/div[2]/ul/li[8]/span[2]/span"")"),"Loading...")</f>
        <v>Loading...</v>
      </c>
      <c r="T4166" s="4">
        <v>34.6</v>
      </c>
      <c r="U4166" s="4">
        <v>22.7</v>
      </c>
      <c r="V4166" s="4">
        <v>2.6</v>
      </c>
      <c r="W4166" s="4">
        <v>5.7</v>
      </c>
      <c r="X4166" s="4">
        <v>519.92999999999995</v>
      </c>
      <c r="Y4166" s="7" t="e">
        <f t="shared" ca="1" si="84"/>
        <v>#VALUE!</v>
      </c>
    </row>
    <row r="4167" spans="1:25" ht="15" x14ac:dyDescent="0.25">
      <c r="A4167" s="4">
        <v>4166</v>
      </c>
      <c r="C4167" s="41" t="s">
        <v>6536</v>
      </c>
      <c r="D4167" s="42"/>
      <c r="E4167" s="5" t="str">
        <f t="shared" si="80"/>
        <v>https://www.screener.in/company//consolidated/</v>
      </c>
      <c r="F4167" s="4">
        <v>443059</v>
      </c>
      <c r="G4167" s="4">
        <v>3832241897</v>
      </c>
      <c r="H4167" s="6" t="e">
        <f t="shared" ca="1" si="81"/>
        <v>#VALUE!</v>
      </c>
      <c r="I4167" s="7" t="str">
        <f ca="1">IFERROR(__xludf.DUMMYFUNCTION("IMPORTXML(E4167,""/html/body/main/div[3]/div[3]/div[2]/ul/li[5]/span[2]/span"")"),"Loading...")</f>
        <v>Loading...</v>
      </c>
      <c r="J4167" s="7" t="str">
        <f ca="1">IFERROR(__xludf.DUMMYFUNCTION("GOOGLEFINANCE(""NSE:""&amp;D4167,""marketcap"")"),"#N/A")</f>
        <v>#N/A</v>
      </c>
      <c r="K4167" s="7">
        <v>992.8</v>
      </c>
      <c r="L4167" s="8" t="str">
        <f ca="1">IFERROR(__xludf.DUMMYFUNCTION("GOOGLEFINANCE(""NSE:""&amp;D4167,""price"")"),"#N/A")</f>
        <v>#N/A</v>
      </c>
      <c r="M4167" s="9" t="e">
        <f t="shared" ca="1" si="82"/>
        <v>#VALUE!</v>
      </c>
      <c r="N4167" s="10" t="e">
        <f t="shared" ca="1" si="83"/>
        <v>#VALUE!</v>
      </c>
      <c r="O4167" s="7" t="str">
        <f ca="1">IFERROR(__xludf.DUMMYFUNCTION("GOOGLEFINANCE(""NSE:""&amp;D4167,""pe"")"),"#N/A")</f>
        <v>#N/A</v>
      </c>
      <c r="P4167" s="7" t="str">
        <f ca="1">IFERROR(__xludf.DUMMYFUNCTION("GOOGLEFINANCE(""NSE:""&amp;D4167,""EPS"")"),"#N/A")</f>
        <v>#N/A</v>
      </c>
      <c r="Q4167" s="7">
        <v>13.5</v>
      </c>
      <c r="R4167" s="7" t="str">
        <f ca="1">IFERROR(__xludf.DUMMYFUNCTION("IMPORTXML(E4167,""/html/body/main/div[3]/div[3]/div[2]/ul/li[7]/span[2]/span"")"),"Loading...")</f>
        <v>Loading...</v>
      </c>
      <c r="S4167" s="7" t="str">
        <f ca="1">IFERROR(__xludf.DUMMYFUNCTION("IMPORTXML(E4167,""/html/body/main/div[3]/div[3]/div[2]/ul/li[8]/span[2]/span"")"),"Loading...")</f>
        <v>Loading...</v>
      </c>
      <c r="T4167" s="4">
        <v>34.6</v>
      </c>
      <c r="U4167" s="4">
        <v>22.7</v>
      </c>
      <c r="V4167" s="4">
        <v>2.6</v>
      </c>
      <c r="W4167" s="4">
        <v>5.7</v>
      </c>
      <c r="X4167" s="4">
        <v>519.92999999999995</v>
      </c>
      <c r="Y4167" s="7" t="e">
        <f t="shared" ca="1" si="84"/>
        <v>#VALUE!</v>
      </c>
    </row>
    <row r="4168" spans="1:25" ht="15" x14ac:dyDescent="0.25">
      <c r="A4168" s="4">
        <v>4167</v>
      </c>
      <c r="C4168" s="41" t="s">
        <v>6537</v>
      </c>
      <c r="D4168" s="42"/>
      <c r="E4168" s="5" t="str">
        <f t="shared" si="80"/>
        <v>https://www.screener.in/company//consolidated/</v>
      </c>
      <c r="F4168" s="4">
        <v>443059</v>
      </c>
      <c r="G4168" s="4">
        <v>3832241897</v>
      </c>
      <c r="H4168" s="6" t="e">
        <f t="shared" ca="1" si="81"/>
        <v>#VALUE!</v>
      </c>
      <c r="I4168" s="7" t="str">
        <f ca="1">IFERROR(__xludf.DUMMYFUNCTION("IMPORTXML(E4168,""/html/body/main/div[3]/div[3]/div[2]/ul/li[5]/span[2]/span"")"),"Loading...")</f>
        <v>Loading...</v>
      </c>
      <c r="J4168" s="7" t="str">
        <f ca="1">IFERROR(__xludf.DUMMYFUNCTION("GOOGLEFINANCE(""NSE:""&amp;D4168,""marketcap"")"),"#N/A")</f>
        <v>#N/A</v>
      </c>
      <c r="K4168" s="7">
        <v>992.8</v>
      </c>
      <c r="L4168" s="8" t="str">
        <f ca="1">IFERROR(__xludf.DUMMYFUNCTION("GOOGLEFINANCE(""NSE:""&amp;D4168,""price"")"),"#N/A")</f>
        <v>#N/A</v>
      </c>
      <c r="M4168" s="9" t="e">
        <f t="shared" ca="1" si="82"/>
        <v>#VALUE!</v>
      </c>
      <c r="N4168" s="10" t="e">
        <f t="shared" ca="1" si="83"/>
        <v>#VALUE!</v>
      </c>
      <c r="O4168" s="7" t="str">
        <f ca="1">IFERROR(__xludf.DUMMYFUNCTION("GOOGLEFINANCE(""NSE:""&amp;D4168,""pe"")"),"#N/A")</f>
        <v>#N/A</v>
      </c>
      <c r="P4168" s="7" t="str">
        <f ca="1">IFERROR(__xludf.DUMMYFUNCTION("GOOGLEFINANCE(""NSE:""&amp;D4168,""EPS"")"),"#N/A")</f>
        <v>#N/A</v>
      </c>
      <c r="Q4168" s="7">
        <v>13.5</v>
      </c>
      <c r="R4168" s="7" t="str">
        <f ca="1">IFERROR(__xludf.DUMMYFUNCTION("IMPORTXML(E4168,""/html/body/main/div[3]/div[3]/div[2]/ul/li[7]/span[2]/span"")"),"Loading...")</f>
        <v>Loading...</v>
      </c>
      <c r="S4168" s="7" t="str">
        <f ca="1">IFERROR(__xludf.DUMMYFUNCTION("IMPORTXML(E4168,""/html/body/main/div[3]/div[3]/div[2]/ul/li[8]/span[2]/span"")"),"Loading...")</f>
        <v>Loading...</v>
      </c>
      <c r="T4168" s="4">
        <v>34.6</v>
      </c>
      <c r="U4168" s="4">
        <v>22.7</v>
      </c>
      <c r="V4168" s="4">
        <v>2.6</v>
      </c>
      <c r="W4168" s="4">
        <v>5.7</v>
      </c>
      <c r="X4168" s="4">
        <v>519.92999999999995</v>
      </c>
      <c r="Y4168" s="7" t="e">
        <f t="shared" ca="1" si="84"/>
        <v>#VALUE!</v>
      </c>
    </row>
    <row r="4169" spans="1:25" ht="15" x14ac:dyDescent="0.25">
      <c r="A4169" s="4">
        <v>4168</v>
      </c>
      <c r="C4169" s="41" t="s">
        <v>6538</v>
      </c>
      <c r="D4169" s="42"/>
      <c r="E4169" s="5" t="str">
        <f t="shared" si="80"/>
        <v>https://www.screener.in/company//consolidated/</v>
      </c>
      <c r="F4169" s="4">
        <v>443059</v>
      </c>
      <c r="G4169" s="4">
        <v>3832241897</v>
      </c>
      <c r="H4169" s="6" t="e">
        <f t="shared" ca="1" si="81"/>
        <v>#VALUE!</v>
      </c>
      <c r="I4169" s="7" t="str">
        <f ca="1">IFERROR(__xludf.DUMMYFUNCTION("IMPORTXML(E4169,""/html/body/main/div[3]/div[3]/div[2]/ul/li[5]/span[2]/span"")"),"Loading...")</f>
        <v>Loading...</v>
      </c>
      <c r="J4169" s="7" t="str">
        <f ca="1">IFERROR(__xludf.DUMMYFUNCTION("GOOGLEFINANCE(""NSE:""&amp;D4169,""marketcap"")"),"#N/A")</f>
        <v>#N/A</v>
      </c>
      <c r="K4169" s="7">
        <v>992.8</v>
      </c>
      <c r="L4169" s="8" t="str">
        <f ca="1">IFERROR(__xludf.DUMMYFUNCTION("GOOGLEFINANCE(""NSE:""&amp;D4169,""price"")"),"#N/A")</f>
        <v>#N/A</v>
      </c>
      <c r="M4169" s="9" t="e">
        <f t="shared" ca="1" si="82"/>
        <v>#VALUE!</v>
      </c>
      <c r="N4169" s="10" t="e">
        <f t="shared" ca="1" si="83"/>
        <v>#VALUE!</v>
      </c>
      <c r="O4169" s="7" t="str">
        <f ca="1">IFERROR(__xludf.DUMMYFUNCTION("GOOGLEFINANCE(""NSE:""&amp;D4169,""pe"")"),"#N/A")</f>
        <v>#N/A</v>
      </c>
      <c r="P4169" s="7" t="str">
        <f ca="1">IFERROR(__xludf.DUMMYFUNCTION("GOOGLEFINANCE(""NSE:""&amp;D4169,""EPS"")"),"#N/A")</f>
        <v>#N/A</v>
      </c>
      <c r="Q4169" s="7">
        <v>13.5</v>
      </c>
      <c r="R4169" s="7" t="str">
        <f ca="1">IFERROR(__xludf.DUMMYFUNCTION("IMPORTXML(E4169,""/html/body/main/div[3]/div[3]/div[2]/ul/li[7]/span[2]/span"")"),"Loading...")</f>
        <v>Loading...</v>
      </c>
      <c r="S4169" s="7" t="str">
        <f ca="1">IFERROR(__xludf.DUMMYFUNCTION("IMPORTXML(E4169,""/html/body/main/div[3]/div[3]/div[2]/ul/li[8]/span[2]/span"")"),"Loading...")</f>
        <v>Loading...</v>
      </c>
      <c r="T4169" s="4">
        <v>34.6</v>
      </c>
      <c r="U4169" s="4">
        <v>22.7</v>
      </c>
      <c r="V4169" s="4">
        <v>2.6</v>
      </c>
      <c r="W4169" s="4">
        <v>5.7</v>
      </c>
      <c r="X4169" s="4">
        <v>519.92999999999995</v>
      </c>
      <c r="Y4169" s="7" t="e">
        <f t="shared" ca="1" si="84"/>
        <v>#VALUE!</v>
      </c>
    </row>
    <row r="4170" spans="1:25" ht="15" x14ac:dyDescent="0.25">
      <c r="A4170" s="4">
        <v>4169</v>
      </c>
      <c r="C4170" s="41" t="s">
        <v>6539</v>
      </c>
      <c r="D4170" s="42"/>
      <c r="E4170" s="5" t="str">
        <f t="shared" si="80"/>
        <v>https://www.screener.in/company//consolidated/</v>
      </c>
      <c r="F4170" s="4">
        <v>443059</v>
      </c>
      <c r="G4170" s="4">
        <v>3832241897</v>
      </c>
      <c r="H4170" s="6" t="e">
        <f t="shared" ca="1" si="81"/>
        <v>#VALUE!</v>
      </c>
      <c r="I4170" s="7" t="str">
        <f ca="1">IFERROR(__xludf.DUMMYFUNCTION("IMPORTXML(E4170,""/html/body/main/div[3]/div[3]/div[2]/ul/li[5]/span[2]/span"")"),"Loading...")</f>
        <v>Loading...</v>
      </c>
      <c r="J4170" s="7" t="str">
        <f ca="1">IFERROR(__xludf.DUMMYFUNCTION("GOOGLEFINANCE(""NSE:""&amp;D4170,""marketcap"")"),"#N/A")</f>
        <v>#N/A</v>
      </c>
      <c r="K4170" s="7">
        <v>992.8</v>
      </c>
      <c r="L4170" s="8" t="str">
        <f ca="1">IFERROR(__xludf.DUMMYFUNCTION("GOOGLEFINANCE(""NSE:""&amp;D4170,""price"")"),"#N/A")</f>
        <v>#N/A</v>
      </c>
      <c r="M4170" s="9" t="e">
        <f t="shared" ca="1" si="82"/>
        <v>#VALUE!</v>
      </c>
      <c r="N4170" s="10" t="e">
        <f t="shared" ca="1" si="83"/>
        <v>#VALUE!</v>
      </c>
      <c r="O4170" s="7" t="str">
        <f ca="1">IFERROR(__xludf.DUMMYFUNCTION("GOOGLEFINANCE(""NSE:""&amp;D4170,""pe"")"),"#N/A")</f>
        <v>#N/A</v>
      </c>
      <c r="P4170" s="7" t="str">
        <f ca="1">IFERROR(__xludf.DUMMYFUNCTION("GOOGLEFINANCE(""NSE:""&amp;D4170,""EPS"")"),"#N/A")</f>
        <v>#N/A</v>
      </c>
      <c r="Q4170" s="7">
        <v>13.5</v>
      </c>
      <c r="R4170" s="7" t="str">
        <f ca="1">IFERROR(__xludf.DUMMYFUNCTION("IMPORTXML(E4170,""/html/body/main/div[3]/div[3]/div[2]/ul/li[7]/span[2]/span"")"),"Loading...")</f>
        <v>Loading...</v>
      </c>
      <c r="S4170" s="7" t="str">
        <f ca="1">IFERROR(__xludf.DUMMYFUNCTION("IMPORTXML(E4170,""/html/body/main/div[3]/div[3]/div[2]/ul/li[8]/span[2]/span"")"),"Loading...")</f>
        <v>Loading...</v>
      </c>
      <c r="T4170" s="4">
        <v>34.6</v>
      </c>
      <c r="U4170" s="4">
        <v>22.7</v>
      </c>
      <c r="V4170" s="4">
        <v>2.6</v>
      </c>
      <c r="W4170" s="4">
        <v>5.7</v>
      </c>
      <c r="X4170" s="4">
        <v>519.92999999999995</v>
      </c>
      <c r="Y4170" s="7" t="e">
        <f t="shared" ca="1" si="84"/>
        <v>#VALUE!</v>
      </c>
    </row>
    <row r="4171" spans="1:25" ht="15" x14ac:dyDescent="0.25">
      <c r="A4171" s="4">
        <v>4170</v>
      </c>
      <c r="C4171" s="41" t="s">
        <v>6540</v>
      </c>
      <c r="D4171" s="42"/>
      <c r="E4171" s="5" t="str">
        <f t="shared" si="80"/>
        <v>https://www.screener.in/company//consolidated/</v>
      </c>
      <c r="F4171" s="4">
        <v>443059</v>
      </c>
      <c r="G4171" s="4">
        <v>3832241897</v>
      </c>
      <c r="H4171" s="6" t="e">
        <f t="shared" ca="1" si="81"/>
        <v>#VALUE!</v>
      </c>
      <c r="I4171" s="7" t="str">
        <f ca="1">IFERROR(__xludf.DUMMYFUNCTION("IMPORTXML(E4171,""/html/body/main/div[3]/div[3]/div[2]/ul/li[5]/span[2]/span"")"),"Loading...")</f>
        <v>Loading...</v>
      </c>
      <c r="J4171" s="7" t="str">
        <f ca="1">IFERROR(__xludf.DUMMYFUNCTION("GOOGLEFINANCE(""NSE:""&amp;D4171,""marketcap"")"),"#N/A")</f>
        <v>#N/A</v>
      </c>
      <c r="K4171" s="7">
        <v>992.8</v>
      </c>
      <c r="L4171" s="8" t="str">
        <f ca="1">IFERROR(__xludf.DUMMYFUNCTION("GOOGLEFINANCE(""NSE:""&amp;D4171,""price"")"),"#N/A")</f>
        <v>#N/A</v>
      </c>
      <c r="M4171" s="9" t="e">
        <f t="shared" ca="1" si="82"/>
        <v>#VALUE!</v>
      </c>
      <c r="N4171" s="10" t="e">
        <f t="shared" ca="1" si="83"/>
        <v>#VALUE!</v>
      </c>
      <c r="O4171" s="7" t="str">
        <f ca="1">IFERROR(__xludf.DUMMYFUNCTION("GOOGLEFINANCE(""NSE:""&amp;D4171,""pe"")"),"#N/A")</f>
        <v>#N/A</v>
      </c>
      <c r="P4171" s="7" t="str">
        <f ca="1">IFERROR(__xludf.DUMMYFUNCTION("GOOGLEFINANCE(""NSE:""&amp;D4171,""EPS"")"),"#N/A")</f>
        <v>#N/A</v>
      </c>
      <c r="Q4171" s="7">
        <v>13.5</v>
      </c>
      <c r="R4171" s="7" t="str">
        <f ca="1">IFERROR(__xludf.DUMMYFUNCTION("IMPORTXML(E4171,""/html/body/main/div[3]/div[3]/div[2]/ul/li[7]/span[2]/span"")"),"Loading...")</f>
        <v>Loading...</v>
      </c>
      <c r="S4171" s="7" t="str">
        <f ca="1">IFERROR(__xludf.DUMMYFUNCTION("IMPORTXML(E4171,""/html/body/main/div[3]/div[3]/div[2]/ul/li[8]/span[2]/span"")"),"Loading...")</f>
        <v>Loading...</v>
      </c>
      <c r="T4171" s="4">
        <v>34.6</v>
      </c>
      <c r="U4171" s="4">
        <v>22.7</v>
      </c>
      <c r="V4171" s="4">
        <v>2.6</v>
      </c>
      <c r="W4171" s="4">
        <v>5.7</v>
      </c>
      <c r="X4171" s="4">
        <v>519.92999999999995</v>
      </c>
      <c r="Y4171" s="7" t="e">
        <f t="shared" ca="1" si="84"/>
        <v>#VALUE!</v>
      </c>
    </row>
    <row r="4172" spans="1:25" ht="15" x14ac:dyDescent="0.25">
      <c r="A4172" s="4">
        <v>4171</v>
      </c>
      <c r="C4172" s="41" t="s">
        <v>6541</v>
      </c>
      <c r="D4172" s="42"/>
      <c r="E4172" s="5" t="str">
        <f t="shared" si="80"/>
        <v>https://www.screener.in/company//consolidated/</v>
      </c>
      <c r="F4172" s="4">
        <v>443059</v>
      </c>
      <c r="G4172" s="4">
        <v>3832241897</v>
      </c>
      <c r="H4172" s="6" t="e">
        <f t="shared" ca="1" si="81"/>
        <v>#VALUE!</v>
      </c>
      <c r="I4172" s="7" t="str">
        <f ca="1">IFERROR(__xludf.DUMMYFUNCTION("IMPORTXML(E4172,""/html/body/main/div[3]/div[3]/div[2]/ul/li[5]/span[2]/span"")"),"Loading...")</f>
        <v>Loading...</v>
      </c>
      <c r="J4172" s="7" t="str">
        <f ca="1">IFERROR(__xludf.DUMMYFUNCTION("GOOGLEFINANCE(""NSE:""&amp;D4172,""marketcap"")"),"#N/A")</f>
        <v>#N/A</v>
      </c>
      <c r="K4172" s="7">
        <v>992.8</v>
      </c>
      <c r="L4172" s="8" t="str">
        <f ca="1">IFERROR(__xludf.DUMMYFUNCTION("GOOGLEFINANCE(""NSE:""&amp;D4172,""price"")"),"#N/A")</f>
        <v>#N/A</v>
      </c>
      <c r="M4172" s="9" t="e">
        <f t="shared" ca="1" si="82"/>
        <v>#VALUE!</v>
      </c>
      <c r="N4172" s="10" t="e">
        <f t="shared" ca="1" si="83"/>
        <v>#VALUE!</v>
      </c>
      <c r="O4172" s="7" t="str">
        <f ca="1">IFERROR(__xludf.DUMMYFUNCTION("GOOGLEFINANCE(""NSE:""&amp;D4172,""pe"")"),"#N/A")</f>
        <v>#N/A</v>
      </c>
      <c r="P4172" s="7" t="str">
        <f ca="1">IFERROR(__xludf.DUMMYFUNCTION("GOOGLEFINANCE(""NSE:""&amp;D4172,""EPS"")"),"#N/A")</f>
        <v>#N/A</v>
      </c>
      <c r="Q4172" s="7">
        <v>13.5</v>
      </c>
      <c r="R4172" s="7" t="str">
        <f ca="1">IFERROR(__xludf.DUMMYFUNCTION("IMPORTXML(E4172,""/html/body/main/div[3]/div[3]/div[2]/ul/li[7]/span[2]/span"")"),"Loading...")</f>
        <v>Loading...</v>
      </c>
      <c r="S4172" s="7" t="str">
        <f ca="1">IFERROR(__xludf.DUMMYFUNCTION("IMPORTXML(E4172,""/html/body/main/div[3]/div[3]/div[2]/ul/li[8]/span[2]/span"")"),"Loading...")</f>
        <v>Loading...</v>
      </c>
      <c r="T4172" s="4">
        <v>34.6</v>
      </c>
      <c r="U4172" s="4">
        <v>22.7</v>
      </c>
      <c r="V4172" s="4">
        <v>2.6</v>
      </c>
      <c r="W4172" s="4">
        <v>5.7</v>
      </c>
      <c r="X4172" s="4">
        <v>519.92999999999995</v>
      </c>
      <c r="Y4172" s="7" t="e">
        <f t="shared" ca="1" si="84"/>
        <v>#VALUE!</v>
      </c>
    </row>
    <row r="4173" spans="1:25" ht="15" x14ac:dyDescent="0.25">
      <c r="A4173" s="4">
        <v>4172</v>
      </c>
      <c r="C4173" s="41" t="s">
        <v>6542</v>
      </c>
      <c r="D4173" s="42"/>
      <c r="E4173" s="5" t="str">
        <f t="shared" si="80"/>
        <v>https://www.screener.in/company//consolidated/</v>
      </c>
      <c r="F4173" s="4">
        <v>443059</v>
      </c>
      <c r="G4173" s="4">
        <v>3832241897</v>
      </c>
      <c r="H4173" s="6" t="e">
        <f t="shared" ca="1" si="81"/>
        <v>#VALUE!</v>
      </c>
      <c r="I4173" s="7" t="str">
        <f ca="1">IFERROR(__xludf.DUMMYFUNCTION("IMPORTXML(E4173,""/html/body/main/div[3]/div[3]/div[2]/ul/li[5]/span[2]/span"")"),"Loading...")</f>
        <v>Loading...</v>
      </c>
      <c r="J4173" s="7" t="str">
        <f ca="1">IFERROR(__xludf.DUMMYFUNCTION("GOOGLEFINANCE(""NSE:""&amp;D4173,""marketcap"")"),"#N/A")</f>
        <v>#N/A</v>
      </c>
      <c r="K4173" s="7">
        <v>992.8</v>
      </c>
      <c r="L4173" s="8" t="str">
        <f ca="1">IFERROR(__xludf.DUMMYFUNCTION("GOOGLEFINANCE(""NSE:""&amp;D4173,""price"")"),"#N/A")</f>
        <v>#N/A</v>
      </c>
      <c r="M4173" s="9" t="e">
        <f t="shared" ca="1" si="82"/>
        <v>#VALUE!</v>
      </c>
      <c r="N4173" s="10" t="e">
        <f t="shared" ca="1" si="83"/>
        <v>#VALUE!</v>
      </c>
      <c r="O4173" s="7" t="str">
        <f ca="1">IFERROR(__xludf.DUMMYFUNCTION("GOOGLEFINANCE(""NSE:""&amp;D4173,""pe"")"),"#N/A")</f>
        <v>#N/A</v>
      </c>
      <c r="P4173" s="7" t="str">
        <f ca="1">IFERROR(__xludf.DUMMYFUNCTION("GOOGLEFINANCE(""NSE:""&amp;D4173,""EPS"")"),"#N/A")</f>
        <v>#N/A</v>
      </c>
      <c r="Q4173" s="7">
        <v>13.5</v>
      </c>
      <c r="R4173" s="7" t="str">
        <f ca="1">IFERROR(__xludf.DUMMYFUNCTION("IMPORTXML(E4173,""/html/body/main/div[3]/div[3]/div[2]/ul/li[7]/span[2]/span"")"),"Loading...")</f>
        <v>Loading...</v>
      </c>
      <c r="S4173" s="7" t="str">
        <f ca="1">IFERROR(__xludf.DUMMYFUNCTION("IMPORTXML(E4173,""/html/body/main/div[3]/div[3]/div[2]/ul/li[8]/span[2]/span"")"),"Loading...")</f>
        <v>Loading...</v>
      </c>
      <c r="T4173" s="4">
        <v>34.6</v>
      </c>
      <c r="U4173" s="4">
        <v>22.7</v>
      </c>
      <c r="V4173" s="4">
        <v>2.6</v>
      </c>
      <c r="W4173" s="4">
        <v>5.7</v>
      </c>
      <c r="X4173" s="4">
        <v>519.92999999999995</v>
      </c>
      <c r="Y4173" s="7" t="e">
        <f t="shared" ca="1" si="84"/>
        <v>#VALUE!</v>
      </c>
    </row>
    <row r="4174" spans="1:25" ht="15" x14ac:dyDescent="0.25">
      <c r="A4174" s="4">
        <v>4173</v>
      </c>
      <c r="C4174" s="41" t="s">
        <v>6543</v>
      </c>
      <c r="D4174" s="42"/>
      <c r="E4174" s="5" t="str">
        <f t="shared" si="80"/>
        <v>https://www.screener.in/company//consolidated/</v>
      </c>
      <c r="F4174" s="4">
        <v>443059</v>
      </c>
      <c r="G4174" s="4">
        <v>3832241897</v>
      </c>
      <c r="H4174" s="6" t="e">
        <f t="shared" ca="1" si="81"/>
        <v>#VALUE!</v>
      </c>
      <c r="I4174" s="7" t="str">
        <f ca="1">IFERROR(__xludf.DUMMYFUNCTION("IMPORTXML(E4174,""/html/body/main/div[3]/div[3]/div[2]/ul/li[5]/span[2]/span"")"),"Loading...")</f>
        <v>Loading...</v>
      </c>
      <c r="J4174" s="7" t="str">
        <f ca="1">IFERROR(__xludf.DUMMYFUNCTION("GOOGLEFINANCE(""NSE:""&amp;D4174,""marketcap"")"),"#N/A")</f>
        <v>#N/A</v>
      </c>
      <c r="K4174" s="7">
        <v>992.8</v>
      </c>
      <c r="L4174" s="8" t="str">
        <f ca="1">IFERROR(__xludf.DUMMYFUNCTION("GOOGLEFINANCE(""NSE:""&amp;D4174,""price"")"),"#N/A")</f>
        <v>#N/A</v>
      </c>
      <c r="M4174" s="9" t="e">
        <f t="shared" ca="1" si="82"/>
        <v>#VALUE!</v>
      </c>
      <c r="N4174" s="10" t="e">
        <f t="shared" ca="1" si="83"/>
        <v>#VALUE!</v>
      </c>
      <c r="O4174" s="7" t="str">
        <f ca="1">IFERROR(__xludf.DUMMYFUNCTION("GOOGLEFINANCE(""NSE:""&amp;D4174,""pe"")"),"#N/A")</f>
        <v>#N/A</v>
      </c>
      <c r="P4174" s="7" t="str">
        <f ca="1">IFERROR(__xludf.DUMMYFUNCTION("GOOGLEFINANCE(""NSE:""&amp;D4174,""EPS"")"),"#N/A")</f>
        <v>#N/A</v>
      </c>
      <c r="Q4174" s="7">
        <v>13.5</v>
      </c>
      <c r="R4174" s="7" t="str">
        <f ca="1">IFERROR(__xludf.DUMMYFUNCTION("IMPORTXML(E4174,""/html/body/main/div[3]/div[3]/div[2]/ul/li[7]/span[2]/span"")"),"Loading...")</f>
        <v>Loading...</v>
      </c>
      <c r="S4174" s="7" t="str">
        <f ca="1">IFERROR(__xludf.DUMMYFUNCTION("IMPORTXML(E4174,""/html/body/main/div[3]/div[3]/div[2]/ul/li[8]/span[2]/span"")"),"Loading...")</f>
        <v>Loading...</v>
      </c>
      <c r="T4174" s="4">
        <v>34.6</v>
      </c>
      <c r="U4174" s="4">
        <v>22.7</v>
      </c>
      <c r="V4174" s="4">
        <v>2.6</v>
      </c>
      <c r="W4174" s="4">
        <v>5.7</v>
      </c>
      <c r="X4174" s="4">
        <v>519.92999999999995</v>
      </c>
      <c r="Y4174" s="7" t="e">
        <f t="shared" ca="1" si="84"/>
        <v>#VALUE!</v>
      </c>
    </row>
    <row r="4175" spans="1:25" ht="15" x14ac:dyDescent="0.25">
      <c r="A4175" s="4">
        <v>4174</v>
      </c>
      <c r="C4175" s="41" t="s">
        <v>6544</v>
      </c>
      <c r="D4175" s="42"/>
      <c r="E4175" s="5" t="str">
        <f t="shared" si="80"/>
        <v>https://www.screener.in/company//consolidated/</v>
      </c>
      <c r="F4175" s="4">
        <v>443059</v>
      </c>
      <c r="G4175" s="4">
        <v>3832241897</v>
      </c>
      <c r="H4175" s="6" t="e">
        <f t="shared" ca="1" si="81"/>
        <v>#VALUE!</v>
      </c>
      <c r="I4175" s="7" t="str">
        <f ca="1">IFERROR(__xludf.DUMMYFUNCTION("IMPORTXML(E4175,""/html/body/main/div[3]/div[3]/div[2]/ul/li[5]/span[2]/span"")"),"Loading...")</f>
        <v>Loading...</v>
      </c>
      <c r="J4175" s="7" t="str">
        <f ca="1">IFERROR(__xludf.DUMMYFUNCTION("GOOGLEFINANCE(""NSE:""&amp;D4175,""marketcap"")"),"#N/A")</f>
        <v>#N/A</v>
      </c>
      <c r="K4175" s="7">
        <v>992.8</v>
      </c>
      <c r="L4175" s="8" t="str">
        <f ca="1">IFERROR(__xludf.DUMMYFUNCTION("GOOGLEFINANCE(""NSE:""&amp;D4175,""price"")"),"#N/A")</f>
        <v>#N/A</v>
      </c>
      <c r="M4175" s="9" t="e">
        <f t="shared" ca="1" si="82"/>
        <v>#VALUE!</v>
      </c>
      <c r="N4175" s="10" t="e">
        <f t="shared" ca="1" si="83"/>
        <v>#VALUE!</v>
      </c>
      <c r="O4175" s="7" t="str">
        <f ca="1">IFERROR(__xludf.DUMMYFUNCTION("GOOGLEFINANCE(""NSE:""&amp;D4175,""pe"")"),"#N/A")</f>
        <v>#N/A</v>
      </c>
      <c r="P4175" s="7" t="str">
        <f ca="1">IFERROR(__xludf.DUMMYFUNCTION("GOOGLEFINANCE(""NSE:""&amp;D4175,""EPS"")"),"#N/A")</f>
        <v>#N/A</v>
      </c>
      <c r="Q4175" s="7">
        <v>13.5</v>
      </c>
      <c r="R4175" s="7" t="str">
        <f ca="1">IFERROR(__xludf.DUMMYFUNCTION("IMPORTXML(E4175,""/html/body/main/div[3]/div[3]/div[2]/ul/li[7]/span[2]/span"")"),"Loading...")</f>
        <v>Loading...</v>
      </c>
      <c r="S4175" s="7" t="str">
        <f ca="1">IFERROR(__xludf.DUMMYFUNCTION("IMPORTXML(E4175,""/html/body/main/div[3]/div[3]/div[2]/ul/li[8]/span[2]/span"")"),"Loading...")</f>
        <v>Loading...</v>
      </c>
      <c r="T4175" s="4">
        <v>34.6</v>
      </c>
      <c r="U4175" s="4">
        <v>22.7</v>
      </c>
      <c r="V4175" s="4">
        <v>2.6</v>
      </c>
      <c r="W4175" s="4">
        <v>5.7</v>
      </c>
      <c r="X4175" s="4">
        <v>519.92999999999995</v>
      </c>
      <c r="Y4175" s="7" t="e">
        <f t="shared" ca="1" si="84"/>
        <v>#VALUE!</v>
      </c>
    </row>
    <row r="4176" spans="1:25" ht="15" x14ac:dyDescent="0.25">
      <c r="A4176" s="4">
        <v>4175</v>
      </c>
      <c r="C4176" s="41" t="s">
        <v>6545</v>
      </c>
      <c r="D4176" s="42"/>
      <c r="E4176" s="5" t="str">
        <f t="shared" si="80"/>
        <v>https://www.screener.in/company//consolidated/</v>
      </c>
      <c r="F4176" s="4">
        <v>443059</v>
      </c>
      <c r="G4176" s="4">
        <v>3832241897</v>
      </c>
      <c r="H4176" s="6" t="e">
        <f t="shared" ca="1" si="81"/>
        <v>#VALUE!</v>
      </c>
      <c r="I4176" s="7" t="str">
        <f ca="1">IFERROR(__xludf.DUMMYFUNCTION("IMPORTXML(E4176,""/html/body/main/div[3]/div[3]/div[2]/ul/li[5]/span[2]/span"")"),"Loading...")</f>
        <v>Loading...</v>
      </c>
      <c r="J4176" s="7" t="str">
        <f ca="1">IFERROR(__xludf.DUMMYFUNCTION("GOOGLEFINANCE(""NSE:""&amp;D4176,""marketcap"")"),"#N/A")</f>
        <v>#N/A</v>
      </c>
      <c r="K4176" s="7">
        <v>992.8</v>
      </c>
      <c r="L4176" s="8" t="str">
        <f ca="1">IFERROR(__xludf.DUMMYFUNCTION("GOOGLEFINANCE(""NSE:""&amp;D4176,""price"")"),"#N/A")</f>
        <v>#N/A</v>
      </c>
      <c r="M4176" s="9" t="e">
        <f t="shared" ca="1" si="82"/>
        <v>#VALUE!</v>
      </c>
      <c r="N4176" s="10" t="e">
        <f t="shared" ca="1" si="83"/>
        <v>#VALUE!</v>
      </c>
      <c r="O4176" s="7" t="str">
        <f ca="1">IFERROR(__xludf.DUMMYFUNCTION("GOOGLEFINANCE(""NSE:""&amp;D4176,""pe"")"),"#N/A")</f>
        <v>#N/A</v>
      </c>
      <c r="P4176" s="7" t="str">
        <f ca="1">IFERROR(__xludf.DUMMYFUNCTION("GOOGLEFINANCE(""NSE:""&amp;D4176,""EPS"")"),"#N/A")</f>
        <v>#N/A</v>
      </c>
      <c r="Q4176" s="7">
        <v>13.5</v>
      </c>
      <c r="R4176" s="7" t="str">
        <f ca="1">IFERROR(__xludf.DUMMYFUNCTION("IMPORTXML(E4176,""/html/body/main/div[3]/div[3]/div[2]/ul/li[7]/span[2]/span"")"),"Loading...")</f>
        <v>Loading...</v>
      </c>
      <c r="S4176" s="7" t="str">
        <f ca="1">IFERROR(__xludf.DUMMYFUNCTION("IMPORTXML(E4176,""/html/body/main/div[3]/div[3]/div[2]/ul/li[8]/span[2]/span"")"),"Loading...")</f>
        <v>Loading...</v>
      </c>
      <c r="T4176" s="4">
        <v>34.6</v>
      </c>
      <c r="U4176" s="4">
        <v>22.7</v>
      </c>
      <c r="V4176" s="4">
        <v>2.6</v>
      </c>
      <c r="W4176" s="4">
        <v>5.7</v>
      </c>
      <c r="X4176" s="4">
        <v>519.92999999999995</v>
      </c>
      <c r="Y4176" s="7" t="e">
        <f t="shared" ca="1" si="84"/>
        <v>#VALUE!</v>
      </c>
    </row>
    <row r="4177" spans="1:25" ht="15" x14ac:dyDescent="0.25">
      <c r="A4177" s="4">
        <v>4176</v>
      </c>
      <c r="C4177" s="41" t="s">
        <v>6546</v>
      </c>
      <c r="D4177" s="42"/>
      <c r="E4177" s="5" t="str">
        <f t="shared" si="80"/>
        <v>https://www.screener.in/company//consolidated/</v>
      </c>
      <c r="F4177" s="4">
        <v>443059</v>
      </c>
      <c r="G4177" s="4">
        <v>3832241897</v>
      </c>
      <c r="H4177" s="6" t="e">
        <f t="shared" ca="1" si="81"/>
        <v>#VALUE!</v>
      </c>
      <c r="I4177" s="7" t="str">
        <f ca="1">IFERROR(__xludf.DUMMYFUNCTION("IMPORTXML(E4177,""/html/body/main/div[3]/div[3]/div[2]/ul/li[5]/span[2]/span"")"),"Loading...")</f>
        <v>Loading...</v>
      </c>
      <c r="J4177" s="7" t="str">
        <f ca="1">IFERROR(__xludf.DUMMYFUNCTION("GOOGLEFINANCE(""NSE:""&amp;D4177,""marketcap"")"),"#N/A")</f>
        <v>#N/A</v>
      </c>
      <c r="K4177" s="7">
        <v>992.8</v>
      </c>
      <c r="L4177" s="8" t="str">
        <f ca="1">IFERROR(__xludf.DUMMYFUNCTION("GOOGLEFINANCE(""NSE:""&amp;D4177,""price"")"),"#N/A")</f>
        <v>#N/A</v>
      </c>
      <c r="M4177" s="9" t="e">
        <f t="shared" ca="1" si="82"/>
        <v>#VALUE!</v>
      </c>
      <c r="N4177" s="10" t="e">
        <f t="shared" ca="1" si="83"/>
        <v>#VALUE!</v>
      </c>
      <c r="O4177" s="7" t="str">
        <f ca="1">IFERROR(__xludf.DUMMYFUNCTION("GOOGLEFINANCE(""NSE:""&amp;D4177,""pe"")"),"#N/A")</f>
        <v>#N/A</v>
      </c>
      <c r="P4177" s="7" t="str">
        <f ca="1">IFERROR(__xludf.DUMMYFUNCTION("GOOGLEFINANCE(""NSE:""&amp;D4177,""EPS"")"),"#N/A")</f>
        <v>#N/A</v>
      </c>
      <c r="Q4177" s="7">
        <v>13.5</v>
      </c>
      <c r="R4177" s="7" t="str">
        <f ca="1">IFERROR(__xludf.DUMMYFUNCTION("IMPORTXML(E4177,""/html/body/main/div[3]/div[3]/div[2]/ul/li[7]/span[2]/span"")"),"Loading...")</f>
        <v>Loading...</v>
      </c>
      <c r="S4177" s="7" t="str">
        <f ca="1">IFERROR(__xludf.DUMMYFUNCTION("IMPORTXML(E4177,""/html/body/main/div[3]/div[3]/div[2]/ul/li[8]/span[2]/span"")"),"Loading...")</f>
        <v>Loading...</v>
      </c>
      <c r="T4177" s="4">
        <v>34.6</v>
      </c>
      <c r="U4177" s="4">
        <v>22.7</v>
      </c>
      <c r="V4177" s="4">
        <v>2.6</v>
      </c>
      <c r="W4177" s="4">
        <v>5.7</v>
      </c>
      <c r="X4177" s="4">
        <v>519.92999999999995</v>
      </c>
      <c r="Y4177" s="7" t="e">
        <f t="shared" ca="1" si="84"/>
        <v>#VALUE!</v>
      </c>
    </row>
    <row r="4178" spans="1:25" ht="15" x14ac:dyDescent="0.25">
      <c r="A4178" s="4">
        <v>4177</v>
      </c>
      <c r="C4178" s="41" t="s">
        <v>6547</v>
      </c>
      <c r="D4178" s="42"/>
      <c r="E4178" s="5" t="str">
        <f t="shared" si="80"/>
        <v>https://www.screener.in/company//consolidated/</v>
      </c>
      <c r="F4178" s="4">
        <v>443059</v>
      </c>
      <c r="G4178" s="4">
        <v>3832241897</v>
      </c>
      <c r="H4178" s="6" t="e">
        <f t="shared" ca="1" si="81"/>
        <v>#VALUE!</v>
      </c>
      <c r="I4178" s="7" t="str">
        <f ca="1">IFERROR(__xludf.DUMMYFUNCTION("IMPORTXML(E4178,""/html/body/main/div[3]/div[3]/div[2]/ul/li[5]/span[2]/span"")"),"Loading...")</f>
        <v>Loading...</v>
      </c>
      <c r="J4178" s="7" t="str">
        <f ca="1">IFERROR(__xludf.DUMMYFUNCTION("GOOGLEFINANCE(""NSE:""&amp;D4178,""marketcap"")"),"#N/A")</f>
        <v>#N/A</v>
      </c>
      <c r="K4178" s="7">
        <v>992.8</v>
      </c>
      <c r="L4178" s="8" t="str">
        <f ca="1">IFERROR(__xludf.DUMMYFUNCTION("GOOGLEFINANCE(""NSE:""&amp;D4178,""price"")"),"#N/A")</f>
        <v>#N/A</v>
      </c>
      <c r="M4178" s="9" t="e">
        <f t="shared" ca="1" si="82"/>
        <v>#VALUE!</v>
      </c>
      <c r="N4178" s="10" t="e">
        <f t="shared" ca="1" si="83"/>
        <v>#VALUE!</v>
      </c>
      <c r="O4178" s="7" t="str">
        <f ca="1">IFERROR(__xludf.DUMMYFUNCTION("GOOGLEFINANCE(""NSE:""&amp;D4178,""pe"")"),"#N/A")</f>
        <v>#N/A</v>
      </c>
      <c r="P4178" s="7" t="str">
        <f ca="1">IFERROR(__xludf.DUMMYFUNCTION("GOOGLEFINANCE(""NSE:""&amp;D4178,""EPS"")"),"#N/A")</f>
        <v>#N/A</v>
      </c>
      <c r="Q4178" s="7">
        <v>13.5</v>
      </c>
      <c r="R4178" s="7" t="str">
        <f ca="1">IFERROR(__xludf.DUMMYFUNCTION("IMPORTXML(E4178,""/html/body/main/div[3]/div[3]/div[2]/ul/li[7]/span[2]/span"")"),"Loading...")</f>
        <v>Loading...</v>
      </c>
      <c r="S4178" s="7" t="str">
        <f ca="1">IFERROR(__xludf.DUMMYFUNCTION("IMPORTXML(E4178,""/html/body/main/div[3]/div[3]/div[2]/ul/li[8]/span[2]/span"")"),"Loading...")</f>
        <v>Loading...</v>
      </c>
      <c r="T4178" s="4">
        <v>34.6</v>
      </c>
      <c r="U4178" s="4">
        <v>22.7</v>
      </c>
      <c r="V4178" s="4">
        <v>2.6</v>
      </c>
      <c r="W4178" s="4">
        <v>5.7</v>
      </c>
      <c r="X4178" s="4">
        <v>519.92999999999995</v>
      </c>
      <c r="Y4178" s="7" t="e">
        <f t="shared" ca="1" si="84"/>
        <v>#VALUE!</v>
      </c>
    </row>
    <row r="4179" spans="1:25" ht="15" x14ac:dyDescent="0.25">
      <c r="A4179" s="4">
        <v>4178</v>
      </c>
      <c r="C4179" s="41" t="s">
        <v>6548</v>
      </c>
      <c r="D4179" s="42"/>
      <c r="E4179" s="5" t="str">
        <f t="shared" si="80"/>
        <v>https://www.screener.in/company//consolidated/</v>
      </c>
      <c r="F4179" s="4">
        <v>443059</v>
      </c>
      <c r="G4179" s="4">
        <v>3832241897</v>
      </c>
      <c r="H4179" s="6" t="e">
        <f t="shared" ca="1" si="81"/>
        <v>#VALUE!</v>
      </c>
      <c r="I4179" s="7" t="str">
        <f ca="1">IFERROR(__xludf.DUMMYFUNCTION("IMPORTXML(E4179,""/html/body/main/div[3]/div[3]/div[2]/ul/li[5]/span[2]/span"")"),"Loading...")</f>
        <v>Loading...</v>
      </c>
      <c r="J4179" s="7" t="str">
        <f ca="1">IFERROR(__xludf.DUMMYFUNCTION("GOOGLEFINANCE(""NSE:""&amp;D4179,""marketcap"")"),"#N/A")</f>
        <v>#N/A</v>
      </c>
      <c r="K4179" s="7">
        <v>992.8</v>
      </c>
      <c r="L4179" s="8" t="str">
        <f ca="1">IFERROR(__xludf.DUMMYFUNCTION("GOOGLEFINANCE(""NSE:""&amp;D4179,""price"")"),"#N/A")</f>
        <v>#N/A</v>
      </c>
      <c r="M4179" s="9" t="e">
        <f t="shared" ca="1" si="82"/>
        <v>#VALUE!</v>
      </c>
      <c r="N4179" s="10" t="e">
        <f t="shared" ca="1" si="83"/>
        <v>#VALUE!</v>
      </c>
      <c r="O4179" s="7" t="str">
        <f ca="1">IFERROR(__xludf.DUMMYFUNCTION("GOOGLEFINANCE(""NSE:""&amp;D4179,""pe"")"),"#N/A")</f>
        <v>#N/A</v>
      </c>
      <c r="P4179" s="7" t="str">
        <f ca="1">IFERROR(__xludf.DUMMYFUNCTION("GOOGLEFINANCE(""NSE:""&amp;D4179,""EPS"")"),"#N/A")</f>
        <v>#N/A</v>
      </c>
      <c r="Q4179" s="7">
        <v>13.5</v>
      </c>
      <c r="R4179" s="7" t="str">
        <f ca="1">IFERROR(__xludf.DUMMYFUNCTION("IMPORTXML(E4179,""/html/body/main/div[3]/div[3]/div[2]/ul/li[7]/span[2]/span"")"),"Loading...")</f>
        <v>Loading...</v>
      </c>
      <c r="S4179" s="7" t="str">
        <f ca="1">IFERROR(__xludf.DUMMYFUNCTION("IMPORTXML(E4179,""/html/body/main/div[3]/div[3]/div[2]/ul/li[8]/span[2]/span"")"),"Loading...")</f>
        <v>Loading...</v>
      </c>
      <c r="T4179" s="4">
        <v>34.6</v>
      </c>
      <c r="U4179" s="4">
        <v>22.7</v>
      </c>
      <c r="V4179" s="4">
        <v>2.6</v>
      </c>
      <c r="W4179" s="4">
        <v>5.7</v>
      </c>
      <c r="X4179" s="4">
        <v>519.92999999999995</v>
      </c>
      <c r="Y4179" s="7" t="e">
        <f t="shared" ca="1" si="84"/>
        <v>#VALUE!</v>
      </c>
    </row>
    <row r="4180" spans="1:25" ht="15" x14ac:dyDescent="0.25">
      <c r="A4180" s="4">
        <v>4179</v>
      </c>
      <c r="C4180" s="41" t="s">
        <v>6549</v>
      </c>
      <c r="D4180" s="42"/>
      <c r="E4180" s="5" t="str">
        <f t="shared" si="80"/>
        <v>https://www.screener.in/company//consolidated/</v>
      </c>
      <c r="F4180" s="4">
        <v>443059</v>
      </c>
      <c r="G4180" s="4">
        <v>3832241897</v>
      </c>
      <c r="H4180" s="6" t="e">
        <f t="shared" ca="1" si="81"/>
        <v>#VALUE!</v>
      </c>
      <c r="I4180" s="7" t="str">
        <f ca="1">IFERROR(__xludf.DUMMYFUNCTION("IMPORTXML(E4180,""/html/body/main/div[3]/div[3]/div[2]/ul/li[5]/span[2]/span"")"),"Loading...")</f>
        <v>Loading...</v>
      </c>
      <c r="J4180" s="7" t="str">
        <f ca="1">IFERROR(__xludf.DUMMYFUNCTION("GOOGLEFINANCE(""NSE:""&amp;D4180,""marketcap"")"),"#N/A")</f>
        <v>#N/A</v>
      </c>
      <c r="K4180" s="7">
        <v>992.8</v>
      </c>
      <c r="L4180" s="8" t="str">
        <f ca="1">IFERROR(__xludf.DUMMYFUNCTION("GOOGLEFINANCE(""NSE:""&amp;D4180,""price"")"),"#N/A")</f>
        <v>#N/A</v>
      </c>
      <c r="M4180" s="9" t="e">
        <f t="shared" ca="1" si="82"/>
        <v>#VALUE!</v>
      </c>
      <c r="N4180" s="10" t="e">
        <f t="shared" ca="1" si="83"/>
        <v>#VALUE!</v>
      </c>
      <c r="O4180" s="7" t="str">
        <f ca="1">IFERROR(__xludf.DUMMYFUNCTION("GOOGLEFINANCE(""NSE:""&amp;D4180,""pe"")"),"#N/A")</f>
        <v>#N/A</v>
      </c>
      <c r="P4180" s="7" t="str">
        <f ca="1">IFERROR(__xludf.DUMMYFUNCTION("GOOGLEFINANCE(""NSE:""&amp;D4180,""EPS"")"),"#N/A")</f>
        <v>#N/A</v>
      </c>
      <c r="Q4180" s="7">
        <v>13.5</v>
      </c>
      <c r="R4180" s="7" t="str">
        <f ca="1">IFERROR(__xludf.DUMMYFUNCTION("IMPORTXML(E4180,""/html/body/main/div[3]/div[3]/div[2]/ul/li[7]/span[2]/span"")"),"Loading...")</f>
        <v>Loading...</v>
      </c>
      <c r="S4180" s="7" t="str">
        <f ca="1">IFERROR(__xludf.DUMMYFUNCTION("IMPORTXML(E4180,""/html/body/main/div[3]/div[3]/div[2]/ul/li[8]/span[2]/span"")"),"Loading...")</f>
        <v>Loading...</v>
      </c>
      <c r="T4180" s="4">
        <v>34.6</v>
      </c>
      <c r="U4180" s="4">
        <v>22.7</v>
      </c>
      <c r="V4180" s="4">
        <v>2.6</v>
      </c>
      <c r="W4180" s="4">
        <v>5.7</v>
      </c>
      <c r="X4180" s="4">
        <v>519.92999999999995</v>
      </c>
      <c r="Y4180" s="7" t="e">
        <f t="shared" ca="1" si="84"/>
        <v>#VALUE!</v>
      </c>
    </row>
    <row r="4181" spans="1:25" ht="15" x14ac:dyDescent="0.25">
      <c r="A4181" s="4">
        <v>4180</v>
      </c>
      <c r="C4181" s="41" t="s">
        <v>6550</v>
      </c>
      <c r="D4181" s="42"/>
      <c r="E4181" s="5" t="str">
        <f t="shared" si="80"/>
        <v>https://www.screener.in/company//consolidated/</v>
      </c>
      <c r="F4181" s="4">
        <v>443059</v>
      </c>
      <c r="G4181" s="4">
        <v>3832241897</v>
      </c>
      <c r="H4181" s="6" t="e">
        <f t="shared" ca="1" si="81"/>
        <v>#VALUE!</v>
      </c>
      <c r="I4181" s="7" t="str">
        <f ca="1">IFERROR(__xludf.DUMMYFUNCTION("IMPORTXML(E4181,""/html/body/main/div[3]/div[3]/div[2]/ul/li[5]/span[2]/span"")"),"Loading...")</f>
        <v>Loading...</v>
      </c>
      <c r="J4181" s="7" t="str">
        <f ca="1">IFERROR(__xludf.DUMMYFUNCTION("GOOGLEFINANCE(""NSE:""&amp;D4181,""marketcap"")"),"#N/A")</f>
        <v>#N/A</v>
      </c>
      <c r="K4181" s="7">
        <v>992.8</v>
      </c>
      <c r="L4181" s="8" t="str">
        <f ca="1">IFERROR(__xludf.DUMMYFUNCTION("GOOGLEFINANCE(""NSE:""&amp;D4181,""price"")"),"#N/A")</f>
        <v>#N/A</v>
      </c>
      <c r="M4181" s="9" t="e">
        <f t="shared" ca="1" si="82"/>
        <v>#VALUE!</v>
      </c>
      <c r="N4181" s="10" t="e">
        <f t="shared" ca="1" si="83"/>
        <v>#VALUE!</v>
      </c>
      <c r="O4181" s="7" t="str">
        <f ca="1">IFERROR(__xludf.DUMMYFUNCTION("GOOGLEFINANCE(""NSE:""&amp;D4181,""pe"")"),"#N/A")</f>
        <v>#N/A</v>
      </c>
      <c r="P4181" s="7" t="str">
        <f ca="1">IFERROR(__xludf.DUMMYFUNCTION("GOOGLEFINANCE(""NSE:""&amp;D4181,""EPS"")"),"#N/A")</f>
        <v>#N/A</v>
      </c>
      <c r="Q4181" s="7">
        <v>13.5</v>
      </c>
      <c r="R4181" s="7" t="str">
        <f ca="1">IFERROR(__xludf.DUMMYFUNCTION("IMPORTXML(E4181,""/html/body/main/div[3]/div[3]/div[2]/ul/li[7]/span[2]/span"")"),"Loading...")</f>
        <v>Loading...</v>
      </c>
      <c r="S4181" s="7" t="str">
        <f ca="1">IFERROR(__xludf.DUMMYFUNCTION("IMPORTXML(E4181,""/html/body/main/div[3]/div[3]/div[2]/ul/li[8]/span[2]/span"")"),"Loading...")</f>
        <v>Loading...</v>
      </c>
      <c r="T4181" s="4">
        <v>34.6</v>
      </c>
      <c r="U4181" s="4">
        <v>22.7</v>
      </c>
      <c r="V4181" s="4">
        <v>2.6</v>
      </c>
      <c r="W4181" s="4">
        <v>5.7</v>
      </c>
      <c r="X4181" s="4">
        <v>519.92999999999995</v>
      </c>
      <c r="Y4181" s="7" t="e">
        <f t="shared" ca="1" si="84"/>
        <v>#VALUE!</v>
      </c>
    </row>
    <row r="4182" spans="1:25" ht="15" x14ac:dyDescent="0.25">
      <c r="A4182" s="4">
        <v>4181</v>
      </c>
      <c r="C4182" s="41" t="s">
        <v>6551</v>
      </c>
      <c r="D4182" s="42"/>
      <c r="E4182" s="5" t="str">
        <f t="shared" si="80"/>
        <v>https://www.screener.in/company//consolidated/</v>
      </c>
      <c r="F4182" s="4">
        <v>443059</v>
      </c>
      <c r="G4182" s="4">
        <v>3832241897</v>
      </c>
      <c r="H4182" s="6" t="e">
        <f t="shared" ca="1" si="81"/>
        <v>#VALUE!</v>
      </c>
      <c r="I4182" s="7" t="str">
        <f ca="1">IFERROR(__xludf.DUMMYFUNCTION("IMPORTXML(E4182,""/html/body/main/div[3]/div[3]/div[2]/ul/li[5]/span[2]/span"")"),"Loading...")</f>
        <v>Loading...</v>
      </c>
      <c r="J4182" s="7" t="str">
        <f ca="1">IFERROR(__xludf.DUMMYFUNCTION("GOOGLEFINANCE(""NSE:""&amp;D4182,""marketcap"")"),"#N/A")</f>
        <v>#N/A</v>
      </c>
      <c r="K4182" s="7">
        <v>992.8</v>
      </c>
      <c r="L4182" s="8" t="str">
        <f ca="1">IFERROR(__xludf.DUMMYFUNCTION("GOOGLEFINANCE(""NSE:""&amp;D4182,""price"")"),"#N/A")</f>
        <v>#N/A</v>
      </c>
      <c r="M4182" s="9" t="e">
        <f t="shared" ca="1" si="82"/>
        <v>#VALUE!</v>
      </c>
      <c r="N4182" s="10" t="e">
        <f t="shared" ca="1" si="83"/>
        <v>#VALUE!</v>
      </c>
      <c r="O4182" s="7" t="str">
        <f ca="1">IFERROR(__xludf.DUMMYFUNCTION("GOOGLEFINANCE(""NSE:""&amp;D4182,""pe"")"),"#N/A")</f>
        <v>#N/A</v>
      </c>
      <c r="P4182" s="7" t="str">
        <f ca="1">IFERROR(__xludf.DUMMYFUNCTION("GOOGLEFINANCE(""NSE:""&amp;D4182,""EPS"")"),"#N/A")</f>
        <v>#N/A</v>
      </c>
      <c r="Q4182" s="7">
        <v>13.5</v>
      </c>
      <c r="R4182" s="7" t="str">
        <f ca="1">IFERROR(__xludf.DUMMYFUNCTION("IMPORTXML(E4182,""/html/body/main/div[3]/div[3]/div[2]/ul/li[7]/span[2]/span"")"),"Loading...")</f>
        <v>Loading...</v>
      </c>
      <c r="S4182" s="7" t="str">
        <f ca="1">IFERROR(__xludf.DUMMYFUNCTION("IMPORTXML(E4182,""/html/body/main/div[3]/div[3]/div[2]/ul/li[8]/span[2]/span"")"),"Loading...")</f>
        <v>Loading...</v>
      </c>
      <c r="T4182" s="4">
        <v>34.6</v>
      </c>
      <c r="U4182" s="4">
        <v>22.7</v>
      </c>
      <c r="V4182" s="4">
        <v>2.6</v>
      </c>
      <c r="W4182" s="4">
        <v>5.7</v>
      </c>
      <c r="X4182" s="4">
        <v>519.92999999999995</v>
      </c>
      <c r="Y4182" s="7" t="e">
        <f t="shared" ca="1" si="84"/>
        <v>#VALUE!</v>
      </c>
    </row>
    <row r="4183" spans="1:25" ht="15" x14ac:dyDescent="0.25">
      <c r="A4183" s="4">
        <v>4182</v>
      </c>
      <c r="C4183" s="41" t="s">
        <v>6552</v>
      </c>
      <c r="D4183" s="42"/>
      <c r="E4183" s="5" t="str">
        <f t="shared" si="80"/>
        <v>https://www.screener.in/company//consolidated/</v>
      </c>
      <c r="F4183" s="4">
        <v>443059</v>
      </c>
      <c r="G4183" s="4">
        <v>3832241897</v>
      </c>
      <c r="H4183" s="6" t="e">
        <f t="shared" ca="1" si="81"/>
        <v>#VALUE!</v>
      </c>
      <c r="I4183" s="7" t="str">
        <f ca="1">IFERROR(__xludf.DUMMYFUNCTION("IMPORTXML(E4183,""/html/body/main/div[3]/div[3]/div[2]/ul/li[5]/span[2]/span"")"),"Loading...")</f>
        <v>Loading...</v>
      </c>
      <c r="J4183" s="7" t="str">
        <f ca="1">IFERROR(__xludf.DUMMYFUNCTION("GOOGLEFINANCE(""NSE:""&amp;D4183,""marketcap"")"),"#N/A")</f>
        <v>#N/A</v>
      </c>
      <c r="K4183" s="7">
        <v>992.8</v>
      </c>
      <c r="L4183" s="8" t="str">
        <f ca="1">IFERROR(__xludf.DUMMYFUNCTION("GOOGLEFINANCE(""NSE:""&amp;D4183,""price"")"),"#N/A")</f>
        <v>#N/A</v>
      </c>
      <c r="M4183" s="9" t="e">
        <f t="shared" ca="1" si="82"/>
        <v>#VALUE!</v>
      </c>
      <c r="N4183" s="10" t="e">
        <f t="shared" ca="1" si="83"/>
        <v>#VALUE!</v>
      </c>
      <c r="O4183" s="7" t="str">
        <f ca="1">IFERROR(__xludf.DUMMYFUNCTION("GOOGLEFINANCE(""NSE:""&amp;D4183,""pe"")"),"#N/A")</f>
        <v>#N/A</v>
      </c>
      <c r="P4183" s="7" t="str">
        <f ca="1">IFERROR(__xludf.DUMMYFUNCTION("GOOGLEFINANCE(""NSE:""&amp;D4183,""EPS"")"),"#N/A")</f>
        <v>#N/A</v>
      </c>
      <c r="Q4183" s="7">
        <v>13.5</v>
      </c>
      <c r="R4183" s="7" t="str">
        <f ca="1">IFERROR(__xludf.DUMMYFUNCTION("IMPORTXML(E4183,""/html/body/main/div[3]/div[3]/div[2]/ul/li[7]/span[2]/span"")"),"Loading...")</f>
        <v>Loading...</v>
      </c>
      <c r="S4183" s="7" t="str">
        <f ca="1">IFERROR(__xludf.DUMMYFUNCTION("IMPORTXML(E4183,""/html/body/main/div[3]/div[3]/div[2]/ul/li[8]/span[2]/span"")"),"Loading...")</f>
        <v>Loading...</v>
      </c>
      <c r="T4183" s="4">
        <v>34.6</v>
      </c>
      <c r="U4183" s="4">
        <v>22.7</v>
      </c>
      <c r="V4183" s="4">
        <v>2.6</v>
      </c>
      <c r="W4183" s="4">
        <v>5.7</v>
      </c>
      <c r="X4183" s="4">
        <v>519.92999999999995</v>
      </c>
      <c r="Y4183" s="7" t="e">
        <f t="shared" ca="1" si="84"/>
        <v>#VALUE!</v>
      </c>
    </row>
    <row r="4184" spans="1:25" ht="15" x14ac:dyDescent="0.25">
      <c r="A4184" s="4">
        <v>4183</v>
      </c>
      <c r="C4184" s="41" t="s">
        <v>6553</v>
      </c>
      <c r="D4184" s="42"/>
      <c r="E4184" s="5" t="str">
        <f t="shared" si="80"/>
        <v>https://www.screener.in/company//consolidated/</v>
      </c>
      <c r="F4184" s="4">
        <v>443059</v>
      </c>
      <c r="G4184" s="4">
        <v>3832241897</v>
      </c>
      <c r="H4184" s="6" t="e">
        <f t="shared" ca="1" si="81"/>
        <v>#VALUE!</v>
      </c>
      <c r="I4184" s="7" t="str">
        <f ca="1">IFERROR(__xludf.DUMMYFUNCTION("IMPORTXML(E4184,""/html/body/main/div[3]/div[3]/div[2]/ul/li[5]/span[2]/span"")"),"Loading...")</f>
        <v>Loading...</v>
      </c>
      <c r="J4184" s="7" t="str">
        <f ca="1">IFERROR(__xludf.DUMMYFUNCTION("GOOGLEFINANCE(""NSE:""&amp;D4184,""marketcap"")"),"#N/A")</f>
        <v>#N/A</v>
      </c>
      <c r="K4184" s="7">
        <v>992.8</v>
      </c>
      <c r="L4184" s="8" t="str">
        <f ca="1">IFERROR(__xludf.DUMMYFUNCTION("GOOGLEFINANCE(""NSE:""&amp;D4184,""price"")"),"#N/A")</f>
        <v>#N/A</v>
      </c>
      <c r="M4184" s="9" t="e">
        <f t="shared" ca="1" si="82"/>
        <v>#VALUE!</v>
      </c>
      <c r="N4184" s="10" t="e">
        <f t="shared" ca="1" si="83"/>
        <v>#VALUE!</v>
      </c>
      <c r="O4184" s="7" t="str">
        <f ca="1">IFERROR(__xludf.DUMMYFUNCTION("GOOGLEFINANCE(""NSE:""&amp;D4184,""pe"")"),"#N/A")</f>
        <v>#N/A</v>
      </c>
      <c r="P4184" s="7" t="str">
        <f ca="1">IFERROR(__xludf.DUMMYFUNCTION("GOOGLEFINANCE(""NSE:""&amp;D4184,""EPS"")"),"#N/A")</f>
        <v>#N/A</v>
      </c>
      <c r="Q4184" s="7">
        <v>13.5</v>
      </c>
      <c r="R4184" s="7" t="str">
        <f ca="1">IFERROR(__xludf.DUMMYFUNCTION("IMPORTXML(E4184,""/html/body/main/div[3]/div[3]/div[2]/ul/li[7]/span[2]/span"")"),"Loading...")</f>
        <v>Loading...</v>
      </c>
      <c r="S4184" s="7" t="str">
        <f ca="1">IFERROR(__xludf.DUMMYFUNCTION("IMPORTXML(E4184,""/html/body/main/div[3]/div[3]/div[2]/ul/li[8]/span[2]/span"")"),"Loading...")</f>
        <v>Loading...</v>
      </c>
      <c r="T4184" s="4">
        <v>34.6</v>
      </c>
      <c r="U4184" s="4">
        <v>22.7</v>
      </c>
      <c r="V4184" s="4">
        <v>2.6</v>
      </c>
      <c r="W4184" s="4">
        <v>5.7</v>
      </c>
      <c r="X4184" s="4">
        <v>519.92999999999995</v>
      </c>
      <c r="Y4184" s="7" t="e">
        <f t="shared" ca="1" si="84"/>
        <v>#VALUE!</v>
      </c>
    </row>
    <row r="4185" spans="1:25" ht="15" x14ac:dyDescent="0.25">
      <c r="A4185" s="4">
        <v>4184</v>
      </c>
      <c r="C4185" s="41" t="s">
        <v>6554</v>
      </c>
      <c r="D4185" s="42"/>
      <c r="E4185" s="5" t="str">
        <f t="shared" si="80"/>
        <v>https://www.screener.in/company//consolidated/</v>
      </c>
      <c r="F4185" s="4">
        <v>443059</v>
      </c>
      <c r="G4185" s="4">
        <v>3832241897</v>
      </c>
      <c r="H4185" s="6" t="e">
        <f t="shared" ca="1" si="81"/>
        <v>#VALUE!</v>
      </c>
      <c r="I4185" s="7" t="str">
        <f ca="1">IFERROR(__xludf.DUMMYFUNCTION("IMPORTXML(E4185,""/html/body/main/div[3]/div[3]/div[2]/ul/li[5]/span[2]/span"")"),"Loading...")</f>
        <v>Loading...</v>
      </c>
      <c r="J4185" s="7" t="str">
        <f ca="1">IFERROR(__xludf.DUMMYFUNCTION("GOOGLEFINANCE(""NSE:""&amp;D4185,""marketcap"")"),"#N/A")</f>
        <v>#N/A</v>
      </c>
      <c r="K4185" s="7">
        <v>992.8</v>
      </c>
      <c r="L4185" s="8" t="str">
        <f ca="1">IFERROR(__xludf.DUMMYFUNCTION("GOOGLEFINANCE(""NSE:""&amp;D4185,""price"")"),"#N/A")</f>
        <v>#N/A</v>
      </c>
      <c r="M4185" s="9" t="e">
        <f t="shared" ca="1" si="82"/>
        <v>#VALUE!</v>
      </c>
      <c r="N4185" s="10" t="e">
        <f t="shared" ca="1" si="83"/>
        <v>#VALUE!</v>
      </c>
      <c r="O4185" s="7" t="str">
        <f ca="1">IFERROR(__xludf.DUMMYFUNCTION("GOOGLEFINANCE(""NSE:""&amp;D4185,""pe"")"),"#N/A")</f>
        <v>#N/A</v>
      </c>
      <c r="P4185" s="7" t="str">
        <f ca="1">IFERROR(__xludf.DUMMYFUNCTION("GOOGLEFINANCE(""NSE:""&amp;D4185,""EPS"")"),"#N/A")</f>
        <v>#N/A</v>
      </c>
      <c r="Q4185" s="7">
        <v>13.5</v>
      </c>
      <c r="R4185" s="7" t="str">
        <f ca="1">IFERROR(__xludf.DUMMYFUNCTION("IMPORTXML(E4185,""/html/body/main/div[3]/div[3]/div[2]/ul/li[7]/span[2]/span"")"),"Loading...")</f>
        <v>Loading...</v>
      </c>
      <c r="S4185" s="7" t="str">
        <f ca="1">IFERROR(__xludf.DUMMYFUNCTION("IMPORTXML(E4185,""/html/body/main/div[3]/div[3]/div[2]/ul/li[8]/span[2]/span"")"),"Loading...")</f>
        <v>Loading...</v>
      </c>
      <c r="T4185" s="4">
        <v>34.6</v>
      </c>
      <c r="U4185" s="4">
        <v>22.7</v>
      </c>
      <c r="V4185" s="4">
        <v>2.6</v>
      </c>
      <c r="W4185" s="4">
        <v>5.7</v>
      </c>
      <c r="X4185" s="4">
        <v>519.92999999999995</v>
      </c>
      <c r="Y4185" s="7" t="e">
        <f t="shared" ca="1" si="84"/>
        <v>#VALUE!</v>
      </c>
    </row>
    <row r="4186" spans="1:25" ht="15" x14ac:dyDescent="0.25">
      <c r="A4186" s="4">
        <v>4185</v>
      </c>
      <c r="C4186" s="41" t="s">
        <v>6555</v>
      </c>
      <c r="D4186" s="42"/>
      <c r="E4186" s="5" t="str">
        <f t="shared" si="80"/>
        <v>https://www.screener.in/company//consolidated/</v>
      </c>
      <c r="F4186" s="4">
        <v>443059</v>
      </c>
      <c r="G4186" s="4">
        <v>3832241897</v>
      </c>
      <c r="H4186" s="6" t="e">
        <f t="shared" ca="1" si="81"/>
        <v>#VALUE!</v>
      </c>
      <c r="I4186" s="7" t="str">
        <f ca="1">IFERROR(__xludf.DUMMYFUNCTION("IMPORTXML(E4186,""/html/body/main/div[3]/div[3]/div[2]/ul/li[5]/span[2]/span"")"),"Loading...")</f>
        <v>Loading...</v>
      </c>
      <c r="J4186" s="7" t="str">
        <f ca="1">IFERROR(__xludf.DUMMYFUNCTION("GOOGLEFINANCE(""NSE:""&amp;D4186,""marketcap"")"),"#N/A")</f>
        <v>#N/A</v>
      </c>
      <c r="K4186" s="7">
        <v>992.8</v>
      </c>
      <c r="L4186" s="8" t="str">
        <f ca="1">IFERROR(__xludf.DUMMYFUNCTION("GOOGLEFINANCE(""NSE:""&amp;D4186,""price"")"),"#N/A")</f>
        <v>#N/A</v>
      </c>
      <c r="M4186" s="9" t="e">
        <f t="shared" ca="1" si="82"/>
        <v>#VALUE!</v>
      </c>
      <c r="N4186" s="10" t="e">
        <f t="shared" ca="1" si="83"/>
        <v>#VALUE!</v>
      </c>
      <c r="O4186" s="7" t="str">
        <f ca="1">IFERROR(__xludf.DUMMYFUNCTION("GOOGLEFINANCE(""NSE:""&amp;D4186,""pe"")"),"#N/A")</f>
        <v>#N/A</v>
      </c>
      <c r="P4186" s="7" t="str">
        <f ca="1">IFERROR(__xludf.DUMMYFUNCTION("GOOGLEFINANCE(""NSE:""&amp;D4186,""EPS"")"),"#N/A")</f>
        <v>#N/A</v>
      </c>
      <c r="Q4186" s="7">
        <v>13.5</v>
      </c>
      <c r="R4186" s="7" t="str">
        <f ca="1">IFERROR(__xludf.DUMMYFUNCTION("IMPORTXML(E4186,""/html/body/main/div[3]/div[3]/div[2]/ul/li[7]/span[2]/span"")"),"Loading...")</f>
        <v>Loading...</v>
      </c>
      <c r="S4186" s="7" t="str">
        <f ca="1">IFERROR(__xludf.DUMMYFUNCTION("IMPORTXML(E4186,""/html/body/main/div[3]/div[3]/div[2]/ul/li[8]/span[2]/span"")"),"Loading...")</f>
        <v>Loading...</v>
      </c>
      <c r="T4186" s="4">
        <v>34.6</v>
      </c>
      <c r="U4186" s="4">
        <v>22.7</v>
      </c>
      <c r="V4186" s="4">
        <v>2.6</v>
      </c>
      <c r="W4186" s="4">
        <v>5.7</v>
      </c>
      <c r="X4186" s="4">
        <v>519.92999999999995</v>
      </c>
      <c r="Y4186" s="7" t="e">
        <f t="shared" ca="1" si="84"/>
        <v>#VALUE!</v>
      </c>
    </row>
    <row r="4187" spans="1:25" ht="15" x14ac:dyDescent="0.25">
      <c r="A4187" s="4">
        <v>4186</v>
      </c>
      <c r="C4187" s="41" t="s">
        <v>6556</v>
      </c>
      <c r="D4187" s="42"/>
      <c r="E4187" s="5" t="str">
        <f t="shared" si="80"/>
        <v>https://www.screener.in/company//consolidated/</v>
      </c>
      <c r="F4187" s="4">
        <v>443059</v>
      </c>
      <c r="G4187" s="4">
        <v>3832241897</v>
      </c>
      <c r="H4187" s="6" t="e">
        <f t="shared" ca="1" si="81"/>
        <v>#VALUE!</v>
      </c>
      <c r="I4187" s="7" t="str">
        <f ca="1">IFERROR(__xludf.DUMMYFUNCTION("IMPORTXML(E4187,""/html/body/main/div[3]/div[3]/div[2]/ul/li[5]/span[2]/span"")"),"Loading...")</f>
        <v>Loading...</v>
      </c>
      <c r="J4187" s="7" t="str">
        <f ca="1">IFERROR(__xludf.DUMMYFUNCTION("GOOGLEFINANCE(""NSE:""&amp;D4187,""marketcap"")"),"#N/A")</f>
        <v>#N/A</v>
      </c>
      <c r="K4187" s="7">
        <v>992.8</v>
      </c>
      <c r="L4187" s="8" t="str">
        <f ca="1">IFERROR(__xludf.DUMMYFUNCTION("GOOGLEFINANCE(""NSE:""&amp;D4187,""price"")"),"#N/A")</f>
        <v>#N/A</v>
      </c>
      <c r="M4187" s="9" t="e">
        <f t="shared" ca="1" si="82"/>
        <v>#VALUE!</v>
      </c>
      <c r="N4187" s="10" t="e">
        <f t="shared" ca="1" si="83"/>
        <v>#VALUE!</v>
      </c>
      <c r="O4187" s="7" t="str">
        <f ca="1">IFERROR(__xludf.DUMMYFUNCTION("GOOGLEFINANCE(""NSE:""&amp;D4187,""pe"")"),"#N/A")</f>
        <v>#N/A</v>
      </c>
      <c r="P4187" s="7" t="str">
        <f ca="1">IFERROR(__xludf.DUMMYFUNCTION("GOOGLEFINANCE(""NSE:""&amp;D4187,""EPS"")"),"#N/A")</f>
        <v>#N/A</v>
      </c>
      <c r="Q4187" s="7">
        <v>13.5</v>
      </c>
      <c r="R4187" s="7" t="str">
        <f ca="1">IFERROR(__xludf.DUMMYFUNCTION("IMPORTXML(E4187,""/html/body/main/div[3]/div[3]/div[2]/ul/li[7]/span[2]/span"")"),"Loading...")</f>
        <v>Loading...</v>
      </c>
      <c r="S4187" s="7" t="str">
        <f ca="1">IFERROR(__xludf.DUMMYFUNCTION("IMPORTXML(E4187,""/html/body/main/div[3]/div[3]/div[2]/ul/li[8]/span[2]/span"")"),"Loading...")</f>
        <v>Loading...</v>
      </c>
      <c r="T4187" s="4">
        <v>34.6</v>
      </c>
      <c r="U4187" s="4">
        <v>22.7</v>
      </c>
      <c r="V4187" s="4">
        <v>2.6</v>
      </c>
      <c r="W4187" s="4">
        <v>5.7</v>
      </c>
      <c r="X4187" s="4">
        <v>519.92999999999995</v>
      </c>
      <c r="Y4187" s="7" t="e">
        <f t="shared" ca="1" si="84"/>
        <v>#VALUE!</v>
      </c>
    </row>
    <row r="4188" spans="1:25" ht="15" x14ac:dyDescent="0.25">
      <c r="A4188" s="4">
        <v>4187</v>
      </c>
      <c r="C4188" s="41" t="s">
        <v>6557</v>
      </c>
      <c r="D4188" s="42"/>
      <c r="E4188" s="5" t="str">
        <f t="shared" si="80"/>
        <v>https://www.screener.in/company//consolidated/</v>
      </c>
      <c r="F4188" s="4">
        <v>443059</v>
      </c>
      <c r="G4188" s="4">
        <v>3832241897</v>
      </c>
      <c r="H4188" s="6" t="e">
        <f t="shared" ca="1" si="81"/>
        <v>#VALUE!</v>
      </c>
      <c r="I4188" s="7" t="str">
        <f ca="1">IFERROR(__xludf.DUMMYFUNCTION("IMPORTXML(E4188,""/html/body/main/div[3]/div[3]/div[2]/ul/li[5]/span[2]/span"")"),"Loading...")</f>
        <v>Loading...</v>
      </c>
      <c r="J4188" s="7" t="str">
        <f ca="1">IFERROR(__xludf.DUMMYFUNCTION("GOOGLEFINANCE(""NSE:""&amp;D4188,""marketcap"")"),"#N/A")</f>
        <v>#N/A</v>
      </c>
      <c r="K4188" s="7">
        <v>992.8</v>
      </c>
      <c r="L4188" s="8" t="str">
        <f ca="1">IFERROR(__xludf.DUMMYFUNCTION("GOOGLEFINANCE(""NSE:""&amp;D4188,""price"")"),"#N/A")</f>
        <v>#N/A</v>
      </c>
      <c r="M4188" s="9" t="e">
        <f t="shared" ca="1" si="82"/>
        <v>#VALUE!</v>
      </c>
      <c r="N4188" s="10" t="e">
        <f t="shared" ca="1" si="83"/>
        <v>#VALUE!</v>
      </c>
      <c r="O4188" s="7" t="str">
        <f ca="1">IFERROR(__xludf.DUMMYFUNCTION("GOOGLEFINANCE(""NSE:""&amp;D4188,""pe"")"),"#N/A")</f>
        <v>#N/A</v>
      </c>
      <c r="P4188" s="7" t="str">
        <f ca="1">IFERROR(__xludf.DUMMYFUNCTION("GOOGLEFINANCE(""NSE:""&amp;D4188,""EPS"")"),"#N/A")</f>
        <v>#N/A</v>
      </c>
      <c r="Q4188" s="7">
        <v>13.5</v>
      </c>
      <c r="R4188" s="7" t="str">
        <f ca="1">IFERROR(__xludf.DUMMYFUNCTION("IMPORTXML(E4188,""/html/body/main/div[3]/div[3]/div[2]/ul/li[7]/span[2]/span"")"),"Loading...")</f>
        <v>Loading...</v>
      </c>
      <c r="S4188" s="7" t="str">
        <f ca="1">IFERROR(__xludf.DUMMYFUNCTION("IMPORTXML(E4188,""/html/body/main/div[3]/div[3]/div[2]/ul/li[8]/span[2]/span"")"),"Loading...")</f>
        <v>Loading...</v>
      </c>
      <c r="T4188" s="4">
        <v>34.6</v>
      </c>
      <c r="U4188" s="4">
        <v>22.7</v>
      </c>
      <c r="V4188" s="4">
        <v>2.6</v>
      </c>
      <c r="W4188" s="4">
        <v>5.7</v>
      </c>
      <c r="X4188" s="4">
        <v>519.92999999999995</v>
      </c>
      <c r="Y4188" s="7" t="e">
        <f t="shared" ca="1" si="84"/>
        <v>#VALUE!</v>
      </c>
    </row>
    <row r="4189" spans="1:25" ht="15" x14ac:dyDescent="0.25">
      <c r="A4189" s="4">
        <v>4188</v>
      </c>
      <c r="C4189" s="41" t="s">
        <v>6558</v>
      </c>
      <c r="D4189" s="42"/>
      <c r="E4189" s="5" t="str">
        <f t="shared" si="80"/>
        <v>https://www.screener.in/company//consolidated/</v>
      </c>
      <c r="F4189" s="4">
        <v>443059</v>
      </c>
      <c r="G4189" s="4">
        <v>3832241897</v>
      </c>
      <c r="H4189" s="6" t="e">
        <f t="shared" ca="1" si="81"/>
        <v>#VALUE!</v>
      </c>
      <c r="I4189" s="7" t="str">
        <f ca="1">IFERROR(__xludf.DUMMYFUNCTION("IMPORTXML(E4189,""/html/body/main/div[3]/div[3]/div[2]/ul/li[5]/span[2]/span"")"),"Loading...")</f>
        <v>Loading...</v>
      </c>
      <c r="J4189" s="7" t="str">
        <f ca="1">IFERROR(__xludf.DUMMYFUNCTION("GOOGLEFINANCE(""NSE:""&amp;D4189,""marketcap"")"),"#N/A")</f>
        <v>#N/A</v>
      </c>
      <c r="K4189" s="7">
        <v>992.8</v>
      </c>
      <c r="L4189" s="8" t="str">
        <f ca="1">IFERROR(__xludf.DUMMYFUNCTION("GOOGLEFINANCE(""NSE:""&amp;D4189,""price"")"),"#N/A")</f>
        <v>#N/A</v>
      </c>
      <c r="M4189" s="9" t="e">
        <f t="shared" ca="1" si="82"/>
        <v>#VALUE!</v>
      </c>
      <c r="N4189" s="10" t="e">
        <f t="shared" ca="1" si="83"/>
        <v>#VALUE!</v>
      </c>
      <c r="O4189" s="7" t="str">
        <f ca="1">IFERROR(__xludf.DUMMYFUNCTION("GOOGLEFINANCE(""NSE:""&amp;D4189,""pe"")"),"#N/A")</f>
        <v>#N/A</v>
      </c>
      <c r="P4189" s="7" t="str">
        <f ca="1">IFERROR(__xludf.DUMMYFUNCTION("GOOGLEFINANCE(""NSE:""&amp;D4189,""EPS"")"),"#N/A")</f>
        <v>#N/A</v>
      </c>
      <c r="Q4189" s="7">
        <v>13.5</v>
      </c>
      <c r="R4189" s="7" t="str">
        <f ca="1">IFERROR(__xludf.DUMMYFUNCTION("IMPORTXML(E4189,""/html/body/main/div[3]/div[3]/div[2]/ul/li[7]/span[2]/span"")"),"Loading...")</f>
        <v>Loading...</v>
      </c>
      <c r="S4189" s="7" t="str">
        <f ca="1">IFERROR(__xludf.DUMMYFUNCTION("IMPORTXML(E4189,""/html/body/main/div[3]/div[3]/div[2]/ul/li[8]/span[2]/span"")"),"Loading...")</f>
        <v>Loading...</v>
      </c>
      <c r="T4189" s="4">
        <v>34.6</v>
      </c>
      <c r="U4189" s="4">
        <v>22.7</v>
      </c>
      <c r="V4189" s="4">
        <v>2.6</v>
      </c>
      <c r="W4189" s="4">
        <v>5.7</v>
      </c>
      <c r="X4189" s="4">
        <v>519.92999999999995</v>
      </c>
      <c r="Y4189" s="7" t="e">
        <f t="shared" ca="1" si="84"/>
        <v>#VALUE!</v>
      </c>
    </row>
    <row r="4190" spans="1:25" ht="15" x14ac:dyDescent="0.25">
      <c r="A4190" s="4">
        <v>4189</v>
      </c>
      <c r="C4190" s="41" t="s">
        <v>6559</v>
      </c>
      <c r="D4190" s="42"/>
      <c r="E4190" s="5" t="str">
        <f t="shared" si="80"/>
        <v>https://www.screener.in/company//consolidated/</v>
      </c>
      <c r="F4190" s="4">
        <v>443059</v>
      </c>
      <c r="G4190" s="4">
        <v>3832241897</v>
      </c>
      <c r="H4190" s="6" t="e">
        <f t="shared" ca="1" si="81"/>
        <v>#VALUE!</v>
      </c>
      <c r="I4190" s="7" t="str">
        <f ca="1">IFERROR(__xludf.DUMMYFUNCTION("IMPORTXML(E4190,""/html/body/main/div[3]/div[3]/div[2]/ul/li[5]/span[2]/span"")"),"Loading...")</f>
        <v>Loading...</v>
      </c>
      <c r="J4190" s="7" t="str">
        <f ca="1">IFERROR(__xludf.DUMMYFUNCTION("GOOGLEFINANCE(""NSE:""&amp;D4190,""marketcap"")"),"#N/A")</f>
        <v>#N/A</v>
      </c>
      <c r="K4190" s="7">
        <v>992.8</v>
      </c>
      <c r="L4190" s="8" t="str">
        <f ca="1">IFERROR(__xludf.DUMMYFUNCTION("GOOGLEFINANCE(""NSE:""&amp;D4190,""price"")"),"#N/A")</f>
        <v>#N/A</v>
      </c>
      <c r="M4190" s="9" t="e">
        <f t="shared" ca="1" si="82"/>
        <v>#VALUE!</v>
      </c>
      <c r="N4190" s="10" t="e">
        <f t="shared" ca="1" si="83"/>
        <v>#VALUE!</v>
      </c>
      <c r="O4190" s="7" t="str">
        <f ca="1">IFERROR(__xludf.DUMMYFUNCTION("GOOGLEFINANCE(""NSE:""&amp;D4190,""pe"")"),"#N/A")</f>
        <v>#N/A</v>
      </c>
      <c r="P4190" s="7" t="str">
        <f ca="1">IFERROR(__xludf.DUMMYFUNCTION("GOOGLEFINANCE(""NSE:""&amp;D4190,""EPS"")"),"#N/A")</f>
        <v>#N/A</v>
      </c>
      <c r="Q4190" s="7">
        <v>13.5</v>
      </c>
      <c r="R4190" s="7" t="str">
        <f ca="1">IFERROR(__xludf.DUMMYFUNCTION("IMPORTXML(E4190,""/html/body/main/div[3]/div[3]/div[2]/ul/li[7]/span[2]/span"")"),"Loading...")</f>
        <v>Loading...</v>
      </c>
      <c r="S4190" s="7" t="str">
        <f ca="1">IFERROR(__xludf.DUMMYFUNCTION("IMPORTXML(E4190,""/html/body/main/div[3]/div[3]/div[2]/ul/li[8]/span[2]/span"")"),"Loading...")</f>
        <v>Loading...</v>
      </c>
      <c r="T4190" s="4">
        <v>34.6</v>
      </c>
      <c r="U4190" s="4">
        <v>22.7</v>
      </c>
      <c r="V4190" s="4">
        <v>2.6</v>
      </c>
      <c r="W4190" s="4">
        <v>5.7</v>
      </c>
      <c r="X4190" s="4">
        <v>519.92999999999995</v>
      </c>
      <c r="Y4190" s="7" t="e">
        <f t="shared" ca="1" si="84"/>
        <v>#VALUE!</v>
      </c>
    </row>
    <row r="4191" spans="1:25" ht="15" x14ac:dyDescent="0.25">
      <c r="A4191" s="4">
        <v>4190</v>
      </c>
      <c r="C4191" s="41" t="s">
        <v>6560</v>
      </c>
      <c r="D4191" s="42"/>
      <c r="E4191" s="5" t="str">
        <f t="shared" si="80"/>
        <v>https://www.screener.in/company//consolidated/</v>
      </c>
      <c r="F4191" s="4">
        <v>443059</v>
      </c>
      <c r="G4191" s="4">
        <v>3832241897</v>
      </c>
      <c r="H4191" s="6" t="e">
        <f t="shared" ca="1" si="81"/>
        <v>#VALUE!</v>
      </c>
      <c r="I4191" s="7" t="str">
        <f ca="1">IFERROR(__xludf.DUMMYFUNCTION("IMPORTXML(E4191,""/html/body/main/div[3]/div[3]/div[2]/ul/li[5]/span[2]/span"")"),"Loading...")</f>
        <v>Loading...</v>
      </c>
      <c r="J4191" s="7" t="str">
        <f ca="1">IFERROR(__xludf.DUMMYFUNCTION("GOOGLEFINANCE(""NSE:""&amp;D4191,""marketcap"")"),"#N/A")</f>
        <v>#N/A</v>
      </c>
      <c r="K4191" s="7">
        <v>992.8</v>
      </c>
      <c r="L4191" s="8" t="str">
        <f ca="1">IFERROR(__xludf.DUMMYFUNCTION("GOOGLEFINANCE(""NSE:""&amp;D4191,""price"")"),"#N/A")</f>
        <v>#N/A</v>
      </c>
      <c r="M4191" s="9" t="e">
        <f t="shared" ca="1" si="82"/>
        <v>#VALUE!</v>
      </c>
      <c r="N4191" s="10" t="e">
        <f t="shared" ca="1" si="83"/>
        <v>#VALUE!</v>
      </c>
      <c r="O4191" s="7" t="str">
        <f ca="1">IFERROR(__xludf.DUMMYFUNCTION("GOOGLEFINANCE(""NSE:""&amp;D4191,""pe"")"),"#N/A")</f>
        <v>#N/A</v>
      </c>
      <c r="P4191" s="7" t="str">
        <f ca="1">IFERROR(__xludf.DUMMYFUNCTION("GOOGLEFINANCE(""NSE:""&amp;D4191,""EPS"")"),"#N/A")</f>
        <v>#N/A</v>
      </c>
      <c r="Q4191" s="7">
        <v>13.5</v>
      </c>
      <c r="R4191" s="7" t="str">
        <f ca="1">IFERROR(__xludf.DUMMYFUNCTION("IMPORTXML(E4191,""/html/body/main/div[3]/div[3]/div[2]/ul/li[7]/span[2]/span"")"),"Loading...")</f>
        <v>Loading...</v>
      </c>
      <c r="S4191" s="7" t="str">
        <f ca="1">IFERROR(__xludf.DUMMYFUNCTION("IMPORTXML(E4191,""/html/body/main/div[3]/div[3]/div[2]/ul/li[8]/span[2]/span"")"),"Loading...")</f>
        <v>Loading...</v>
      </c>
      <c r="T4191" s="4">
        <v>34.6</v>
      </c>
      <c r="U4191" s="4">
        <v>22.7</v>
      </c>
      <c r="V4191" s="4">
        <v>2.6</v>
      </c>
      <c r="W4191" s="4">
        <v>5.7</v>
      </c>
      <c r="X4191" s="4">
        <v>519.92999999999995</v>
      </c>
      <c r="Y4191" s="7" t="e">
        <f t="shared" ca="1" si="84"/>
        <v>#VALUE!</v>
      </c>
    </row>
    <row r="4192" spans="1:25" ht="15" x14ac:dyDescent="0.25">
      <c r="A4192" s="4">
        <v>4191</v>
      </c>
      <c r="C4192" s="41" t="s">
        <v>6561</v>
      </c>
      <c r="D4192" s="42"/>
      <c r="E4192" s="5" t="str">
        <f t="shared" si="80"/>
        <v>https://www.screener.in/company//consolidated/</v>
      </c>
      <c r="F4192" s="4">
        <v>443059</v>
      </c>
      <c r="G4192" s="4">
        <v>3832241897</v>
      </c>
      <c r="H4192" s="6" t="e">
        <f t="shared" ca="1" si="81"/>
        <v>#VALUE!</v>
      </c>
      <c r="I4192" s="7" t="str">
        <f ca="1">IFERROR(__xludf.DUMMYFUNCTION("IMPORTXML(E4192,""/html/body/main/div[3]/div[3]/div[2]/ul/li[5]/span[2]/span"")"),"Loading...")</f>
        <v>Loading...</v>
      </c>
      <c r="J4192" s="7" t="str">
        <f ca="1">IFERROR(__xludf.DUMMYFUNCTION("GOOGLEFINANCE(""NSE:""&amp;D4192,""marketcap"")"),"#N/A")</f>
        <v>#N/A</v>
      </c>
      <c r="K4192" s="7">
        <v>992.8</v>
      </c>
      <c r="L4192" s="8" t="str">
        <f ca="1">IFERROR(__xludf.DUMMYFUNCTION("GOOGLEFINANCE(""NSE:""&amp;D4192,""price"")"),"#N/A")</f>
        <v>#N/A</v>
      </c>
      <c r="M4192" s="9" t="e">
        <f t="shared" ca="1" si="82"/>
        <v>#VALUE!</v>
      </c>
      <c r="N4192" s="10" t="e">
        <f t="shared" ca="1" si="83"/>
        <v>#VALUE!</v>
      </c>
      <c r="O4192" s="7" t="str">
        <f ca="1">IFERROR(__xludf.DUMMYFUNCTION("GOOGLEFINANCE(""NSE:""&amp;D4192,""pe"")"),"#N/A")</f>
        <v>#N/A</v>
      </c>
      <c r="P4192" s="7" t="str">
        <f ca="1">IFERROR(__xludf.DUMMYFUNCTION("GOOGLEFINANCE(""NSE:""&amp;D4192,""EPS"")"),"#N/A")</f>
        <v>#N/A</v>
      </c>
      <c r="Q4192" s="7">
        <v>13.5</v>
      </c>
      <c r="R4192" s="7" t="str">
        <f ca="1">IFERROR(__xludf.DUMMYFUNCTION("IMPORTXML(E4192,""/html/body/main/div[3]/div[3]/div[2]/ul/li[7]/span[2]/span"")"),"Loading...")</f>
        <v>Loading...</v>
      </c>
      <c r="S4192" s="7" t="str">
        <f ca="1">IFERROR(__xludf.DUMMYFUNCTION("IMPORTXML(E4192,""/html/body/main/div[3]/div[3]/div[2]/ul/li[8]/span[2]/span"")"),"Loading...")</f>
        <v>Loading...</v>
      </c>
      <c r="T4192" s="4">
        <v>34.6</v>
      </c>
      <c r="U4192" s="4">
        <v>22.7</v>
      </c>
      <c r="V4192" s="4">
        <v>2.6</v>
      </c>
      <c r="W4192" s="4">
        <v>5.7</v>
      </c>
      <c r="X4192" s="4">
        <v>519.92999999999995</v>
      </c>
      <c r="Y4192" s="7" t="e">
        <f t="shared" ca="1" si="84"/>
        <v>#VALUE!</v>
      </c>
    </row>
    <row r="4193" spans="1:25" ht="15" x14ac:dyDescent="0.25">
      <c r="A4193" s="4">
        <v>4192</v>
      </c>
      <c r="C4193" s="41" t="s">
        <v>6562</v>
      </c>
      <c r="D4193" s="42"/>
      <c r="E4193" s="5" t="str">
        <f t="shared" si="80"/>
        <v>https://www.screener.in/company//consolidated/</v>
      </c>
      <c r="F4193" s="4">
        <v>443059</v>
      </c>
      <c r="G4193" s="4">
        <v>3832241897</v>
      </c>
      <c r="H4193" s="6" t="e">
        <f t="shared" ca="1" si="81"/>
        <v>#VALUE!</v>
      </c>
      <c r="I4193" s="7" t="str">
        <f ca="1">IFERROR(__xludf.DUMMYFUNCTION("IMPORTXML(E4193,""/html/body/main/div[3]/div[3]/div[2]/ul/li[5]/span[2]/span"")"),"Loading...")</f>
        <v>Loading...</v>
      </c>
      <c r="J4193" s="7" t="str">
        <f ca="1">IFERROR(__xludf.DUMMYFUNCTION("GOOGLEFINANCE(""NSE:""&amp;D4193,""marketcap"")"),"#N/A")</f>
        <v>#N/A</v>
      </c>
      <c r="K4193" s="7">
        <v>992.8</v>
      </c>
      <c r="L4193" s="8" t="str">
        <f ca="1">IFERROR(__xludf.DUMMYFUNCTION("GOOGLEFINANCE(""NSE:""&amp;D4193,""price"")"),"#N/A")</f>
        <v>#N/A</v>
      </c>
      <c r="M4193" s="9" t="e">
        <f t="shared" ca="1" si="82"/>
        <v>#VALUE!</v>
      </c>
      <c r="N4193" s="10" t="e">
        <f t="shared" ca="1" si="83"/>
        <v>#VALUE!</v>
      </c>
      <c r="O4193" s="7" t="str">
        <f ca="1">IFERROR(__xludf.DUMMYFUNCTION("GOOGLEFINANCE(""NSE:""&amp;D4193,""pe"")"),"#N/A")</f>
        <v>#N/A</v>
      </c>
      <c r="P4193" s="7" t="str">
        <f ca="1">IFERROR(__xludf.DUMMYFUNCTION("GOOGLEFINANCE(""NSE:""&amp;D4193,""EPS"")"),"#N/A")</f>
        <v>#N/A</v>
      </c>
      <c r="Q4193" s="7">
        <v>13.5</v>
      </c>
      <c r="R4193" s="7" t="str">
        <f ca="1">IFERROR(__xludf.DUMMYFUNCTION("IMPORTXML(E4193,""/html/body/main/div[3]/div[3]/div[2]/ul/li[7]/span[2]/span"")"),"Loading...")</f>
        <v>Loading...</v>
      </c>
      <c r="S4193" s="7" t="str">
        <f ca="1">IFERROR(__xludf.DUMMYFUNCTION("IMPORTXML(E4193,""/html/body/main/div[3]/div[3]/div[2]/ul/li[8]/span[2]/span"")"),"Loading...")</f>
        <v>Loading...</v>
      </c>
      <c r="T4193" s="4">
        <v>34.6</v>
      </c>
      <c r="U4193" s="4">
        <v>22.7</v>
      </c>
      <c r="V4193" s="4">
        <v>2.6</v>
      </c>
      <c r="W4193" s="4">
        <v>5.7</v>
      </c>
      <c r="X4193" s="4">
        <v>519.92999999999995</v>
      </c>
      <c r="Y4193" s="7" t="e">
        <f t="shared" ca="1" si="84"/>
        <v>#VALUE!</v>
      </c>
    </row>
    <row r="4194" spans="1:25" ht="15" x14ac:dyDescent="0.25">
      <c r="A4194" s="4">
        <v>4193</v>
      </c>
      <c r="C4194" s="41" t="s">
        <v>6563</v>
      </c>
      <c r="D4194" s="42"/>
      <c r="E4194" s="5" t="str">
        <f t="shared" si="80"/>
        <v>https://www.screener.in/company//consolidated/</v>
      </c>
      <c r="F4194" s="4">
        <v>443059</v>
      </c>
      <c r="G4194" s="4">
        <v>3832241897</v>
      </c>
      <c r="H4194" s="6" t="e">
        <f t="shared" ca="1" si="81"/>
        <v>#VALUE!</v>
      </c>
      <c r="I4194" s="7" t="str">
        <f ca="1">IFERROR(__xludf.DUMMYFUNCTION("IMPORTXML(E4194,""/html/body/main/div[3]/div[3]/div[2]/ul/li[5]/span[2]/span"")"),"Loading...")</f>
        <v>Loading...</v>
      </c>
      <c r="J4194" s="7" t="str">
        <f ca="1">IFERROR(__xludf.DUMMYFUNCTION("GOOGLEFINANCE(""NSE:""&amp;D4194,""marketcap"")"),"#N/A")</f>
        <v>#N/A</v>
      </c>
      <c r="K4194" s="7">
        <v>992.8</v>
      </c>
      <c r="L4194" s="8" t="str">
        <f ca="1">IFERROR(__xludf.DUMMYFUNCTION("GOOGLEFINANCE(""NSE:""&amp;D4194,""price"")"),"#N/A")</f>
        <v>#N/A</v>
      </c>
      <c r="M4194" s="9" t="e">
        <f t="shared" ca="1" si="82"/>
        <v>#VALUE!</v>
      </c>
      <c r="N4194" s="10" t="e">
        <f t="shared" ca="1" si="83"/>
        <v>#VALUE!</v>
      </c>
      <c r="O4194" s="7" t="str">
        <f ca="1">IFERROR(__xludf.DUMMYFUNCTION("GOOGLEFINANCE(""NSE:""&amp;D4194,""pe"")"),"#N/A")</f>
        <v>#N/A</v>
      </c>
      <c r="P4194" s="7" t="str">
        <f ca="1">IFERROR(__xludf.DUMMYFUNCTION("GOOGLEFINANCE(""NSE:""&amp;D4194,""EPS"")"),"#N/A")</f>
        <v>#N/A</v>
      </c>
      <c r="Q4194" s="7">
        <v>13.5</v>
      </c>
      <c r="R4194" s="7" t="str">
        <f ca="1">IFERROR(__xludf.DUMMYFUNCTION("IMPORTXML(E4194,""/html/body/main/div[3]/div[3]/div[2]/ul/li[7]/span[2]/span"")"),"Loading...")</f>
        <v>Loading...</v>
      </c>
      <c r="S4194" s="7" t="str">
        <f ca="1">IFERROR(__xludf.DUMMYFUNCTION("IMPORTXML(E4194,""/html/body/main/div[3]/div[3]/div[2]/ul/li[8]/span[2]/span"")"),"Loading...")</f>
        <v>Loading...</v>
      </c>
      <c r="T4194" s="4">
        <v>34.6</v>
      </c>
      <c r="U4194" s="4">
        <v>22.7</v>
      </c>
      <c r="V4194" s="4">
        <v>2.6</v>
      </c>
      <c r="W4194" s="4">
        <v>5.7</v>
      </c>
      <c r="X4194" s="4">
        <v>519.92999999999995</v>
      </c>
      <c r="Y4194" s="7" t="e">
        <f t="shared" ca="1" si="84"/>
        <v>#VALUE!</v>
      </c>
    </row>
    <row r="4195" spans="1:25" ht="15" x14ac:dyDescent="0.25">
      <c r="A4195" s="4">
        <v>4194</v>
      </c>
      <c r="C4195" s="41" t="s">
        <v>6564</v>
      </c>
      <c r="D4195" s="42"/>
      <c r="E4195" s="5" t="str">
        <f t="shared" si="80"/>
        <v>https://www.screener.in/company//consolidated/</v>
      </c>
      <c r="F4195" s="4">
        <v>443059</v>
      </c>
      <c r="G4195" s="4">
        <v>3832241897</v>
      </c>
      <c r="H4195" s="6" t="e">
        <f t="shared" ca="1" si="81"/>
        <v>#VALUE!</v>
      </c>
      <c r="I4195" s="7" t="str">
        <f ca="1">IFERROR(__xludf.DUMMYFUNCTION("IMPORTXML(E4195,""/html/body/main/div[3]/div[3]/div[2]/ul/li[5]/span[2]/span"")"),"Loading...")</f>
        <v>Loading...</v>
      </c>
      <c r="J4195" s="7" t="str">
        <f ca="1">IFERROR(__xludf.DUMMYFUNCTION("GOOGLEFINANCE(""NSE:""&amp;D4195,""marketcap"")"),"#N/A")</f>
        <v>#N/A</v>
      </c>
      <c r="K4195" s="7">
        <v>992.8</v>
      </c>
      <c r="L4195" s="8" t="str">
        <f ca="1">IFERROR(__xludf.DUMMYFUNCTION("GOOGLEFINANCE(""NSE:""&amp;D4195,""price"")"),"#N/A")</f>
        <v>#N/A</v>
      </c>
      <c r="M4195" s="9" t="e">
        <f t="shared" ca="1" si="82"/>
        <v>#VALUE!</v>
      </c>
      <c r="N4195" s="10" t="e">
        <f t="shared" ca="1" si="83"/>
        <v>#VALUE!</v>
      </c>
      <c r="O4195" s="7" t="str">
        <f ca="1">IFERROR(__xludf.DUMMYFUNCTION("GOOGLEFINANCE(""NSE:""&amp;D4195,""pe"")"),"#N/A")</f>
        <v>#N/A</v>
      </c>
      <c r="P4195" s="7" t="str">
        <f ca="1">IFERROR(__xludf.DUMMYFUNCTION("GOOGLEFINANCE(""NSE:""&amp;D4195,""EPS"")"),"#N/A")</f>
        <v>#N/A</v>
      </c>
      <c r="Q4195" s="7">
        <v>13.5</v>
      </c>
      <c r="R4195" s="7" t="str">
        <f ca="1">IFERROR(__xludf.DUMMYFUNCTION("IMPORTXML(E4195,""/html/body/main/div[3]/div[3]/div[2]/ul/li[7]/span[2]/span"")"),"Loading...")</f>
        <v>Loading...</v>
      </c>
      <c r="S4195" s="7" t="str">
        <f ca="1">IFERROR(__xludf.DUMMYFUNCTION("IMPORTXML(E4195,""/html/body/main/div[3]/div[3]/div[2]/ul/li[8]/span[2]/span"")"),"Loading...")</f>
        <v>Loading...</v>
      </c>
      <c r="T4195" s="4">
        <v>34.6</v>
      </c>
      <c r="U4195" s="4">
        <v>22.7</v>
      </c>
      <c r="V4195" s="4">
        <v>2.6</v>
      </c>
      <c r="W4195" s="4">
        <v>5.7</v>
      </c>
      <c r="X4195" s="4">
        <v>519.92999999999995</v>
      </c>
      <c r="Y4195" s="7" t="e">
        <f t="shared" ca="1" si="84"/>
        <v>#VALUE!</v>
      </c>
    </row>
    <row r="4196" spans="1:25" ht="15" x14ac:dyDescent="0.25">
      <c r="A4196" s="4">
        <v>4195</v>
      </c>
      <c r="C4196" s="41" t="s">
        <v>6565</v>
      </c>
      <c r="D4196" s="42"/>
      <c r="E4196" s="5" t="str">
        <f t="shared" si="80"/>
        <v>https://www.screener.in/company//consolidated/</v>
      </c>
      <c r="F4196" s="4">
        <v>443059</v>
      </c>
      <c r="G4196" s="4">
        <v>3832241897</v>
      </c>
      <c r="H4196" s="6" t="e">
        <f t="shared" ca="1" si="81"/>
        <v>#VALUE!</v>
      </c>
      <c r="I4196" s="7" t="str">
        <f ca="1">IFERROR(__xludf.DUMMYFUNCTION("IMPORTXML(E4196,""/html/body/main/div[3]/div[3]/div[2]/ul/li[5]/span[2]/span"")"),"Loading...")</f>
        <v>Loading...</v>
      </c>
      <c r="J4196" s="7" t="str">
        <f ca="1">IFERROR(__xludf.DUMMYFUNCTION("GOOGLEFINANCE(""NSE:""&amp;D4196,""marketcap"")"),"#N/A")</f>
        <v>#N/A</v>
      </c>
      <c r="K4196" s="7">
        <v>992.8</v>
      </c>
      <c r="L4196" s="8" t="str">
        <f ca="1">IFERROR(__xludf.DUMMYFUNCTION("GOOGLEFINANCE(""NSE:""&amp;D4196,""price"")"),"#N/A")</f>
        <v>#N/A</v>
      </c>
      <c r="M4196" s="9" t="e">
        <f t="shared" ca="1" si="82"/>
        <v>#VALUE!</v>
      </c>
      <c r="N4196" s="10" t="e">
        <f t="shared" ca="1" si="83"/>
        <v>#VALUE!</v>
      </c>
      <c r="O4196" s="7" t="str">
        <f ca="1">IFERROR(__xludf.DUMMYFUNCTION("GOOGLEFINANCE(""NSE:""&amp;D4196,""pe"")"),"#N/A")</f>
        <v>#N/A</v>
      </c>
      <c r="P4196" s="7" t="str">
        <f ca="1">IFERROR(__xludf.DUMMYFUNCTION("GOOGLEFINANCE(""NSE:""&amp;D4196,""EPS"")"),"#N/A")</f>
        <v>#N/A</v>
      </c>
      <c r="Q4196" s="7">
        <v>13.5</v>
      </c>
      <c r="R4196" s="7" t="str">
        <f ca="1">IFERROR(__xludf.DUMMYFUNCTION("IMPORTXML(E4196,""/html/body/main/div[3]/div[3]/div[2]/ul/li[7]/span[2]/span"")"),"Loading...")</f>
        <v>Loading...</v>
      </c>
      <c r="S4196" s="7" t="str">
        <f ca="1">IFERROR(__xludf.DUMMYFUNCTION("IMPORTXML(E4196,""/html/body/main/div[3]/div[3]/div[2]/ul/li[8]/span[2]/span"")"),"Loading...")</f>
        <v>Loading...</v>
      </c>
      <c r="T4196" s="4">
        <v>34.6</v>
      </c>
      <c r="U4196" s="4">
        <v>22.7</v>
      </c>
      <c r="V4196" s="4">
        <v>2.6</v>
      </c>
      <c r="W4196" s="4">
        <v>5.7</v>
      </c>
      <c r="X4196" s="4">
        <v>519.92999999999995</v>
      </c>
      <c r="Y4196" s="7" t="e">
        <f t="shared" ca="1" si="84"/>
        <v>#VALUE!</v>
      </c>
    </row>
    <row r="4197" spans="1:25" ht="15" x14ac:dyDescent="0.25">
      <c r="A4197" s="4">
        <v>4196</v>
      </c>
      <c r="C4197" s="41" t="s">
        <v>6566</v>
      </c>
      <c r="D4197" s="42"/>
      <c r="E4197" s="5" t="str">
        <f t="shared" si="80"/>
        <v>https://www.screener.in/company//consolidated/</v>
      </c>
      <c r="F4197" s="4">
        <v>443059</v>
      </c>
      <c r="G4197" s="4">
        <v>3832241897</v>
      </c>
      <c r="H4197" s="6" t="e">
        <f t="shared" ca="1" si="81"/>
        <v>#VALUE!</v>
      </c>
      <c r="I4197" s="7" t="str">
        <f ca="1">IFERROR(__xludf.DUMMYFUNCTION("IMPORTXML(E4197,""/html/body/main/div[3]/div[3]/div[2]/ul/li[5]/span[2]/span"")"),"Loading...")</f>
        <v>Loading...</v>
      </c>
      <c r="J4197" s="7" t="str">
        <f ca="1">IFERROR(__xludf.DUMMYFUNCTION("GOOGLEFINANCE(""NSE:""&amp;D4197,""marketcap"")"),"#N/A")</f>
        <v>#N/A</v>
      </c>
      <c r="K4197" s="7">
        <v>992.8</v>
      </c>
      <c r="L4197" s="8" t="str">
        <f ca="1">IFERROR(__xludf.DUMMYFUNCTION("GOOGLEFINANCE(""NSE:""&amp;D4197,""price"")"),"#N/A")</f>
        <v>#N/A</v>
      </c>
      <c r="M4197" s="9" t="e">
        <f t="shared" ca="1" si="82"/>
        <v>#VALUE!</v>
      </c>
      <c r="N4197" s="10" t="e">
        <f t="shared" ca="1" si="83"/>
        <v>#VALUE!</v>
      </c>
      <c r="O4197" s="7" t="str">
        <f ca="1">IFERROR(__xludf.DUMMYFUNCTION("GOOGLEFINANCE(""NSE:""&amp;D4197,""pe"")"),"#N/A")</f>
        <v>#N/A</v>
      </c>
      <c r="P4197" s="7" t="str">
        <f ca="1">IFERROR(__xludf.DUMMYFUNCTION("GOOGLEFINANCE(""NSE:""&amp;D4197,""EPS"")"),"#N/A")</f>
        <v>#N/A</v>
      </c>
      <c r="Q4197" s="7">
        <v>13.5</v>
      </c>
      <c r="R4197" s="7" t="str">
        <f ca="1">IFERROR(__xludf.DUMMYFUNCTION("IMPORTXML(E4197,""/html/body/main/div[3]/div[3]/div[2]/ul/li[7]/span[2]/span"")"),"Loading...")</f>
        <v>Loading...</v>
      </c>
      <c r="S4197" s="7" t="str">
        <f ca="1">IFERROR(__xludf.DUMMYFUNCTION("IMPORTXML(E4197,""/html/body/main/div[3]/div[3]/div[2]/ul/li[8]/span[2]/span"")"),"Loading...")</f>
        <v>Loading...</v>
      </c>
      <c r="T4197" s="4">
        <v>34.6</v>
      </c>
      <c r="U4197" s="4">
        <v>22.7</v>
      </c>
      <c r="V4197" s="4">
        <v>2.6</v>
      </c>
      <c r="W4197" s="4">
        <v>5.7</v>
      </c>
      <c r="X4197" s="4">
        <v>519.92999999999995</v>
      </c>
      <c r="Y4197" s="7" t="e">
        <f t="shared" ca="1" si="84"/>
        <v>#VALUE!</v>
      </c>
    </row>
    <row r="4198" spans="1:25" ht="15" x14ac:dyDescent="0.25">
      <c r="A4198" s="4">
        <v>4197</v>
      </c>
      <c r="C4198" s="41" t="s">
        <v>6567</v>
      </c>
      <c r="D4198" s="42"/>
      <c r="E4198" s="5" t="str">
        <f t="shared" si="80"/>
        <v>https://www.screener.in/company//consolidated/</v>
      </c>
      <c r="F4198" s="4">
        <v>443059</v>
      </c>
      <c r="G4198" s="4">
        <v>3832241897</v>
      </c>
      <c r="H4198" s="6" t="e">
        <f t="shared" ca="1" si="81"/>
        <v>#VALUE!</v>
      </c>
      <c r="I4198" s="7" t="str">
        <f ca="1">IFERROR(__xludf.DUMMYFUNCTION("IMPORTXML(E4198,""/html/body/main/div[3]/div[3]/div[2]/ul/li[5]/span[2]/span"")"),"Loading...")</f>
        <v>Loading...</v>
      </c>
      <c r="J4198" s="7" t="str">
        <f ca="1">IFERROR(__xludf.DUMMYFUNCTION("GOOGLEFINANCE(""NSE:""&amp;D4198,""marketcap"")"),"#N/A")</f>
        <v>#N/A</v>
      </c>
      <c r="K4198" s="7">
        <v>992.8</v>
      </c>
      <c r="L4198" s="8" t="str">
        <f ca="1">IFERROR(__xludf.DUMMYFUNCTION("GOOGLEFINANCE(""NSE:""&amp;D4198,""price"")"),"#N/A")</f>
        <v>#N/A</v>
      </c>
      <c r="M4198" s="9" t="e">
        <f t="shared" ca="1" si="82"/>
        <v>#VALUE!</v>
      </c>
      <c r="N4198" s="10" t="e">
        <f t="shared" ca="1" si="83"/>
        <v>#VALUE!</v>
      </c>
      <c r="O4198" s="7" t="str">
        <f ca="1">IFERROR(__xludf.DUMMYFUNCTION("GOOGLEFINANCE(""NSE:""&amp;D4198,""pe"")"),"#N/A")</f>
        <v>#N/A</v>
      </c>
      <c r="P4198" s="7" t="str">
        <f ca="1">IFERROR(__xludf.DUMMYFUNCTION("GOOGLEFINANCE(""NSE:""&amp;D4198,""EPS"")"),"#N/A")</f>
        <v>#N/A</v>
      </c>
      <c r="Q4198" s="7">
        <v>13.5</v>
      </c>
      <c r="R4198" s="7" t="str">
        <f ca="1">IFERROR(__xludf.DUMMYFUNCTION("IMPORTXML(E4198,""/html/body/main/div[3]/div[3]/div[2]/ul/li[7]/span[2]/span"")"),"Loading...")</f>
        <v>Loading...</v>
      </c>
      <c r="S4198" s="7" t="str">
        <f ca="1">IFERROR(__xludf.DUMMYFUNCTION("IMPORTXML(E4198,""/html/body/main/div[3]/div[3]/div[2]/ul/li[8]/span[2]/span"")"),"Loading...")</f>
        <v>Loading...</v>
      </c>
      <c r="T4198" s="4">
        <v>34.6</v>
      </c>
      <c r="U4198" s="4">
        <v>22.7</v>
      </c>
      <c r="V4198" s="4">
        <v>2.6</v>
      </c>
      <c r="W4198" s="4">
        <v>5.7</v>
      </c>
      <c r="X4198" s="4">
        <v>519.92999999999995</v>
      </c>
      <c r="Y4198" s="7" t="e">
        <f t="shared" ca="1" si="84"/>
        <v>#VALUE!</v>
      </c>
    </row>
    <row r="4199" spans="1:25" ht="15" x14ac:dyDescent="0.25">
      <c r="A4199" s="4">
        <v>4198</v>
      </c>
      <c r="C4199" s="41" t="s">
        <v>6568</v>
      </c>
      <c r="D4199" s="42"/>
      <c r="E4199" s="5" t="str">
        <f t="shared" si="80"/>
        <v>https://www.screener.in/company//consolidated/</v>
      </c>
      <c r="F4199" s="4">
        <v>443059</v>
      </c>
      <c r="G4199" s="4">
        <v>3832241897</v>
      </c>
      <c r="H4199" s="6" t="e">
        <f t="shared" ca="1" si="81"/>
        <v>#VALUE!</v>
      </c>
      <c r="I4199" s="7" t="str">
        <f ca="1">IFERROR(__xludf.DUMMYFUNCTION("IMPORTXML(E4199,""/html/body/main/div[3]/div[3]/div[2]/ul/li[5]/span[2]/span"")"),"Loading...")</f>
        <v>Loading...</v>
      </c>
      <c r="J4199" s="7" t="str">
        <f ca="1">IFERROR(__xludf.DUMMYFUNCTION("GOOGLEFINANCE(""NSE:""&amp;D4199,""marketcap"")"),"#N/A")</f>
        <v>#N/A</v>
      </c>
      <c r="K4199" s="7">
        <v>992.8</v>
      </c>
      <c r="L4199" s="8" t="str">
        <f ca="1">IFERROR(__xludf.DUMMYFUNCTION("GOOGLEFINANCE(""NSE:""&amp;D4199,""price"")"),"#N/A")</f>
        <v>#N/A</v>
      </c>
      <c r="M4199" s="9" t="e">
        <f t="shared" ca="1" si="82"/>
        <v>#VALUE!</v>
      </c>
      <c r="N4199" s="10" t="e">
        <f t="shared" ca="1" si="83"/>
        <v>#VALUE!</v>
      </c>
      <c r="O4199" s="7" t="str">
        <f ca="1">IFERROR(__xludf.DUMMYFUNCTION("GOOGLEFINANCE(""NSE:""&amp;D4199,""pe"")"),"#N/A")</f>
        <v>#N/A</v>
      </c>
      <c r="P4199" s="7" t="str">
        <f ca="1">IFERROR(__xludf.DUMMYFUNCTION("GOOGLEFINANCE(""NSE:""&amp;D4199,""EPS"")"),"#N/A")</f>
        <v>#N/A</v>
      </c>
      <c r="Q4199" s="7">
        <v>13.5</v>
      </c>
      <c r="R4199" s="7" t="str">
        <f ca="1">IFERROR(__xludf.DUMMYFUNCTION("IMPORTXML(E4199,""/html/body/main/div[3]/div[3]/div[2]/ul/li[7]/span[2]/span"")"),"Loading...")</f>
        <v>Loading...</v>
      </c>
      <c r="S4199" s="7" t="str">
        <f ca="1">IFERROR(__xludf.DUMMYFUNCTION("IMPORTXML(E4199,""/html/body/main/div[3]/div[3]/div[2]/ul/li[8]/span[2]/span"")"),"Loading...")</f>
        <v>Loading...</v>
      </c>
      <c r="T4199" s="4">
        <v>34.6</v>
      </c>
      <c r="U4199" s="4">
        <v>22.7</v>
      </c>
      <c r="V4199" s="4">
        <v>2.6</v>
      </c>
      <c r="W4199" s="4">
        <v>5.7</v>
      </c>
      <c r="X4199" s="4">
        <v>519.92999999999995</v>
      </c>
      <c r="Y4199" s="7" t="e">
        <f t="shared" ca="1" si="84"/>
        <v>#VALUE!</v>
      </c>
    </row>
    <row r="4200" spans="1:25" ht="15" x14ac:dyDescent="0.25">
      <c r="A4200" s="4">
        <v>4199</v>
      </c>
      <c r="C4200" s="41" t="s">
        <v>6569</v>
      </c>
      <c r="D4200" s="42"/>
      <c r="E4200" s="5" t="str">
        <f t="shared" si="80"/>
        <v>https://www.screener.in/company//consolidated/</v>
      </c>
      <c r="F4200" s="4">
        <v>443059</v>
      </c>
      <c r="G4200" s="4">
        <v>3832241897</v>
      </c>
      <c r="H4200" s="6" t="e">
        <f t="shared" ca="1" si="81"/>
        <v>#VALUE!</v>
      </c>
      <c r="I4200" s="7" t="str">
        <f ca="1">IFERROR(__xludf.DUMMYFUNCTION("IMPORTXML(E4200,""/html/body/main/div[3]/div[3]/div[2]/ul/li[5]/span[2]/span"")"),"Loading...")</f>
        <v>Loading...</v>
      </c>
      <c r="J4200" s="7" t="str">
        <f ca="1">IFERROR(__xludf.DUMMYFUNCTION("GOOGLEFINANCE(""NSE:""&amp;D4200,""marketcap"")"),"#N/A")</f>
        <v>#N/A</v>
      </c>
      <c r="K4200" s="7">
        <v>992.8</v>
      </c>
      <c r="L4200" s="8" t="str">
        <f ca="1">IFERROR(__xludf.DUMMYFUNCTION("GOOGLEFINANCE(""NSE:""&amp;D4200,""price"")"),"#N/A")</f>
        <v>#N/A</v>
      </c>
      <c r="M4200" s="9" t="e">
        <f t="shared" ca="1" si="82"/>
        <v>#VALUE!</v>
      </c>
      <c r="N4200" s="10" t="e">
        <f t="shared" ca="1" si="83"/>
        <v>#VALUE!</v>
      </c>
      <c r="O4200" s="7" t="str">
        <f ca="1">IFERROR(__xludf.DUMMYFUNCTION("GOOGLEFINANCE(""NSE:""&amp;D4200,""pe"")"),"#N/A")</f>
        <v>#N/A</v>
      </c>
      <c r="P4200" s="7" t="str">
        <f ca="1">IFERROR(__xludf.DUMMYFUNCTION("GOOGLEFINANCE(""NSE:""&amp;D4200,""EPS"")"),"#N/A")</f>
        <v>#N/A</v>
      </c>
      <c r="Q4200" s="7">
        <v>13.5</v>
      </c>
      <c r="R4200" s="7" t="str">
        <f ca="1">IFERROR(__xludf.DUMMYFUNCTION("IMPORTXML(E4200,""/html/body/main/div[3]/div[3]/div[2]/ul/li[7]/span[2]/span"")"),"Loading...")</f>
        <v>Loading...</v>
      </c>
      <c r="S4200" s="7" t="str">
        <f ca="1">IFERROR(__xludf.DUMMYFUNCTION("IMPORTXML(E4200,""/html/body/main/div[3]/div[3]/div[2]/ul/li[8]/span[2]/span"")"),"Loading...")</f>
        <v>Loading...</v>
      </c>
      <c r="T4200" s="4">
        <v>34.6</v>
      </c>
      <c r="U4200" s="4">
        <v>22.7</v>
      </c>
      <c r="V4200" s="4">
        <v>2.6</v>
      </c>
      <c r="W4200" s="4">
        <v>5.7</v>
      </c>
      <c r="X4200" s="4">
        <v>519.92999999999995</v>
      </c>
      <c r="Y4200" s="7" t="e">
        <f t="shared" ca="1" si="84"/>
        <v>#VALUE!</v>
      </c>
    </row>
    <row r="4201" spans="1:25" ht="15" x14ac:dyDescent="0.25">
      <c r="A4201" s="4">
        <v>4200</v>
      </c>
      <c r="C4201" s="41" t="s">
        <v>6570</v>
      </c>
      <c r="D4201" s="42"/>
      <c r="E4201" s="5" t="str">
        <f t="shared" si="80"/>
        <v>https://www.screener.in/company//consolidated/</v>
      </c>
      <c r="F4201" s="4">
        <v>443059</v>
      </c>
      <c r="G4201" s="4">
        <v>3832241897</v>
      </c>
      <c r="H4201" s="6" t="e">
        <f t="shared" ca="1" si="81"/>
        <v>#VALUE!</v>
      </c>
      <c r="I4201" s="7" t="str">
        <f ca="1">IFERROR(__xludf.DUMMYFUNCTION("IMPORTXML(E4201,""/html/body/main/div[3]/div[3]/div[2]/ul/li[5]/span[2]/span"")"),"Loading...")</f>
        <v>Loading...</v>
      </c>
      <c r="J4201" s="7" t="str">
        <f ca="1">IFERROR(__xludf.DUMMYFUNCTION("GOOGLEFINANCE(""NSE:""&amp;D4201,""marketcap"")"),"#N/A")</f>
        <v>#N/A</v>
      </c>
      <c r="K4201" s="7">
        <v>992.8</v>
      </c>
      <c r="L4201" s="8" t="str">
        <f ca="1">IFERROR(__xludf.DUMMYFUNCTION("GOOGLEFINANCE(""NSE:""&amp;D4201,""price"")"),"#N/A")</f>
        <v>#N/A</v>
      </c>
      <c r="M4201" s="9" t="e">
        <f t="shared" ca="1" si="82"/>
        <v>#VALUE!</v>
      </c>
      <c r="N4201" s="10" t="e">
        <f t="shared" ca="1" si="83"/>
        <v>#VALUE!</v>
      </c>
      <c r="O4201" s="7" t="str">
        <f ca="1">IFERROR(__xludf.DUMMYFUNCTION("GOOGLEFINANCE(""NSE:""&amp;D4201,""pe"")"),"#N/A")</f>
        <v>#N/A</v>
      </c>
      <c r="P4201" s="7" t="str">
        <f ca="1">IFERROR(__xludf.DUMMYFUNCTION("GOOGLEFINANCE(""NSE:""&amp;D4201,""EPS"")"),"#N/A")</f>
        <v>#N/A</v>
      </c>
      <c r="Q4201" s="7">
        <v>13.5</v>
      </c>
      <c r="R4201" s="7" t="str">
        <f ca="1">IFERROR(__xludf.DUMMYFUNCTION("IMPORTXML(E4201,""/html/body/main/div[3]/div[3]/div[2]/ul/li[7]/span[2]/span"")"),"Loading...")</f>
        <v>Loading...</v>
      </c>
      <c r="S4201" s="7" t="str">
        <f ca="1">IFERROR(__xludf.DUMMYFUNCTION("IMPORTXML(E4201,""/html/body/main/div[3]/div[3]/div[2]/ul/li[8]/span[2]/span"")"),"Loading...")</f>
        <v>Loading...</v>
      </c>
      <c r="T4201" s="4">
        <v>34.6</v>
      </c>
      <c r="U4201" s="4">
        <v>22.7</v>
      </c>
      <c r="V4201" s="4">
        <v>2.6</v>
      </c>
      <c r="W4201" s="4">
        <v>5.7</v>
      </c>
      <c r="X4201" s="4">
        <v>519.92999999999995</v>
      </c>
      <c r="Y4201" s="7" t="e">
        <f t="shared" ca="1" si="84"/>
        <v>#VALUE!</v>
      </c>
    </row>
    <row r="4202" spans="1:25" ht="15" x14ac:dyDescent="0.25">
      <c r="A4202" s="4">
        <v>4201</v>
      </c>
      <c r="C4202" s="41" t="s">
        <v>6571</v>
      </c>
      <c r="D4202" s="42"/>
      <c r="E4202" s="5" t="str">
        <f t="shared" si="80"/>
        <v>https://www.screener.in/company//consolidated/</v>
      </c>
      <c r="F4202" s="4">
        <v>443059</v>
      </c>
      <c r="G4202" s="4">
        <v>3832241897</v>
      </c>
      <c r="H4202" s="6" t="e">
        <f t="shared" ca="1" si="81"/>
        <v>#VALUE!</v>
      </c>
      <c r="I4202" s="7" t="str">
        <f ca="1">IFERROR(__xludf.DUMMYFUNCTION("IMPORTXML(E4202,""/html/body/main/div[3]/div[3]/div[2]/ul/li[5]/span[2]/span"")"),"Loading...")</f>
        <v>Loading...</v>
      </c>
      <c r="J4202" s="7" t="str">
        <f ca="1">IFERROR(__xludf.DUMMYFUNCTION("GOOGLEFINANCE(""NSE:""&amp;D4202,""marketcap"")"),"#N/A")</f>
        <v>#N/A</v>
      </c>
      <c r="K4202" s="7">
        <v>992.8</v>
      </c>
      <c r="L4202" s="8" t="str">
        <f ca="1">IFERROR(__xludf.DUMMYFUNCTION("GOOGLEFINANCE(""NSE:""&amp;D4202,""price"")"),"#N/A")</f>
        <v>#N/A</v>
      </c>
      <c r="M4202" s="9" t="e">
        <f t="shared" ca="1" si="82"/>
        <v>#VALUE!</v>
      </c>
      <c r="N4202" s="10" t="e">
        <f t="shared" ca="1" si="83"/>
        <v>#VALUE!</v>
      </c>
      <c r="O4202" s="7" t="str">
        <f ca="1">IFERROR(__xludf.DUMMYFUNCTION("GOOGLEFINANCE(""NSE:""&amp;D4202,""pe"")"),"#N/A")</f>
        <v>#N/A</v>
      </c>
      <c r="P4202" s="7" t="str">
        <f ca="1">IFERROR(__xludf.DUMMYFUNCTION("GOOGLEFINANCE(""NSE:""&amp;D4202,""EPS"")"),"#N/A")</f>
        <v>#N/A</v>
      </c>
      <c r="Q4202" s="7">
        <v>13.5</v>
      </c>
      <c r="R4202" s="7" t="str">
        <f ca="1">IFERROR(__xludf.DUMMYFUNCTION("IMPORTXML(E4202,""/html/body/main/div[3]/div[3]/div[2]/ul/li[7]/span[2]/span"")"),"Loading...")</f>
        <v>Loading...</v>
      </c>
      <c r="S4202" s="7" t="str">
        <f ca="1">IFERROR(__xludf.DUMMYFUNCTION("IMPORTXML(E4202,""/html/body/main/div[3]/div[3]/div[2]/ul/li[8]/span[2]/span"")"),"Loading...")</f>
        <v>Loading...</v>
      </c>
      <c r="T4202" s="4">
        <v>34.6</v>
      </c>
      <c r="U4202" s="4">
        <v>22.7</v>
      </c>
      <c r="V4202" s="4">
        <v>2.6</v>
      </c>
      <c r="W4202" s="4">
        <v>5.7</v>
      </c>
      <c r="X4202" s="4">
        <v>519.92999999999995</v>
      </c>
      <c r="Y4202" s="7" t="e">
        <f t="shared" ca="1" si="84"/>
        <v>#VALUE!</v>
      </c>
    </row>
    <row r="4203" spans="1:25" ht="15" x14ac:dyDescent="0.25">
      <c r="A4203" s="4">
        <v>4202</v>
      </c>
      <c r="C4203" s="41" t="s">
        <v>6572</v>
      </c>
      <c r="D4203" s="42"/>
      <c r="E4203" s="5" t="str">
        <f t="shared" si="80"/>
        <v>https://www.screener.in/company//consolidated/</v>
      </c>
      <c r="F4203" s="4">
        <v>443059</v>
      </c>
      <c r="G4203" s="4">
        <v>3832241897</v>
      </c>
      <c r="H4203" s="6" t="e">
        <f t="shared" ca="1" si="81"/>
        <v>#VALUE!</v>
      </c>
      <c r="I4203" s="7" t="str">
        <f ca="1">IFERROR(__xludf.DUMMYFUNCTION("IMPORTXML(E4203,""/html/body/main/div[3]/div[3]/div[2]/ul/li[5]/span[2]/span"")"),"Loading...")</f>
        <v>Loading...</v>
      </c>
      <c r="J4203" s="7" t="str">
        <f ca="1">IFERROR(__xludf.DUMMYFUNCTION("GOOGLEFINANCE(""NSE:""&amp;D4203,""marketcap"")"),"#N/A")</f>
        <v>#N/A</v>
      </c>
      <c r="K4203" s="7">
        <v>992.8</v>
      </c>
      <c r="L4203" s="8" t="str">
        <f ca="1">IFERROR(__xludf.DUMMYFUNCTION("GOOGLEFINANCE(""NSE:""&amp;D4203,""price"")"),"#N/A")</f>
        <v>#N/A</v>
      </c>
      <c r="M4203" s="9" t="e">
        <f t="shared" ca="1" si="82"/>
        <v>#VALUE!</v>
      </c>
      <c r="N4203" s="10" t="e">
        <f t="shared" ca="1" si="83"/>
        <v>#VALUE!</v>
      </c>
      <c r="O4203" s="7" t="str">
        <f ca="1">IFERROR(__xludf.DUMMYFUNCTION("GOOGLEFINANCE(""NSE:""&amp;D4203,""pe"")"),"#N/A")</f>
        <v>#N/A</v>
      </c>
      <c r="P4203" s="7" t="str">
        <f ca="1">IFERROR(__xludf.DUMMYFUNCTION("GOOGLEFINANCE(""NSE:""&amp;D4203,""EPS"")"),"#N/A")</f>
        <v>#N/A</v>
      </c>
      <c r="Q4203" s="7">
        <v>13.5</v>
      </c>
      <c r="R4203" s="7" t="str">
        <f ca="1">IFERROR(__xludf.DUMMYFUNCTION("IMPORTXML(E4203,""/html/body/main/div[3]/div[3]/div[2]/ul/li[7]/span[2]/span"")"),"Loading...")</f>
        <v>Loading...</v>
      </c>
      <c r="S4203" s="7" t="str">
        <f ca="1">IFERROR(__xludf.DUMMYFUNCTION("IMPORTXML(E4203,""/html/body/main/div[3]/div[3]/div[2]/ul/li[8]/span[2]/span"")"),"Loading...")</f>
        <v>Loading...</v>
      </c>
      <c r="T4203" s="4">
        <v>34.6</v>
      </c>
      <c r="U4203" s="4">
        <v>22.7</v>
      </c>
      <c r="V4203" s="4">
        <v>2.6</v>
      </c>
      <c r="W4203" s="4">
        <v>5.7</v>
      </c>
      <c r="X4203" s="4">
        <v>519.92999999999995</v>
      </c>
      <c r="Y4203" s="7" t="e">
        <f t="shared" ca="1" si="84"/>
        <v>#VALUE!</v>
      </c>
    </row>
    <row r="4204" spans="1:25" ht="15" x14ac:dyDescent="0.25">
      <c r="A4204" s="4">
        <v>4203</v>
      </c>
      <c r="C4204" s="41" t="s">
        <v>6573</v>
      </c>
      <c r="D4204" s="42"/>
      <c r="E4204" s="5" t="str">
        <f t="shared" si="80"/>
        <v>https://www.screener.in/company//consolidated/</v>
      </c>
      <c r="F4204" s="4">
        <v>443059</v>
      </c>
      <c r="G4204" s="4">
        <v>3832241897</v>
      </c>
      <c r="H4204" s="6" t="e">
        <f t="shared" ca="1" si="81"/>
        <v>#VALUE!</v>
      </c>
      <c r="I4204" s="7" t="str">
        <f ca="1">IFERROR(__xludf.DUMMYFUNCTION("IMPORTXML(E4204,""/html/body/main/div[3]/div[3]/div[2]/ul/li[5]/span[2]/span"")"),"Loading...")</f>
        <v>Loading...</v>
      </c>
      <c r="J4204" s="7" t="str">
        <f ca="1">IFERROR(__xludf.DUMMYFUNCTION("GOOGLEFINANCE(""NSE:""&amp;D4204,""marketcap"")"),"#N/A")</f>
        <v>#N/A</v>
      </c>
      <c r="K4204" s="7">
        <v>992.8</v>
      </c>
      <c r="L4204" s="8" t="str">
        <f ca="1">IFERROR(__xludf.DUMMYFUNCTION("GOOGLEFINANCE(""NSE:""&amp;D4204,""price"")"),"#N/A")</f>
        <v>#N/A</v>
      </c>
      <c r="M4204" s="9" t="e">
        <f t="shared" ca="1" si="82"/>
        <v>#VALUE!</v>
      </c>
      <c r="N4204" s="10" t="e">
        <f t="shared" ca="1" si="83"/>
        <v>#VALUE!</v>
      </c>
      <c r="O4204" s="7" t="str">
        <f ca="1">IFERROR(__xludf.DUMMYFUNCTION("GOOGLEFINANCE(""NSE:""&amp;D4204,""pe"")"),"#N/A")</f>
        <v>#N/A</v>
      </c>
      <c r="P4204" s="7" t="str">
        <f ca="1">IFERROR(__xludf.DUMMYFUNCTION("GOOGLEFINANCE(""NSE:""&amp;D4204,""EPS"")"),"#N/A")</f>
        <v>#N/A</v>
      </c>
      <c r="Q4204" s="7">
        <v>13.5</v>
      </c>
      <c r="R4204" s="7" t="str">
        <f ca="1">IFERROR(__xludf.DUMMYFUNCTION("IMPORTXML(E4204,""/html/body/main/div[3]/div[3]/div[2]/ul/li[7]/span[2]/span"")"),"Loading...")</f>
        <v>Loading...</v>
      </c>
      <c r="S4204" s="7" t="str">
        <f ca="1">IFERROR(__xludf.DUMMYFUNCTION("IMPORTXML(E4204,""/html/body/main/div[3]/div[3]/div[2]/ul/li[8]/span[2]/span"")"),"Loading...")</f>
        <v>Loading...</v>
      </c>
      <c r="T4204" s="4">
        <v>34.6</v>
      </c>
      <c r="U4204" s="4">
        <v>22.7</v>
      </c>
      <c r="V4204" s="4">
        <v>2.6</v>
      </c>
      <c r="W4204" s="4">
        <v>5.7</v>
      </c>
      <c r="X4204" s="4">
        <v>519.92999999999995</v>
      </c>
      <c r="Y4204" s="7" t="e">
        <f t="shared" ca="1" si="84"/>
        <v>#VALUE!</v>
      </c>
    </row>
    <row r="4205" spans="1:25" ht="15" x14ac:dyDescent="0.25">
      <c r="A4205" s="4">
        <v>4204</v>
      </c>
      <c r="C4205" s="41" t="s">
        <v>6574</v>
      </c>
      <c r="D4205" s="42"/>
      <c r="E4205" s="5" t="str">
        <f t="shared" si="80"/>
        <v>https://www.screener.in/company//consolidated/</v>
      </c>
      <c r="F4205" s="4">
        <v>443059</v>
      </c>
      <c r="G4205" s="4">
        <v>3832241897</v>
      </c>
      <c r="H4205" s="6" t="e">
        <f t="shared" ca="1" si="81"/>
        <v>#VALUE!</v>
      </c>
      <c r="I4205" s="7" t="str">
        <f ca="1">IFERROR(__xludf.DUMMYFUNCTION("IMPORTXML(E4205,""/html/body/main/div[3]/div[3]/div[2]/ul/li[5]/span[2]/span"")"),"Loading...")</f>
        <v>Loading...</v>
      </c>
      <c r="J4205" s="7" t="str">
        <f ca="1">IFERROR(__xludf.DUMMYFUNCTION("GOOGLEFINANCE(""NSE:""&amp;D4205,""marketcap"")"),"#N/A")</f>
        <v>#N/A</v>
      </c>
      <c r="K4205" s="7">
        <v>992.8</v>
      </c>
      <c r="L4205" s="8" t="str">
        <f ca="1">IFERROR(__xludf.DUMMYFUNCTION("GOOGLEFINANCE(""NSE:""&amp;D4205,""price"")"),"#N/A")</f>
        <v>#N/A</v>
      </c>
      <c r="M4205" s="9" t="e">
        <f t="shared" ca="1" si="82"/>
        <v>#VALUE!</v>
      </c>
      <c r="N4205" s="10" t="e">
        <f t="shared" ca="1" si="83"/>
        <v>#VALUE!</v>
      </c>
      <c r="O4205" s="7" t="str">
        <f ca="1">IFERROR(__xludf.DUMMYFUNCTION("GOOGLEFINANCE(""NSE:""&amp;D4205,""pe"")"),"#N/A")</f>
        <v>#N/A</v>
      </c>
      <c r="P4205" s="7" t="str">
        <f ca="1">IFERROR(__xludf.DUMMYFUNCTION("GOOGLEFINANCE(""NSE:""&amp;D4205,""EPS"")"),"#N/A")</f>
        <v>#N/A</v>
      </c>
      <c r="Q4205" s="7">
        <v>13.5</v>
      </c>
      <c r="R4205" s="7" t="str">
        <f ca="1">IFERROR(__xludf.DUMMYFUNCTION("IMPORTXML(E4205,""/html/body/main/div[3]/div[3]/div[2]/ul/li[7]/span[2]/span"")"),"Loading...")</f>
        <v>Loading...</v>
      </c>
      <c r="S4205" s="7" t="str">
        <f ca="1">IFERROR(__xludf.DUMMYFUNCTION("IMPORTXML(E4205,""/html/body/main/div[3]/div[3]/div[2]/ul/li[8]/span[2]/span"")"),"Loading...")</f>
        <v>Loading...</v>
      </c>
      <c r="T4205" s="4">
        <v>34.6</v>
      </c>
      <c r="U4205" s="4">
        <v>22.7</v>
      </c>
      <c r="V4205" s="4">
        <v>2.6</v>
      </c>
      <c r="W4205" s="4">
        <v>5.7</v>
      </c>
      <c r="X4205" s="4">
        <v>519.92999999999995</v>
      </c>
      <c r="Y4205" s="7" t="e">
        <f t="shared" ca="1" si="84"/>
        <v>#VALUE!</v>
      </c>
    </row>
    <row r="4206" spans="1:25" ht="15" x14ac:dyDescent="0.25">
      <c r="A4206" s="4">
        <v>4205</v>
      </c>
      <c r="C4206" s="41" t="s">
        <v>6575</v>
      </c>
      <c r="D4206" s="42"/>
      <c r="E4206" s="5" t="str">
        <f t="shared" si="80"/>
        <v>https://www.screener.in/company//consolidated/</v>
      </c>
      <c r="F4206" s="4">
        <v>443059</v>
      </c>
      <c r="G4206" s="4">
        <v>3832241897</v>
      </c>
      <c r="H4206" s="6" t="e">
        <f t="shared" ca="1" si="81"/>
        <v>#VALUE!</v>
      </c>
      <c r="I4206" s="7" t="str">
        <f ca="1">IFERROR(__xludf.DUMMYFUNCTION("IMPORTXML(E4206,""/html/body/main/div[3]/div[3]/div[2]/ul/li[5]/span[2]/span"")"),"Loading...")</f>
        <v>Loading...</v>
      </c>
      <c r="J4206" s="7" t="str">
        <f ca="1">IFERROR(__xludf.DUMMYFUNCTION("GOOGLEFINANCE(""NSE:""&amp;D4206,""marketcap"")"),"#N/A")</f>
        <v>#N/A</v>
      </c>
      <c r="K4206" s="7">
        <v>992.8</v>
      </c>
      <c r="L4206" s="8" t="str">
        <f ca="1">IFERROR(__xludf.DUMMYFUNCTION("GOOGLEFINANCE(""NSE:""&amp;D4206,""price"")"),"#N/A")</f>
        <v>#N/A</v>
      </c>
      <c r="M4206" s="9" t="e">
        <f t="shared" ca="1" si="82"/>
        <v>#VALUE!</v>
      </c>
      <c r="N4206" s="10" t="e">
        <f t="shared" ca="1" si="83"/>
        <v>#VALUE!</v>
      </c>
      <c r="O4206" s="7" t="str">
        <f ca="1">IFERROR(__xludf.DUMMYFUNCTION("GOOGLEFINANCE(""NSE:""&amp;D4206,""pe"")"),"#N/A")</f>
        <v>#N/A</v>
      </c>
      <c r="P4206" s="7" t="str">
        <f ca="1">IFERROR(__xludf.DUMMYFUNCTION("GOOGLEFINANCE(""NSE:""&amp;D4206,""EPS"")"),"#N/A")</f>
        <v>#N/A</v>
      </c>
      <c r="Q4206" s="7">
        <v>13.5</v>
      </c>
      <c r="R4206" s="7" t="str">
        <f ca="1">IFERROR(__xludf.DUMMYFUNCTION("IMPORTXML(E4206,""/html/body/main/div[3]/div[3]/div[2]/ul/li[7]/span[2]/span"")"),"Loading...")</f>
        <v>Loading...</v>
      </c>
      <c r="S4206" s="7" t="str">
        <f ca="1">IFERROR(__xludf.DUMMYFUNCTION("IMPORTXML(E4206,""/html/body/main/div[3]/div[3]/div[2]/ul/li[8]/span[2]/span"")"),"Loading...")</f>
        <v>Loading...</v>
      </c>
      <c r="T4206" s="4">
        <v>34.6</v>
      </c>
      <c r="U4206" s="4">
        <v>22.7</v>
      </c>
      <c r="V4206" s="4">
        <v>2.6</v>
      </c>
      <c r="W4206" s="4">
        <v>5.7</v>
      </c>
      <c r="X4206" s="4">
        <v>519.92999999999995</v>
      </c>
      <c r="Y4206" s="7" t="e">
        <f t="shared" ca="1" si="84"/>
        <v>#VALUE!</v>
      </c>
    </row>
    <row r="4207" spans="1:25" ht="15" x14ac:dyDescent="0.25">
      <c r="A4207" s="4">
        <v>4206</v>
      </c>
      <c r="C4207" s="41" t="s">
        <v>6576</v>
      </c>
      <c r="D4207" s="42"/>
      <c r="E4207" s="5" t="str">
        <f t="shared" si="80"/>
        <v>https://www.screener.in/company//consolidated/</v>
      </c>
      <c r="F4207" s="4">
        <v>443059</v>
      </c>
      <c r="G4207" s="4">
        <v>3832241897</v>
      </c>
      <c r="H4207" s="6" t="e">
        <f t="shared" ca="1" si="81"/>
        <v>#VALUE!</v>
      </c>
      <c r="I4207" s="7" t="str">
        <f ca="1">IFERROR(__xludf.DUMMYFUNCTION("IMPORTXML(E4207,""/html/body/main/div[3]/div[3]/div[2]/ul/li[5]/span[2]/span"")"),"Loading...")</f>
        <v>Loading...</v>
      </c>
      <c r="J4207" s="7" t="str">
        <f ca="1">IFERROR(__xludf.DUMMYFUNCTION("GOOGLEFINANCE(""NSE:""&amp;D4207,""marketcap"")"),"#N/A")</f>
        <v>#N/A</v>
      </c>
      <c r="K4207" s="7">
        <v>992.8</v>
      </c>
      <c r="L4207" s="8" t="str">
        <f ca="1">IFERROR(__xludf.DUMMYFUNCTION("GOOGLEFINANCE(""NSE:""&amp;D4207,""price"")"),"#N/A")</f>
        <v>#N/A</v>
      </c>
      <c r="M4207" s="9" t="e">
        <f t="shared" ca="1" si="82"/>
        <v>#VALUE!</v>
      </c>
      <c r="N4207" s="10" t="e">
        <f t="shared" ca="1" si="83"/>
        <v>#VALUE!</v>
      </c>
      <c r="O4207" s="7" t="str">
        <f ca="1">IFERROR(__xludf.DUMMYFUNCTION("GOOGLEFINANCE(""NSE:""&amp;D4207,""pe"")"),"#N/A")</f>
        <v>#N/A</v>
      </c>
      <c r="P4207" s="7" t="str">
        <f ca="1">IFERROR(__xludf.DUMMYFUNCTION("GOOGLEFINANCE(""NSE:""&amp;D4207,""EPS"")"),"#N/A")</f>
        <v>#N/A</v>
      </c>
      <c r="Q4207" s="7">
        <v>13.5</v>
      </c>
      <c r="R4207" s="7" t="str">
        <f ca="1">IFERROR(__xludf.DUMMYFUNCTION("IMPORTXML(E4207,""/html/body/main/div[3]/div[3]/div[2]/ul/li[7]/span[2]/span"")"),"Loading...")</f>
        <v>Loading...</v>
      </c>
      <c r="S4207" s="7" t="str">
        <f ca="1">IFERROR(__xludf.DUMMYFUNCTION("IMPORTXML(E4207,""/html/body/main/div[3]/div[3]/div[2]/ul/li[8]/span[2]/span"")"),"Loading...")</f>
        <v>Loading...</v>
      </c>
      <c r="T4207" s="4">
        <v>34.6</v>
      </c>
      <c r="U4207" s="4">
        <v>22.7</v>
      </c>
      <c r="V4207" s="4">
        <v>2.6</v>
      </c>
      <c r="W4207" s="4">
        <v>5.7</v>
      </c>
      <c r="X4207" s="4">
        <v>519.92999999999995</v>
      </c>
      <c r="Y4207" s="7" t="e">
        <f t="shared" ca="1" si="84"/>
        <v>#VALUE!</v>
      </c>
    </row>
    <row r="4208" spans="1:25" ht="15" x14ac:dyDescent="0.25">
      <c r="A4208" s="4">
        <v>4207</v>
      </c>
      <c r="C4208" s="41" t="s">
        <v>6577</v>
      </c>
      <c r="D4208" s="42"/>
      <c r="E4208" s="5" t="str">
        <f t="shared" si="80"/>
        <v>https://www.screener.in/company//consolidated/</v>
      </c>
      <c r="F4208" s="4">
        <v>443059</v>
      </c>
      <c r="G4208" s="4">
        <v>3832241897</v>
      </c>
      <c r="H4208" s="6" t="e">
        <f t="shared" ca="1" si="81"/>
        <v>#VALUE!</v>
      </c>
      <c r="I4208" s="7" t="str">
        <f ca="1">IFERROR(__xludf.DUMMYFUNCTION("IMPORTXML(E4208,""/html/body/main/div[3]/div[3]/div[2]/ul/li[5]/span[2]/span"")"),"Loading...")</f>
        <v>Loading...</v>
      </c>
      <c r="J4208" s="7" t="str">
        <f ca="1">IFERROR(__xludf.DUMMYFUNCTION("GOOGLEFINANCE(""NSE:""&amp;D4208,""marketcap"")"),"#N/A")</f>
        <v>#N/A</v>
      </c>
      <c r="K4208" s="7">
        <v>992.8</v>
      </c>
      <c r="L4208" s="8" t="str">
        <f ca="1">IFERROR(__xludf.DUMMYFUNCTION("GOOGLEFINANCE(""NSE:""&amp;D4208,""price"")"),"#N/A")</f>
        <v>#N/A</v>
      </c>
      <c r="M4208" s="9" t="e">
        <f t="shared" ca="1" si="82"/>
        <v>#VALUE!</v>
      </c>
      <c r="N4208" s="10" t="e">
        <f t="shared" ca="1" si="83"/>
        <v>#VALUE!</v>
      </c>
      <c r="O4208" s="7" t="str">
        <f ca="1">IFERROR(__xludf.DUMMYFUNCTION("GOOGLEFINANCE(""NSE:""&amp;D4208,""pe"")"),"#N/A")</f>
        <v>#N/A</v>
      </c>
      <c r="P4208" s="7" t="str">
        <f ca="1">IFERROR(__xludf.DUMMYFUNCTION("GOOGLEFINANCE(""NSE:""&amp;D4208,""EPS"")"),"#N/A")</f>
        <v>#N/A</v>
      </c>
      <c r="Q4208" s="7">
        <v>13.5</v>
      </c>
      <c r="R4208" s="7" t="str">
        <f ca="1">IFERROR(__xludf.DUMMYFUNCTION("IMPORTXML(E4208,""/html/body/main/div[3]/div[3]/div[2]/ul/li[7]/span[2]/span"")"),"Loading...")</f>
        <v>Loading...</v>
      </c>
      <c r="S4208" s="7" t="str">
        <f ca="1">IFERROR(__xludf.DUMMYFUNCTION("IMPORTXML(E4208,""/html/body/main/div[3]/div[3]/div[2]/ul/li[8]/span[2]/span"")"),"Loading...")</f>
        <v>Loading...</v>
      </c>
      <c r="T4208" s="4">
        <v>34.6</v>
      </c>
      <c r="U4208" s="4">
        <v>22.7</v>
      </c>
      <c r="V4208" s="4">
        <v>2.6</v>
      </c>
      <c r="W4208" s="4">
        <v>5.7</v>
      </c>
      <c r="X4208" s="4">
        <v>519.92999999999995</v>
      </c>
      <c r="Y4208" s="7" t="e">
        <f t="shared" ca="1" si="84"/>
        <v>#VALUE!</v>
      </c>
    </row>
    <row r="4209" spans="1:25" ht="15" x14ac:dyDescent="0.25">
      <c r="A4209" s="4">
        <v>4208</v>
      </c>
      <c r="C4209" s="41" t="s">
        <v>6578</v>
      </c>
      <c r="D4209" s="42"/>
      <c r="E4209" s="5" t="str">
        <f t="shared" si="80"/>
        <v>https://www.screener.in/company//consolidated/</v>
      </c>
      <c r="F4209" s="4">
        <v>443059</v>
      </c>
      <c r="G4209" s="4">
        <v>3832241897</v>
      </c>
      <c r="H4209" s="6" t="e">
        <f t="shared" ca="1" si="81"/>
        <v>#VALUE!</v>
      </c>
      <c r="I4209" s="7" t="str">
        <f ca="1">IFERROR(__xludf.DUMMYFUNCTION("IMPORTXML(E4209,""/html/body/main/div[3]/div[3]/div[2]/ul/li[5]/span[2]/span"")"),"Loading...")</f>
        <v>Loading...</v>
      </c>
      <c r="J4209" s="7" t="str">
        <f ca="1">IFERROR(__xludf.DUMMYFUNCTION("GOOGLEFINANCE(""NSE:""&amp;D4209,""marketcap"")"),"#N/A")</f>
        <v>#N/A</v>
      </c>
      <c r="K4209" s="7">
        <v>992.8</v>
      </c>
      <c r="L4209" s="8" t="str">
        <f ca="1">IFERROR(__xludf.DUMMYFUNCTION("GOOGLEFINANCE(""NSE:""&amp;D4209,""price"")"),"#N/A")</f>
        <v>#N/A</v>
      </c>
      <c r="M4209" s="9" t="e">
        <f t="shared" ca="1" si="82"/>
        <v>#VALUE!</v>
      </c>
      <c r="N4209" s="10" t="e">
        <f t="shared" ca="1" si="83"/>
        <v>#VALUE!</v>
      </c>
      <c r="O4209" s="7" t="str">
        <f ca="1">IFERROR(__xludf.DUMMYFUNCTION("GOOGLEFINANCE(""NSE:""&amp;D4209,""pe"")"),"#N/A")</f>
        <v>#N/A</v>
      </c>
      <c r="P4209" s="7" t="str">
        <f ca="1">IFERROR(__xludf.DUMMYFUNCTION("GOOGLEFINANCE(""NSE:""&amp;D4209,""EPS"")"),"#N/A")</f>
        <v>#N/A</v>
      </c>
      <c r="Q4209" s="7">
        <v>13.5</v>
      </c>
      <c r="R4209" s="7" t="str">
        <f ca="1">IFERROR(__xludf.DUMMYFUNCTION("IMPORTXML(E4209,""/html/body/main/div[3]/div[3]/div[2]/ul/li[7]/span[2]/span"")"),"Loading...")</f>
        <v>Loading...</v>
      </c>
      <c r="S4209" s="7" t="str">
        <f ca="1">IFERROR(__xludf.DUMMYFUNCTION("IMPORTXML(E4209,""/html/body/main/div[3]/div[3]/div[2]/ul/li[8]/span[2]/span"")"),"Loading...")</f>
        <v>Loading...</v>
      </c>
      <c r="T4209" s="4">
        <v>34.6</v>
      </c>
      <c r="U4209" s="4">
        <v>22.7</v>
      </c>
      <c r="V4209" s="4">
        <v>2.6</v>
      </c>
      <c r="W4209" s="4">
        <v>5.7</v>
      </c>
      <c r="X4209" s="4">
        <v>519.92999999999995</v>
      </c>
      <c r="Y4209" s="7" t="e">
        <f t="shared" ca="1" si="84"/>
        <v>#VALUE!</v>
      </c>
    </row>
    <row r="4210" spans="1:25" ht="15" x14ac:dyDescent="0.25">
      <c r="A4210" s="4">
        <v>4209</v>
      </c>
      <c r="C4210" s="41" t="s">
        <v>6579</v>
      </c>
      <c r="D4210" s="42"/>
      <c r="E4210" s="5" t="str">
        <f t="shared" si="80"/>
        <v>https://www.screener.in/company//consolidated/</v>
      </c>
      <c r="F4210" s="4">
        <v>443059</v>
      </c>
      <c r="G4210" s="4">
        <v>3832241897</v>
      </c>
      <c r="H4210" s="6" t="e">
        <f t="shared" ca="1" si="81"/>
        <v>#VALUE!</v>
      </c>
      <c r="I4210" s="7" t="str">
        <f ca="1">IFERROR(__xludf.DUMMYFUNCTION("IMPORTXML(E4210,""/html/body/main/div[3]/div[3]/div[2]/ul/li[5]/span[2]/span"")"),"Loading...")</f>
        <v>Loading...</v>
      </c>
      <c r="J4210" s="7" t="str">
        <f ca="1">IFERROR(__xludf.DUMMYFUNCTION("GOOGLEFINANCE(""NSE:""&amp;D4210,""marketcap"")"),"#N/A")</f>
        <v>#N/A</v>
      </c>
      <c r="K4210" s="7">
        <v>992.8</v>
      </c>
      <c r="L4210" s="8" t="str">
        <f ca="1">IFERROR(__xludf.DUMMYFUNCTION("GOOGLEFINANCE(""NSE:""&amp;D4210,""price"")"),"#N/A")</f>
        <v>#N/A</v>
      </c>
      <c r="M4210" s="9" t="e">
        <f t="shared" ca="1" si="82"/>
        <v>#VALUE!</v>
      </c>
      <c r="N4210" s="10" t="e">
        <f t="shared" ca="1" si="83"/>
        <v>#VALUE!</v>
      </c>
      <c r="O4210" s="7" t="str">
        <f ca="1">IFERROR(__xludf.DUMMYFUNCTION("GOOGLEFINANCE(""NSE:""&amp;D4210,""pe"")"),"#N/A")</f>
        <v>#N/A</v>
      </c>
      <c r="P4210" s="7" t="str">
        <f ca="1">IFERROR(__xludf.DUMMYFUNCTION("GOOGLEFINANCE(""NSE:""&amp;D4210,""EPS"")"),"#N/A")</f>
        <v>#N/A</v>
      </c>
      <c r="Q4210" s="7">
        <v>13.5</v>
      </c>
      <c r="R4210" s="7" t="str">
        <f ca="1">IFERROR(__xludf.DUMMYFUNCTION("IMPORTXML(E4210,""/html/body/main/div[3]/div[3]/div[2]/ul/li[7]/span[2]/span"")"),"Loading...")</f>
        <v>Loading...</v>
      </c>
      <c r="S4210" s="7" t="str">
        <f ca="1">IFERROR(__xludf.DUMMYFUNCTION("IMPORTXML(E4210,""/html/body/main/div[3]/div[3]/div[2]/ul/li[8]/span[2]/span"")"),"Loading...")</f>
        <v>Loading...</v>
      </c>
      <c r="T4210" s="4">
        <v>34.6</v>
      </c>
      <c r="U4210" s="4">
        <v>22.7</v>
      </c>
      <c r="V4210" s="4">
        <v>2.6</v>
      </c>
      <c r="W4210" s="4">
        <v>5.7</v>
      </c>
      <c r="X4210" s="4">
        <v>519.92999999999995</v>
      </c>
      <c r="Y4210" s="7" t="e">
        <f t="shared" ca="1" si="84"/>
        <v>#VALUE!</v>
      </c>
    </row>
    <row r="4211" spans="1:25" ht="15" x14ac:dyDescent="0.25">
      <c r="A4211" s="4">
        <v>4210</v>
      </c>
      <c r="C4211" s="41" t="s">
        <v>6580</v>
      </c>
      <c r="D4211" s="42"/>
      <c r="E4211" s="5" t="str">
        <f t="shared" si="80"/>
        <v>https://www.screener.in/company//consolidated/</v>
      </c>
      <c r="F4211" s="4">
        <v>443059</v>
      </c>
      <c r="G4211" s="4">
        <v>3832241897</v>
      </c>
      <c r="H4211" s="6" t="e">
        <f t="shared" ca="1" si="81"/>
        <v>#VALUE!</v>
      </c>
      <c r="I4211" s="7" t="str">
        <f ca="1">IFERROR(__xludf.DUMMYFUNCTION("IMPORTXML(E4211,""/html/body/main/div[3]/div[3]/div[2]/ul/li[5]/span[2]/span"")"),"Loading...")</f>
        <v>Loading...</v>
      </c>
      <c r="J4211" s="7" t="str">
        <f ca="1">IFERROR(__xludf.DUMMYFUNCTION("GOOGLEFINANCE(""NSE:""&amp;D4211,""marketcap"")"),"#N/A")</f>
        <v>#N/A</v>
      </c>
      <c r="K4211" s="7">
        <v>992.8</v>
      </c>
      <c r="L4211" s="8" t="str">
        <f ca="1">IFERROR(__xludf.DUMMYFUNCTION("GOOGLEFINANCE(""NSE:""&amp;D4211,""price"")"),"#N/A")</f>
        <v>#N/A</v>
      </c>
      <c r="M4211" s="9" t="e">
        <f t="shared" ca="1" si="82"/>
        <v>#VALUE!</v>
      </c>
      <c r="N4211" s="10" t="e">
        <f t="shared" ca="1" si="83"/>
        <v>#VALUE!</v>
      </c>
      <c r="O4211" s="7" t="str">
        <f ca="1">IFERROR(__xludf.DUMMYFUNCTION("GOOGLEFINANCE(""NSE:""&amp;D4211,""pe"")"),"#N/A")</f>
        <v>#N/A</v>
      </c>
      <c r="P4211" s="7" t="str">
        <f ca="1">IFERROR(__xludf.DUMMYFUNCTION("GOOGLEFINANCE(""NSE:""&amp;D4211,""EPS"")"),"#N/A")</f>
        <v>#N/A</v>
      </c>
      <c r="Q4211" s="7">
        <v>13.5</v>
      </c>
      <c r="R4211" s="7" t="str">
        <f ca="1">IFERROR(__xludf.DUMMYFUNCTION("IMPORTXML(E4211,""/html/body/main/div[3]/div[3]/div[2]/ul/li[7]/span[2]/span"")"),"Loading...")</f>
        <v>Loading...</v>
      </c>
      <c r="S4211" s="7" t="str">
        <f ca="1">IFERROR(__xludf.DUMMYFUNCTION("IMPORTXML(E4211,""/html/body/main/div[3]/div[3]/div[2]/ul/li[8]/span[2]/span"")"),"Loading...")</f>
        <v>Loading...</v>
      </c>
      <c r="T4211" s="4">
        <v>34.6</v>
      </c>
      <c r="U4211" s="4">
        <v>22.7</v>
      </c>
      <c r="V4211" s="4">
        <v>2.6</v>
      </c>
      <c r="W4211" s="4">
        <v>5.7</v>
      </c>
      <c r="X4211" s="4">
        <v>519.92999999999995</v>
      </c>
      <c r="Y4211" s="7" t="e">
        <f t="shared" ca="1" si="84"/>
        <v>#VALUE!</v>
      </c>
    </row>
    <row r="4212" spans="1:25" ht="15" x14ac:dyDescent="0.25">
      <c r="A4212" s="4">
        <v>4211</v>
      </c>
      <c r="C4212" s="41" t="s">
        <v>6581</v>
      </c>
      <c r="D4212" s="42"/>
      <c r="E4212" s="5" t="str">
        <f t="shared" si="80"/>
        <v>https://www.screener.in/company//consolidated/</v>
      </c>
      <c r="F4212" s="4">
        <v>443059</v>
      </c>
      <c r="G4212" s="4">
        <v>3832241897</v>
      </c>
      <c r="H4212" s="6" t="e">
        <f t="shared" ca="1" si="81"/>
        <v>#VALUE!</v>
      </c>
      <c r="I4212" s="7" t="str">
        <f ca="1">IFERROR(__xludf.DUMMYFUNCTION("IMPORTXML(E4212,""/html/body/main/div[3]/div[3]/div[2]/ul/li[5]/span[2]/span"")"),"Loading...")</f>
        <v>Loading...</v>
      </c>
      <c r="J4212" s="7" t="str">
        <f ca="1">IFERROR(__xludf.DUMMYFUNCTION("GOOGLEFINANCE(""NSE:""&amp;D4212,""marketcap"")"),"#N/A")</f>
        <v>#N/A</v>
      </c>
      <c r="K4212" s="7">
        <v>992.8</v>
      </c>
      <c r="L4212" s="8" t="str">
        <f ca="1">IFERROR(__xludf.DUMMYFUNCTION("GOOGLEFINANCE(""NSE:""&amp;D4212,""price"")"),"#N/A")</f>
        <v>#N/A</v>
      </c>
      <c r="M4212" s="9" t="e">
        <f t="shared" ca="1" si="82"/>
        <v>#VALUE!</v>
      </c>
      <c r="N4212" s="10" t="e">
        <f t="shared" ca="1" si="83"/>
        <v>#VALUE!</v>
      </c>
      <c r="O4212" s="7" t="str">
        <f ca="1">IFERROR(__xludf.DUMMYFUNCTION("GOOGLEFINANCE(""NSE:""&amp;D4212,""pe"")"),"#N/A")</f>
        <v>#N/A</v>
      </c>
      <c r="P4212" s="7" t="str">
        <f ca="1">IFERROR(__xludf.DUMMYFUNCTION("GOOGLEFINANCE(""NSE:""&amp;D4212,""EPS"")"),"#N/A")</f>
        <v>#N/A</v>
      </c>
      <c r="Q4212" s="7">
        <v>13.5</v>
      </c>
      <c r="R4212" s="7" t="str">
        <f ca="1">IFERROR(__xludf.DUMMYFUNCTION("IMPORTXML(E4212,""/html/body/main/div[3]/div[3]/div[2]/ul/li[7]/span[2]/span"")"),"Loading...")</f>
        <v>Loading...</v>
      </c>
      <c r="S4212" s="7" t="str">
        <f ca="1">IFERROR(__xludf.DUMMYFUNCTION("IMPORTXML(E4212,""/html/body/main/div[3]/div[3]/div[2]/ul/li[8]/span[2]/span"")"),"Loading...")</f>
        <v>Loading...</v>
      </c>
      <c r="T4212" s="4">
        <v>34.6</v>
      </c>
      <c r="U4212" s="4">
        <v>22.7</v>
      </c>
      <c r="V4212" s="4">
        <v>2.6</v>
      </c>
      <c r="W4212" s="4">
        <v>5.7</v>
      </c>
      <c r="X4212" s="4">
        <v>519.92999999999995</v>
      </c>
      <c r="Y4212" s="7" t="e">
        <f t="shared" ca="1" si="84"/>
        <v>#VALUE!</v>
      </c>
    </row>
    <row r="4213" spans="1:25" ht="15" x14ac:dyDescent="0.25">
      <c r="A4213" s="4">
        <v>4212</v>
      </c>
      <c r="C4213" s="41" t="s">
        <v>6582</v>
      </c>
      <c r="D4213" s="42"/>
      <c r="E4213" s="5" t="str">
        <f t="shared" si="80"/>
        <v>https://www.screener.in/company//consolidated/</v>
      </c>
      <c r="F4213" s="4">
        <v>443059</v>
      </c>
      <c r="G4213" s="4">
        <v>3832241897</v>
      </c>
      <c r="H4213" s="6" t="e">
        <f t="shared" ca="1" si="81"/>
        <v>#VALUE!</v>
      </c>
      <c r="I4213" s="7" t="str">
        <f ca="1">IFERROR(__xludf.DUMMYFUNCTION("IMPORTXML(E4213,""/html/body/main/div[3]/div[3]/div[2]/ul/li[5]/span[2]/span"")"),"Loading...")</f>
        <v>Loading...</v>
      </c>
      <c r="J4213" s="7" t="str">
        <f ca="1">IFERROR(__xludf.DUMMYFUNCTION("GOOGLEFINANCE(""NSE:""&amp;D4213,""marketcap"")"),"#N/A")</f>
        <v>#N/A</v>
      </c>
      <c r="K4213" s="7">
        <v>992.8</v>
      </c>
      <c r="L4213" s="8" t="str">
        <f ca="1">IFERROR(__xludf.DUMMYFUNCTION("GOOGLEFINANCE(""NSE:""&amp;D4213,""price"")"),"#N/A")</f>
        <v>#N/A</v>
      </c>
      <c r="M4213" s="9" t="e">
        <f t="shared" ca="1" si="82"/>
        <v>#VALUE!</v>
      </c>
      <c r="N4213" s="10" t="e">
        <f t="shared" ca="1" si="83"/>
        <v>#VALUE!</v>
      </c>
      <c r="O4213" s="7" t="str">
        <f ca="1">IFERROR(__xludf.DUMMYFUNCTION("GOOGLEFINANCE(""NSE:""&amp;D4213,""pe"")"),"#N/A")</f>
        <v>#N/A</v>
      </c>
      <c r="P4213" s="7" t="str">
        <f ca="1">IFERROR(__xludf.DUMMYFUNCTION("GOOGLEFINANCE(""NSE:""&amp;D4213,""EPS"")"),"#N/A")</f>
        <v>#N/A</v>
      </c>
      <c r="Q4213" s="7">
        <v>13.5</v>
      </c>
      <c r="R4213" s="7" t="str">
        <f ca="1">IFERROR(__xludf.DUMMYFUNCTION("IMPORTXML(E4213,""/html/body/main/div[3]/div[3]/div[2]/ul/li[7]/span[2]/span"")"),"Loading...")</f>
        <v>Loading...</v>
      </c>
      <c r="S4213" s="7" t="str">
        <f ca="1">IFERROR(__xludf.DUMMYFUNCTION("IMPORTXML(E4213,""/html/body/main/div[3]/div[3]/div[2]/ul/li[8]/span[2]/span"")"),"Loading...")</f>
        <v>Loading...</v>
      </c>
      <c r="T4213" s="4">
        <v>34.6</v>
      </c>
      <c r="U4213" s="4">
        <v>22.7</v>
      </c>
      <c r="V4213" s="4">
        <v>2.6</v>
      </c>
      <c r="W4213" s="4">
        <v>5.7</v>
      </c>
      <c r="X4213" s="4">
        <v>519.92999999999995</v>
      </c>
      <c r="Y4213" s="7" t="e">
        <f t="shared" ca="1" si="84"/>
        <v>#VALUE!</v>
      </c>
    </row>
    <row r="4214" spans="1:25" ht="15" x14ac:dyDescent="0.25">
      <c r="A4214" s="4">
        <v>4213</v>
      </c>
      <c r="C4214" s="41" t="s">
        <v>6583</v>
      </c>
      <c r="D4214" s="42"/>
      <c r="E4214" s="5" t="str">
        <f t="shared" si="80"/>
        <v>https://www.screener.in/company//consolidated/</v>
      </c>
      <c r="F4214" s="4">
        <v>443059</v>
      </c>
      <c r="G4214" s="4">
        <v>3832241897</v>
      </c>
      <c r="H4214" s="6" t="e">
        <f t="shared" ca="1" si="81"/>
        <v>#VALUE!</v>
      </c>
      <c r="I4214" s="7" t="str">
        <f ca="1">IFERROR(__xludf.DUMMYFUNCTION("IMPORTXML(E4214,""/html/body/main/div[3]/div[3]/div[2]/ul/li[5]/span[2]/span"")"),"Loading...")</f>
        <v>Loading...</v>
      </c>
      <c r="J4214" s="7" t="str">
        <f ca="1">IFERROR(__xludf.DUMMYFUNCTION("GOOGLEFINANCE(""NSE:""&amp;D4214,""marketcap"")"),"#N/A")</f>
        <v>#N/A</v>
      </c>
      <c r="K4214" s="7">
        <v>992.8</v>
      </c>
      <c r="L4214" s="8" t="str">
        <f ca="1">IFERROR(__xludf.DUMMYFUNCTION("GOOGLEFINANCE(""NSE:""&amp;D4214,""price"")"),"#N/A")</f>
        <v>#N/A</v>
      </c>
      <c r="M4214" s="9" t="e">
        <f t="shared" ca="1" si="82"/>
        <v>#VALUE!</v>
      </c>
      <c r="N4214" s="10" t="e">
        <f t="shared" ca="1" si="83"/>
        <v>#VALUE!</v>
      </c>
      <c r="O4214" s="7" t="str">
        <f ca="1">IFERROR(__xludf.DUMMYFUNCTION("GOOGLEFINANCE(""NSE:""&amp;D4214,""pe"")"),"#N/A")</f>
        <v>#N/A</v>
      </c>
      <c r="P4214" s="7" t="str">
        <f ca="1">IFERROR(__xludf.DUMMYFUNCTION("GOOGLEFINANCE(""NSE:""&amp;D4214,""EPS"")"),"#N/A")</f>
        <v>#N/A</v>
      </c>
      <c r="Q4214" s="7">
        <v>13.5</v>
      </c>
      <c r="R4214" s="7" t="str">
        <f ca="1">IFERROR(__xludf.DUMMYFUNCTION("IMPORTXML(E4214,""/html/body/main/div[3]/div[3]/div[2]/ul/li[7]/span[2]/span"")"),"Loading...")</f>
        <v>Loading...</v>
      </c>
      <c r="S4214" s="7" t="str">
        <f ca="1">IFERROR(__xludf.DUMMYFUNCTION("IMPORTXML(E4214,""/html/body/main/div[3]/div[3]/div[2]/ul/li[8]/span[2]/span"")"),"Loading...")</f>
        <v>Loading...</v>
      </c>
      <c r="T4214" s="4">
        <v>34.6</v>
      </c>
      <c r="U4214" s="4">
        <v>22.7</v>
      </c>
      <c r="V4214" s="4">
        <v>2.6</v>
      </c>
      <c r="W4214" s="4">
        <v>5.7</v>
      </c>
      <c r="X4214" s="4">
        <v>519.92999999999995</v>
      </c>
      <c r="Y4214" s="7" t="e">
        <f t="shared" ca="1" si="84"/>
        <v>#VALUE!</v>
      </c>
    </row>
    <row r="4215" spans="1:25" ht="15" x14ac:dyDescent="0.25">
      <c r="A4215" s="4">
        <v>4214</v>
      </c>
      <c r="C4215" s="41" t="s">
        <v>6584</v>
      </c>
      <c r="D4215" s="42"/>
      <c r="E4215" s="5" t="str">
        <f t="shared" si="80"/>
        <v>https://www.screener.in/company//consolidated/</v>
      </c>
      <c r="F4215" s="4">
        <v>443059</v>
      </c>
      <c r="G4215" s="4">
        <v>3832241897</v>
      </c>
      <c r="H4215" s="6" t="e">
        <f t="shared" ca="1" si="81"/>
        <v>#VALUE!</v>
      </c>
      <c r="I4215" s="7" t="str">
        <f ca="1">IFERROR(__xludf.DUMMYFUNCTION("IMPORTXML(E4215,""/html/body/main/div[3]/div[3]/div[2]/ul/li[5]/span[2]/span"")"),"Loading...")</f>
        <v>Loading...</v>
      </c>
      <c r="J4215" s="7" t="str">
        <f ca="1">IFERROR(__xludf.DUMMYFUNCTION("GOOGLEFINANCE(""NSE:""&amp;D4215,""marketcap"")"),"#N/A")</f>
        <v>#N/A</v>
      </c>
      <c r="K4215" s="7">
        <v>992.8</v>
      </c>
      <c r="L4215" s="8" t="str">
        <f ca="1">IFERROR(__xludf.DUMMYFUNCTION("GOOGLEFINANCE(""NSE:""&amp;D4215,""price"")"),"#N/A")</f>
        <v>#N/A</v>
      </c>
      <c r="M4215" s="9" t="e">
        <f t="shared" ca="1" si="82"/>
        <v>#VALUE!</v>
      </c>
      <c r="N4215" s="10" t="e">
        <f t="shared" ca="1" si="83"/>
        <v>#VALUE!</v>
      </c>
      <c r="O4215" s="7" t="str">
        <f ca="1">IFERROR(__xludf.DUMMYFUNCTION("GOOGLEFINANCE(""NSE:""&amp;D4215,""pe"")"),"#N/A")</f>
        <v>#N/A</v>
      </c>
      <c r="P4215" s="7" t="str">
        <f ca="1">IFERROR(__xludf.DUMMYFUNCTION("GOOGLEFINANCE(""NSE:""&amp;D4215,""EPS"")"),"#N/A")</f>
        <v>#N/A</v>
      </c>
      <c r="Q4215" s="7">
        <v>13.5</v>
      </c>
      <c r="R4215" s="7" t="str">
        <f ca="1">IFERROR(__xludf.DUMMYFUNCTION("IMPORTXML(E4215,""/html/body/main/div[3]/div[3]/div[2]/ul/li[7]/span[2]/span"")"),"Loading...")</f>
        <v>Loading...</v>
      </c>
      <c r="S4215" s="7" t="str">
        <f ca="1">IFERROR(__xludf.DUMMYFUNCTION("IMPORTXML(E4215,""/html/body/main/div[3]/div[3]/div[2]/ul/li[8]/span[2]/span"")"),"Loading...")</f>
        <v>Loading...</v>
      </c>
      <c r="T4215" s="4">
        <v>34.6</v>
      </c>
      <c r="U4215" s="4">
        <v>22.7</v>
      </c>
      <c r="V4215" s="4">
        <v>2.6</v>
      </c>
      <c r="W4215" s="4">
        <v>5.7</v>
      </c>
      <c r="X4215" s="4">
        <v>519.92999999999995</v>
      </c>
      <c r="Y4215" s="7" t="e">
        <f t="shared" ca="1" si="84"/>
        <v>#VALUE!</v>
      </c>
    </row>
    <row r="4216" spans="1:25" ht="15" x14ac:dyDescent="0.25">
      <c r="A4216" s="4">
        <v>4215</v>
      </c>
      <c r="C4216" s="41" t="s">
        <v>6585</v>
      </c>
      <c r="D4216" s="42"/>
      <c r="E4216" s="5" t="str">
        <f t="shared" si="80"/>
        <v>https://www.screener.in/company//consolidated/</v>
      </c>
      <c r="F4216" s="4">
        <v>443059</v>
      </c>
      <c r="G4216" s="4">
        <v>3832241897</v>
      </c>
      <c r="H4216" s="6" t="e">
        <f t="shared" ca="1" si="81"/>
        <v>#VALUE!</v>
      </c>
      <c r="I4216" s="7" t="str">
        <f ca="1">IFERROR(__xludf.DUMMYFUNCTION("IMPORTXML(E4216,""/html/body/main/div[3]/div[3]/div[2]/ul/li[5]/span[2]/span"")"),"Loading...")</f>
        <v>Loading...</v>
      </c>
      <c r="J4216" s="7" t="str">
        <f ca="1">IFERROR(__xludf.DUMMYFUNCTION("GOOGLEFINANCE(""NSE:""&amp;D4216,""marketcap"")"),"#N/A")</f>
        <v>#N/A</v>
      </c>
      <c r="K4216" s="7">
        <v>992.8</v>
      </c>
      <c r="L4216" s="8" t="str">
        <f ca="1">IFERROR(__xludf.DUMMYFUNCTION("GOOGLEFINANCE(""NSE:""&amp;D4216,""price"")"),"#N/A")</f>
        <v>#N/A</v>
      </c>
      <c r="M4216" s="9" t="e">
        <f t="shared" ca="1" si="82"/>
        <v>#VALUE!</v>
      </c>
      <c r="N4216" s="10" t="e">
        <f t="shared" ca="1" si="83"/>
        <v>#VALUE!</v>
      </c>
      <c r="O4216" s="7" t="str">
        <f ca="1">IFERROR(__xludf.DUMMYFUNCTION("GOOGLEFINANCE(""NSE:""&amp;D4216,""pe"")"),"#N/A")</f>
        <v>#N/A</v>
      </c>
      <c r="P4216" s="7" t="str">
        <f ca="1">IFERROR(__xludf.DUMMYFUNCTION("GOOGLEFINANCE(""NSE:""&amp;D4216,""EPS"")"),"#N/A")</f>
        <v>#N/A</v>
      </c>
      <c r="Q4216" s="7">
        <v>13.5</v>
      </c>
      <c r="R4216" s="7" t="str">
        <f ca="1">IFERROR(__xludf.DUMMYFUNCTION("IMPORTXML(E4216,""/html/body/main/div[3]/div[3]/div[2]/ul/li[7]/span[2]/span"")"),"Loading...")</f>
        <v>Loading...</v>
      </c>
      <c r="S4216" s="7" t="str">
        <f ca="1">IFERROR(__xludf.DUMMYFUNCTION("IMPORTXML(E4216,""/html/body/main/div[3]/div[3]/div[2]/ul/li[8]/span[2]/span"")"),"Loading...")</f>
        <v>Loading...</v>
      </c>
      <c r="T4216" s="4">
        <v>34.6</v>
      </c>
      <c r="U4216" s="4">
        <v>22.7</v>
      </c>
      <c r="V4216" s="4">
        <v>2.6</v>
      </c>
      <c r="W4216" s="4">
        <v>5.7</v>
      </c>
      <c r="X4216" s="4">
        <v>519.92999999999995</v>
      </c>
      <c r="Y4216" s="7" t="e">
        <f t="shared" ca="1" si="84"/>
        <v>#VALUE!</v>
      </c>
    </row>
    <row r="4217" spans="1:25" ht="15" x14ac:dyDescent="0.25">
      <c r="A4217" s="4">
        <v>4216</v>
      </c>
      <c r="C4217" s="41" t="s">
        <v>6586</v>
      </c>
      <c r="D4217" s="42"/>
      <c r="E4217" s="5" t="str">
        <f t="shared" si="80"/>
        <v>https://www.screener.in/company//consolidated/</v>
      </c>
      <c r="F4217" s="4">
        <v>443059</v>
      </c>
      <c r="G4217" s="4">
        <v>3832241897</v>
      </c>
      <c r="H4217" s="6" t="e">
        <f t="shared" ca="1" si="81"/>
        <v>#VALUE!</v>
      </c>
      <c r="I4217" s="7" t="str">
        <f ca="1">IFERROR(__xludf.DUMMYFUNCTION("IMPORTXML(E4217,""/html/body/main/div[3]/div[3]/div[2]/ul/li[5]/span[2]/span"")"),"Loading...")</f>
        <v>Loading...</v>
      </c>
      <c r="J4217" s="7" t="str">
        <f ca="1">IFERROR(__xludf.DUMMYFUNCTION("GOOGLEFINANCE(""NSE:""&amp;D4217,""marketcap"")"),"#N/A")</f>
        <v>#N/A</v>
      </c>
      <c r="K4217" s="7">
        <v>992.8</v>
      </c>
      <c r="L4217" s="8" t="str">
        <f ca="1">IFERROR(__xludf.DUMMYFUNCTION("GOOGLEFINANCE(""NSE:""&amp;D4217,""price"")"),"#N/A")</f>
        <v>#N/A</v>
      </c>
      <c r="M4217" s="9" t="e">
        <f t="shared" ca="1" si="82"/>
        <v>#VALUE!</v>
      </c>
      <c r="N4217" s="10" t="e">
        <f t="shared" ca="1" si="83"/>
        <v>#VALUE!</v>
      </c>
      <c r="O4217" s="7" t="str">
        <f ca="1">IFERROR(__xludf.DUMMYFUNCTION("GOOGLEFINANCE(""NSE:""&amp;D4217,""pe"")"),"#N/A")</f>
        <v>#N/A</v>
      </c>
      <c r="P4217" s="7" t="str">
        <f ca="1">IFERROR(__xludf.DUMMYFUNCTION("GOOGLEFINANCE(""NSE:""&amp;D4217,""EPS"")"),"#N/A")</f>
        <v>#N/A</v>
      </c>
      <c r="Q4217" s="7">
        <v>13.5</v>
      </c>
      <c r="R4217" s="7" t="str">
        <f ca="1">IFERROR(__xludf.DUMMYFUNCTION("IMPORTXML(E4217,""/html/body/main/div[3]/div[3]/div[2]/ul/li[7]/span[2]/span"")"),"Loading...")</f>
        <v>Loading...</v>
      </c>
      <c r="S4217" s="7" t="str">
        <f ca="1">IFERROR(__xludf.DUMMYFUNCTION("IMPORTXML(E4217,""/html/body/main/div[3]/div[3]/div[2]/ul/li[8]/span[2]/span"")"),"Loading...")</f>
        <v>Loading...</v>
      </c>
      <c r="T4217" s="4">
        <v>34.6</v>
      </c>
      <c r="U4217" s="4">
        <v>22.7</v>
      </c>
      <c r="V4217" s="4">
        <v>2.6</v>
      </c>
      <c r="W4217" s="4">
        <v>5.7</v>
      </c>
      <c r="X4217" s="4">
        <v>519.92999999999995</v>
      </c>
      <c r="Y4217" s="7" t="e">
        <f t="shared" ca="1" si="84"/>
        <v>#VALUE!</v>
      </c>
    </row>
    <row r="4218" spans="1:25" ht="15" x14ac:dyDescent="0.25">
      <c r="A4218" s="4">
        <v>4217</v>
      </c>
      <c r="C4218" s="12" t="s">
        <v>6587</v>
      </c>
      <c r="D4218" s="12" t="s">
        <v>6588</v>
      </c>
      <c r="E4218" s="5" t="str">
        <f t="shared" si="80"/>
        <v>https://www.screener.in/company/SANCO/consolidated/</v>
      </c>
      <c r="F4218" s="4">
        <v>443059</v>
      </c>
      <c r="G4218" s="4">
        <v>3832241897</v>
      </c>
      <c r="H4218" s="6">
        <f t="shared" ca="1" si="81"/>
        <v>938.89926476500011</v>
      </c>
      <c r="I4218" s="7" t="str">
        <f ca="1">IFERROR(__xludf.DUMMYFUNCTION("IMPORTXML(E4218,""/html/body/main/div[3]/div[3]/div[2]/ul/li[5]/span[2]/span"")"),"Loading...")</f>
        <v>Loading...</v>
      </c>
      <c r="J4218" s="7">
        <f ca="1">IFERROR(__xludf.DUMMYFUNCTION("GOOGLEFINANCE(""NSE:""&amp;D4218,""marketcap"")"),33097460)</f>
        <v>33097460</v>
      </c>
      <c r="K4218" s="7">
        <v>992.8</v>
      </c>
      <c r="L4218" s="8">
        <f ca="1">IFERROR(__xludf.DUMMYFUNCTION("GOOGLEFINANCE(""NSE:""&amp;D4218,""price"")"),2.45)</f>
        <v>2.4500000000000002</v>
      </c>
      <c r="M4218" s="9">
        <f t="shared" ca="1" si="82"/>
        <v>-990.34999999999991</v>
      </c>
      <c r="N4218" s="10">
        <f t="shared" ca="1" si="83"/>
        <v>-99.75322320709104</v>
      </c>
      <c r="O4218" s="7" t="str">
        <f ca="1">IFERROR(__xludf.DUMMYFUNCTION("GOOGLEFINANCE(""NSE:""&amp;D4218,""pe"")"),"#N/A")</f>
        <v>#N/A</v>
      </c>
      <c r="P4218" s="7">
        <f ca="1">IFERROR(__xludf.DUMMYFUNCTION("GOOGLEFINANCE(""NSE:""&amp;D4218,""EPS"")"),-0.3)</f>
        <v>-0.3</v>
      </c>
      <c r="Q4218" s="7">
        <v>13.5</v>
      </c>
      <c r="R4218" s="7" t="str">
        <f ca="1">IFERROR(__xludf.DUMMYFUNCTION("IMPORTXML(E4218,""/html/body/main/div[3]/div[3]/div[2]/ul/li[7]/span[2]/span"")"),"Loading...")</f>
        <v>Loading...</v>
      </c>
      <c r="S4218" s="7" t="str">
        <f ca="1">IFERROR(__xludf.DUMMYFUNCTION("IMPORTXML(E4218,""/html/body/main/div[3]/div[3]/div[2]/ul/li[8]/span[2]/span"")"),"Loading...")</f>
        <v>Loading...</v>
      </c>
      <c r="T4218" s="4">
        <v>34.6</v>
      </c>
      <c r="U4218" s="4">
        <v>22.7</v>
      </c>
      <c r="V4218" s="4">
        <v>2.6</v>
      </c>
      <c r="W4218" s="4">
        <v>5.7</v>
      </c>
      <c r="X4218" s="4">
        <v>519.92999999999995</v>
      </c>
      <c r="Y4218" s="7">
        <f t="shared" ca="1" si="84"/>
        <v>-517.4799999999999</v>
      </c>
    </row>
    <row r="4219" spans="1:25" ht="15" x14ac:dyDescent="0.25">
      <c r="A4219" s="4">
        <v>4218</v>
      </c>
      <c r="C4219" s="41" t="s">
        <v>6589</v>
      </c>
      <c r="D4219" s="42"/>
      <c r="E4219" s="5" t="str">
        <f t="shared" si="80"/>
        <v>https://www.screener.in/company//consolidated/</v>
      </c>
      <c r="F4219" s="4">
        <v>443059</v>
      </c>
      <c r="G4219" s="4">
        <v>3832241897</v>
      </c>
      <c r="H4219" s="6" t="e">
        <f t="shared" ca="1" si="81"/>
        <v>#VALUE!</v>
      </c>
      <c r="I4219" s="7" t="str">
        <f ca="1">IFERROR(__xludf.DUMMYFUNCTION("IMPORTXML(E4219,""/html/body/main/div[3]/div[3]/div[2]/ul/li[5]/span[2]/span"")"),"Loading...")</f>
        <v>Loading...</v>
      </c>
      <c r="J4219" s="7" t="str">
        <f ca="1">IFERROR(__xludf.DUMMYFUNCTION("GOOGLEFINANCE(""NSE:""&amp;D4219,""marketcap"")"),"#N/A")</f>
        <v>#N/A</v>
      </c>
      <c r="K4219" s="7">
        <v>992.8</v>
      </c>
      <c r="L4219" s="8" t="str">
        <f ca="1">IFERROR(__xludf.DUMMYFUNCTION("GOOGLEFINANCE(""NSE:""&amp;D4219,""price"")"),"#N/A")</f>
        <v>#N/A</v>
      </c>
      <c r="M4219" s="9" t="e">
        <f t="shared" ca="1" si="82"/>
        <v>#VALUE!</v>
      </c>
      <c r="N4219" s="10" t="e">
        <f t="shared" ca="1" si="83"/>
        <v>#VALUE!</v>
      </c>
      <c r="O4219" s="7" t="str">
        <f ca="1">IFERROR(__xludf.DUMMYFUNCTION("GOOGLEFINANCE(""NSE:""&amp;D4219,""pe"")"),"#N/A")</f>
        <v>#N/A</v>
      </c>
      <c r="P4219" s="7" t="str">
        <f ca="1">IFERROR(__xludf.DUMMYFUNCTION("GOOGLEFINANCE(""NSE:""&amp;D4219,""EPS"")"),"#N/A")</f>
        <v>#N/A</v>
      </c>
      <c r="Q4219" s="7">
        <v>13.5</v>
      </c>
      <c r="R4219" s="7" t="str">
        <f ca="1">IFERROR(__xludf.DUMMYFUNCTION("IMPORTXML(E4219,""/html/body/main/div[3]/div[3]/div[2]/ul/li[7]/span[2]/span"")"),"Loading...")</f>
        <v>Loading...</v>
      </c>
      <c r="S4219" s="7" t="str">
        <f ca="1">IFERROR(__xludf.DUMMYFUNCTION("IMPORTXML(E4219,""/html/body/main/div[3]/div[3]/div[2]/ul/li[8]/span[2]/span"")"),"Loading...")</f>
        <v>Loading...</v>
      </c>
      <c r="T4219" s="4">
        <v>34.6</v>
      </c>
      <c r="U4219" s="4">
        <v>22.7</v>
      </c>
      <c r="V4219" s="4">
        <v>2.6</v>
      </c>
      <c r="W4219" s="4">
        <v>5.7</v>
      </c>
      <c r="X4219" s="4">
        <v>519.92999999999995</v>
      </c>
      <c r="Y4219" s="7" t="e">
        <f t="shared" ca="1" si="84"/>
        <v>#VALUE!</v>
      </c>
    </row>
    <row r="4220" spans="1:25" ht="15" x14ac:dyDescent="0.25">
      <c r="A4220" s="4">
        <v>4219</v>
      </c>
      <c r="C4220" s="41" t="s">
        <v>6590</v>
      </c>
      <c r="D4220" s="42"/>
      <c r="E4220" s="5" t="str">
        <f t="shared" si="80"/>
        <v>https://www.screener.in/company//consolidated/</v>
      </c>
      <c r="F4220" s="4">
        <v>443059</v>
      </c>
      <c r="G4220" s="4">
        <v>3832241897</v>
      </c>
      <c r="H4220" s="6" t="e">
        <f t="shared" ca="1" si="81"/>
        <v>#VALUE!</v>
      </c>
      <c r="I4220" s="7" t="str">
        <f ca="1">IFERROR(__xludf.DUMMYFUNCTION("IMPORTXML(E4220,""/html/body/main/div[3]/div[3]/div[2]/ul/li[5]/span[2]/span"")"),"Loading...")</f>
        <v>Loading...</v>
      </c>
      <c r="J4220" s="7" t="str">
        <f ca="1">IFERROR(__xludf.DUMMYFUNCTION("GOOGLEFINANCE(""NSE:""&amp;D4220,""marketcap"")"),"#N/A")</f>
        <v>#N/A</v>
      </c>
      <c r="K4220" s="7">
        <v>992.8</v>
      </c>
      <c r="L4220" s="8" t="str">
        <f ca="1">IFERROR(__xludf.DUMMYFUNCTION("GOOGLEFINANCE(""NSE:""&amp;D4220,""price"")"),"#N/A")</f>
        <v>#N/A</v>
      </c>
      <c r="M4220" s="9" t="e">
        <f t="shared" ca="1" si="82"/>
        <v>#VALUE!</v>
      </c>
      <c r="N4220" s="10" t="e">
        <f t="shared" ca="1" si="83"/>
        <v>#VALUE!</v>
      </c>
      <c r="O4220" s="7" t="str">
        <f ca="1">IFERROR(__xludf.DUMMYFUNCTION("GOOGLEFINANCE(""NSE:""&amp;D4220,""pe"")"),"#N/A")</f>
        <v>#N/A</v>
      </c>
      <c r="P4220" s="7" t="str">
        <f ca="1">IFERROR(__xludf.DUMMYFUNCTION("GOOGLEFINANCE(""NSE:""&amp;D4220,""EPS"")"),"#N/A")</f>
        <v>#N/A</v>
      </c>
      <c r="Q4220" s="7">
        <v>13.5</v>
      </c>
      <c r="R4220" s="7" t="str">
        <f ca="1">IFERROR(__xludf.DUMMYFUNCTION("IMPORTXML(E4220,""/html/body/main/div[3]/div[3]/div[2]/ul/li[7]/span[2]/span"")"),"Loading...")</f>
        <v>Loading...</v>
      </c>
      <c r="S4220" s="7" t="str">
        <f ca="1">IFERROR(__xludf.DUMMYFUNCTION("IMPORTXML(E4220,""/html/body/main/div[3]/div[3]/div[2]/ul/li[8]/span[2]/span"")"),"Loading...")</f>
        <v>Loading...</v>
      </c>
      <c r="T4220" s="4">
        <v>34.6</v>
      </c>
      <c r="U4220" s="4">
        <v>22.7</v>
      </c>
      <c r="V4220" s="4">
        <v>2.6</v>
      </c>
      <c r="W4220" s="4">
        <v>5.7</v>
      </c>
      <c r="X4220" s="4">
        <v>519.92999999999995</v>
      </c>
      <c r="Y4220" s="7" t="e">
        <f t="shared" ca="1" si="84"/>
        <v>#VALUE!</v>
      </c>
    </row>
    <row r="4221" spans="1:25" ht="15" x14ac:dyDescent="0.25">
      <c r="A4221" s="4">
        <v>4220</v>
      </c>
      <c r="C4221" s="41" t="s">
        <v>6591</v>
      </c>
      <c r="D4221" s="42"/>
      <c r="E4221" s="5" t="str">
        <f t="shared" si="80"/>
        <v>https://www.screener.in/company//consolidated/</v>
      </c>
      <c r="F4221" s="4">
        <v>443059</v>
      </c>
      <c r="G4221" s="4">
        <v>3832241897</v>
      </c>
      <c r="H4221" s="6" t="e">
        <f t="shared" ca="1" si="81"/>
        <v>#VALUE!</v>
      </c>
      <c r="I4221" s="7" t="str">
        <f ca="1">IFERROR(__xludf.DUMMYFUNCTION("IMPORTXML(E4221,""/html/body/main/div[3]/div[3]/div[2]/ul/li[5]/span[2]/span"")"),"Loading...")</f>
        <v>Loading...</v>
      </c>
      <c r="J4221" s="7" t="str">
        <f ca="1">IFERROR(__xludf.DUMMYFUNCTION("GOOGLEFINANCE(""NSE:""&amp;D4221,""marketcap"")"),"#N/A")</f>
        <v>#N/A</v>
      </c>
      <c r="K4221" s="7">
        <v>992.8</v>
      </c>
      <c r="L4221" s="8" t="str">
        <f ca="1">IFERROR(__xludf.DUMMYFUNCTION("GOOGLEFINANCE(""NSE:""&amp;D4221,""price"")"),"#N/A")</f>
        <v>#N/A</v>
      </c>
      <c r="M4221" s="9" t="e">
        <f t="shared" ca="1" si="82"/>
        <v>#VALUE!</v>
      </c>
      <c r="N4221" s="10" t="e">
        <f t="shared" ca="1" si="83"/>
        <v>#VALUE!</v>
      </c>
      <c r="O4221" s="7" t="str">
        <f ca="1">IFERROR(__xludf.DUMMYFUNCTION("GOOGLEFINANCE(""NSE:""&amp;D4221,""pe"")"),"#N/A")</f>
        <v>#N/A</v>
      </c>
      <c r="P4221" s="7" t="str">
        <f ca="1">IFERROR(__xludf.DUMMYFUNCTION("GOOGLEFINANCE(""NSE:""&amp;D4221,""EPS"")"),"#N/A")</f>
        <v>#N/A</v>
      </c>
      <c r="Q4221" s="7">
        <v>13.5</v>
      </c>
      <c r="R4221" s="7" t="str">
        <f ca="1">IFERROR(__xludf.DUMMYFUNCTION("IMPORTXML(E4221,""/html/body/main/div[3]/div[3]/div[2]/ul/li[7]/span[2]/span"")"),"Loading...")</f>
        <v>Loading...</v>
      </c>
      <c r="S4221" s="7" t="str">
        <f ca="1">IFERROR(__xludf.DUMMYFUNCTION("IMPORTXML(E4221,""/html/body/main/div[3]/div[3]/div[2]/ul/li[8]/span[2]/span"")"),"Loading...")</f>
        <v>Loading...</v>
      </c>
      <c r="T4221" s="4">
        <v>34.6</v>
      </c>
      <c r="U4221" s="4">
        <v>22.7</v>
      </c>
      <c r="V4221" s="4">
        <v>2.6</v>
      </c>
      <c r="W4221" s="4">
        <v>5.7</v>
      </c>
      <c r="X4221" s="4">
        <v>519.92999999999995</v>
      </c>
      <c r="Y4221" s="7" t="e">
        <f t="shared" ca="1" si="84"/>
        <v>#VALUE!</v>
      </c>
    </row>
    <row r="4222" spans="1:25" ht="15" x14ac:dyDescent="0.25">
      <c r="A4222" s="4">
        <v>4221</v>
      </c>
      <c r="C4222" s="41" t="s">
        <v>6592</v>
      </c>
      <c r="D4222" s="42"/>
      <c r="E4222" s="5" t="str">
        <f t="shared" si="80"/>
        <v>https://www.screener.in/company//consolidated/</v>
      </c>
      <c r="F4222" s="4">
        <v>443059</v>
      </c>
      <c r="G4222" s="4">
        <v>3832241897</v>
      </c>
      <c r="H4222" s="6" t="e">
        <f t="shared" ca="1" si="81"/>
        <v>#VALUE!</v>
      </c>
      <c r="I4222" s="7" t="str">
        <f ca="1">IFERROR(__xludf.DUMMYFUNCTION("IMPORTXML(E4222,""/html/body/main/div[3]/div[3]/div[2]/ul/li[5]/span[2]/span"")"),"Loading...")</f>
        <v>Loading...</v>
      </c>
      <c r="J4222" s="7" t="str">
        <f ca="1">IFERROR(__xludf.DUMMYFUNCTION("GOOGLEFINANCE(""NSE:""&amp;D4222,""marketcap"")"),"#N/A")</f>
        <v>#N/A</v>
      </c>
      <c r="K4222" s="7">
        <v>992.8</v>
      </c>
      <c r="L4222" s="8" t="str">
        <f ca="1">IFERROR(__xludf.DUMMYFUNCTION("GOOGLEFINANCE(""NSE:""&amp;D4222,""price"")"),"#N/A")</f>
        <v>#N/A</v>
      </c>
      <c r="M4222" s="9" t="e">
        <f t="shared" ca="1" si="82"/>
        <v>#VALUE!</v>
      </c>
      <c r="N4222" s="10" t="e">
        <f t="shared" ca="1" si="83"/>
        <v>#VALUE!</v>
      </c>
      <c r="O4222" s="7" t="str">
        <f ca="1">IFERROR(__xludf.DUMMYFUNCTION("GOOGLEFINANCE(""NSE:""&amp;D4222,""pe"")"),"#N/A")</f>
        <v>#N/A</v>
      </c>
      <c r="P4222" s="7" t="str">
        <f ca="1">IFERROR(__xludf.DUMMYFUNCTION("GOOGLEFINANCE(""NSE:""&amp;D4222,""EPS"")"),"#N/A")</f>
        <v>#N/A</v>
      </c>
      <c r="Q4222" s="7">
        <v>13.5</v>
      </c>
      <c r="R4222" s="7" t="str">
        <f ca="1">IFERROR(__xludf.DUMMYFUNCTION("IMPORTXML(E4222,""/html/body/main/div[3]/div[3]/div[2]/ul/li[7]/span[2]/span"")"),"Loading...")</f>
        <v>Loading...</v>
      </c>
      <c r="S4222" s="7" t="str">
        <f ca="1">IFERROR(__xludf.DUMMYFUNCTION("IMPORTXML(E4222,""/html/body/main/div[3]/div[3]/div[2]/ul/li[8]/span[2]/span"")"),"Loading...")</f>
        <v>Loading...</v>
      </c>
      <c r="T4222" s="4">
        <v>34.6</v>
      </c>
      <c r="U4222" s="4">
        <v>22.7</v>
      </c>
      <c r="V4222" s="4">
        <v>2.6</v>
      </c>
      <c r="W4222" s="4">
        <v>5.7</v>
      </c>
      <c r="X4222" s="4">
        <v>519.92999999999995</v>
      </c>
      <c r="Y4222" s="7" t="e">
        <f t="shared" ca="1" si="84"/>
        <v>#VALUE!</v>
      </c>
    </row>
    <row r="4223" spans="1:25" ht="15" x14ac:dyDescent="0.25">
      <c r="A4223" s="4">
        <v>4222</v>
      </c>
      <c r="C4223" s="41" t="s">
        <v>6593</v>
      </c>
      <c r="D4223" s="42"/>
      <c r="E4223" s="5" t="str">
        <f t="shared" si="80"/>
        <v>https://www.screener.in/company//consolidated/</v>
      </c>
      <c r="F4223" s="4">
        <v>443059</v>
      </c>
      <c r="G4223" s="4">
        <v>3832241897</v>
      </c>
      <c r="H4223" s="6" t="e">
        <f t="shared" ca="1" si="81"/>
        <v>#VALUE!</v>
      </c>
      <c r="I4223" s="7" t="str">
        <f ca="1">IFERROR(__xludf.DUMMYFUNCTION("IMPORTXML(E4223,""/html/body/main/div[3]/div[3]/div[2]/ul/li[5]/span[2]/span"")"),"Loading...")</f>
        <v>Loading...</v>
      </c>
      <c r="J4223" s="7" t="str">
        <f ca="1">IFERROR(__xludf.DUMMYFUNCTION("GOOGLEFINANCE(""NSE:""&amp;D4223,""marketcap"")"),"#N/A")</f>
        <v>#N/A</v>
      </c>
      <c r="K4223" s="7">
        <v>992.8</v>
      </c>
      <c r="L4223" s="8" t="str">
        <f ca="1">IFERROR(__xludf.DUMMYFUNCTION("GOOGLEFINANCE(""NSE:""&amp;D4223,""price"")"),"#N/A")</f>
        <v>#N/A</v>
      </c>
      <c r="M4223" s="9" t="e">
        <f t="shared" ca="1" si="82"/>
        <v>#VALUE!</v>
      </c>
      <c r="N4223" s="10" t="e">
        <f t="shared" ca="1" si="83"/>
        <v>#VALUE!</v>
      </c>
      <c r="O4223" s="7" t="str">
        <f ca="1">IFERROR(__xludf.DUMMYFUNCTION("GOOGLEFINANCE(""NSE:""&amp;D4223,""pe"")"),"#N/A")</f>
        <v>#N/A</v>
      </c>
      <c r="P4223" s="7" t="str">
        <f ca="1">IFERROR(__xludf.DUMMYFUNCTION("GOOGLEFINANCE(""NSE:""&amp;D4223,""EPS"")"),"#N/A")</f>
        <v>#N/A</v>
      </c>
      <c r="Q4223" s="7">
        <v>13.5</v>
      </c>
      <c r="R4223" s="7" t="str">
        <f ca="1">IFERROR(__xludf.DUMMYFUNCTION("IMPORTXML(E4223,""/html/body/main/div[3]/div[3]/div[2]/ul/li[7]/span[2]/span"")"),"Loading...")</f>
        <v>Loading...</v>
      </c>
      <c r="S4223" s="7" t="str">
        <f ca="1">IFERROR(__xludf.DUMMYFUNCTION("IMPORTXML(E4223,""/html/body/main/div[3]/div[3]/div[2]/ul/li[8]/span[2]/span"")"),"Loading...")</f>
        <v>Loading...</v>
      </c>
      <c r="T4223" s="4">
        <v>34.6</v>
      </c>
      <c r="U4223" s="4">
        <v>22.7</v>
      </c>
      <c r="V4223" s="4">
        <v>2.6</v>
      </c>
      <c r="W4223" s="4">
        <v>5.7</v>
      </c>
      <c r="X4223" s="4">
        <v>519.92999999999995</v>
      </c>
      <c r="Y4223" s="7" t="e">
        <f t="shared" ca="1" si="84"/>
        <v>#VALUE!</v>
      </c>
    </row>
    <row r="4224" spans="1:25" ht="15" x14ac:dyDescent="0.25">
      <c r="A4224" s="4">
        <v>4223</v>
      </c>
      <c r="C4224" s="41" t="s">
        <v>6594</v>
      </c>
      <c r="D4224" s="42"/>
      <c r="E4224" s="5" t="str">
        <f t="shared" si="80"/>
        <v>https://www.screener.in/company//consolidated/</v>
      </c>
      <c r="F4224" s="4">
        <v>443059</v>
      </c>
      <c r="G4224" s="4">
        <v>3832241897</v>
      </c>
      <c r="H4224" s="6" t="e">
        <f t="shared" ca="1" si="81"/>
        <v>#VALUE!</v>
      </c>
      <c r="I4224" s="7" t="str">
        <f ca="1">IFERROR(__xludf.DUMMYFUNCTION("IMPORTXML(E4224,""/html/body/main/div[3]/div[3]/div[2]/ul/li[5]/span[2]/span"")"),"Loading...")</f>
        <v>Loading...</v>
      </c>
      <c r="J4224" s="7" t="str">
        <f ca="1">IFERROR(__xludf.DUMMYFUNCTION("GOOGLEFINANCE(""NSE:""&amp;D4224,""marketcap"")"),"#N/A")</f>
        <v>#N/A</v>
      </c>
      <c r="K4224" s="7">
        <v>992.8</v>
      </c>
      <c r="L4224" s="8" t="str">
        <f ca="1">IFERROR(__xludf.DUMMYFUNCTION("GOOGLEFINANCE(""NSE:""&amp;D4224,""price"")"),"#N/A")</f>
        <v>#N/A</v>
      </c>
      <c r="M4224" s="9" t="e">
        <f t="shared" ca="1" si="82"/>
        <v>#VALUE!</v>
      </c>
      <c r="N4224" s="10" t="e">
        <f t="shared" ca="1" si="83"/>
        <v>#VALUE!</v>
      </c>
      <c r="O4224" s="7" t="str">
        <f ca="1">IFERROR(__xludf.DUMMYFUNCTION("GOOGLEFINANCE(""NSE:""&amp;D4224,""pe"")"),"#N/A")</f>
        <v>#N/A</v>
      </c>
      <c r="P4224" s="7" t="str">
        <f ca="1">IFERROR(__xludf.DUMMYFUNCTION("GOOGLEFINANCE(""NSE:""&amp;D4224,""EPS"")"),"#N/A")</f>
        <v>#N/A</v>
      </c>
      <c r="Q4224" s="7">
        <v>13.5</v>
      </c>
      <c r="R4224" s="7" t="str">
        <f ca="1">IFERROR(__xludf.DUMMYFUNCTION("IMPORTXML(E4224,""/html/body/main/div[3]/div[3]/div[2]/ul/li[7]/span[2]/span"")"),"Loading...")</f>
        <v>Loading...</v>
      </c>
      <c r="S4224" s="7" t="str">
        <f ca="1">IFERROR(__xludf.DUMMYFUNCTION("IMPORTXML(E4224,""/html/body/main/div[3]/div[3]/div[2]/ul/li[8]/span[2]/span"")"),"Loading...")</f>
        <v>Loading...</v>
      </c>
      <c r="T4224" s="4">
        <v>34.6</v>
      </c>
      <c r="U4224" s="4">
        <v>22.7</v>
      </c>
      <c r="V4224" s="4">
        <v>2.6</v>
      </c>
      <c r="W4224" s="4">
        <v>5.7</v>
      </c>
      <c r="X4224" s="4">
        <v>519.92999999999995</v>
      </c>
      <c r="Y4224" s="7" t="e">
        <f t="shared" ca="1" si="84"/>
        <v>#VALUE!</v>
      </c>
    </row>
    <row r="4225" spans="1:25" ht="15" x14ac:dyDescent="0.25">
      <c r="A4225" s="4">
        <v>4224</v>
      </c>
      <c r="C4225" s="41" t="s">
        <v>6595</v>
      </c>
      <c r="D4225" s="42"/>
      <c r="E4225" s="5" t="str">
        <f t="shared" si="80"/>
        <v>https://www.screener.in/company//consolidated/</v>
      </c>
      <c r="F4225" s="4">
        <v>443059</v>
      </c>
      <c r="G4225" s="4">
        <v>3832241897</v>
      </c>
      <c r="H4225" s="6" t="e">
        <f t="shared" ca="1" si="81"/>
        <v>#VALUE!</v>
      </c>
      <c r="I4225" s="7" t="str">
        <f ca="1">IFERROR(__xludf.DUMMYFUNCTION("IMPORTXML(E4225,""/html/body/main/div[3]/div[3]/div[2]/ul/li[5]/span[2]/span"")"),"Loading...")</f>
        <v>Loading...</v>
      </c>
      <c r="J4225" s="7" t="str">
        <f ca="1">IFERROR(__xludf.DUMMYFUNCTION("GOOGLEFINANCE(""NSE:""&amp;D4225,""marketcap"")"),"#N/A")</f>
        <v>#N/A</v>
      </c>
      <c r="K4225" s="7">
        <v>992.8</v>
      </c>
      <c r="L4225" s="8" t="str">
        <f ca="1">IFERROR(__xludf.DUMMYFUNCTION("GOOGLEFINANCE(""NSE:""&amp;D4225,""price"")"),"#N/A")</f>
        <v>#N/A</v>
      </c>
      <c r="M4225" s="9" t="e">
        <f t="shared" ca="1" si="82"/>
        <v>#VALUE!</v>
      </c>
      <c r="N4225" s="10" t="e">
        <f t="shared" ca="1" si="83"/>
        <v>#VALUE!</v>
      </c>
      <c r="O4225" s="7" t="str">
        <f ca="1">IFERROR(__xludf.DUMMYFUNCTION("GOOGLEFINANCE(""NSE:""&amp;D4225,""pe"")"),"#N/A")</f>
        <v>#N/A</v>
      </c>
      <c r="P4225" s="7" t="str">
        <f ca="1">IFERROR(__xludf.DUMMYFUNCTION("GOOGLEFINANCE(""NSE:""&amp;D4225,""EPS"")"),"#N/A")</f>
        <v>#N/A</v>
      </c>
      <c r="Q4225" s="7">
        <v>13.5</v>
      </c>
      <c r="R4225" s="7" t="str">
        <f ca="1">IFERROR(__xludf.DUMMYFUNCTION("IMPORTXML(E4225,""/html/body/main/div[3]/div[3]/div[2]/ul/li[7]/span[2]/span"")"),"Loading...")</f>
        <v>Loading...</v>
      </c>
      <c r="S4225" s="7" t="str">
        <f ca="1">IFERROR(__xludf.DUMMYFUNCTION("IMPORTXML(E4225,""/html/body/main/div[3]/div[3]/div[2]/ul/li[8]/span[2]/span"")"),"Loading...")</f>
        <v>Loading...</v>
      </c>
      <c r="T4225" s="4">
        <v>34.6</v>
      </c>
      <c r="U4225" s="4">
        <v>22.7</v>
      </c>
      <c r="V4225" s="4">
        <v>2.6</v>
      </c>
      <c r="W4225" s="4">
        <v>5.7</v>
      </c>
      <c r="X4225" s="4">
        <v>519.92999999999995</v>
      </c>
      <c r="Y4225" s="7" t="e">
        <f t="shared" ca="1" si="84"/>
        <v>#VALUE!</v>
      </c>
    </row>
    <row r="4226" spans="1:25" ht="15" x14ac:dyDescent="0.25">
      <c r="A4226" s="4">
        <v>4225</v>
      </c>
      <c r="C4226" s="41" t="s">
        <v>6596</v>
      </c>
      <c r="D4226" s="42"/>
      <c r="E4226" s="5" t="str">
        <f t="shared" si="80"/>
        <v>https://www.screener.in/company//consolidated/</v>
      </c>
      <c r="F4226" s="4">
        <v>443059</v>
      </c>
      <c r="G4226" s="4">
        <v>3832241897</v>
      </c>
      <c r="H4226" s="6" t="e">
        <f t="shared" ca="1" si="81"/>
        <v>#VALUE!</v>
      </c>
      <c r="I4226" s="7" t="str">
        <f ca="1">IFERROR(__xludf.DUMMYFUNCTION("IMPORTXML(E4226,""/html/body/main/div[3]/div[3]/div[2]/ul/li[5]/span[2]/span"")"),"Loading...")</f>
        <v>Loading...</v>
      </c>
      <c r="J4226" s="7" t="str">
        <f ca="1">IFERROR(__xludf.DUMMYFUNCTION("GOOGLEFINANCE(""NSE:""&amp;D4226,""marketcap"")"),"#N/A")</f>
        <v>#N/A</v>
      </c>
      <c r="K4226" s="7">
        <v>992.8</v>
      </c>
      <c r="L4226" s="8" t="str">
        <f ca="1">IFERROR(__xludf.DUMMYFUNCTION("GOOGLEFINANCE(""NSE:""&amp;D4226,""price"")"),"#N/A")</f>
        <v>#N/A</v>
      </c>
      <c r="M4226" s="9" t="e">
        <f t="shared" ca="1" si="82"/>
        <v>#VALUE!</v>
      </c>
      <c r="N4226" s="10" t="e">
        <f t="shared" ca="1" si="83"/>
        <v>#VALUE!</v>
      </c>
      <c r="O4226" s="7" t="str">
        <f ca="1">IFERROR(__xludf.DUMMYFUNCTION("GOOGLEFINANCE(""NSE:""&amp;D4226,""pe"")"),"#N/A")</f>
        <v>#N/A</v>
      </c>
      <c r="P4226" s="7" t="str">
        <f ca="1">IFERROR(__xludf.DUMMYFUNCTION("GOOGLEFINANCE(""NSE:""&amp;D4226,""EPS"")"),"#N/A")</f>
        <v>#N/A</v>
      </c>
      <c r="Q4226" s="7">
        <v>13.5</v>
      </c>
      <c r="R4226" s="7" t="str">
        <f ca="1">IFERROR(__xludf.DUMMYFUNCTION("IMPORTXML(E4226,""/html/body/main/div[3]/div[3]/div[2]/ul/li[7]/span[2]/span"")"),"Loading...")</f>
        <v>Loading...</v>
      </c>
      <c r="S4226" s="7" t="str">
        <f ca="1">IFERROR(__xludf.DUMMYFUNCTION("IMPORTXML(E4226,""/html/body/main/div[3]/div[3]/div[2]/ul/li[8]/span[2]/span"")"),"Loading...")</f>
        <v>Loading...</v>
      </c>
      <c r="T4226" s="4">
        <v>34.6</v>
      </c>
      <c r="U4226" s="4">
        <v>22.7</v>
      </c>
      <c r="V4226" s="4">
        <v>2.6</v>
      </c>
      <c r="W4226" s="4">
        <v>5.7</v>
      </c>
      <c r="X4226" s="4">
        <v>519.92999999999995</v>
      </c>
      <c r="Y4226" s="7" t="e">
        <f t="shared" ca="1" si="84"/>
        <v>#VALUE!</v>
      </c>
    </row>
    <row r="4227" spans="1:25" ht="15" x14ac:dyDescent="0.25">
      <c r="A4227" s="4">
        <v>4226</v>
      </c>
      <c r="C4227" s="41" t="s">
        <v>6597</v>
      </c>
      <c r="D4227" s="42"/>
      <c r="E4227" s="5" t="str">
        <f t="shared" si="80"/>
        <v>https://www.screener.in/company//consolidated/</v>
      </c>
      <c r="F4227" s="4">
        <v>443059</v>
      </c>
      <c r="G4227" s="4">
        <v>3832241897</v>
      </c>
      <c r="H4227" s="6" t="e">
        <f t="shared" ca="1" si="81"/>
        <v>#VALUE!</v>
      </c>
      <c r="I4227" s="7" t="str">
        <f ca="1">IFERROR(__xludf.DUMMYFUNCTION("IMPORTXML(E4227,""/html/body/main/div[3]/div[3]/div[2]/ul/li[5]/span[2]/span"")"),"Loading...")</f>
        <v>Loading...</v>
      </c>
      <c r="J4227" s="7" t="str">
        <f ca="1">IFERROR(__xludf.DUMMYFUNCTION("GOOGLEFINANCE(""NSE:""&amp;D4227,""marketcap"")"),"#N/A")</f>
        <v>#N/A</v>
      </c>
      <c r="K4227" s="7">
        <v>992.8</v>
      </c>
      <c r="L4227" s="8" t="str">
        <f ca="1">IFERROR(__xludf.DUMMYFUNCTION("GOOGLEFINANCE(""NSE:""&amp;D4227,""price"")"),"#N/A")</f>
        <v>#N/A</v>
      </c>
      <c r="M4227" s="9" t="e">
        <f t="shared" ca="1" si="82"/>
        <v>#VALUE!</v>
      </c>
      <c r="N4227" s="10" t="e">
        <f t="shared" ca="1" si="83"/>
        <v>#VALUE!</v>
      </c>
      <c r="O4227" s="7" t="str">
        <f ca="1">IFERROR(__xludf.DUMMYFUNCTION("GOOGLEFINANCE(""NSE:""&amp;D4227,""pe"")"),"#N/A")</f>
        <v>#N/A</v>
      </c>
      <c r="P4227" s="7" t="str">
        <f ca="1">IFERROR(__xludf.DUMMYFUNCTION("GOOGLEFINANCE(""NSE:""&amp;D4227,""EPS"")"),"#N/A")</f>
        <v>#N/A</v>
      </c>
      <c r="Q4227" s="7">
        <v>13.5</v>
      </c>
      <c r="R4227" s="7" t="str">
        <f ca="1">IFERROR(__xludf.DUMMYFUNCTION("IMPORTXML(E4227,""/html/body/main/div[3]/div[3]/div[2]/ul/li[7]/span[2]/span"")"),"Loading...")</f>
        <v>Loading...</v>
      </c>
      <c r="S4227" s="7" t="str">
        <f ca="1">IFERROR(__xludf.DUMMYFUNCTION("IMPORTXML(E4227,""/html/body/main/div[3]/div[3]/div[2]/ul/li[8]/span[2]/span"")"),"Loading...")</f>
        <v>Loading...</v>
      </c>
      <c r="T4227" s="4">
        <v>34.6</v>
      </c>
      <c r="U4227" s="4">
        <v>22.7</v>
      </c>
      <c r="V4227" s="4">
        <v>2.6</v>
      </c>
      <c r="W4227" s="4">
        <v>5.7</v>
      </c>
      <c r="X4227" s="4">
        <v>519.92999999999995</v>
      </c>
      <c r="Y4227" s="7" t="e">
        <f t="shared" ca="1" si="84"/>
        <v>#VALUE!</v>
      </c>
    </row>
    <row r="4228" spans="1:25" ht="15" x14ac:dyDescent="0.25">
      <c r="A4228" s="4">
        <v>4227</v>
      </c>
      <c r="C4228" s="41" t="s">
        <v>6598</v>
      </c>
      <c r="D4228" s="42"/>
      <c r="E4228" s="5" t="str">
        <f t="shared" si="80"/>
        <v>https://www.screener.in/company//consolidated/</v>
      </c>
      <c r="F4228" s="4">
        <v>443059</v>
      </c>
      <c r="G4228" s="4">
        <v>3832241897</v>
      </c>
      <c r="H4228" s="6" t="e">
        <f t="shared" ca="1" si="81"/>
        <v>#VALUE!</v>
      </c>
      <c r="I4228" s="7" t="str">
        <f ca="1">IFERROR(__xludf.DUMMYFUNCTION("IMPORTXML(E4228,""/html/body/main/div[3]/div[3]/div[2]/ul/li[5]/span[2]/span"")"),"Loading...")</f>
        <v>Loading...</v>
      </c>
      <c r="J4228" s="7" t="str">
        <f ca="1">IFERROR(__xludf.DUMMYFUNCTION("GOOGLEFINANCE(""NSE:""&amp;D4228,""marketcap"")"),"#N/A")</f>
        <v>#N/A</v>
      </c>
      <c r="K4228" s="7">
        <v>992.8</v>
      </c>
      <c r="L4228" s="8" t="str">
        <f ca="1">IFERROR(__xludf.DUMMYFUNCTION("GOOGLEFINANCE(""NSE:""&amp;D4228,""price"")"),"#N/A")</f>
        <v>#N/A</v>
      </c>
      <c r="M4228" s="9" t="e">
        <f t="shared" ca="1" si="82"/>
        <v>#VALUE!</v>
      </c>
      <c r="N4228" s="10" t="e">
        <f t="shared" ca="1" si="83"/>
        <v>#VALUE!</v>
      </c>
      <c r="O4228" s="7" t="str">
        <f ca="1">IFERROR(__xludf.DUMMYFUNCTION("GOOGLEFINANCE(""NSE:""&amp;D4228,""pe"")"),"#N/A")</f>
        <v>#N/A</v>
      </c>
      <c r="P4228" s="7" t="str">
        <f ca="1">IFERROR(__xludf.DUMMYFUNCTION("GOOGLEFINANCE(""NSE:""&amp;D4228,""EPS"")"),"#N/A")</f>
        <v>#N/A</v>
      </c>
      <c r="Q4228" s="7">
        <v>13.5</v>
      </c>
      <c r="R4228" s="7" t="str">
        <f ca="1">IFERROR(__xludf.DUMMYFUNCTION("IMPORTXML(E4228,""/html/body/main/div[3]/div[3]/div[2]/ul/li[7]/span[2]/span"")"),"Loading...")</f>
        <v>Loading...</v>
      </c>
      <c r="S4228" s="7" t="str">
        <f ca="1">IFERROR(__xludf.DUMMYFUNCTION("IMPORTXML(E4228,""/html/body/main/div[3]/div[3]/div[2]/ul/li[8]/span[2]/span"")"),"Loading...")</f>
        <v>Loading...</v>
      </c>
      <c r="T4228" s="4">
        <v>34.6</v>
      </c>
      <c r="U4228" s="4">
        <v>22.7</v>
      </c>
      <c r="V4228" s="4">
        <v>2.6</v>
      </c>
      <c r="W4228" s="4">
        <v>5.7</v>
      </c>
      <c r="X4228" s="4">
        <v>519.92999999999995</v>
      </c>
      <c r="Y4228" s="7" t="e">
        <f t="shared" ca="1" si="84"/>
        <v>#VALUE!</v>
      </c>
    </row>
    <row r="4229" spans="1:25" ht="15" x14ac:dyDescent="0.25">
      <c r="A4229" s="4">
        <v>4228</v>
      </c>
      <c r="C4229" s="41" t="s">
        <v>6599</v>
      </c>
      <c r="D4229" s="42"/>
      <c r="E4229" s="5" t="str">
        <f t="shared" si="80"/>
        <v>https://www.screener.in/company//consolidated/</v>
      </c>
      <c r="F4229" s="4">
        <v>443059</v>
      </c>
      <c r="G4229" s="4">
        <v>3832241897</v>
      </c>
      <c r="H4229" s="6" t="e">
        <f t="shared" ca="1" si="81"/>
        <v>#VALUE!</v>
      </c>
      <c r="I4229" s="7" t="str">
        <f ca="1">IFERROR(__xludf.DUMMYFUNCTION("IMPORTXML(E4229,""/html/body/main/div[3]/div[3]/div[2]/ul/li[5]/span[2]/span"")"),"Loading...")</f>
        <v>Loading...</v>
      </c>
      <c r="J4229" s="7" t="str">
        <f ca="1">IFERROR(__xludf.DUMMYFUNCTION("GOOGLEFINANCE(""NSE:""&amp;D4229,""marketcap"")"),"#N/A")</f>
        <v>#N/A</v>
      </c>
      <c r="K4229" s="7">
        <v>992.8</v>
      </c>
      <c r="L4229" s="8" t="str">
        <f ca="1">IFERROR(__xludf.DUMMYFUNCTION("GOOGLEFINANCE(""NSE:""&amp;D4229,""price"")"),"#N/A")</f>
        <v>#N/A</v>
      </c>
      <c r="M4229" s="9" t="e">
        <f t="shared" ca="1" si="82"/>
        <v>#VALUE!</v>
      </c>
      <c r="N4229" s="10" t="e">
        <f t="shared" ca="1" si="83"/>
        <v>#VALUE!</v>
      </c>
      <c r="O4229" s="7" t="str">
        <f ca="1">IFERROR(__xludf.DUMMYFUNCTION("GOOGLEFINANCE(""NSE:""&amp;D4229,""pe"")"),"#N/A")</f>
        <v>#N/A</v>
      </c>
      <c r="P4229" s="7" t="str">
        <f ca="1">IFERROR(__xludf.DUMMYFUNCTION("GOOGLEFINANCE(""NSE:""&amp;D4229,""EPS"")"),"#N/A")</f>
        <v>#N/A</v>
      </c>
      <c r="Q4229" s="7">
        <v>13.5</v>
      </c>
      <c r="R4229" s="7" t="str">
        <f ca="1">IFERROR(__xludf.DUMMYFUNCTION("IMPORTXML(E4229,""/html/body/main/div[3]/div[3]/div[2]/ul/li[7]/span[2]/span"")"),"Loading...")</f>
        <v>Loading...</v>
      </c>
      <c r="S4229" s="7" t="str">
        <f ca="1">IFERROR(__xludf.DUMMYFUNCTION("IMPORTXML(E4229,""/html/body/main/div[3]/div[3]/div[2]/ul/li[8]/span[2]/span"")"),"Loading...")</f>
        <v>Loading...</v>
      </c>
      <c r="T4229" s="4">
        <v>34.6</v>
      </c>
      <c r="U4229" s="4">
        <v>22.7</v>
      </c>
      <c r="V4229" s="4">
        <v>2.6</v>
      </c>
      <c r="W4229" s="4">
        <v>5.7</v>
      </c>
      <c r="X4229" s="4">
        <v>519.92999999999995</v>
      </c>
      <c r="Y4229" s="7" t="e">
        <f t="shared" ca="1" si="84"/>
        <v>#VALUE!</v>
      </c>
    </row>
    <row r="4230" spans="1:25" ht="15" x14ac:dyDescent="0.25">
      <c r="A4230" s="4">
        <v>4229</v>
      </c>
      <c r="C4230" s="41" t="s">
        <v>6600</v>
      </c>
      <c r="D4230" s="42"/>
      <c r="E4230" s="5" t="str">
        <f t="shared" si="80"/>
        <v>https://www.screener.in/company//consolidated/</v>
      </c>
      <c r="F4230" s="4">
        <v>443059</v>
      </c>
      <c r="G4230" s="4">
        <v>3832241897</v>
      </c>
      <c r="H4230" s="6" t="e">
        <f t="shared" ca="1" si="81"/>
        <v>#VALUE!</v>
      </c>
      <c r="I4230" s="7" t="str">
        <f ca="1">IFERROR(__xludf.DUMMYFUNCTION("IMPORTXML(E4230,""/html/body/main/div[3]/div[3]/div[2]/ul/li[5]/span[2]/span"")"),"Loading...")</f>
        <v>Loading...</v>
      </c>
      <c r="J4230" s="7" t="str">
        <f ca="1">IFERROR(__xludf.DUMMYFUNCTION("GOOGLEFINANCE(""NSE:""&amp;D4230,""marketcap"")"),"#N/A")</f>
        <v>#N/A</v>
      </c>
      <c r="K4230" s="7">
        <v>992.8</v>
      </c>
      <c r="L4230" s="8" t="str">
        <f ca="1">IFERROR(__xludf.DUMMYFUNCTION("GOOGLEFINANCE(""NSE:""&amp;D4230,""price"")"),"#N/A")</f>
        <v>#N/A</v>
      </c>
      <c r="M4230" s="9" t="e">
        <f t="shared" ca="1" si="82"/>
        <v>#VALUE!</v>
      </c>
      <c r="N4230" s="10" t="e">
        <f t="shared" ca="1" si="83"/>
        <v>#VALUE!</v>
      </c>
      <c r="O4230" s="7" t="str">
        <f ca="1">IFERROR(__xludf.DUMMYFUNCTION("GOOGLEFINANCE(""NSE:""&amp;D4230,""pe"")"),"#N/A")</f>
        <v>#N/A</v>
      </c>
      <c r="P4230" s="7" t="str">
        <f ca="1">IFERROR(__xludf.DUMMYFUNCTION("GOOGLEFINANCE(""NSE:""&amp;D4230,""EPS"")"),"#N/A")</f>
        <v>#N/A</v>
      </c>
      <c r="Q4230" s="7">
        <v>13.5</v>
      </c>
      <c r="R4230" s="7" t="str">
        <f ca="1">IFERROR(__xludf.DUMMYFUNCTION("IMPORTXML(E4230,""/html/body/main/div[3]/div[3]/div[2]/ul/li[7]/span[2]/span"")"),"Loading...")</f>
        <v>Loading...</v>
      </c>
      <c r="S4230" s="7" t="str">
        <f ca="1">IFERROR(__xludf.DUMMYFUNCTION("IMPORTXML(E4230,""/html/body/main/div[3]/div[3]/div[2]/ul/li[8]/span[2]/span"")"),"Loading...")</f>
        <v>Loading...</v>
      </c>
      <c r="T4230" s="4">
        <v>34.6</v>
      </c>
      <c r="U4230" s="4">
        <v>22.7</v>
      </c>
      <c r="V4230" s="4">
        <v>2.6</v>
      </c>
      <c r="W4230" s="4">
        <v>5.7</v>
      </c>
      <c r="X4230" s="4">
        <v>519.92999999999995</v>
      </c>
      <c r="Y4230" s="7" t="e">
        <f t="shared" ca="1" si="84"/>
        <v>#VALUE!</v>
      </c>
    </row>
    <row r="4231" spans="1:25" ht="15" x14ac:dyDescent="0.25">
      <c r="A4231" s="4">
        <v>4230</v>
      </c>
      <c r="C4231" s="41" t="s">
        <v>6601</v>
      </c>
      <c r="D4231" s="42"/>
      <c r="E4231" s="5" t="str">
        <f t="shared" si="80"/>
        <v>https://www.screener.in/company//consolidated/</v>
      </c>
      <c r="F4231" s="4">
        <v>443059</v>
      </c>
      <c r="G4231" s="4">
        <v>3832241897</v>
      </c>
      <c r="H4231" s="6" t="e">
        <f t="shared" ca="1" si="81"/>
        <v>#VALUE!</v>
      </c>
      <c r="I4231" s="7" t="str">
        <f ca="1">IFERROR(__xludf.DUMMYFUNCTION("IMPORTXML(E4231,""/html/body/main/div[3]/div[3]/div[2]/ul/li[5]/span[2]/span"")"),"Loading...")</f>
        <v>Loading...</v>
      </c>
      <c r="J4231" s="7" t="str">
        <f ca="1">IFERROR(__xludf.DUMMYFUNCTION("GOOGLEFINANCE(""NSE:""&amp;D4231,""marketcap"")"),"#N/A")</f>
        <v>#N/A</v>
      </c>
      <c r="K4231" s="7">
        <v>992.8</v>
      </c>
      <c r="L4231" s="8" t="str">
        <f ca="1">IFERROR(__xludf.DUMMYFUNCTION("GOOGLEFINANCE(""NSE:""&amp;D4231,""price"")"),"#N/A")</f>
        <v>#N/A</v>
      </c>
      <c r="M4231" s="9" t="e">
        <f t="shared" ca="1" si="82"/>
        <v>#VALUE!</v>
      </c>
      <c r="N4231" s="10" t="e">
        <f t="shared" ca="1" si="83"/>
        <v>#VALUE!</v>
      </c>
      <c r="O4231" s="7" t="str">
        <f ca="1">IFERROR(__xludf.DUMMYFUNCTION("GOOGLEFINANCE(""NSE:""&amp;D4231,""pe"")"),"#N/A")</f>
        <v>#N/A</v>
      </c>
      <c r="P4231" s="7" t="str">
        <f ca="1">IFERROR(__xludf.DUMMYFUNCTION("GOOGLEFINANCE(""NSE:""&amp;D4231,""EPS"")"),"#N/A")</f>
        <v>#N/A</v>
      </c>
      <c r="Q4231" s="7">
        <v>13.5</v>
      </c>
      <c r="R4231" s="7" t="str">
        <f ca="1">IFERROR(__xludf.DUMMYFUNCTION("IMPORTXML(E4231,""/html/body/main/div[3]/div[3]/div[2]/ul/li[7]/span[2]/span"")"),"Loading...")</f>
        <v>Loading...</v>
      </c>
      <c r="S4231" s="7" t="str">
        <f ca="1">IFERROR(__xludf.DUMMYFUNCTION("IMPORTXML(E4231,""/html/body/main/div[3]/div[3]/div[2]/ul/li[8]/span[2]/span"")"),"Loading...")</f>
        <v>Loading...</v>
      </c>
      <c r="T4231" s="4">
        <v>34.6</v>
      </c>
      <c r="U4231" s="4">
        <v>22.7</v>
      </c>
      <c r="V4231" s="4">
        <v>2.6</v>
      </c>
      <c r="W4231" s="4">
        <v>5.7</v>
      </c>
      <c r="X4231" s="4">
        <v>519.92999999999995</v>
      </c>
      <c r="Y4231" s="7" t="e">
        <f t="shared" ca="1" si="84"/>
        <v>#VALUE!</v>
      </c>
    </row>
    <row r="4232" spans="1:25" ht="15" x14ac:dyDescent="0.25">
      <c r="A4232" s="4">
        <v>4231</v>
      </c>
      <c r="C4232" s="41" t="s">
        <v>6602</v>
      </c>
      <c r="D4232" s="42"/>
      <c r="E4232" s="5" t="str">
        <f t="shared" si="80"/>
        <v>https://www.screener.in/company//consolidated/</v>
      </c>
      <c r="F4232" s="4">
        <v>443059</v>
      </c>
      <c r="G4232" s="4">
        <v>3832241897</v>
      </c>
      <c r="H4232" s="6" t="e">
        <f t="shared" ca="1" si="81"/>
        <v>#VALUE!</v>
      </c>
      <c r="I4232" s="7" t="str">
        <f ca="1">IFERROR(__xludf.DUMMYFUNCTION("IMPORTXML(E4232,""/html/body/main/div[3]/div[3]/div[2]/ul/li[5]/span[2]/span"")"),"Loading...")</f>
        <v>Loading...</v>
      </c>
      <c r="J4232" s="7" t="str">
        <f ca="1">IFERROR(__xludf.DUMMYFUNCTION("GOOGLEFINANCE(""NSE:""&amp;D4232,""marketcap"")"),"#N/A")</f>
        <v>#N/A</v>
      </c>
      <c r="K4232" s="7">
        <v>992.8</v>
      </c>
      <c r="L4232" s="8" t="str">
        <f ca="1">IFERROR(__xludf.DUMMYFUNCTION("GOOGLEFINANCE(""NSE:""&amp;D4232,""price"")"),"#N/A")</f>
        <v>#N/A</v>
      </c>
      <c r="M4232" s="9" t="e">
        <f t="shared" ca="1" si="82"/>
        <v>#VALUE!</v>
      </c>
      <c r="N4232" s="10" t="e">
        <f t="shared" ca="1" si="83"/>
        <v>#VALUE!</v>
      </c>
      <c r="O4232" s="7" t="str">
        <f ca="1">IFERROR(__xludf.DUMMYFUNCTION("GOOGLEFINANCE(""NSE:""&amp;D4232,""pe"")"),"#N/A")</f>
        <v>#N/A</v>
      </c>
      <c r="P4232" s="7" t="str">
        <f ca="1">IFERROR(__xludf.DUMMYFUNCTION("GOOGLEFINANCE(""NSE:""&amp;D4232,""EPS"")"),"#N/A")</f>
        <v>#N/A</v>
      </c>
      <c r="Q4232" s="7">
        <v>13.5</v>
      </c>
      <c r="R4232" s="7" t="str">
        <f ca="1">IFERROR(__xludf.DUMMYFUNCTION("IMPORTXML(E4232,""/html/body/main/div[3]/div[3]/div[2]/ul/li[7]/span[2]/span"")"),"Loading...")</f>
        <v>Loading...</v>
      </c>
      <c r="S4232" s="7" t="str">
        <f ca="1">IFERROR(__xludf.DUMMYFUNCTION("IMPORTXML(E4232,""/html/body/main/div[3]/div[3]/div[2]/ul/li[8]/span[2]/span"")"),"Loading...")</f>
        <v>Loading...</v>
      </c>
      <c r="T4232" s="4">
        <v>34.6</v>
      </c>
      <c r="U4232" s="4">
        <v>22.7</v>
      </c>
      <c r="V4232" s="4">
        <v>2.6</v>
      </c>
      <c r="W4232" s="4">
        <v>5.7</v>
      </c>
      <c r="X4232" s="4">
        <v>519.92999999999995</v>
      </c>
      <c r="Y4232" s="7" t="e">
        <f t="shared" ca="1" si="84"/>
        <v>#VALUE!</v>
      </c>
    </row>
    <row r="4233" spans="1:25" ht="15" x14ac:dyDescent="0.25">
      <c r="A4233" s="4">
        <v>4232</v>
      </c>
      <c r="C4233" s="41" t="s">
        <v>6603</v>
      </c>
      <c r="D4233" s="42"/>
      <c r="E4233" s="5" t="str">
        <f t="shared" si="80"/>
        <v>https://www.screener.in/company//consolidated/</v>
      </c>
      <c r="F4233" s="4">
        <v>443059</v>
      </c>
      <c r="G4233" s="4">
        <v>3832241897</v>
      </c>
      <c r="H4233" s="6" t="e">
        <f t="shared" ca="1" si="81"/>
        <v>#VALUE!</v>
      </c>
      <c r="I4233" s="7" t="str">
        <f ca="1">IFERROR(__xludf.DUMMYFUNCTION("IMPORTXML(E4233,""/html/body/main/div[3]/div[3]/div[2]/ul/li[5]/span[2]/span"")"),"Loading...")</f>
        <v>Loading...</v>
      </c>
      <c r="J4233" s="7" t="str">
        <f ca="1">IFERROR(__xludf.DUMMYFUNCTION("GOOGLEFINANCE(""NSE:""&amp;D4233,""marketcap"")"),"#N/A")</f>
        <v>#N/A</v>
      </c>
      <c r="K4233" s="7">
        <v>992.8</v>
      </c>
      <c r="L4233" s="8" t="str">
        <f ca="1">IFERROR(__xludf.DUMMYFUNCTION("GOOGLEFINANCE(""NSE:""&amp;D4233,""price"")"),"#N/A")</f>
        <v>#N/A</v>
      </c>
      <c r="M4233" s="9" t="e">
        <f t="shared" ca="1" si="82"/>
        <v>#VALUE!</v>
      </c>
      <c r="N4233" s="10" t="e">
        <f t="shared" ca="1" si="83"/>
        <v>#VALUE!</v>
      </c>
      <c r="O4233" s="7" t="str">
        <f ca="1">IFERROR(__xludf.DUMMYFUNCTION("GOOGLEFINANCE(""NSE:""&amp;D4233,""pe"")"),"#N/A")</f>
        <v>#N/A</v>
      </c>
      <c r="P4233" s="7" t="str">
        <f ca="1">IFERROR(__xludf.DUMMYFUNCTION("GOOGLEFINANCE(""NSE:""&amp;D4233,""EPS"")"),"#N/A")</f>
        <v>#N/A</v>
      </c>
      <c r="Q4233" s="7">
        <v>13.5</v>
      </c>
      <c r="R4233" s="7" t="str">
        <f ca="1">IFERROR(__xludf.DUMMYFUNCTION("IMPORTXML(E4233,""/html/body/main/div[3]/div[3]/div[2]/ul/li[7]/span[2]/span"")"),"Loading...")</f>
        <v>Loading...</v>
      </c>
      <c r="S4233" s="7" t="str">
        <f ca="1">IFERROR(__xludf.DUMMYFUNCTION("IMPORTXML(E4233,""/html/body/main/div[3]/div[3]/div[2]/ul/li[8]/span[2]/span"")"),"Loading...")</f>
        <v>Loading...</v>
      </c>
      <c r="T4233" s="4">
        <v>34.6</v>
      </c>
      <c r="U4233" s="4">
        <v>22.7</v>
      </c>
      <c r="V4233" s="4">
        <v>2.6</v>
      </c>
      <c r="W4233" s="4">
        <v>5.7</v>
      </c>
      <c r="X4233" s="4">
        <v>519.92999999999995</v>
      </c>
      <c r="Y4233" s="7" t="e">
        <f t="shared" ca="1" si="84"/>
        <v>#VALUE!</v>
      </c>
    </row>
    <row r="4234" spans="1:25" ht="15" x14ac:dyDescent="0.25">
      <c r="A4234" s="4">
        <v>4233</v>
      </c>
      <c r="C4234" s="41" t="s">
        <v>6604</v>
      </c>
      <c r="D4234" s="42"/>
      <c r="E4234" s="5" t="str">
        <f t="shared" si="80"/>
        <v>https://www.screener.in/company//consolidated/</v>
      </c>
      <c r="F4234" s="4">
        <v>443059</v>
      </c>
      <c r="G4234" s="4">
        <v>3832241897</v>
      </c>
      <c r="H4234" s="6" t="e">
        <f t="shared" ca="1" si="81"/>
        <v>#VALUE!</v>
      </c>
      <c r="I4234" s="7" t="str">
        <f ca="1">IFERROR(__xludf.DUMMYFUNCTION("IMPORTXML(E4234,""/html/body/main/div[3]/div[3]/div[2]/ul/li[5]/span[2]/span"")"),"Loading...")</f>
        <v>Loading...</v>
      </c>
      <c r="J4234" s="7" t="str">
        <f ca="1">IFERROR(__xludf.DUMMYFUNCTION("GOOGLEFINANCE(""NSE:""&amp;D4234,""marketcap"")"),"#N/A")</f>
        <v>#N/A</v>
      </c>
      <c r="K4234" s="7">
        <v>992.8</v>
      </c>
      <c r="L4234" s="8" t="str">
        <f ca="1">IFERROR(__xludf.DUMMYFUNCTION("GOOGLEFINANCE(""NSE:""&amp;D4234,""price"")"),"#N/A")</f>
        <v>#N/A</v>
      </c>
      <c r="M4234" s="9" t="e">
        <f t="shared" ca="1" si="82"/>
        <v>#VALUE!</v>
      </c>
      <c r="N4234" s="10" t="e">
        <f t="shared" ca="1" si="83"/>
        <v>#VALUE!</v>
      </c>
      <c r="O4234" s="7" t="str">
        <f ca="1">IFERROR(__xludf.DUMMYFUNCTION("GOOGLEFINANCE(""NSE:""&amp;D4234,""pe"")"),"#N/A")</f>
        <v>#N/A</v>
      </c>
      <c r="P4234" s="7" t="str">
        <f ca="1">IFERROR(__xludf.DUMMYFUNCTION("GOOGLEFINANCE(""NSE:""&amp;D4234,""EPS"")"),"#N/A")</f>
        <v>#N/A</v>
      </c>
      <c r="Q4234" s="7">
        <v>13.5</v>
      </c>
      <c r="R4234" s="7" t="str">
        <f ca="1">IFERROR(__xludf.DUMMYFUNCTION("IMPORTXML(E4234,""/html/body/main/div[3]/div[3]/div[2]/ul/li[7]/span[2]/span"")"),"Loading...")</f>
        <v>Loading...</v>
      </c>
      <c r="S4234" s="7" t="str">
        <f ca="1">IFERROR(__xludf.DUMMYFUNCTION("IMPORTXML(E4234,""/html/body/main/div[3]/div[3]/div[2]/ul/li[8]/span[2]/span"")"),"Loading...")</f>
        <v>Loading...</v>
      </c>
      <c r="T4234" s="4">
        <v>34.6</v>
      </c>
      <c r="U4234" s="4">
        <v>22.7</v>
      </c>
      <c r="V4234" s="4">
        <v>2.6</v>
      </c>
      <c r="W4234" s="4">
        <v>5.7</v>
      </c>
      <c r="X4234" s="4">
        <v>519.92999999999995</v>
      </c>
      <c r="Y4234" s="7" t="e">
        <f t="shared" ca="1" si="84"/>
        <v>#VALUE!</v>
      </c>
    </row>
    <row r="4235" spans="1:25" ht="15" x14ac:dyDescent="0.25">
      <c r="A4235" s="4">
        <v>4234</v>
      </c>
      <c r="C4235" s="41" t="s">
        <v>6605</v>
      </c>
      <c r="D4235" s="42"/>
      <c r="E4235" s="5" t="str">
        <f t="shared" si="80"/>
        <v>https://www.screener.in/company//consolidated/</v>
      </c>
      <c r="F4235" s="4">
        <v>443059</v>
      </c>
      <c r="G4235" s="4">
        <v>3832241897</v>
      </c>
      <c r="H4235" s="6" t="e">
        <f t="shared" ca="1" si="81"/>
        <v>#VALUE!</v>
      </c>
      <c r="I4235" s="7" t="str">
        <f ca="1">IFERROR(__xludf.DUMMYFUNCTION("IMPORTXML(E4235,""/html/body/main/div[3]/div[3]/div[2]/ul/li[5]/span[2]/span"")"),"Loading...")</f>
        <v>Loading...</v>
      </c>
      <c r="J4235" s="7" t="str">
        <f ca="1">IFERROR(__xludf.DUMMYFUNCTION("GOOGLEFINANCE(""NSE:""&amp;D4235,""marketcap"")"),"#N/A")</f>
        <v>#N/A</v>
      </c>
      <c r="K4235" s="7">
        <v>992.8</v>
      </c>
      <c r="L4235" s="8" t="str">
        <f ca="1">IFERROR(__xludf.DUMMYFUNCTION("GOOGLEFINANCE(""NSE:""&amp;D4235,""price"")"),"#N/A")</f>
        <v>#N/A</v>
      </c>
      <c r="M4235" s="9" t="e">
        <f t="shared" ca="1" si="82"/>
        <v>#VALUE!</v>
      </c>
      <c r="N4235" s="10" t="e">
        <f t="shared" ca="1" si="83"/>
        <v>#VALUE!</v>
      </c>
      <c r="O4235" s="7" t="str">
        <f ca="1">IFERROR(__xludf.DUMMYFUNCTION("GOOGLEFINANCE(""NSE:""&amp;D4235,""pe"")"),"#N/A")</f>
        <v>#N/A</v>
      </c>
      <c r="P4235" s="7" t="str">
        <f ca="1">IFERROR(__xludf.DUMMYFUNCTION("GOOGLEFINANCE(""NSE:""&amp;D4235,""EPS"")"),"#N/A")</f>
        <v>#N/A</v>
      </c>
      <c r="Q4235" s="7">
        <v>13.5</v>
      </c>
      <c r="R4235" s="7" t="str">
        <f ca="1">IFERROR(__xludf.DUMMYFUNCTION("IMPORTXML(E4235,""/html/body/main/div[3]/div[3]/div[2]/ul/li[7]/span[2]/span"")"),"Loading...")</f>
        <v>Loading...</v>
      </c>
      <c r="S4235" s="7" t="str">
        <f ca="1">IFERROR(__xludf.DUMMYFUNCTION("IMPORTXML(E4235,""/html/body/main/div[3]/div[3]/div[2]/ul/li[8]/span[2]/span"")"),"Loading...")</f>
        <v>Loading...</v>
      </c>
      <c r="T4235" s="4">
        <v>34.6</v>
      </c>
      <c r="U4235" s="4">
        <v>22.7</v>
      </c>
      <c r="V4235" s="4">
        <v>2.6</v>
      </c>
      <c r="W4235" s="4">
        <v>5.7</v>
      </c>
      <c r="X4235" s="4">
        <v>519.92999999999995</v>
      </c>
      <c r="Y4235" s="7" t="e">
        <f t="shared" ca="1" si="84"/>
        <v>#VALUE!</v>
      </c>
    </row>
    <row r="4236" spans="1:25" ht="15" x14ac:dyDescent="0.25">
      <c r="A4236" s="4">
        <v>4235</v>
      </c>
      <c r="C4236" s="41" t="s">
        <v>6606</v>
      </c>
      <c r="D4236" s="42"/>
      <c r="E4236" s="5" t="str">
        <f t="shared" si="80"/>
        <v>https://www.screener.in/company//consolidated/</v>
      </c>
      <c r="F4236" s="4">
        <v>443059</v>
      </c>
      <c r="G4236" s="4">
        <v>3832241897</v>
      </c>
      <c r="H4236" s="6" t="e">
        <f t="shared" ca="1" si="81"/>
        <v>#VALUE!</v>
      </c>
      <c r="I4236" s="7" t="str">
        <f ca="1">IFERROR(__xludf.DUMMYFUNCTION("IMPORTXML(E4236,""/html/body/main/div[3]/div[3]/div[2]/ul/li[5]/span[2]/span"")"),"Loading...")</f>
        <v>Loading...</v>
      </c>
      <c r="J4236" s="7" t="str">
        <f ca="1">IFERROR(__xludf.DUMMYFUNCTION("GOOGLEFINANCE(""NSE:""&amp;D4236,""marketcap"")"),"#N/A")</f>
        <v>#N/A</v>
      </c>
      <c r="K4236" s="7">
        <v>992.8</v>
      </c>
      <c r="L4236" s="8" t="str">
        <f ca="1">IFERROR(__xludf.DUMMYFUNCTION("GOOGLEFINANCE(""NSE:""&amp;D4236,""price"")"),"#N/A")</f>
        <v>#N/A</v>
      </c>
      <c r="M4236" s="9" t="e">
        <f t="shared" ca="1" si="82"/>
        <v>#VALUE!</v>
      </c>
      <c r="N4236" s="10" t="e">
        <f t="shared" ca="1" si="83"/>
        <v>#VALUE!</v>
      </c>
      <c r="O4236" s="7" t="str">
        <f ca="1">IFERROR(__xludf.DUMMYFUNCTION("GOOGLEFINANCE(""NSE:""&amp;D4236,""pe"")"),"#N/A")</f>
        <v>#N/A</v>
      </c>
      <c r="P4236" s="7" t="str">
        <f ca="1">IFERROR(__xludf.DUMMYFUNCTION("GOOGLEFINANCE(""NSE:""&amp;D4236,""EPS"")"),"#N/A")</f>
        <v>#N/A</v>
      </c>
      <c r="Q4236" s="7">
        <v>13.5</v>
      </c>
      <c r="R4236" s="7" t="str">
        <f ca="1">IFERROR(__xludf.DUMMYFUNCTION("IMPORTXML(E4236,""/html/body/main/div[3]/div[3]/div[2]/ul/li[7]/span[2]/span"")"),"Loading...")</f>
        <v>Loading...</v>
      </c>
      <c r="S4236" s="7" t="str">
        <f ca="1">IFERROR(__xludf.DUMMYFUNCTION("IMPORTXML(E4236,""/html/body/main/div[3]/div[3]/div[2]/ul/li[8]/span[2]/span"")"),"Loading...")</f>
        <v>Loading...</v>
      </c>
      <c r="T4236" s="4">
        <v>34.6</v>
      </c>
      <c r="U4236" s="4">
        <v>22.7</v>
      </c>
      <c r="V4236" s="4">
        <v>2.6</v>
      </c>
      <c r="W4236" s="4">
        <v>5.7</v>
      </c>
      <c r="X4236" s="4">
        <v>519.92999999999995</v>
      </c>
      <c r="Y4236" s="7" t="e">
        <f t="shared" ca="1" si="84"/>
        <v>#VALUE!</v>
      </c>
    </row>
    <row r="4237" spans="1:25" ht="15" x14ac:dyDescent="0.25">
      <c r="A4237" s="4">
        <v>4236</v>
      </c>
      <c r="C4237" s="41" t="s">
        <v>6607</v>
      </c>
      <c r="D4237" s="42"/>
      <c r="E4237" s="5" t="str">
        <f t="shared" si="80"/>
        <v>https://www.screener.in/company//consolidated/</v>
      </c>
      <c r="F4237" s="4">
        <v>443059</v>
      </c>
      <c r="G4237" s="4">
        <v>3832241897</v>
      </c>
      <c r="H4237" s="6" t="e">
        <f t="shared" ca="1" si="81"/>
        <v>#VALUE!</v>
      </c>
      <c r="I4237" s="7" t="str">
        <f ca="1">IFERROR(__xludf.DUMMYFUNCTION("IMPORTXML(E4237,""/html/body/main/div[3]/div[3]/div[2]/ul/li[5]/span[2]/span"")"),"Loading...")</f>
        <v>Loading...</v>
      </c>
      <c r="J4237" s="7" t="str">
        <f ca="1">IFERROR(__xludf.DUMMYFUNCTION("GOOGLEFINANCE(""NSE:""&amp;D4237,""marketcap"")"),"#N/A")</f>
        <v>#N/A</v>
      </c>
      <c r="K4237" s="7">
        <v>992.8</v>
      </c>
      <c r="L4237" s="8" t="str">
        <f ca="1">IFERROR(__xludf.DUMMYFUNCTION("GOOGLEFINANCE(""NSE:""&amp;D4237,""price"")"),"#N/A")</f>
        <v>#N/A</v>
      </c>
      <c r="M4237" s="9" t="e">
        <f t="shared" ca="1" si="82"/>
        <v>#VALUE!</v>
      </c>
      <c r="N4237" s="10" t="e">
        <f t="shared" ca="1" si="83"/>
        <v>#VALUE!</v>
      </c>
      <c r="O4237" s="7" t="str">
        <f ca="1">IFERROR(__xludf.DUMMYFUNCTION("GOOGLEFINANCE(""NSE:""&amp;D4237,""pe"")"),"#N/A")</f>
        <v>#N/A</v>
      </c>
      <c r="P4237" s="7" t="str">
        <f ca="1">IFERROR(__xludf.DUMMYFUNCTION("GOOGLEFINANCE(""NSE:""&amp;D4237,""EPS"")"),"#N/A")</f>
        <v>#N/A</v>
      </c>
      <c r="Q4237" s="7">
        <v>13.5</v>
      </c>
      <c r="R4237" s="7" t="str">
        <f ca="1">IFERROR(__xludf.DUMMYFUNCTION("IMPORTXML(E4237,""/html/body/main/div[3]/div[3]/div[2]/ul/li[7]/span[2]/span"")"),"Loading...")</f>
        <v>Loading...</v>
      </c>
      <c r="S4237" s="7" t="str">
        <f ca="1">IFERROR(__xludf.DUMMYFUNCTION("IMPORTXML(E4237,""/html/body/main/div[3]/div[3]/div[2]/ul/li[8]/span[2]/span"")"),"Loading...")</f>
        <v>Loading...</v>
      </c>
      <c r="T4237" s="4">
        <v>34.6</v>
      </c>
      <c r="U4237" s="4">
        <v>22.7</v>
      </c>
      <c r="V4237" s="4">
        <v>2.6</v>
      </c>
      <c r="W4237" s="4">
        <v>5.7</v>
      </c>
      <c r="X4237" s="4">
        <v>519.92999999999995</v>
      </c>
      <c r="Y4237" s="7" t="e">
        <f t="shared" ca="1" si="84"/>
        <v>#VALUE!</v>
      </c>
    </row>
    <row r="4238" spans="1:25" ht="15" x14ac:dyDescent="0.25">
      <c r="A4238" s="4">
        <v>4237</v>
      </c>
      <c r="C4238" s="41" t="s">
        <v>6608</v>
      </c>
      <c r="D4238" s="42"/>
      <c r="E4238" s="5" t="str">
        <f t="shared" si="80"/>
        <v>https://www.screener.in/company//consolidated/</v>
      </c>
      <c r="F4238" s="4">
        <v>443059</v>
      </c>
      <c r="G4238" s="4">
        <v>3832241897</v>
      </c>
      <c r="H4238" s="6" t="e">
        <f t="shared" ca="1" si="81"/>
        <v>#VALUE!</v>
      </c>
      <c r="I4238" s="7" t="str">
        <f ca="1">IFERROR(__xludf.DUMMYFUNCTION("IMPORTXML(E4238,""/html/body/main/div[3]/div[3]/div[2]/ul/li[5]/span[2]/span"")"),"Loading...")</f>
        <v>Loading...</v>
      </c>
      <c r="J4238" s="7" t="str">
        <f ca="1">IFERROR(__xludf.DUMMYFUNCTION("GOOGLEFINANCE(""NSE:""&amp;D4238,""marketcap"")"),"#N/A")</f>
        <v>#N/A</v>
      </c>
      <c r="K4238" s="7">
        <v>992.8</v>
      </c>
      <c r="L4238" s="8" t="str">
        <f ca="1">IFERROR(__xludf.DUMMYFUNCTION("GOOGLEFINANCE(""NSE:""&amp;D4238,""price"")"),"#N/A")</f>
        <v>#N/A</v>
      </c>
      <c r="M4238" s="9" t="e">
        <f t="shared" ca="1" si="82"/>
        <v>#VALUE!</v>
      </c>
      <c r="N4238" s="10" t="e">
        <f t="shared" ca="1" si="83"/>
        <v>#VALUE!</v>
      </c>
      <c r="O4238" s="7" t="str">
        <f ca="1">IFERROR(__xludf.DUMMYFUNCTION("GOOGLEFINANCE(""NSE:""&amp;D4238,""pe"")"),"#N/A")</f>
        <v>#N/A</v>
      </c>
      <c r="P4238" s="7" t="str">
        <f ca="1">IFERROR(__xludf.DUMMYFUNCTION("GOOGLEFINANCE(""NSE:""&amp;D4238,""EPS"")"),"#N/A")</f>
        <v>#N/A</v>
      </c>
      <c r="Q4238" s="7">
        <v>13.5</v>
      </c>
      <c r="R4238" s="7" t="str">
        <f ca="1">IFERROR(__xludf.DUMMYFUNCTION("IMPORTXML(E4238,""/html/body/main/div[3]/div[3]/div[2]/ul/li[7]/span[2]/span"")"),"Loading...")</f>
        <v>Loading...</v>
      </c>
      <c r="S4238" s="7" t="str">
        <f ca="1">IFERROR(__xludf.DUMMYFUNCTION("IMPORTXML(E4238,""/html/body/main/div[3]/div[3]/div[2]/ul/li[8]/span[2]/span"")"),"Loading...")</f>
        <v>Loading...</v>
      </c>
      <c r="T4238" s="4">
        <v>34.6</v>
      </c>
      <c r="U4238" s="4">
        <v>22.7</v>
      </c>
      <c r="V4238" s="4">
        <v>2.6</v>
      </c>
      <c r="W4238" s="4">
        <v>5.7</v>
      </c>
      <c r="X4238" s="4">
        <v>519.92999999999995</v>
      </c>
      <c r="Y4238" s="7" t="e">
        <f t="shared" ca="1" si="84"/>
        <v>#VALUE!</v>
      </c>
    </row>
    <row r="4239" spans="1:25" ht="15" x14ac:dyDescent="0.25">
      <c r="A4239" s="4">
        <v>4238</v>
      </c>
      <c r="C4239" s="41" t="s">
        <v>6609</v>
      </c>
      <c r="D4239" s="42"/>
      <c r="E4239" s="5" t="str">
        <f t="shared" si="80"/>
        <v>https://www.screener.in/company//consolidated/</v>
      </c>
      <c r="F4239" s="4">
        <v>443059</v>
      </c>
      <c r="G4239" s="4">
        <v>3832241897</v>
      </c>
      <c r="H4239" s="6" t="e">
        <f t="shared" ca="1" si="81"/>
        <v>#VALUE!</v>
      </c>
      <c r="I4239" s="7" t="str">
        <f ca="1">IFERROR(__xludf.DUMMYFUNCTION("IMPORTXML(E4239,""/html/body/main/div[3]/div[3]/div[2]/ul/li[5]/span[2]/span"")"),"Loading...")</f>
        <v>Loading...</v>
      </c>
      <c r="J4239" s="7" t="str">
        <f ca="1">IFERROR(__xludf.DUMMYFUNCTION("GOOGLEFINANCE(""NSE:""&amp;D4239,""marketcap"")"),"#N/A")</f>
        <v>#N/A</v>
      </c>
      <c r="K4239" s="7">
        <v>992.8</v>
      </c>
      <c r="L4239" s="8" t="str">
        <f ca="1">IFERROR(__xludf.DUMMYFUNCTION("GOOGLEFINANCE(""NSE:""&amp;D4239,""price"")"),"#N/A")</f>
        <v>#N/A</v>
      </c>
      <c r="M4239" s="9" t="e">
        <f t="shared" ca="1" si="82"/>
        <v>#VALUE!</v>
      </c>
      <c r="N4239" s="10" t="e">
        <f t="shared" ca="1" si="83"/>
        <v>#VALUE!</v>
      </c>
      <c r="O4239" s="7" t="str">
        <f ca="1">IFERROR(__xludf.DUMMYFUNCTION("GOOGLEFINANCE(""NSE:""&amp;D4239,""pe"")"),"#N/A")</f>
        <v>#N/A</v>
      </c>
      <c r="P4239" s="7" t="str">
        <f ca="1">IFERROR(__xludf.DUMMYFUNCTION("GOOGLEFINANCE(""NSE:""&amp;D4239,""EPS"")"),"#N/A")</f>
        <v>#N/A</v>
      </c>
      <c r="Q4239" s="7">
        <v>13.5</v>
      </c>
      <c r="R4239" s="7" t="str">
        <f ca="1">IFERROR(__xludf.DUMMYFUNCTION("IMPORTXML(E4239,""/html/body/main/div[3]/div[3]/div[2]/ul/li[7]/span[2]/span"")"),"Loading...")</f>
        <v>Loading...</v>
      </c>
      <c r="S4239" s="7" t="str">
        <f ca="1">IFERROR(__xludf.DUMMYFUNCTION("IMPORTXML(E4239,""/html/body/main/div[3]/div[3]/div[2]/ul/li[8]/span[2]/span"")"),"Loading...")</f>
        <v>Loading...</v>
      </c>
      <c r="T4239" s="4">
        <v>34.6</v>
      </c>
      <c r="U4239" s="4">
        <v>22.7</v>
      </c>
      <c r="V4239" s="4">
        <v>2.6</v>
      </c>
      <c r="W4239" s="4">
        <v>5.7</v>
      </c>
      <c r="X4239" s="4">
        <v>519.92999999999995</v>
      </c>
      <c r="Y4239" s="7" t="e">
        <f t="shared" ca="1" si="84"/>
        <v>#VALUE!</v>
      </c>
    </row>
    <row r="4240" spans="1:25" ht="15" x14ac:dyDescent="0.25">
      <c r="A4240" s="4">
        <v>4239</v>
      </c>
      <c r="C4240" s="41" t="s">
        <v>6610</v>
      </c>
      <c r="D4240" s="42"/>
      <c r="E4240" s="5" t="str">
        <f t="shared" si="80"/>
        <v>https://www.screener.in/company//consolidated/</v>
      </c>
      <c r="F4240" s="4">
        <v>443059</v>
      </c>
      <c r="G4240" s="4">
        <v>3832241897</v>
      </c>
      <c r="H4240" s="6" t="e">
        <f t="shared" ca="1" si="81"/>
        <v>#VALUE!</v>
      </c>
      <c r="I4240" s="7" t="str">
        <f ca="1">IFERROR(__xludf.DUMMYFUNCTION("IMPORTXML(E4240,""/html/body/main/div[3]/div[3]/div[2]/ul/li[5]/span[2]/span"")"),"Loading...")</f>
        <v>Loading...</v>
      </c>
      <c r="J4240" s="7" t="str">
        <f ca="1">IFERROR(__xludf.DUMMYFUNCTION("GOOGLEFINANCE(""NSE:""&amp;D4240,""marketcap"")"),"#N/A")</f>
        <v>#N/A</v>
      </c>
      <c r="K4240" s="7">
        <v>992.8</v>
      </c>
      <c r="L4240" s="8" t="str">
        <f ca="1">IFERROR(__xludf.DUMMYFUNCTION("GOOGLEFINANCE(""NSE:""&amp;D4240,""price"")"),"#N/A")</f>
        <v>#N/A</v>
      </c>
      <c r="M4240" s="9" t="e">
        <f t="shared" ca="1" si="82"/>
        <v>#VALUE!</v>
      </c>
      <c r="N4240" s="10" t="e">
        <f t="shared" ca="1" si="83"/>
        <v>#VALUE!</v>
      </c>
      <c r="O4240" s="7" t="str">
        <f ca="1">IFERROR(__xludf.DUMMYFUNCTION("GOOGLEFINANCE(""NSE:""&amp;D4240,""pe"")"),"#N/A")</f>
        <v>#N/A</v>
      </c>
      <c r="P4240" s="7" t="str">
        <f ca="1">IFERROR(__xludf.DUMMYFUNCTION("GOOGLEFINANCE(""NSE:""&amp;D4240,""EPS"")"),"#N/A")</f>
        <v>#N/A</v>
      </c>
      <c r="Q4240" s="7">
        <v>13.5</v>
      </c>
      <c r="R4240" s="7" t="str">
        <f ca="1">IFERROR(__xludf.DUMMYFUNCTION("IMPORTXML(E4240,""/html/body/main/div[3]/div[3]/div[2]/ul/li[7]/span[2]/span"")"),"Loading...")</f>
        <v>Loading...</v>
      </c>
      <c r="S4240" s="7" t="str">
        <f ca="1">IFERROR(__xludf.DUMMYFUNCTION("IMPORTXML(E4240,""/html/body/main/div[3]/div[3]/div[2]/ul/li[8]/span[2]/span"")"),"Loading...")</f>
        <v>Loading...</v>
      </c>
      <c r="T4240" s="4">
        <v>34.6</v>
      </c>
      <c r="U4240" s="4">
        <v>22.7</v>
      </c>
      <c r="V4240" s="4">
        <v>2.6</v>
      </c>
      <c r="W4240" s="4">
        <v>5.7</v>
      </c>
      <c r="X4240" s="4">
        <v>519.92999999999995</v>
      </c>
      <c r="Y4240" s="7" t="e">
        <f t="shared" ca="1" si="84"/>
        <v>#VALUE!</v>
      </c>
    </row>
    <row r="4241" spans="1:25" ht="15" x14ac:dyDescent="0.25">
      <c r="A4241" s="4">
        <v>4240</v>
      </c>
      <c r="C4241" s="41" t="s">
        <v>6611</v>
      </c>
      <c r="D4241" s="42"/>
      <c r="E4241" s="5" t="str">
        <f t="shared" si="80"/>
        <v>https://www.screener.in/company//consolidated/</v>
      </c>
      <c r="F4241" s="4">
        <v>443059</v>
      </c>
      <c r="G4241" s="4">
        <v>3832241897</v>
      </c>
      <c r="H4241" s="6" t="e">
        <f t="shared" ca="1" si="81"/>
        <v>#VALUE!</v>
      </c>
      <c r="I4241" s="7" t="str">
        <f ca="1">IFERROR(__xludf.DUMMYFUNCTION("IMPORTXML(E4241,""/html/body/main/div[3]/div[3]/div[2]/ul/li[5]/span[2]/span"")"),"Loading...")</f>
        <v>Loading...</v>
      </c>
      <c r="J4241" s="7" t="str">
        <f ca="1">IFERROR(__xludf.DUMMYFUNCTION("GOOGLEFINANCE(""NSE:""&amp;D4241,""marketcap"")"),"#N/A")</f>
        <v>#N/A</v>
      </c>
      <c r="K4241" s="7">
        <v>992.8</v>
      </c>
      <c r="L4241" s="8" t="str">
        <f ca="1">IFERROR(__xludf.DUMMYFUNCTION("GOOGLEFINANCE(""NSE:""&amp;D4241,""price"")"),"#N/A")</f>
        <v>#N/A</v>
      </c>
      <c r="M4241" s="9" t="e">
        <f t="shared" ca="1" si="82"/>
        <v>#VALUE!</v>
      </c>
      <c r="N4241" s="10" t="e">
        <f t="shared" ca="1" si="83"/>
        <v>#VALUE!</v>
      </c>
      <c r="O4241" s="7" t="str">
        <f ca="1">IFERROR(__xludf.DUMMYFUNCTION("GOOGLEFINANCE(""NSE:""&amp;D4241,""pe"")"),"#N/A")</f>
        <v>#N/A</v>
      </c>
      <c r="P4241" s="7" t="str">
        <f ca="1">IFERROR(__xludf.DUMMYFUNCTION("GOOGLEFINANCE(""NSE:""&amp;D4241,""EPS"")"),"#N/A")</f>
        <v>#N/A</v>
      </c>
      <c r="Q4241" s="7">
        <v>13.5</v>
      </c>
      <c r="R4241" s="7" t="str">
        <f ca="1">IFERROR(__xludf.DUMMYFUNCTION("IMPORTXML(E4241,""/html/body/main/div[3]/div[3]/div[2]/ul/li[7]/span[2]/span"")"),"Loading...")</f>
        <v>Loading...</v>
      </c>
      <c r="S4241" s="7" t="str">
        <f ca="1">IFERROR(__xludf.DUMMYFUNCTION("IMPORTXML(E4241,""/html/body/main/div[3]/div[3]/div[2]/ul/li[8]/span[2]/span"")"),"Loading...")</f>
        <v>Loading...</v>
      </c>
      <c r="T4241" s="4">
        <v>34.6</v>
      </c>
      <c r="U4241" s="4">
        <v>22.7</v>
      </c>
      <c r="V4241" s="4">
        <v>2.6</v>
      </c>
      <c r="W4241" s="4">
        <v>5.7</v>
      </c>
      <c r="X4241" s="4">
        <v>519.92999999999995</v>
      </c>
      <c r="Y4241" s="7" t="e">
        <f t="shared" ca="1" si="84"/>
        <v>#VALUE!</v>
      </c>
    </row>
    <row r="4242" spans="1:25" ht="15" x14ac:dyDescent="0.25">
      <c r="A4242" s="4">
        <v>4241</v>
      </c>
      <c r="C4242" s="41" t="s">
        <v>6612</v>
      </c>
      <c r="D4242" s="42"/>
      <c r="E4242" s="5" t="str">
        <f t="shared" si="80"/>
        <v>https://www.screener.in/company//consolidated/</v>
      </c>
      <c r="F4242" s="4">
        <v>443059</v>
      </c>
      <c r="G4242" s="4">
        <v>3832241897</v>
      </c>
      <c r="H4242" s="6" t="e">
        <f t="shared" ca="1" si="81"/>
        <v>#VALUE!</v>
      </c>
      <c r="I4242" s="7" t="str">
        <f ca="1">IFERROR(__xludf.DUMMYFUNCTION("IMPORTXML(E4242,""/html/body/main/div[3]/div[3]/div[2]/ul/li[5]/span[2]/span"")"),"Loading...")</f>
        <v>Loading...</v>
      </c>
      <c r="J4242" s="7" t="str">
        <f ca="1">IFERROR(__xludf.DUMMYFUNCTION("GOOGLEFINANCE(""NSE:""&amp;D4242,""marketcap"")"),"#N/A")</f>
        <v>#N/A</v>
      </c>
      <c r="K4242" s="7">
        <v>992.8</v>
      </c>
      <c r="L4242" s="8" t="str">
        <f ca="1">IFERROR(__xludf.DUMMYFUNCTION("GOOGLEFINANCE(""NSE:""&amp;D4242,""price"")"),"#N/A")</f>
        <v>#N/A</v>
      </c>
      <c r="M4242" s="9" t="e">
        <f t="shared" ca="1" si="82"/>
        <v>#VALUE!</v>
      </c>
      <c r="N4242" s="10" t="e">
        <f t="shared" ca="1" si="83"/>
        <v>#VALUE!</v>
      </c>
      <c r="O4242" s="7" t="str">
        <f ca="1">IFERROR(__xludf.DUMMYFUNCTION("GOOGLEFINANCE(""NSE:""&amp;D4242,""pe"")"),"#N/A")</f>
        <v>#N/A</v>
      </c>
      <c r="P4242" s="7" t="str">
        <f ca="1">IFERROR(__xludf.DUMMYFUNCTION("GOOGLEFINANCE(""NSE:""&amp;D4242,""EPS"")"),"#N/A")</f>
        <v>#N/A</v>
      </c>
      <c r="Q4242" s="7">
        <v>13.5</v>
      </c>
      <c r="R4242" s="7" t="str">
        <f ca="1">IFERROR(__xludf.DUMMYFUNCTION("IMPORTXML(E4242,""/html/body/main/div[3]/div[3]/div[2]/ul/li[7]/span[2]/span"")"),"Loading...")</f>
        <v>Loading...</v>
      </c>
      <c r="S4242" s="7" t="str">
        <f ca="1">IFERROR(__xludf.DUMMYFUNCTION("IMPORTXML(E4242,""/html/body/main/div[3]/div[3]/div[2]/ul/li[8]/span[2]/span"")"),"Loading...")</f>
        <v>Loading...</v>
      </c>
      <c r="T4242" s="4">
        <v>34.6</v>
      </c>
      <c r="U4242" s="4">
        <v>22.7</v>
      </c>
      <c r="V4242" s="4">
        <v>2.6</v>
      </c>
      <c r="W4242" s="4">
        <v>5.7</v>
      </c>
      <c r="X4242" s="4">
        <v>519.92999999999995</v>
      </c>
      <c r="Y4242" s="7" t="e">
        <f t="shared" ca="1" si="84"/>
        <v>#VALUE!</v>
      </c>
    </row>
    <row r="4243" spans="1:25" ht="15" x14ac:dyDescent="0.25">
      <c r="A4243" s="4">
        <v>4242</v>
      </c>
      <c r="C4243" s="41" t="s">
        <v>6613</v>
      </c>
      <c r="D4243" s="42"/>
      <c r="E4243" s="5" t="str">
        <f t="shared" ref="E4243:E4497" si="85">"https://www.screener.in/company/"&amp; D4243&amp;"/consolidated/"</f>
        <v>https://www.screener.in/company//consolidated/</v>
      </c>
      <c r="F4243" s="4">
        <v>443059</v>
      </c>
      <c r="G4243" s="4">
        <v>3832241897</v>
      </c>
      <c r="H4243" s="6" t="e">
        <f t="shared" ref="H4243:H4497" ca="1" si="86">(G4243*L4243)/10^7</f>
        <v>#VALUE!</v>
      </c>
      <c r="I4243" s="7" t="str">
        <f ca="1">IFERROR(__xludf.DUMMYFUNCTION("IMPORTXML(E4243,""/html/body/main/div[3]/div[3]/div[2]/ul/li[5]/span[2]/span"")"),"Loading...")</f>
        <v>Loading...</v>
      </c>
      <c r="J4243" s="7" t="str">
        <f ca="1">IFERROR(__xludf.DUMMYFUNCTION("GOOGLEFINANCE(""NSE:""&amp;D4243,""marketcap"")"),"#N/A")</f>
        <v>#N/A</v>
      </c>
      <c r="K4243" s="7">
        <v>992.8</v>
      </c>
      <c r="L4243" s="8" t="str">
        <f ca="1">IFERROR(__xludf.DUMMYFUNCTION("GOOGLEFINANCE(""NSE:""&amp;D4243,""price"")"),"#N/A")</f>
        <v>#N/A</v>
      </c>
      <c r="M4243" s="9" t="e">
        <f t="shared" ref="M4243:M4497" ca="1" si="87">L4243-K4243</f>
        <v>#VALUE!</v>
      </c>
      <c r="N4243" s="10" t="e">
        <f t="shared" ref="N4243:N4497" ca="1" si="88">(M4243/K4243)*100</f>
        <v>#VALUE!</v>
      </c>
      <c r="O4243" s="7" t="str">
        <f ca="1">IFERROR(__xludf.DUMMYFUNCTION("GOOGLEFINANCE(""NSE:""&amp;D4243,""pe"")"),"#N/A")</f>
        <v>#N/A</v>
      </c>
      <c r="P4243" s="7" t="str">
        <f ca="1">IFERROR(__xludf.DUMMYFUNCTION("GOOGLEFINANCE(""NSE:""&amp;D4243,""EPS"")"),"#N/A")</f>
        <v>#N/A</v>
      </c>
      <c r="Q4243" s="7">
        <v>13.5</v>
      </c>
      <c r="R4243" s="7" t="str">
        <f ca="1">IFERROR(__xludf.DUMMYFUNCTION("IMPORTXML(E4243,""/html/body/main/div[3]/div[3]/div[2]/ul/li[7]/span[2]/span"")"),"Loading...")</f>
        <v>Loading...</v>
      </c>
      <c r="S4243" s="7" t="str">
        <f ca="1">IFERROR(__xludf.DUMMYFUNCTION("IMPORTXML(E4243,""/html/body/main/div[3]/div[3]/div[2]/ul/li[8]/span[2]/span"")"),"Loading...")</f>
        <v>Loading...</v>
      </c>
      <c r="T4243" s="4">
        <v>34.6</v>
      </c>
      <c r="U4243" s="4">
        <v>22.7</v>
      </c>
      <c r="V4243" s="4">
        <v>2.6</v>
      </c>
      <c r="W4243" s="4">
        <v>5.7</v>
      </c>
      <c r="X4243" s="4">
        <v>519.92999999999995</v>
      </c>
      <c r="Y4243" s="7" t="e">
        <f t="shared" ref="Y4243:Y4497" ca="1" si="89">L4243-X4243</f>
        <v>#VALUE!</v>
      </c>
    </row>
    <row r="4244" spans="1:25" ht="15" x14ac:dyDescent="0.25">
      <c r="A4244" s="4">
        <v>4243</v>
      </c>
      <c r="C4244" s="41" t="s">
        <v>6614</v>
      </c>
      <c r="D4244" s="42"/>
      <c r="E4244" s="5" t="str">
        <f t="shared" si="85"/>
        <v>https://www.screener.in/company//consolidated/</v>
      </c>
      <c r="F4244" s="4">
        <v>443059</v>
      </c>
      <c r="G4244" s="4">
        <v>3832241897</v>
      </c>
      <c r="H4244" s="6" t="e">
        <f t="shared" ca="1" si="86"/>
        <v>#VALUE!</v>
      </c>
      <c r="I4244" s="7" t="str">
        <f ca="1">IFERROR(__xludf.DUMMYFUNCTION("IMPORTXML(E4244,""/html/body/main/div[3]/div[3]/div[2]/ul/li[5]/span[2]/span"")"),"Loading...")</f>
        <v>Loading...</v>
      </c>
      <c r="J4244" s="7" t="str">
        <f ca="1">IFERROR(__xludf.DUMMYFUNCTION("GOOGLEFINANCE(""NSE:""&amp;D4244,""marketcap"")"),"#N/A")</f>
        <v>#N/A</v>
      </c>
      <c r="K4244" s="7">
        <v>992.8</v>
      </c>
      <c r="L4244" s="8" t="str">
        <f ca="1">IFERROR(__xludf.DUMMYFUNCTION("GOOGLEFINANCE(""NSE:""&amp;D4244,""price"")"),"#N/A")</f>
        <v>#N/A</v>
      </c>
      <c r="M4244" s="9" t="e">
        <f t="shared" ca="1" si="87"/>
        <v>#VALUE!</v>
      </c>
      <c r="N4244" s="10" t="e">
        <f t="shared" ca="1" si="88"/>
        <v>#VALUE!</v>
      </c>
      <c r="O4244" s="7" t="str">
        <f ca="1">IFERROR(__xludf.DUMMYFUNCTION("GOOGLEFINANCE(""NSE:""&amp;D4244,""pe"")"),"#N/A")</f>
        <v>#N/A</v>
      </c>
      <c r="P4244" s="7" t="str">
        <f ca="1">IFERROR(__xludf.DUMMYFUNCTION("GOOGLEFINANCE(""NSE:""&amp;D4244,""EPS"")"),"#N/A")</f>
        <v>#N/A</v>
      </c>
      <c r="Q4244" s="7">
        <v>13.5</v>
      </c>
      <c r="R4244" s="7" t="str">
        <f ca="1">IFERROR(__xludf.DUMMYFUNCTION("IMPORTXML(E4244,""/html/body/main/div[3]/div[3]/div[2]/ul/li[7]/span[2]/span"")"),"Loading...")</f>
        <v>Loading...</v>
      </c>
      <c r="S4244" s="7" t="str">
        <f ca="1">IFERROR(__xludf.DUMMYFUNCTION("IMPORTXML(E4244,""/html/body/main/div[3]/div[3]/div[2]/ul/li[8]/span[2]/span"")"),"Loading...")</f>
        <v>Loading...</v>
      </c>
      <c r="T4244" s="4">
        <v>34.6</v>
      </c>
      <c r="U4244" s="4">
        <v>22.7</v>
      </c>
      <c r="V4244" s="4">
        <v>2.6</v>
      </c>
      <c r="W4244" s="4">
        <v>5.7</v>
      </c>
      <c r="X4244" s="4">
        <v>519.92999999999995</v>
      </c>
      <c r="Y4244" s="7" t="e">
        <f t="shared" ca="1" si="89"/>
        <v>#VALUE!</v>
      </c>
    </row>
    <row r="4245" spans="1:25" ht="15" x14ac:dyDescent="0.25">
      <c r="A4245" s="4">
        <v>4244</v>
      </c>
      <c r="C4245" s="41" t="s">
        <v>6615</v>
      </c>
      <c r="D4245" s="42"/>
      <c r="E4245" s="5" t="str">
        <f t="shared" si="85"/>
        <v>https://www.screener.in/company//consolidated/</v>
      </c>
      <c r="F4245" s="4">
        <v>443059</v>
      </c>
      <c r="G4245" s="4">
        <v>3832241897</v>
      </c>
      <c r="H4245" s="6" t="e">
        <f t="shared" ca="1" si="86"/>
        <v>#VALUE!</v>
      </c>
      <c r="I4245" s="7" t="str">
        <f ca="1">IFERROR(__xludf.DUMMYFUNCTION("IMPORTXML(E4245,""/html/body/main/div[3]/div[3]/div[2]/ul/li[5]/span[2]/span"")"),"Loading...")</f>
        <v>Loading...</v>
      </c>
      <c r="J4245" s="7" t="str">
        <f ca="1">IFERROR(__xludf.DUMMYFUNCTION("GOOGLEFINANCE(""NSE:""&amp;D4245,""marketcap"")"),"#N/A")</f>
        <v>#N/A</v>
      </c>
      <c r="K4245" s="7">
        <v>992.8</v>
      </c>
      <c r="L4245" s="8" t="str">
        <f ca="1">IFERROR(__xludf.DUMMYFUNCTION("GOOGLEFINANCE(""NSE:""&amp;D4245,""price"")"),"#N/A")</f>
        <v>#N/A</v>
      </c>
      <c r="M4245" s="9" t="e">
        <f t="shared" ca="1" si="87"/>
        <v>#VALUE!</v>
      </c>
      <c r="N4245" s="10" t="e">
        <f t="shared" ca="1" si="88"/>
        <v>#VALUE!</v>
      </c>
      <c r="O4245" s="7" t="str">
        <f ca="1">IFERROR(__xludf.DUMMYFUNCTION("GOOGLEFINANCE(""NSE:""&amp;D4245,""pe"")"),"#N/A")</f>
        <v>#N/A</v>
      </c>
      <c r="P4245" s="7" t="str">
        <f ca="1">IFERROR(__xludf.DUMMYFUNCTION("GOOGLEFINANCE(""NSE:""&amp;D4245,""EPS"")"),"#N/A")</f>
        <v>#N/A</v>
      </c>
      <c r="Q4245" s="7">
        <v>13.5</v>
      </c>
      <c r="R4245" s="7" t="str">
        <f ca="1">IFERROR(__xludf.DUMMYFUNCTION("IMPORTXML(E4245,""/html/body/main/div[3]/div[3]/div[2]/ul/li[7]/span[2]/span"")"),"Loading...")</f>
        <v>Loading...</v>
      </c>
      <c r="S4245" s="7" t="str">
        <f ca="1">IFERROR(__xludf.DUMMYFUNCTION("IMPORTXML(E4245,""/html/body/main/div[3]/div[3]/div[2]/ul/li[8]/span[2]/span"")"),"Loading...")</f>
        <v>Loading...</v>
      </c>
      <c r="T4245" s="4">
        <v>34.6</v>
      </c>
      <c r="U4245" s="4">
        <v>22.7</v>
      </c>
      <c r="V4245" s="4">
        <v>2.6</v>
      </c>
      <c r="W4245" s="4">
        <v>5.7</v>
      </c>
      <c r="X4245" s="4">
        <v>519.92999999999995</v>
      </c>
      <c r="Y4245" s="7" t="e">
        <f t="shared" ca="1" si="89"/>
        <v>#VALUE!</v>
      </c>
    </row>
    <row r="4246" spans="1:25" ht="15" x14ac:dyDescent="0.25">
      <c r="A4246" s="4">
        <v>4245</v>
      </c>
      <c r="C4246" s="41" t="s">
        <v>6616</v>
      </c>
      <c r="D4246" s="42"/>
      <c r="E4246" s="5" t="str">
        <f t="shared" si="85"/>
        <v>https://www.screener.in/company//consolidated/</v>
      </c>
      <c r="F4246" s="4">
        <v>443059</v>
      </c>
      <c r="G4246" s="4">
        <v>3832241897</v>
      </c>
      <c r="H4246" s="6" t="e">
        <f t="shared" ca="1" si="86"/>
        <v>#VALUE!</v>
      </c>
      <c r="I4246" s="7" t="str">
        <f ca="1">IFERROR(__xludf.DUMMYFUNCTION("IMPORTXML(E4246,""/html/body/main/div[3]/div[3]/div[2]/ul/li[5]/span[2]/span"")"),"Loading...")</f>
        <v>Loading...</v>
      </c>
      <c r="J4246" s="7" t="str">
        <f ca="1">IFERROR(__xludf.DUMMYFUNCTION("GOOGLEFINANCE(""NSE:""&amp;D4246,""marketcap"")"),"#N/A")</f>
        <v>#N/A</v>
      </c>
      <c r="K4246" s="7">
        <v>992.8</v>
      </c>
      <c r="L4246" s="8" t="str">
        <f ca="1">IFERROR(__xludf.DUMMYFUNCTION("GOOGLEFINANCE(""NSE:""&amp;D4246,""price"")"),"#N/A")</f>
        <v>#N/A</v>
      </c>
      <c r="M4246" s="9" t="e">
        <f t="shared" ca="1" si="87"/>
        <v>#VALUE!</v>
      </c>
      <c r="N4246" s="10" t="e">
        <f t="shared" ca="1" si="88"/>
        <v>#VALUE!</v>
      </c>
      <c r="O4246" s="7" t="str">
        <f ca="1">IFERROR(__xludf.DUMMYFUNCTION("GOOGLEFINANCE(""NSE:""&amp;D4246,""pe"")"),"#N/A")</f>
        <v>#N/A</v>
      </c>
      <c r="P4246" s="7" t="str">
        <f ca="1">IFERROR(__xludf.DUMMYFUNCTION("GOOGLEFINANCE(""NSE:""&amp;D4246,""EPS"")"),"#N/A")</f>
        <v>#N/A</v>
      </c>
      <c r="Q4246" s="7">
        <v>13.5</v>
      </c>
      <c r="R4246" s="7" t="str">
        <f ca="1">IFERROR(__xludf.DUMMYFUNCTION("IMPORTXML(E4246,""/html/body/main/div[3]/div[3]/div[2]/ul/li[7]/span[2]/span"")"),"Loading...")</f>
        <v>Loading...</v>
      </c>
      <c r="S4246" s="7" t="str">
        <f ca="1">IFERROR(__xludf.DUMMYFUNCTION("IMPORTXML(E4246,""/html/body/main/div[3]/div[3]/div[2]/ul/li[8]/span[2]/span"")"),"Loading...")</f>
        <v>Loading...</v>
      </c>
      <c r="T4246" s="4">
        <v>34.6</v>
      </c>
      <c r="U4246" s="4">
        <v>22.7</v>
      </c>
      <c r="V4246" s="4">
        <v>2.6</v>
      </c>
      <c r="W4246" s="4">
        <v>5.7</v>
      </c>
      <c r="X4246" s="4">
        <v>519.92999999999995</v>
      </c>
      <c r="Y4246" s="7" t="e">
        <f t="shared" ca="1" si="89"/>
        <v>#VALUE!</v>
      </c>
    </row>
    <row r="4247" spans="1:25" ht="15" x14ac:dyDescent="0.25">
      <c r="A4247" s="4">
        <v>4246</v>
      </c>
      <c r="C4247" s="41" t="s">
        <v>6617</v>
      </c>
      <c r="D4247" s="42"/>
      <c r="E4247" s="5" t="str">
        <f t="shared" si="85"/>
        <v>https://www.screener.in/company//consolidated/</v>
      </c>
      <c r="F4247" s="4">
        <v>443059</v>
      </c>
      <c r="G4247" s="4">
        <v>3832241897</v>
      </c>
      <c r="H4247" s="6" t="e">
        <f t="shared" ca="1" si="86"/>
        <v>#VALUE!</v>
      </c>
      <c r="I4247" s="7" t="str">
        <f ca="1">IFERROR(__xludf.DUMMYFUNCTION("IMPORTXML(E4247,""/html/body/main/div[3]/div[3]/div[2]/ul/li[5]/span[2]/span"")"),"Loading...")</f>
        <v>Loading...</v>
      </c>
      <c r="J4247" s="7" t="str">
        <f ca="1">IFERROR(__xludf.DUMMYFUNCTION("GOOGLEFINANCE(""NSE:""&amp;D4247,""marketcap"")"),"#N/A")</f>
        <v>#N/A</v>
      </c>
      <c r="K4247" s="7">
        <v>992.8</v>
      </c>
      <c r="L4247" s="8" t="str">
        <f ca="1">IFERROR(__xludf.DUMMYFUNCTION("GOOGLEFINANCE(""NSE:""&amp;D4247,""price"")"),"#N/A")</f>
        <v>#N/A</v>
      </c>
      <c r="M4247" s="9" t="e">
        <f t="shared" ca="1" si="87"/>
        <v>#VALUE!</v>
      </c>
      <c r="N4247" s="10" t="e">
        <f t="shared" ca="1" si="88"/>
        <v>#VALUE!</v>
      </c>
      <c r="O4247" s="7" t="str">
        <f ca="1">IFERROR(__xludf.DUMMYFUNCTION("GOOGLEFINANCE(""NSE:""&amp;D4247,""pe"")"),"#N/A")</f>
        <v>#N/A</v>
      </c>
      <c r="P4247" s="7" t="str">
        <f ca="1">IFERROR(__xludf.DUMMYFUNCTION("GOOGLEFINANCE(""NSE:""&amp;D4247,""EPS"")"),"#N/A")</f>
        <v>#N/A</v>
      </c>
      <c r="Q4247" s="7">
        <v>13.5</v>
      </c>
      <c r="R4247" s="7" t="str">
        <f ca="1">IFERROR(__xludf.DUMMYFUNCTION("IMPORTXML(E4247,""/html/body/main/div[3]/div[3]/div[2]/ul/li[7]/span[2]/span"")"),"Loading...")</f>
        <v>Loading...</v>
      </c>
      <c r="S4247" s="7" t="str">
        <f ca="1">IFERROR(__xludf.DUMMYFUNCTION("IMPORTXML(E4247,""/html/body/main/div[3]/div[3]/div[2]/ul/li[8]/span[2]/span"")"),"Loading...")</f>
        <v>Loading...</v>
      </c>
      <c r="T4247" s="4">
        <v>34.6</v>
      </c>
      <c r="U4247" s="4">
        <v>22.7</v>
      </c>
      <c r="V4247" s="4">
        <v>2.6</v>
      </c>
      <c r="W4247" s="4">
        <v>5.7</v>
      </c>
      <c r="X4247" s="4">
        <v>519.92999999999995</v>
      </c>
      <c r="Y4247" s="7" t="e">
        <f t="shared" ca="1" si="89"/>
        <v>#VALUE!</v>
      </c>
    </row>
    <row r="4248" spans="1:25" ht="15" x14ac:dyDescent="0.25">
      <c r="A4248" s="4">
        <v>4247</v>
      </c>
      <c r="C4248" s="41" t="s">
        <v>6618</v>
      </c>
      <c r="D4248" s="42"/>
      <c r="E4248" s="5" t="str">
        <f t="shared" si="85"/>
        <v>https://www.screener.in/company//consolidated/</v>
      </c>
      <c r="F4248" s="4">
        <v>443059</v>
      </c>
      <c r="G4248" s="4">
        <v>3832241897</v>
      </c>
      <c r="H4248" s="6" t="e">
        <f t="shared" ca="1" si="86"/>
        <v>#VALUE!</v>
      </c>
      <c r="I4248" s="7" t="str">
        <f ca="1">IFERROR(__xludf.DUMMYFUNCTION("IMPORTXML(E4248,""/html/body/main/div[3]/div[3]/div[2]/ul/li[5]/span[2]/span"")"),"Loading...")</f>
        <v>Loading...</v>
      </c>
      <c r="J4248" s="7" t="str">
        <f ca="1">IFERROR(__xludf.DUMMYFUNCTION("GOOGLEFINANCE(""NSE:""&amp;D4248,""marketcap"")"),"#N/A")</f>
        <v>#N/A</v>
      </c>
      <c r="K4248" s="7">
        <v>992.8</v>
      </c>
      <c r="L4248" s="8" t="str">
        <f ca="1">IFERROR(__xludf.DUMMYFUNCTION("GOOGLEFINANCE(""NSE:""&amp;D4248,""price"")"),"#N/A")</f>
        <v>#N/A</v>
      </c>
      <c r="M4248" s="9" t="e">
        <f t="shared" ca="1" si="87"/>
        <v>#VALUE!</v>
      </c>
      <c r="N4248" s="10" t="e">
        <f t="shared" ca="1" si="88"/>
        <v>#VALUE!</v>
      </c>
      <c r="O4248" s="7" t="str">
        <f ca="1">IFERROR(__xludf.DUMMYFUNCTION("GOOGLEFINANCE(""NSE:""&amp;D4248,""pe"")"),"#N/A")</f>
        <v>#N/A</v>
      </c>
      <c r="P4248" s="7" t="str">
        <f ca="1">IFERROR(__xludf.DUMMYFUNCTION("GOOGLEFINANCE(""NSE:""&amp;D4248,""EPS"")"),"#N/A")</f>
        <v>#N/A</v>
      </c>
      <c r="Q4248" s="7">
        <v>13.5</v>
      </c>
      <c r="R4248" s="7" t="str">
        <f ca="1">IFERROR(__xludf.DUMMYFUNCTION("IMPORTXML(E4248,""/html/body/main/div[3]/div[3]/div[2]/ul/li[7]/span[2]/span"")"),"Loading...")</f>
        <v>Loading...</v>
      </c>
      <c r="S4248" s="7" t="str">
        <f ca="1">IFERROR(__xludf.DUMMYFUNCTION("IMPORTXML(E4248,""/html/body/main/div[3]/div[3]/div[2]/ul/li[8]/span[2]/span"")"),"Loading...")</f>
        <v>Loading...</v>
      </c>
      <c r="T4248" s="4">
        <v>34.6</v>
      </c>
      <c r="U4248" s="4">
        <v>22.7</v>
      </c>
      <c r="V4248" s="4">
        <v>2.6</v>
      </c>
      <c r="W4248" s="4">
        <v>5.7</v>
      </c>
      <c r="X4248" s="4">
        <v>519.92999999999995</v>
      </c>
      <c r="Y4248" s="7" t="e">
        <f t="shared" ca="1" si="89"/>
        <v>#VALUE!</v>
      </c>
    </row>
    <row r="4249" spans="1:25" ht="15" x14ac:dyDescent="0.25">
      <c r="A4249" s="4">
        <v>4248</v>
      </c>
      <c r="C4249" s="41" t="s">
        <v>6619</v>
      </c>
      <c r="D4249" s="42"/>
      <c r="E4249" s="5" t="str">
        <f t="shared" si="85"/>
        <v>https://www.screener.in/company//consolidated/</v>
      </c>
      <c r="F4249" s="4">
        <v>443059</v>
      </c>
      <c r="G4249" s="4">
        <v>3832241897</v>
      </c>
      <c r="H4249" s="6" t="e">
        <f t="shared" ca="1" si="86"/>
        <v>#VALUE!</v>
      </c>
      <c r="I4249" s="7" t="str">
        <f ca="1">IFERROR(__xludf.DUMMYFUNCTION("IMPORTXML(E4249,""/html/body/main/div[3]/div[3]/div[2]/ul/li[5]/span[2]/span"")"),"Loading...")</f>
        <v>Loading...</v>
      </c>
      <c r="J4249" s="7" t="str">
        <f ca="1">IFERROR(__xludf.DUMMYFUNCTION("GOOGLEFINANCE(""NSE:""&amp;D4249,""marketcap"")"),"#N/A")</f>
        <v>#N/A</v>
      </c>
      <c r="K4249" s="7">
        <v>992.8</v>
      </c>
      <c r="L4249" s="8" t="str">
        <f ca="1">IFERROR(__xludf.DUMMYFUNCTION("GOOGLEFINANCE(""NSE:""&amp;D4249,""price"")"),"#N/A")</f>
        <v>#N/A</v>
      </c>
      <c r="M4249" s="9" t="e">
        <f t="shared" ca="1" si="87"/>
        <v>#VALUE!</v>
      </c>
      <c r="N4249" s="10" t="e">
        <f t="shared" ca="1" si="88"/>
        <v>#VALUE!</v>
      </c>
      <c r="O4249" s="7" t="str">
        <f ca="1">IFERROR(__xludf.DUMMYFUNCTION("GOOGLEFINANCE(""NSE:""&amp;D4249,""pe"")"),"#N/A")</f>
        <v>#N/A</v>
      </c>
      <c r="P4249" s="7" t="str">
        <f ca="1">IFERROR(__xludf.DUMMYFUNCTION("GOOGLEFINANCE(""NSE:""&amp;D4249,""EPS"")"),"#N/A")</f>
        <v>#N/A</v>
      </c>
      <c r="Q4249" s="7">
        <v>13.5</v>
      </c>
      <c r="R4249" s="7" t="str">
        <f ca="1">IFERROR(__xludf.DUMMYFUNCTION("IMPORTXML(E4249,""/html/body/main/div[3]/div[3]/div[2]/ul/li[7]/span[2]/span"")"),"Loading...")</f>
        <v>Loading...</v>
      </c>
      <c r="S4249" s="7" t="str">
        <f ca="1">IFERROR(__xludf.DUMMYFUNCTION("IMPORTXML(E4249,""/html/body/main/div[3]/div[3]/div[2]/ul/li[8]/span[2]/span"")"),"Loading...")</f>
        <v>Loading...</v>
      </c>
      <c r="T4249" s="4">
        <v>34.6</v>
      </c>
      <c r="U4249" s="4">
        <v>22.7</v>
      </c>
      <c r="V4249" s="4">
        <v>2.6</v>
      </c>
      <c r="W4249" s="4">
        <v>5.7</v>
      </c>
      <c r="X4249" s="4">
        <v>519.92999999999995</v>
      </c>
      <c r="Y4249" s="7" t="e">
        <f t="shared" ca="1" si="89"/>
        <v>#VALUE!</v>
      </c>
    </row>
    <row r="4250" spans="1:25" ht="15" x14ac:dyDescent="0.25">
      <c r="A4250" s="4">
        <v>4249</v>
      </c>
      <c r="C4250" s="41" t="s">
        <v>6620</v>
      </c>
      <c r="D4250" s="42"/>
      <c r="E4250" s="5" t="str">
        <f t="shared" si="85"/>
        <v>https://www.screener.in/company//consolidated/</v>
      </c>
      <c r="F4250" s="4">
        <v>443059</v>
      </c>
      <c r="G4250" s="4">
        <v>3832241897</v>
      </c>
      <c r="H4250" s="6" t="e">
        <f t="shared" ca="1" si="86"/>
        <v>#VALUE!</v>
      </c>
      <c r="I4250" s="7" t="str">
        <f ca="1">IFERROR(__xludf.DUMMYFUNCTION("IMPORTXML(E4250,""/html/body/main/div[3]/div[3]/div[2]/ul/li[5]/span[2]/span"")"),"Loading...")</f>
        <v>Loading...</v>
      </c>
      <c r="J4250" s="7" t="str">
        <f ca="1">IFERROR(__xludf.DUMMYFUNCTION("GOOGLEFINANCE(""NSE:""&amp;D4250,""marketcap"")"),"#N/A")</f>
        <v>#N/A</v>
      </c>
      <c r="K4250" s="7">
        <v>992.8</v>
      </c>
      <c r="L4250" s="8" t="str">
        <f ca="1">IFERROR(__xludf.DUMMYFUNCTION("GOOGLEFINANCE(""NSE:""&amp;D4250,""price"")"),"#N/A")</f>
        <v>#N/A</v>
      </c>
      <c r="M4250" s="9" t="e">
        <f t="shared" ca="1" si="87"/>
        <v>#VALUE!</v>
      </c>
      <c r="N4250" s="10" t="e">
        <f t="shared" ca="1" si="88"/>
        <v>#VALUE!</v>
      </c>
      <c r="O4250" s="7" t="str">
        <f ca="1">IFERROR(__xludf.DUMMYFUNCTION("GOOGLEFINANCE(""NSE:""&amp;D4250,""pe"")"),"#N/A")</f>
        <v>#N/A</v>
      </c>
      <c r="P4250" s="7" t="str">
        <f ca="1">IFERROR(__xludf.DUMMYFUNCTION("GOOGLEFINANCE(""NSE:""&amp;D4250,""EPS"")"),"#N/A")</f>
        <v>#N/A</v>
      </c>
      <c r="Q4250" s="7">
        <v>13.5</v>
      </c>
      <c r="R4250" s="7" t="str">
        <f ca="1">IFERROR(__xludf.DUMMYFUNCTION("IMPORTXML(E4250,""/html/body/main/div[3]/div[3]/div[2]/ul/li[7]/span[2]/span"")"),"Loading...")</f>
        <v>Loading...</v>
      </c>
      <c r="S4250" s="7" t="str">
        <f ca="1">IFERROR(__xludf.DUMMYFUNCTION("IMPORTXML(E4250,""/html/body/main/div[3]/div[3]/div[2]/ul/li[8]/span[2]/span"")"),"Loading...")</f>
        <v>Loading...</v>
      </c>
      <c r="T4250" s="4">
        <v>34.6</v>
      </c>
      <c r="U4250" s="4">
        <v>22.7</v>
      </c>
      <c r="V4250" s="4">
        <v>2.6</v>
      </c>
      <c r="W4250" s="4">
        <v>5.7</v>
      </c>
      <c r="X4250" s="4">
        <v>519.92999999999995</v>
      </c>
      <c r="Y4250" s="7" t="e">
        <f t="shared" ca="1" si="89"/>
        <v>#VALUE!</v>
      </c>
    </row>
    <row r="4251" spans="1:25" ht="15" x14ac:dyDescent="0.25">
      <c r="A4251" s="4">
        <v>4250</v>
      </c>
      <c r="C4251" s="41" t="s">
        <v>6621</v>
      </c>
      <c r="D4251" s="42"/>
      <c r="E4251" s="5" t="str">
        <f t="shared" si="85"/>
        <v>https://www.screener.in/company//consolidated/</v>
      </c>
      <c r="F4251" s="4">
        <v>443059</v>
      </c>
      <c r="G4251" s="4">
        <v>3832241897</v>
      </c>
      <c r="H4251" s="6" t="e">
        <f t="shared" ca="1" si="86"/>
        <v>#VALUE!</v>
      </c>
      <c r="I4251" s="7" t="str">
        <f ca="1">IFERROR(__xludf.DUMMYFUNCTION("IMPORTXML(E4251,""/html/body/main/div[3]/div[3]/div[2]/ul/li[5]/span[2]/span"")"),"Loading...")</f>
        <v>Loading...</v>
      </c>
      <c r="J4251" s="7" t="str">
        <f ca="1">IFERROR(__xludf.DUMMYFUNCTION("GOOGLEFINANCE(""NSE:""&amp;D4251,""marketcap"")"),"#N/A")</f>
        <v>#N/A</v>
      </c>
      <c r="K4251" s="7">
        <v>992.8</v>
      </c>
      <c r="L4251" s="8" t="str">
        <f ca="1">IFERROR(__xludf.DUMMYFUNCTION("GOOGLEFINANCE(""NSE:""&amp;D4251,""price"")"),"#N/A")</f>
        <v>#N/A</v>
      </c>
      <c r="M4251" s="9" t="e">
        <f t="shared" ca="1" si="87"/>
        <v>#VALUE!</v>
      </c>
      <c r="N4251" s="10" t="e">
        <f t="shared" ca="1" si="88"/>
        <v>#VALUE!</v>
      </c>
      <c r="O4251" s="7" t="str">
        <f ca="1">IFERROR(__xludf.DUMMYFUNCTION("GOOGLEFINANCE(""NSE:""&amp;D4251,""pe"")"),"#N/A")</f>
        <v>#N/A</v>
      </c>
      <c r="P4251" s="7" t="str">
        <f ca="1">IFERROR(__xludf.DUMMYFUNCTION("GOOGLEFINANCE(""NSE:""&amp;D4251,""EPS"")"),"#N/A")</f>
        <v>#N/A</v>
      </c>
      <c r="Q4251" s="7">
        <v>13.5</v>
      </c>
      <c r="R4251" s="7" t="str">
        <f ca="1">IFERROR(__xludf.DUMMYFUNCTION("IMPORTXML(E4251,""/html/body/main/div[3]/div[3]/div[2]/ul/li[7]/span[2]/span"")"),"Loading...")</f>
        <v>Loading...</v>
      </c>
      <c r="S4251" s="7" t="str">
        <f ca="1">IFERROR(__xludf.DUMMYFUNCTION("IMPORTXML(E4251,""/html/body/main/div[3]/div[3]/div[2]/ul/li[8]/span[2]/span"")"),"Loading...")</f>
        <v>Loading...</v>
      </c>
      <c r="T4251" s="4">
        <v>34.6</v>
      </c>
      <c r="U4251" s="4">
        <v>22.7</v>
      </c>
      <c r="V4251" s="4">
        <v>2.6</v>
      </c>
      <c r="W4251" s="4">
        <v>5.7</v>
      </c>
      <c r="X4251" s="4">
        <v>519.92999999999995</v>
      </c>
      <c r="Y4251" s="7" t="e">
        <f t="shared" ca="1" si="89"/>
        <v>#VALUE!</v>
      </c>
    </row>
    <row r="4252" spans="1:25" ht="15" x14ac:dyDescent="0.25">
      <c r="A4252" s="4">
        <v>4251</v>
      </c>
      <c r="C4252" s="41" t="s">
        <v>6622</v>
      </c>
      <c r="D4252" s="42"/>
      <c r="E4252" s="5" t="str">
        <f t="shared" si="85"/>
        <v>https://www.screener.in/company//consolidated/</v>
      </c>
      <c r="F4252" s="4">
        <v>443059</v>
      </c>
      <c r="G4252" s="4">
        <v>3832241897</v>
      </c>
      <c r="H4252" s="6" t="e">
        <f t="shared" ca="1" si="86"/>
        <v>#VALUE!</v>
      </c>
      <c r="I4252" s="7" t="str">
        <f ca="1">IFERROR(__xludf.DUMMYFUNCTION("IMPORTXML(E4252,""/html/body/main/div[3]/div[3]/div[2]/ul/li[5]/span[2]/span"")"),"Loading...")</f>
        <v>Loading...</v>
      </c>
      <c r="J4252" s="7" t="str">
        <f ca="1">IFERROR(__xludf.DUMMYFUNCTION("GOOGLEFINANCE(""NSE:""&amp;D4252,""marketcap"")"),"#N/A")</f>
        <v>#N/A</v>
      </c>
      <c r="K4252" s="7">
        <v>992.8</v>
      </c>
      <c r="L4252" s="8" t="str">
        <f ca="1">IFERROR(__xludf.DUMMYFUNCTION("GOOGLEFINANCE(""NSE:""&amp;D4252,""price"")"),"#N/A")</f>
        <v>#N/A</v>
      </c>
      <c r="M4252" s="9" t="e">
        <f t="shared" ca="1" si="87"/>
        <v>#VALUE!</v>
      </c>
      <c r="N4252" s="10" t="e">
        <f t="shared" ca="1" si="88"/>
        <v>#VALUE!</v>
      </c>
      <c r="O4252" s="7" t="str">
        <f ca="1">IFERROR(__xludf.DUMMYFUNCTION("GOOGLEFINANCE(""NSE:""&amp;D4252,""pe"")"),"#N/A")</f>
        <v>#N/A</v>
      </c>
      <c r="P4252" s="7" t="str">
        <f ca="1">IFERROR(__xludf.DUMMYFUNCTION("GOOGLEFINANCE(""NSE:""&amp;D4252,""EPS"")"),"#N/A")</f>
        <v>#N/A</v>
      </c>
      <c r="Q4252" s="7">
        <v>13.5</v>
      </c>
      <c r="R4252" s="7" t="str">
        <f ca="1">IFERROR(__xludf.DUMMYFUNCTION("IMPORTXML(E4252,""/html/body/main/div[3]/div[3]/div[2]/ul/li[7]/span[2]/span"")"),"Loading...")</f>
        <v>Loading...</v>
      </c>
      <c r="S4252" s="7" t="str">
        <f ca="1">IFERROR(__xludf.DUMMYFUNCTION("IMPORTXML(E4252,""/html/body/main/div[3]/div[3]/div[2]/ul/li[8]/span[2]/span"")"),"Loading...")</f>
        <v>Loading...</v>
      </c>
      <c r="T4252" s="4">
        <v>34.6</v>
      </c>
      <c r="U4252" s="4">
        <v>22.7</v>
      </c>
      <c r="V4252" s="4">
        <v>2.6</v>
      </c>
      <c r="W4252" s="4">
        <v>5.7</v>
      </c>
      <c r="X4252" s="4">
        <v>519.92999999999995</v>
      </c>
      <c r="Y4252" s="7" t="e">
        <f t="shared" ca="1" si="89"/>
        <v>#VALUE!</v>
      </c>
    </row>
    <row r="4253" spans="1:25" ht="15" x14ac:dyDescent="0.25">
      <c r="A4253" s="4">
        <v>4252</v>
      </c>
      <c r="C4253" s="41" t="s">
        <v>6623</v>
      </c>
      <c r="D4253" s="42"/>
      <c r="E4253" s="5" t="str">
        <f t="shared" si="85"/>
        <v>https://www.screener.in/company//consolidated/</v>
      </c>
      <c r="F4253" s="4">
        <v>443059</v>
      </c>
      <c r="G4253" s="4">
        <v>3832241897</v>
      </c>
      <c r="H4253" s="6" t="e">
        <f t="shared" ca="1" si="86"/>
        <v>#VALUE!</v>
      </c>
      <c r="I4253" s="7" t="str">
        <f ca="1">IFERROR(__xludf.DUMMYFUNCTION("IMPORTXML(E4253,""/html/body/main/div[3]/div[3]/div[2]/ul/li[5]/span[2]/span"")"),"Loading...")</f>
        <v>Loading...</v>
      </c>
      <c r="J4253" s="7" t="str">
        <f ca="1">IFERROR(__xludf.DUMMYFUNCTION("GOOGLEFINANCE(""NSE:""&amp;D4253,""marketcap"")"),"#N/A")</f>
        <v>#N/A</v>
      </c>
      <c r="K4253" s="7">
        <v>992.8</v>
      </c>
      <c r="L4253" s="8" t="str">
        <f ca="1">IFERROR(__xludf.DUMMYFUNCTION("GOOGLEFINANCE(""NSE:""&amp;D4253,""price"")"),"#N/A")</f>
        <v>#N/A</v>
      </c>
      <c r="M4253" s="9" t="e">
        <f t="shared" ca="1" si="87"/>
        <v>#VALUE!</v>
      </c>
      <c r="N4253" s="10" t="e">
        <f t="shared" ca="1" si="88"/>
        <v>#VALUE!</v>
      </c>
      <c r="O4253" s="7" t="str">
        <f ca="1">IFERROR(__xludf.DUMMYFUNCTION("GOOGLEFINANCE(""NSE:""&amp;D4253,""pe"")"),"#N/A")</f>
        <v>#N/A</v>
      </c>
      <c r="P4253" s="7" t="str">
        <f ca="1">IFERROR(__xludf.DUMMYFUNCTION("GOOGLEFINANCE(""NSE:""&amp;D4253,""EPS"")"),"#N/A")</f>
        <v>#N/A</v>
      </c>
      <c r="Q4253" s="7">
        <v>13.5</v>
      </c>
      <c r="R4253" s="7" t="str">
        <f ca="1">IFERROR(__xludf.DUMMYFUNCTION("IMPORTXML(E4253,""/html/body/main/div[3]/div[3]/div[2]/ul/li[7]/span[2]/span"")"),"Loading...")</f>
        <v>Loading...</v>
      </c>
      <c r="S4253" s="7" t="str">
        <f ca="1">IFERROR(__xludf.DUMMYFUNCTION("IMPORTXML(E4253,""/html/body/main/div[3]/div[3]/div[2]/ul/li[8]/span[2]/span"")"),"Loading...")</f>
        <v>Loading...</v>
      </c>
      <c r="T4253" s="4">
        <v>34.6</v>
      </c>
      <c r="U4253" s="4">
        <v>22.7</v>
      </c>
      <c r="V4253" s="4">
        <v>2.6</v>
      </c>
      <c r="W4253" s="4">
        <v>5.7</v>
      </c>
      <c r="X4253" s="4">
        <v>519.92999999999995</v>
      </c>
      <c r="Y4253" s="7" t="e">
        <f t="shared" ca="1" si="89"/>
        <v>#VALUE!</v>
      </c>
    </row>
    <row r="4254" spans="1:25" ht="15" x14ac:dyDescent="0.25">
      <c r="A4254" s="4">
        <v>4253</v>
      </c>
      <c r="C4254" s="41" t="s">
        <v>6624</v>
      </c>
      <c r="D4254" s="42"/>
      <c r="E4254" s="5" t="str">
        <f t="shared" si="85"/>
        <v>https://www.screener.in/company//consolidated/</v>
      </c>
      <c r="F4254" s="4">
        <v>443059</v>
      </c>
      <c r="G4254" s="4">
        <v>3832241897</v>
      </c>
      <c r="H4254" s="6" t="e">
        <f t="shared" ca="1" si="86"/>
        <v>#VALUE!</v>
      </c>
      <c r="I4254" s="7" t="str">
        <f ca="1">IFERROR(__xludf.DUMMYFUNCTION("IMPORTXML(E4254,""/html/body/main/div[3]/div[3]/div[2]/ul/li[5]/span[2]/span"")"),"Loading...")</f>
        <v>Loading...</v>
      </c>
      <c r="J4254" s="7" t="str">
        <f ca="1">IFERROR(__xludf.DUMMYFUNCTION("GOOGLEFINANCE(""NSE:""&amp;D4254,""marketcap"")"),"#N/A")</f>
        <v>#N/A</v>
      </c>
      <c r="K4254" s="7">
        <v>992.8</v>
      </c>
      <c r="L4254" s="8" t="str">
        <f ca="1">IFERROR(__xludf.DUMMYFUNCTION("GOOGLEFINANCE(""NSE:""&amp;D4254,""price"")"),"#N/A")</f>
        <v>#N/A</v>
      </c>
      <c r="M4254" s="9" t="e">
        <f t="shared" ca="1" si="87"/>
        <v>#VALUE!</v>
      </c>
      <c r="N4254" s="10" t="e">
        <f t="shared" ca="1" si="88"/>
        <v>#VALUE!</v>
      </c>
      <c r="O4254" s="7" t="str">
        <f ca="1">IFERROR(__xludf.DUMMYFUNCTION("GOOGLEFINANCE(""NSE:""&amp;D4254,""pe"")"),"#N/A")</f>
        <v>#N/A</v>
      </c>
      <c r="P4254" s="7" t="str">
        <f ca="1">IFERROR(__xludf.DUMMYFUNCTION("GOOGLEFINANCE(""NSE:""&amp;D4254,""EPS"")"),"#N/A")</f>
        <v>#N/A</v>
      </c>
      <c r="Q4254" s="7">
        <v>13.5</v>
      </c>
      <c r="R4254" s="7" t="str">
        <f ca="1">IFERROR(__xludf.DUMMYFUNCTION("IMPORTXML(E4254,""/html/body/main/div[3]/div[3]/div[2]/ul/li[7]/span[2]/span"")"),"Loading...")</f>
        <v>Loading...</v>
      </c>
      <c r="S4254" s="7" t="str">
        <f ca="1">IFERROR(__xludf.DUMMYFUNCTION("IMPORTXML(E4254,""/html/body/main/div[3]/div[3]/div[2]/ul/li[8]/span[2]/span"")"),"Loading...")</f>
        <v>Loading...</v>
      </c>
      <c r="T4254" s="4">
        <v>34.6</v>
      </c>
      <c r="U4254" s="4">
        <v>22.7</v>
      </c>
      <c r="V4254" s="4">
        <v>2.6</v>
      </c>
      <c r="W4254" s="4">
        <v>5.7</v>
      </c>
      <c r="X4254" s="4">
        <v>519.92999999999995</v>
      </c>
      <c r="Y4254" s="7" t="e">
        <f t="shared" ca="1" si="89"/>
        <v>#VALUE!</v>
      </c>
    </row>
    <row r="4255" spans="1:25" ht="15" x14ac:dyDescent="0.25">
      <c r="A4255" s="4">
        <v>4254</v>
      </c>
      <c r="C4255" s="12" t="s">
        <v>6625</v>
      </c>
      <c r="D4255" s="12" t="s">
        <v>6626</v>
      </c>
      <c r="E4255" s="5" t="str">
        <f t="shared" si="85"/>
        <v>https://www.screener.in/company/LAKPRE/consolidated/</v>
      </c>
      <c r="F4255" s="4">
        <v>443059</v>
      </c>
      <c r="G4255" s="4">
        <v>3832241897</v>
      </c>
      <c r="H4255" s="6">
        <f t="shared" ca="1" si="86"/>
        <v>2264.854961127</v>
      </c>
      <c r="I4255" s="7" t="str">
        <f ca="1">IFERROR(__xludf.DUMMYFUNCTION("IMPORTXML(E4255,""/html/body/main/div[3]/div[3]/div[2]/ul/li[5]/span[2]/span"")"),"Loading...")</f>
        <v>Loading...</v>
      </c>
      <c r="J4255" s="7">
        <f ca="1">IFERROR(__xludf.DUMMYFUNCTION("GOOGLEFINANCE(""NSE:""&amp;D4255,""marketcap"")"),64665250)</f>
        <v>64665250</v>
      </c>
      <c r="K4255" s="7">
        <v>992.8</v>
      </c>
      <c r="L4255" s="8">
        <f ca="1">IFERROR(__xludf.DUMMYFUNCTION("GOOGLEFINANCE(""NSE:""&amp;D4255,""price"")"),5.91)</f>
        <v>5.91</v>
      </c>
      <c r="M4255" s="9">
        <f t="shared" ca="1" si="87"/>
        <v>-986.89</v>
      </c>
      <c r="N4255" s="10">
        <f t="shared" ca="1" si="88"/>
        <v>-99.404713940370669</v>
      </c>
      <c r="O4255" s="7" t="str">
        <f ca="1">IFERROR(__xludf.DUMMYFUNCTION("GOOGLEFINANCE(""NSE:""&amp;D4255,""pe"")"),"#N/A")</f>
        <v>#N/A</v>
      </c>
      <c r="P4255" s="7" t="str">
        <f ca="1">IFERROR(__xludf.DUMMYFUNCTION("GOOGLEFINANCE(""NSE:""&amp;D4255,""EPS"")"),"#N/A")</f>
        <v>#N/A</v>
      </c>
      <c r="Q4255" s="7">
        <v>13.5</v>
      </c>
      <c r="R4255" s="7" t="str">
        <f ca="1">IFERROR(__xludf.DUMMYFUNCTION("IMPORTXML(E4255,""/html/body/main/div[3]/div[3]/div[2]/ul/li[7]/span[2]/span"")"),"Loading...")</f>
        <v>Loading...</v>
      </c>
      <c r="S4255" s="7" t="str">
        <f ca="1">IFERROR(__xludf.DUMMYFUNCTION("IMPORTXML(E4255,""/html/body/main/div[3]/div[3]/div[2]/ul/li[8]/span[2]/span"")"),"Loading...")</f>
        <v>Loading...</v>
      </c>
      <c r="T4255" s="4">
        <v>34.6</v>
      </c>
      <c r="U4255" s="4">
        <v>22.7</v>
      </c>
      <c r="V4255" s="4">
        <v>2.6</v>
      </c>
      <c r="W4255" s="4">
        <v>5.7</v>
      </c>
      <c r="X4255" s="4">
        <v>519.92999999999995</v>
      </c>
      <c r="Y4255" s="7">
        <f t="shared" ca="1" si="89"/>
        <v>-514.02</v>
      </c>
    </row>
    <row r="4256" spans="1:25" ht="15" x14ac:dyDescent="0.25">
      <c r="A4256" s="4">
        <v>4255</v>
      </c>
      <c r="C4256" s="41" t="s">
        <v>6627</v>
      </c>
      <c r="D4256" s="42"/>
      <c r="E4256" s="5" t="str">
        <f t="shared" si="85"/>
        <v>https://www.screener.in/company//consolidated/</v>
      </c>
      <c r="F4256" s="4">
        <v>443059</v>
      </c>
      <c r="G4256" s="4">
        <v>3832241897</v>
      </c>
      <c r="H4256" s="6" t="e">
        <f t="shared" ca="1" si="86"/>
        <v>#VALUE!</v>
      </c>
      <c r="I4256" s="7" t="str">
        <f ca="1">IFERROR(__xludf.DUMMYFUNCTION("IMPORTXML(E4256,""/html/body/main/div[3]/div[3]/div[2]/ul/li[5]/span[2]/span"")"),"Loading...")</f>
        <v>Loading...</v>
      </c>
      <c r="J4256" s="7" t="str">
        <f ca="1">IFERROR(__xludf.DUMMYFUNCTION("GOOGLEFINANCE(""NSE:""&amp;D4256,""marketcap"")"),"#N/A")</f>
        <v>#N/A</v>
      </c>
      <c r="K4256" s="7">
        <v>992.8</v>
      </c>
      <c r="L4256" s="8" t="str">
        <f ca="1">IFERROR(__xludf.DUMMYFUNCTION("GOOGLEFINANCE(""NSE:""&amp;D4256,""price"")"),"#N/A")</f>
        <v>#N/A</v>
      </c>
      <c r="M4256" s="9" t="e">
        <f t="shared" ca="1" si="87"/>
        <v>#VALUE!</v>
      </c>
      <c r="N4256" s="10" t="e">
        <f t="shared" ca="1" si="88"/>
        <v>#VALUE!</v>
      </c>
      <c r="O4256" s="7" t="str">
        <f ca="1">IFERROR(__xludf.DUMMYFUNCTION("GOOGLEFINANCE(""NSE:""&amp;D4256,""pe"")"),"#N/A")</f>
        <v>#N/A</v>
      </c>
      <c r="P4256" s="7" t="str">
        <f ca="1">IFERROR(__xludf.DUMMYFUNCTION("GOOGLEFINANCE(""NSE:""&amp;D4256,""EPS"")"),"#N/A")</f>
        <v>#N/A</v>
      </c>
      <c r="Q4256" s="7">
        <v>13.5</v>
      </c>
      <c r="R4256" s="7" t="str">
        <f ca="1">IFERROR(__xludf.DUMMYFUNCTION("IMPORTXML(E4256,""/html/body/main/div[3]/div[3]/div[2]/ul/li[7]/span[2]/span"")"),"Loading...")</f>
        <v>Loading...</v>
      </c>
      <c r="S4256" s="7" t="str">
        <f ca="1">IFERROR(__xludf.DUMMYFUNCTION("IMPORTXML(E4256,""/html/body/main/div[3]/div[3]/div[2]/ul/li[8]/span[2]/span"")"),"Loading...")</f>
        <v>Loading...</v>
      </c>
      <c r="T4256" s="4">
        <v>34.6</v>
      </c>
      <c r="U4256" s="4">
        <v>22.7</v>
      </c>
      <c r="V4256" s="4">
        <v>2.6</v>
      </c>
      <c r="W4256" s="4">
        <v>5.7</v>
      </c>
      <c r="X4256" s="4">
        <v>519.92999999999995</v>
      </c>
      <c r="Y4256" s="7" t="e">
        <f t="shared" ca="1" si="89"/>
        <v>#VALUE!</v>
      </c>
    </row>
    <row r="4257" spans="1:25" ht="15" x14ac:dyDescent="0.25">
      <c r="A4257" s="4">
        <v>4256</v>
      </c>
      <c r="C4257" s="41" t="s">
        <v>6628</v>
      </c>
      <c r="D4257" s="42"/>
      <c r="E4257" s="5" t="str">
        <f t="shared" si="85"/>
        <v>https://www.screener.in/company//consolidated/</v>
      </c>
      <c r="F4257" s="4">
        <v>443059</v>
      </c>
      <c r="G4257" s="4">
        <v>3832241897</v>
      </c>
      <c r="H4257" s="6" t="e">
        <f t="shared" ca="1" si="86"/>
        <v>#VALUE!</v>
      </c>
      <c r="I4257" s="7" t="str">
        <f ca="1">IFERROR(__xludf.DUMMYFUNCTION("IMPORTXML(E4257,""/html/body/main/div[3]/div[3]/div[2]/ul/li[5]/span[2]/span"")"),"Loading...")</f>
        <v>Loading...</v>
      </c>
      <c r="J4257" s="7" t="str">
        <f ca="1">IFERROR(__xludf.DUMMYFUNCTION("GOOGLEFINANCE(""NSE:""&amp;D4257,""marketcap"")"),"#N/A")</f>
        <v>#N/A</v>
      </c>
      <c r="K4257" s="7">
        <v>992.8</v>
      </c>
      <c r="L4257" s="8" t="str">
        <f ca="1">IFERROR(__xludf.DUMMYFUNCTION("GOOGLEFINANCE(""NSE:""&amp;D4257,""price"")"),"#N/A")</f>
        <v>#N/A</v>
      </c>
      <c r="M4257" s="9" t="e">
        <f t="shared" ca="1" si="87"/>
        <v>#VALUE!</v>
      </c>
      <c r="N4257" s="10" t="e">
        <f t="shared" ca="1" si="88"/>
        <v>#VALUE!</v>
      </c>
      <c r="O4257" s="7" t="str">
        <f ca="1">IFERROR(__xludf.DUMMYFUNCTION("GOOGLEFINANCE(""NSE:""&amp;D4257,""pe"")"),"#N/A")</f>
        <v>#N/A</v>
      </c>
      <c r="P4257" s="7" t="str">
        <f ca="1">IFERROR(__xludf.DUMMYFUNCTION("GOOGLEFINANCE(""NSE:""&amp;D4257,""EPS"")"),"#N/A")</f>
        <v>#N/A</v>
      </c>
      <c r="Q4257" s="7">
        <v>13.5</v>
      </c>
      <c r="R4257" s="7" t="str">
        <f ca="1">IFERROR(__xludf.DUMMYFUNCTION("IMPORTXML(E4257,""/html/body/main/div[3]/div[3]/div[2]/ul/li[7]/span[2]/span"")"),"Loading...")</f>
        <v>Loading...</v>
      </c>
      <c r="S4257" s="7" t="str">
        <f ca="1">IFERROR(__xludf.DUMMYFUNCTION("IMPORTXML(E4257,""/html/body/main/div[3]/div[3]/div[2]/ul/li[8]/span[2]/span"")"),"Loading...")</f>
        <v>Loading...</v>
      </c>
      <c r="T4257" s="4">
        <v>34.6</v>
      </c>
      <c r="U4257" s="4">
        <v>22.7</v>
      </c>
      <c r="V4257" s="4">
        <v>2.6</v>
      </c>
      <c r="W4257" s="4">
        <v>5.7</v>
      </c>
      <c r="X4257" s="4">
        <v>519.92999999999995</v>
      </c>
      <c r="Y4257" s="7" t="e">
        <f t="shared" ca="1" si="89"/>
        <v>#VALUE!</v>
      </c>
    </row>
    <row r="4258" spans="1:25" ht="15" x14ac:dyDescent="0.25">
      <c r="A4258" s="4">
        <v>4257</v>
      </c>
      <c r="C4258" s="41" t="s">
        <v>6629</v>
      </c>
      <c r="D4258" s="42"/>
      <c r="E4258" s="5" t="str">
        <f t="shared" si="85"/>
        <v>https://www.screener.in/company//consolidated/</v>
      </c>
      <c r="F4258" s="4">
        <v>443059</v>
      </c>
      <c r="G4258" s="4">
        <v>3832241897</v>
      </c>
      <c r="H4258" s="6" t="e">
        <f t="shared" ca="1" si="86"/>
        <v>#VALUE!</v>
      </c>
      <c r="I4258" s="7" t="str">
        <f ca="1">IFERROR(__xludf.DUMMYFUNCTION("IMPORTXML(E4258,""/html/body/main/div[3]/div[3]/div[2]/ul/li[5]/span[2]/span"")"),"Loading...")</f>
        <v>Loading...</v>
      </c>
      <c r="J4258" s="7" t="str">
        <f ca="1">IFERROR(__xludf.DUMMYFUNCTION("GOOGLEFINANCE(""NSE:""&amp;D4258,""marketcap"")"),"#N/A")</f>
        <v>#N/A</v>
      </c>
      <c r="K4258" s="7">
        <v>992.8</v>
      </c>
      <c r="L4258" s="8" t="str">
        <f ca="1">IFERROR(__xludf.DUMMYFUNCTION("GOOGLEFINANCE(""NSE:""&amp;D4258,""price"")"),"#N/A")</f>
        <v>#N/A</v>
      </c>
      <c r="M4258" s="9" t="e">
        <f t="shared" ca="1" si="87"/>
        <v>#VALUE!</v>
      </c>
      <c r="N4258" s="10" t="e">
        <f t="shared" ca="1" si="88"/>
        <v>#VALUE!</v>
      </c>
      <c r="O4258" s="7" t="str">
        <f ca="1">IFERROR(__xludf.DUMMYFUNCTION("GOOGLEFINANCE(""NSE:""&amp;D4258,""pe"")"),"#N/A")</f>
        <v>#N/A</v>
      </c>
      <c r="P4258" s="7" t="str">
        <f ca="1">IFERROR(__xludf.DUMMYFUNCTION("GOOGLEFINANCE(""NSE:""&amp;D4258,""EPS"")"),"#N/A")</f>
        <v>#N/A</v>
      </c>
      <c r="Q4258" s="7">
        <v>13.5</v>
      </c>
      <c r="R4258" s="7" t="str">
        <f ca="1">IFERROR(__xludf.DUMMYFUNCTION("IMPORTXML(E4258,""/html/body/main/div[3]/div[3]/div[2]/ul/li[7]/span[2]/span"")"),"Loading...")</f>
        <v>Loading...</v>
      </c>
      <c r="S4258" s="7" t="str">
        <f ca="1">IFERROR(__xludf.DUMMYFUNCTION("IMPORTXML(E4258,""/html/body/main/div[3]/div[3]/div[2]/ul/li[8]/span[2]/span"")"),"Loading...")</f>
        <v>Loading...</v>
      </c>
      <c r="T4258" s="4">
        <v>34.6</v>
      </c>
      <c r="U4258" s="4">
        <v>22.7</v>
      </c>
      <c r="V4258" s="4">
        <v>2.6</v>
      </c>
      <c r="W4258" s="4">
        <v>5.7</v>
      </c>
      <c r="X4258" s="4">
        <v>519.92999999999995</v>
      </c>
      <c r="Y4258" s="7" t="e">
        <f t="shared" ca="1" si="89"/>
        <v>#VALUE!</v>
      </c>
    </row>
    <row r="4259" spans="1:25" ht="15" x14ac:dyDescent="0.25">
      <c r="A4259" s="4">
        <v>4258</v>
      </c>
      <c r="C4259" s="41" t="s">
        <v>6630</v>
      </c>
      <c r="D4259" s="42"/>
      <c r="E4259" s="5" t="str">
        <f t="shared" si="85"/>
        <v>https://www.screener.in/company//consolidated/</v>
      </c>
      <c r="F4259" s="4">
        <v>443059</v>
      </c>
      <c r="G4259" s="4">
        <v>3832241897</v>
      </c>
      <c r="H4259" s="6" t="e">
        <f t="shared" ca="1" si="86"/>
        <v>#VALUE!</v>
      </c>
      <c r="I4259" s="7" t="str">
        <f ca="1">IFERROR(__xludf.DUMMYFUNCTION("IMPORTXML(E4259,""/html/body/main/div[3]/div[3]/div[2]/ul/li[5]/span[2]/span"")"),"Loading...")</f>
        <v>Loading...</v>
      </c>
      <c r="J4259" s="7" t="str">
        <f ca="1">IFERROR(__xludf.DUMMYFUNCTION("GOOGLEFINANCE(""NSE:""&amp;D4259,""marketcap"")"),"#N/A")</f>
        <v>#N/A</v>
      </c>
      <c r="K4259" s="7">
        <v>992.8</v>
      </c>
      <c r="L4259" s="8" t="str">
        <f ca="1">IFERROR(__xludf.DUMMYFUNCTION("GOOGLEFINANCE(""NSE:""&amp;D4259,""price"")"),"#N/A")</f>
        <v>#N/A</v>
      </c>
      <c r="M4259" s="9" t="e">
        <f t="shared" ca="1" si="87"/>
        <v>#VALUE!</v>
      </c>
      <c r="N4259" s="10" t="e">
        <f t="shared" ca="1" si="88"/>
        <v>#VALUE!</v>
      </c>
      <c r="O4259" s="7" t="str">
        <f ca="1">IFERROR(__xludf.DUMMYFUNCTION("GOOGLEFINANCE(""NSE:""&amp;D4259,""pe"")"),"#N/A")</f>
        <v>#N/A</v>
      </c>
      <c r="P4259" s="7" t="str">
        <f ca="1">IFERROR(__xludf.DUMMYFUNCTION("GOOGLEFINANCE(""NSE:""&amp;D4259,""EPS"")"),"#N/A")</f>
        <v>#N/A</v>
      </c>
      <c r="Q4259" s="7">
        <v>13.5</v>
      </c>
      <c r="R4259" s="7" t="str">
        <f ca="1">IFERROR(__xludf.DUMMYFUNCTION("IMPORTXML(E4259,""/html/body/main/div[3]/div[3]/div[2]/ul/li[7]/span[2]/span"")"),"Loading...")</f>
        <v>Loading...</v>
      </c>
      <c r="S4259" s="7" t="str">
        <f ca="1">IFERROR(__xludf.DUMMYFUNCTION("IMPORTXML(E4259,""/html/body/main/div[3]/div[3]/div[2]/ul/li[8]/span[2]/span"")"),"Loading...")</f>
        <v>Loading...</v>
      </c>
      <c r="T4259" s="4">
        <v>34.6</v>
      </c>
      <c r="U4259" s="4">
        <v>22.7</v>
      </c>
      <c r="V4259" s="4">
        <v>2.6</v>
      </c>
      <c r="W4259" s="4">
        <v>5.7</v>
      </c>
      <c r="X4259" s="4">
        <v>519.92999999999995</v>
      </c>
      <c r="Y4259" s="7" t="e">
        <f t="shared" ca="1" si="89"/>
        <v>#VALUE!</v>
      </c>
    </row>
    <row r="4260" spans="1:25" ht="15" x14ac:dyDescent="0.25">
      <c r="A4260" s="4">
        <v>4259</v>
      </c>
      <c r="C4260" s="41" t="s">
        <v>6631</v>
      </c>
      <c r="D4260" s="42"/>
      <c r="E4260" s="5" t="str">
        <f t="shared" si="85"/>
        <v>https://www.screener.in/company//consolidated/</v>
      </c>
      <c r="F4260" s="4">
        <v>443059</v>
      </c>
      <c r="G4260" s="4">
        <v>3832241897</v>
      </c>
      <c r="H4260" s="6" t="e">
        <f t="shared" ca="1" si="86"/>
        <v>#VALUE!</v>
      </c>
      <c r="I4260" s="7" t="str">
        <f ca="1">IFERROR(__xludf.DUMMYFUNCTION("IMPORTXML(E4260,""/html/body/main/div[3]/div[3]/div[2]/ul/li[5]/span[2]/span"")"),"Loading...")</f>
        <v>Loading...</v>
      </c>
      <c r="J4260" s="7" t="str">
        <f ca="1">IFERROR(__xludf.DUMMYFUNCTION("GOOGLEFINANCE(""NSE:""&amp;D4260,""marketcap"")"),"#N/A")</f>
        <v>#N/A</v>
      </c>
      <c r="K4260" s="7">
        <v>992.8</v>
      </c>
      <c r="L4260" s="8" t="str">
        <f ca="1">IFERROR(__xludf.DUMMYFUNCTION("GOOGLEFINANCE(""NSE:""&amp;D4260,""price"")"),"#N/A")</f>
        <v>#N/A</v>
      </c>
      <c r="M4260" s="9" t="e">
        <f t="shared" ca="1" si="87"/>
        <v>#VALUE!</v>
      </c>
      <c r="N4260" s="10" t="e">
        <f t="shared" ca="1" si="88"/>
        <v>#VALUE!</v>
      </c>
      <c r="O4260" s="7" t="str">
        <f ca="1">IFERROR(__xludf.DUMMYFUNCTION("GOOGLEFINANCE(""NSE:""&amp;D4260,""pe"")"),"#N/A")</f>
        <v>#N/A</v>
      </c>
      <c r="P4260" s="7" t="str">
        <f ca="1">IFERROR(__xludf.DUMMYFUNCTION("GOOGLEFINANCE(""NSE:""&amp;D4260,""EPS"")"),"#N/A")</f>
        <v>#N/A</v>
      </c>
      <c r="Q4260" s="7">
        <v>13.5</v>
      </c>
      <c r="R4260" s="7" t="str">
        <f ca="1">IFERROR(__xludf.DUMMYFUNCTION("IMPORTXML(E4260,""/html/body/main/div[3]/div[3]/div[2]/ul/li[7]/span[2]/span"")"),"Loading...")</f>
        <v>Loading...</v>
      </c>
      <c r="S4260" s="7" t="str">
        <f ca="1">IFERROR(__xludf.DUMMYFUNCTION("IMPORTXML(E4260,""/html/body/main/div[3]/div[3]/div[2]/ul/li[8]/span[2]/span"")"),"Loading...")</f>
        <v>Loading...</v>
      </c>
      <c r="T4260" s="4">
        <v>34.6</v>
      </c>
      <c r="U4260" s="4">
        <v>22.7</v>
      </c>
      <c r="V4260" s="4">
        <v>2.6</v>
      </c>
      <c r="W4260" s="4">
        <v>5.7</v>
      </c>
      <c r="X4260" s="4">
        <v>519.92999999999995</v>
      </c>
      <c r="Y4260" s="7" t="e">
        <f t="shared" ca="1" si="89"/>
        <v>#VALUE!</v>
      </c>
    </row>
    <row r="4261" spans="1:25" ht="15" x14ac:dyDescent="0.25">
      <c r="A4261" s="4">
        <v>4260</v>
      </c>
      <c r="C4261" s="41" t="s">
        <v>6632</v>
      </c>
      <c r="D4261" s="42"/>
      <c r="E4261" s="5" t="str">
        <f t="shared" si="85"/>
        <v>https://www.screener.in/company//consolidated/</v>
      </c>
      <c r="F4261" s="4">
        <v>443059</v>
      </c>
      <c r="G4261" s="4">
        <v>3832241897</v>
      </c>
      <c r="H4261" s="6" t="e">
        <f t="shared" ca="1" si="86"/>
        <v>#VALUE!</v>
      </c>
      <c r="I4261" s="7" t="str">
        <f ca="1">IFERROR(__xludf.DUMMYFUNCTION("IMPORTXML(E4261,""/html/body/main/div[3]/div[3]/div[2]/ul/li[5]/span[2]/span"")"),"Loading...")</f>
        <v>Loading...</v>
      </c>
      <c r="J4261" s="7" t="str">
        <f ca="1">IFERROR(__xludf.DUMMYFUNCTION("GOOGLEFINANCE(""NSE:""&amp;D4261,""marketcap"")"),"#N/A")</f>
        <v>#N/A</v>
      </c>
      <c r="K4261" s="7">
        <v>992.8</v>
      </c>
      <c r="L4261" s="8" t="str">
        <f ca="1">IFERROR(__xludf.DUMMYFUNCTION("GOOGLEFINANCE(""NSE:""&amp;D4261,""price"")"),"#N/A")</f>
        <v>#N/A</v>
      </c>
      <c r="M4261" s="9" t="e">
        <f t="shared" ca="1" si="87"/>
        <v>#VALUE!</v>
      </c>
      <c r="N4261" s="10" t="e">
        <f t="shared" ca="1" si="88"/>
        <v>#VALUE!</v>
      </c>
      <c r="O4261" s="7" t="str">
        <f ca="1">IFERROR(__xludf.DUMMYFUNCTION("GOOGLEFINANCE(""NSE:""&amp;D4261,""pe"")"),"#N/A")</f>
        <v>#N/A</v>
      </c>
      <c r="P4261" s="7" t="str">
        <f ca="1">IFERROR(__xludf.DUMMYFUNCTION("GOOGLEFINANCE(""NSE:""&amp;D4261,""EPS"")"),"#N/A")</f>
        <v>#N/A</v>
      </c>
      <c r="Q4261" s="7">
        <v>13.5</v>
      </c>
      <c r="R4261" s="7" t="str">
        <f ca="1">IFERROR(__xludf.DUMMYFUNCTION("IMPORTXML(E4261,""/html/body/main/div[3]/div[3]/div[2]/ul/li[7]/span[2]/span"")"),"Loading...")</f>
        <v>Loading...</v>
      </c>
      <c r="S4261" s="7" t="str">
        <f ca="1">IFERROR(__xludf.DUMMYFUNCTION("IMPORTXML(E4261,""/html/body/main/div[3]/div[3]/div[2]/ul/li[8]/span[2]/span"")"),"Loading...")</f>
        <v>Loading...</v>
      </c>
      <c r="T4261" s="4">
        <v>34.6</v>
      </c>
      <c r="U4261" s="4">
        <v>22.7</v>
      </c>
      <c r="V4261" s="4">
        <v>2.6</v>
      </c>
      <c r="W4261" s="4">
        <v>5.7</v>
      </c>
      <c r="X4261" s="4">
        <v>519.92999999999995</v>
      </c>
      <c r="Y4261" s="7" t="e">
        <f t="shared" ca="1" si="89"/>
        <v>#VALUE!</v>
      </c>
    </row>
    <row r="4262" spans="1:25" ht="15" x14ac:dyDescent="0.25">
      <c r="A4262" s="4">
        <v>4261</v>
      </c>
      <c r="C4262" s="41" t="s">
        <v>6633</v>
      </c>
      <c r="D4262" s="42"/>
      <c r="E4262" s="5" t="str">
        <f t="shared" si="85"/>
        <v>https://www.screener.in/company//consolidated/</v>
      </c>
      <c r="F4262" s="4">
        <v>443059</v>
      </c>
      <c r="G4262" s="4">
        <v>3832241897</v>
      </c>
      <c r="H4262" s="6" t="e">
        <f t="shared" ca="1" si="86"/>
        <v>#VALUE!</v>
      </c>
      <c r="I4262" s="7" t="str">
        <f ca="1">IFERROR(__xludf.DUMMYFUNCTION("IMPORTXML(E4262,""/html/body/main/div[3]/div[3]/div[2]/ul/li[5]/span[2]/span"")"),"Loading...")</f>
        <v>Loading...</v>
      </c>
      <c r="J4262" s="7" t="str">
        <f ca="1">IFERROR(__xludf.DUMMYFUNCTION("GOOGLEFINANCE(""NSE:""&amp;D4262,""marketcap"")"),"#N/A")</f>
        <v>#N/A</v>
      </c>
      <c r="K4262" s="7">
        <v>992.8</v>
      </c>
      <c r="L4262" s="8" t="str">
        <f ca="1">IFERROR(__xludf.DUMMYFUNCTION("GOOGLEFINANCE(""NSE:""&amp;D4262,""price"")"),"#N/A")</f>
        <v>#N/A</v>
      </c>
      <c r="M4262" s="9" t="e">
        <f t="shared" ca="1" si="87"/>
        <v>#VALUE!</v>
      </c>
      <c r="N4262" s="10" t="e">
        <f t="shared" ca="1" si="88"/>
        <v>#VALUE!</v>
      </c>
      <c r="O4262" s="7" t="str">
        <f ca="1">IFERROR(__xludf.DUMMYFUNCTION("GOOGLEFINANCE(""NSE:""&amp;D4262,""pe"")"),"#N/A")</f>
        <v>#N/A</v>
      </c>
      <c r="P4262" s="7" t="str">
        <f ca="1">IFERROR(__xludf.DUMMYFUNCTION("GOOGLEFINANCE(""NSE:""&amp;D4262,""EPS"")"),"#N/A")</f>
        <v>#N/A</v>
      </c>
      <c r="Q4262" s="7">
        <v>13.5</v>
      </c>
      <c r="R4262" s="7" t="str">
        <f ca="1">IFERROR(__xludf.DUMMYFUNCTION("IMPORTXML(E4262,""/html/body/main/div[3]/div[3]/div[2]/ul/li[7]/span[2]/span"")"),"Loading...")</f>
        <v>Loading...</v>
      </c>
      <c r="S4262" s="7" t="str">
        <f ca="1">IFERROR(__xludf.DUMMYFUNCTION("IMPORTXML(E4262,""/html/body/main/div[3]/div[3]/div[2]/ul/li[8]/span[2]/span"")"),"Loading...")</f>
        <v>Loading...</v>
      </c>
      <c r="T4262" s="4">
        <v>34.6</v>
      </c>
      <c r="U4262" s="4">
        <v>22.7</v>
      </c>
      <c r="V4262" s="4">
        <v>2.6</v>
      </c>
      <c r="W4262" s="4">
        <v>5.7</v>
      </c>
      <c r="X4262" s="4">
        <v>519.92999999999995</v>
      </c>
      <c r="Y4262" s="7" t="e">
        <f t="shared" ca="1" si="89"/>
        <v>#VALUE!</v>
      </c>
    </row>
    <row r="4263" spans="1:25" ht="15" x14ac:dyDescent="0.25">
      <c r="A4263" s="4">
        <v>4262</v>
      </c>
      <c r="C4263" s="41" t="s">
        <v>6634</v>
      </c>
      <c r="D4263" s="42"/>
      <c r="E4263" s="5" t="str">
        <f t="shared" si="85"/>
        <v>https://www.screener.in/company//consolidated/</v>
      </c>
      <c r="F4263" s="4">
        <v>443059</v>
      </c>
      <c r="G4263" s="4">
        <v>3832241897</v>
      </c>
      <c r="H4263" s="6" t="e">
        <f t="shared" ca="1" si="86"/>
        <v>#VALUE!</v>
      </c>
      <c r="I4263" s="7" t="str">
        <f ca="1">IFERROR(__xludf.DUMMYFUNCTION("IMPORTXML(E4263,""/html/body/main/div[3]/div[3]/div[2]/ul/li[5]/span[2]/span"")"),"Loading...")</f>
        <v>Loading...</v>
      </c>
      <c r="J4263" s="7" t="str">
        <f ca="1">IFERROR(__xludf.DUMMYFUNCTION("GOOGLEFINANCE(""NSE:""&amp;D4263,""marketcap"")"),"#N/A")</f>
        <v>#N/A</v>
      </c>
      <c r="K4263" s="7">
        <v>992.8</v>
      </c>
      <c r="L4263" s="8" t="str">
        <f ca="1">IFERROR(__xludf.DUMMYFUNCTION("GOOGLEFINANCE(""NSE:""&amp;D4263,""price"")"),"#N/A")</f>
        <v>#N/A</v>
      </c>
      <c r="M4263" s="9" t="e">
        <f t="shared" ca="1" si="87"/>
        <v>#VALUE!</v>
      </c>
      <c r="N4263" s="10" t="e">
        <f t="shared" ca="1" si="88"/>
        <v>#VALUE!</v>
      </c>
      <c r="O4263" s="7" t="str">
        <f ca="1">IFERROR(__xludf.DUMMYFUNCTION("GOOGLEFINANCE(""NSE:""&amp;D4263,""pe"")"),"#N/A")</f>
        <v>#N/A</v>
      </c>
      <c r="P4263" s="7" t="str">
        <f ca="1">IFERROR(__xludf.DUMMYFUNCTION("GOOGLEFINANCE(""NSE:""&amp;D4263,""EPS"")"),"#N/A")</f>
        <v>#N/A</v>
      </c>
      <c r="Q4263" s="7">
        <v>13.5</v>
      </c>
      <c r="R4263" s="7" t="str">
        <f ca="1">IFERROR(__xludf.DUMMYFUNCTION("IMPORTXML(E4263,""/html/body/main/div[3]/div[3]/div[2]/ul/li[7]/span[2]/span"")"),"Loading...")</f>
        <v>Loading...</v>
      </c>
      <c r="S4263" s="7" t="str">
        <f ca="1">IFERROR(__xludf.DUMMYFUNCTION("IMPORTXML(E4263,""/html/body/main/div[3]/div[3]/div[2]/ul/li[8]/span[2]/span"")"),"Loading...")</f>
        <v>Loading...</v>
      </c>
      <c r="T4263" s="4">
        <v>34.6</v>
      </c>
      <c r="U4263" s="4">
        <v>22.7</v>
      </c>
      <c r="V4263" s="4">
        <v>2.6</v>
      </c>
      <c r="W4263" s="4">
        <v>5.7</v>
      </c>
      <c r="X4263" s="4">
        <v>519.92999999999995</v>
      </c>
      <c r="Y4263" s="7" t="e">
        <f t="shared" ca="1" si="89"/>
        <v>#VALUE!</v>
      </c>
    </row>
    <row r="4264" spans="1:25" ht="15" x14ac:dyDescent="0.25">
      <c r="A4264" s="4">
        <v>4263</v>
      </c>
      <c r="C4264" s="41" t="s">
        <v>6635</v>
      </c>
      <c r="D4264" s="42"/>
      <c r="E4264" s="5" t="str">
        <f t="shared" si="85"/>
        <v>https://www.screener.in/company//consolidated/</v>
      </c>
      <c r="F4264" s="4">
        <v>443059</v>
      </c>
      <c r="G4264" s="4">
        <v>3832241897</v>
      </c>
      <c r="H4264" s="6" t="e">
        <f t="shared" ca="1" si="86"/>
        <v>#VALUE!</v>
      </c>
      <c r="I4264" s="7" t="str">
        <f ca="1">IFERROR(__xludf.DUMMYFUNCTION("IMPORTXML(E4264,""/html/body/main/div[3]/div[3]/div[2]/ul/li[5]/span[2]/span"")"),"Loading...")</f>
        <v>Loading...</v>
      </c>
      <c r="J4264" s="7" t="str">
        <f ca="1">IFERROR(__xludf.DUMMYFUNCTION("GOOGLEFINANCE(""NSE:""&amp;D4264,""marketcap"")"),"#N/A")</f>
        <v>#N/A</v>
      </c>
      <c r="K4264" s="7">
        <v>992.8</v>
      </c>
      <c r="L4264" s="8" t="str">
        <f ca="1">IFERROR(__xludf.DUMMYFUNCTION("GOOGLEFINANCE(""NSE:""&amp;D4264,""price"")"),"#N/A")</f>
        <v>#N/A</v>
      </c>
      <c r="M4264" s="9" t="e">
        <f t="shared" ca="1" si="87"/>
        <v>#VALUE!</v>
      </c>
      <c r="N4264" s="10" t="e">
        <f t="shared" ca="1" si="88"/>
        <v>#VALUE!</v>
      </c>
      <c r="O4264" s="7" t="str">
        <f ca="1">IFERROR(__xludf.DUMMYFUNCTION("GOOGLEFINANCE(""NSE:""&amp;D4264,""pe"")"),"#N/A")</f>
        <v>#N/A</v>
      </c>
      <c r="P4264" s="7" t="str">
        <f ca="1">IFERROR(__xludf.DUMMYFUNCTION("GOOGLEFINANCE(""NSE:""&amp;D4264,""EPS"")"),"#N/A")</f>
        <v>#N/A</v>
      </c>
      <c r="Q4264" s="7">
        <v>13.5</v>
      </c>
      <c r="R4264" s="7" t="str">
        <f ca="1">IFERROR(__xludf.DUMMYFUNCTION("IMPORTXML(E4264,""/html/body/main/div[3]/div[3]/div[2]/ul/li[7]/span[2]/span"")"),"Loading...")</f>
        <v>Loading...</v>
      </c>
      <c r="S4264" s="7" t="str">
        <f ca="1">IFERROR(__xludf.DUMMYFUNCTION("IMPORTXML(E4264,""/html/body/main/div[3]/div[3]/div[2]/ul/li[8]/span[2]/span"")"),"Loading...")</f>
        <v>Loading...</v>
      </c>
      <c r="T4264" s="4">
        <v>34.6</v>
      </c>
      <c r="U4264" s="4">
        <v>22.7</v>
      </c>
      <c r="V4264" s="4">
        <v>2.6</v>
      </c>
      <c r="W4264" s="4">
        <v>5.7</v>
      </c>
      <c r="X4264" s="4">
        <v>519.92999999999995</v>
      </c>
      <c r="Y4264" s="7" t="e">
        <f t="shared" ca="1" si="89"/>
        <v>#VALUE!</v>
      </c>
    </row>
    <row r="4265" spans="1:25" ht="15" x14ac:dyDescent="0.25">
      <c r="A4265" s="4">
        <v>4264</v>
      </c>
      <c r="C4265" s="41" t="s">
        <v>6636</v>
      </c>
      <c r="D4265" s="42"/>
      <c r="E4265" s="5" t="str">
        <f t="shared" si="85"/>
        <v>https://www.screener.in/company//consolidated/</v>
      </c>
      <c r="F4265" s="4">
        <v>443059</v>
      </c>
      <c r="G4265" s="4">
        <v>3832241897</v>
      </c>
      <c r="H4265" s="6" t="e">
        <f t="shared" ca="1" si="86"/>
        <v>#VALUE!</v>
      </c>
      <c r="I4265" s="7" t="str">
        <f ca="1">IFERROR(__xludf.DUMMYFUNCTION("IMPORTXML(E4265,""/html/body/main/div[3]/div[3]/div[2]/ul/li[5]/span[2]/span"")"),"Loading...")</f>
        <v>Loading...</v>
      </c>
      <c r="J4265" s="7" t="str">
        <f ca="1">IFERROR(__xludf.DUMMYFUNCTION("GOOGLEFINANCE(""NSE:""&amp;D4265,""marketcap"")"),"#N/A")</f>
        <v>#N/A</v>
      </c>
      <c r="K4265" s="7">
        <v>992.8</v>
      </c>
      <c r="L4265" s="8" t="str">
        <f ca="1">IFERROR(__xludf.DUMMYFUNCTION("GOOGLEFINANCE(""NSE:""&amp;D4265,""price"")"),"#N/A")</f>
        <v>#N/A</v>
      </c>
      <c r="M4265" s="9" t="e">
        <f t="shared" ca="1" si="87"/>
        <v>#VALUE!</v>
      </c>
      <c r="N4265" s="10" t="e">
        <f t="shared" ca="1" si="88"/>
        <v>#VALUE!</v>
      </c>
      <c r="O4265" s="7" t="str">
        <f ca="1">IFERROR(__xludf.DUMMYFUNCTION("GOOGLEFINANCE(""NSE:""&amp;D4265,""pe"")"),"#N/A")</f>
        <v>#N/A</v>
      </c>
      <c r="P4265" s="7" t="str">
        <f ca="1">IFERROR(__xludf.DUMMYFUNCTION("GOOGLEFINANCE(""NSE:""&amp;D4265,""EPS"")"),"#N/A")</f>
        <v>#N/A</v>
      </c>
      <c r="Q4265" s="7">
        <v>13.5</v>
      </c>
      <c r="R4265" s="7" t="str">
        <f ca="1">IFERROR(__xludf.DUMMYFUNCTION("IMPORTXML(E4265,""/html/body/main/div[3]/div[3]/div[2]/ul/li[7]/span[2]/span"")"),"Loading...")</f>
        <v>Loading...</v>
      </c>
      <c r="S4265" s="7" t="str">
        <f ca="1">IFERROR(__xludf.DUMMYFUNCTION("IMPORTXML(E4265,""/html/body/main/div[3]/div[3]/div[2]/ul/li[8]/span[2]/span"")"),"Loading...")</f>
        <v>Loading...</v>
      </c>
      <c r="T4265" s="4">
        <v>34.6</v>
      </c>
      <c r="U4265" s="4">
        <v>22.7</v>
      </c>
      <c r="V4265" s="4">
        <v>2.6</v>
      </c>
      <c r="W4265" s="4">
        <v>5.7</v>
      </c>
      <c r="X4265" s="4">
        <v>519.92999999999995</v>
      </c>
      <c r="Y4265" s="7" t="e">
        <f t="shared" ca="1" si="89"/>
        <v>#VALUE!</v>
      </c>
    </row>
    <row r="4266" spans="1:25" ht="15" x14ac:dyDescent="0.25">
      <c r="A4266" s="4">
        <v>4265</v>
      </c>
      <c r="C4266" s="41" t="s">
        <v>6637</v>
      </c>
      <c r="D4266" s="42"/>
      <c r="E4266" s="5" t="str">
        <f t="shared" si="85"/>
        <v>https://www.screener.in/company//consolidated/</v>
      </c>
      <c r="F4266" s="4">
        <v>443059</v>
      </c>
      <c r="G4266" s="4">
        <v>3832241897</v>
      </c>
      <c r="H4266" s="6" t="e">
        <f t="shared" ca="1" si="86"/>
        <v>#VALUE!</v>
      </c>
      <c r="I4266" s="7" t="str">
        <f ca="1">IFERROR(__xludf.DUMMYFUNCTION("IMPORTXML(E4266,""/html/body/main/div[3]/div[3]/div[2]/ul/li[5]/span[2]/span"")"),"Loading...")</f>
        <v>Loading...</v>
      </c>
      <c r="J4266" s="7" t="str">
        <f ca="1">IFERROR(__xludf.DUMMYFUNCTION("GOOGLEFINANCE(""NSE:""&amp;D4266,""marketcap"")"),"#N/A")</f>
        <v>#N/A</v>
      </c>
      <c r="K4266" s="7">
        <v>992.8</v>
      </c>
      <c r="L4266" s="8" t="str">
        <f ca="1">IFERROR(__xludf.DUMMYFUNCTION("GOOGLEFINANCE(""NSE:""&amp;D4266,""price"")"),"#N/A")</f>
        <v>#N/A</v>
      </c>
      <c r="M4266" s="9" t="e">
        <f t="shared" ca="1" si="87"/>
        <v>#VALUE!</v>
      </c>
      <c r="N4266" s="10" t="e">
        <f t="shared" ca="1" si="88"/>
        <v>#VALUE!</v>
      </c>
      <c r="O4266" s="7" t="str">
        <f ca="1">IFERROR(__xludf.DUMMYFUNCTION("GOOGLEFINANCE(""NSE:""&amp;D4266,""pe"")"),"#N/A")</f>
        <v>#N/A</v>
      </c>
      <c r="P4266" s="7" t="str">
        <f ca="1">IFERROR(__xludf.DUMMYFUNCTION("GOOGLEFINANCE(""NSE:""&amp;D4266,""EPS"")"),"#N/A")</f>
        <v>#N/A</v>
      </c>
      <c r="Q4266" s="7">
        <v>13.5</v>
      </c>
      <c r="R4266" s="7" t="str">
        <f ca="1">IFERROR(__xludf.DUMMYFUNCTION("IMPORTXML(E4266,""/html/body/main/div[3]/div[3]/div[2]/ul/li[7]/span[2]/span"")"),"Loading...")</f>
        <v>Loading...</v>
      </c>
      <c r="S4266" s="7" t="str">
        <f ca="1">IFERROR(__xludf.DUMMYFUNCTION("IMPORTXML(E4266,""/html/body/main/div[3]/div[3]/div[2]/ul/li[8]/span[2]/span"")"),"Loading...")</f>
        <v>Loading...</v>
      </c>
      <c r="T4266" s="4">
        <v>34.6</v>
      </c>
      <c r="U4266" s="4">
        <v>22.7</v>
      </c>
      <c r="V4266" s="4">
        <v>2.6</v>
      </c>
      <c r="W4266" s="4">
        <v>5.7</v>
      </c>
      <c r="X4266" s="4">
        <v>519.92999999999995</v>
      </c>
      <c r="Y4266" s="7" t="e">
        <f t="shared" ca="1" si="89"/>
        <v>#VALUE!</v>
      </c>
    </row>
    <row r="4267" spans="1:25" ht="15" x14ac:dyDescent="0.25">
      <c r="A4267" s="4">
        <v>4266</v>
      </c>
      <c r="C4267" s="41" t="s">
        <v>6638</v>
      </c>
      <c r="D4267" s="42"/>
      <c r="E4267" s="5" t="str">
        <f t="shared" si="85"/>
        <v>https://www.screener.in/company//consolidated/</v>
      </c>
      <c r="F4267" s="4">
        <v>443059</v>
      </c>
      <c r="G4267" s="4">
        <v>3832241897</v>
      </c>
      <c r="H4267" s="6" t="e">
        <f t="shared" ca="1" si="86"/>
        <v>#VALUE!</v>
      </c>
      <c r="I4267" s="7" t="str">
        <f ca="1">IFERROR(__xludf.DUMMYFUNCTION("IMPORTXML(E4267,""/html/body/main/div[3]/div[3]/div[2]/ul/li[5]/span[2]/span"")"),"Loading...")</f>
        <v>Loading...</v>
      </c>
      <c r="J4267" s="7" t="str">
        <f ca="1">IFERROR(__xludf.DUMMYFUNCTION("GOOGLEFINANCE(""NSE:""&amp;D4267,""marketcap"")"),"#N/A")</f>
        <v>#N/A</v>
      </c>
      <c r="K4267" s="7">
        <v>992.8</v>
      </c>
      <c r="L4267" s="8" t="str">
        <f ca="1">IFERROR(__xludf.DUMMYFUNCTION("GOOGLEFINANCE(""NSE:""&amp;D4267,""price"")"),"#N/A")</f>
        <v>#N/A</v>
      </c>
      <c r="M4267" s="9" t="e">
        <f t="shared" ca="1" si="87"/>
        <v>#VALUE!</v>
      </c>
      <c r="N4267" s="10" t="e">
        <f t="shared" ca="1" si="88"/>
        <v>#VALUE!</v>
      </c>
      <c r="O4267" s="7" t="str">
        <f ca="1">IFERROR(__xludf.DUMMYFUNCTION("GOOGLEFINANCE(""NSE:""&amp;D4267,""pe"")"),"#N/A")</f>
        <v>#N/A</v>
      </c>
      <c r="P4267" s="7" t="str">
        <f ca="1">IFERROR(__xludf.DUMMYFUNCTION("GOOGLEFINANCE(""NSE:""&amp;D4267,""EPS"")"),"#N/A")</f>
        <v>#N/A</v>
      </c>
      <c r="Q4267" s="7">
        <v>13.5</v>
      </c>
      <c r="R4267" s="7" t="str">
        <f ca="1">IFERROR(__xludf.DUMMYFUNCTION("IMPORTXML(E4267,""/html/body/main/div[3]/div[3]/div[2]/ul/li[7]/span[2]/span"")"),"Loading...")</f>
        <v>Loading...</v>
      </c>
      <c r="S4267" s="7" t="str">
        <f ca="1">IFERROR(__xludf.DUMMYFUNCTION("IMPORTXML(E4267,""/html/body/main/div[3]/div[3]/div[2]/ul/li[8]/span[2]/span"")"),"Loading...")</f>
        <v>Loading...</v>
      </c>
      <c r="T4267" s="4">
        <v>34.6</v>
      </c>
      <c r="U4267" s="4">
        <v>22.7</v>
      </c>
      <c r="V4267" s="4">
        <v>2.6</v>
      </c>
      <c r="W4267" s="4">
        <v>5.7</v>
      </c>
      <c r="X4267" s="4">
        <v>519.92999999999995</v>
      </c>
      <c r="Y4267" s="7" t="e">
        <f t="shared" ca="1" si="89"/>
        <v>#VALUE!</v>
      </c>
    </row>
    <row r="4268" spans="1:25" ht="15" x14ac:dyDescent="0.25">
      <c r="A4268" s="4">
        <v>4267</v>
      </c>
      <c r="C4268" s="12" t="s">
        <v>6639</v>
      </c>
      <c r="D4268" s="12" t="s">
        <v>6640</v>
      </c>
      <c r="E4268" s="5" t="str">
        <f t="shared" si="85"/>
        <v>https://www.screener.in/company/ORTEL/consolidated/</v>
      </c>
      <c r="F4268" s="4">
        <v>443059</v>
      </c>
      <c r="G4268" s="4">
        <v>3832241897</v>
      </c>
      <c r="H4268" s="6">
        <f t="shared" ca="1" si="86"/>
        <v>544.17834937399994</v>
      </c>
      <c r="I4268" s="7" t="str">
        <f ca="1">IFERROR(__xludf.DUMMYFUNCTION("IMPORTXML(E4268,""/html/body/main/div[3]/div[3]/div[2]/ul/li[5]/span[2]/span"")"),"Loading...")</f>
        <v>Loading...</v>
      </c>
      <c r="J4268" s="7">
        <f ca="1">IFERROR(__xludf.DUMMYFUNCTION("GOOGLEFINANCE(""NSE:""&amp;D4268,""marketcap"")"),47394210)</f>
        <v>47394210</v>
      </c>
      <c r="K4268" s="7">
        <v>992.8</v>
      </c>
      <c r="L4268" s="8">
        <f ca="1">IFERROR(__xludf.DUMMYFUNCTION("GOOGLEFINANCE(""NSE:""&amp;D4268,""price"")"),1.42)</f>
        <v>1.42</v>
      </c>
      <c r="M4268" s="9">
        <f t="shared" ca="1" si="87"/>
        <v>-991.38</v>
      </c>
      <c r="N4268" s="10">
        <f t="shared" ca="1" si="88"/>
        <v>-99.856970185334418</v>
      </c>
      <c r="O4268" s="7" t="str">
        <f ca="1">IFERROR(__xludf.DUMMYFUNCTION("GOOGLEFINANCE(""NSE:""&amp;D4268,""pe"")"),"#N/A")</f>
        <v>#N/A</v>
      </c>
      <c r="P4268" s="7" t="str">
        <f ca="1">IFERROR(__xludf.DUMMYFUNCTION("GOOGLEFINANCE(""NSE:""&amp;D4268,""EPS"")"),"#N/A")</f>
        <v>#N/A</v>
      </c>
      <c r="Q4268" s="7">
        <v>13.5</v>
      </c>
      <c r="R4268" s="7" t="str">
        <f ca="1">IFERROR(__xludf.DUMMYFUNCTION("IMPORTXML(E4268,""/html/body/main/div[3]/div[3]/div[2]/ul/li[7]/span[2]/span"")"),"Loading...")</f>
        <v>Loading...</v>
      </c>
      <c r="S4268" s="7" t="str">
        <f ca="1">IFERROR(__xludf.DUMMYFUNCTION("IMPORTXML(E4268,""/html/body/main/div[3]/div[3]/div[2]/ul/li[8]/span[2]/span"")"),"Loading...")</f>
        <v>Loading...</v>
      </c>
      <c r="T4268" s="4">
        <v>34.6</v>
      </c>
      <c r="U4268" s="4">
        <v>22.7</v>
      </c>
      <c r="V4268" s="4">
        <v>2.6</v>
      </c>
      <c r="W4268" s="4">
        <v>5.7</v>
      </c>
      <c r="X4268" s="4">
        <v>519.92999999999995</v>
      </c>
      <c r="Y4268" s="7">
        <f t="shared" ca="1" si="89"/>
        <v>-518.51</v>
      </c>
    </row>
    <row r="4269" spans="1:25" ht="15" x14ac:dyDescent="0.25">
      <c r="A4269" s="4">
        <v>4268</v>
      </c>
      <c r="C4269" s="41" t="s">
        <v>6641</v>
      </c>
      <c r="D4269" s="42"/>
      <c r="E4269" s="5" t="str">
        <f t="shared" si="85"/>
        <v>https://www.screener.in/company//consolidated/</v>
      </c>
      <c r="F4269" s="4">
        <v>443059</v>
      </c>
      <c r="G4269" s="4">
        <v>3832241897</v>
      </c>
      <c r="H4269" s="6" t="e">
        <f t="shared" ca="1" si="86"/>
        <v>#VALUE!</v>
      </c>
      <c r="I4269" s="7" t="str">
        <f ca="1">IFERROR(__xludf.DUMMYFUNCTION("IMPORTXML(E4269,""/html/body/main/div[3]/div[3]/div[2]/ul/li[5]/span[2]/span"")"),"Loading...")</f>
        <v>Loading...</v>
      </c>
      <c r="J4269" s="7" t="str">
        <f ca="1">IFERROR(__xludf.DUMMYFUNCTION("GOOGLEFINANCE(""NSE:""&amp;D4269,""marketcap"")"),"#N/A")</f>
        <v>#N/A</v>
      </c>
      <c r="K4269" s="7">
        <v>992.8</v>
      </c>
      <c r="L4269" s="8" t="str">
        <f ca="1">IFERROR(__xludf.DUMMYFUNCTION("GOOGLEFINANCE(""NSE:""&amp;D4269,""price"")"),"#N/A")</f>
        <v>#N/A</v>
      </c>
      <c r="M4269" s="9" t="e">
        <f t="shared" ca="1" si="87"/>
        <v>#VALUE!</v>
      </c>
      <c r="N4269" s="10" t="e">
        <f t="shared" ca="1" si="88"/>
        <v>#VALUE!</v>
      </c>
      <c r="O4269" s="7" t="str">
        <f ca="1">IFERROR(__xludf.DUMMYFUNCTION("GOOGLEFINANCE(""NSE:""&amp;D4269,""pe"")"),"#N/A")</f>
        <v>#N/A</v>
      </c>
      <c r="P4269" s="7" t="str">
        <f ca="1">IFERROR(__xludf.DUMMYFUNCTION("GOOGLEFINANCE(""NSE:""&amp;D4269,""EPS"")"),"#N/A")</f>
        <v>#N/A</v>
      </c>
      <c r="Q4269" s="7">
        <v>13.5</v>
      </c>
      <c r="R4269" s="7" t="str">
        <f ca="1">IFERROR(__xludf.DUMMYFUNCTION("IMPORTXML(E4269,""/html/body/main/div[3]/div[3]/div[2]/ul/li[7]/span[2]/span"")"),"Loading...")</f>
        <v>Loading...</v>
      </c>
      <c r="S4269" s="7" t="str">
        <f ca="1">IFERROR(__xludf.DUMMYFUNCTION("IMPORTXML(E4269,""/html/body/main/div[3]/div[3]/div[2]/ul/li[8]/span[2]/span"")"),"Loading...")</f>
        <v>Loading...</v>
      </c>
      <c r="T4269" s="4">
        <v>34.6</v>
      </c>
      <c r="U4269" s="4">
        <v>22.7</v>
      </c>
      <c r="V4269" s="4">
        <v>2.6</v>
      </c>
      <c r="W4269" s="4">
        <v>5.7</v>
      </c>
      <c r="X4269" s="4">
        <v>519.92999999999995</v>
      </c>
      <c r="Y4269" s="7" t="e">
        <f t="shared" ca="1" si="89"/>
        <v>#VALUE!</v>
      </c>
    </row>
    <row r="4270" spans="1:25" ht="15" x14ac:dyDescent="0.25">
      <c r="A4270" s="4">
        <v>4269</v>
      </c>
      <c r="C4270" s="41" t="s">
        <v>6642</v>
      </c>
      <c r="D4270" s="42"/>
      <c r="E4270" s="5" t="str">
        <f t="shared" si="85"/>
        <v>https://www.screener.in/company//consolidated/</v>
      </c>
      <c r="F4270" s="4">
        <v>443059</v>
      </c>
      <c r="G4270" s="4">
        <v>3832241897</v>
      </c>
      <c r="H4270" s="6" t="e">
        <f t="shared" ca="1" si="86"/>
        <v>#VALUE!</v>
      </c>
      <c r="I4270" s="7" t="str">
        <f ca="1">IFERROR(__xludf.DUMMYFUNCTION("IMPORTXML(E4270,""/html/body/main/div[3]/div[3]/div[2]/ul/li[5]/span[2]/span"")"),"Loading...")</f>
        <v>Loading...</v>
      </c>
      <c r="J4270" s="7" t="str">
        <f ca="1">IFERROR(__xludf.DUMMYFUNCTION("GOOGLEFINANCE(""NSE:""&amp;D4270,""marketcap"")"),"#N/A")</f>
        <v>#N/A</v>
      </c>
      <c r="K4270" s="7">
        <v>992.8</v>
      </c>
      <c r="L4270" s="8" t="str">
        <f ca="1">IFERROR(__xludf.DUMMYFUNCTION("GOOGLEFINANCE(""NSE:""&amp;D4270,""price"")"),"#N/A")</f>
        <v>#N/A</v>
      </c>
      <c r="M4270" s="9" t="e">
        <f t="shared" ca="1" si="87"/>
        <v>#VALUE!</v>
      </c>
      <c r="N4270" s="10" t="e">
        <f t="shared" ca="1" si="88"/>
        <v>#VALUE!</v>
      </c>
      <c r="O4270" s="7" t="str">
        <f ca="1">IFERROR(__xludf.DUMMYFUNCTION("GOOGLEFINANCE(""NSE:""&amp;D4270,""pe"")"),"#N/A")</f>
        <v>#N/A</v>
      </c>
      <c r="P4270" s="7" t="str">
        <f ca="1">IFERROR(__xludf.DUMMYFUNCTION("GOOGLEFINANCE(""NSE:""&amp;D4270,""EPS"")"),"#N/A")</f>
        <v>#N/A</v>
      </c>
      <c r="Q4270" s="7">
        <v>13.5</v>
      </c>
      <c r="R4270" s="7" t="str">
        <f ca="1">IFERROR(__xludf.DUMMYFUNCTION("IMPORTXML(E4270,""/html/body/main/div[3]/div[3]/div[2]/ul/li[7]/span[2]/span"")"),"Loading...")</f>
        <v>Loading...</v>
      </c>
      <c r="S4270" s="7" t="str">
        <f ca="1">IFERROR(__xludf.DUMMYFUNCTION("IMPORTXML(E4270,""/html/body/main/div[3]/div[3]/div[2]/ul/li[8]/span[2]/span"")"),"Loading...")</f>
        <v>Loading...</v>
      </c>
      <c r="T4270" s="4">
        <v>34.6</v>
      </c>
      <c r="U4270" s="4">
        <v>22.7</v>
      </c>
      <c r="V4270" s="4">
        <v>2.6</v>
      </c>
      <c r="W4270" s="4">
        <v>5.7</v>
      </c>
      <c r="X4270" s="4">
        <v>519.92999999999995</v>
      </c>
      <c r="Y4270" s="7" t="e">
        <f t="shared" ca="1" si="89"/>
        <v>#VALUE!</v>
      </c>
    </row>
    <row r="4271" spans="1:25" ht="15" x14ac:dyDescent="0.25">
      <c r="A4271" s="4">
        <v>4270</v>
      </c>
      <c r="C4271" s="41" t="s">
        <v>6643</v>
      </c>
      <c r="D4271" s="42"/>
      <c r="E4271" s="5" t="str">
        <f t="shared" si="85"/>
        <v>https://www.screener.in/company//consolidated/</v>
      </c>
      <c r="F4271" s="4">
        <v>443059</v>
      </c>
      <c r="G4271" s="4">
        <v>3832241897</v>
      </c>
      <c r="H4271" s="6" t="e">
        <f t="shared" ca="1" si="86"/>
        <v>#VALUE!</v>
      </c>
      <c r="I4271" s="7" t="str">
        <f ca="1">IFERROR(__xludf.DUMMYFUNCTION("IMPORTXML(E4271,""/html/body/main/div[3]/div[3]/div[2]/ul/li[5]/span[2]/span"")"),"Loading...")</f>
        <v>Loading...</v>
      </c>
      <c r="J4271" s="7" t="str">
        <f ca="1">IFERROR(__xludf.DUMMYFUNCTION("GOOGLEFINANCE(""NSE:""&amp;D4271,""marketcap"")"),"#N/A")</f>
        <v>#N/A</v>
      </c>
      <c r="K4271" s="7">
        <v>992.8</v>
      </c>
      <c r="L4271" s="8" t="str">
        <f ca="1">IFERROR(__xludf.DUMMYFUNCTION("GOOGLEFINANCE(""NSE:""&amp;D4271,""price"")"),"#N/A")</f>
        <v>#N/A</v>
      </c>
      <c r="M4271" s="9" t="e">
        <f t="shared" ca="1" si="87"/>
        <v>#VALUE!</v>
      </c>
      <c r="N4271" s="10" t="e">
        <f t="shared" ca="1" si="88"/>
        <v>#VALUE!</v>
      </c>
      <c r="O4271" s="7" t="str">
        <f ca="1">IFERROR(__xludf.DUMMYFUNCTION("GOOGLEFINANCE(""NSE:""&amp;D4271,""pe"")"),"#N/A")</f>
        <v>#N/A</v>
      </c>
      <c r="P4271" s="7" t="str">
        <f ca="1">IFERROR(__xludf.DUMMYFUNCTION("GOOGLEFINANCE(""NSE:""&amp;D4271,""EPS"")"),"#N/A")</f>
        <v>#N/A</v>
      </c>
      <c r="Q4271" s="7">
        <v>13.5</v>
      </c>
      <c r="R4271" s="7" t="str">
        <f ca="1">IFERROR(__xludf.DUMMYFUNCTION("IMPORTXML(E4271,""/html/body/main/div[3]/div[3]/div[2]/ul/li[7]/span[2]/span"")"),"Loading...")</f>
        <v>Loading...</v>
      </c>
      <c r="S4271" s="7" t="str">
        <f ca="1">IFERROR(__xludf.DUMMYFUNCTION("IMPORTXML(E4271,""/html/body/main/div[3]/div[3]/div[2]/ul/li[8]/span[2]/span"")"),"Loading...")</f>
        <v>Loading...</v>
      </c>
      <c r="T4271" s="4">
        <v>34.6</v>
      </c>
      <c r="U4271" s="4">
        <v>22.7</v>
      </c>
      <c r="V4271" s="4">
        <v>2.6</v>
      </c>
      <c r="W4271" s="4">
        <v>5.7</v>
      </c>
      <c r="X4271" s="4">
        <v>519.92999999999995</v>
      </c>
      <c r="Y4271" s="7" t="e">
        <f t="shared" ca="1" si="89"/>
        <v>#VALUE!</v>
      </c>
    </row>
    <row r="4272" spans="1:25" ht="15" x14ac:dyDescent="0.25">
      <c r="A4272" s="4">
        <v>4271</v>
      </c>
      <c r="C4272" s="41" t="s">
        <v>6644</v>
      </c>
      <c r="D4272" s="42"/>
      <c r="E4272" s="5" t="str">
        <f t="shared" si="85"/>
        <v>https://www.screener.in/company//consolidated/</v>
      </c>
      <c r="F4272" s="4">
        <v>443059</v>
      </c>
      <c r="G4272" s="4">
        <v>3832241897</v>
      </c>
      <c r="H4272" s="6" t="e">
        <f t="shared" ca="1" si="86"/>
        <v>#VALUE!</v>
      </c>
      <c r="I4272" s="7" t="str">
        <f ca="1">IFERROR(__xludf.DUMMYFUNCTION("IMPORTXML(E4272,""/html/body/main/div[3]/div[3]/div[2]/ul/li[5]/span[2]/span"")"),"Loading...")</f>
        <v>Loading...</v>
      </c>
      <c r="J4272" s="7" t="str">
        <f ca="1">IFERROR(__xludf.DUMMYFUNCTION("GOOGLEFINANCE(""NSE:""&amp;D4272,""marketcap"")"),"#N/A")</f>
        <v>#N/A</v>
      </c>
      <c r="K4272" s="7">
        <v>992.8</v>
      </c>
      <c r="L4272" s="8" t="str">
        <f ca="1">IFERROR(__xludf.DUMMYFUNCTION("GOOGLEFINANCE(""NSE:""&amp;D4272,""price"")"),"#N/A")</f>
        <v>#N/A</v>
      </c>
      <c r="M4272" s="9" t="e">
        <f t="shared" ca="1" si="87"/>
        <v>#VALUE!</v>
      </c>
      <c r="N4272" s="10" t="e">
        <f t="shared" ca="1" si="88"/>
        <v>#VALUE!</v>
      </c>
      <c r="O4272" s="7" t="str">
        <f ca="1">IFERROR(__xludf.DUMMYFUNCTION("GOOGLEFINANCE(""NSE:""&amp;D4272,""pe"")"),"#N/A")</f>
        <v>#N/A</v>
      </c>
      <c r="P4272" s="7" t="str">
        <f ca="1">IFERROR(__xludf.DUMMYFUNCTION("GOOGLEFINANCE(""NSE:""&amp;D4272,""EPS"")"),"#N/A")</f>
        <v>#N/A</v>
      </c>
      <c r="Q4272" s="7">
        <v>13.5</v>
      </c>
      <c r="R4272" s="7" t="str">
        <f ca="1">IFERROR(__xludf.DUMMYFUNCTION("IMPORTXML(E4272,""/html/body/main/div[3]/div[3]/div[2]/ul/li[7]/span[2]/span"")"),"Loading...")</f>
        <v>Loading...</v>
      </c>
      <c r="S4272" s="7" t="str">
        <f ca="1">IFERROR(__xludf.DUMMYFUNCTION("IMPORTXML(E4272,""/html/body/main/div[3]/div[3]/div[2]/ul/li[8]/span[2]/span"")"),"Loading...")</f>
        <v>Loading...</v>
      </c>
      <c r="T4272" s="4">
        <v>34.6</v>
      </c>
      <c r="U4272" s="4">
        <v>22.7</v>
      </c>
      <c r="V4272" s="4">
        <v>2.6</v>
      </c>
      <c r="W4272" s="4">
        <v>5.7</v>
      </c>
      <c r="X4272" s="4">
        <v>519.92999999999995</v>
      </c>
      <c r="Y4272" s="7" t="e">
        <f t="shared" ca="1" si="89"/>
        <v>#VALUE!</v>
      </c>
    </row>
    <row r="4273" spans="1:25" ht="15" x14ac:dyDescent="0.25">
      <c r="A4273" s="4">
        <v>4272</v>
      </c>
      <c r="C4273" s="41" t="s">
        <v>6645</v>
      </c>
      <c r="D4273" s="42"/>
      <c r="E4273" s="5" t="str">
        <f t="shared" si="85"/>
        <v>https://www.screener.in/company//consolidated/</v>
      </c>
      <c r="F4273" s="4">
        <v>443059</v>
      </c>
      <c r="G4273" s="4">
        <v>3832241897</v>
      </c>
      <c r="H4273" s="6" t="e">
        <f t="shared" ca="1" si="86"/>
        <v>#VALUE!</v>
      </c>
      <c r="I4273" s="7" t="str">
        <f ca="1">IFERROR(__xludf.DUMMYFUNCTION("IMPORTXML(E4273,""/html/body/main/div[3]/div[3]/div[2]/ul/li[5]/span[2]/span"")"),"Loading...")</f>
        <v>Loading...</v>
      </c>
      <c r="J4273" s="7" t="str">
        <f ca="1">IFERROR(__xludf.DUMMYFUNCTION("GOOGLEFINANCE(""NSE:""&amp;D4273,""marketcap"")"),"#N/A")</f>
        <v>#N/A</v>
      </c>
      <c r="K4273" s="7">
        <v>992.8</v>
      </c>
      <c r="L4273" s="8" t="str">
        <f ca="1">IFERROR(__xludf.DUMMYFUNCTION("GOOGLEFINANCE(""NSE:""&amp;D4273,""price"")"),"#N/A")</f>
        <v>#N/A</v>
      </c>
      <c r="M4273" s="9" t="e">
        <f t="shared" ca="1" si="87"/>
        <v>#VALUE!</v>
      </c>
      <c r="N4273" s="10" t="e">
        <f t="shared" ca="1" si="88"/>
        <v>#VALUE!</v>
      </c>
      <c r="O4273" s="7" t="str">
        <f ca="1">IFERROR(__xludf.DUMMYFUNCTION("GOOGLEFINANCE(""NSE:""&amp;D4273,""pe"")"),"#N/A")</f>
        <v>#N/A</v>
      </c>
      <c r="P4273" s="7" t="str">
        <f ca="1">IFERROR(__xludf.DUMMYFUNCTION("GOOGLEFINANCE(""NSE:""&amp;D4273,""EPS"")"),"#N/A")</f>
        <v>#N/A</v>
      </c>
      <c r="Q4273" s="7">
        <v>13.5</v>
      </c>
      <c r="R4273" s="7" t="str">
        <f ca="1">IFERROR(__xludf.DUMMYFUNCTION("IMPORTXML(E4273,""/html/body/main/div[3]/div[3]/div[2]/ul/li[7]/span[2]/span"")"),"Loading...")</f>
        <v>Loading...</v>
      </c>
      <c r="S4273" s="7" t="str">
        <f ca="1">IFERROR(__xludf.DUMMYFUNCTION("IMPORTXML(E4273,""/html/body/main/div[3]/div[3]/div[2]/ul/li[8]/span[2]/span"")"),"Loading...")</f>
        <v>Loading...</v>
      </c>
      <c r="T4273" s="4">
        <v>34.6</v>
      </c>
      <c r="U4273" s="4">
        <v>22.7</v>
      </c>
      <c r="V4273" s="4">
        <v>2.6</v>
      </c>
      <c r="W4273" s="4">
        <v>5.7</v>
      </c>
      <c r="X4273" s="4">
        <v>519.92999999999995</v>
      </c>
      <c r="Y4273" s="7" t="e">
        <f t="shared" ca="1" si="89"/>
        <v>#VALUE!</v>
      </c>
    </row>
    <row r="4274" spans="1:25" ht="15" x14ac:dyDescent="0.25">
      <c r="A4274" s="4">
        <v>4273</v>
      </c>
      <c r="C4274" s="41" t="s">
        <v>6646</v>
      </c>
      <c r="D4274" s="42"/>
      <c r="E4274" s="5" t="str">
        <f t="shared" si="85"/>
        <v>https://www.screener.in/company//consolidated/</v>
      </c>
      <c r="F4274" s="4">
        <v>443059</v>
      </c>
      <c r="G4274" s="4">
        <v>3832241897</v>
      </c>
      <c r="H4274" s="6" t="e">
        <f t="shared" ca="1" si="86"/>
        <v>#VALUE!</v>
      </c>
      <c r="I4274" s="7" t="str">
        <f ca="1">IFERROR(__xludf.DUMMYFUNCTION("IMPORTXML(E4274,""/html/body/main/div[3]/div[3]/div[2]/ul/li[5]/span[2]/span"")"),"Loading...")</f>
        <v>Loading...</v>
      </c>
      <c r="J4274" s="7" t="str">
        <f ca="1">IFERROR(__xludf.DUMMYFUNCTION("GOOGLEFINANCE(""NSE:""&amp;D4274,""marketcap"")"),"#N/A")</f>
        <v>#N/A</v>
      </c>
      <c r="K4274" s="7">
        <v>992.8</v>
      </c>
      <c r="L4274" s="8" t="str">
        <f ca="1">IFERROR(__xludf.DUMMYFUNCTION("GOOGLEFINANCE(""NSE:""&amp;D4274,""price"")"),"#N/A")</f>
        <v>#N/A</v>
      </c>
      <c r="M4274" s="9" t="e">
        <f t="shared" ca="1" si="87"/>
        <v>#VALUE!</v>
      </c>
      <c r="N4274" s="10" t="e">
        <f t="shared" ca="1" si="88"/>
        <v>#VALUE!</v>
      </c>
      <c r="O4274" s="7" t="str">
        <f ca="1">IFERROR(__xludf.DUMMYFUNCTION("GOOGLEFINANCE(""NSE:""&amp;D4274,""pe"")"),"#N/A")</f>
        <v>#N/A</v>
      </c>
      <c r="P4274" s="7" t="str">
        <f ca="1">IFERROR(__xludf.DUMMYFUNCTION("GOOGLEFINANCE(""NSE:""&amp;D4274,""EPS"")"),"#N/A")</f>
        <v>#N/A</v>
      </c>
      <c r="Q4274" s="7">
        <v>13.5</v>
      </c>
      <c r="R4274" s="7" t="str">
        <f ca="1">IFERROR(__xludf.DUMMYFUNCTION("IMPORTXML(E4274,""/html/body/main/div[3]/div[3]/div[2]/ul/li[7]/span[2]/span"")"),"Loading...")</f>
        <v>Loading...</v>
      </c>
      <c r="S4274" s="7" t="str">
        <f ca="1">IFERROR(__xludf.DUMMYFUNCTION("IMPORTXML(E4274,""/html/body/main/div[3]/div[3]/div[2]/ul/li[8]/span[2]/span"")"),"Loading...")</f>
        <v>Loading...</v>
      </c>
      <c r="T4274" s="4">
        <v>34.6</v>
      </c>
      <c r="U4274" s="4">
        <v>22.7</v>
      </c>
      <c r="V4274" s="4">
        <v>2.6</v>
      </c>
      <c r="W4274" s="4">
        <v>5.7</v>
      </c>
      <c r="X4274" s="4">
        <v>519.92999999999995</v>
      </c>
      <c r="Y4274" s="7" t="e">
        <f t="shared" ca="1" si="89"/>
        <v>#VALUE!</v>
      </c>
    </row>
    <row r="4275" spans="1:25" ht="15" x14ac:dyDescent="0.25">
      <c r="A4275" s="4">
        <v>4274</v>
      </c>
      <c r="C4275" s="41" t="s">
        <v>6647</v>
      </c>
      <c r="D4275" s="42"/>
      <c r="E4275" s="5" t="str">
        <f t="shared" si="85"/>
        <v>https://www.screener.in/company//consolidated/</v>
      </c>
      <c r="F4275" s="4">
        <v>443059</v>
      </c>
      <c r="G4275" s="4">
        <v>3832241897</v>
      </c>
      <c r="H4275" s="6" t="e">
        <f t="shared" ca="1" si="86"/>
        <v>#VALUE!</v>
      </c>
      <c r="I4275" s="7" t="str">
        <f ca="1">IFERROR(__xludf.DUMMYFUNCTION("IMPORTXML(E4275,""/html/body/main/div[3]/div[3]/div[2]/ul/li[5]/span[2]/span"")"),"Loading...")</f>
        <v>Loading...</v>
      </c>
      <c r="J4275" s="7" t="str">
        <f ca="1">IFERROR(__xludf.DUMMYFUNCTION("GOOGLEFINANCE(""NSE:""&amp;D4275,""marketcap"")"),"#N/A")</f>
        <v>#N/A</v>
      </c>
      <c r="K4275" s="7">
        <v>992.8</v>
      </c>
      <c r="L4275" s="8" t="str">
        <f ca="1">IFERROR(__xludf.DUMMYFUNCTION("GOOGLEFINANCE(""NSE:""&amp;D4275,""price"")"),"#N/A")</f>
        <v>#N/A</v>
      </c>
      <c r="M4275" s="9" t="e">
        <f t="shared" ca="1" si="87"/>
        <v>#VALUE!</v>
      </c>
      <c r="N4275" s="10" t="e">
        <f t="shared" ca="1" si="88"/>
        <v>#VALUE!</v>
      </c>
      <c r="O4275" s="7" t="str">
        <f ca="1">IFERROR(__xludf.DUMMYFUNCTION("GOOGLEFINANCE(""NSE:""&amp;D4275,""pe"")"),"#N/A")</f>
        <v>#N/A</v>
      </c>
      <c r="P4275" s="7" t="str">
        <f ca="1">IFERROR(__xludf.DUMMYFUNCTION("GOOGLEFINANCE(""NSE:""&amp;D4275,""EPS"")"),"#N/A")</f>
        <v>#N/A</v>
      </c>
      <c r="Q4275" s="7">
        <v>13.5</v>
      </c>
      <c r="R4275" s="7" t="str">
        <f ca="1">IFERROR(__xludf.DUMMYFUNCTION("IMPORTXML(E4275,""/html/body/main/div[3]/div[3]/div[2]/ul/li[7]/span[2]/span"")"),"Loading...")</f>
        <v>Loading...</v>
      </c>
      <c r="S4275" s="7" t="str">
        <f ca="1">IFERROR(__xludf.DUMMYFUNCTION("IMPORTXML(E4275,""/html/body/main/div[3]/div[3]/div[2]/ul/li[8]/span[2]/span"")"),"Loading...")</f>
        <v>Loading...</v>
      </c>
      <c r="T4275" s="4">
        <v>34.6</v>
      </c>
      <c r="U4275" s="4">
        <v>22.7</v>
      </c>
      <c r="V4275" s="4">
        <v>2.6</v>
      </c>
      <c r="W4275" s="4">
        <v>5.7</v>
      </c>
      <c r="X4275" s="4">
        <v>519.92999999999995</v>
      </c>
      <c r="Y4275" s="7" t="e">
        <f t="shared" ca="1" si="89"/>
        <v>#VALUE!</v>
      </c>
    </row>
    <row r="4276" spans="1:25" ht="15" x14ac:dyDescent="0.25">
      <c r="A4276" s="4">
        <v>4275</v>
      </c>
      <c r="C4276" s="41" t="s">
        <v>6648</v>
      </c>
      <c r="D4276" s="42"/>
      <c r="E4276" s="5" t="str">
        <f t="shared" si="85"/>
        <v>https://www.screener.in/company//consolidated/</v>
      </c>
      <c r="F4276" s="4">
        <v>443059</v>
      </c>
      <c r="G4276" s="4">
        <v>3832241897</v>
      </c>
      <c r="H4276" s="6" t="e">
        <f t="shared" ca="1" si="86"/>
        <v>#VALUE!</v>
      </c>
      <c r="I4276" s="7" t="str">
        <f ca="1">IFERROR(__xludf.DUMMYFUNCTION("IMPORTXML(E4276,""/html/body/main/div[3]/div[3]/div[2]/ul/li[5]/span[2]/span"")"),"Loading...")</f>
        <v>Loading...</v>
      </c>
      <c r="J4276" s="7" t="str">
        <f ca="1">IFERROR(__xludf.DUMMYFUNCTION("GOOGLEFINANCE(""NSE:""&amp;D4276,""marketcap"")"),"#N/A")</f>
        <v>#N/A</v>
      </c>
      <c r="K4276" s="7">
        <v>992.8</v>
      </c>
      <c r="L4276" s="8" t="str">
        <f ca="1">IFERROR(__xludf.DUMMYFUNCTION("GOOGLEFINANCE(""NSE:""&amp;D4276,""price"")"),"#N/A")</f>
        <v>#N/A</v>
      </c>
      <c r="M4276" s="9" t="e">
        <f t="shared" ca="1" si="87"/>
        <v>#VALUE!</v>
      </c>
      <c r="N4276" s="10" t="e">
        <f t="shared" ca="1" si="88"/>
        <v>#VALUE!</v>
      </c>
      <c r="O4276" s="7" t="str">
        <f ca="1">IFERROR(__xludf.DUMMYFUNCTION("GOOGLEFINANCE(""NSE:""&amp;D4276,""pe"")"),"#N/A")</f>
        <v>#N/A</v>
      </c>
      <c r="P4276" s="7" t="str">
        <f ca="1">IFERROR(__xludf.DUMMYFUNCTION("GOOGLEFINANCE(""NSE:""&amp;D4276,""EPS"")"),"#N/A")</f>
        <v>#N/A</v>
      </c>
      <c r="Q4276" s="7">
        <v>13.5</v>
      </c>
      <c r="R4276" s="7" t="str">
        <f ca="1">IFERROR(__xludf.DUMMYFUNCTION("IMPORTXML(E4276,""/html/body/main/div[3]/div[3]/div[2]/ul/li[7]/span[2]/span"")"),"Loading...")</f>
        <v>Loading...</v>
      </c>
      <c r="S4276" s="7" t="str">
        <f ca="1">IFERROR(__xludf.DUMMYFUNCTION("IMPORTXML(E4276,""/html/body/main/div[3]/div[3]/div[2]/ul/li[8]/span[2]/span"")"),"Loading...")</f>
        <v>Loading...</v>
      </c>
      <c r="T4276" s="4">
        <v>34.6</v>
      </c>
      <c r="U4276" s="4">
        <v>22.7</v>
      </c>
      <c r="V4276" s="4">
        <v>2.6</v>
      </c>
      <c r="W4276" s="4">
        <v>5.7</v>
      </c>
      <c r="X4276" s="4">
        <v>519.92999999999995</v>
      </c>
      <c r="Y4276" s="7" t="e">
        <f t="shared" ca="1" si="89"/>
        <v>#VALUE!</v>
      </c>
    </row>
    <row r="4277" spans="1:25" ht="15" x14ac:dyDescent="0.25">
      <c r="A4277" s="4">
        <v>4276</v>
      </c>
      <c r="C4277" s="41" t="s">
        <v>6649</v>
      </c>
      <c r="D4277" s="42"/>
      <c r="E4277" s="5" t="str">
        <f t="shared" si="85"/>
        <v>https://www.screener.in/company//consolidated/</v>
      </c>
      <c r="F4277" s="4">
        <v>443059</v>
      </c>
      <c r="G4277" s="4">
        <v>3832241897</v>
      </c>
      <c r="H4277" s="6" t="e">
        <f t="shared" ca="1" si="86"/>
        <v>#VALUE!</v>
      </c>
      <c r="I4277" s="7" t="str">
        <f ca="1">IFERROR(__xludf.DUMMYFUNCTION("IMPORTXML(E4277,""/html/body/main/div[3]/div[3]/div[2]/ul/li[5]/span[2]/span"")"),"Loading...")</f>
        <v>Loading...</v>
      </c>
      <c r="J4277" s="7" t="str">
        <f ca="1">IFERROR(__xludf.DUMMYFUNCTION("GOOGLEFINANCE(""NSE:""&amp;D4277,""marketcap"")"),"#N/A")</f>
        <v>#N/A</v>
      </c>
      <c r="K4277" s="7">
        <v>992.8</v>
      </c>
      <c r="L4277" s="8" t="str">
        <f ca="1">IFERROR(__xludf.DUMMYFUNCTION("GOOGLEFINANCE(""NSE:""&amp;D4277,""price"")"),"#N/A")</f>
        <v>#N/A</v>
      </c>
      <c r="M4277" s="9" t="e">
        <f t="shared" ca="1" si="87"/>
        <v>#VALUE!</v>
      </c>
      <c r="N4277" s="10" t="e">
        <f t="shared" ca="1" si="88"/>
        <v>#VALUE!</v>
      </c>
      <c r="O4277" s="7" t="str">
        <f ca="1">IFERROR(__xludf.DUMMYFUNCTION("GOOGLEFINANCE(""NSE:""&amp;D4277,""pe"")"),"#N/A")</f>
        <v>#N/A</v>
      </c>
      <c r="P4277" s="7" t="str">
        <f ca="1">IFERROR(__xludf.DUMMYFUNCTION("GOOGLEFINANCE(""NSE:""&amp;D4277,""EPS"")"),"#N/A")</f>
        <v>#N/A</v>
      </c>
      <c r="Q4277" s="7">
        <v>13.5</v>
      </c>
      <c r="R4277" s="7" t="str">
        <f ca="1">IFERROR(__xludf.DUMMYFUNCTION("IMPORTXML(E4277,""/html/body/main/div[3]/div[3]/div[2]/ul/li[7]/span[2]/span"")"),"Loading...")</f>
        <v>Loading...</v>
      </c>
      <c r="S4277" s="7" t="str">
        <f ca="1">IFERROR(__xludf.DUMMYFUNCTION("IMPORTXML(E4277,""/html/body/main/div[3]/div[3]/div[2]/ul/li[8]/span[2]/span"")"),"Loading...")</f>
        <v>Loading...</v>
      </c>
      <c r="T4277" s="4">
        <v>34.6</v>
      </c>
      <c r="U4277" s="4">
        <v>22.7</v>
      </c>
      <c r="V4277" s="4">
        <v>2.6</v>
      </c>
      <c r="W4277" s="4">
        <v>5.7</v>
      </c>
      <c r="X4277" s="4">
        <v>519.92999999999995</v>
      </c>
      <c r="Y4277" s="7" t="e">
        <f t="shared" ca="1" si="89"/>
        <v>#VALUE!</v>
      </c>
    </row>
    <row r="4278" spans="1:25" ht="15" x14ac:dyDescent="0.25">
      <c r="A4278" s="4">
        <v>4277</v>
      </c>
      <c r="C4278" s="12" t="s">
        <v>6650</v>
      </c>
      <c r="D4278" s="12" t="s">
        <v>6651</v>
      </c>
      <c r="E4278" s="5" t="str">
        <f t="shared" si="85"/>
        <v>https://www.screener.in/company/MELSTAR/consolidated/</v>
      </c>
      <c r="F4278" s="4">
        <v>443059</v>
      </c>
      <c r="G4278" s="4">
        <v>3832241897</v>
      </c>
      <c r="H4278" s="6" t="e">
        <f t="shared" ca="1" si="86"/>
        <v>#VALUE!</v>
      </c>
      <c r="I4278" s="7" t="str">
        <f ca="1">IFERROR(__xludf.DUMMYFUNCTION("IMPORTXML(E4278,""/html/body/main/div[3]/div[3]/div[2]/ul/li[5]/span[2]/span"")"),"Loading...")</f>
        <v>Loading...</v>
      </c>
      <c r="J4278" s="7" t="str">
        <f ca="1">IFERROR(__xludf.DUMMYFUNCTION("GOOGLEFINANCE(""NSE:""&amp;D4278,""marketcap"")"),"#N/A")</f>
        <v>#N/A</v>
      </c>
      <c r="K4278" s="7">
        <v>992.8</v>
      </c>
      <c r="L4278" s="8" t="str">
        <f ca="1">IFERROR(__xludf.DUMMYFUNCTION("GOOGLEFINANCE(""NSE:""&amp;D4278,""price"")"),"#N/A")</f>
        <v>#N/A</v>
      </c>
      <c r="M4278" s="9" t="e">
        <f t="shared" ca="1" si="87"/>
        <v>#VALUE!</v>
      </c>
      <c r="N4278" s="10" t="e">
        <f t="shared" ca="1" si="88"/>
        <v>#VALUE!</v>
      </c>
      <c r="O4278" s="7" t="str">
        <f ca="1">IFERROR(__xludf.DUMMYFUNCTION("GOOGLEFINANCE(""NSE:""&amp;D4278,""pe"")"),"#N/A")</f>
        <v>#N/A</v>
      </c>
      <c r="P4278" s="7" t="str">
        <f ca="1">IFERROR(__xludf.DUMMYFUNCTION("GOOGLEFINANCE(""NSE:""&amp;D4278,""EPS"")"),"#N/A")</f>
        <v>#N/A</v>
      </c>
      <c r="Q4278" s="7">
        <v>13.5</v>
      </c>
      <c r="R4278" s="7" t="str">
        <f ca="1">IFERROR(__xludf.DUMMYFUNCTION("IMPORTXML(E4278,""/html/body/main/div[3]/div[3]/div[2]/ul/li[7]/span[2]/span"")"),"Loading...")</f>
        <v>Loading...</v>
      </c>
      <c r="S4278" s="7" t="str">
        <f ca="1">IFERROR(__xludf.DUMMYFUNCTION("IMPORTXML(E4278,""/html/body/main/div[3]/div[3]/div[2]/ul/li[8]/span[2]/span"")"),"Loading...")</f>
        <v>Loading...</v>
      </c>
      <c r="T4278" s="4">
        <v>34.6</v>
      </c>
      <c r="U4278" s="4">
        <v>22.7</v>
      </c>
      <c r="V4278" s="4">
        <v>2.6</v>
      </c>
      <c r="W4278" s="4">
        <v>5.7</v>
      </c>
      <c r="X4278" s="4">
        <v>519.92999999999995</v>
      </c>
      <c r="Y4278" s="7" t="e">
        <f t="shared" ca="1" si="89"/>
        <v>#VALUE!</v>
      </c>
    </row>
    <row r="4279" spans="1:25" ht="15" x14ac:dyDescent="0.25">
      <c r="A4279" s="4">
        <v>4278</v>
      </c>
      <c r="C4279" s="41" t="s">
        <v>6652</v>
      </c>
      <c r="D4279" s="42"/>
      <c r="E4279" s="5" t="str">
        <f t="shared" si="85"/>
        <v>https://www.screener.in/company//consolidated/</v>
      </c>
      <c r="F4279" s="4">
        <v>443059</v>
      </c>
      <c r="G4279" s="4">
        <v>3832241897</v>
      </c>
      <c r="H4279" s="6" t="e">
        <f t="shared" ca="1" si="86"/>
        <v>#VALUE!</v>
      </c>
      <c r="I4279" s="7" t="str">
        <f ca="1">IFERROR(__xludf.DUMMYFUNCTION("IMPORTXML(E4279,""/html/body/main/div[3]/div[3]/div[2]/ul/li[5]/span[2]/span"")"),"Loading...")</f>
        <v>Loading...</v>
      </c>
      <c r="J4279" s="7" t="str">
        <f ca="1">IFERROR(__xludf.DUMMYFUNCTION("GOOGLEFINANCE(""NSE:""&amp;D4279,""marketcap"")"),"#N/A")</f>
        <v>#N/A</v>
      </c>
      <c r="K4279" s="7">
        <v>992.8</v>
      </c>
      <c r="L4279" s="8" t="str">
        <f ca="1">IFERROR(__xludf.DUMMYFUNCTION("GOOGLEFINANCE(""NSE:""&amp;D4279,""price"")"),"#N/A")</f>
        <v>#N/A</v>
      </c>
      <c r="M4279" s="9" t="e">
        <f t="shared" ca="1" si="87"/>
        <v>#VALUE!</v>
      </c>
      <c r="N4279" s="10" t="e">
        <f t="shared" ca="1" si="88"/>
        <v>#VALUE!</v>
      </c>
      <c r="O4279" s="7" t="str">
        <f ca="1">IFERROR(__xludf.DUMMYFUNCTION("GOOGLEFINANCE(""NSE:""&amp;D4279,""pe"")"),"#N/A")</f>
        <v>#N/A</v>
      </c>
      <c r="P4279" s="7" t="str">
        <f ca="1">IFERROR(__xludf.DUMMYFUNCTION("GOOGLEFINANCE(""NSE:""&amp;D4279,""EPS"")"),"#N/A")</f>
        <v>#N/A</v>
      </c>
      <c r="Q4279" s="7">
        <v>13.5</v>
      </c>
      <c r="R4279" s="7" t="str">
        <f ca="1">IFERROR(__xludf.DUMMYFUNCTION("IMPORTXML(E4279,""/html/body/main/div[3]/div[3]/div[2]/ul/li[7]/span[2]/span"")"),"Loading...")</f>
        <v>Loading...</v>
      </c>
      <c r="S4279" s="7" t="str">
        <f ca="1">IFERROR(__xludf.DUMMYFUNCTION("IMPORTXML(E4279,""/html/body/main/div[3]/div[3]/div[2]/ul/li[8]/span[2]/span"")"),"Loading...")</f>
        <v>Loading...</v>
      </c>
      <c r="T4279" s="4">
        <v>34.6</v>
      </c>
      <c r="U4279" s="4">
        <v>22.7</v>
      </c>
      <c r="V4279" s="4">
        <v>2.6</v>
      </c>
      <c r="W4279" s="4">
        <v>5.7</v>
      </c>
      <c r="X4279" s="4">
        <v>519.92999999999995</v>
      </c>
      <c r="Y4279" s="7" t="e">
        <f t="shared" ca="1" si="89"/>
        <v>#VALUE!</v>
      </c>
    </row>
    <row r="4280" spans="1:25" ht="15" x14ac:dyDescent="0.25">
      <c r="A4280" s="4">
        <v>4279</v>
      </c>
      <c r="C4280" s="41" t="s">
        <v>6653</v>
      </c>
      <c r="D4280" s="42"/>
      <c r="E4280" s="5" t="str">
        <f t="shared" si="85"/>
        <v>https://www.screener.in/company//consolidated/</v>
      </c>
      <c r="F4280" s="4">
        <v>443059</v>
      </c>
      <c r="G4280" s="4">
        <v>3832241897</v>
      </c>
      <c r="H4280" s="6" t="e">
        <f t="shared" ca="1" si="86"/>
        <v>#VALUE!</v>
      </c>
      <c r="I4280" s="7" t="str">
        <f ca="1">IFERROR(__xludf.DUMMYFUNCTION("IMPORTXML(E4280,""/html/body/main/div[3]/div[3]/div[2]/ul/li[5]/span[2]/span"")"),"Loading...")</f>
        <v>Loading...</v>
      </c>
      <c r="J4280" s="7" t="str">
        <f ca="1">IFERROR(__xludf.DUMMYFUNCTION("GOOGLEFINANCE(""NSE:""&amp;D4280,""marketcap"")"),"#N/A")</f>
        <v>#N/A</v>
      </c>
      <c r="K4280" s="7">
        <v>992.8</v>
      </c>
      <c r="L4280" s="8" t="str">
        <f ca="1">IFERROR(__xludf.DUMMYFUNCTION("GOOGLEFINANCE(""NSE:""&amp;D4280,""price"")"),"#N/A")</f>
        <v>#N/A</v>
      </c>
      <c r="M4280" s="9" t="e">
        <f t="shared" ca="1" si="87"/>
        <v>#VALUE!</v>
      </c>
      <c r="N4280" s="10" t="e">
        <f t="shared" ca="1" si="88"/>
        <v>#VALUE!</v>
      </c>
      <c r="O4280" s="7" t="str">
        <f ca="1">IFERROR(__xludf.DUMMYFUNCTION("GOOGLEFINANCE(""NSE:""&amp;D4280,""pe"")"),"#N/A")</f>
        <v>#N/A</v>
      </c>
      <c r="P4280" s="7" t="str">
        <f ca="1">IFERROR(__xludf.DUMMYFUNCTION("GOOGLEFINANCE(""NSE:""&amp;D4280,""EPS"")"),"#N/A")</f>
        <v>#N/A</v>
      </c>
      <c r="Q4280" s="7">
        <v>13.5</v>
      </c>
      <c r="R4280" s="7" t="str">
        <f ca="1">IFERROR(__xludf.DUMMYFUNCTION("IMPORTXML(E4280,""/html/body/main/div[3]/div[3]/div[2]/ul/li[7]/span[2]/span"")"),"Loading...")</f>
        <v>Loading...</v>
      </c>
      <c r="S4280" s="7" t="str">
        <f ca="1">IFERROR(__xludf.DUMMYFUNCTION("IMPORTXML(E4280,""/html/body/main/div[3]/div[3]/div[2]/ul/li[8]/span[2]/span"")"),"Loading...")</f>
        <v>Loading...</v>
      </c>
      <c r="T4280" s="4">
        <v>34.6</v>
      </c>
      <c r="U4280" s="4">
        <v>22.7</v>
      </c>
      <c r="V4280" s="4">
        <v>2.6</v>
      </c>
      <c r="W4280" s="4">
        <v>5.7</v>
      </c>
      <c r="X4280" s="4">
        <v>519.92999999999995</v>
      </c>
      <c r="Y4280" s="7" t="e">
        <f t="shared" ca="1" si="89"/>
        <v>#VALUE!</v>
      </c>
    </row>
    <row r="4281" spans="1:25" ht="15" x14ac:dyDescent="0.25">
      <c r="A4281" s="4">
        <v>4280</v>
      </c>
      <c r="C4281" s="41" t="s">
        <v>6654</v>
      </c>
      <c r="D4281" s="42"/>
      <c r="E4281" s="5" t="str">
        <f t="shared" si="85"/>
        <v>https://www.screener.in/company//consolidated/</v>
      </c>
      <c r="F4281" s="4">
        <v>443059</v>
      </c>
      <c r="G4281" s="4">
        <v>3832241897</v>
      </c>
      <c r="H4281" s="6" t="e">
        <f t="shared" ca="1" si="86"/>
        <v>#VALUE!</v>
      </c>
      <c r="I4281" s="7" t="str">
        <f ca="1">IFERROR(__xludf.DUMMYFUNCTION("IMPORTXML(E4281,""/html/body/main/div[3]/div[3]/div[2]/ul/li[5]/span[2]/span"")"),"Loading...")</f>
        <v>Loading...</v>
      </c>
      <c r="J4281" s="7" t="str">
        <f ca="1">IFERROR(__xludf.DUMMYFUNCTION("GOOGLEFINANCE(""NSE:""&amp;D4281,""marketcap"")"),"#N/A")</f>
        <v>#N/A</v>
      </c>
      <c r="K4281" s="7">
        <v>992.8</v>
      </c>
      <c r="L4281" s="8" t="str">
        <f ca="1">IFERROR(__xludf.DUMMYFUNCTION("GOOGLEFINANCE(""NSE:""&amp;D4281,""price"")"),"#N/A")</f>
        <v>#N/A</v>
      </c>
      <c r="M4281" s="9" t="e">
        <f t="shared" ca="1" si="87"/>
        <v>#VALUE!</v>
      </c>
      <c r="N4281" s="10" t="e">
        <f t="shared" ca="1" si="88"/>
        <v>#VALUE!</v>
      </c>
      <c r="O4281" s="7" t="str">
        <f ca="1">IFERROR(__xludf.DUMMYFUNCTION("GOOGLEFINANCE(""NSE:""&amp;D4281,""pe"")"),"#N/A")</f>
        <v>#N/A</v>
      </c>
      <c r="P4281" s="7" t="str">
        <f ca="1">IFERROR(__xludf.DUMMYFUNCTION("GOOGLEFINANCE(""NSE:""&amp;D4281,""EPS"")"),"#N/A")</f>
        <v>#N/A</v>
      </c>
      <c r="Q4281" s="7">
        <v>13.5</v>
      </c>
      <c r="R4281" s="7" t="str">
        <f ca="1">IFERROR(__xludf.DUMMYFUNCTION("IMPORTXML(E4281,""/html/body/main/div[3]/div[3]/div[2]/ul/li[7]/span[2]/span"")"),"Loading...")</f>
        <v>Loading...</v>
      </c>
      <c r="S4281" s="7" t="str">
        <f ca="1">IFERROR(__xludf.DUMMYFUNCTION("IMPORTXML(E4281,""/html/body/main/div[3]/div[3]/div[2]/ul/li[8]/span[2]/span"")"),"Loading...")</f>
        <v>Loading...</v>
      </c>
      <c r="T4281" s="4">
        <v>34.6</v>
      </c>
      <c r="U4281" s="4">
        <v>22.7</v>
      </c>
      <c r="V4281" s="4">
        <v>2.6</v>
      </c>
      <c r="W4281" s="4">
        <v>5.7</v>
      </c>
      <c r="X4281" s="4">
        <v>519.92999999999995</v>
      </c>
      <c r="Y4281" s="7" t="e">
        <f t="shared" ca="1" si="89"/>
        <v>#VALUE!</v>
      </c>
    </row>
    <row r="4282" spans="1:25" ht="15" x14ac:dyDescent="0.25">
      <c r="A4282" s="4">
        <v>4281</v>
      </c>
      <c r="C4282" s="41" t="s">
        <v>6655</v>
      </c>
      <c r="D4282" s="42"/>
      <c r="E4282" s="5" t="str">
        <f t="shared" si="85"/>
        <v>https://www.screener.in/company//consolidated/</v>
      </c>
      <c r="F4282" s="4">
        <v>443059</v>
      </c>
      <c r="G4282" s="4">
        <v>3832241897</v>
      </c>
      <c r="H4282" s="6" t="e">
        <f t="shared" ca="1" si="86"/>
        <v>#VALUE!</v>
      </c>
      <c r="I4282" s="7" t="str">
        <f ca="1">IFERROR(__xludf.DUMMYFUNCTION("IMPORTXML(E4282,""/html/body/main/div[3]/div[3]/div[2]/ul/li[5]/span[2]/span"")"),"Loading...")</f>
        <v>Loading...</v>
      </c>
      <c r="J4282" s="7" t="str">
        <f ca="1">IFERROR(__xludf.DUMMYFUNCTION("GOOGLEFINANCE(""NSE:""&amp;D4282,""marketcap"")"),"#N/A")</f>
        <v>#N/A</v>
      </c>
      <c r="K4282" s="7">
        <v>992.8</v>
      </c>
      <c r="L4282" s="8" t="str">
        <f ca="1">IFERROR(__xludf.DUMMYFUNCTION("GOOGLEFINANCE(""NSE:""&amp;D4282,""price"")"),"#N/A")</f>
        <v>#N/A</v>
      </c>
      <c r="M4282" s="9" t="e">
        <f t="shared" ca="1" si="87"/>
        <v>#VALUE!</v>
      </c>
      <c r="N4282" s="10" t="e">
        <f t="shared" ca="1" si="88"/>
        <v>#VALUE!</v>
      </c>
      <c r="O4282" s="7" t="str">
        <f ca="1">IFERROR(__xludf.DUMMYFUNCTION("GOOGLEFINANCE(""NSE:""&amp;D4282,""pe"")"),"#N/A")</f>
        <v>#N/A</v>
      </c>
      <c r="P4282" s="7" t="str">
        <f ca="1">IFERROR(__xludf.DUMMYFUNCTION("GOOGLEFINANCE(""NSE:""&amp;D4282,""EPS"")"),"#N/A")</f>
        <v>#N/A</v>
      </c>
      <c r="Q4282" s="7">
        <v>13.5</v>
      </c>
      <c r="R4282" s="7" t="str">
        <f ca="1">IFERROR(__xludf.DUMMYFUNCTION("IMPORTXML(E4282,""/html/body/main/div[3]/div[3]/div[2]/ul/li[7]/span[2]/span"")"),"Loading...")</f>
        <v>Loading...</v>
      </c>
      <c r="S4282" s="7" t="str">
        <f ca="1">IFERROR(__xludf.DUMMYFUNCTION("IMPORTXML(E4282,""/html/body/main/div[3]/div[3]/div[2]/ul/li[8]/span[2]/span"")"),"Loading...")</f>
        <v>Loading...</v>
      </c>
      <c r="T4282" s="4">
        <v>34.6</v>
      </c>
      <c r="U4282" s="4">
        <v>22.7</v>
      </c>
      <c r="V4282" s="4">
        <v>2.6</v>
      </c>
      <c r="W4282" s="4">
        <v>5.7</v>
      </c>
      <c r="X4282" s="4">
        <v>519.92999999999995</v>
      </c>
      <c r="Y4282" s="7" t="e">
        <f t="shared" ca="1" si="89"/>
        <v>#VALUE!</v>
      </c>
    </row>
    <row r="4283" spans="1:25" ht="15" x14ac:dyDescent="0.25">
      <c r="A4283" s="4">
        <v>4282</v>
      </c>
      <c r="C4283" s="41" t="s">
        <v>6656</v>
      </c>
      <c r="D4283" s="42"/>
      <c r="E4283" s="5" t="str">
        <f t="shared" si="85"/>
        <v>https://www.screener.in/company//consolidated/</v>
      </c>
      <c r="F4283" s="4">
        <v>443059</v>
      </c>
      <c r="G4283" s="4">
        <v>3832241897</v>
      </c>
      <c r="H4283" s="6" t="e">
        <f t="shared" ca="1" si="86"/>
        <v>#VALUE!</v>
      </c>
      <c r="I4283" s="7" t="str">
        <f ca="1">IFERROR(__xludf.DUMMYFUNCTION("IMPORTXML(E4283,""/html/body/main/div[3]/div[3]/div[2]/ul/li[5]/span[2]/span"")"),"Loading...")</f>
        <v>Loading...</v>
      </c>
      <c r="J4283" s="7" t="str">
        <f ca="1">IFERROR(__xludf.DUMMYFUNCTION("GOOGLEFINANCE(""NSE:""&amp;D4283,""marketcap"")"),"#N/A")</f>
        <v>#N/A</v>
      </c>
      <c r="K4283" s="7">
        <v>992.8</v>
      </c>
      <c r="L4283" s="8" t="str">
        <f ca="1">IFERROR(__xludf.DUMMYFUNCTION("GOOGLEFINANCE(""NSE:""&amp;D4283,""price"")"),"#N/A")</f>
        <v>#N/A</v>
      </c>
      <c r="M4283" s="9" t="e">
        <f t="shared" ca="1" si="87"/>
        <v>#VALUE!</v>
      </c>
      <c r="N4283" s="10" t="e">
        <f t="shared" ca="1" si="88"/>
        <v>#VALUE!</v>
      </c>
      <c r="O4283" s="7" t="str">
        <f ca="1">IFERROR(__xludf.DUMMYFUNCTION("GOOGLEFINANCE(""NSE:""&amp;D4283,""pe"")"),"#N/A")</f>
        <v>#N/A</v>
      </c>
      <c r="P4283" s="7" t="str">
        <f ca="1">IFERROR(__xludf.DUMMYFUNCTION("GOOGLEFINANCE(""NSE:""&amp;D4283,""EPS"")"),"#N/A")</f>
        <v>#N/A</v>
      </c>
      <c r="Q4283" s="7">
        <v>13.5</v>
      </c>
      <c r="R4283" s="7" t="str">
        <f ca="1">IFERROR(__xludf.DUMMYFUNCTION("IMPORTXML(E4283,""/html/body/main/div[3]/div[3]/div[2]/ul/li[7]/span[2]/span"")"),"Loading...")</f>
        <v>Loading...</v>
      </c>
      <c r="S4283" s="7" t="str">
        <f ca="1">IFERROR(__xludf.DUMMYFUNCTION("IMPORTXML(E4283,""/html/body/main/div[3]/div[3]/div[2]/ul/li[8]/span[2]/span"")"),"Loading...")</f>
        <v>Loading...</v>
      </c>
      <c r="T4283" s="4">
        <v>34.6</v>
      </c>
      <c r="U4283" s="4">
        <v>22.7</v>
      </c>
      <c r="V4283" s="4">
        <v>2.6</v>
      </c>
      <c r="W4283" s="4">
        <v>5.7</v>
      </c>
      <c r="X4283" s="4">
        <v>519.92999999999995</v>
      </c>
      <c r="Y4283" s="7" t="e">
        <f t="shared" ca="1" si="89"/>
        <v>#VALUE!</v>
      </c>
    </row>
    <row r="4284" spans="1:25" ht="15" x14ac:dyDescent="0.25">
      <c r="A4284" s="4">
        <v>4283</v>
      </c>
      <c r="C4284" s="41" t="s">
        <v>6657</v>
      </c>
      <c r="D4284" s="42"/>
      <c r="E4284" s="5" t="str">
        <f t="shared" si="85"/>
        <v>https://www.screener.in/company//consolidated/</v>
      </c>
      <c r="F4284" s="4">
        <v>443059</v>
      </c>
      <c r="G4284" s="4">
        <v>3832241897</v>
      </c>
      <c r="H4284" s="6" t="e">
        <f t="shared" ca="1" si="86"/>
        <v>#VALUE!</v>
      </c>
      <c r="I4284" s="7" t="str">
        <f ca="1">IFERROR(__xludf.DUMMYFUNCTION("IMPORTXML(E4284,""/html/body/main/div[3]/div[3]/div[2]/ul/li[5]/span[2]/span"")"),"Loading...")</f>
        <v>Loading...</v>
      </c>
      <c r="J4284" s="7" t="str">
        <f ca="1">IFERROR(__xludf.DUMMYFUNCTION("GOOGLEFINANCE(""NSE:""&amp;D4284,""marketcap"")"),"#N/A")</f>
        <v>#N/A</v>
      </c>
      <c r="K4284" s="7">
        <v>992.8</v>
      </c>
      <c r="L4284" s="8" t="str">
        <f ca="1">IFERROR(__xludf.DUMMYFUNCTION("GOOGLEFINANCE(""NSE:""&amp;D4284,""price"")"),"#N/A")</f>
        <v>#N/A</v>
      </c>
      <c r="M4284" s="9" t="e">
        <f t="shared" ca="1" si="87"/>
        <v>#VALUE!</v>
      </c>
      <c r="N4284" s="10" t="e">
        <f t="shared" ca="1" si="88"/>
        <v>#VALUE!</v>
      </c>
      <c r="O4284" s="7" t="str">
        <f ca="1">IFERROR(__xludf.DUMMYFUNCTION("GOOGLEFINANCE(""NSE:""&amp;D4284,""pe"")"),"#N/A")</f>
        <v>#N/A</v>
      </c>
      <c r="P4284" s="7" t="str">
        <f ca="1">IFERROR(__xludf.DUMMYFUNCTION("GOOGLEFINANCE(""NSE:""&amp;D4284,""EPS"")"),"#N/A")</f>
        <v>#N/A</v>
      </c>
      <c r="Q4284" s="7">
        <v>13.5</v>
      </c>
      <c r="R4284" s="7" t="str">
        <f ca="1">IFERROR(__xludf.DUMMYFUNCTION("IMPORTXML(E4284,""/html/body/main/div[3]/div[3]/div[2]/ul/li[7]/span[2]/span"")"),"Loading...")</f>
        <v>Loading...</v>
      </c>
      <c r="S4284" s="7" t="str">
        <f ca="1">IFERROR(__xludf.DUMMYFUNCTION("IMPORTXML(E4284,""/html/body/main/div[3]/div[3]/div[2]/ul/li[8]/span[2]/span"")"),"Loading...")</f>
        <v>Loading...</v>
      </c>
      <c r="T4284" s="4">
        <v>34.6</v>
      </c>
      <c r="U4284" s="4">
        <v>22.7</v>
      </c>
      <c r="V4284" s="4">
        <v>2.6</v>
      </c>
      <c r="W4284" s="4">
        <v>5.7</v>
      </c>
      <c r="X4284" s="4">
        <v>519.92999999999995</v>
      </c>
      <c r="Y4284" s="7" t="e">
        <f t="shared" ca="1" si="89"/>
        <v>#VALUE!</v>
      </c>
    </row>
    <row r="4285" spans="1:25" ht="15" x14ac:dyDescent="0.25">
      <c r="A4285" s="4">
        <v>4284</v>
      </c>
      <c r="C4285" s="41" t="s">
        <v>6658</v>
      </c>
      <c r="D4285" s="42"/>
      <c r="E4285" s="5" t="str">
        <f t="shared" si="85"/>
        <v>https://www.screener.in/company//consolidated/</v>
      </c>
      <c r="F4285" s="4">
        <v>443059</v>
      </c>
      <c r="G4285" s="4">
        <v>3832241897</v>
      </c>
      <c r="H4285" s="6" t="e">
        <f t="shared" ca="1" si="86"/>
        <v>#VALUE!</v>
      </c>
      <c r="I4285" s="7" t="str">
        <f ca="1">IFERROR(__xludf.DUMMYFUNCTION("IMPORTXML(E4285,""/html/body/main/div[3]/div[3]/div[2]/ul/li[5]/span[2]/span"")"),"Loading...")</f>
        <v>Loading...</v>
      </c>
      <c r="J4285" s="7" t="str">
        <f ca="1">IFERROR(__xludf.DUMMYFUNCTION("GOOGLEFINANCE(""NSE:""&amp;D4285,""marketcap"")"),"#N/A")</f>
        <v>#N/A</v>
      </c>
      <c r="K4285" s="7">
        <v>992.8</v>
      </c>
      <c r="L4285" s="8" t="str">
        <f ca="1">IFERROR(__xludf.DUMMYFUNCTION("GOOGLEFINANCE(""NSE:""&amp;D4285,""price"")"),"#N/A")</f>
        <v>#N/A</v>
      </c>
      <c r="M4285" s="9" t="e">
        <f t="shared" ca="1" si="87"/>
        <v>#VALUE!</v>
      </c>
      <c r="N4285" s="10" t="e">
        <f t="shared" ca="1" si="88"/>
        <v>#VALUE!</v>
      </c>
      <c r="O4285" s="7" t="str">
        <f ca="1">IFERROR(__xludf.DUMMYFUNCTION("GOOGLEFINANCE(""NSE:""&amp;D4285,""pe"")"),"#N/A")</f>
        <v>#N/A</v>
      </c>
      <c r="P4285" s="7" t="str">
        <f ca="1">IFERROR(__xludf.DUMMYFUNCTION("GOOGLEFINANCE(""NSE:""&amp;D4285,""EPS"")"),"#N/A")</f>
        <v>#N/A</v>
      </c>
      <c r="Q4285" s="7">
        <v>13.5</v>
      </c>
      <c r="R4285" s="7" t="str">
        <f ca="1">IFERROR(__xludf.DUMMYFUNCTION("IMPORTXML(E4285,""/html/body/main/div[3]/div[3]/div[2]/ul/li[7]/span[2]/span"")"),"Loading...")</f>
        <v>Loading...</v>
      </c>
      <c r="S4285" s="7" t="str">
        <f ca="1">IFERROR(__xludf.DUMMYFUNCTION("IMPORTXML(E4285,""/html/body/main/div[3]/div[3]/div[2]/ul/li[8]/span[2]/span"")"),"Loading...")</f>
        <v>Loading...</v>
      </c>
      <c r="T4285" s="4">
        <v>34.6</v>
      </c>
      <c r="U4285" s="4">
        <v>22.7</v>
      </c>
      <c r="V4285" s="4">
        <v>2.6</v>
      </c>
      <c r="W4285" s="4">
        <v>5.7</v>
      </c>
      <c r="X4285" s="4">
        <v>519.92999999999995</v>
      </c>
      <c r="Y4285" s="7" t="e">
        <f t="shared" ca="1" si="89"/>
        <v>#VALUE!</v>
      </c>
    </row>
    <row r="4286" spans="1:25" ht="15" x14ac:dyDescent="0.25">
      <c r="A4286" s="4">
        <v>4285</v>
      </c>
      <c r="C4286" s="41" t="s">
        <v>6659</v>
      </c>
      <c r="D4286" s="42"/>
      <c r="E4286" s="5" t="str">
        <f t="shared" si="85"/>
        <v>https://www.screener.in/company//consolidated/</v>
      </c>
      <c r="F4286" s="4">
        <v>443059</v>
      </c>
      <c r="G4286" s="4">
        <v>3832241897</v>
      </c>
      <c r="H4286" s="6" t="e">
        <f t="shared" ca="1" si="86"/>
        <v>#VALUE!</v>
      </c>
      <c r="I4286" s="7" t="str">
        <f ca="1">IFERROR(__xludf.DUMMYFUNCTION("IMPORTXML(E4286,""/html/body/main/div[3]/div[3]/div[2]/ul/li[5]/span[2]/span"")"),"Loading...")</f>
        <v>Loading...</v>
      </c>
      <c r="J4286" s="7" t="str">
        <f ca="1">IFERROR(__xludf.DUMMYFUNCTION("GOOGLEFINANCE(""NSE:""&amp;D4286,""marketcap"")"),"#N/A")</f>
        <v>#N/A</v>
      </c>
      <c r="K4286" s="7">
        <v>992.8</v>
      </c>
      <c r="L4286" s="8" t="str">
        <f ca="1">IFERROR(__xludf.DUMMYFUNCTION("GOOGLEFINANCE(""NSE:""&amp;D4286,""price"")"),"#N/A")</f>
        <v>#N/A</v>
      </c>
      <c r="M4286" s="9" t="e">
        <f t="shared" ca="1" si="87"/>
        <v>#VALUE!</v>
      </c>
      <c r="N4286" s="10" t="e">
        <f t="shared" ca="1" si="88"/>
        <v>#VALUE!</v>
      </c>
      <c r="O4286" s="7" t="str">
        <f ca="1">IFERROR(__xludf.DUMMYFUNCTION("GOOGLEFINANCE(""NSE:""&amp;D4286,""pe"")"),"#N/A")</f>
        <v>#N/A</v>
      </c>
      <c r="P4286" s="7" t="str">
        <f ca="1">IFERROR(__xludf.DUMMYFUNCTION("GOOGLEFINANCE(""NSE:""&amp;D4286,""EPS"")"),"#N/A")</f>
        <v>#N/A</v>
      </c>
      <c r="Q4286" s="7">
        <v>13.5</v>
      </c>
      <c r="R4286" s="7" t="str">
        <f ca="1">IFERROR(__xludf.DUMMYFUNCTION("IMPORTXML(E4286,""/html/body/main/div[3]/div[3]/div[2]/ul/li[7]/span[2]/span"")"),"Loading...")</f>
        <v>Loading...</v>
      </c>
      <c r="S4286" s="7" t="str">
        <f ca="1">IFERROR(__xludf.DUMMYFUNCTION("IMPORTXML(E4286,""/html/body/main/div[3]/div[3]/div[2]/ul/li[8]/span[2]/span"")"),"Loading...")</f>
        <v>Loading...</v>
      </c>
      <c r="T4286" s="4">
        <v>34.6</v>
      </c>
      <c r="U4286" s="4">
        <v>22.7</v>
      </c>
      <c r="V4286" s="4">
        <v>2.6</v>
      </c>
      <c r="W4286" s="4">
        <v>5.7</v>
      </c>
      <c r="X4286" s="4">
        <v>519.92999999999995</v>
      </c>
      <c r="Y4286" s="7" t="e">
        <f t="shared" ca="1" si="89"/>
        <v>#VALUE!</v>
      </c>
    </row>
    <row r="4287" spans="1:25" ht="15" x14ac:dyDescent="0.25">
      <c r="A4287" s="4">
        <v>4286</v>
      </c>
      <c r="C4287" s="41" t="s">
        <v>6660</v>
      </c>
      <c r="D4287" s="42"/>
      <c r="E4287" s="5" t="str">
        <f t="shared" si="85"/>
        <v>https://www.screener.in/company//consolidated/</v>
      </c>
      <c r="F4287" s="4">
        <v>443059</v>
      </c>
      <c r="G4287" s="4">
        <v>3832241897</v>
      </c>
      <c r="H4287" s="6" t="e">
        <f t="shared" ca="1" si="86"/>
        <v>#VALUE!</v>
      </c>
      <c r="I4287" s="7" t="str">
        <f ca="1">IFERROR(__xludf.DUMMYFUNCTION("IMPORTXML(E4287,""/html/body/main/div[3]/div[3]/div[2]/ul/li[5]/span[2]/span"")"),"Loading...")</f>
        <v>Loading...</v>
      </c>
      <c r="J4287" s="7" t="str">
        <f ca="1">IFERROR(__xludf.DUMMYFUNCTION("GOOGLEFINANCE(""NSE:""&amp;D4287,""marketcap"")"),"#N/A")</f>
        <v>#N/A</v>
      </c>
      <c r="K4287" s="7">
        <v>992.8</v>
      </c>
      <c r="L4287" s="8" t="str">
        <f ca="1">IFERROR(__xludf.DUMMYFUNCTION("GOOGLEFINANCE(""NSE:""&amp;D4287,""price"")"),"#N/A")</f>
        <v>#N/A</v>
      </c>
      <c r="M4287" s="9" t="e">
        <f t="shared" ca="1" si="87"/>
        <v>#VALUE!</v>
      </c>
      <c r="N4287" s="10" t="e">
        <f t="shared" ca="1" si="88"/>
        <v>#VALUE!</v>
      </c>
      <c r="O4287" s="7" t="str">
        <f ca="1">IFERROR(__xludf.DUMMYFUNCTION("GOOGLEFINANCE(""NSE:""&amp;D4287,""pe"")"),"#N/A")</f>
        <v>#N/A</v>
      </c>
      <c r="P4287" s="7" t="str">
        <f ca="1">IFERROR(__xludf.DUMMYFUNCTION("GOOGLEFINANCE(""NSE:""&amp;D4287,""EPS"")"),"#N/A")</f>
        <v>#N/A</v>
      </c>
      <c r="Q4287" s="7">
        <v>13.5</v>
      </c>
      <c r="R4287" s="7" t="str">
        <f ca="1">IFERROR(__xludf.DUMMYFUNCTION("IMPORTXML(E4287,""/html/body/main/div[3]/div[3]/div[2]/ul/li[7]/span[2]/span"")"),"Loading...")</f>
        <v>Loading...</v>
      </c>
      <c r="S4287" s="7" t="str">
        <f ca="1">IFERROR(__xludf.DUMMYFUNCTION("IMPORTXML(E4287,""/html/body/main/div[3]/div[3]/div[2]/ul/li[8]/span[2]/span"")"),"Loading...")</f>
        <v>Loading...</v>
      </c>
      <c r="T4287" s="4">
        <v>34.6</v>
      </c>
      <c r="U4287" s="4">
        <v>22.7</v>
      </c>
      <c r="V4287" s="4">
        <v>2.6</v>
      </c>
      <c r="W4287" s="4">
        <v>5.7</v>
      </c>
      <c r="X4287" s="4">
        <v>519.92999999999995</v>
      </c>
      <c r="Y4287" s="7" t="e">
        <f t="shared" ca="1" si="89"/>
        <v>#VALUE!</v>
      </c>
    </row>
    <row r="4288" spans="1:25" ht="15" x14ac:dyDescent="0.25">
      <c r="A4288" s="4">
        <v>4287</v>
      </c>
      <c r="C4288" s="41" t="s">
        <v>6661</v>
      </c>
      <c r="D4288" s="42"/>
      <c r="E4288" s="5" t="str">
        <f t="shared" si="85"/>
        <v>https://www.screener.in/company//consolidated/</v>
      </c>
      <c r="F4288" s="4">
        <v>443059</v>
      </c>
      <c r="G4288" s="4">
        <v>3832241897</v>
      </c>
      <c r="H4288" s="6" t="e">
        <f t="shared" ca="1" si="86"/>
        <v>#VALUE!</v>
      </c>
      <c r="I4288" s="7" t="str">
        <f ca="1">IFERROR(__xludf.DUMMYFUNCTION("IMPORTXML(E4288,""/html/body/main/div[3]/div[3]/div[2]/ul/li[5]/span[2]/span"")"),"Loading...")</f>
        <v>Loading...</v>
      </c>
      <c r="J4288" s="7" t="str">
        <f ca="1">IFERROR(__xludf.DUMMYFUNCTION("GOOGLEFINANCE(""NSE:""&amp;D4288,""marketcap"")"),"#N/A")</f>
        <v>#N/A</v>
      </c>
      <c r="K4288" s="7">
        <v>992.8</v>
      </c>
      <c r="L4288" s="8" t="str">
        <f ca="1">IFERROR(__xludf.DUMMYFUNCTION("GOOGLEFINANCE(""NSE:""&amp;D4288,""price"")"),"#N/A")</f>
        <v>#N/A</v>
      </c>
      <c r="M4288" s="9" t="e">
        <f t="shared" ca="1" si="87"/>
        <v>#VALUE!</v>
      </c>
      <c r="N4288" s="10" t="e">
        <f t="shared" ca="1" si="88"/>
        <v>#VALUE!</v>
      </c>
      <c r="O4288" s="7" t="str">
        <f ca="1">IFERROR(__xludf.DUMMYFUNCTION("GOOGLEFINANCE(""NSE:""&amp;D4288,""pe"")"),"#N/A")</f>
        <v>#N/A</v>
      </c>
      <c r="P4288" s="7" t="str">
        <f ca="1">IFERROR(__xludf.DUMMYFUNCTION("GOOGLEFINANCE(""NSE:""&amp;D4288,""EPS"")"),"#N/A")</f>
        <v>#N/A</v>
      </c>
      <c r="Q4288" s="7">
        <v>13.5</v>
      </c>
      <c r="R4288" s="7" t="str">
        <f ca="1">IFERROR(__xludf.DUMMYFUNCTION("IMPORTXML(E4288,""/html/body/main/div[3]/div[3]/div[2]/ul/li[7]/span[2]/span"")"),"Loading...")</f>
        <v>Loading...</v>
      </c>
      <c r="S4288" s="7" t="str">
        <f ca="1">IFERROR(__xludf.DUMMYFUNCTION("IMPORTXML(E4288,""/html/body/main/div[3]/div[3]/div[2]/ul/li[8]/span[2]/span"")"),"Loading...")</f>
        <v>Loading...</v>
      </c>
      <c r="T4288" s="4">
        <v>34.6</v>
      </c>
      <c r="U4288" s="4">
        <v>22.7</v>
      </c>
      <c r="V4288" s="4">
        <v>2.6</v>
      </c>
      <c r="W4288" s="4">
        <v>5.7</v>
      </c>
      <c r="X4288" s="4">
        <v>519.92999999999995</v>
      </c>
      <c r="Y4288" s="7" t="e">
        <f t="shared" ca="1" si="89"/>
        <v>#VALUE!</v>
      </c>
    </row>
    <row r="4289" spans="1:25" ht="15" x14ac:dyDescent="0.25">
      <c r="A4289" s="4">
        <v>4288</v>
      </c>
      <c r="C4289" s="41" t="s">
        <v>6662</v>
      </c>
      <c r="D4289" s="42"/>
      <c r="E4289" s="5" t="str">
        <f t="shared" si="85"/>
        <v>https://www.screener.in/company//consolidated/</v>
      </c>
      <c r="F4289" s="4">
        <v>443059</v>
      </c>
      <c r="G4289" s="4">
        <v>3832241897</v>
      </c>
      <c r="H4289" s="6" t="e">
        <f t="shared" ca="1" si="86"/>
        <v>#VALUE!</v>
      </c>
      <c r="I4289" s="7" t="str">
        <f ca="1">IFERROR(__xludf.DUMMYFUNCTION("IMPORTXML(E4289,""/html/body/main/div[3]/div[3]/div[2]/ul/li[5]/span[2]/span"")"),"Loading...")</f>
        <v>Loading...</v>
      </c>
      <c r="J4289" s="7" t="str">
        <f ca="1">IFERROR(__xludf.DUMMYFUNCTION("GOOGLEFINANCE(""NSE:""&amp;D4289,""marketcap"")"),"#N/A")</f>
        <v>#N/A</v>
      </c>
      <c r="K4289" s="7">
        <v>992.8</v>
      </c>
      <c r="L4289" s="8" t="str">
        <f ca="1">IFERROR(__xludf.DUMMYFUNCTION("GOOGLEFINANCE(""NSE:""&amp;D4289,""price"")"),"#N/A")</f>
        <v>#N/A</v>
      </c>
      <c r="M4289" s="9" t="e">
        <f t="shared" ca="1" si="87"/>
        <v>#VALUE!</v>
      </c>
      <c r="N4289" s="10" t="e">
        <f t="shared" ca="1" si="88"/>
        <v>#VALUE!</v>
      </c>
      <c r="O4289" s="7" t="str">
        <f ca="1">IFERROR(__xludf.DUMMYFUNCTION("GOOGLEFINANCE(""NSE:""&amp;D4289,""pe"")"),"#N/A")</f>
        <v>#N/A</v>
      </c>
      <c r="P4289" s="7" t="str">
        <f ca="1">IFERROR(__xludf.DUMMYFUNCTION("GOOGLEFINANCE(""NSE:""&amp;D4289,""EPS"")"),"#N/A")</f>
        <v>#N/A</v>
      </c>
      <c r="Q4289" s="7">
        <v>13.5</v>
      </c>
      <c r="R4289" s="7" t="str">
        <f ca="1">IFERROR(__xludf.DUMMYFUNCTION("IMPORTXML(E4289,""/html/body/main/div[3]/div[3]/div[2]/ul/li[7]/span[2]/span"")"),"Loading...")</f>
        <v>Loading...</v>
      </c>
      <c r="S4289" s="7" t="str">
        <f ca="1">IFERROR(__xludf.DUMMYFUNCTION("IMPORTXML(E4289,""/html/body/main/div[3]/div[3]/div[2]/ul/li[8]/span[2]/span"")"),"Loading...")</f>
        <v>Loading...</v>
      </c>
      <c r="T4289" s="4">
        <v>34.6</v>
      </c>
      <c r="U4289" s="4">
        <v>22.7</v>
      </c>
      <c r="V4289" s="4">
        <v>2.6</v>
      </c>
      <c r="W4289" s="4">
        <v>5.7</v>
      </c>
      <c r="X4289" s="4">
        <v>519.92999999999995</v>
      </c>
      <c r="Y4289" s="7" t="e">
        <f t="shared" ca="1" si="89"/>
        <v>#VALUE!</v>
      </c>
    </row>
    <row r="4290" spans="1:25" ht="15" x14ac:dyDescent="0.25">
      <c r="A4290" s="4">
        <v>4289</v>
      </c>
      <c r="C4290" s="41" t="s">
        <v>6663</v>
      </c>
      <c r="D4290" s="42"/>
      <c r="E4290" s="5" t="str">
        <f t="shared" si="85"/>
        <v>https://www.screener.in/company//consolidated/</v>
      </c>
      <c r="F4290" s="4">
        <v>443059</v>
      </c>
      <c r="G4290" s="4">
        <v>3832241897</v>
      </c>
      <c r="H4290" s="6" t="e">
        <f t="shared" ca="1" si="86"/>
        <v>#VALUE!</v>
      </c>
      <c r="I4290" s="7" t="str">
        <f ca="1">IFERROR(__xludf.DUMMYFUNCTION("IMPORTXML(E4290,""/html/body/main/div[3]/div[3]/div[2]/ul/li[5]/span[2]/span"")"),"Loading...")</f>
        <v>Loading...</v>
      </c>
      <c r="J4290" s="7" t="str">
        <f ca="1">IFERROR(__xludf.DUMMYFUNCTION("GOOGLEFINANCE(""NSE:""&amp;D4290,""marketcap"")"),"#N/A")</f>
        <v>#N/A</v>
      </c>
      <c r="K4290" s="7">
        <v>992.8</v>
      </c>
      <c r="L4290" s="8" t="str">
        <f ca="1">IFERROR(__xludf.DUMMYFUNCTION("GOOGLEFINANCE(""NSE:""&amp;D4290,""price"")"),"#N/A")</f>
        <v>#N/A</v>
      </c>
      <c r="M4290" s="9" t="e">
        <f t="shared" ca="1" si="87"/>
        <v>#VALUE!</v>
      </c>
      <c r="N4290" s="10" t="e">
        <f t="shared" ca="1" si="88"/>
        <v>#VALUE!</v>
      </c>
      <c r="O4290" s="7" t="str">
        <f ca="1">IFERROR(__xludf.DUMMYFUNCTION("GOOGLEFINANCE(""NSE:""&amp;D4290,""pe"")"),"#N/A")</f>
        <v>#N/A</v>
      </c>
      <c r="P4290" s="7" t="str">
        <f ca="1">IFERROR(__xludf.DUMMYFUNCTION("GOOGLEFINANCE(""NSE:""&amp;D4290,""EPS"")"),"#N/A")</f>
        <v>#N/A</v>
      </c>
      <c r="Q4290" s="7">
        <v>13.5</v>
      </c>
      <c r="R4290" s="7" t="str">
        <f ca="1">IFERROR(__xludf.DUMMYFUNCTION("IMPORTXML(E4290,""/html/body/main/div[3]/div[3]/div[2]/ul/li[7]/span[2]/span"")"),"Loading...")</f>
        <v>Loading...</v>
      </c>
      <c r="S4290" s="7" t="str">
        <f ca="1">IFERROR(__xludf.DUMMYFUNCTION("IMPORTXML(E4290,""/html/body/main/div[3]/div[3]/div[2]/ul/li[8]/span[2]/span"")"),"Loading...")</f>
        <v>Loading...</v>
      </c>
      <c r="T4290" s="4">
        <v>34.6</v>
      </c>
      <c r="U4290" s="4">
        <v>22.7</v>
      </c>
      <c r="V4290" s="4">
        <v>2.6</v>
      </c>
      <c r="W4290" s="4">
        <v>5.7</v>
      </c>
      <c r="X4290" s="4">
        <v>519.92999999999995</v>
      </c>
      <c r="Y4290" s="7" t="e">
        <f t="shared" ca="1" si="89"/>
        <v>#VALUE!</v>
      </c>
    </row>
    <row r="4291" spans="1:25" ht="15" x14ac:dyDescent="0.25">
      <c r="A4291" s="4">
        <v>4290</v>
      </c>
      <c r="C4291" s="41" t="s">
        <v>6664</v>
      </c>
      <c r="D4291" s="42"/>
      <c r="E4291" s="5" t="str">
        <f t="shared" si="85"/>
        <v>https://www.screener.in/company//consolidated/</v>
      </c>
      <c r="F4291" s="4">
        <v>443059</v>
      </c>
      <c r="G4291" s="4">
        <v>3832241897</v>
      </c>
      <c r="H4291" s="6" t="e">
        <f t="shared" ca="1" si="86"/>
        <v>#VALUE!</v>
      </c>
      <c r="I4291" s="7" t="str">
        <f ca="1">IFERROR(__xludf.DUMMYFUNCTION("IMPORTXML(E4291,""/html/body/main/div[3]/div[3]/div[2]/ul/li[5]/span[2]/span"")"),"Loading...")</f>
        <v>Loading...</v>
      </c>
      <c r="J4291" s="7" t="str">
        <f ca="1">IFERROR(__xludf.DUMMYFUNCTION("GOOGLEFINANCE(""NSE:""&amp;D4291,""marketcap"")"),"#N/A")</f>
        <v>#N/A</v>
      </c>
      <c r="K4291" s="7">
        <v>992.8</v>
      </c>
      <c r="L4291" s="8" t="str">
        <f ca="1">IFERROR(__xludf.DUMMYFUNCTION("GOOGLEFINANCE(""NSE:""&amp;D4291,""price"")"),"#N/A")</f>
        <v>#N/A</v>
      </c>
      <c r="M4291" s="9" t="e">
        <f t="shared" ca="1" si="87"/>
        <v>#VALUE!</v>
      </c>
      <c r="N4291" s="10" t="e">
        <f t="shared" ca="1" si="88"/>
        <v>#VALUE!</v>
      </c>
      <c r="O4291" s="7" t="str">
        <f ca="1">IFERROR(__xludf.DUMMYFUNCTION("GOOGLEFINANCE(""NSE:""&amp;D4291,""pe"")"),"#N/A")</f>
        <v>#N/A</v>
      </c>
      <c r="P4291" s="7" t="str">
        <f ca="1">IFERROR(__xludf.DUMMYFUNCTION("GOOGLEFINANCE(""NSE:""&amp;D4291,""EPS"")"),"#N/A")</f>
        <v>#N/A</v>
      </c>
      <c r="Q4291" s="7">
        <v>13.5</v>
      </c>
      <c r="R4291" s="7" t="str">
        <f ca="1">IFERROR(__xludf.DUMMYFUNCTION("IMPORTXML(E4291,""/html/body/main/div[3]/div[3]/div[2]/ul/li[7]/span[2]/span"")"),"Loading...")</f>
        <v>Loading...</v>
      </c>
      <c r="S4291" s="7" t="str">
        <f ca="1">IFERROR(__xludf.DUMMYFUNCTION("IMPORTXML(E4291,""/html/body/main/div[3]/div[3]/div[2]/ul/li[8]/span[2]/span"")"),"Loading...")</f>
        <v>Loading...</v>
      </c>
      <c r="T4291" s="4">
        <v>34.6</v>
      </c>
      <c r="U4291" s="4">
        <v>22.7</v>
      </c>
      <c r="V4291" s="4">
        <v>2.6</v>
      </c>
      <c r="W4291" s="4">
        <v>5.7</v>
      </c>
      <c r="X4291" s="4">
        <v>519.92999999999995</v>
      </c>
      <c r="Y4291" s="7" t="e">
        <f t="shared" ca="1" si="89"/>
        <v>#VALUE!</v>
      </c>
    </row>
    <row r="4292" spans="1:25" ht="15" x14ac:dyDescent="0.25">
      <c r="A4292" s="4">
        <v>4291</v>
      </c>
      <c r="C4292" s="41" t="s">
        <v>6665</v>
      </c>
      <c r="D4292" s="42"/>
      <c r="E4292" s="5" t="str">
        <f t="shared" si="85"/>
        <v>https://www.screener.in/company//consolidated/</v>
      </c>
      <c r="F4292" s="4">
        <v>443059</v>
      </c>
      <c r="G4292" s="4">
        <v>3832241897</v>
      </c>
      <c r="H4292" s="6" t="e">
        <f t="shared" ca="1" si="86"/>
        <v>#VALUE!</v>
      </c>
      <c r="I4292" s="7" t="str">
        <f ca="1">IFERROR(__xludf.DUMMYFUNCTION("IMPORTXML(E4292,""/html/body/main/div[3]/div[3]/div[2]/ul/li[5]/span[2]/span"")"),"Loading...")</f>
        <v>Loading...</v>
      </c>
      <c r="J4292" s="7" t="str">
        <f ca="1">IFERROR(__xludf.DUMMYFUNCTION("GOOGLEFINANCE(""NSE:""&amp;D4292,""marketcap"")"),"#N/A")</f>
        <v>#N/A</v>
      </c>
      <c r="K4292" s="7">
        <v>992.8</v>
      </c>
      <c r="L4292" s="8" t="str">
        <f ca="1">IFERROR(__xludf.DUMMYFUNCTION("GOOGLEFINANCE(""NSE:""&amp;D4292,""price"")"),"#N/A")</f>
        <v>#N/A</v>
      </c>
      <c r="M4292" s="9" t="e">
        <f t="shared" ca="1" si="87"/>
        <v>#VALUE!</v>
      </c>
      <c r="N4292" s="10" t="e">
        <f t="shared" ca="1" si="88"/>
        <v>#VALUE!</v>
      </c>
      <c r="O4292" s="7" t="str">
        <f ca="1">IFERROR(__xludf.DUMMYFUNCTION("GOOGLEFINANCE(""NSE:""&amp;D4292,""pe"")"),"#N/A")</f>
        <v>#N/A</v>
      </c>
      <c r="P4292" s="7" t="str">
        <f ca="1">IFERROR(__xludf.DUMMYFUNCTION("GOOGLEFINANCE(""NSE:""&amp;D4292,""EPS"")"),"#N/A")</f>
        <v>#N/A</v>
      </c>
      <c r="Q4292" s="7">
        <v>13.5</v>
      </c>
      <c r="R4292" s="7" t="str">
        <f ca="1">IFERROR(__xludf.DUMMYFUNCTION("IMPORTXML(E4292,""/html/body/main/div[3]/div[3]/div[2]/ul/li[7]/span[2]/span"")"),"Loading...")</f>
        <v>Loading...</v>
      </c>
      <c r="S4292" s="7" t="str">
        <f ca="1">IFERROR(__xludf.DUMMYFUNCTION("IMPORTXML(E4292,""/html/body/main/div[3]/div[3]/div[2]/ul/li[8]/span[2]/span"")"),"Loading...")</f>
        <v>Loading...</v>
      </c>
      <c r="T4292" s="4">
        <v>34.6</v>
      </c>
      <c r="U4292" s="4">
        <v>22.7</v>
      </c>
      <c r="V4292" s="4">
        <v>2.6</v>
      </c>
      <c r="W4292" s="4">
        <v>5.7</v>
      </c>
      <c r="X4292" s="4">
        <v>519.92999999999995</v>
      </c>
      <c r="Y4292" s="7" t="e">
        <f t="shared" ca="1" si="89"/>
        <v>#VALUE!</v>
      </c>
    </row>
    <row r="4293" spans="1:25" ht="15" x14ac:dyDescent="0.25">
      <c r="A4293" s="4">
        <v>4292</v>
      </c>
      <c r="C4293" s="41" t="s">
        <v>6666</v>
      </c>
      <c r="D4293" s="42"/>
      <c r="E4293" s="5" t="str">
        <f t="shared" si="85"/>
        <v>https://www.screener.in/company//consolidated/</v>
      </c>
      <c r="F4293" s="4">
        <v>443059</v>
      </c>
      <c r="G4293" s="4">
        <v>3832241897</v>
      </c>
      <c r="H4293" s="6" t="e">
        <f t="shared" ca="1" si="86"/>
        <v>#VALUE!</v>
      </c>
      <c r="I4293" s="7" t="str">
        <f ca="1">IFERROR(__xludf.DUMMYFUNCTION("IMPORTXML(E4293,""/html/body/main/div[3]/div[3]/div[2]/ul/li[5]/span[2]/span"")"),"Loading...")</f>
        <v>Loading...</v>
      </c>
      <c r="J4293" s="7" t="str">
        <f ca="1">IFERROR(__xludf.DUMMYFUNCTION("GOOGLEFINANCE(""NSE:""&amp;D4293,""marketcap"")"),"#N/A")</f>
        <v>#N/A</v>
      </c>
      <c r="K4293" s="7">
        <v>992.8</v>
      </c>
      <c r="L4293" s="8" t="str">
        <f ca="1">IFERROR(__xludf.DUMMYFUNCTION("GOOGLEFINANCE(""NSE:""&amp;D4293,""price"")"),"#N/A")</f>
        <v>#N/A</v>
      </c>
      <c r="M4293" s="9" t="e">
        <f t="shared" ca="1" si="87"/>
        <v>#VALUE!</v>
      </c>
      <c r="N4293" s="10" t="e">
        <f t="shared" ca="1" si="88"/>
        <v>#VALUE!</v>
      </c>
      <c r="O4293" s="7" t="str">
        <f ca="1">IFERROR(__xludf.DUMMYFUNCTION("GOOGLEFINANCE(""NSE:""&amp;D4293,""pe"")"),"#N/A")</f>
        <v>#N/A</v>
      </c>
      <c r="P4293" s="7" t="str">
        <f ca="1">IFERROR(__xludf.DUMMYFUNCTION("GOOGLEFINANCE(""NSE:""&amp;D4293,""EPS"")"),"#N/A")</f>
        <v>#N/A</v>
      </c>
      <c r="Q4293" s="7">
        <v>13.5</v>
      </c>
      <c r="R4293" s="7" t="str">
        <f ca="1">IFERROR(__xludf.DUMMYFUNCTION("IMPORTXML(E4293,""/html/body/main/div[3]/div[3]/div[2]/ul/li[7]/span[2]/span"")"),"Loading...")</f>
        <v>Loading...</v>
      </c>
      <c r="S4293" s="7" t="str">
        <f ca="1">IFERROR(__xludf.DUMMYFUNCTION("IMPORTXML(E4293,""/html/body/main/div[3]/div[3]/div[2]/ul/li[8]/span[2]/span"")"),"Loading...")</f>
        <v>Loading...</v>
      </c>
      <c r="T4293" s="4">
        <v>34.6</v>
      </c>
      <c r="U4293" s="4">
        <v>22.7</v>
      </c>
      <c r="V4293" s="4">
        <v>2.6</v>
      </c>
      <c r="W4293" s="4">
        <v>5.7</v>
      </c>
      <c r="X4293" s="4">
        <v>519.92999999999995</v>
      </c>
      <c r="Y4293" s="7" t="e">
        <f t="shared" ca="1" si="89"/>
        <v>#VALUE!</v>
      </c>
    </row>
    <row r="4294" spans="1:25" ht="15" x14ac:dyDescent="0.25">
      <c r="A4294" s="4">
        <v>4293</v>
      </c>
      <c r="C4294" s="41" t="s">
        <v>6667</v>
      </c>
      <c r="D4294" s="42"/>
      <c r="E4294" s="5" t="str">
        <f t="shared" si="85"/>
        <v>https://www.screener.in/company//consolidated/</v>
      </c>
      <c r="F4294" s="4">
        <v>443059</v>
      </c>
      <c r="G4294" s="4">
        <v>3832241897</v>
      </c>
      <c r="H4294" s="6" t="e">
        <f t="shared" ca="1" si="86"/>
        <v>#VALUE!</v>
      </c>
      <c r="I4294" s="7" t="str">
        <f ca="1">IFERROR(__xludf.DUMMYFUNCTION("IMPORTXML(E4294,""/html/body/main/div[3]/div[3]/div[2]/ul/li[5]/span[2]/span"")"),"Loading...")</f>
        <v>Loading...</v>
      </c>
      <c r="J4294" s="7" t="str">
        <f ca="1">IFERROR(__xludf.DUMMYFUNCTION("GOOGLEFINANCE(""NSE:""&amp;D4294,""marketcap"")"),"#N/A")</f>
        <v>#N/A</v>
      </c>
      <c r="K4294" s="7">
        <v>992.8</v>
      </c>
      <c r="L4294" s="8" t="str">
        <f ca="1">IFERROR(__xludf.DUMMYFUNCTION("GOOGLEFINANCE(""NSE:""&amp;D4294,""price"")"),"#N/A")</f>
        <v>#N/A</v>
      </c>
      <c r="M4294" s="9" t="e">
        <f t="shared" ca="1" si="87"/>
        <v>#VALUE!</v>
      </c>
      <c r="N4294" s="10" t="e">
        <f t="shared" ca="1" si="88"/>
        <v>#VALUE!</v>
      </c>
      <c r="O4294" s="7" t="str">
        <f ca="1">IFERROR(__xludf.DUMMYFUNCTION("GOOGLEFINANCE(""NSE:""&amp;D4294,""pe"")"),"#N/A")</f>
        <v>#N/A</v>
      </c>
      <c r="P4294" s="7" t="str">
        <f ca="1">IFERROR(__xludf.DUMMYFUNCTION("GOOGLEFINANCE(""NSE:""&amp;D4294,""EPS"")"),"#N/A")</f>
        <v>#N/A</v>
      </c>
      <c r="Q4294" s="7">
        <v>13.5</v>
      </c>
      <c r="R4294" s="7" t="str">
        <f ca="1">IFERROR(__xludf.DUMMYFUNCTION("IMPORTXML(E4294,""/html/body/main/div[3]/div[3]/div[2]/ul/li[7]/span[2]/span"")"),"Loading...")</f>
        <v>Loading...</v>
      </c>
      <c r="S4294" s="7" t="str">
        <f ca="1">IFERROR(__xludf.DUMMYFUNCTION("IMPORTXML(E4294,""/html/body/main/div[3]/div[3]/div[2]/ul/li[8]/span[2]/span"")"),"Loading...")</f>
        <v>Loading...</v>
      </c>
      <c r="T4294" s="4">
        <v>34.6</v>
      </c>
      <c r="U4294" s="4">
        <v>22.7</v>
      </c>
      <c r="V4294" s="4">
        <v>2.6</v>
      </c>
      <c r="W4294" s="4">
        <v>5.7</v>
      </c>
      <c r="X4294" s="4">
        <v>519.92999999999995</v>
      </c>
      <c r="Y4294" s="7" t="e">
        <f t="shared" ca="1" si="89"/>
        <v>#VALUE!</v>
      </c>
    </row>
    <row r="4295" spans="1:25" ht="15" x14ac:dyDescent="0.25">
      <c r="A4295" s="4">
        <v>4294</v>
      </c>
      <c r="C4295" s="41" t="s">
        <v>6668</v>
      </c>
      <c r="D4295" s="42"/>
      <c r="E4295" s="5" t="str">
        <f t="shared" si="85"/>
        <v>https://www.screener.in/company//consolidated/</v>
      </c>
      <c r="F4295" s="4">
        <v>443059</v>
      </c>
      <c r="G4295" s="4">
        <v>3832241897</v>
      </c>
      <c r="H4295" s="6" t="e">
        <f t="shared" ca="1" si="86"/>
        <v>#VALUE!</v>
      </c>
      <c r="I4295" s="7" t="str">
        <f ca="1">IFERROR(__xludf.DUMMYFUNCTION("IMPORTXML(E4295,""/html/body/main/div[3]/div[3]/div[2]/ul/li[5]/span[2]/span"")"),"Loading...")</f>
        <v>Loading...</v>
      </c>
      <c r="J4295" s="7" t="str">
        <f ca="1">IFERROR(__xludf.DUMMYFUNCTION("GOOGLEFINANCE(""NSE:""&amp;D4295,""marketcap"")"),"#N/A")</f>
        <v>#N/A</v>
      </c>
      <c r="K4295" s="7">
        <v>992.8</v>
      </c>
      <c r="L4295" s="8" t="str">
        <f ca="1">IFERROR(__xludf.DUMMYFUNCTION("GOOGLEFINANCE(""NSE:""&amp;D4295,""price"")"),"#N/A")</f>
        <v>#N/A</v>
      </c>
      <c r="M4295" s="9" t="e">
        <f t="shared" ca="1" si="87"/>
        <v>#VALUE!</v>
      </c>
      <c r="N4295" s="10" t="e">
        <f t="shared" ca="1" si="88"/>
        <v>#VALUE!</v>
      </c>
      <c r="O4295" s="7" t="str">
        <f ca="1">IFERROR(__xludf.DUMMYFUNCTION("GOOGLEFINANCE(""NSE:""&amp;D4295,""pe"")"),"#N/A")</f>
        <v>#N/A</v>
      </c>
      <c r="P4295" s="7" t="str">
        <f ca="1">IFERROR(__xludf.DUMMYFUNCTION("GOOGLEFINANCE(""NSE:""&amp;D4295,""EPS"")"),"#N/A")</f>
        <v>#N/A</v>
      </c>
      <c r="Q4295" s="7">
        <v>13.5</v>
      </c>
      <c r="R4295" s="7" t="str">
        <f ca="1">IFERROR(__xludf.DUMMYFUNCTION("IMPORTXML(E4295,""/html/body/main/div[3]/div[3]/div[2]/ul/li[7]/span[2]/span"")"),"Loading...")</f>
        <v>Loading...</v>
      </c>
      <c r="S4295" s="7" t="str">
        <f ca="1">IFERROR(__xludf.DUMMYFUNCTION("IMPORTXML(E4295,""/html/body/main/div[3]/div[3]/div[2]/ul/li[8]/span[2]/span"")"),"Loading...")</f>
        <v>Loading...</v>
      </c>
      <c r="T4295" s="4">
        <v>34.6</v>
      </c>
      <c r="U4295" s="4">
        <v>22.7</v>
      </c>
      <c r="V4295" s="4">
        <v>2.6</v>
      </c>
      <c r="W4295" s="4">
        <v>5.7</v>
      </c>
      <c r="X4295" s="4">
        <v>519.92999999999995</v>
      </c>
      <c r="Y4295" s="7" t="e">
        <f t="shared" ca="1" si="89"/>
        <v>#VALUE!</v>
      </c>
    </row>
    <row r="4296" spans="1:25" ht="15" x14ac:dyDescent="0.25">
      <c r="A4296" s="4">
        <v>4295</v>
      </c>
      <c r="C4296" s="41" t="s">
        <v>6669</v>
      </c>
      <c r="D4296" s="42"/>
      <c r="E4296" s="5" t="str">
        <f t="shared" si="85"/>
        <v>https://www.screener.in/company//consolidated/</v>
      </c>
      <c r="F4296" s="4">
        <v>443059</v>
      </c>
      <c r="G4296" s="4">
        <v>3832241897</v>
      </c>
      <c r="H4296" s="6" t="e">
        <f t="shared" ca="1" si="86"/>
        <v>#VALUE!</v>
      </c>
      <c r="I4296" s="7" t="str">
        <f ca="1">IFERROR(__xludf.DUMMYFUNCTION("IMPORTXML(E4296,""/html/body/main/div[3]/div[3]/div[2]/ul/li[5]/span[2]/span"")"),"Loading...")</f>
        <v>Loading...</v>
      </c>
      <c r="J4296" s="7" t="str">
        <f ca="1">IFERROR(__xludf.DUMMYFUNCTION("GOOGLEFINANCE(""NSE:""&amp;D4296,""marketcap"")"),"#N/A")</f>
        <v>#N/A</v>
      </c>
      <c r="K4296" s="7">
        <v>992.8</v>
      </c>
      <c r="L4296" s="8" t="str">
        <f ca="1">IFERROR(__xludf.DUMMYFUNCTION("GOOGLEFINANCE(""NSE:""&amp;D4296,""price"")"),"#N/A")</f>
        <v>#N/A</v>
      </c>
      <c r="M4296" s="9" t="e">
        <f t="shared" ca="1" si="87"/>
        <v>#VALUE!</v>
      </c>
      <c r="N4296" s="10" t="e">
        <f t="shared" ca="1" si="88"/>
        <v>#VALUE!</v>
      </c>
      <c r="O4296" s="7" t="str">
        <f ca="1">IFERROR(__xludf.DUMMYFUNCTION("GOOGLEFINANCE(""NSE:""&amp;D4296,""pe"")"),"#N/A")</f>
        <v>#N/A</v>
      </c>
      <c r="P4296" s="7" t="str">
        <f ca="1">IFERROR(__xludf.DUMMYFUNCTION("GOOGLEFINANCE(""NSE:""&amp;D4296,""EPS"")"),"#N/A")</f>
        <v>#N/A</v>
      </c>
      <c r="Q4296" s="7">
        <v>13.5</v>
      </c>
      <c r="R4296" s="7" t="str">
        <f ca="1">IFERROR(__xludf.DUMMYFUNCTION("IMPORTXML(E4296,""/html/body/main/div[3]/div[3]/div[2]/ul/li[7]/span[2]/span"")"),"Loading...")</f>
        <v>Loading...</v>
      </c>
      <c r="S4296" s="7" t="str">
        <f ca="1">IFERROR(__xludf.DUMMYFUNCTION("IMPORTXML(E4296,""/html/body/main/div[3]/div[3]/div[2]/ul/li[8]/span[2]/span"")"),"Loading...")</f>
        <v>Loading...</v>
      </c>
      <c r="T4296" s="4">
        <v>34.6</v>
      </c>
      <c r="U4296" s="4">
        <v>22.7</v>
      </c>
      <c r="V4296" s="4">
        <v>2.6</v>
      </c>
      <c r="W4296" s="4">
        <v>5.7</v>
      </c>
      <c r="X4296" s="4">
        <v>519.92999999999995</v>
      </c>
      <c r="Y4296" s="7" t="e">
        <f t="shared" ca="1" si="89"/>
        <v>#VALUE!</v>
      </c>
    </row>
    <row r="4297" spans="1:25" ht="15" x14ac:dyDescent="0.25">
      <c r="A4297" s="4">
        <v>4296</v>
      </c>
      <c r="C4297" s="41" t="s">
        <v>6670</v>
      </c>
      <c r="D4297" s="42"/>
      <c r="E4297" s="5" t="str">
        <f t="shared" si="85"/>
        <v>https://www.screener.in/company//consolidated/</v>
      </c>
      <c r="F4297" s="4">
        <v>443059</v>
      </c>
      <c r="G4297" s="4">
        <v>3832241897</v>
      </c>
      <c r="H4297" s="6" t="e">
        <f t="shared" ca="1" si="86"/>
        <v>#VALUE!</v>
      </c>
      <c r="I4297" s="7" t="str">
        <f ca="1">IFERROR(__xludf.DUMMYFUNCTION("IMPORTXML(E4297,""/html/body/main/div[3]/div[3]/div[2]/ul/li[5]/span[2]/span"")"),"Loading...")</f>
        <v>Loading...</v>
      </c>
      <c r="J4297" s="7" t="str">
        <f ca="1">IFERROR(__xludf.DUMMYFUNCTION("GOOGLEFINANCE(""NSE:""&amp;D4297,""marketcap"")"),"#N/A")</f>
        <v>#N/A</v>
      </c>
      <c r="K4297" s="7">
        <v>992.8</v>
      </c>
      <c r="L4297" s="8" t="str">
        <f ca="1">IFERROR(__xludf.DUMMYFUNCTION("GOOGLEFINANCE(""NSE:""&amp;D4297,""price"")"),"#N/A")</f>
        <v>#N/A</v>
      </c>
      <c r="M4297" s="9" t="e">
        <f t="shared" ca="1" si="87"/>
        <v>#VALUE!</v>
      </c>
      <c r="N4297" s="10" t="e">
        <f t="shared" ca="1" si="88"/>
        <v>#VALUE!</v>
      </c>
      <c r="O4297" s="7" t="str">
        <f ca="1">IFERROR(__xludf.DUMMYFUNCTION("GOOGLEFINANCE(""NSE:""&amp;D4297,""pe"")"),"#N/A")</f>
        <v>#N/A</v>
      </c>
      <c r="P4297" s="7" t="str">
        <f ca="1">IFERROR(__xludf.DUMMYFUNCTION("GOOGLEFINANCE(""NSE:""&amp;D4297,""EPS"")"),"#N/A")</f>
        <v>#N/A</v>
      </c>
      <c r="Q4297" s="7">
        <v>13.5</v>
      </c>
      <c r="R4297" s="7" t="str">
        <f ca="1">IFERROR(__xludf.DUMMYFUNCTION("IMPORTXML(E4297,""/html/body/main/div[3]/div[3]/div[2]/ul/li[7]/span[2]/span"")"),"Loading...")</f>
        <v>Loading...</v>
      </c>
      <c r="S4297" s="7" t="str">
        <f ca="1">IFERROR(__xludf.DUMMYFUNCTION("IMPORTXML(E4297,""/html/body/main/div[3]/div[3]/div[2]/ul/li[8]/span[2]/span"")"),"Loading...")</f>
        <v>Loading...</v>
      </c>
      <c r="T4297" s="4">
        <v>34.6</v>
      </c>
      <c r="U4297" s="4">
        <v>22.7</v>
      </c>
      <c r="V4297" s="4">
        <v>2.6</v>
      </c>
      <c r="W4297" s="4">
        <v>5.7</v>
      </c>
      <c r="X4297" s="4">
        <v>519.92999999999995</v>
      </c>
      <c r="Y4297" s="7" t="e">
        <f t="shared" ca="1" si="89"/>
        <v>#VALUE!</v>
      </c>
    </row>
    <row r="4298" spans="1:25" ht="15" x14ac:dyDescent="0.25">
      <c r="A4298" s="4">
        <v>4297</v>
      </c>
      <c r="C4298" s="41" t="s">
        <v>6671</v>
      </c>
      <c r="D4298" s="42"/>
      <c r="E4298" s="5" t="str">
        <f t="shared" si="85"/>
        <v>https://www.screener.in/company//consolidated/</v>
      </c>
      <c r="F4298" s="4">
        <v>443059</v>
      </c>
      <c r="G4298" s="4">
        <v>3832241897</v>
      </c>
      <c r="H4298" s="6" t="e">
        <f t="shared" ca="1" si="86"/>
        <v>#VALUE!</v>
      </c>
      <c r="I4298" s="7" t="str">
        <f ca="1">IFERROR(__xludf.DUMMYFUNCTION("IMPORTXML(E4298,""/html/body/main/div[3]/div[3]/div[2]/ul/li[5]/span[2]/span"")"),"Loading...")</f>
        <v>Loading...</v>
      </c>
      <c r="J4298" s="7" t="str">
        <f ca="1">IFERROR(__xludf.DUMMYFUNCTION("GOOGLEFINANCE(""NSE:""&amp;D4298,""marketcap"")"),"#N/A")</f>
        <v>#N/A</v>
      </c>
      <c r="K4298" s="7">
        <v>992.8</v>
      </c>
      <c r="L4298" s="8" t="str">
        <f ca="1">IFERROR(__xludf.DUMMYFUNCTION("GOOGLEFINANCE(""NSE:""&amp;D4298,""price"")"),"#N/A")</f>
        <v>#N/A</v>
      </c>
      <c r="M4298" s="9" t="e">
        <f t="shared" ca="1" si="87"/>
        <v>#VALUE!</v>
      </c>
      <c r="N4298" s="10" t="e">
        <f t="shared" ca="1" si="88"/>
        <v>#VALUE!</v>
      </c>
      <c r="O4298" s="7" t="str">
        <f ca="1">IFERROR(__xludf.DUMMYFUNCTION("GOOGLEFINANCE(""NSE:""&amp;D4298,""pe"")"),"#N/A")</f>
        <v>#N/A</v>
      </c>
      <c r="P4298" s="7" t="str">
        <f ca="1">IFERROR(__xludf.DUMMYFUNCTION("GOOGLEFINANCE(""NSE:""&amp;D4298,""EPS"")"),"#N/A")</f>
        <v>#N/A</v>
      </c>
      <c r="Q4298" s="7">
        <v>13.5</v>
      </c>
      <c r="R4298" s="7" t="str">
        <f ca="1">IFERROR(__xludf.DUMMYFUNCTION("IMPORTXML(E4298,""/html/body/main/div[3]/div[3]/div[2]/ul/li[7]/span[2]/span"")"),"Loading...")</f>
        <v>Loading...</v>
      </c>
      <c r="S4298" s="7" t="str">
        <f ca="1">IFERROR(__xludf.DUMMYFUNCTION("IMPORTXML(E4298,""/html/body/main/div[3]/div[3]/div[2]/ul/li[8]/span[2]/span"")"),"Loading...")</f>
        <v>Loading...</v>
      </c>
      <c r="T4298" s="4">
        <v>34.6</v>
      </c>
      <c r="U4298" s="4">
        <v>22.7</v>
      </c>
      <c r="V4298" s="4">
        <v>2.6</v>
      </c>
      <c r="W4298" s="4">
        <v>5.7</v>
      </c>
      <c r="X4298" s="4">
        <v>519.92999999999995</v>
      </c>
      <c r="Y4298" s="7" t="e">
        <f t="shared" ca="1" si="89"/>
        <v>#VALUE!</v>
      </c>
    </row>
    <row r="4299" spans="1:25" ht="15" x14ac:dyDescent="0.25">
      <c r="A4299" s="4">
        <v>4298</v>
      </c>
      <c r="C4299" s="41" t="s">
        <v>6672</v>
      </c>
      <c r="D4299" s="42"/>
      <c r="E4299" s="5" t="str">
        <f t="shared" si="85"/>
        <v>https://www.screener.in/company//consolidated/</v>
      </c>
      <c r="F4299" s="4">
        <v>443059</v>
      </c>
      <c r="G4299" s="4">
        <v>3832241897</v>
      </c>
      <c r="H4299" s="6" t="e">
        <f t="shared" ca="1" si="86"/>
        <v>#VALUE!</v>
      </c>
      <c r="I4299" s="7" t="str">
        <f ca="1">IFERROR(__xludf.DUMMYFUNCTION("IMPORTXML(E4299,""/html/body/main/div[3]/div[3]/div[2]/ul/li[5]/span[2]/span"")"),"Loading...")</f>
        <v>Loading...</v>
      </c>
      <c r="J4299" s="7" t="str">
        <f ca="1">IFERROR(__xludf.DUMMYFUNCTION("GOOGLEFINANCE(""NSE:""&amp;D4299,""marketcap"")"),"#N/A")</f>
        <v>#N/A</v>
      </c>
      <c r="K4299" s="7">
        <v>992.8</v>
      </c>
      <c r="L4299" s="8" t="str">
        <f ca="1">IFERROR(__xludf.DUMMYFUNCTION("GOOGLEFINANCE(""NSE:""&amp;D4299,""price"")"),"#N/A")</f>
        <v>#N/A</v>
      </c>
      <c r="M4299" s="9" t="e">
        <f t="shared" ca="1" si="87"/>
        <v>#VALUE!</v>
      </c>
      <c r="N4299" s="10" t="e">
        <f t="shared" ca="1" si="88"/>
        <v>#VALUE!</v>
      </c>
      <c r="O4299" s="7" t="str">
        <f ca="1">IFERROR(__xludf.DUMMYFUNCTION("GOOGLEFINANCE(""NSE:""&amp;D4299,""pe"")"),"#N/A")</f>
        <v>#N/A</v>
      </c>
      <c r="P4299" s="7" t="str">
        <f ca="1">IFERROR(__xludf.DUMMYFUNCTION("GOOGLEFINANCE(""NSE:""&amp;D4299,""EPS"")"),"#N/A")</f>
        <v>#N/A</v>
      </c>
      <c r="Q4299" s="7">
        <v>13.5</v>
      </c>
      <c r="R4299" s="7" t="str">
        <f ca="1">IFERROR(__xludf.DUMMYFUNCTION("IMPORTXML(E4299,""/html/body/main/div[3]/div[3]/div[2]/ul/li[7]/span[2]/span"")"),"Loading...")</f>
        <v>Loading...</v>
      </c>
      <c r="S4299" s="7" t="str">
        <f ca="1">IFERROR(__xludf.DUMMYFUNCTION("IMPORTXML(E4299,""/html/body/main/div[3]/div[3]/div[2]/ul/li[8]/span[2]/span"")"),"Loading...")</f>
        <v>Loading...</v>
      </c>
      <c r="T4299" s="4">
        <v>34.6</v>
      </c>
      <c r="U4299" s="4">
        <v>22.7</v>
      </c>
      <c r="V4299" s="4">
        <v>2.6</v>
      </c>
      <c r="W4299" s="4">
        <v>5.7</v>
      </c>
      <c r="X4299" s="4">
        <v>519.92999999999995</v>
      </c>
      <c r="Y4299" s="7" t="e">
        <f t="shared" ca="1" si="89"/>
        <v>#VALUE!</v>
      </c>
    </row>
    <row r="4300" spans="1:25" ht="15" x14ac:dyDescent="0.25">
      <c r="A4300" s="4">
        <v>4299</v>
      </c>
      <c r="C4300" s="41" t="s">
        <v>6673</v>
      </c>
      <c r="D4300" s="42"/>
      <c r="E4300" s="5" t="str">
        <f t="shared" si="85"/>
        <v>https://www.screener.in/company//consolidated/</v>
      </c>
      <c r="F4300" s="4">
        <v>443059</v>
      </c>
      <c r="G4300" s="4">
        <v>3832241897</v>
      </c>
      <c r="H4300" s="6" t="e">
        <f t="shared" ca="1" si="86"/>
        <v>#VALUE!</v>
      </c>
      <c r="I4300" s="7" t="str">
        <f ca="1">IFERROR(__xludf.DUMMYFUNCTION("IMPORTXML(E4300,""/html/body/main/div[3]/div[3]/div[2]/ul/li[5]/span[2]/span"")"),"Loading...")</f>
        <v>Loading...</v>
      </c>
      <c r="J4300" s="7" t="str">
        <f ca="1">IFERROR(__xludf.DUMMYFUNCTION("GOOGLEFINANCE(""NSE:""&amp;D4300,""marketcap"")"),"#N/A")</f>
        <v>#N/A</v>
      </c>
      <c r="K4300" s="7">
        <v>992.8</v>
      </c>
      <c r="L4300" s="8" t="str">
        <f ca="1">IFERROR(__xludf.DUMMYFUNCTION("GOOGLEFINANCE(""NSE:""&amp;D4300,""price"")"),"#N/A")</f>
        <v>#N/A</v>
      </c>
      <c r="M4300" s="9" t="e">
        <f t="shared" ca="1" si="87"/>
        <v>#VALUE!</v>
      </c>
      <c r="N4300" s="10" t="e">
        <f t="shared" ca="1" si="88"/>
        <v>#VALUE!</v>
      </c>
      <c r="O4300" s="7" t="str">
        <f ca="1">IFERROR(__xludf.DUMMYFUNCTION("GOOGLEFINANCE(""NSE:""&amp;D4300,""pe"")"),"#N/A")</f>
        <v>#N/A</v>
      </c>
      <c r="P4300" s="7" t="str">
        <f ca="1">IFERROR(__xludf.DUMMYFUNCTION("GOOGLEFINANCE(""NSE:""&amp;D4300,""EPS"")"),"#N/A")</f>
        <v>#N/A</v>
      </c>
      <c r="Q4300" s="7">
        <v>13.5</v>
      </c>
      <c r="R4300" s="7" t="str">
        <f ca="1">IFERROR(__xludf.DUMMYFUNCTION("IMPORTXML(E4300,""/html/body/main/div[3]/div[3]/div[2]/ul/li[7]/span[2]/span"")"),"Loading...")</f>
        <v>Loading...</v>
      </c>
      <c r="S4300" s="7" t="str">
        <f ca="1">IFERROR(__xludf.DUMMYFUNCTION("IMPORTXML(E4300,""/html/body/main/div[3]/div[3]/div[2]/ul/li[8]/span[2]/span"")"),"Loading...")</f>
        <v>Loading...</v>
      </c>
      <c r="T4300" s="4">
        <v>34.6</v>
      </c>
      <c r="U4300" s="4">
        <v>22.7</v>
      </c>
      <c r="V4300" s="4">
        <v>2.6</v>
      </c>
      <c r="W4300" s="4">
        <v>5.7</v>
      </c>
      <c r="X4300" s="4">
        <v>519.92999999999995</v>
      </c>
      <c r="Y4300" s="7" t="e">
        <f t="shared" ca="1" si="89"/>
        <v>#VALUE!</v>
      </c>
    </row>
    <row r="4301" spans="1:25" ht="15" x14ac:dyDescent="0.25">
      <c r="A4301" s="4">
        <v>4300</v>
      </c>
      <c r="C4301" s="41" t="s">
        <v>6674</v>
      </c>
      <c r="D4301" s="42"/>
      <c r="E4301" s="5" t="str">
        <f t="shared" si="85"/>
        <v>https://www.screener.in/company//consolidated/</v>
      </c>
      <c r="F4301" s="4">
        <v>443059</v>
      </c>
      <c r="G4301" s="4">
        <v>3832241897</v>
      </c>
      <c r="H4301" s="6" t="e">
        <f t="shared" ca="1" si="86"/>
        <v>#VALUE!</v>
      </c>
      <c r="I4301" s="7" t="str">
        <f ca="1">IFERROR(__xludf.DUMMYFUNCTION("IMPORTXML(E4301,""/html/body/main/div[3]/div[3]/div[2]/ul/li[5]/span[2]/span"")"),"Loading...")</f>
        <v>Loading...</v>
      </c>
      <c r="J4301" s="7" t="str">
        <f ca="1">IFERROR(__xludf.DUMMYFUNCTION("GOOGLEFINANCE(""NSE:""&amp;D4301,""marketcap"")"),"#N/A")</f>
        <v>#N/A</v>
      </c>
      <c r="K4301" s="7">
        <v>992.8</v>
      </c>
      <c r="L4301" s="8" t="str">
        <f ca="1">IFERROR(__xludf.DUMMYFUNCTION("GOOGLEFINANCE(""NSE:""&amp;D4301,""price"")"),"#N/A")</f>
        <v>#N/A</v>
      </c>
      <c r="M4301" s="9" t="e">
        <f t="shared" ca="1" si="87"/>
        <v>#VALUE!</v>
      </c>
      <c r="N4301" s="10" t="e">
        <f t="shared" ca="1" si="88"/>
        <v>#VALUE!</v>
      </c>
      <c r="O4301" s="7" t="str">
        <f ca="1">IFERROR(__xludf.DUMMYFUNCTION("GOOGLEFINANCE(""NSE:""&amp;D4301,""pe"")"),"#N/A")</f>
        <v>#N/A</v>
      </c>
      <c r="P4301" s="7" t="str">
        <f ca="1">IFERROR(__xludf.DUMMYFUNCTION("GOOGLEFINANCE(""NSE:""&amp;D4301,""EPS"")"),"#N/A")</f>
        <v>#N/A</v>
      </c>
      <c r="Q4301" s="7">
        <v>13.5</v>
      </c>
      <c r="R4301" s="7" t="str">
        <f ca="1">IFERROR(__xludf.DUMMYFUNCTION("IMPORTXML(E4301,""/html/body/main/div[3]/div[3]/div[2]/ul/li[7]/span[2]/span"")"),"Loading...")</f>
        <v>Loading...</v>
      </c>
      <c r="S4301" s="7" t="str">
        <f ca="1">IFERROR(__xludf.DUMMYFUNCTION("IMPORTXML(E4301,""/html/body/main/div[3]/div[3]/div[2]/ul/li[8]/span[2]/span"")"),"Loading...")</f>
        <v>Loading...</v>
      </c>
      <c r="T4301" s="4">
        <v>34.6</v>
      </c>
      <c r="U4301" s="4">
        <v>22.7</v>
      </c>
      <c r="V4301" s="4">
        <v>2.6</v>
      </c>
      <c r="W4301" s="4">
        <v>5.7</v>
      </c>
      <c r="X4301" s="4">
        <v>519.92999999999995</v>
      </c>
      <c r="Y4301" s="7" t="e">
        <f t="shared" ca="1" si="89"/>
        <v>#VALUE!</v>
      </c>
    </row>
    <row r="4302" spans="1:25" ht="15" x14ac:dyDescent="0.25">
      <c r="A4302" s="4">
        <v>4301</v>
      </c>
      <c r="C4302" s="41" t="s">
        <v>6675</v>
      </c>
      <c r="D4302" s="42"/>
      <c r="E4302" s="5" t="str">
        <f t="shared" si="85"/>
        <v>https://www.screener.in/company//consolidated/</v>
      </c>
      <c r="F4302" s="4">
        <v>443059</v>
      </c>
      <c r="G4302" s="4">
        <v>3832241897</v>
      </c>
      <c r="H4302" s="6" t="e">
        <f t="shared" ca="1" si="86"/>
        <v>#VALUE!</v>
      </c>
      <c r="I4302" s="7" t="str">
        <f ca="1">IFERROR(__xludf.DUMMYFUNCTION("IMPORTXML(E4302,""/html/body/main/div[3]/div[3]/div[2]/ul/li[5]/span[2]/span"")"),"Loading...")</f>
        <v>Loading...</v>
      </c>
      <c r="J4302" s="7" t="str">
        <f ca="1">IFERROR(__xludf.DUMMYFUNCTION("GOOGLEFINANCE(""NSE:""&amp;D4302,""marketcap"")"),"#N/A")</f>
        <v>#N/A</v>
      </c>
      <c r="K4302" s="7">
        <v>992.8</v>
      </c>
      <c r="L4302" s="8" t="str">
        <f ca="1">IFERROR(__xludf.DUMMYFUNCTION("GOOGLEFINANCE(""NSE:""&amp;D4302,""price"")"),"#N/A")</f>
        <v>#N/A</v>
      </c>
      <c r="M4302" s="9" t="e">
        <f t="shared" ca="1" si="87"/>
        <v>#VALUE!</v>
      </c>
      <c r="N4302" s="10" t="e">
        <f t="shared" ca="1" si="88"/>
        <v>#VALUE!</v>
      </c>
      <c r="O4302" s="7" t="str">
        <f ca="1">IFERROR(__xludf.DUMMYFUNCTION("GOOGLEFINANCE(""NSE:""&amp;D4302,""pe"")"),"#N/A")</f>
        <v>#N/A</v>
      </c>
      <c r="P4302" s="7" t="str">
        <f ca="1">IFERROR(__xludf.DUMMYFUNCTION("GOOGLEFINANCE(""NSE:""&amp;D4302,""EPS"")"),"#N/A")</f>
        <v>#N/A</v>
      </c>
      <c r="Q4302" s="7">
        <v>13.5</v>
      </c>
      <c r="R4302" s="7" t="str">
        <f ca="1">IFERROR(__xludf.DUMMYFUNCTION("IMPORTXML(E4302,""/html/body/main/div[3]/div[3]/div[2]/ul/li[7]/span[2]/span"")"),"Loading...")</f>
        <v>Loading...</v>
      </c>
      <c r="S4302" s="7" t="str">
        <f ca="1">IFERROR(__xludf.DUMMYFUNCTION("IMPORTXML(E4302,""/html/body/main/div[3]/div[3]/div[2]/ul/li[8]/span[2]/span"")"),"Loading...")</f>
        <v>Loading...</v>
      </c>
      <c r="T4302" s="4">
        <v>34.6</v>
      </c>
      <c r="U4302" s="4">
        <v>22.7</v>
      </c>
      <c r="V4302" s="4">
        <v>2.6</v>
      </c>
      <c r="W4302" s="4">
        <v>5.7</v>
      </c>
      <c r="X4302" s="4">
        <v>519.92999999999995</v>
      </c>
      <c r="Y4302" s="7" t="e">
        <f t="shared" ca="1" si="89"/>
        <v>#VALUE!</v>
      </c>
    </row>
    <row r="4303" spans="1:25" ht="15" x14ac:dyDescent="0.25">
      <c r="A4303" s="4">
        <v>4302</v>
      </c>
      <c r="C4303" s="41" t="s">
        <v>6676</v>
      </c>
      <c r="D4303" s="42"/>
      <c r="E4303" s="5" t="str">
        <f t="shared" si="85"/>
        <v>https://www.screener.in/company//consolidated/</v>
      </c>
      <c r="F4303" s="4">
        <v>443059</v>
      </c>
      <c r="G4303" s="4">
        <v>3832241897</v>
      </c>
      <c r="H4303" s="6" t="e">
        <f t="shared" ca="1" si="86"/>
        <v>#VALUE!</v>
      </c>
      <c r="I4303" s="7" t="str">
        <f ca="1">IFERROR(__xludf.DUMMYFUNCTION("IMPORTXML(E4303,""/html/body/main/div[3]/div[3]/div[2]/ul/li[5]/span[2]/span"")"),"Loading...")</f>
        <v>Loading...</v>
      </c>
      <c r="J4303" s="7" t="str">
        <f ca="1">IFERROR(__xludf.DUMMYFUNCTION("GOOGLEFINANCE(""NSE:""&amp;D4303,""marketcap"")"),"#N/A")</f>
        <v>#N/A</v>
      </c>
      <c r="K4303" s="7">
        <v>992.8</v>
      </c>
      <c r="L4303" s="8" t="str">
        <f ca="1">IFERROR(__xludf.DUMMYFUNCTION("GOOGLEFINANCE(""NSE:""&amp;D4303,""price"")"),"#N/A")</f>
        <v>#N/A</v>
      </c>
      <c r="M4303" s="9" t="e">
        <f t="shared" ca="1" si="87"/>
        <v>#VALUE!</v>
      </c>
      <c r="N4303" s="10" t="e">
        <f t="shared" ca="1" si="88"/>
        <v>#VALUE!</v>
      </c>
      <c r="O4303" s="7" t="str">
        <f ca="1">IFERROR(__xludf.DUMMYFUNCTION("GOOGLEFINANCE(""NSE:""&amp;D4303,""pe"")"),"#N/A")</f>
        <v>#N/A</v>
      </c>
      <c r="P4303" s="7" t="str">
        <f ca="1">IFERROR(__xludf.DUMMYFUNCTION("GOOGLEFINANCE(""NSE:""&amp;D4303,""EPS"")"),"#N/A")</f>
        <v>#N/A</v>
      </c>
      <c r="Q4303" s="7">
        <v>13.5</v>
      </c>
      <c r="R4303" s="7" t="str">
        <f ca="1">IFERROR(__xludf.DUMMYFUNCTION("IMPORTXML(E4303,""/html/body/main/div[3]/div[3]/div[2]/ul/li[7]/span[2]/span"")"),"Loading...")</f>
        <v>Loading...</v>
      </c>
      <c r="S4303" s="7" t="str">
        <f ca="1">IFERROR(__xludf.DUMMYFUNCTION("IMPORTXML(E4303,""/html/body/main/div[3]/div[3]/div[2]/ul/li[8]/span[2]/span"")"),"Loading...")</f>
        <v>Loading...</v>
      </c>
      <c r="T4303" s="4">
        <v>34.6</v>
      </c>
      <c r="U4303" s="4">
        <v>22.7</v>
      </c>
      <c r="V4303" s="4">
        <v>2.6</v>
      </c>
      <c r="W4303" s="4">
        <v>5.7</v>
      </c>
      <c r="X4303" s="4">
        <v>519.92999999999995</v>
      </c>
      <c r="Y4303" s="7" t="e">
        <f t="shared" ca="1" si="89"/>
        <v>#VALUE!</v>
      </c>
    </row>
    <row r="4304" spans="1:25" ht="15" x14ac:dyDescent="0.25">
      <c r="A4304" s="4">
        <v>4303</v>
      </c>
      <c r="C4304" s="41" t="s">
        <v>6677</v>
      </c>
      <c r="D4304" s="42"/>
      <c r="E4304" s="5" t="str">
        <f t="shared" si="85"/>
        <v>https://www.screener.in/company//consolidated/</v>
      </c>
      <c r="F4304" s="4">
        <v>443059</v>
      </c>
      <c r="G4304" s="4">
        <v>3832241897</v>
      </c>
      <c r="H4304" s="6" t="e">
        <f t="shared" ca="1" si="86"/>
        <v>#VALUE!</v>
      </c>
      <c r="I4304" s="7" t="str">
        <f ca="1">IFERROR(__xludf.DUMMYFUNCTION("IMPORTXML(E4304,""/html/body/main/div[3]/div[3]/div[2]/ul/li[5]/span[2]/span"")"),"Loading...")</f>
        <v>Loading...</v>
      </c>
      <c r="J4304" s="7" t="str">
        <f ca="1">IFERROR(__xludf.DUMMYFUNCTION("GOOGLEFINANCE(""NSE:""&amp;D4304,""marketcap"")"),"#N/A")</f>
        <v>#N/A</v>
      </c>
      <c r="K4304" s="7">
        <v>992.8</v>
      </c>
      <c r="L4304" s="8" t="str">
        <f ca="1">IFERROR(__xludf.DUMMYFUNCTION("GOOGLEFINANCE(""NSE:""&amp;D4304,""price"")"),"#N/A")</f>
        <v>#N/A</v>
      </c>
      <c r="M4304" s="9" t="e">
        <f t="shared" ca="1" si="87"/>
        <v>#VALUE!</v>
      </c>
      <c r="N4304" s="10" t="e">
        <f t="shared" ca="1" si="88"/>
        <v>#VALUE!</v>
      </c>
      <c r="O4304" s="7" t="str">
        <f ca="1">IFERROR(__xludf.DUMMYFUNCTION("GOOGLEFINANCE(""NSE:""&amp;D4304,""pe"")"),"#N/A")</f>
        <v>#N/A</v>
      </c>
      <c r="P4304" s="7" t="str">
        <f ca="1">IFERROR(__xludf.DUMMYFUNCTION("GOOGLEFINANCE(""NSE:""&amp;D4304,""EPS"")"),"#N/A")</f>
        <v>#N/A</v>
      </c>
      <c r="Q4304" s="7">
        <v>13.5</v>
      </c>
      <c r="R4304" s="7" t="str">
        <f ca="1">IFERROR(__xludf.DUMMYFUNCTION("IMPORTXML(E4304,""/html/body/main/div[3]/div[3]/div[2]/ul/li[7]/span[2]/span"")"),"Loading...")</f>
        <v>Loading...</v>
      </c>
      <c r="S4304" s="7" t="str">
        <f ca="1">IFERROR(__xludf.DUMMYFUNCTION("IMPORTXML(E4304,""/html/body/main/div[3]/div[3]/div[2]/ul/li[8]/span[2]/span"")"),"Loading...")</f>
        <v>Loading...</v>
      </c>
      <c r="T4304" s="4">
        <v>34.6</v>
      </c>
      <c r="U4304" s="4">
        <v>22.7</v>
      </c>
      <c r="V4304" s="4">
        <v>2.6</v>
      </c>
      <c r="W4304" s="4">
        <v>5.7</v>
      </c>
      <c r="X4304" s="4">
        <v>519.92999999999995</v>
      </c>
      <c r="Y4304" s="7" t="e">
        <f t="shared" ca="1" si="89"/>
        <v>#VALUE!</v>
      </c>
    </row>
    <row r="4305" spans="1:25" ht="15" x14ac:dyDescent="0.25">
      <c r="A4305" s="4">
        <v>4304</v>
      </c>
      <c r="C4305" s="41" t="s">
        <v>6678</v>
      </c>
      <c r="D4305" s="42"/>
      <c r="E4305" s="5" t="str">
        <f t="shared" si="85"/>
        <v>https://www.screener.in/company//consolidated/</v>
      </c>
      <c r="F4305" s="4">
        <v>443059</v>
      </c>
      <c r="G4305" s="4">
        <v>3832241897</v>
      </c>
      <c r="H4305" s="6" t="e">
        <f t="shared" ca="1" si="86"/>
        <v>#VALUE!</v>
      </c>
      <c r="I4305" s="7" t="str">
        <f ca="1">IFERROR(__xludf.DUMMYFUNCTION("IMPORTXML(E4305,""/html/body/main/div[3]/div[3]/div[2]/ul/li[5]/span[2]/span"")"),"Loading...")</f>
        <v>Loading...</v>
      </c>
      <c r="J4305" s="7" t="str">
        <f ca="1">IFERROR(__xludf.DUMMYFUNCTION("GOOGLEFINANCE(""NSE:""&amp;D4305,""marketcap"")"),"#N/A")</f>
        <v>#N/A</v>
      </c>
      <c r="K4305" s="7">
        <v>992.8</v>
      </c>
      <c r="L4305" s="8" t="str">
        <f ca="1">IFERROR(__xludf.DUMMYFUNCTION("GOOGLEFINANCE(""NSE:""&amp;D4305,""price"")"),"#N/A")</f>
        <v>#N/A</v>
      </c>
      <c r="M4305" s="9" t="e">
        <f t="shared" ca="1" si="87"/>
        <v>#VALUE!</v>
      </c>
      <c r="N4305" s="10" t="e">
        <f t="shared" ca="1" si="88"/>
        <v>#VALUE!</v>
      </c>
      <c r="O4305" s="7" t="str">
        <f ca="1">IFERROR(__xludf.DUMMYFUNCTION("GOOGLEFINANCE(""NSE:""&amp;D4305,""pe"")"),"#N/A")</f>
        <v>#N/A</v>
      </c>
      <c r="P4305" s="7" t="str">
        <f ca="1">IFERROR(__xludf.DUMMYFUNCTION("GOOGLEFINANCE(""NSE:""&amp;D4305,""EPS"")"),"#N/A")</f>
        <v>#N/A</v>
      </c>
      <c r="Q4305" s="7">
        <v>13.5</v>
      </c>
      <c r="R4305" s="7" t="str">
        <f ca="1">IFERROR(__xludf.DUMMYFUNCTION("IMPORTXML(E4305,""/html/body/main/div[3]/div[3]/div[2]/ul/li[7]/span[2]/span"")"),"Loading...")</f>
        <v>Loading...</v>
      </c>
      <c r="S4305" s="7" t="str">
        <f ca="1">IFERROR(__xludf.DUMMYFUNCTION("IMPORTXML(E4305,""/html/body/main/div[3]/div[3]/div[2]/ul/li[8]/span[2]/span"")"),"Loading...")</f>
        <v>Loading...</v>
      </c>
      <c r="T4305" s="4">
        <v>34.6</v>
      </c>
      <c r="U4305" s="4">
        <v>22.7</v>
      </c>
      <c r="V4305" s="4">
        <v>2.6</v>
      </c>
      <c r="W4305" s="4">
        <v>5.7</v>
      </c>
      <c r="X4305" s="4">
        <v>519.92999999999995</v>
      </c>
      <c r="Y4305" s="7" t="e">
        <f t="shared" ca="1" si="89"/>
        <v>#VALUE!</v>
      </c>
    </row>
    <row r="4306" spans="1:25" ht="15" x14ac:dyDescent="0.25">
      <c r="A4306" s="4">
        <v>4305</v>
      </c>
      <c r="C4306" s="41" t="s">
        <v>6679</v>
      </c>
      <c r="D4306" s="42"/>
      <c r="E4306" s="5" t="str">
        <f t="shared" si="85"/>
        <v>https://www.screener.in/company//consolidated/</v>
      </c>
      <c r="F4306" s="4">
        <v>443059</v>
      </c>
      <c r="G4306" s="4">
        <v>3832241897</v>
      </c>
      <c r="H4306" s="6" t="e">
        <f t="shared" ca="1" si="86"/>
        <v>#VALUE!</v>
      </c>
      <c r="I4306" s="7" t="str">
        <f ca="1">IFERROR(__xludf.DUMMYFUNCTION("IMPORTXML(E4306,""/html/body/main/div[3]/div[3]/div[2]/ul/li[5]/span[2]/span"")"),"Loading...")</f>
        <v>Loading...</v>
      </c>
      <c r="J4306" s="7" t="str">
        <f ca="1">IFERROR(__xludf.DUMMYFUNCTION("GOOGLEFINANCE(""NSE:""&amp;D4306,""marketcap"")"),"#N/A")</f>
        <v>#N/A</v>
      </c>
      <c r="K4306" s="7">
        <v>992.8</v>
      </c>
      <c r="L4306" s="8" t="str">
        <f ca="1">IFERROR(__xludf.DUMMYFUNCTION("GOOGLEFINANCE(""NSE:""&amp;D4306,""price"")"),"#N/A")</f>
        <v>#N/A</v>
      </c>
      <c r="M4306" s="9" t="e">
        <f t="shared" ca="1" si="87"/>
        <v>#VALUE!</v>
      </c>
      <c r="N4306" s="10" t="e">
        <f t="shared" ca="1" si="88"/>
        <v>#VALUE!</v>
      </c>
      <c r="O4306" s="7" t="str">
        <f ca="1">IFERROR(__xludf.DUMMYFUNCTION("GOOGLEFINANCE(""NSE:""&amp;D4306,""pe"")"),"#N/A")</f>
        <v>#N/A</v>
      </c>
      <c r="P4306" s="7" t="str">
        <f ca="1">IFERROR(__xludf.DUMMYFUNCTION("GOOGLEFINANCE(""NSE:""&amp;D4306,""EPS"")"),"#N/A")</f>
        <v>#N/A</v>
      </c>
      <c r="Q4306" s="7">
        <v>13.5</v>
      </c>
      <c r="R4306" s="7" t="str">
        <f ca="1">IFERROR(__xludf.DUMMYFUNCTION("IMPORTXML(E4306,""/html/body/main/div[3]/div[3]/div[2]/ul/li[7]/span[2]/span"")"),"Loading...")</f>
        <v>Loading...</v>
      </c>
      <c r="S4306" s="7" t="str">
        <f ca="1">IFERROR(__xludf.DUMMYFUNCTION("IMPORTXML(E4306,""/html/body/main/div[3]/div[3]/div[2]/ul/li[8]/span[2]/span"")"),"Loading...")</f>
        <v>Loading...</v>
      </c>
      <c r="T4306" s="4">
        <v>34.6</v>
      </c>
      <c r="U4306" s="4">
        <v>22.7</v>
      </c>
      <c r="V4306" s="4">
        <v>2.6</v>
      </c>
      <c r="W4306" s="4">
        <v>5.7</v>
      </c>
      <c r="X4306" s="4">
        <v>519.92999999999995</v>
      </c>
      <c r="Y4306" s="7" t="e">
        <f t="shared" ca="1" si="89"/>
        <v>#VALUE!</v>
      </c>
    </row>
    <row r="4307" spans="1:25" ht="15" x14ac:dyDescent="0.25">
      <c r="A4307" s="4">
        <v>4306</v>
      </c>
      <c r="C4307" s="41" t="s">
        <v>6680</v>
      </c>
      <c r="D4307" s="42"/>
      <c r="E4307" s="5" t="str">
        <f t="shared" si="85"/>
        <v>https://www.screener.in/company//consolidated/</v>
      </c>
      <c r="F4307" s="4">
        <v>443059</v>
      </c>
      <c r="G4307" s="4">
        <v>3832241897</v>
      </c>
      <c r="H4307" s="6" t="e">
        <f t="shared" ca="1" si="86"/>
        <v>#VALUE!</v>
      </c>
      <c r="I4307" s="7" t="str">
        <f ca="1">IFERROR(__xludf.DUMMYFUNCTION("IMPORTXML(E4307,""/html/body/main/div[3]/div[3]/div[2]/ul/li[5]/span[2]/span"")"),"Loading...")</f>
        <v>Loading...</v>
      </c>
      <c r="J4307" s="7" t="str">
        <f ca="1">IFERROR(__xludf.DUMMYFUNCTION("GOOGLEFINANCE(""NSE:""&amp;D4307,""marketcap"")"),"#N/A")</f>
        <v>#N/A</v>
      </c>
      <c r="K4307" s="7">
        <v>992.8</v>
      </c>
      <c r="L4307" s="8" t="str">
        <f ca="1">IFERROR(__xludf.DUMMYFUNCTION("GOOGLEFINANCE(""NSE:""&amp;D4307,""price"")"),"#N/A")</f>
        <v>#N/A</v>
      </c>
      <c r="M4307" s="9" t="e">
        <f t="shared" ca="1" si="87"/>
        <v>#VALUE!</v>
      </c>
      <c r="N4307" s="10" t="e">
        <f t="shared" ca="1" si="88"/>
        <v>#VALUE!</v>
      </c>
      <c r="O4307" s="7" t="str">
        <f ca="1">IFERROR(__xludf.DUMMYFUNCTION("GOOGLEFINANCE(""NSE:""&amp;D4307,""pe"")"),"#N/A")</f>
        <v>#N/A</v>
      </c>
      <c r="P4307" s="7" t="str">
        <f ca="1">IFERROR(__xludf.DUMMYFUNCTION("GOOGLEFINANCE(""NSE:""&amp;D4307,""EPS"")"),"#N/A")</f>
        <v>#N/A</v>
      </c>
      <c r="Q4307" s="7">
        <v>13.5</v>
      </c>
      <c r="R4307" s="7" t="str">
        <f ca="1">IFERROR(__xludf.DUMMYFUNCTION("IMPORTXML(E4307,""/html/body/main/div[3]/div[3]/div[2]/ul/li[7]/span[2]/span"")"),"Loading...")</f>
        <v>Loading...</v>
      </c>
      <c r="S4307" s="7" t="str">
        <f ca="1">IFERROR(__xludf.DUMMYFUNCTION("IMPORTXML(E4307,""/html/body/main/div[3]/div[3]/div[2]/ul/li[8]/span[2]/span"")"),"Loading...")</f>
        <v>Loading...</v>
      </c>
      <c r="T4307" s="4">
        <v>34.6</v>
      </c>
      <c r="U4307" s="4">
        <v>22.7</v>
      </c>
      <c r="V4307" s="4">
        <v>2.6</v>
      </c>
      <c r="W4307" s="4">
        <v>5.7</v>
      </c>
      <c r="X4307" s="4">
        <v>519.92999999999995</v>
      </c>
      <c r="Y4307" s="7" t="e">
        <f t="shared" ca="1" si="89"/>
        <v>#VALUE!</v>
      </c>
    </row>
    <row r="4308" spans="1:25" ht="15" x14ac:dyDescent="0.25">
      <c r="A4308" s="4">
        <v>4307</v>
      </c>
      <c r="C4308" s="41" t="s">
        <v>6681</v>
      </c>
      <c r="D4308" s="42"/>
      <c r="E4308" s="5" t="str">
        <f t="shared" si="85"/>
        <v>https://www.screener.in/company//consolidated/</v>
      </c>
      <c r="F4308" s="4">
        <v>443059</v>
      </c>
      <c r="G4308" s="4">
        <v>3832241897</v>
      </c>
      <c r="H4308" s="6" t="e">
        <f t="shared" ca="1" si="86"/>
        <v>#VALUE!</v>
      </c>
      <c r="I4308" s="7" t="str">
        <f ca="1">IFERROR(__xludf.DUMMYFUNCTION("IMPORTXML(E4308,""/html/body/main/div[3]/div[3]/div[2]/ul/li[5]/span[2]/span"")"),"Loading...")</f>
        <v>Loading...</v>
      </c>
      <c r="J4308" s="7" t="str">
        <f ca="1">IFERROR(__xludf.DUMMYFUNCTION("GOOGLEFINANCE(""NSE:""&amp;D4308,""marketcap"")"),"#N/A")</f>
        <v>#N/A</v>
      </c>
      <c r="K4308" s="7">
        <v>992.8</v>
      </c>
      <c r="L4308" s="8" t="str">
        <f ca="1">IFERROR(__xludf.DUMMYFUNCTION("GOOGLEFINANCE(""NSE:""&amp;D4308,""price"")"),"#N/A")</f>
        <v>#N/A</v>
      </c>
      <c r="M4308" s="9" t="e">
        <f t="shared" ca="1" si="87"/>
        <v>#VALUE!</v>
      </c>
      <c r="N4308" s="10" t="e">
        <f t="shared" ca="1" si="88"/>
        <v>#VALUE!</v>
      </c>
      <c r="O4308" s="7" t="str">
        <f ca="1">IFERROR(__xludf.DUMMYFUNCTION("GOOGLEFINANCE(""NSE:""&amp;D4308,""pe"")"),"#N/A")</f>
        <v>#N/A</v>
      </c>
      <c r="P4308" s="7" t="str">
        <f ca="1">IFERROR(__xludf.DUMMYFUNCTION("GOOGLEFINANCE(""NSE:""&amp;D4308,""EPS"")"),"#N/A")</f>
        <v>#N/A</v>
      </c>
      <c r="Q4308" s="7">
        <v>13.5</v>
      </c>
      <c r="R4308" s="7" t="str">
        <f ca="1">IFERROR(__xludf.DUMMYFUNCTION("IMPORTXML(E4308,""/html/body/main/div[3]/div[3]/div[2]/ul/li[7]/span[2]/span"")"),"Loading...")</f>
        <v>Loading...</v>
      </c>
      <c r="S4308" s="7" t="str">
        <f ca="1">IFERROR(__xludf.DUMMYFUNCTION("IMPORTXML(E4308,""/html/body/main/div[3]/div[3]/div[2]/ul/li[8]/span[2]/span"")"),"Loading...")</f>
        <v>Loading...</v>
      </c>
      <c r="T4308" s="4">
        <v>34.6</v>
      </c>
      <c r="U4308" s="4">
        <v>22.7</v>
      </c>
      <c r="V4308" s="4">
        <v>2.6</v>
      </c>
      <c r="W4308" s="4">
        <v>5.7</v>
      </c>
      <c r="X4308" s="4">
        <v>519.92999999999995</v>
      </c>
      <c r="Y4308" s="7" t="e">
        <f t="shared" ca="1" si="89"/>
        <v>#VALUE!</v>
      </c>
    </row>
    <row r="4309" spans="1:25" ht="15" x14ac:dyDescent="0.25">
      <c r="A4309" s="4">
        <v>4308</v>
      </c>
      <c r="C4309" s="41" t="s">
        <v>6682</v>
      </c>
      <c r="D4309" s="42"/>
      <c r="E4309" s="5" t="str">
        <f t="shared" si="85"/>
        <v>https://www.screener.in/company//consolidated/</v>
      </c>
      <c r="F4309" s="4">
        <v>443059</v>
      </c>
      <c r="G4309" s="4">
        <v>3832241897</v>
      </c>
      <c r="H4309" s="6" t="e">
        <f t="shared" ca="1" si="86"/>
        <v>#VALUE!</v>
      </c>
      <c r="I4309" s="7" t="str">
        <f ca="1">IFERROR(__xludf.DUMMYFUNCTION("IMPORTXML(E4309,""/html/body/main/div[3]/div[3]/div[2]/ul/li[5]/span[2]/span"")"),"Loading...")</f>
        <v>Loading...</v>
      </c>
      <c r="J4309" s="7" t="str">
        <f ca="1">IFERROR(__xludf.DUMMYFUNCTION("GOOGLEFINANCE(""NSE:""&amp;D4309,""marketcap"")"),"#N/A")</f>
        <v>#N/A</v>
      </c>
      <c r="K4309" s="7">
        <v>992.8</v>
      </c>
      <c r="L4309" s="8" t="str">
        <f ca="1">IFERROR(__xludf.DUMMYFUNCTION("GOOGLEFINANCE(""NSE:""&amp;D4309,""price"")"),"#N/A")</f>
        <v>#N/A</v>
      </c>
      <c r="M4309" s="9" t="e">
        <f t="shared" ca="1" si="87"/>
        <v>#VALUE!</v>
      </c>
      <c r="N4309" s="10" t="e">
        <f t="shared" ca="1" si="88"/>
        <v>#VALUE!</v>
      </c>
      <c r="O4309" s="7" t="str">
        <f ca="1">IFERROR(__xludf.DUMMYFUNCTION("GOOGLEFINANCE(""NSE:""&amp;D4309,""pe"")"),"#N/A")</f>
        <v>#N/A</v>
      </c>
      <c r="P4309" s="7" t="str">
        <f ca="1">IFERROR(__xludf.DUMMYFUNCTION("GOOGLEFINANCE(""NSE:""&amp;D4309,""EPS"")"),"#N/A")</f>
        <v>#N/A</v>
      </c>
      <c r="Q4309" s="7">
        <v>13.5</v>
      </c>
      <c r="R4309" s="7" t="str">
        <f ca="1">IFERROR(__xludf.DUMMYFUNCTION("IMPORTXML(E4309,""/html/body/main/div[3]/div[3]/div[2]/ul/li[7]/span[2]/span"")"),"Loading...")</f>
        <v>Loading...</v>
      </c>
      <c r="S4309" s="7" t="str">
        <f ca="1">IFERROR(__xludf.DUMMYFUNCTION("IMPORTXML(E4309,""/html/body/main/div[3]/div[3]/div[2]/ul/li[8]/span[2]/span"")"),"Loading...")</f>
        <v>Loading...</v>
      </c>
      <c r="T4309" s="4">
        <v>34.6</v>
      </c>
      <c r="U4309" s="4">
        <v>22.7</v>
      </c>
      <c r="V4309" s="4">
        <v>2.6</v>
      </c>
      <c r="W4309" s="4">
        <v>5.7</v>
      </c>
      <c r="X4309" s="4">
        <v>519.92999999999995</v>
      </c>
      <c r="Y4309" s="7" t="e">
        <f t="shared" ca="1" si="89"/>
        <v>#VALUE!</v>
      </c>
    </row>
    <row r="4310" spans="1:25" ht="15" x14ac:dyDescent="0.25">
      <c r="A4310" s="4">
        <v>4309</v>
      </c>
      <c r="C4310" s="41" t="s">
        <v>6683</v>
      </c>
      <c r="D4310" s="42"/>
      <c r="E4310" s="5" t="str">
        <f t="shared" si="85"/>
        <v>https://www.screener.in/company//consolidated/</v>
      </c>
      <c r="F4310" s="4">
        <v>443059</v>
      </c>
      <c r="G4310" s="4">
        <v>3832241897</v>
      </c>
      <c r="H4310" s="6" t="e">
        <f t="shared" ca="1" si="86"/>
        <v>#VALUE!</v>
      </c>
      <c r="I4310" s="7" t="str">
        <f ca="1">IFERROR(__xludf.DUMMYFUNCTION("IMPORTXML(E4310,""/html/body/main/div[3]/div[3]/div[2]/ul/li[5]/span[2]/span"")"),"Loading...")</f>
        <v>Loading...</v>
      </c>
      <c r="J4310" s="7" t="str">
        <f ca="1">IFERROR(__xludf.DUMMYFUNCTION("GOOGLEFINANCE(""NSE:""&amp;D4310,""marketcap"")"),"#N/A")</f>
        <v>#N/A</v>
      </c>
      <c r="K4310" s="7">
        <v>992.8</v>
      </c>
      <c r="L4310" s="8" t="str">
        <f ca="1">IFERROR(__xludf.DUMMYFUNCTION("GOOGLEFINANCE(""NSE:""&amp;D4310,""price"")"),"#N/A")</f>
        <v>#N/A</v>
      </c>
      <c r="M4310" s="9" t="e">
        <f t="shared" ca="1" si="87"/>
        <v>#VALUE!</v>
      </c>
      <c r="N4310" s="10" t="e">
        <f t="shared" ca="1" si="88"/>
        <v>#VALUE!</v>
      </c>
      <c r="O4310" s="7" t="str">
        <f ca="1">IFERROR(__xludf.DUMMYFUNCTION("GOOGLEFINANCE(""NSE:""&amp;D4310,""pe"")"),"#N/A")</f>
        <v>#N/A</v>
      </c>
      <c r="P4310" s="7" t="str">
        <f ca="1">IFERROR(__xludf.DUMMYFUNCTION("GOOGLEFINANCE(""NSE:""&amp;D4310,""EPS"")"),"#N/A")</f>
        <v>#N/A</v>
      </c>
      <c r="Q4310" s="7">
        <v>13.5</v>
      </c>
      <c r="R4310" s="7" t="str">
        <f ca="1">IFERROR(__xludf.DUMMYFUNCTION("IMPORTXML(E4310,""/html/body/main/div[3]/div[3]/div[2]/ul/li[7]/span[2]/span"")"),"Loading...")</f>
        <v>Loading...</v>
      </c>
      <c r="S4310" s="7" t="str">
        <f ca="1">IFERROR(__xludf.DUMMYFUNCTION("IMPORTXML(E4310,""/html/body/main/div[3]/div[3]/div[2]/ul/li[8]/span[2]/span"")"),"Loading...")</f>
        <v>Loading...</v>
      </c>
      <c r="T4310" s="4">
        <v>34.6</v>
      </c>
      <c r="U4310" s="4">
        <v>22.7</v>
      </c>
      <c r="V4310" s="4">
        <v>2.6</v>
      </c>
      <c r="W4310" s="4">
        <v>5.7</v>
      </c>
      <c r="X4310" s="4">
        <v>519.92999999999995</v>
      </c>
      <c r="Y4310" s="7" t="e">
        <f t="shared" ca="1" si="89"/>
        <v>#VALUE!</v>
      </c>
    </row>
    <row r="4311" spans="1:25" ht="15" x14ac:dyDescent="0.25">
      <c r="A4311" s="4">
        <v>4310</v>
      </c>
      <c r="C4311" s="41" t="s">
        <v>6684</v>
      </c>
      <c r="D4311" s="42"/>
      <c r="E4311" s="5" t="str">
        <f t="shared" si="85"/>
        <v>https://www.screener.in/company//consolidated/</v>
      </c>
      <c r="F4311" s="4">
        <v>443059</v>
      </c>
      <c r="G4311" s="4">
        <v>3832241897</v>
      </c>
      <c r="H4311" s="6" t="e">
        <f t="shared" ca="1" si="86"/>
        <v>#VALUE!</v>
      </c>
      <c r="I4311" s="7" t="str">
        <f ca="1">IFERROR(__xludf.DUMMYFUNCTION("IMPORTXML(E4311,""/html/body/main/div[3]/div[3]/div[2]/ul/li[5]/span[2]/span"")"),"Loading...")</f>
        <v>Loading...</v>
      </c>
      <c r="J4311" s="7" t="str">
        <f ca="1">IFERROR(__xludf.DUMMYFUNCTION("GOOGLEFINANCE(""NSE:""&amp;D4311,""marketcap"")"),"#N/A")</f>
        <v>#N/A</v>
      </c>
      <c r="K4311" s="7">
        <v>992.8</v>
      </c>
      <c r="L4311" s="8" t="str">
        <f ca="1">IFERROR(__xludf.DUMMYFUNCTION("GOOGLEFINANCE(""NSE:""&amp;D4311,""price"")"),"#N/A")</f>
        <v>#N/A</v>
      </c>
      <c r="M4311" s="9" t="e">
        <f t="shared" ca="1" si="87"/>
        <v>#VALUE!</v>
      </c>
      <c r="N4311" s="10" t="e">
        <f t="shared" ca="1" si="88"/>
        <v>#VALUE!</v>
      </c>
      <c r="O4311" s="7" t="str">
        <f ca="1">IFERROR(__xludf.DUMMYFUNCTION("GOOGLEFINANCE(""NSE:""&amp;D4311,""pe"")"),"#N/A")</f>
        <v>#N/A</v>
      </c>
      <c r="P4311" s="7" t="str">
        <f ca="1">IFERROR(__xludf.DUMMYFUNCTION("GOOGLEFINANCE(""NSE:""&amp;D4311,""EPS"")"),"#N/A")</f>
        <v>#N/A</v>
      </c>
      <c r="Q4311" s="7">
        <v>13.5</v>
      </c>
      <c r="R4311" s="7" t="str">
        <f ca="1">IFERROR(__xludf.DUMMYFUNCTION("IMPORTXML(E4311,""/html/body/main/div[3]/div[3]/div[2]/ul/li[7]/span[2]/span"")"),"Loading...")</f>
        <v>Loading...</v>
      </c>
      <c r="S4311" s="7" t="str">
        <f ca="1">IFERROR(__xludf.DUMMYFUNCTION("IMPORTXML(E4311,""/html/body/main/div[3]/div[3]/div[2]/ul/li[8]/span[2]/span"")"),"Loading...")</f>
        <v>Loading...</v>
      </c>
      <c r="T4311" s="4">
        <v>34.6</v>
      </c>
      <c r="U4311" s="4">
        <v>22.7</v>
      </c>
      <c r="V4311" s="4">
        <v>2.6</v>
      </c>
      <c r="W4311" s="4">
        <v>5.7</v>
      </c>
      <c r="X4311" s="4">
        <v>519.92999999999995</v>
      </c>
      <c r="Y4311" s="7" t="e">
        <f t="shared" ca="1" si="89"/>
        <v>#VALUE!</v>
      </c>
    </row>
    <row r="4312" spans="1:25" ht="15" x14ac:dyDescent="0.25">
      <c r="A4312" s="4">
        <v>4311</v>
      </c>
      <c r="C4312" s="41" t="s">
        <v>6685</v>
      </c>
      <c r="D4312" s="42"/>
      <c r="E4312" s="5" t="str">
        <f t="shared" si="85"/>
        <v>https://www.screener.in/company//consolidated/</v>
      </c>
      <c r="F4312" s="4">
        <v>443059</v>
      </c>
      <c r="G4312" s="4">
        <v>3832241897</v>
      </c>
      <c r="H4312" s="6" t="e">
        <f t="shared" ca="1" si="86"/>
        <v>#VALUE!</v>
      </c>
      <c r="I4312" s="7" t="str">
        <f ca="1">IFERROR(__xludf.DUMMYFUNCTION("IMPORTXML(E4312,""/html/body/main/div[3]/div[3]/div[2]/ul/li[5]/span[2]/span"")"),"Loading...")</f>
        <v>Loading...</v>
      </c>
      <c r="J4312" s="7" t="str">
        <f ca="1">IFERROR(__xludf.DUMMYFUNCTION("GOOGLEFINANCE(""NSE:""&amp;D4312,""marketcap"")"),"#N/A")</f>
        <v>#N/A</v>
      </c>
      <c r="K4312" s="7">
        <v>992.8</v>
      </c>
      <c r="L4312" s="8" t="str">
        <f ca="1">IFERROR(__xludf.DUMMYFUNCTION("GOOGLEFINANCE(""NSE:""&amp;D4312,""price"")"),"#N/A")</f>
        <v>#N/A</v>
      </c>
      <c r="M4312" s="9" t="e">
        <f t="shared" ca="1" si="87"/>
        <v>#VALUE!</v>
      </c>
      <c r="N4312" s="10" t="e">
        <f t="shared" ca="1" si="88"/>
        <v>#VALUE!</v>
      </c>
      <c r="O4312" s="7" t="str">
        <f ca="1">IFERROR(__xludf.DUMMYFUNCTION("GOOGLEFINANCE(""NSE:""&amp;D4312,""pe"")"),"#N/A")</f>
        <v>#N/A</v>
      </c>
      <c r="P4312" s="7" t="str">
        <f ca="1">IFERROR(__xludf.DUMMYFUNCTION("GOOGLEFINANCE(""NSE:""&amp;D4312,""EPS"")"),"#N/A")</f>
        <v>#N/A</v>
      </c>
      <c r="Q4312" s="7">
        <v>13.5</v>
      </c>
      <c r="R4312" s="7" t="str">
        <f ca="1">IFERROR(__xludf.DUMMYFUNCTION("IMPORTXML(E4312,""/html/body/main/div[3]/div[3]/div[2]/ul/li[7]/span[2]/span"")"),"Loading...")</f>
        <v>Loading...</v>
      </c>
      <c r="S4312" s="7" t="str">
        <f ca="1">IFERROR(__xludf.DUMMYFUNCTION("IMPORTXML(E4312,""/html/body/main/div[3]/div[3]/div[2]/ul/li[8]/span[2]/span"")"),"Loading...")</f>
        <v>Loading...</v>
      </c>
      <c r="T4312" s="4">
        <v>34.6</v>
      </c>
      <c r="U4312" s="4">
        <v>22.7</v>
      </c>
      <c r="V4312" s="4">
        <v>2.6</v>
      </c>
      <c r="W4312" s="4">
        <v>5.7</v>
      </c>
      <c r="X4312" s="4">
        <v>519.92999999999995</v>
      </c>
      <c r="Y4312" s="7" t="e">
        <f t="shared" ca="1" si="89"/>
        <v>#VALUE!</v>
      </c>
    </row>
    <row r="4313" spans="1:25" ht="15" x14ac:dyDescent="0.25">
      <c r="A4313" s="4">
        <v>4312</v>
      </c>
      <c r="C4313" s="41" t="s">
        <v>6686</v>
      </c>
      <c r="D4313" s="42"/>
      <c r="E4313" s="5" t="str">
        <f t="shared" si="85"/>
        <v>https://www.screener.in/company//consolidated/</v>
      </c>
      <c r="F4313" s="4">
        <v>443059</v>
      </c>
      <c r="G4313" s="4">
        <v>3832241897</v>
      </c>
      <c r="H4313" s="6" t="e">
        <f t="shared" ca="1" si="86"/>
        <v>#VALUE!</v>
      </c>
      <c r="I4313" s="7" t="str">
        <f ca="1">IFERROR(__xludf.DUMMYFUNCTION("IMPORTXML(E4313,""/html/body/main/div[3]/div[3]/div[2]/ul/li[5]/span[2]/span"")"),"Loading...")</f>
        <v>Loading...</v>
      </c>
      <c r="J4313" s="7" t="str">
        <f ca="1">IFERROR(__xludf.DUMMYFUNCTION("GOOGLEFINANCE(""NSE:""&amp;D4313,""marketcap"")"),"#N/A")</f>
        <v>#N/A</v>
      </c>
      <c r="K4313" s="7">
        <v>992.8</v>
      </c>
      <c r="L4313" s="8" t="str">
        <f ca="1">IFERROR(__xludf.DUMMYFUNCTION("GOOGLEFINANCE(""NSE:""&amp;D4313,""price"")"),"#N/A")</f>
        <v>#N/A</v>
      </c>
      <c r="M4313" s="9" t="e">
        <f t="shared" ca="1" si="87"/>
        <v>#VALUE!</v>
      </c>
      <c r="N4313" s="10" t="e">
        <f t="shared" ca="1" si="88"/>
        <v>#VALUE!</v>
      </c>
      <c r="O4313" s="7" t="str">
        <f ca="1">IFERROR(__xludf.DUMMYFUNCTION("GOOGLEFINANCE(""NSE:""&amp;D4313,""pe"")"),"#N/A")</f>
        <v>#N/A</v>
      </c>
      <c r="P4313" s="7" t="str">
        <f ca="1">IFERROR(__xludf.DUMMYFUNCTION("GOOGLEFINANCE(""NSE:""&amp;D4313,""EPS"")"),"#N/A")</f>
        <v>#N/A</v>
      </c>
      <c r="Q4313" s="7">
        <v>13.5</v>
      </c>
      <c r="R4313" s="7" t="str">
        <f ca="1">IFERROR(__xludf.DUMMYFUNCTION("IMPORTXML(E4313,""/html/body/main/div[3]/div[3]/div[2]/ul/li[7]/span[2]/span"")"),"Loading...")</f>
        <v>Loading...</v>
      </c>
      <c r="S4313" s="7" t="str">
        <f ca="1">IFERROR(__xludf.DUMMYFUNCTION("IMPORTXML(E4313,""/html/body/main/div[3]/div[3]/div[2]/ul/li[8]/span[2]/span"")"),"Loading...")</f>
        <v>Loading...</v>
      </c>
      <c r="T4313" s="4">
        <v>34.6</v>
      </c>
      <c r="U4313" s="4">
        <v>22.7</v>
      </c>
      <c r="V4313" s="4">
        <v>2.6</v>
      </c>
      <c r="W4313" s="4">
        <v>5.7</v>
      </c>
      <c r="X4313" s="4">
        <v>519.92999999999995</v>
      </c>
      <c r="Y4313" s="7" t="e">
        <f t="shared" ca="1" si="89"/>
        <v>#VALUE!</v>
      </c>
    </row>
    <row r="4314" spans="1:25" ht="15" x14ac:dyDescent="0.25">
      <c r="A4314" s="4">
        <v>4313</v>
      </c>
      <c r="C4314" s="41" t="s">
        <v>6687</v>
      </c>
      <c r="D4314" s="42"/>
      <c r="E4314" s="5" t="str">
        <f t="shared" si="85"/>
        <v>https://www.screener.in/company//consolidated/</v>
      </c>
      <c r="F4314" s="4">
        <v>443059</v>
      </c>
      <c r="G4314" s="4">
        <v>3832241897</v>
      </c>
      <c r="H4314" s="6" t="e">
        <f t="shared" ca="1" si="86"/>
        <v>#VALUE!</v>
      </c>
      <c r="I4314" s="7" t="str">
        <f ca="1">IFERROR(__xludf.DUMMYFUNCTION("IMPORTXML(E4314,""/html/body/main/div[3]/div[3]/div[2]/ul/li[5]/span[2]/span"")"),"Loading...")</f>
        <v>Loading...</v>
      </c>
      <c r="J4314" s="7" t="str">
        <f ca="1">IFERROR(__xludf.DUMMYFUNCTION("GOOGLEFINANCE(""NSE:""&amp;D4314,""marketcap"")"),"#N/A")</f>
        <v>#N/A</v>
      </c>
      <c r="K4314" s="7">
        <v>992.8</v>
      </c>
      <c r="L4314" s="8" t="str">
        <f ca="1">IFERROR(__xludf.DUMMYFUNCTION("GOOGLEFINANCE(""NSE:""&amp;D4314,""price"")"),"#N/A")</f>
        <v>#N/A</v>
      </c>
      <c r="M4314" s="9" t="e">
        <f t="shared" ca="1" si="87"/>
        <v>#VALUE!</v>
      </c>
      <c r="N4314" s="10" t="e">
        <f t="shared" ca="1" si="88"/>
        <v>#VALUE!</v>
      </c>
      <c r="O4314" s="7" t="str">
        <f ca="1">IFERROR(__xludf.DUMMYFUNCTION("GOOGLEFINANCE(""NSE:""&amp;D4314,""pe"")"),"#N/A")</f>
        <v>#N/A</v>
      </c>
      <c r="P4314" s="7" t="str">
        <f ca="1">IFERROR(__xludf.DUMMYFUNCTION("GOOGLEFINANCE(""NSE:""&amp;D4314,""EPS"")"),"#N/A")</f>
        <v>#N/A</v>
      </c>
      <c r="Q4314" s="7">
        <v>13.5</v>
      </c>
      <c r="R4314" s="7" t="str">
        <f ca="1">IFERROR(__xludf.DUMMYFUNCTION("IMPORTXML(E4314,""/html/body/main/div[3]/div[3]/div[2]/ul/li[7]/span[2]/span"")"),"Loading...")</f>
        <v>Loading...</v>
      </c>
      <c r="S4314" s="7" t="str">
        <f ca="1">IFERROR(__xludf.DUMMYFUNCTION("IMPORTXML(E4314,""/html/body/main/div[3]/div[3]/div[2]/ul/li[8]/span[2]/span"")"),"Loading...")</f>
        <v>Loading...</v>
      </c>
      <c r="T4314" s="4">
        <v>34.6</v>
      </c>
      <c r="U4314" s="4">
        <v>22.7</v>
      </c>
      <c r="V4314" s="4">
        <v>2.6</v>
      </c>
      <c r="W4314" s="4">
        <v>5.7</v>
      </c>
      <c r="X4314" s="4">
        <v>519.92999999999995</v>
      </c>
      <c r="Y4314" s="7" t="e">
        <f t="shared" ca="1" si="89"/>
        <v>#VALUE!</v>
      </c>
    </row>
    <row r="4315" spans="1:25" ht="15" x14ac:dyDescent="0.25">
      <c r="A4315" s="4">
        <v>4314</v>
      </c>
      <c r="C4315" s="41" t="s">
        <v>6688</v>
      </c>
      <c r="D4315" s="42"/>
      <c r="E4315" s="5" t="str">
        <f t="shared" si="85"/>
        <v>https://www.screener.in/company//consolidated/</v>
      </c>
      <c r="F4315" s="4">
        <v>443059</v>
      </c>
      <c r="G4315" s="4">
        <v>3832241897</v>
      </c>
      <c r="H4315" s="6" t="e">
        <f t="shared" ca="1" si="86"/>
        <v>#VALUE!</v>
      </c>
      <c r="I4315" s="7" t="str">
        <f ca="1">IFERROR(__xludf.DUMMYFUNCTION("IMPORTXML(E4315,""/html/body/main/div[3]/div[3]/div[2]/ul/li[5]/span[2]/span"")"),"Loading...")</f>
        <v>Loading...</v>
      </c>
      <c r="J4315" s="7" t="str">
        <f ca="1">IFERROR(__xludf.DUMMYFUNCTION("GOOGLEFINANCE(""NSE:""&amp;D4315,""marketcap"")"),"#N/A")</f>
        <v>#N/A</v>
      </c>
      <c r="K4315" s="7">
        <v>992.8</v>
      </c>
      <c r="L4315" s="8" t="str">
        <f ca="1">IFERROR(__xludf.DUMMYFUNCTION("GOOGLEFINANCE(""NSE:""&amp;D4315,""price"")"),"#N/A")</f>
        <v>#N/A</v>
      </c>
      <c r="M4315" s="9" t="e">
        <f t="shared" ca="1" si="87"/>
        <v>#VALUE!</v>
      </c>
      <c r="N4315" s="10" t="e">
        <f t="shared" ca="1" si="88"/>
        <v>#VALUE!</v>
      </c>
      <c r="O4315" s="7" t="str">
        <f ca="1">IFERROR(__xludf.DUMMYFUNCTION("GOOGLEFINANCE(""NSE:""&amp;D4315,""pe"")"),"#N/A")</f>
        <v>#N/A</v>
      </c>
      <c r="P4315" s="7" t="str">
        <f ca="1">IFERROR(__xludf.DUMMYFUNCTION("GOOGLEFINANCE(""NSE:""&amp;D4315,""EPS"")"),"#N/A")</f>
        <v>#N/A</v>
      </c>
      <c r="Q4315" s="7">
        <v>13.5</v>
      </c>
      <c r="R4315" s="7" t="str">
        <f ca="1">IFERROR(__xludf.DUMMYFUNCTION("IMPORTXML(E4315,""/html/body/main/div[3]/div[3]/div[2]/ul/li[7]/span[2]/span"")"),"Loading...")</f>
        <v>Loading...</v>
      </c>
      <c r="S4315" s="7" t="str">
        <f ca="1">IFERROR(__xludf.DUMMYFUNCTION("IMPORTXML(E4315,""/html/body/main/div[3]/div[3]/div[2]/ul/li[8]/span[2]/span"")"),"Loading...")</f>
        <v>Loading...</v>
      </c>
      <c r="T4315" s="4">
        <v>34.6</v>
      </c>
      <c r="U4315" s="4">
        <v>22.7</v>
      </c>
      <c r="V4315" s="4">
        <v>2.6</v>
      </c>
      <c r="W4315" s="4">
        <v>5.7</v>
      </c>
      <c r="X4315" s="4">
        <v>519.92999999999995</v>
      </c>
      <c r="Y4315" s="7" t="e">
        <f t="shared" ca="1" si="89"/>
        <v>#VALUE!</v>
      </c>
    </row>
    <row r="4316" spans="1:25" ht="15" x14ac:dyDescent="0.25">
      <c r="A4316" s="4">
        <v>4315</v>
      </c>
      <c r="C4316" s="41" t="s">
        <v>6689</v>
      </c>
      <c r="D4316" s="42"/>
      <c r="E4316" s="5" t="str">
        <f t="shared" si="85"/>
        <v>https://www.screener.in/company//consolidated/</v>
      </c>
      <c r="F4316" s="4">
        <v>443059</v>
      </c>
      <c r="G4316" s="4">
        <v>3832241897</v>
      </c>
      <c r="H4316" s="6" t="e">
        <f t="shared" ca="1" si="86"/>
        <v>#VALUE!</v>
      </c>
      <c r="I4316" s="7" t="str">
        <f ca="1">IFERROR(__xludf.DUMMYFUNCTION("IMPORTXML(E4316,""/html/body/main/div[3]/div[3]/div[2]/ul/li[5]/span[2]/span"")"),"Loading...")</f>
        <v>Loading...</v>
      </c>
      <c r="J4316" s="7" t="str">
        <f ca="1">IFERROR(__xludf.DUMMYFUNCTION("GOOGLEFINANCE(""NSE:""&amp;D4316,""marketcap"")"),"#N/A")</f>
        <v>#N/A</v>
      </c>
      <c r="K4316" s="7">
        <v>992.8</v>
      </c>
      <c r="L4316" s="8" t="str">
        <f ca="1">IFERROR(__xludf.DUMMYFUNCTION("GOOGLEFINANCE(""NSE:""&amp;D4316,""price"")"),"#N/A")</f>
        <v>#N/A</v>
      </c>
      <c r="M4316" s="9" t="e">
        <f t="shared" ca="1" si="87"/>
        <v>#VALUE!</v>
      </c>
      <c r="N4316" s="10" t="e">
        <f t="shared" ca="1" si="88"/>
        <v>#VALUE!</v>
      </c>
      <c r="O4316" s="7" t="str">
        <f ca="1">IFERROR(__xludf.DUMMYFUNCTION("GOOGLEFINANCE(""NSE:""&amp;D4316,""pe"")"),"#N/A")</f>
        <v>#N/A</v>
      </c>
      <c r="P4316" s="7" t="str">
        <f ca="1">IFERROR(__xludf.DUMMYFUNCTION("GOOGLEFINANCE(""NSE:""&amp;D4316,""EPS"")"),"#N/A")</f>
        <v>#N/A</v>
      </c>
      <c r="Q4316" s="7">
        <v>13.5</v>
      </c>
      <c r="R4316" s="7" t="str">
        <f ca="1">IFERROR(__xludf.DUMMYFUNCTION("IMPORTXML(E4316,""/html/body/main/div[3]/div[3]/div[2]/ul/li[7]/span[2]/span"")"),"Loading...")</f>
        <v>Loading...</v>
      </c>
      <c r="S4316" s="7" t="str">
        <f ca="1">IFERROR(__xludf.DUMMYFUNCTION("IMPORTXML(E4316,""/html/body/main/div[3]/div[3]/div[2]/ul/li[8]/span[2]/span"")"),"Loading...")</f>
        <v>Loading...</v>
      </c>
      <c r="T4316" s="4">
        <v>34.6</v>
      </c>
      <c r="U4316" s="4">
        <v>22.7</v>
      </c>
      <c r="V4316" s="4">
        <v>2.6</v>
      </c>
      <c r="W4316" s="4">
        <v>5.7</v>
      </c>
      <c r="X4316" s="4">
        <v>519.92999999999995</v>
      </c>
      <c r="Y4316" s="7" t="e">
        <f t="shared" ca="1" si="89"/>
        <v>#VALUE!</v>
      </c>
    </row>
    <row r="4317" spans="1:25" ht="15" x14ac:dyDescent="0.25">
      <c r="A4317" s="4">
        <v>4316</v>
      </c>
      <c r="C4317" s="41" t="s">
        <v>6690</v>
      </c>
      <c r="D4317" s="42"/>
      <c r="E4317" s="5" t="str">
        <f t="shared" si="85"/>
        <v>https://www.screener.in/company//consolidated/</v>
      </c>
      <c r="F4317" s="4">
        <v>443059</v>
      </c>
      <c r="G4317" s="4">
        <v>3832241897</v>
      </c>
      <c r="H4317" s="6" t="e">
        <f t="shared" ca="1" si="86"/>
        <v>#VALUE!</v>
      </c>
      <c r="I4317" s="7" t="str">
        <f ca="1">IFERROR(__xludf.DUMMYFUNCTION("IMPORTXML(E4317,""/html/body/main/div[3]/div[3]/div[2]/ul/li[5]/span[2]/span"")"),"Loading...")</f>
        <v>Loading...</v>
      </c>
      <c r="J4317" s="7" t="str">
        <f ca="1">IFERROR(__xludf.DUMMYFUNCTION("GOOGLEFINANCE(""NSE:""&amp;D4317,""marketcap"")"),"#N/A")</f>
        <v>#N/A</v>
      </c>
      <c r="K4317" s="7">
        <v>992.8</v>
      </c>
      <c r="L4317" s="8" t="str">
        <f ca="1">IFERROR(__xludf.DUMMYFUNCTION("GOOGLEFINANCE(""NSE:""&amp;D4317,""price"")"),"#N/A")</f>
        <v>#N/A</v>
      </c>
      <c r="M4317" s="9" t="e">
        <f t="shared" ca="1" si="87"/>
        <v>#VALUE!</v>
      </c>
      <c r="N4317" s="10" t="e">
        <f t="shared" ca="1" si="88"/>
        <v>#VALUE!</v>
      </c>
      <c r="O4317" s="7" t="str">
        <f ca="1">IFERROR(__xludf.DUMMYFUNCTION("GOOGLEFINANCE(""NSE:""&amp;D4317,""pe"")"),"#N/A")</f>
        <v>#N/A</v>
      </c>
      <c r="P4317" s="7" t="str">
        <f ca="1">IFERROR(__xludf.DUMMYFUNCTION("GOOGLEFINANCE(""NSE:""&amp;D4317,""EPS"")"),"#N/A")</f>
        <v>#N/A</v>
      </c>
      <c r="Q4317" s="7">
        <v>13.5</v>
      </c>
      <c r="R4317" s="7" t="str">
        <f ca="1">IFERROR(__xludf.DUMMYFUNCTION("IMPORTXML(E4317,""/html/body/main/div[3]/div[3]/div[2]/ul/li[7]/span[2]/span"")"),"Loading...")</f>
        <v>Loading...</v>
      </c>
      <c r="S4317" s="7" t="str">
        <f ca="1">IFERROR(__xludf.DUMMYFUNCTION("IMPORTXML(E4317,""/html/body/main/div[3]/div[3]/div[2]/ul/li[8]/span[2]/span"")"),"Loading...")</f>
        <v>Loading...</v>
      </c>
      <c r="T4317" s="4">
        <v>34.6</v>
      </c>
      <c r="U4317" s="4">
        <v>22.7</v>
      </c>
      <c r="V4317" s="4">
        <v>2.6</v>
      </c>
      <c r="W4317" s="4">
        <v>5.7</v>
      </c>
      <c r="X4317" s="4">
        <v>519.92999999999995</v>
      </c>
      <c r="Y4317" s="7" t="e">
        <f t="shared" ca="1" si="89"/>
        <v>#VALUE!</v>
      </c>
    </row>
    <row r="4318" spans="1:25" ht="15" x14ac:dyDescent="0.25">
      <c r="A4318" s="4">
        <v>4317</v>
      </c>
      <c r="C4318" s="41" t="s">
        <v>6691</v>
      </c>
      <c r="D4318" s="42"/>
      <c r="E4318" s="5" t="str">
        <f t="shared" si="85"/>
        <v>https://www.screener.in/company//consolidated/</v>
      </c>
      <c r="F4318" s="4">
        <v>443059</v>
      </c>
      <c r="G4318" s="4">
        <v>3832241897</v>
      </c>
      <c r="H4318" s="6" t="e">
        <f t="shared" ca="1" si="86"/>
        <v>#VALUE!</v>
      </c>
      <c r="I4318" s="7" t="str">
        <f ca="1">IFERROR(__xludf.DUMMYFUNCTION("IMPORTXML(E4318,""/html/body/main/div[3]/div[3]/div[2]/ul/li[5]/span[2]/span"")"),"Loading...")</f>
        <v>Loading...</v>
      </c>
      <c r="J4318" s="7" t="str">
        <f ca="1">IFERROR(__xludf.DUMMYFUNCTION("GOOGLEFINANCE(""NSE:""&amp;D4318,""marketcap"")"),"#N/A")</f>
        <v>#N/A</v>
      </c>
      <c r="K4318" s="7">
        <v>992.8</v>
      </c>
      <c r="L4318" s="8" t="str">
        <f ca="1">IFERROR(__xludf.DUMMYFUNCTION("GOOGLEFINANCE(""NSE:""&amp;D4318,""price"")"),"#N/A")</f>
        <v>#N/A</v>
      </c>
      <c r="M4318" s="9" t="e">
        <f t="shared" ca="1" si="87"/>
        <v>#VALUE!</v>
      </c>
      <c r="N4318" s="10" t="e">
        <f t="shared" ca="1" si="88"/>
        <v>#VALUE!</v>
      </c>
      <c r="O4318" s="7" t="str">
        <f ca="1">IFERROR(__xludf.DUMMYFUNCTION("GOOGLEFINANCE(""NSE:""&amp;D4318,""pe"")"),"#N/A")</f>
        <v>#N/A</v>
      </c>
      <c r="P4318" s="7" t="str">
        <f ca="1">IFERROR(__xludf.DUMMYFUNCTION("GOOGLEFINANCE(""NSE:""&amp;D4318,""EPS"")"),"#N/A")</f>
        <v>#N/A</v>
      </c>
      <c r="Q4318" s="7">
        <v>13.5</v>
      </c>
      <c r="R4318" s="7" t="str">
        <f ca="1">IFERROR(__xludf.DUMMYFUNCTION("IMPORTXML(E4318,""/html/body/main/div[3]/div[3]/div[2]/ul/li[7]/span[2]/span"")"),"Loading...")</f>
        <v>Loading...</v>
      </c>
      <c r="S4318" s="7" t="str">
        <f ca="1">IFERROR(__xludf.DUMMYFUNCTION("IMPORTXML(E4318,""/html/body/main/div[3]/div[3]/div[2]/ul/li[8]/span[2]/span"")"),"Loading...")</f>
        <v>Loading...</v>
      </c>
      <c r="T4318" s="4">
        <v>34.6</v>
      </c>
      <c r="U4318" s="4">
        <v>22.7</v>
      </c>
      <c r="V4318" s="4">
        <v>2.6</v>
      </c>
      <c r="W4318" s="4">
        <v>5.7</v>
      </c>
      <c r="X4318" s="4">
        <v>519.92999999999995</v>
      </c>
      <c r="Y4318" s="7" t="e">
        <f t="shared" ca="1" si="89"/>
        <v>#VALUE!</v>
      </c>
    </row>
    <row r="4319" spans="1:25" ht="15" x14ac:dyDescent="0.25">
      <c r="A4319" s="4">
        <v>4318</v>
      </c>
      <c r="C4319" s="41" t="s">
        <v>6692</v>
      </c>
      <c r="D4319" s="42"/>
      <c r="E4319" s="5" t="str">
        <f t="shared" si="85"/>
        <v>https://www.screener.in/company//consolidated/</v>
      </c>
      <c r="F4319" s="4">
        <v>443059</v>
      </c>
      <c r="G4319" s="4">
        <v>3832241897</v>
      </c>
      <c r="H4319" s="6" t="e">
        <f t="shared" ca="1" si="86"/>
        <v>#VALUE!</v>
      </c>
      <c r="I4319" s="7" t="str">
        <f ca="1">IFERROR(__xludf.DUMMYFUNCTION("IMPORTXML(E4319,""/html/body/main/div[3]/div[3]/div[2]/ul/li[5]/span[2]/span"")"),"Loading...")</f>
        <v>Loading...</v>
      </c>
      <c r="J4319" s="7" t="str">
        <f ca="1">IFERROR(__xludf.DUMMYFUNCTION("GOOGLEFINANCE(""NSE:""&amp;D4319,""marketcap"")"),"#N/A")</f>
        <v>#N/A</v>
      </c>
      <c r="K4319" s="7">
        <v>992.8</v>
      </c>
      <c r="L4319" s="8" t="str">
        <f ca="1">IFERROR(__xludf.DUMMYFUNCTION("GOOGLEFINANCE(""NSE:""&amp;D4319,""price"")"),"#N/A")</f>
        <v>#N/A</v>
      </c>
      <c r="M4319" s="9" t="e">
        <f t="shared" ca="1" si="87"/>
        <v>#VALUE!</v>
      </c>
      <c r="N4319" s="10" t="e">
        <f t="shared" ca="1" si="88"/>
        <v>#VALUE!</v>
      </c>
      <c r="O4319" s="7" t="str">
        <f ca="1">IFERROR(__xludf.DUMMYFUNCTION("GOOGLEFINANCE(""NSE:""&amp;D4319,""pe"")"),"#N/A")</f>
        <v>#N/A</v>
      </c>
      <c r="P4319" s="7" t="str">
        <f ca="1">IFERROR(__xludf.DUMMYFUNCTION("GOOGLEFINANCE(""NSE:""&amp;D4319,""EPS"")"),"#N/A")</f>
        <v>#N/A</v>
      </c>
      <c r="Q4319" s="7">
        <v>13.5</v>
      </c>
      <c r="R4319" s="7" t="str">
        <f ca="1">IFERROR(__xludf.DUMMYFUNCTION("IMPORTXML(E4319,""/html/body/main/div[3]/div[3]/div[2]/ul/li[7]/span[2]/span"")"),"Loading...")</f>
        <v>Loading...</v>
      </c>
      <c r="S4319" s="7" t="str">
        <f ca="1">IFERROR(__xludf.DUMMYFUNCTION("IMPORTXML(E4319,""/html/body/main/div[3]/div[3]/div[2]/ul/li[8]/span[2]/span"")"),"Loading...")</f>
        <v>Loading...</v>
      </c>
      <c r="T4319" s="4">
        <v>34.6</v>
      </c>
      <c r="U4319" s="4">
        <v>22.7</v>
      </c>
      <c r="V4319" s="4">
        <v>2.6</v>
      </c>
      <c r="W4319" s="4">
        <v>5.7</v>
      </c>
      <c r="X4319" s="4">
        <v>519.92999999999995</v>
      </c>
      <c r="Y4319" s="7" t="e">
        <f t="shared" ca="1" si="89"/>
        <v>#VALUE!</v>
      </c>
    </row>
    <row r="4320" spans="1:25" ht="15" x14ac:dyDescent="0.25">
      <c r="A4320" s="4">
        <v>4319</v>
      </c>
      <c r="C4320" s="41" t="s">
        <v>6693</v>
      </c>
      <c r="D4320" s="42"/>
      <c r="E4320" s="5" t="str">
        <f t="shared" si="85"/>
        <v>https://www.screener.in/company//consolidated/</v>
      </c>
      <c r="F4320" s="4">
        <v>443059</v>
      </c>
      <c r="G4320" s="4">
        <v>3832241897</v>
      </c>
      <c r="H4320" s="6" t="e">
        <f t="shared" ca="1" si="86"/>
        <v>#VALUE!</v>
      </c>
      <c r="I4320" s="7" t="str">
        <f ca="1">IFERROR(__xludf.DUMMYFUNCTION("IMPORTXML(E4320,""/html/body/main/div[3]/div[3]/div[2]/ul/li[5]/span[2]/span"")"),"Loading...")</f>
        <v>Loading...</v>
      </c>
      <c r="J4320" s="7" t="str">
        <f ca="1">IFERROR(__xludf.DUMMYFUNCTION("GOOGLEFINANCE(""NSE:""&amp;D4320,""marketcap"")"),"#N/A")</f>
        <v>#N/A</v>
      </c>
      <c r="K4320" s="7">
        <v>992.8</v>
      </c>
      <c r="L4320" s="8" t="str">
        <f ca="1">IFERROR(__xludf.DUMMYFUNCTION("GOOGLEFINANCE(""NSE:""&amp;D4320,""price"")"),"#N/A")</f>
        <v>#N/A</v>
      </c>
      <c r="M4320" s="9" t="e">
        <f t="shared" ca="1" si="87"/>
        <v>#VALUE!</v>
      </c>
      <c r="N4320" s="10" t="e">
        <f t="shared" ca="1" si="88"/>
        <v>#VALUE!</v>
      </c>
      <c r="O4320" s="7" t="str">
        <f ca="1">IFERROR(__xludf.DUMMYFUNCTION("GOOGLEFINANCE(""NSE:""&amp;D4320,""pe"")"),"#N/A")</f>
        <v>#N/A</v>
      </c>
      <c r="P4320" s="7" t="str">
        <f ca="1">IFERROR(__xludf.DUMMYFUNCTION("GOOGLEFINANCE(""NSE:""&amp;D4320,""EPS"")"),"#N/A")</f>
        <v>#N/A</v>
      </c>
      <c r="Q4320" s="7">
        <v>13.5</v>
      </c>
      <c r="R4320" s="7" t="str">
        <f ca="1">IFERROR(__xludf.DUMMYFUNCTION("IMPORTXML(E4320,""/html/body/main/div[3]/div[3]/div[2]/ul/li[7]/span[2]/span"")"),"Loading...")</f>
        <v>Loading...</v>
      </c>
      <c r="S4320" s="7" t="str">
        <f ca="1">IFERROR(__xludf.DUMMYFUNCTION("IMPORTXML(E4320,""/html/body/main/div[3]/div[3]/div[2]/ul/li[8]/span[2]/span"")"),"Loading...")</f>
        <v>Loading...</v>
      </c>
      <c r="T4320" s="4">
        <v>34.6</v>
      </c>
      <c r="U4320" s="4">
        <v>22.7</v>
      </c>
      <c r="V4320" s="4">
        <v>2.6</v>
      </c>
      <c r="W4320" s="4">
        <v>5.7</v>
      </c>
      <c r="X4320" s="4">
        <v>519.92999999999995</v>
      </c>
      <c r="Y4320" s="7" t="e">
        <f t="shared" ca="1" si="89"/>
        <v>#VALUE!</v>
      </c>
    </row>
    <row r="4321" spans="1:25" ht="15" x14ac:dyDescent="0.25">
      <c r="A4321" s="4">
        <v>4320</v>
      </c>
      <c r="C4321" s="41" t="s">
        <v>6694</v>
      </c>
      <c r="D4321" s="42"/>
      <c r="E4321" s="5" t="str">
        <f t="shared" si="85"/>
        <v>https://www.screener.in/company//consolidated/</v>
      </c>
      <c r="F4321" s="4">
        <v>443059</v>
      </c>
      <c r="G4321" s="4">
        <v>3832241897</v>
      </c>
      <c r="H4321" s="6" t="e">
        <f t="shared" ca="1" si="86"/>
        <v>#VALUE!</v>
      </c>
      <c r="I4321" s="7" t="str">
        <f ca="1">IFERROR(__xludf.DUMMYFUNCTION("IMPORTXML(E4321,""/html/body/main/div[3]/div[3]/div[2]/ul/li[5]/span[2]/span"")"),"Loading...")</f>
        <v>Loading...</v>
      </c>
      <c r="J4321" s="7" t="str">
        <f ca="1">IFERROR(__xludf.DUMMYFUNCTION("GOOGLEFINANCE(""NSE:""&amp;D4321,""marketcap"")"),"#N/A")</f>
        <v>#N/A</v>
      </c>
      <c r="K4321" s="7">
        <v>992.8</v>
      </c>
      <c r="L4321" s="8" t="str">
        <f ca="1">IFERROR(__xludf.DUMMYFUNCTION("GOOGLEFINANCE(""NSE:""&amp;D4321,""price"")"),"#N/A")</f>
        <v>#N/A</v>
      </c>
      <c r="M4321" s="9" t="e">
        <f t="shared" ca="1" si="87"/>
        <v>#VALUE!</v>
      </c>
      <c r="N4321" s="10" t="e">
        <f t="shared" ca="1" si="88"/>
        <v>#VALUE!</v>
      </c>
      <c r="O4321" s="7" t="str">
        <f ca="1">IFERROR(__xludf.DUMMYFUNCTION("GOOGLEFINANCE(""NSE:""&amp;D4321,""pe"")"),"#N/A")</f>
        <v>#N/A</v>
      </c>
      <c r="P4321" s="7" t="str">
        <f ca="1">IFERROR(__xludf.DUMMYFUNCTION("GOOGLEFINANCE(""NSE:""&amp;D4321,""EPS"")"),"#N/A")</f>
        <v>#N/A</v>
      </c>
      <c r="Q4321" s="7">
        <v>13.5</v>
      </c>
      <c r="R4321" s="7" t="str">
        <f ca="1">IFERROR(__xludf.DUMMYFUNCTION("IMPORTXML(E4321,""/html/body/main/div[3]/div[3]/div[2]/ul/li[7]/span[2]/span"")"),"Loading...")</f>
        <v>Loading...</v>
      </c>
      <c r="S4321" s="7" t="str">
        <f ca="1">IFERROR(__xludf.DUMMYFUNCTION("IMPORTXML(E4321,""/html/body/main/div[3]/div[3]/div[2]/ul/li[8]/span[2]/span"")"),"Loading...")</f>
        <v>Loading...</v>
      </c>
      <c r="T4321" s="4">
        <v>34.6</v>
      </c>
      <c r="U4321" s="4">
        <v>22.7</v>
      </c>
      <c r="V4321" s="4">
        <v>2.6</v>
      </c>
      <c r="W4321" s="4">
        <v>5.7</v>
      </c>
      <c r="X4321" s="4">
        <v>519.92999999999995</v>
      </c>
      <c r="Y4321" s="7" t="e">
        <f t="shared" ca="1" si="89"/>
        <v>#VALUE!</v>
      </c>
    </row>
    <row r="4322" spans="1:25" ht="15" x14ac:dyDescent="0.25">
      <c r="A4322" s="4">
        <v>4321</v>
      </c>
      <c r="C4322" s="41" t="s">
        <v>6695</v>
      </c>
      <c r="D4322" s="42"/>
      <c r="E4322" s="5" t="str">
        <f t="shared" si="85"/>
        <v>https://www.screener.in/company//consolidated/</v>
      </c>
      <c r="F4322" s="4">
        <v>443059</v>
      </c>
      <c r="G4322" s="4">
        <v>3832241897</v>
      </c>
      <c r="H4322" s="6" t="e">
        <f t="shared" ca="1" si="86"/>
        <v>#VALUE!</v>
      </c>
      <c r="I4322" s="7" t="str">
        <f ca="1">IFERROR(__xludf.DUMMYFUNCTION("IMPORTXML(E4322,""/html/body/main/div[3]/div[3]/div[2]/ul/li[5]/span[2]/span"")"),"Loading...")</f>
        <v>Loading...</v>
      </c>
      <c r="J4322" s="7" t="str">
        <f ca="1">IFERROR(__xludf.DUMMYFUNCTION("GOOGLEFINANCE(""NSE:""&amp;D4322,""marketcap"")"),"#N/A")</f>
        <v>#N/A</v>
      </c>
      <c r="K4322" s="7">
        <v>992.8</v>
      </c>
      <c r="L4322" s="8" t="str">
        <f ca="1">IFERROR(__xludf.DUMMYFUNCTION("GOOGLEFINANCE(""NSE:""&amp;D4322,""price"")"),"#N/A")</f>
        <v>#N/A</v>
      </c>
      <c r="M4322" s="9" t="e">
        <f t="shared" ca="1" si="87"/>
        <v>#VALUE!</v>
      </c>
      <c r="N4322" s="10" t="e">
        <f t="shared" ca="1" si="88"/>
        <v>#VALUE!</v>
      </c>
      <c r="O4322" s="7" t="str">
        <f ca="1">IFERROR(__xludf.DUMMYFUNCTION("GOOGLEFINANCE(""NSE:""&amp;D4322,""pe"")"),"#N/A")</f>
        <v>#N/A</v>
      </c>
      <c r="P4322" s="7" t="str">
        <f ca="1">IFERROR(__xludf.DUMMYFUNCTION("GOOGLEFINANCE(""NSE:""&amp;D4322,""EPS"")"),"#N/A")</f>
        <v>#N/A</v>
      </c>
      <c r="Q4322" s="7">
        <v>13.5</v>
      </c>
      <c r="R4322" s="7" t="str">
        <f ca="1">IFERROR(__xludf.DUMMYFUNCTION("IMPORTXML(E4322,""/html/body/main/div[3]/div[3]/div[2]/ul/li[7]/span[2]/span"")"),"Loading...")</f>
        <v>Loading...</v>
      </c>
      <c r="S4322" s="7" t="str">
        <f ca="1">IFERROR(__xludf.DUMMYFUNCTION("IMPORTXML(E4322,""/html/body/main/div[3]/div[3]/div[2]/ul/li[8]/span[2]/span"")"),"Loading...")</f>
        <v>Loading...</v>
      </c>
      <c r="T4322" s="4">
        <v>34.6</v>
      </c>
      <c r="U4322" s="4">
        <v>22.7</v>
      </c>
      <c r="V4322" s="4">
        <v>2.6</v>
      </c>
      <c r="W4322" s="4">
        <v>5.7</v>
      </c>
      <c r="X4322" s="4">
        <v>519.92999999999995</v>
      </c>
      <c r="Y4322" s="7" t="e">
        <f t="shared" ca="1" si="89"/>
        <v>#VALUE!</v>
      </c>
    </row>
    <row r="4323" spans="1:25" ht="15" x14ac:dyDescent="0.25">
      <c r="A4323" s="4">
        <v>4322</v>
      </c>
      <c r="C4323" s="41" t="s">
        <v>6696</v>
      </c>
      <c r="D4323" s="42"/>
      <c r="E4323" s="5" t="str">
        <f t="shared" si="85"/>
        <v>https://www.screener.in/company//consolidated/</v>
      </c>
      <c r="F4323" s="4">
        <v>443059</v>
      </c>
      <c r="G4323" s="4">
        <v>3832241897</v>
      </c>
      <c r="H4323" s="6" t="e">
        <f t="shared" ca="1" si="86"/>
        <v>#VALUE!</v>
      </c>
      <c r="I4323" s="7" t="str">
        <f ca="1">IFERROR(__xludf.DUMMYFUNCTION("IMPORTXML(E4323,""/html/body/main/div[3]/div[3]/div[2]/ul/li[5]/span[2]/span"")"),"Loading...")</f>
        <v>Loading...</v>
      </c>
      <c r="J4323" s="7" t="str">
        <f ca="1">IFERROR(__xludf.DUMMYFUNCTION("GOOGLEFINANCE(""NSE:""&amp;D4323,""marketcap"")"),"#N/A")</f>
        <v>#N/A</v>
      </c>
      <c r="K4323" s="7">
        <v>992.8</v>
      </c>
      <c r="L4323" s="8" t="str">
        <f ca="1">IFERROR(__xludf.DUMMYFUNCTION("GOOGLEFINANCE(""NSE:""&amp;D4323,""price"")"),"#N/A")</f>
        <v>#N/A</v>
      </c>
      <c r="M4323" s="9" t="e">
        <f t="shared" ca="1" si="87"/>
        <v>#VALUE!</v>
      </c>
      <c r="N4323" s="10" t="e">
        <f t="shared" ca="1" si="88"/>
        <v>#VALUE!</v>
      </c>
      <c r="O4323" s="7" t="str">
        <f ca="1">IFERROR(__xludf.DUMMYFUNCTION("GOOGLEFINANCE(""NSE:""&amp;D4323,""pe"")"),"#N/A")</f>
        <v>#N/A</v>
      </c>
      <c r="P4323" s="7" t="str">
        <f ca="1">IFERROR(__xludf.DUMMYFUNCTION("GOOGLEFINANCE(""NSE:""&amp;D4323,""EPS"")"),"#N/A")</f>
        <v>#N/A</v>
      </c>
      <c r="Q4323" s="7">
        <v>13.5</v>
      </c>
      <c r="R4323" s="7" t="str">
        <f ca="1">IFERROR(__xludf.DUMMYFUNCTION("IMPORTXML(E4323,""/html/body/main/div[3]/div[3]/div[2]/ul/li[7]/span[2]/span"")"),"Loading...")</f>
        <v>Loading...</v>
      </c>
      <c r="S4323" s="7" t="str">
        <f ca="1">IFERROR(__xludf.DUMMYFUNCTION("IMPORTXML(E4323,""/html/body/main/div[3]/div[3]/div[2]/ul/li[8]/span[2]/span"")"),"Loading...")</f>
        <v>Loading...</v>
      </c>
      <c r="T4323" s="4">
        <v>34.6</v>
      </c>
      <c r="U4323" s="4">
        <v>22.7</v>
      </c>
      <c r="V4323" s="4">
        <v>2.6</v>
      </c>
      <c r="W4323" s="4">
        <v>5.7</v>
      </c>
      <c r="X4323" s="4">
        <v>519.92999999999995</v>
      </c>
      <c r="Y4323" s="7" t="e">
        <f t="shared" ca="1" si="89"/>
        <v>#VALUE!</v>
      </c>
    </row>
    <row r="4324" spans="1:25" ht="15" x14ac:dyDescent="0.25">
      <c r="A4324" s="4">
        <v>4323</v>
      </c>
      <c r="C4324" s="41" t="s">
        <v>6697</v>
      </c>
      <c r="D4324" s="42"/>
      <c r="E4324" s="5" t="str">
        <f t="shared" si="85"/>
        <v>https://www.screener.in/company//consolidated/</v>
      </c>
      <c r="F4324" s="4">
        <v>443059</v>
      </c>
      <c r="G4324" s="4">
        <v>3832241897</v>
      </c>
      <c r="H4324" s="6" t="e">
        <f t="shared" ca="1" si="86"/>
        <v>#VALUE!</v>
      </c>
      <c r="I4324" s="7" t="str">
        <f ca="1">IFERROR(__xludf.DUMMYFUNCTION("IMPORTXML(E4324,""/html/body/main/div[3]/div[3]/div[2]/ul/li[5]/span[2]/span"")"),"Loading...")</f>
        <v>Loading...</v>
      </c>
      <c r="J4324" s="7" t="str">
        <f ca="1">IFERROR(__xludf.DUMMYFUNCTION("GOOGLEFINANCE(""NSE:""&amp;D4324,""marketcap"")"),"#N/A")</f>
        <v>#N/A</v>
      </c>
      <c r="K4324" s="7">
        <v>992.8</v>
      </c>
      <c r="L4324" s="8" t="str">
        <f ca="1">IFERROR(__xludf.DUMMYFUNCTION("GOOGLEFINANCE(""NSE:""&amp;D4324,""price"")"),"#N/A")</f>
        <v>#N/A</v>
      </c>
      <c r="M4324" s="9" t="e">
        <f t="shared" ca="1" si="87"/>
        <v>#VALUE!</v>
      </c>
      <c r="N4324" s="10" t="e">
        <f t="shared" ca="1" si="88"/>
        <v>#VALUE!</v>
      </c>
      <c r="O4324" s="7" t="str">
        <f ca="1">IFERROR(__xludf.DUMMYFUNCTION("GOOGLEFINANCE(""NSE:""&amp;D4324,""pe"")"),"#N/A")</f>
        <v>#N/A</v>
      </c>
      <c r="P4324" s="7" t="str">
        <f ca="1">IFERROR(__xludf.DUMMYFUNCTION("GOOGLEFINANCE(""NSE:""&amp;D4324,""EPS"")"),"#N/A")</f>
        <v>#N/A</v>
      </c>
      <c r="Q4324" s="7">
        <v>13.5</v>
      </c>
      <c r="R4324" s="7" t="str">
        <f ca="1">IFERROR(__xludf.DUMMYFUNCTION("IMPORTXML(E4324,""/html/body/main/div[3]/div[3]/div[2]/ul/li[7]/span[2]/span"")"),"Loading...")</f>
        <v>Loading...</v>
      </c>
      <c r="S4324" s="7" t="str">
        <f ca="1">IFERROR(__xludf.DUMMYFUNCTION("IMPORTXML(E4324,""/html/body/main/div[3]/div[3]/div[2]/ul/li[8]/span[2]/span"")"),"Loading...")</f>
        <v>Loading...</v>
      </c>
      <c r="T4324" s="4">
        <v>34.6</v>
      </c>
      <c r="U4324" s="4">
        <v>22.7</v>
      </c>
      <c r="V4324" s="4">
        <v>2.6</v>
      </c>
      <c r="W4324" s="4">
        <v>5.7</v>
      </c>
      <c r="X4324" s="4">
        <v>519.92999999999995</v>
      </c>
      <c r="Y4324" s="7" t="e">
        <f t="shared" ca="1" si="89"/>
        <v>#VALUE!</v>
      </c>
    </row>
    <row r="4325" spans="1:25" ht="15" x14ac:dyDescent="0.25">
      <c r="A4325" s="4">
        <v>4324</v>
      </c>
      <c r="C4325" s="41" t="s">
        <v>6698</v>
      </c>
      <c r="D4325" s="42"/>
      <c r="E4325" s="5" t="str">
        <f t="shared" si="85"/>
        <v>https://www.screener.in/company//consolidated/</v>
      </c>
      <c r="F4325" s="4">
        <v>443059</v>
      </c>
      <c r="G4325" s="4">
        <v>3832241897</v>
      </c>
      <c r="H4325" s="6" t="e">
        <f t="shared" ca="1" si="86"/>
        <v>#VALUE!</v>
      </c>
      <c r="I4325" s="7" t="str">
        <f ca="1">IFERROR(__xludf.DUMMYFUNCTION("IMPORTXML(E4325,""/html/body/main/div[3]/div[3]/div[2]/ul/li[5]/span[2]/span"")"),"Loading...")</f>
        <v>Loading...</v>
      </c>
      <c r="J4325" s="7" t="str">
        <f ca="1">IFERROR(__xludf.DUMMYFUNCTION("GOOGLEFINANCE(""NSE:""&amp;D4325,""marketcap"")"),"#N/A")</f>
        <v>#N/A</v>
      </c>
      <c r="K4325" s="7">
        <v>992.8</v>
      </c>
      <c r="L4325" s="8" t="str">
        <f ca="1">IFERROR(__xludf.DUMMYFUNCTION("GOOGLEFINANCE(""NSE:""&amp;D4325,""price"")"),"#N/A")</f>
        <v>#N/A</v>
      </c>
      <c r="M4325" s="9" t="e">
        <f t="shared" ca="1" si="87"/>
        <v>#VALUE!</v>
      </c>
      <c r="N4325" s="10" t="e">
        <f t="shared" ca="1" si="88"/>
        <v>#VALUE!</v>
      </c>
      <c r="O4325" s="7" t="str">
        <f ca="1">IFERROR(__xludf.DUMMYFUNCTION("GOOGLEFINANCE(""NSE:""&amp;D4325,""pe"")"),"#N/A")</f>
        <v>#N/A</v>
      </c>
      <c r="P4325" s="7" t="str">
        <f ca="1">IFERROR(__xludf.DUMMYFUNCTION("GOOGLEFINANCE(""NSE:""&amp;D4325,""EPS"")"),"#N/A")</f>
        <v>#N/A</v>
      </c>
      <c r="Q4325" s="7">
        <v>13.5</v>
      </c>
      <c r="R4325" s="7" t="str">
        <f ca="1">IFERROR(__xludf.DUMMYFUNCTION("IMPORTXML(E4325,""/html/body/main/div[3]/div[3]/div[2]/ul/li[7]/span[2]/span"")"),"Loading...")</f>
        <v>Loading...</v>
      </c>
      <c r="S4325" s="7" t="str">
        <f ca="1">IFERROR(__xludf.DUMMYFUNCTION("IMPORTXML(E4325,""/html/body/main/div[3]/div[3]/div[2]/ul/li[8]/span[2]/span"")"),"Loading...")</f>
        <v>Loading...</v>
      </c>
      <c r="T4325" s="4">
        <v>34.6</v>
      </c>
      <c r="U4325" s="4">
        <v>22.7</v>
      </c>
      <c r="V4325" s="4">
        <v>2.6</v>
      </c>
      <c r="W4325" s="4">
        <v>5.7</v>
      </c>
      <c r="X4325" s="4">
        <v>519.92999999999995</v>
      </c>
      <c r="Y4325" s="7" t="e">
        <f t="shared" ca="1" si="89"/>
        <v>#VALUE!</v>
      </c>
    </row>
    <row r="4326" spans="1:25" ht="15" x14ac:dyDescent="0.25">
      <c r="A4326" s="4">
        <v>4325</v>
      </c>
      <c r="C4326" s="41" t="s">
        <v>6699</v>
      </c>
      <c r="D4326" s="42"/>
      <c r="E4326" s="5" t="str">
        <f t="shared" si="85"/>
        <v>https://www.screener.in/company//consolidated/</v>
      </c>
      <c r="F4326" s="4">
        <v>443059</v>
      </c>
      <c r="G4326" s="4">
        <v>3832241897</v>
      </c>
      <c r="H4326" s="6" t="e">
        <f t="shared" ca="1" si="86"/>
        <v>#VALUE!</v>
      </c>
      <c r="I4326" s="7" t="str">
        <f ca="1">IFERROR(__xludf.DUMMYFUNCTION("IMPORTXML(E4326,""/html/body/main/div[3]/div[3]/div[2]/ul/li[5]/span[2]/span"")"),"Loading...")</f>
        <v>Loading...</v>
      </c>
      <c r="J4326" s="7" t="str">
        <f ca="1">IFERROR(__xludf.DUMMYFUNCTION("GOOGLEFINANCE(""NSE:""&amp;D4326,""marketcap"")"),"#N/A")</f>
        <v>#N/A</v>
      </c>
      <c r="K4326" s="7">
        <v>992.8</v>
      </c>
      <c r="L4326" s="8" t="str">
        <f ca="1">IFERROR(__xludf.DUMMYFUNCTION("GOOGLEFINANCE(""NSE:""&amp;D4326,""price"")"),"#N/A")</f>
        <v>#N/A</v>
      </c>
      <c r="M4326" s="9" t="e">
        <f t="shared" ca="1" si="87"/>
        <v>#VALUE!</v>
      </c>
      <c r="N4326" s="10" t="e">
        <f t="shared" ca="1" si="88"/>
        <v>#VALUE!</v>
      </c>
      <c r="O4326" s="7" t="str">
        <f ca="1">IFERROR(__xludf.DUMMYFUNCTION("GOOGLEFINANCE(""NSE:""&amp;D4326,""pe"")"),"#N/A")</f>
        <v>#N/A</v>
      </c>
      <c r="P4326" s="7" t="str">
        <f ca="1">IFERROR(__xludf.DUMMYFUNCTION("GOOGLEFINANCE(""NSE:""&amp;D4326,""EPS"")"),"#N/A")</f>
        <v>#N/A</v>
      </c>
      <c r="Q4326" s="7">
        <v>13.5</v>
      </c>
      <c r="R4326" s="7" t="str">
        <f ca="1">IFERROR(__xludf.DUMMYFUNCTION("IMPORTXML(E4326,""/html/body/main/div[3]/div[3]/div[2]/ul/li[7]/span[2]/span"")"),"Loading...")</f>
        <v>Loading...</v>
      </c>
      <c r="S4326" s="7" t="str">
        <f ca="1">IFERROR(__xludf.DUMMYFUNCTION("IMPORTXML(E4326,""/html/body/main/div[3]/div[3]/div[2]/ul/li[8]/span[2]/span"")"),"Loading...")</f>
        <v>Loading...</v>
      </c>
      <c r="T4326" s="4">
        <v>34.6</v>
      </c>
      <c r="U4326" s="4">
        <v>22.7</v>
      </c>
      <c r="V4326" s="4">
        <v>2.6</v>
      </c>
      <c r="W4326" s="4">
        <v>5.7</v>
      </c>
      <c r="X4326" s="4">
        <v>519.92999999999995</v>
      </c>
      <c r="Y4326" s="7" t="e">
        <f t="shared" ca="1" si="89"/>
        <v>#VALUE!</v>
      </c>
    </row>
    <row r="4327" spans="1:25" ht="15" x14ac:dyDescent="0.25">
      <c r="A4327" s="4">
        <v>4326</v>
      </c>
      <c r="C4327" s="41" t="s">
        <v>6700</v>
      </c>
      <c r="D4327" s="42"/>
      <c r="E4327" s="5" t="str">
        <f t="shared" si="85"/>
        <v>https://www.screener.in/company//consolidated/</v>
      </c>
      <c r="F4327" s="4">
        <v>443059</v>
      </c>
      <c r="G4327" s="4">
        <v>3832241897</v>
      </c>
      <c r="H4327" s="6" t="e">
        <f t="shared" ca="1" si="86"/>
        <v>#VALUE!</v>
      </c>
      <c r="I4327" s="7" t="str">
        <f ca="1">IFERROR(__xludf.DUMMYFUNCTION("IMPORTXML(E4327,""/html/body/main/div[3]/div[3]/div[2]/ul/li[5]/span[2]/span"")"),"Loading...")</f>
        <v>Loading...</v>
      </c>
      <c r="J4327" s="7" t="str">
        <f ca="1">IFERROR(__xludf.DUMMYFUNCTION("GOOGLEFINANCE(""NSE:""&amp;D4327,""marketcap"")"),"#N/A")</f>
        <v>#N/A</v>
      </c>
      <c r="K4327" s="7">
        <v>992.8</v>
      </c>
      <c r="L4327" s="8" t="str">
        <f ca="1">IFERROR(__xludf.DUMMYFUNCTION("GOOGLEFINANCE(""NSE:""&amp;D4327,""price"")"),"#N/A")</f>
        <v>#N/A</v>
      </c>
      <c r="M4327" s="9" t="e">
        <f t="shared" ca="1" si="87"/>
        <v>#VALUE!</v>
      </c>
      <c r="N4327" s="10" t="e">
        <f t="shared" ca="1" si="88"/>
        <v>#VALUE!</v>
      </c>
      <c r="O4327" s="7" t="str">
        <f ca="1">IFERROR(__xludf.DUMMYFUNCTION("GOOGLEFINANCE(""NSE:""&amp;D4327,""pe"")"),"#N/A")</f>
        <v>#N/A</v>
      </c>
      <c r="P4327" s="7" t="str">
        <f ca="1">IFERROR(__xludf.DUMMYFUNCTION("GOOGLEFINANCE(""NSE:""&amp;D4327,""EPS"")"),"#N/A")</f>
        <v>#N/A</v>
      </c>
      <c r="Q4327" s="7">
        <v>13.5</v>
      </c>
      <c r="R4327" s="7" t="str">
        <f ca="1">IFERROR(__xludf.DUMMYFUNCTION("IMPORTXML(E4327,""/html/body/main/div[3]/div[3]/div[2]/ul/li[7]/span[2]/span"")"),"Loading...")</f>
        <v>Loading...</v>
      </c>
      <c r="S4327" s="7" t="str">
        <f ca="1">IFERROR(__xludf.DUMMYFUNCTION("IMPORTXML(E4327,""/html/body/main/div[3]/div[3]/div[2]/ul/li[8]/span[2]/span"")"),"Loading...")</f>
        <v>Loading...</v>
      </c>
      <c r="T4327" s="4">
        <v>34.6</v>
      </c>
      <c r="U4327" s="4">
        <v>22.7</v>
      </c>
      <c r="V4327" s="4">
        <v>2.6</v>
      </c>
      <c r="W4327" s="4">
        <v>5.7</v>
      </c>
      <c r="X4327" s="4">
        <v>519.92999999999995</v>
      </c>
      <c r="Y4327" s="7" t="e">
        <f t="shared" ca="1" si="89"/>
        <v>#VALUE!</v>
      </c>
    </row>
    <row r="4328" spans="1:25" ht="15" x14ac:dyDescent="0.25">
      <c r="A4328" s="4">
        <v>4327</v>
      </c>
      <c r="C4328" s="41" t="s">
        <v>6701</v>
      </c>
      <c r="D4328" s="42"/>
      <c r="E4328" s="5" t="str">
        <f t="shared" si="85"/>
        <v>https://www.screener.in/company//consolidated/</v>
      </c>
      <c r="F4328" s="4">
        <v>443059</v>
      </c>
      <c r="G4328" s="4">
        <v>3832241897</v>
      </c>
      <c r="H4328" s="6" t="e">
        <f t="shared" ca="1" si="86"/>
        <v>#VALUE!</v>
      </c>
      <c r="I4328" s="7" t="str">
        <f ca="1">IFERROR(__xludf.DUMMYFUNCTION("IMPORTXML(E4328,""/html/body/main/div[3]/div[3]/div[2]/ul/li[5]/span[2]/span"")"),"Loading...")</f>
        <v>Loading...</v>
      </c>
      <c r="J4328" s="7" t="str">
        <f ca="1">IFERROR(__xludf.DUMMYFUNCTION("GOOGLEFINANCE(""NSE:""&amp;D4328,""marketcap"")"),"#N/A")</f>
        <v>#N/A</v>
      </c>
      <c r="K4328" s="7">
        <v>992.8</v>
      </c>
      <c r="L4328" s="8" t="str">
        <f ca="1">IFERROR(__xludf.DUMMYFUNCTION("GOOGLEFINANCE(""NSE:""&amp;D4328,""price"")"),"#N/A")</f>
        <v>#N/A</v>
      </c>
      <c r="M4328" s="9" t="e">
        <f t="shared" ca="1" si="87"/>
        <v>#VALUE!</v>
      </c>
      <c r="N4328" s="10" t="e">
        <f t="shared" ca="1" si="88"/>
        <v>#VALUE!</v>
      </c>
      <c r="O4328" s="7" t="str">
        <f ca="1">IFERROR(__xludf.DUMMYFUNCTION("GOOGLEFINANCE(""NSE:""&amp;D4328,""pe"")"),"#N/A")</f>
        <v>#N/A</v>
      </c>
      <c r="P4328" s="7" t="str">
        <f ca="1">IFERROR(__xludf.DUMMYFUNCTION("GOOGLEFINANCE(""NSE:""&amp;D4328,""EPS"")"),"#N/A")</f>
        <v>#N/A</v>
      </c>
      <c r="Q4328" s="7">
        <v>13.5</v>
      </c>
      <c r="R4328" s="7" t="str">
        <f ca="1">IFERROR(__xludf.DUMMYFUNCTION("IMPORTXML(E4328,""/html/body/main/div[3]/div[3]/div[2]/ul/li[7]/span[2]/span"")"),"Loading...")</f>
        <v>Loading...</v>
      </c>
      <c r="S4328" s="7" t="str">
        <f ca="1">IFERROR(__xludf.DUMMYFUNCTION("IMPORTXML(E4328,""/html/body/main/div[3]/div[3]/div[2]/ul/li[8]/span[2]/span"")"),"Loading...")</f>
        <v>Loading...</v>
      </c>
      <c r="T4328" s="4">
        <v>34.6</v>
      </c>
      <c r="U4328" s="4">
        <v>22.7</v>
      </c>
      <c r="V4328" s="4">
        <v>2.6</v>
      </c>
      <c r="W4328" s="4">
        <v>5.7</v>
      </c>
      <c r="X4328" s="4">
        <v>519.92999999999995</v>
      </c>
      <c r="Y4328" s="7" t="e">
        <f t="shared" ca="1" si="89"/>
        <v>#VALUE!</v>
      </c>
    </row>
    <row r="4329" spans="1:25" ht="15" x14ac:dyDescent="0.25">
      <c r="A4329" s="4">
        <v>4328</v>
      </c>
      <c r="C4329" s="41" t="s">
        <v>6702</v>
      </c>
      <c r="D4329" s="42"/>
      <c r="E4329" s="5" t="str">
        <f t="shared" si="85"/>
        <v>https://www.screener.in/company//consolidated/</v>
      </c>
      <c r="F4329" s="4">
        <v>443059</v>
      </c>
      <c r="G4329" s="4">
        <v>3832241897</v>
      </c>
      <c r="H4329" s="6" t="e">
        <f t="shared" ca="1" si="86"/>
        <v>#VALUE!</v>
      </c>
      <c r="I4329" s="7" t="str">
        <f ca="1">IFERROR(__xludf.DUMMYFUNCTION("IMPORTXML(E4329,""/html/body/main/div[3]/div[3]/div[2]/ul/li[5]/span[2]/span"")"),"Loading...")</f>
        <v>Loading...</v>
      </c>
      <c r="J4329" s="7" t="str">
        <f ca="1">IFERROR(__xludf.DUMMYFUNCTION("GOOGLEFINANCE(""NSE:""&amp;D4329,""marketcap"")"),"#N/A")</f>
        <v>#N/A</v>
      </c>
      <c r="K4329" s="7">
        <v>992.8</v>
      </c>
      <c r="L4329" s="8" t="str">
        <f ca="1">IFERROR(__xludf.DUMMYFUNCTION("GOOGLEFINANCE(""NSE:""&amp;D4329,""price"")"),"#N/A")</f>
        <v>#N/A</v>
      </c>
      <c r="M4329" s="9" t="e">
        <f t="shared" ca="1" si="87"/>
        <v>#VALUE!</v>
      </c>
      <c r="N4329" s="10" t="e">
        <f t="shared" ca="1" si="88"/>
        <v>#VALUE!</v>
      </c>
      <c r="O4329" s="7" t="str">
        <f ca="1">IFERROR(__xludf.DUMMYFUNCTION("GOOGLEFINANCE(""NSE:""&amp;D4329,""pe"")"),"#N/A")</f>
        <v>#N/A</v>
      </c>
      <c r="P4329" s="7" t="str">
        <f ca="1">IFERROR(__xludf.DUMMYFUNCTION("GOOGLEFINANCE(""NSE:""&amp;D4329,""EPS"")"),"#N/A")</f>
        <v>#N/A</v>
      </c>
      <c r="Q4329" s="7">
        <v>13.5</v>
      </c>
      <c r="R4329" s="7" t="str">
        <f ca="1">IFERROR(__xludf.DUMMYFUNCTION("IMPORTXML(E4329,""/html/body/main/div[3]/div[3]/div[2]/ul/li[7]/span[2]/span"")"),"Loading...")</f>
        <v>Loading...</v>
      </c>
      <c r="S4329" s="7" t="str">
        <f ca="1">IFERROR(__xludf.DUMMYFUNCTION("IMPORTXML(E4329,""/html/body/main/div[3]/div[3]/div[2]/ul/li[8]/span[2]/span"")"),"Loading...")</f>
        <v>Loading...</v>
      </c>
      <c r="T4329" s="4">
        <v>34.6</v>
      </c>
      <c r="U4329" s="4">
        <v>22.7</v>
      </c>
      <c r="V4329" s="4">
        <v>2.6</v>
      </c>
      <c r="W4329" s="4">
        <v>5.7</v>
      </c>
      <c r="X4329" s="4">
        <v>519.92999999999995</v>
      </c>
      <c r="Y4329" s="7" t="e">
        <f t="shared" ca="1" si="89"/>
        <v>#VALUE!</v>
      </c>
    </row>
    <row r="4330" spans="1:25" ht="15" x14ac:dyDescent="0.25">
      <c r="A4330" s="4">
        <v>4329</v>
      </c>
      <c r="C4330" s="41" t="s">
        <v>6703</v>
      </c>
      <c r="D4330" s="42"/>
      <c r="E4330" s="5" t="str">
        <f t="shared" si="85"/>
        <v>https://www.screener.in/company//consolidated/</v>
      </c>
      <c r="F4330" s="4">
        <v>443059</v>
      </c>
      <c r="G4330" s="4">
        <v>3832241897</v>
      </c>
      <c r="H4330" s="6" t="e">
        <f t="shared" ca="1" si="86"/>
        <v>#VALUE!</v>
      </c>
      <c r="I4330" s="7" t="str">
        <f ca="1">IFERROR(__xludf.DUMMYFUNCTION("IMPORTXML(E4330,""/html/body/main/div[3]/div[3]/div[2]/ul/li[5]/span[2]/span"")"),"Loading...")</f>
        <v>Loading...</v>
      </c>
      <c r="J4330" s="7" t="str">
        <f ca="1">IFERROR(__xludf.DUMMYFUNCTION("GOOGLEFINANCE(""NSE:""&amp;D4330,""marketcap"")"),"#N/A")</f>
        <v>#N/A</v>
      </c>
      <c r="K4330" s="7">
        <v>992.8</v>
      </c>
      <c r="L4330" s="8" t="str">
        <f ca="1">IFERROR(__xludf.DUMMYFUNCTION("GOOGLEFINANCE(""NSE:""&amp;D4330,""price"")"),"#N/A")</f>
        <v>#N/A</v>
      </c>
      <c r="M4330" s="9" t="e">
        <f t="shared" ca="1" si="87"/>
        <v>#VALUE!</v>
      </c>
      <c r="N4330" s="10" t="e">
        <f t="shared" ca="1" si="88"/>
        <v>#VALUE!</v>
      </c>
      <c r="O4330" s="7" t="str">
        <f ca="1">IFERROR(__xludf.DUMMYFUNCTION("GOOGLEFINANCE(""NSE:""&amp;D4330,""pe"")"),"#N/A")</f>
        <v>#N/A</v>
      </c>
      <c r="P4330" s="7" t="str">
        <f ca="1">IFERROR(__xludf.DUMMYFUNCTION("GOOGLEFINANCE(""NSE:""&amp;D4330,""EPS"")"),"#N/A")</f>
        <v>#N/A</v>
      </c>
      <c r="Q4330" s="7">
        <v>13.5</v>
      </c>
      <c r="R4330" s="7" t="str">
        <f ca="1">IFERROR(__xludf.DUMMYFUNCTION("IMPORTXML(E4330,""/html/body/main/div[3]/div[3]/div[2]/ul/li[7]/span[2]/span"")"),"Loading...")</f>
        <v>Loading...</v>
      </c>
      <c r="S4330" s="7" t="str">
        <f ca="1">IFERROR(__xludf.DUMMYFUNCTION("IMPORTXML(E4330,""/html/body/main/div[3]/div[3]/div[2]/ul/li[8]/span[2]/span"")"),"Loading...")</f>
        <v>Loading...</v>
      </c>
      <c r="T4330" s="4">
        <v>34.6</v>
      </c>
      <c r="U4330" s="4">
        <v>22.7</v>
      </c>
      <c r="V4330" s="4">
        <v>2.6</v>
      </c>
      <c r="W4330" s="4">
        <v>5.7</v>
      </c>
      <c r="X4330" s="4">
        <v>519.92999999999995</v>
      </c>
      <c r="Y4330" s="7" t="e">
        <f t="shared" ca="1" si="89"/>
        <v>#VALUE!</v>
      </c>
    </row>
    <row r="4331" spans="1:25" ht="15" x14ac:dyDescent="0.25">
      <c r="A4331" s="4">
        <v>4330</v>
      </c>
      <c r="C4331" s="41" t="s">
        <v>6704</v>
      </c>
      <c r="D4331" s="42"/>
      <c r="E4331" s="5" t="str">
        <f t="shared" si="85"/>
        <v>https://www.screener.in/company//consolidated/</v>
      </c>
      <c r="F4331" s="4">
        <v>443059</v>
      </c>
      <c r="G4331" s="4">
        <v>3832241897</v>
      </c>
      <c r="H4331" s="6" t="e">
        <f t="shared" ca="1" si="86"/>
        <v>#VALUE!</v>
      </c>
      <c r="I4331" s="7" t="str">
        <f ca="1">IFERROR(__xludf.DUMMYFUNCTION("IMPORTXML(E4331,""/html/body/main/div[3]/div[3]/div[2]/ul/li[5]/span[2]/span"")"),"Loading...")</f>
        <v>Loading...</v>
      </c>
      <c r="J4331" s="7" t="str">
        <f ca="1">IFERROR(__xludf.DUMMYFUNCTION("GOOGLEFINANCE(""NSE:""&amp;D4331,""marketcap"")"),"#N/A")</f>
        <v>#N/A</v>
      </c>
      <c r="K4331" s="7">
        <v>992.8</v>
      </c>
      <c r="L4331" s="8" t="str">
        <f ca="1">IFERROR(__xludf.DUMMYFUNCTION("GOOGLEFINANCE(""NSE:""&amp;D4331,""price"")"),"#N/A")</f>
        <v>#N/A</v>
      </c>
      <c r="M4331" s="9" t="e">
        <f t="shared" ca="1" si="87"/>
        <v>#VALUE!</v>
      </c>
      <c r="N4331" s="10" t="e">
        <f t="shared" ca="1" si="88"/>
        <v>#VALUE!</v>
      </c>
      <c r="O4331" s="7" t="str">
        <f ca="1">IFERROR(__xludf.DUMMYFUNCTION("GOOGLEFINANCE(""NSE:""&amp;D4331,""pe"")"),"#N/A")</f>
        <v>#N/A</v>
      </c>
      <c r="P4331" s="7" t="str">
        <f ca="1">IFERROR(__xludf.DUMMYFUNCTION("GOOGLEFINANCE(""NSE:""&amp;D4331,""EPS"")"),"#N/A")</f>
        <v>#N/A</v>
      </c>
      <c r="Q4331" s="7">
        <v>13.5</v>
      </c>
      <c r="R4331" s="7" t="str">
        <f ca="1">IFERROR(__xludf.DUMMYFUNCTION("IMPORTXML(E4331,""/html/body/main/div[3]/div[3]/div[2]/ul/li[7]/span[2]/span"")"),"Loading...")</f>
        <v>Loading...</v>
      </c>
      <c r="S4331" s="7" t="str">
        <f ca="1">IFERROR(__xludf.DUMMYFUNCTION("IMPORTXML(E4331,""/html/body/main/div[3]/div[3]/div[2]/ul/li[8]/span[2]/span"")"),"Loading...")</f>
        <v>Loading...</v>
      </c>
      <c r="T4331" s="4">
        <v>34.6</v>
      </c>
      <c r="U4331" s="4">
        <v>22.7</v>
      </c>
      <c r="V4331" s="4">
        <v>2.6</v>
      </c>
      <c r="W4331" s="4">
        <v>5.7</v>
      </c>
      <c r="X4331" s="4">
        <v>519.92999999999995</v>
      </c>
      <c r="Y4331" s="7" t="e">
        <f t="shared" ca="1" si="89"/>
        <v>#VALUE!</v>
      </c>
    </row>
    <row r="4332" spans="1:25" ht="15" x14ac:dyDescent="0.25">
      <c r="A4332" s="4">
        <v>4331</v>
      </c>
      <c r="C4332" s="41" t="s">
        <v>6705</v>
      </c>
      <c r="D4332" s="42"/>
      <c r="E4332" s="5" t="str">
        <f t="shared" si="85"/>
        <v>https://www.screener.in/company//consolidated/</v>
      </c>
      <c r="F4332" s="4">
        <v>443059</v>
      </c>
      <c r="G4332" s="4">
        <v>3832241897</v>
      </c>
      <c r="H4332" s="6" t="e">
        <f t="shared" ca="1" si="86"/>
        <v>#VALUE!</v>
      </c>
      <c r="I4332" s="7" t="str">
        <f ca="1">IFERROR(__xludf.DUMMYFUNCTION("IMPORTXML(E4332,""/html/body/main/div[3]/div[3]/div[2]/ul/li[5]/span[2]/span"")"),"Loading...")</f>
        <v>Loading...</v>
      </c>
      <c r="J4332" s="7" t="str">
        <f ca="1">IFERROR(__xludf.DUMMYFUNCTION("GOOGLEFINANCE(""NSE:""&amp;D4332,""marketcap"")"),"#N/A")</f>
        <v>#N/A</v>
      </c>
      <c r="K4332" s="7">
        <v>992.8</v>
      </c>
      <c r="L4332" s="8" t="str">
        <f ca="1">IFERROR(__xludf.DUMMYFUNCTION("GOOGLEFINANCE(""NSE:""&amp;D4332,""price"")"),"#N/A")</f>
        <v>#N/A</v>
      </c>
      <c r="M4332" s="9" t="e">
        <f t="shared" ca="1" si="87"/>
        <v>#VALUE!</v>
      </c>
      <c r="N4332" s="10" t="e">
        <f t="shared" ca="1" si="88"/>
        <v>#VALUE!</v>
      </c>
      <c r="O4332" s="7" t="str">
        <f ca="1">IFERROR(__xludf.DUMMYFUNCTION("GOOGLEFINANCE(""NSE:""&amp;D4332,""pe"")"),"#N/A")</f>
        <v>#N/A</v>
      </c>
      <c r="P4332" s="7" t="str">
        <f ca="1">IFERROR(__xludf.DUMMYFUNCTION("GOOGLEFINANCE(""NSE:""&amp;D4332,""EPS"")"),"#N/A")</f>
        <v>#N/A</v>
      </c>
      <c r="Q4332" s="7">
        <v>13.5</v>
      </c>
      <c r="R4332" s="7" t="str">
        <f ca="1">IFERROR(__xludf.DUMMYFUNCTION("IMPORTXML(E4332,""/html/body/main/div[3]/div[3]/div[2]/ul/li[7]/span[2]/span"")"),"Loading...")</f>
        <v>Loading...</v>
      </c>
      <c r="S4332" s="7" t="str">
        <f ca="1">IFERROR(__xludf.DUMMYFUNCTION("IMPORTXML(E4332,""/html/body/main/div[3]/div[3]/div[2]/ul/li[8]/span[2]/span"")"),"Loading...")</f>
        <v>Loading...</v>
      </c>
      <c r="T4332" s="4">
        <v>34.6</v>
      </c>
      <c r="U4332" s="4">
        <v>22.7</v>
      </c>
      <c r="V4332" s="4">
        <v>2.6</v>
      </c>
      <c r="W4332" s="4">
        <v>5.7</v>
      </c>
      <c r="X4332" s="4">
        <v>519.92999999999995</v>
      </c>
      <c r="Y4332" s="7" t="e">
        <f t="shared" ca="1" si="89"/>
        <v>#VALUE!</v>
      </c>
    </row>
    <row r="4333" spans="1:25" ht="15" x14ac:dyDescent="0.25">
      <c r="A4333" s="4">
        <v>4332</v>
      </c>
      <c r="C4333" s="41" t="s">
        <v>6706</v>
      </c>
      <c r="D4333" s="42"/>
      <c r="E4333" s="5" t="str">
        <f t="shared" si="85"/>
        <v>https://www.screener.in/company//consolidated/</v>
      </c>
      <c r="F4333" s="4">
        <v>443059</v>
      </c>
      <c r="G4333" s="4">
        <v>3832241897</v>
      </c>
      <c r="H4333" s="6" t="e">
        <f t="shared" ca="1" si="86"/>
        <v>#VALUE!</v>
      </c>
      <c r="I4333" s="7" t="str">
        <f ca="1">IFERROR(__xludf.DUMMYFUNCTION("IMPORTXML(E4333,""/html/body/main/div[3]/div[3]/div[2]/ul/li[5]/span[2]/span"")"),"Loading...")</f>
        <v>Loading...</v>
      </c>
      <c r="J4333" s="7" t="str">
        <f ca="1">IFERROR(__xludf.DUMMYFUNCTION("GOOGLEFINANCE(""NSE:""&amp;D4333,""marketcap"")"),"#N/A")</f>
        <v>#N/A</v>
      </c>
      <c r="K4333" s="7">
        <v>992.8</v>
      </c>
      <c r="L4333" s="8" t="str">
        <f ca="1">IFERROR(__xludf.DUMMYFUNCTION("GOOGLEFINANCE(""NSE:""&amp;D4333,""price"")"),"#N/A")</f>
        <v>#N/A</v>
      </c>
      <c r="M4333" s="9" t="e">
        <f t="shared" ca="1" si="87"/>
        <v>#VALUE!</v>
      </c>
      <c r="N4333" s="10" t="e">
        <f t="shared" ca="1" si="88"/>
        <v>#VALUE!</v>
      </c>
      <c r="O4333" s="7" t="str">
        <f ca="1">IFERROR(__xludf.DUMMYFUNCTION("GOOGLEFINANCE(""NSE:""&amp;D4333,""pe"")"),"#N/A")</f>
        <v>#N/A</v>
      </c>
      <c r="P4333" s="7" t="str">
        <f ca="1">IFERROR(__xludf.DUMMYFUNCTION("GOOGLEFINANCE(""NSE:""&amp;D4333,""EPS"")"),"#N/A")</f>
        <v>#N/A</v>
      </c>
      <c r="Q4333" s="7">
        <v>13.5</v>
      </c>
      <c r="R4333" s="7" t="str">
        <f ca="1">IFERROR(__xludf.DUMMYFUNCTION("IMPORTXML(E4333,""/html/body/main/div[3]/div[3]/div[2]/ul/li[7]/span[2]/span"")"),"Loading...")</f>
        <v>Loading...</v>
      </c>
      <c r="S4333" s="7" t="str">
        <f ca="1">IFERROR(__xludf.DUMMYFUNCTION("IMPORTXML(E4333,""/html/body/main/div[3]/div[3]/div[2]/ul/li[8]/span[2]/span"")"),"Loading...")</f>
        <v>Loading...</v>
      </c>
      <c r="T4333" s="4">
        <v>34.6</v>
      </c>
      <c r="U4333" s="4">
        <v>22.7</v>
      </c>
      <c r="V4333" s="4">
        <v>2.6</v>
      </c>
      <c r="W4333" s="4">
        <v>5.7</v>
      </c>
      <c r="X4333" s="4">
        <v>519.92999999999995</v>
      </c>
      <c r="Y4333" s="7" t="e">
        <f t="shared" ca="1" si="89"/>
        <v>#VALUE!</v>
      </c>
    </row>
    <row r="4334" spans="1:25" ht="15" x14ac:dyDescent="0.25">
      <c r="A4334" s="4">
        <v>4333</v>
      </c>
      <c r="C4334" s="41" t="s">
        <v>6707</v>
      </c>
      <c r="D4334" s="42"/>
      <c r="E4334" s="5" t="str">
        <f t="shared" si="85"/>
        <v>https://www.screener.in/company//consolidated/</v>
      </c>
      <c r="F4334" s="4">
        <v>443059</v>
      </c>
      <c r="G4334" s="4">
        <v>3832241897</v>
      </c>
      <c r="H4334" s="6" t="e">
        <f t="shared" ca="1" si="86"/>
        <v>#VALUE!</v>
      </c>
      <c r="I4334" s="7" t="str">
        <f ca="1">IFERROR(__xludf.DUMMYFUNCTION("IMPORTXML(E4334,""/html/body/main/div[3]/div[3]/div[2]/ul/li[5]/span[2]/span"")"),"Loading...")</f>
        <v>Loading...</v>
      </c>
      <c r="J4334" s="7" t="str">
        <f ca="1">IFERROR(__xludf.DUMMYFUNCTION("GOOGLEFINANCE(""NSE:""&amp;D4334,""marketcap"")"),"#N/A")</f>
        <v>#N/A</v>
      </c>
      <c r="K4334" s="7">
        <v>992.8</v>
      </c>
      <c r="L4334" s="8" t="str">
        <f ca="1">IFERROR(__xludf.DUMMYFUNCTION("GOOGLEFINANCE(""NSE:""&amp;D4334,""price"")"),"#N/A")</f>
        <v>#N/A</v>
      </c>
      <c r="M4334" s="9" t="e">
        <f t="shared" ca="1" si="87"/>
        <v>#VALUE!</v>
      </c>
      <c r="N4334" s="10" t="e">
        <f t="shared" ca="1" si="88"/>
        <v>#VALUE!</v>
      </c>
      <c r="O4334" s="7" t="str">
        <f ca="1">IFERROR(__xludf.DUMMYFUNCTION("GOOGLEFINANCE(""NSE:""&amp;D4334,""pe"")"),"#N/A")</f>
        <v>#N/A</v>
      </c>
      <c r="P4334" s="7" t="str">
        <f ca="1">IFERROR(__xludf.DUMMYFUNCTION("GOOGLEFINANCE(""NSE:""&amp;D4334,""EPS"")"),"#N/A")</f>
        <v>#N/A</v>
      </c>
      <c r="Q4334" s="7">
        <v>13.5</v>
      </c>
      <c r="R4334" s="7" t="str">
        <f ca="1">IFERROR(__xludf.DUMMYFUNCTION("IMPORTXML(E4334,""/html/body/main/div[3]/div[3]/div[2]/ul/li[7]/span[2]/span"")"),"Loading...")</f>
        <v>Loading...</v>
      </c>
      <c r="S4334" s="7" t="str">
        <f ca="1">IFERROR(__xludf.DUMMYFUNCTION("IMPORTXML(E4334,""/html/body/main/div[3]/div[3]/div[2]/ul/li[8]/span[2]/span"")"),"Loading...")</f>
        <v>Loading...</v>
      </c>
      <c r="T4334" s="4">
        <v>34.6</v>
      </c>
      <c r="U4334" s="4">
        <v>22.7</v>
      </c>
      <c r="V4334" s="4">
        <v>2.6</v>
      </c>
      <c r="W4334" s="4">
        <v>5.7</v>
      </c>
      <c r="X4334" s="4">
        <v>519.92999999999995</v>
      </c>
      <c r="Y4334" s="7" t="e">
        <f t="shared" ca="1" si="89"/>
        <v>#VALUE!</v>
      </c>
    </row>
    <row r="4335" spans="1:25" ht="15" x14ac:dyDescent="0.25">
      <c r="A4335" s="4">
        <v>4334</v>
      </c>
      <c r="C4335" s="41" t="s">
        <v>6708</v>
      </c>
      <c r="D4335" s="42"/>
      <c r="E4335" s="5" t="str">
        <f t="shared" si="85"/>
        <v>https://www.screener.in/company//consolidated/</v>
      </c>
      <c r="F4335" s="4">
        <v>443059</v>
      </c>
      <c r="G4335" s="4">
        <v>3832241897</v>
      </c>
      <c r="H4335" s="6" t="e">
        <f t="shared" ca="1" si="86"/>
        <v>#VALUE!</v>
      </c>
      <c r="I4335" s="7" t="str">
        <f ca="1">IFERROR(__xludf.DUMMYFUNCTION("IMPORTXML(E4335,""/html/body/main/div[3]/div[3]/div[2]/ul/li[5]/span[2]/span"")"),"Loading...")</f>
        <v>Loading...</v>
      </c>
      <c r="J4335" s="7" t="str">
        <f ca="1">IFERROR(__xludf.DUMMYFUNCTION("GOOGLEFINANCE(""NSE:""&amp;D4335,""marketcap"")"),"#N/A")</f>
        <v>#N/A</v>
      </c>
      <c r="K4335" s="7">
        <v>992.8</v>
      </c>
      <c r="L4335" s="8" t="str">
        <f ca="1">IFERROR(__xludf.DUMMYFUNCTION("GOOGLEFINANCE(""NSE:""&amp;D4335,""price"")"),"#N/A")</f>
        <v>#N/A</v>
      </c>
      <c r="M4335" s="9" t="e">
        <f t="shared" ca="1" si="87"/>
        <v>#VALUE!</v>
      </c>
      <c r="N4335" s="10" t="e">
        <f t="shared" ca="1" si="88"/>
        <v>#VALUE!</v>
      </c>
      <c r="O4335" s="7" t="str">
        <f ca="1">IFERROR(__xludf.DUMMYFUNCTION("GOOGLEFINANCE(""NSE:""&amp;D4335,""pe"")"),"#N/A")</f>
        <v>#N/A</v>
      </c>
      <c r="P4335" s="7" t="str">
        <f ca="1">IFERROR(__xludf.DUMMYFUNCTION("GOOGLEFINANCE(""NSE:""&amp;D4335,""EPS"")"),"#N/A")</f>
        <v>#N/A</v>
      </c>
      <c r="Q4335" s="7">
        <v>13.5</v>
      </c>
      <c r="R4335" s="7" t="str">
        <f ca="1">IFERROR(__xludf.DUMMYFUNCTION("IMPORTXML(E4335,""/html/body/main/div[3]/div[3]/div[2]/ul/li[7]/span[2]/span"")"),"Loading...")</f>
        <v>Loading...</v>
      </c>
      <c r="S4335" s="7" t="str">
        <f ca="1">IFERROR(__xludf.DUMMYFUNCTION("IMPORTXML(E4335,""/html/body/main/div[3]/div[3]/div[2]/ul/li[8]/span[2]/span"")"),"Loading...")</f>
        <v>Loading...</v>
      </c>
      <c r="T4335" s="4">
        <v>34.6</v>
      </c>
      <c r="U4335" s="4">
        <v>22.7</v>
      </c>
      <c r="V4335" s="4">
        <v>2.6</v>
      </c>
      <c r="W4335" s="4">
        <v>5.7</v>
      </c>
      <c r="X4335" s="4">
        <v>519.92999999999995</v>
      </c>
      <c r="Y4335" s="7" t="e">
        <f t="shared" ca="1" si="89"/>
        <v>#VALUE!</v>
      </c>
    </row>
    <row r="4336" spans="1:25" ht="15" x14ac:dyDescent="0.25">
      <c r="A4336" s="4">
        <v>4335</v>
      </c>
      <c r="C4336" s="41" t="s">
        <v>6709</v>
      </c>
      <c r="D4336" s="42"/>
      <c r="E4336" s="5" t="str">
        <f t="shared" si="85"/>
        <v>https://www.screener.in/company//consolidated/</v>
      </c>
      <c r="F4336" s="4">
        <v>443059</v>
      </c>
      <c r="G4336" s="4">
        <v>3832241897</v>
      </c>
      <c r="H4336" s="6" t="e">
        <f t="shared" ca="1" si="86"/>
        <v>#VALUE!</v>
      </c>
      <c r="I4336" s="7" t="str">
        <f ca="1">IFERROR(__xludf.DUMMYFUNCTION("IMPORTXML(E4336,""/html/body/main/div[3]/div[3]/div[2]/ul/li[5]/span[2]/span"")"),"Loading...")</f>
        <v>Loading...</v>
      </c>
      <c r="J4336" s="7" t="str">
        <f ca="1">IFERROR(__xludf.DUMMYFUNCTION("GOOGLEFINANCE(""NSE:""&amp;D4336,""marketcap"")"),"#N/A")</f>
        <v>#N/A</v>
      </c>
      <c r="K4336" s="7">
        <v>992.8</v>
      </c>
      <c r="L4336" s="8" t="str">
        <f ca="1">IFERROR(__xludf.DUMMYFUNCTION("GOOGLEFINANCE(""NSE:""&amp;D4336,""price"")"),"#N/A")</f>
        <v>#N/A</v>
      </c>
      <c r="M4336" s="9" t="e">
        <f t="shared" ca="1" si="87"/>
        <v>#VALUE!</v>
      </c>
      <c r="N4336" s="10" t="e">
        <f t="shared" ca="1" si="88"/>
        <v>#VALUE!</v>
      </c>
      <c r="O4336" s="7" t="str">
        <f ca="1">IFERROR(__xludf.DUMMYFUNCTION("GOOGLEFINANCE(""NSE:""&amp;D4336,""pe"")"),"#N/A")</f>
        <v>#N/A</v>
      </c>
      <c r="P4336" s="7" t="str">
        <f ca="1">IFERROR(__xludf.DUMMYFUNCTION("GOOGLEFINANCE(""NSE:""&amp;D4336,""EPS"")"),"#N/A")</f>
        <v>#N/A</v>
      </c>
      <c r="Q4336" s="7">
        <v>13.5</v>
      </c>
      <c r="R4336" s="7" t="str">
        <f ca="1">IFERROR(__xludf.DUMMYFUNCTION("IMPORTXML(E4336,""/html/body/main/div[3]/div[3]/div[2]/ul/li[7]/span[2]/span"")"),"Loading...")</f>
        <v>Loading...</v>
      </c>
      <c r="S4336" s="7" t="str">
        <f ca="1">IFERROR(__xludf.DUMMYFUNCTION("IMPORTXML(E4336,""/html/body/main/div[3]/div[3]/div[2]/ul/li[8]/span[2]/span"")"),"Loading...")</f>
        <v>Loading...</v>
      </c>
      <c r="T4336" s="4">
        <v>34.6</v>
      </c>
      <c r="U4336" s="4">
        <v>22.7</v>
      </c>
      <c r="V4336" s="4">
        <v>2.6</v>
      </c>
      <c r="W4336" s="4">
        <v>5.7</v>
      </c>
      <c r="X4336" s="4">
        <v>519.92999999999995</v>
      </c>
      <c r="Y4336" s="7" t="e">
        <f t="shared" ca="1" si="89"/>
        <v>#VALUE!</v>
      </c>
    </row>
    <row r="4337" spans="1:25" ht="15" x14ac:dyDescent="0.25">
      <c r="A4337" s="4">
        <v>4336</v>
      </c>
      <c r="C4337" s="41" t="s">
        <v>6710</v>
      </c>
      <c r="D4337" s="42"/>
      <c r="E4337" s="5" t="str">
        <f t="shared" si="85"/>
        <v>https://www.screener.in/company//consolidated/</v>
      </c>
      <c r="F4337" s="4">
        <v>443059</v>
      </c>
      <c r="G4337" s="4">
        <v>3832241897</v>
      </c>
      <c r="H4337" s="6" t="e">
        <f t="shared" ca="1" si="86"/>
        <v>#VALUE!</v>
      </c>
      <c r="I4337" s="7" t="str">
        <f ca="1">IFERROR(__xludf.DUMMYFUNCTION("IMPORTXML(E4337,""/html/body/main/div[3]/div[3]/div[2]/ul/li[5]/span[2]/span"")"),"Loading...")</f>
        <v>Loading...</v>
      </c>
      <c r="J4337" s="7" t="str">
        <f ca="1">IFERROR(__xludf.DUMMYFUNCTION("GOOGLEFINANCE(""NSE:""&amp;D4337,""marketcap"")"),"#N/A")</f>
        <v>#N/A</v>
      </c>
      <c r="K4337" s="7">
        <v>992.8</v>
      </c>
      <c r="L4337" s="8" t="str">
        <f ca="1">IFERROR(__xludf.DUMMYFUNCTION("GOOGLEFINANCE(""NSE:""&amp;D4337,""price"")"),"#N/A")</f>
        <v>#N/A</v>
      </c>
      <c r="M4337" s="9" t="e">
        <f t="shared" ca="1" si="87"/>
        <v>#VALUE!</v>
      </c>
      <c r="N4337" s="10" t="e">
        <f t="shared" ca="1" si="88"/>
        <v>#VALUE!</v>
      </c>
      <c r="O4337" s="7" t="str">
        <f ca="1">IFERROR(__xludf.DUMMYFUNCTION("GOOGLEFINANCE(""NSE:""&amp;D4337,""pe"")"),"#N/A")</f>
        <v>#N/A</v>
      </c>
      <c r="P4337" s="7" t="str">
        <f ca="1">IFERROR(__xludf.DUMMYFUNCTION("GOOGLEFINANCE(""NSE:""&amp;D4337,""EPS"")"),"#N/A")</f>
        <v>#N/A</v>
      </c>
      <c r="Q4337" s="7">
        <v>13.5</v>
      </c>
      <c r="R4337" s="7" t="str">
        <f ca="1">IFERROR(__xludf.DUMMYFUNCTION("IMPORTXML(E4337,""/html/body/main/div[3]/div[3]/div[2]/ul/li[7]/span[2]/span"")"),"Loading...")</f>
        <v>Loading...</v>
      </c>
      <c r="S4337" s="7" t="str">
        <f ca="1">IFERROR(__xludf.DUMMYFUNCTION("IMPORTXML(E4337,""/html/body/main/div[3]/div[3]/div[2]/ul/li[8]/span[2]/span"")"),"Loading...")</f>
        <v>Loading...</v>
      </c>
      <c r="T4337" s="4">
        <v>34.6</v>
      </c>
      <c r="U4337" s="4">
        <v>22.7</v>
      </c>
      <c r="V4337" s="4">
        <v>2.6</v>
      </c>
      <c r="W4337" s="4">
        <v>5.7</v>
      </c>
      <c r="X4337" s="4">
        <v>519.92999999999995</v>
      </c>
      <c r="Y4337" s="7" t="e">
        <f t="shared" ca="1" si="89"/>
        <v>#VALUE!</v>
      </c>
    </row>
    <row r="4338" spans="1:25" ht="15" x14ac:dyDescent="0.25">
      <c r="A4338" s="4">
        <v>4337</v>
      </c>
      <c r="C4338" s="41" t="s">
        <v>6711</v>
      </c>
      <c r="D4338" s="42"/>
      <c r="E4338" s="5" t="str">
        <f t="shared" si="85"/>
        <v>https://www.screener.in/company//consolidated/</v>
      </c>
      <c r="F4338" s="4">
        <v>443059</v>
      </c>
      <c r="G4338" s="4">
        <v>3832241897</v>
      </c>
      <c r="H4338" s="6" t="e">
        <f t="shared" ca="1" si="86"/>
        <v>#VALUE!</v>
      </c>
      <c r="I4338" s="7" t="str">
        <f ca="1">IFERROR(__xludf.DUMMYFUNCTION("IMPORTXML(E4338,""/html/body/main/div[3]/div[3]/div[2]/ul/li[5]/span[2]/span"")"),"Loading...")</f>
        <v>Loading...</v>
      </c>
      <c r="J4338" s="7" t="str">
        <f ca="1">IFERROR(__xludf.DUMMYFUNCTION("GOOGLEFINANCE(""NSE:""&amp;D4338,""marketcap"")"),"#N/A")</f>
        <v>#N/A</v>
      </c>
      <c r="K4338" s="7">
        <v>992.8</v>
      </c>
      <c r="L4338" s="8" t="str">
        <f ca="1">IFERROR(__xludf.DUMMYFUNCTION("GOOGLEFINANCE(""NSE:""&amp;D4338,""price"")"),"#N/A")</f>
        <v>#N/A</v>
      </c>
      <c r="M4338" s="9" t="e">
        <f t="shared" ca="1" si="87"/>
        <v>#VALUE!</v>
      </c>
      <c r="N4338" s="10" t="e">
        <f t="shared" ca="1" si="88"/>
        <v>#VALUE!</v>
      </c>
      <c r="O4338" s="7" t="str">
        <f ca="1">IFERROR(__xludf.DUMMYFUNCTION("GOOGLEFINANCE(""NSE:""&amp;D4338,""pe"")"),"#N/A")</f>
        <v>#N/A</v>
      </c>
      <c r="P4338" s="7" t="str">
        <f ca="1">IFERROR(__xludf.DUMMYFUNCTION("GOOGLEFINANCE(""NSE:""&amp;D4338,""EPS"")"),"#N/A")</f>
        <v>#N/A</v>
      </c>
      <c r="Q4338" s="7">
        <v>13.5</v>
      </c>
      <c r="R4338" s="7" t="str">
        <f ca="1">IFERROR(__xludf.DUMMYFUNCTION("IMPORTXML(E4338,""/html/body/main/div[3]/div[3]/div[2]/ul/li[7]/span[2]/span"")"),"Loading...")</f>
        <v>Loading...</v>
      </c>
      <c r="S4338" s="7" t="str">
        <f ca="1">IFERROR(__xludf.DUMMYFUNCTION("IMPORTXML(E4338,""/html/body/main/div[3]/div[3]/div[2]/ul/li[8]/span[2]/span"")"),"Loading...")</f>
        <v>Loading...</v>
      </c>
      <c r="T4338" s="4">
        <v>34.6</v>
      </c>
      <c r="U4338" s="4">
        <v>22.7</v>
      </c>
      <c r="V4338" s="4">
        <v>2.6</v>
      </c>
      <c r="W4338" s="4">
        <v>5.7</v>
      </c>
      <c r="X4338" s="4">
        <v>519.92999999999995</v>
      </c>
      <c r="Y4338" s="7" t="e">
        <f t="shared" ca="1" si="89"/>
        <v>#VALUE!</v>
      </c>
    </row>
    <row r="4339" spans="1:25" ht="15" x14ac:dyDescent="0.25">
      <c r="A4339" s="4">
        <v>4338</v>
      </c>
      <c r="C4339" s="41" t="s">
        <v>6712</v>
      </c>
      <c r="D4339" s="42"/>
      <c r="E4339" s="5" t="str">
        <f t="shared" si="85"/>
        <v>https://www.screener.in/company//consolidated/</v>
      </c>
      <c r="F4339" s="4">
        <v>443059</v>
      </c>
      <c r="G4339" s="4">
        <v>3832241897</v>
      </c>
      <c r="H4339" s="6" t="e">
        <f t="shared" ca="1" si="86"/>
        <v>#VALUE!</v>
      </c>
      <c r="I4339" s="7" t="str">
        <f ca="1">IFERROR(__xludf.DUMMYFUNCTION("IMPORTXML(E4339,""/html/body/main/div[3]/div[3]/div[2]/ul/li[5]/span[2]/span"")"),"Loading...")</f>
        <v>Loading...</v>
      </c>
      <c r="J4339" s="7" t="str">
        <f ca="1">IFERROR(__xludf.DUMMYFUNCTION("GOOGLEFINANCE(""NSE:""&amp;D4339,""marketcap"")"),"#N/A")</f>
        <v>#N/A</v>
      </c>
      <c r="K4339" s="7">
        <v>992.8</v>
      </c>
      <c r="L4339" s="8" t="str">
        <f ca="1">IFERROR(__xludf.DUMMYFUNCTION("GOOGLEFINANCE(""NSE:""&amp;D4339,""price"")"),"#N/A")</f>
        <v>#N/A</v>
      </c>
      <c r="M4339" s="9" t="e">
        <f t="shared" ca="1" si="87"/>
        <v>#VALUE!</v>
      </c>
      <c r="N4339" s="10" t="e">
        <f t="shared" ca="1" si="88"/>
        <v>#VALUE!</v>
      </c>
      <c r="O4339" s="7" t="str">
        <f ca="1">IFERROR(__xludf.DUMMYFUNCTION("GOOGLEFINANCE(""NSE:""&amp;D4339,""pe"")"),"#N/A")</f>
        <v>#N/A</v>
      </c>
      <c r="P4339" s="7" t="str">
        <f ca="1">IFERROR(__xludf.DUMMYFUNCTION("GOOGLEFINANCE(""NSE:""&amp;D4339,""EPS"")"),"#N/A")</f>
        <v>#N/A</v>
      </c>
      <c r="Q4339" s="7">
        <v>13.5</v>
      </c>
      <c r="R4339" s="7" t="str">
        <f ca="1">IFERROR(__xludf.DUMMYFUNCTION("IMPORTXML(E4339,""/html/body/main/div[3]/div[3]/div[2]/ul/li[7]/span[2]/span"")"),"Loading...")</f>
        <v>Loading...</v>
      </c>
      <c r="S4339" s="7" t="str">
        <f ca="1">IFERROR(__xludf.DUMMYFUNCTION("IMPORTXML(E4339,""/html/body/main/div[3]/div[3]/div[2]/ul/li[8]/span[2]/span"")"),"Loading...")</f>
        <v>Loading...</v>
      </c>
      <c r="T4339" s="4">
        <v>34.6</v>
      </c>
      <c r="U4339" s="4">
        <v>22.7</v>
      </c>
      <c r="V4339" s="4">
        <v>2.6</v>
      </c>
      <c r="W4339" s="4">
        <v>5.7</v>
      </c>
      <c r="X4339" s="4">
        <v>519.92999999999995</v>
      </c>
      <c r="Y4339" s="7" t="e">
        <f t="shared" ca="1" si="89"/>
        <v>#VALUE!</v>
      </c>
    </row>
    <row r="4340" spans="1:25" ht="15" x14ac:dyDescent="0.25">
      <c r="A4340" s="4">
        <v>4339</v>
      </c>
      <c r="C4340" s="41" t="s">
        <v>6713</v>
      </c>
      <c r="D4340" s="42"/>
      <c r="E4340" s="5" t="str">
        <f t="shared" si="85"/>
        <v>https://www.screener.in/company//consolidated/</v>
      </c>
      <c r="F4340" s="4">
        <v>443059</v>
      </c>
      <c r="G4340" s="4">
        <v>3832241897</v>
      </c>
      <c r="H4340" s="6" t="e">
        <f t="shared" ca="1" si="86"/>
        <v>#VALUE!</v>
      </c>
      <c r="I4340" s="7" t="str">
        <f ca="1">IFERROR(__xludf.DUMMYFUNCTION("IMPORTXML(E4340,""/html/body/main/div[3]/div[3]/div[2]/ul/li[5]/span[2]/span"")"),"Loading...")</f>
        <v>Loading...</v>
      </c>
      <c r="J4340" s="7" t="str">
        <f ca="1">IFERROR(__xludf.DUMMYFUNCTION("GOOGLEFINANCE(""NSE:""&amp;D4340,""marketcap"")"),"#N/A")</f>
        <v>#N/A</v>
      </c>
      <c r="K4340" s="7">
        <v>992.8</v>
      </c>
      <c r="L4340" s="8" t="str">
        <f ca="1">IFERROR(__xludf.DUMMYFUNCTION("GOOGLEFINANCE(""NSE:""&amp;D4340,""price"")"),"#N/A")</f>
        <v>#N/A</v>
      </c>
      <c r="M4340" s="9" t="e">
        <f t="shared" ca="1" si="87"/>
        <v>#VALUE!</v>
      </c>
      <c r="N4340" s="10" t="e">
        <f t="shared" ca="1" si="88"/>
        <v>#VALUE!</v>
      </c>
      <c r="O4340" s="7" t="str">
        <f ca="1">IFERROR(__xludf.DUMMYFUNCTION("GOOGLEFINANCE(""NSE:""&amp;D4340,""pe"")"),"#N/A")</f>
        <v>#N/A</v>
      </c>
      <c r="P4340" s="7" t="str">
        <f ca="1">IFERROR(__xludf.DUMMYFUNCTION("GOOGLEFINANCE(""NSE:""&amp;D4340,""EPS"")"),"#N/A")</f>
        <v>#N/A</v>
      </c>
      <c r="Q4340" s="7">
        <v>13.5</v>
      </c>
      <c r="R4340" s="7" t="str">
        <f ca="1">IFERROR(__xludf.DUMMYFUNCTION("IMPORTXML(E4340,""/html/body/main/div[3]/div[3]/div[2]/ul/li[7]/span[2]/span"")"),"Loading...")</f>
        <v>Loading...</v>
      </c>
      <c r="S4340" s="7" t="str">
        <f ca="1">IFERROR(__xludf.DUMMYFUNCTION("IMPORTXML(E4340,""/html/body/main/div[3]/div[3]/div[2]/ul/li[8]/span[2]/span"")"),"Loading...")</f>
        <v>Loading...</v>
      </c>
      <c r="T4340" s="4">
        <v>34.6</v>
      </c>
      <c r="U4340" s="4">
        <v>22.7</v>
      </c>
      <c r="V4340" s="4">
        <v>2.6</v>
      </c>
      <c r="W4340" s="4">
        <v>5.7</v>
      </c>
      <c r="X4340" s="4">
        <v>519.92999999999995</v>
      </c>
      <c r="Y4340" s="7" t="e">
        <f t="shared" ca="1" si="89"/>
        <v>#VALUE!</v>
      </c>
    </row>
    <row r="4341" spans="1:25" ht="15" x14ac:dyDescent="0.25">
      <c r="A4341" s="4">
        <v>4340</v>
      </c>
      <c r="C4341" s="41" t="s">
        <v>6714</v>
      </c>
      <c r="D4341" s="42"/>
      <c r="E4341" s="5" t="str">
        <f t="shared" si="85"/>
        <v>https://www.screener.in/company//consolidated/</v>
      </c>
      <c r="F4341" s="4">
        <v>443059</v>
      </c>
      <c r="G4341" s="4">
        <v>3832241897</v>
      </c>
      <c r="H4341" s="6" t="e">
        <f t="shared" ca="1" si="86"/>
        <v>#VALUE!</v>
      </c>
      <c r="I4341" s="7" t="str">
        <f ca="1">IFERROR(__xludf.DUMMYFUNCTION("IMPORTXML(E4341,""/html/body/main/div[3]/div[3]/div[2]/ul/li[5]/span[2]/span"")"),"Loading...")</f>
        <v>Loading...</v>
      </c>
      <c r="J4341" s="7" t="str">
        <f ca="1">IFERROR(__xludf.DUMMYFUNCTION("GOOGLEFINANCE(""NSE:""&amp;D4341,""marketcap"")"),"#N/A")</f>
        <v>#N/A</v>
      </c>
      <c r="K4341" s="7">
        <v>992.8</v>
      </c>
      <c r="L4341" s="8" t="str">
        <f ca="1">IFERROR(__xludf.DUMMYFUNCTION("GOOGLEFINANCE(""NSE:""&amp;D4341,""price"")"),"#N/A")</f>
        <v>#N/A</v>
      </c>
      <c r="M4341" s="9" t="e">
        <f t="shared" ca="1" si="87"/>
        <v>#VALUE!</v>
      </c>
      <c r="N4341" s="10" t="e">
        <f t="shared" ca="1" si="88"/>
        <v>#VALUE!</v>
      </c>
      <c r="O4341" s="7" t="str">
        <f ca="1">IFERROR(__xludf.DUMMYFUNCTION("GOOGLEFINANCE(""NSE:""&amp;D4341,""pe"")"),"#N/A")</f>
        <v>#N/A</v>
      </c>
      <c r="P4341" s="7" t="str">
        <f ca="1">IFERROR(__xludf.DUMMYFUNCTION("GOOGLEFINANCE(""NSE:""&amp;D4341,""EPS"")"),"#N/A")</f>
        <v>#N/A</v>
      </c>
      <c r="Q4341" s="7">
        <v>13.5</v>
      </c>
      <c r="R4341" s="7" t="str">
        <f ca="1">IFERROR(__xludf.DUMMYFUNCTION("IMPORTXML(E4341,""/html/body/main/div[3]/div[3]/div[2]/ul/li[7]/span[2]/span"")"),"Loading...")</f>
        <v>Loading...</v>
      </c>
      <c r="S4341" s="7" t="str">
        <f ca="1">IFERROR(__xludf.DUMMYFUNCTION("IMPORTXML(E4341,""/html/body/main/div[3]/div[3]/div[2]/ul/li[8]/span[2]/span"")"),"Loading...")</f>
        <v>Loading...</v>
      </c>
      <c r="T4341" s="4">
        <v>34.6</v>
      </c>
      <c r="U4341" s="4">
        <v>22.7</v>
      </c>
      <c r="V4341" s="4">
        <v>2.6</v>
      </c>
      <c r="W4341" s="4">
        <v>5.7</v>
      </c>
      <c r="X4341" s="4">
        <v>519.92999999999995</v>
      </c>
      <c r="Y4341" s="7" t="e">
        <f t="shared" ca="1" si="89"/>
        <v>#VALUE!</v>
      </c>
    </row>
    <row r="4342" spans="1:25" ht="15" x14ac:dyDescent="0.25">
      <c r="A4342" s="4">
        <v>4341</v>
      </c>
      <c r="C4342" s="41" t="s">
        <v>6715</v>
      </c>
      <c r="D4342" s="42"/>
      <c r="E4342" s="5" t="str">
        <f t="shared" si="85"/>
        <v>https://www.screener.in/company//consolidated/</v>
      </c>
      <c r="F4342" s="4">
        <v>443059</v>
      </c>
      <c r="G4342" s="4">
        <v>3832241897</v>
      </c>
      <c r="H4342" s="6" t="e">
        <f t="shared" ca="1" si="86"/>
        <v>#VALUE!</v>
      </c>
      <c r="I4342" s="7" t="str">
        <f ca="1">IFERROR(__xludf.DUMMYFUNCTION("IMPORTXML(E4342,""/html/body/main/div[3]/div[3]/div[2]/ul/li[5]/span[2]/span"")"),"Loading...")</f>
        <v>Loading...</v>
      </c>
      <c r="J4342" s="7" t="str">
        <f ca="1">IFERROR(__xludf.DUMMYFUNCTION("GOOGLEFINANCE(""NSE:""&amp;D4342,""marketcap"")"),"#N/A")</f>
        <v>#N/A</v>
      </c>
      <c r="K4342" s="7">
        <v>992.8</v>
      </c>
      <c r="L4342" s="8" t="str">
        <f ca="1">IFERROR(__xludf.DUMMYFUNCTION("GOOGLEFINANCE(""NSE:""&amp;D4342,""price"")"),"#N/A")</f>
        <v>#N/A</v>
      </c>
      <c r="M4342" s="9" t="e">
        <f t="shared" ca="1" si="87"/>
        <v>#VALUE!</v>
      </c>
      <c r="N4342" s="10" t="e">
        <f t="shared" ca="1" si="88"/>
        <v>#VALUE!</v>
      </c>
      <c r="O4342" s="7" t="str">
        <f ca="1">IFERROR(__xludf.DUMMYFUNCTION("GOOGLEFINANCE(""NSE:""&amp;D4342,""pe"")"),"#N/A")</f>
        <v>#N/A</v>
      </c>
      <c r="P4342" s="7" t="str">
        <f ca="1">IFERROR(__xludf.DUMMYFUNCTION("GOOGLEFINANCE(""NSE:""&amp;D4342,""EPS"")"),"#N/A")</f>
        <v>#N/A</v>
      </c>
      <c r="Q4342" s="7">
        <v>13.5</v>
      </c>
      <c r="R4342" s="7" t="str">
        <f ca="1">IFERROR(__xludf.DUMMYFUNCTION("IMPORTXML(E4342,""/html/body/main/div[3]/div[3]/div[2]/ul/li[7]/span[2]/span"")"),"Loading...")</f>
        <v>Loading...</v>
      </c>
      <c r="S4342" s="7" t="str">
        <f ca="1">IFERROR(__xludf.DUMMYFUNCTION("IMPORTXML(E4342,""/html/body/main/div[3]/div[3]/div[2]/ul/li[8]/span[2]/span"")"),"Loading...")</f>
        <v>Loading...</v>
      </c>
      <c r="T4342" s="4">
        <v>34.6</v>
      </c>
      <c r="U4342" s="4">
        <v>22.7</v>
      </c>
      <c r="V4342" s="4">
        <v>2.6</v>
      </c>
      <c r="W4342" s="4">
        <v>5.7</v>
      </c>
      <c r="X4342" s="4">
        <v>519.92999999999995</v>
      </c>
      <c r="Y4342" s="7" t="e">
        <f t="shared" ca="1" si="89"/>
        <v>#VALUE!</v>
      </c>
    </row>
    <row r="4343" spans="1:25" ht="15" x14ac:dyDescent="0.25">
      <c r="A4343" s="4">
        <v>4342</v>
      </c>
      <c r="C4343" s="41" t="s">
        <v>6716</v>
      </c>
      <c r="D4343" s="42"/>
      <c r="E4343" s="5" t="str">
        <f t="shared" si="85"/>
        <v>https://www.screener.in/company//consolidated/</v>
      </c>
      <c r="F4343" s="4">
        <v>443059</v>
      </c>
      <c r="G4343" s="4">
        <v>3832241897</v>
      </c>
      <c r="H4343" s="6" t="e">
        <f t="shared" ca="1" si="86"/>
        <v>#VALUE!</v>
      </c>
      <c r="I4343" s="7" t="str">
        <f ca="1">IFERROR(__xludf.DUMMYFUNCTION("IMPORTXML(E4343,""/html/body/main/div[3]/div[3]/div[2]/ul/li[5]/span[2]/span"")"),"Loading...")</f>
        <v>Loading...</v>
      </c>
      <c r="J4343" s="7" t="str">
        <f ca="1">IFERROR(__xludf.DUMMYFUNCTION("GOOGLEFINANCE(""NSE:""&amp;D4343,""marketcap"")"),"#N/A")</f>
        <v>#N/A</v>
      </c>
      <c r="K4343" s="7">
        <v>992.8</v>
      </c>
      <c r="L4343" s="8" t="str">
        <f ca="1">IFERROR(__xludf.DUMMYFUNCTION("GOOGLEFINANCE(""NSE:""&amp;D4343,""price"")"),"#N/A")</f>
        <v>#N/A</v>
      </c>
      <c r="M4343" s="9" t="e">
        <f t="shared" ca="1" si="87"/>
        <v>#VALUE!</v>
      </c>
      <c r="N4343" s="10" t="e">
        <f t="shared" ca="1" si="88"/>
        <v>#VALUE!</v>
      </c>
      <c r="O4343" s="7" t="str">
        <f ca="1">IFERROR(__xludf.DUMMYFUNCTION("GOOGLEFINANCE(""NSE:""&amp;D4343,""pe"")"),"#N/A")</f>
        <v>#N/A</v>
      </c>
      <c r="P4343" s="7" t="str">
        <f ca="1">IFERROR(__xludf.DUMMYFUNCTION("GOOGLEFINANCE(""NSE:""&amp;D4343,""EPS"")"),"#N/A")</f>
        <v>#N/A</v>
      </c>
      <c r="Q4343" s="7">
        <v>13.5</v>
      </c>
      <c r="R4343" s="7" t="str">
        <f ca="1">IFERROR(__xludf.DUMMYFUNCTION("IMPORTXML(E4343,""/html/body/main/div[3]/div[3]/div[2]/ul/li[7]/span[2]/span"")"),"Loading...")</f>
        <v>Loading...</v>
      </c>
      <c r="S4343" s="7" t="str">
        <f ca="1">IFERROR(__xludf.DUMMYFUNCTION("IMPORTXML(E4343,""/html/body/main/div[3]/div[3]/div[2]/ul/li[8]/span[2]/span"")"),"Loading...")</f>
        <v>Loading...</v>
      </c>
      <c r="T4343" s="4">
        <v>34.6</v>
      </c>
      <c r="U4343" s="4">
        <v>22.7</v>
      </c>
      <c r="V4343" s="4">
        <v>2.6</v>
      </c>
      <c r="W4343" s="4">
        <v>5.7</v>
      </c>
      <c r="X4343" s="4">
        <v>519.92999999999995</v>
      </c>
      <c r="Y4343" s="7" t="e">
        <f t="shared" ca="1" si="89"/>
        <v>#VALUE!</v>
      </c>
    </row>
    <row r="4344" spans="1:25" ht="15" x14ac:dyDescent="0.25">
      <c r="A4344" s="4">
        <v>4343</v>
      </c>
      <c r="C4344" s="41" t="s">
        <v>6717</v>
      </c>
      <c r="D4344" s="42"/>
      <c r="E4344" s="5" t="str">
        <f t="shared" si="85"/>
        <v>https://www.screener.in/company//consolidated/</v>
      </c>
      <c r="F4344" s="4">
        <v>443059</v>
      </c>
      <c r="G4344" s="4">
        <v>3832241897</v>
      </c>
      <c r="H4344" s="6" t="e">
        <f t="shared" ca="1" si="86"/>
        <v>#VALUE!</v>
      </c>
      <c r="I4344" s="7" t="str">
        <f ca="1">IFERROR(__xludf.DUMMYFUNCTION("IMPORTXML(E4344,""/html/body/main/div[3]/div[3]/div[2]/ul/li[5]/span[2]/span"")"),"Loading...")</f>
        <v>Loading...</v>
      </c>
      <c r="J4344" s="7" t="str">
        <f ca="1">IFERROR(__xludf.DUMMYFUNCTION("GOOGLEFINANCE(""NSE:""&amp;D4344,""marketcap"")"),"#N/A")</f>
        <v>#N/A</v>
      </c>
      <c r="K4344" s="7">
        <v>992.8</v>
      </c>
      <c r="L4344" s="8" t="str">
        <f ca="1">IFERROR(__xludf.DUMMYFUNCTION("GOOGLEFINANCE(""NSE:""&amp;D4344,""price"")"),"#N/A")</f>
        <v>#N/A</v>
      </c>
      <c r="M4344" s="9" t="e">
        <f t="shared" ca="1" si="87"/>
        <v>#VALUE!</v>
      </c>
      <c r="N4344" s="10" t="e">
        <f t="shared" ca="1" si="88"/>
        <v>#VALUE!</v>
      </c>
      <c r="O4344" s="7" t="str">
        <f ca="1">IFERROR(__xludf.DUMMYFUNCTION("GOOGLEFINANCE(""NSE:""&amp;D4344,""pe"")"),"#N/A")</f>
        <v>#N/A</v>
      </c>
      <c r="P4344" s="7" t="str">
        <f ca="1">IFERROR(__xludf.DUMMYFUNCTION("GOOGLEFINANCE(""NSE:""&amp;D4344,""EPS"")"),"#N/A")</f>
        <v>#N/A</v>
      </c>
      <c r="Q4344" s="7">
        <v>13.5</v>
      </c>
      <c r="R4344" s="7" t="str">
        <f ca="1">IFERROR(__xludf.DUMMYFUNCTION("IMPORTXML(E4344,""/html/body/main/div[3]/div[3]/div[2]/ul/li[7]/span[2]/span"")"),"Loading...")</f>
        <v>Loading...</v>
      </c>
      <c r="S4344" s="7" t="str">
        <f ca="1">IFERROR(__xludf.DUMMYFUNCTION("IMPORTXML(E4344,""/html/body/main/div[3]/div[3]/div[2]/ul/li[8]/span[2]/span"")"),"Loading...")</f>
        <v>Loading...</v>
      </c>
      <c r="T4344" s="4">
        <v>34.6</v>
      </c>
      <c r="U4344" s="4">
        <v>22.7</v>
      </c>
      <c r="V4344" s="4">
        <v>2.6</v>
      </c>
      <c r="W4344" s="4">
        <v>5.7</v>
      </c>
      <c r="X4344" s="4">
        <v>519.92999999999995</v>
      </c>
      <c r="Y4344" s="7" t="e">
        <f t="shared" ca="1" si="89"/>
        <v>#VALUE!</v>
      </c>
    </row>
    <row r="4345" spans="1:25" ht="15" x14ac:dyDescent="0.25">
      <c r="A4345" s="4">
        <v>4344</v>
      </c>
      <c r="C4345" s="41" t="s">
        <v>6718</v>
      </c>
      <c r="D4345" s="42"/>
      <c r="E4345" s="5" t="str">
        <f t="shared" si="85"/>
        <v>https://www.screener.in/company//consolidated/</v>
      </c>
      <c r="F4345" s="4">
        <v>443059</v>
      </c>
      <c r="G4345" s="4">
        <v>3832241897</v>
      </c>
      <c r="H4345" s="6" t="e">
        <f t="shared" ca="1" si="86"/>
        <v>#VALUE!</v>
      </c>
      <c r="I4345" s="7" t="str">
        <f ca="1">IFERROR(__xludf.DUMMYFUNCTION("IMPORTXML(E4345,""/html/body/main/div[3]/div[3]/div[2]/ul/li[5]/span[2]/span"")"),"Loading...")</f>
        <v>Loading...</v>
      </c>
      <c r="J4345" s="7" t="str">
        <f ca="1">IFERROR(__xludf.DUMMYFUNCTION("GOOGLEFINANCE(""NSE:""&amp;D4345,""marketcap"")"),"#N/A")</f>
        <v>#N/A</v>
      </c>
      <c r="K4345" s="7">
        <v>992.8</v>
      </c>
      <c r="L4345" s="8" t="str">
        <f ca="1">IFERROR(__xludf.DUMMYFUNCTION("GOOGLEFINANCE(""NSE:""&amp;D4345,""price"")"),"#N/A")</f>
        <v>#N/A</v>
      </c>
      <c r="M4345" s="9" t="e">
        <f t="shared" ca="1" si="87"/>
        <v>#VALUE!</v>
      </c>
      <c r="N4345" s="10" t="e">
        <f t="shared" ca="1" si="88"/>
        <v>#VALUE!</v>
      </c>
      <c r="O4345" s="7" t="str">
        <f ca="1">IFERROR(__xludf.DUMMYFUNCTION("GOOGLEFINANCE(""NSE:""&amp;D4345,""pe"")"),"#N/A")</f>
        <v>#N/A</v>
      </c>
      <c r="P4345" s="7" t="str">
        <f ca="1">IFERROR(__xludf.DUMMYFUNCTION("GOOGLEFINANCE(""NSE:""&amp;D4345,""EPS"")"),"#N/A")</f>
        <v>#N/A</v>
      </c>
      <c r="Q4345" s="7">
        <v>13.5</v>
      </c>
      <c r="R4345" s="7" t="str">
        <f ca="1">IFERROR(__xludf.DUMMYFUNCTION("IMPORTXML(E4345,""/html/body/main/div[3]/div[3]/div[2]/ul/li[7]/span[2]/span"")"),"Loading...")</f>
        <v>Loading...</v>
      </c>
      <c r="S4345" s="7" t="str">
        <f ca="1">IFERROR(__xludf.DUMMYFUNCTION("IMPORTXML(E4345,""/html/body/main/div[3]/div[3]/div[2]/ul/li[8]/span[2]/span"")"),"Loading...")</f>
        <v>Loading...</v>
      </c>
      <c r="T4345" s="4">
        <v>34.6</v>
      </c>
      <c r="U4345" s="4">
        <v>22.7</v>
      </c>
      <c r="V4345" s="4">
        <v>2.6</v>
      </c>
      <c r="W4345" s="4">
        <v>5.7</v>
      </c>
      <c r="X4345" s="4">
        <v>519.92999999999995</v>
      </c>
      <c r="Y4345" s="7" t="e">
        <f t="shared" ca="1" si="89"/>
        <v>#VALUE!</v>
      </c>
    </row>
    <row r="4346" spans="1:25" ht="15" x14ac:dyDescent="0.25">
      <c r="A4346" s="4">
        <v>4345</v>
      </c>
      <c r="C4346" s="41" t="s">
        <v>6719</v>
      </c>
      <c r="D4346" s="42"/>
      <c r="E4346" s="5" t="str">
        <f t="shared" si="85"/>
        <v>https://www.screener.in/company//consolidated/</v>
      </c>
      <c r="F4346" s="4">
        <v>443059</v>
      </c>
      <c r="G4346" s="4">
        <v>3832241897</v>
      </c>
      <c r="H4346" s="6" t="e">
        <f t="shared" ca="1" si="86"/>
        <v>#VALUE!</v>
      </c>
      <c r="I4346" s="7" t="str">
        <f ca="1">IFERROR(__xludf.DUMMYFUNCTION("IMPORTXML(E4346,""/html/body/main/div[3]/div[3]/div[2]/ul/li[5]/span[2]/span"")"),"Loading...")</f>
        <v>Loading...</v>
      </c>
      <c r="J4346" s="7" t="str">
        <f ca="1">IFERROR(__xludf.DUMMYFUNCTION("GOOGLEFINANCE(""NSE:""&amp;D4346,""marketcap"")"),"#N/A")</f>
        <v>#N/A</v>
      </c>
      <c r="K4346" s="7">
        <v>992.8</v>
      </c>
      <c r="L4346" s="8" t="str">
        <f ca="1">IFERROR(__xludf.DUMMYFUNCTION("GOOGLEFINANCE(""NSE:""&amp;D4346,""price"")"),"#N/A")</f>
        <v>#N/A</v>
      </c>
      <c r="M4346" s="9" t="e">
        <f t="shared" ca="1" si="87"/>
        <v>#VALUE!</v>
      </c>
      <c r="N4346" s="10" t="e">
        <f t="shared" ca="1" si="88"/>
        <v>#VALUE!</v>
      </c>
      <c r="O4346" s="7" t="str">
        <f ca="1">IFERROR(__xludf.DUMMYFUNCTION("GOOGLEFINANCE(""NSE:""&amp;D4346,""pe"")"),"#N/A")</f>
        <v>#N/A</v>
      </c>
      <c r="P4346" s="7" t="str">
        <f ca="1">IFERROR(__xludf.DUMMYFUNCTION("GOOGLEFINANCE(""NSE:""&amp;D4346,""EPS"")"),"#N/A")</f>
        <v>#N/A</v>
      </c>
      <c r="Q4346" s="7">
        <v>13.5</v>
      </c>
      <c r="R4346" s="7" t="str">
        <f ca="1">IFERROR(__xludf.DUMMYFUNCTION("IMPORTXML(E4346,""/html/body/main/div[3]/div[3]/div[2]/ul/li[7]/span[2]/span"")"),"Loading...")</f>
        <v>Loading...</v>
      </c>
      <c r="S4346" s="7" t="str">
        <f ca="1">IFERROR(__xludf.DUMMYFUNCTION("IMPORTXML(E4346,""/html/body/main/div[3]/div[3]/div[2]/ul/li[8]/span[2]/span"")"),"Loading...")</f>
        <v>Loading...</v>
      </c>
      <c r="T4346" s="4">
        <v>34.6</v>
      </c>
      <c r="U4346" s="4">
        <v>22.7</v>
      </c>
      <c r="V4346" s="4">
        <v>2.6</v>
      </c>
      <c r="W4346" s="4">
        <v>5.7</v>
      </c>
      <c r="X4346" s="4">
        <v>519.92999999999995</v>
      </c>
      <c r="Y4346" s="7" t="e">
        <f t="shared" ca="1" si="89"/>
        <v>#VALUE!</v>
      </c>
    </row>
    <row r="4347" spans="1:25" ht="15" x14ac:dyDescent="0.25">
      <c r="A4347" s="4">
        <v>4346</v>
      </c>
      <c r="C4347" s="41" t="s">
        <v>6720</v>
      </c>
      <c r="D4347" s="42"/>
      <c r="E4347" s="5" t="str">
        <f t="shared" si="85"/>
        <v>https://www.screener.in/company//consolidated/</v>
      </c>
      <c r="F4347" s="4">
        <v>443059</v>
      </c>
      <c r="G4347" s="4">
        <v>3832241897</v>
      </c>
      <c r="H4347" s="6" t="e">
        <f t="shared" ca="1" si="86"/>
        <v>#VALUE!</v>
      </c>
      <c r="I4347" s="7" t="str">
        <f ca="1">IFERROR(__xludf.DUMMYFUNCTION("IMPORTXML(E4347,""/html/body/main/div[3]/div[3]/div[2]/ul/li[5]/span[2]/span"")"),"Loading...")</f>
        <v>Loading...</v>
      </c>
      <c r="J4347" s="7" t="str">
        <f ca="1">IFERROR(__xludf.DUMMYFUNCTION("GOOGLEFINANCE(""NSE:""&amp;D4347,""marketcap"")"),"#N/A")</f>
        <v>#N/A</v>
      </c>
      <c r="K4347" s="7">
        <v>992.8</v>
      </c>
      <c r="L4347" s="8" t="str">
        <f ca="1">IFERROR(__xludf.DUMMYFUNCTION("GOOGLEFINANCE(""NSE:""&amp;D4347,""price"")"),"#N/A")</f>
        <v>#N/A</v>
      </c>
      <c r="M4347" s="9" t="e">
        <f t="shared" ca="1" si="87"/>
        <v>#VALUE!</v>
      </c>
      <c r="N4347" s="10" t="e">
        <f t="shared" ca="1" si="88"/>
        <v>#VALUE!</v>
      </c>
      <c r="O4347" s="7" t="str">
        <f ca="1">IFERROR(__xludf.DUMMYFUNCTION("GOOGLEFINANCE(""NSE:""&amp;D4347,""pe"")"),"#N/A")</f>
        <v>#N/A</v>
      </c>
      <c r="P4347" s="7" t="str">
        <f ca="1">IFERROR(__xludf.DUMMYFUNCTION("GOOGLEFINANCE(""NSE:""&amp;D4347,""EPS"")"),"#N/A")</f>
        <v>#N/A</v>
      </c>
      <c r="Q4347" s="7">
        <v>13.5</v>
      </c>
      <c r="R4347" s="7" t="str">
        <f ca="1">IFERROR(__xludf.DUMMYFUNCTION("IMPORTXML(E4347,""/html/body/main/div[3]/div[3]/div[2]/ul/li[7]/span[2]/span"")"),"Loading...")</f>
        <v>Loading...</v>
      </c>
      <c r="S4347" s="7" t="str">
        <f ca="1">IFERROR(__xludf.DUMMYFUNCTION("IMPORTXML(E4347,""/html/body/main/div[3]/div[3]/div[2]/ul/li[8]/span[2]/span"")"),"Loading...")</f>
        <v>Loading...</v>
      </c>
      <c r="T4347" s="4">
        <v>34.6</v>
      </c>
      <c r="U4347" s="4">
        <v>22.7</v>
      </c>
      <c r="V4347" s="4">
        <v>2.6</v>
      </c>
      <c r="W4347" s="4">
        <v>5.7</v>
      </c>
      <c r="X4347" s="4">
        <v>519.92999999999995</v>
      </c>
      <c r="Y4347" s="7" t="e">
        <f t="shared" ca="1" si="89"/>
        <v>#VALUE!</v>
      </c>
    </row>
    <row r="4348" spans="1:25" ht="15" x14ac:dyDescent="0.25">
      <c r="A4348" s="4">
        <v>4347</v>
      </c>
      <c r="C4348" s="41" t="s">
        <v>6721</v>
      </c>
      <c r="D4348" s="42"/>
      <c r="E4348" s="5" t="str">
        <f t="shared" si="85"/>
        <v>https://www.screener.in/company//consolidated/</v>
      </c>
      <c r="F4348" s="4">
        <v>443059</v>
      </c>
      <c r="G4348" s="4">
        <v>3832241897</v>
      </c>
      <c r="H4348" s="6" t="e">
        <f t="shared" ca="1" si="86"/>
        <v>#VALUE!</v>
      </c>
      <c r="I4348" s="7" t="str">
        <f ca="1">IFERROR(__xludf.DUMMYFUNCTION("IMPORTXML(E4348,""/html/body/main/div[3]/div[3]/div[2]/ul/li[5]/span[2]/span"")"),"Loading...")</f>
        <v>Loading...</v>
      </c>
      <c r="J4348" s="7" t="str">
        <f ca="1">IFERROR(__xludf.DUMMYFUNCTION("GOOGLEFINANCE(""NSE:""&amp;D4348,""marketcap"")"),"#N/A")</f>
        <v>#N/A</v>
      </c>
      <c r="K4348" s="7">
        <v>992.8</v>
      </c>
      <c r="L4348" s="8" t="str">
        <f ca="1">IFERROR(__xludf.DUMMYFUNCTION("GOOGLEFINANCE(""NSE:""&amp;D4348,""price"")"),"#N/A")</f>
        <v>#N/A</v>
      </c>
      <c r="M4348" s="9" t="e">
        <f t="shared" ca="1" si="87"/>
        <v>#VALUE!</v>
      </c>
      <c r="N4348" s="10" t="e">
        <f t="shared" ca="1" si="88"/>
        <v>#VALUE!</v>
      </c>
      <c r="O4348" s="7" t="str">
        <f ca="1">IFERROR(__xludf.DUMMYFUNCTION("GOOGLEFINANCE(""NSE:""&amp;D4348,""pe"")"),"#N/A")</f>
        <v>#N/A</v>
      </c>
      <c r="P4348" s="7" t="str">
        <f ca="1">IFERROR(__xludf.DUMMYFUNCTION("GOOGLEFINANCE(""NSE:""&amp;D4348,""EPS"")"),"#N/A")</f>
        <v>#N/A</v>
      </c>
      <c r="Q4348" s="7">
        <v>13.5</v>
      </c>
      <c r="R4348" s="7" t="str">
        <f ca="1">IFERROR(__xludf.DUMMYFUNCTION("IMPORTXML(E4348,""/html/body/main/div[3]/div[3]/div[2]/ul/li[7]/span[2]/span"")"),"Loading...")</f>
        <v>Loading...</v>
      </c>
      <c r="S4348" s="7" t="str">
        <f ca="1">IFERROR(__xludf.DUMMYFUNCTION("IMPORTXML(E4348,""/html/body/main/div[3]/div[3]/div[2]/ul/li[8]/span[2]/span"")"),"Loading...")</f>
        <v>Loading...</v>
      </c>
      <c r="T4348" s="4">
        <v>34.6</v>
      </c>
      <c r="U4348" s="4">
        <v>22.7</v>
      </c>
      <c r="V4348" s="4">
        <v>2.6</v>
      </c>
      <c r="W4348" s="4">
        <v>5.7</v>
      </c>
      <c r="X4348" s="4">
        <v>519.92999999999995</v>
      </c>
      <c r="Y4348" s="7" t="e">
        <f t="shared" ca="1" si="89"/>
        <v>#VALUE!</v>
      </c>
    </row>
    <row r="4349" spans="1:25" ht="15" x14ac:dyDescent="0.25">
      <c r="A4349" s="4">
        <v>4348</v>
      </c>
      <c r="C4349" s="41" t="s">
        <v>6722</v>
      </c>
      <c r="D4349" s="42"/>
      <c r="E4349" s="5" t="str">
        <f t="shared" si="85"/>
        <v>https://www.screener.in/company//consolidated/</v>
      </c>
      <c r="F4349" s="4">
        <v>443059</v>
      </c>
      <c r="G4349" s="4">
        <v>3832241897</v>
      </c>
      <c r="H4349" s="6" t="e">
        <f t="shared" ca="1" si="86"/>
        <v>#VALUE!</v>
      </c>
      <c r="I4349" s="7" t="str">
        <f ca="1">IFERROR(__xludf.DUMMYFUNCTION("IMPORTXML(E4349,""/html/body/main/div[3]/div[3]/div[2]/ul/li[5]/span[2]/span"")"),"Loading...")</f>
        <v>Loading...</v>
      </c>
      <c r="J4349" s="7" t="str">
        <f ca="1">IFERROR(__xludf.DUMMYFUNCTION("GOOGLEFINANCE(""NSE:""&amp;D4349,""marketcap"")"),"#N/A")</f>
        <v>#N/A</v>
      </c>
      <c r="K4349" s="7">
        <v>992.8</v>
      </c>
      <c r="L4349" s="8" t="str">
        <f ca="1">IFERROR(__xludf.DUMMYFUNCTION("GOOGLEFINANCE(""NSE:""&amp;D4349,""price"")"),"#N/A")</f>
        <v>#N/A</v>
      </c>
      <c r="M4349" s="9" t="e">
        <f t="shared" ca="1" si="87"/>
        <v>#VALUE!</v>
      </c>
      <c r="N4349" s="10" t="e">
        <f t="shared" ca="1" si="88"/>
        <v>#VALUE!</v>
      </c>
      <c r="O4349" s="7" t="str">
        <f ca="1">IFERROR(__xludf.DUMMYFUNCTION("GOOGLEFINANCE(""NSE:""&amp;D4349,""pe"")"),"#N/A")</f>
        <v>#N/A</v>
      </c>
      <c r="P4349" s="7" t="str">
        <f ca="1">IFERROR(__xludf.DUMMYFUNCTION("GOOGLEFINANCE(""NSE:""&amp;D4349,""EPS"")"),"#N/A")</f>
        <v>#N/A</v>
      </c>
      <c r="Q4349" s="7">
        <v>13.5</v>
      </c>
      <c r="R4349" s="7" t="str">
        <f ca="1">IFERROR(__xludf.DUMMYFUNCTION("IMPORTXML(E4349,""/html/body/main/div[3]/div[3]/div[2]/ul/li[7]/span[2]/span"")"),"Loading...")</f>
        <v>Loading...</v>
      </c>
      <c r="S4349" s="7" t="str">
        <f ca="1">IFERROR(__xludf.DUMMYFUNCTION("IMPORTXML(E4349,""/html/body/main/div[3]/div[3]/div[2]/ul/li[8]/span[2]/span"")"),"Loading...")</f>
        <v>Loading...</v>
      </c>
      <c r="T4349" s="4">
        <v>34.6</v>
      </c>
      <c r="U4349" s="4">
        <v>22.7</v>
      </c>
      <c r="V4349" s="4">
        <v>2.6</v>
      </c>
      <c r="W4349" s="4">
        <v>5.7</v>
      </c>
      <c r="X4349" s="4">
        <v>519.92999999999995</v>
      </c>
      <c r="Y4349" s="7" t="e">
        <f t="shared" ca="1" si="89"/>
        <v>#VALUE!</v>
      </c>
    </row>
    <row r="4350" spans="1:25" ht="15" x14ac:dyDescent="0.25">
      <c r="A4350" s="4">
        <v>4349</v>
      </c>
      <c r="C4350" s="41" t="s">
        <v>6723</v>
      </c>
      <c r="D4350" s="42"/>
      <c r="E4350" s="5" t="str">
        <f t="shared" si="85"/>
        <v>https://www.screener.in/company//consolidated/</v>
      </c>
      <c r="F4350" s="4">
        <v>443059</v>
      </c>
      <c r="G4350" s="4">
        <v>3832241897</v>
      </c>
      <c r="H4350" s="6" t="e">
        <f t="shared" ca="1" si="86"/>
        <v>#VALUE!</v>
      </c>
      <c r="I4350" s="7" t="str">
        <f ca="1">IFERROR(__xludf.DUMMYFUNCTION("IMPORTXML(E4350,""/html/body/main/div[3]/div[3]/div[2]/ul/li[5]/span[2]/span"")"),"Loading...")</f>
        <v>Loading...</v>
      </c>
      <c r="J4350" s="7" t="str">
        <f ca="1">IFERROR(__xludf.DUMMYFUNCTION("GOOGLEFINANCE(""NSE:""&amp;D4350,""marketcap"")"),"#N/A")</f>
        <v>#N/A</v>
      </c>
      <c r="K4350" s="7">
        <v>992.8</v>
      </c>
      <c r="L4350" s="8" t="str">
        <f ca="1">IFERROR(__xludf.DUMMYFUNCTION("GOOGLEFINANCE(""NSE:""&amp;D4350,""price"")"),"#N/A")</f>
        <v>#N/A</v>
      </c>
      <c r="M4350" s="9" t="e">
        <f t="shared" ca="1" si="87"/>
        <v>#VALUE!</v>
      </c>
      <c r="N4350" s="10" t="e">
        <f t="shared" ca="1" si="88"/>
        <v>#VALUE!</v>
      </c>
      <c r="O4350" s="7" t="str">
        <f ca="1">IFERROR(__xludf.DUMMYFUNCTION("GOOGLEFINANCE(""NSE:""&amp;D4350,""pe"")"),"#N/A")</f>
        <v>#N/A</v>
      </c>
      <c r="P4350" s="7" t="str">
        <f ca="1">IFERROR(__xludf.DUMMYFUNCTION("GOOGLEFINANCE(""NSE:""&amp;D4350,""EPS"")"),"#N/A")</f>
        <v>#N/A</v>
      </c>
      <c r="Q4350" s="7">
        <v>13.5</v>
      </c>
      <c r="R4350" s="7" t="str">
        <f ca="1">IFERROR(__xludf.DUMMYFUNCTION("IMPORTXML(E4350,""/html/body/main/div[3]/div[3]/div[2]/ul/li[7]/span[2]/span"")"),"Loading...")</f>
        <v>Loading...</v>
      </c>
      <c r="S4350" s="7" t="str">
        <f ca="1">IFERROR(__xludf.DUMMYFUNCTION("IMPORTXML(E4350,""/html/body/main/div[3]/div[3]/div[2]/ul/li[8]/span[2]/span"")"),"Loading...")</f>
        <v>Loading...</v>
      </c>
      <c r="T4350" s="4">
        <v>34.6</v>
      </c>
      <c r="U4350" s="4">
        <v>22.7</v>
      </c>
      <c r="V4350" s="4">
        <v>2.6</v>
      </c>
      <c r="W4350" s="4">
        <v>5.7</v>
      </c>
      <c r="X4350" s="4">
        <v>519.92999999999995</v>
      </c>
      <c r="Y4350" s="7" t="e">
        <f t="shared" ca="1" si="89"/>
        <v>#VALUE!</v>
      </c>
    </row>
    <row r="4351" spans="1:25" ht="15" x14ac:dyDescent="0.25">
      <c r="A4351" s="4">
        <v>4350</v>
      </c>
      <c r="C4351" s="41" t="s">
        <v>6724</v>
      </c>
      <c r="D4351" s="42"/>
      <c r="E4351" s="5" t="str">
        <f t="shared" si="85"/>
        <v>https://www.screener.in/company//consolidated/</v>
      </c>
      <c r="F4351" s="4">
        <v>443059</v>
      </c>
      <c r="G4351" s="4">
        <v>3832241897</v>
      </c>
      <c r="H4351" s="6" t="e">
        <f t="shared" ca="1" si="86"/>
        <v>#VALUE!</v>
      </c>
      <c r="I4351" s="7" t="str">
        <f ca="1">IFERROR(__xludf.DUMMYFUNCTION("IMPORTXML(E4351,""/html/body/main/div[3]/div[3]/div[2]/ul/li[5]/span[2]/span"")"),"Loading...")</f>
        <v>Loading...</v>
      </c>
      <c r="J4351" s="7" t="str">
        <f ca="1">IFERROR(__xludf.DUMMYFUNCTION("GOOGLEFINANCE(""NSE:""&amp;D4351,""marketcap"")"),"#N/A")</f>
        <v>#N/A</v>
      </c>
      <c r="K4351" s="7">
        <v>992.8</v>
      </c>
      <c r="L4351" s="8" t="str">
        <f ca="1">IFERROR(__xludf.DUMMYFUNCTION("GOOGLEFINANCE(""NSE:""&amp;D4351,""price"")"),"#N/A")</f>
        <v>#N/A</v>
      </c>
      <c r="M4351" s="9" t="e">
        <f t="shared" ca="1" si="87"/>
        <v>#VALUE!</v>
      </c>
      <c r="N4351" s="10" t="e">
        <f t="shared" ca="1" si="88"/>
        <v>#VALUE!</v>
      </c>
      <c r="O4351" s="7" t="str">
        <f ca="1">IFERROR(__xludf.DUMMYFUNCTION("GOOGLEFINANCE(""NSE:""&amp;D4351,""pe"")"),"#N/A")</f>
        <v>#N/A</v>
      </c>
      <c r="P4351" s="7" t="str">
        <f ca="1">IFERROR(__xludf.DUMMYFUNCTION("GOOGLEFINANCE(""NSE:""&amp;D4351,""EPS"")"),"#N/A")</f>
        <v>#N/A</v>
      </c>
      <c r="Q4351" s="7">
        <v>13.5</v>
      </c>
      <c r="R4351" s="7" t="str">
        <f ca="1">IFERROR(__xludf.DUMMYFUNCTION("IMPORTXML(E4351,""/html/body/main/div[3]/div[3]/div[2]/ul/li[7]/span[2]/span"")"),"Loading...")</f>
        <v>Loading...</v>
      </c>
      <c r="S4351" s="7" t="str">
        <f ca="1">IFERROR(__xludf.DUMMYFUNCTION("IMPORTXML(E4351,""/html/body/main/div[3]/div[3]/div[2]/ul/li[8]/span[2]/span"")"),"Loading...")</f>
        <v>Loading...</v>
      </c>
      <c r="T4351" s="4">
        <v>34.6</v>
      </c>
      <c r="U4351" s="4">
        <v>22.7</v>
      </c>
      <c r="V4351" s="4">
        <v>2.6</v>
      </c>
      <c r="W4351" s="4">
        <v>5.7</v>
      </c>
      <c r="X4351" s="4">
        <v>519.92999999999995</v>
      </c>
      <c r="Y4351" s="7" t="e">
        <f t="shared" ca="1" si="89"/>
        <v>#VALUE!</v>
      </c>
    </row>
    <row r="4352" spans="1:25" ht="15" x14ac:dyDescent="0.25">
      <c r="A4352" s="4">
        <v>4351</v>
      </c>
      <c r="C4352" s="41" t="s">
        <v>6725</v>
      </c>
      <c r="D4352" s="42"/>
      <c r="E4352" s="5" t="str">
        <f t="shared" si="85"/>
        <v>https://www.screener.in/company//consolidated/</v>
      </c>
      <c r="F4352" s="4">
        <v>443059</v>
      </c>
      <c r="G4352" s="4">
        <v>3832241897</v>
      </c>
      <c r="H4352" s="6" t="e">
        <f t="shared" ca="1" si="86"/>
        <v>#VALUE!</v>
      </c>
      <c r="I4352" s="7" t="str">
        <f ca="1">IFERROR(__xludf.DUMMYFUNCTION("IMPORTXML(E4352,""/html/body/main/div[3]/div[3]/div[2]/ul/li[5]/span[2]/span"")"),"Loading...")</f>
        <v>Loading...</v>
      </c>
      <c r="J4352" s="7" t="str">
        <f ca="1">IFERROR(__xludf.DUMMYFUNCTION("GOOGLEFINANCE(""NSE:""&amp;D4352,""marketcap"")"),"#N/A")</f>
        <v>#N/A</v>
      </c>
      <c r="K4352" s="7">
        <v>992.8</v>
      </c>
      <c r="L4352" s="8" t="str">
        <f ca="1">IFERROR(__xludf.DUMMYFUNCTION("GOOGLEFINANCE(""NSE:""&amp;D4352,""price"")"),"#N/A")</f>
        <v>#N/A</v>
      </c>
      <c r="M4352" s="9" t="e">
        <f t="shared" ca="1" si="87"/>
        <v>#VALUE!</v>
      </c>
      <c r="N4352" s="10" t="e">
        <f t="shared" ca="1" si="88"/>
        <v>#VALUE!</v>
      </c>
      <c r="O4352" s="7" t="str">
        <f ca="1">IFERROR(__xludf.DUMMYFUNCTION("GOOGLEFINANCE(""NSE:""&amp;D4352,""pe"")"),"#N/A")</f>
        <v>#N/A</v>
      </c>
      <c r="P4352" s="7" t="str">
        <f ca="1">IFERROR(__xludf.DUMMYFUNCTION("GOOGLEFINANCE(""NSE:""&amp;D4352,""EPS"")"),"#N/A")</f>
        <v>#N/A</v>
      </c>
      <c r="Q4352" s="7">
        <v>13.5</v>
      </c>
      <c r="R4352" s="7" t="str">
        <f ca="1">IFERROR(__xludf.DUMMYFUNCTION("IMPORTXML(E4352,""/html/body/main/div[3]/div[3]/div[2]/ul/li[7]/span[2]/span"")"),"Loading...")</f>
        <v>Loading...</v>
      </c>
      <c r="S4352" s="7" t="str">
        <f ca="1">IFERROR(__xludf.DUMMYFUNCTION("IMPORTXML(E4352,""/html/body/main/div[3]/div[3]/div[2]/ul/li[8]/span[2]/span"")"),"Loading...")</f>
        <v>Loading...</v>
      </c>
      <c r="T4352" s="4">
        <v>34.6</v>
      </c>
      <c r="U4352" s="4">
        <v>22.7</v>
      </c>
      <c r="V4352" s="4">
        <v>2.6</v>
      </c>
      <c r="W4352" s="4">
        <v>5.7</v>
      </c>
      <c r="X4352" s="4">
        <v>519.92999999999995</v>
      </c>
      <c r="Y4352" s="7" t="e">
        <f t="shared" ca="1" si="89"/>
        <v>#VALUE!</v>
      </c>
    </row>
    <row r="4353" spans="1:25" ht="15" x14ac:dyDescent="0.25">
      <c r="A4353" s="4">
        <v>4352</v>
      </c>
      <c r="C4353" s="41" t="s">
        <v>6726</v>
      </c>
      <c r="D4353" s="42"/>
      <c r="E4353" s="5" t="str">
        <f t="shared" si="85"/>
        <v>https://www.screener.in/company//consolidated/</v>
      </c>
      <c r="F4353" s="4">
        <v>443059</v>
      </c>
      <c r="G4353" s="4">
        <v>3832241897</v>
      </c>
      <c r="H4353" s="6" t="e">
        <f t="shared" ca="1" si="86"/>
        <v>#VALUE!</v>
      </c>
      <c r="I4353" s="7" t="str">
        <f ca="1">IFERROR(__xludf.DUMMYFUNCTION("IMPORTXML(E4353,""/html/body/main/div[3]/div[3]/div[2]/ul/li[5]/span[2]/span"")"),"Loading...")</f>
        <v>Loading...</v>
      </c>
      <c r="J4353" s="7" t="str">
        <f ca="1">IFERROR(__xludf.DUMMYFUNCTION("GOOGLEFINANCE(""NSE:""&amp;D4353,""marketcap"")"),"#N/A")</f>
        <v>#N/A</v>
      </c>
      <c r="K4353" s="7">
        <v>992.8</v>
      </c>
      <c r="L4353" s="8" t="str">
        <f ca="1">IFERROR(__xludf.DUMMYFUNCTION("GOOGLEFINANCE(""NSE:""&amp;D4353,""price"")"),"#N/A")</f>
        <v>#N/A</v>
      </c>
      <c r="M4353" s="9" t="e">
        <f t="shared" ca="1" si="87"/>
        <v>#VALUE!</v>
      </c>
      <c r="N4353" s="10" t="e">
        <f t="shared" ca="1" si="88"/>
        <v>#VALUE!</v>
      </c>
      <c r="O4353" s="7" t="str">
        <f ca="1">IFERROR(__xludf.DUMMYFUNCTION("GOOGLEFINANCE(""NSE:""&amp;D4353,""pe"")"),"#N/A")</f>
        <v>#N/A</v>
      </c>
      <c r="P4353" s="7" t="str">
        <f ca="1">IFERROR(__xludf.DUMMYFUNCTION("GOOGLEFINANCE(""NSE:""&amp;D4353,""EPS"")"),"#N/A")</f>
        <v>#N/A</v>
      </c>
      <c r="Q4353" s="7">
        <v>13.5</v>
      </c>
      <c r="R4353" s="7" t="str">
        <f ca="1">IFERROR(__xludf.DUMMYFUNCTION("IMPORTXML(E4353,""/html/body/main/div[3]/div[3]/div[2]/ul/li[7]/span[2]/span"")"),"Loading...")</f>
        <v>Loading...</v>
      </c>
      <c r="S4353" s="7" t="str">
        <f ca="1">IFERROR(__xludf.DUMMYFUNCTION("IMPORTXML(E4353,""/html/body/main/div[3]/div[3]/div[2]/ul/li[8]/span[2]/span"")"),"Loading...")</f>
        <v>Loading...</v>
      </c>
      <c r="T4353" s="4">
        <v>34.6</v>
      </c>
      <c r="U4353" s="4">
        <v>22.7</v>
      </c>
      <c r="V4353" s="4">
        <v>2.6</v>
      </c>
      <c r="W4353" s="4">
        <v>5.7</v>
      </c>
      <c r="X4353" s="4">
        <v>519.92999999999995</v>
      </c>
      <c r="Y4353" s="7" t="e">
        <f t="shared" ca="1" si="89"/>
        <v>#VALUE!</v>
      </c>
    </row>
    <row r="4354" spans="1:25" ht="15" x14ac:dyDescent="0.25">
      <c r="A4354" s="4">
        <v>4353</v>
      </c>
      <c r="C4354" s="41" t="s">
        <v>6727</v>
      </c>
      <c r="D4354" s="42"/>
      <c r="E4354" s="5" t="str">
        <f t="shared" si="85"/>
        <v>https://www.screener.in/company//consolidated/</v>
      </c>
      <c r="F4354" s="4">
        <v>443059</v>
      </c>
      <c r="G4354" s="4">
        <v>3832241897</v>
      </c>
      <c r="H4354" s="6" t="e">
        <f t="shared" ca="1" si="86"/>
        <v>#VALUE!</v>
      </c>
      <c r="I4354" s="7" t="str">
        <f ca="1">IFERROR(__xludf.DUMMYFUNCTION("IMPORTXML(E4354,""/html/body/main/div[3]/div[3]/div[2]/ul/li[5]/span[2]/span"")"),"Loading...")</f>
        <v>Loading...</v>
      </c>
      <c r="J4354" s="7" t="str">
        <f ca="1">IFERROR(__xludf.DUMMYFUNCTION("GOOGLEFINANCE(""NSE:""&amp;D4354,""marketcap"")"),"#N/A")</f>
        <v>#N/A</v>
      </c>
      <c r="K4354" s="7">
        <v>992.8</v>
      </c>
      <c r="L4354" s="8" t="str">
        <f ca="1">IFERROR(__xludf.DUMMYFUNCTION("GOOGLEFINANCE(""NSE:""&amp;D4354,""price"")"),"#N/A")</f>
        <v>#N/A</v>
      </c>
      <c r="M4354" s="9" t="e">
        <f t="shared" ca="1" si="87"/>
        <v>#VALUE!</v>
      </c>
      <c r="N4354" s="10" t="e">
        <f t="shared" ca="1" si="88"/>
        <v>#VALUE!</v>
      </c>
      <c r="O4354" s="7" t="str">
        <f ca="1">IFERROR(__xludf.DUMMYFUNCTION("GOOGLEFINANCE(""NSE:""&amp;D4354,""pe"")"),"#N/A")</f>
        <v>#N/A</v>
      </c>
      <c r="P4354" s="7" t="str">
        <f ca="1">IFERROR(__xludf.DUMMYFUNCTION("GOOGLEFINANCE(""NSE:""&amp;D4354,""EPS"")"),"#N/A")</f>
        <v>#N/A</v>
      </c>
      <c r="Q4354" s="7">
        <v>13.5</v>
      </c>
      <c r="R4354" s="7" t="str">
        <f ca="1">IFERROR(__xludf.DUMMYFUNCTION("IMPORTXML(E4354,""/html/body/main/div[3]/div[3]/div[2]/ul/li[7]/span[2]/span"")"),"Loading...")</f>
        <v>Loading...</v>
      </c>
      <c r="S4354" s="7" t="str">
        <f ca="1">IFERROR(__xludf.DUMMYFUNCTION("IMPORTXML(E4354,""/html/body/main/div[3]/div[3]/div[2]/ul/li[8]/span[2]/span"")"),"Loading...")</f>
        <v>Loading...</v>
      </c>
      <c r="T4354" s="4">
        <v>34.6</v>
      </c>
      <c r="U4354" s="4">
        <v>22.7</v>
      </c>
      <c r="V4354" s="4">
        <v>2.6</v>
      </c>
      <c r="W4354" s="4">
        <v>5.7</v>
      </c>
      <c r="X4354" s="4">
        <v>519.92999999999995</v>
      </c>
      <c r="Y4354" s="7" t="e">
        <f t="shared" ca="1" si="89"/>
        <v>#VALUE!</v>
      </c>
    </row>
    <row r="4355" spans="1:25" ht="15" x14ac:dyDescent="0.25">
      <c r="A4355" s="4">
        <v>4354</v>
      </c>
      <c r="C4355" s="41" t="s">
        <v>6728</v>
      </c>
      <c r="D4355" s="42"/>
      <c r="E4355" s="5" t="str">
        <f t="shared" si="85"/>
        <v>https://www.screener.in/company//consolidated/</v>
      </c>
      <c r="F4355" s="4">
        <v>443059</v>
      </c>
      <c r="G4355" s="4">
        <v>3832241897</v>
      </c>
      <c r="H4355" s="6" t="e">
        <f t="shared" ca="1" si="86"/>
        <v>#VALUE!</v>
      </c>
      <c r="I4355" s="7" t="str">
        <f ca="1">IFERROR(__xludf.DUMMYFUNCTION("IMPORTXML(E4355,""/html/body/main/div[3]/div[3]/div[2]/ul/li[5]/span[2]/span"")"),"Loading...")</f>
        <v>Loading...</v>
      </c>
      <c r="J4355" s="7" t="str">
        <f ca="1">IFERROR(__xludf.DUMMYFUNCTION("GOOGLEFINANCE(""NSE:""&amp;D4355,""marketcap"")"),"#N/A")</f>
        <v>#N/A</v>
      </c>
      <c r="K4355" s="7">
        <v>992.8</v>
      </c>
      <c r="L4355" s="8" t="str">
        <f ca="1">IFERROR(__xludf.DUMMYFUNCTION("GOOGLEFINANCE(""NSE:""&amp;D4355,""price"")"),"#N/A")</f>
        <v>#N/A</v>
      </c>
      <c r="M4355" s="9" t="e">
        <f t="shared" ca="1" si="87"/>
        <v>#VALUE!</v>
      </c>
      <c r="N4355" s="10" t="e">
        <f t="shared" ca="1" si="88"/>
        <v>#VALUE!</v>
      </c>
      <c r="O4355" s="7" t="str">
        <f ca="1">IFERROR(__xludf.DUMMYFUNCTION("GOOGLEFINANCE(""NSE:""&amp;D4355,""pe"")"),"#N/A")</f>
        <v>#N/A</v>
      </c>
      <c r="P4355" s="7" t="str">
        <f ca="1">IFERROR(__xludf.DUMMYFUNCTION("GOOGLEFINANCE(""NSE:""&amp;D4355,""EPS"")"),"#N/A")</f>
        <v>#N/A</v>
      </c>
      <c r="Q4355" s="7">
        <v>13.5</v>
      </c>
      <c r="R4355" s="7" t="str">
        <f ca="1">IFERROR(__xludf.DUMMYFUNCTION("IMPORTXML(E4355,""/html/body/main/div[3]/div[3]/div[2]/ul/li[7]/span[2]/span"")"),"Loading...")</f>
        <v>Loading...</v>
      </c>
      <c r="S4355" s="7" t="str">
        <f ca="1">IFERROR(__xludf.DUMMYFUNCTION("IMPORTXML(E4355,""/html/body/main/div[3]/div[3]/div[2]/ul/li[8]/span[2]/span"")"),"Loading...")</f>
        <v>Loading...</v>
      </c>
      <c r="T4355" s="4">
        <v>34.6</v>
      </c>
      <c r="U4355" s="4">
        <v>22.7</v>
      </c>
      <c r="V4355" s="4">
        <v>2.6</v>
      </c>
      <c r="W4355" s="4">
        <v>5.7</v>
      </c>
      <c r="X4355" s="4">
        <v>519.92999999999995</v>
      </c>
      <c r="Y4355" s="7" t="e">
        <f t="shared" ca="1" si="89"/>
        <v>#VALUE!</v>
      </c>
    </row>
    <row r="4356" spans="1:25" ht="15" x14ac:dyDescent="0.25">
      <c r="A4356" s="4">
        <v>4355</v>
      </c>
      <c r="C4356" s="41" t="s">
        <v>6729</v>
      </c>
      <c r="D4356" s="42"/>
      <c r="E4356" s="5" t="str">
        <f t="shared" si="85"/>
        <v>https://www.screener.in/company//consolidated/</v>
      </c>
      <c r="F4356" s="4">
        <v>443059</v>
      </c>
      <c r="G4356" s="4">
        <v>3832241897</v>
      </c>
      <c r="H4356" s="6" t="e">
        <f t="shared" ca="1" si="86"/>
        <v>#VALUE!</v>
      </c>
      <c r="I4356" s="7" t="str">
        <f ca="1">IFERROR(__xludf.DUMMYFUNCTION("IMPORTXML(E4356,""/html/body/main/div[3]/div[3]/div[2]/ul/li[5]/span[2]/span"")"),"Loading...")</f>
        <v>Loading...</v>
      </c>
      <c r="J4356" s="7" t="str">
        <f ca="1">IFERROR(__xludf.DUMMYFUNCTION("GOOGLEFINANCE(""NSE:""&amp;D4356,""marketcap"")"),"#N/A")</f>
        <v>#N/A</v>
      </c>
      <c r="K4356" s="7">
        <v>992.8</v>
      </c>
      <c r="L4356" s="8" t="str">
        <f ca="1">IFERROR(__xludf.DUMMYFUNCTION("GOOGLEFINANCE(""NSE:""&amp;D4356,""price"")"),"#N/A")</f>
        <v>#N/A</v>
      </c>
      <c r="M4356" s="9" t="e">
        <f t="shared" ca="1" si="87"/>
        <v>#VALUE!</v>
      </c>
      <c r="N4356" s="10" t="e">
        <f t="shared" ca="1" si="88"/>
        <v>#VALUE!</v>
      </c>
      <c r="O4356" s="7" t="str">
        <f ca="1">IFERROR(__xludf.DUMMYFUNCTION("GOOGLEFINANCE(""NSE:""&amp;D4356,""pe"")"),"#N/A")</f>
        <v>#N/A</v>
      </c>
      <c r="P4356" s="7" t="str">
        <f ca="1">IFERROR(__xludf.DUMMYFUNCTION("GOOGLEFINANCE(""NSE:""&amp;D4356,""EPS"")"),"#N/A")</f>
        <v>#N/A</v>
      </c>
      <c r="Q4356" s="7">
        <v>13.5</v>
      </c>
      <c r="R4356" s="7" t="str">
        <f ca="1">IFERROR(__xludf.DUMMYFUNCTION("IMPORTXML(E4356,""/html/body/main/div[3]/div[3]/div[2]/ul/li[7]/span[2]/span"")"),"Loading...")</f>
        <v>Loading...</v>
      </c>
      <c r="S4356" s="7" t="str">
        <f ca="1">IFERROR(__xludf.DUMMYFUNCTION("IMPORTXML(E4356,""/html/body/main/div[3]/div[3]/div[2]/ul/li[8]/span[2]/span"")"),"Loading...")</f>
        <v>Loading...</v>
      </c>
      <c r="T4356" s="4">
        <v>34.6</v>
      </c>
      <c r="U4356" s="4">
        <v>22.7</v>
      </c>
      <c r="V4356" s="4">
        <v>2.6</v>
      </c>
      <c r="W4356" s="4">
        <v>5.7</v>
      </c>
      <c r="X4356" s="4">
        <v>519.92999999999995</v>
      </c>
      <c r="Y4356" s="7" t="e">
        <f t="shared" ca="1" si="89"/>
        <v>#VALUE!</v>
      </c>
    </row>
    <row r="4357" spans="1:25" ht="15" x14ac:dyDescent="0.25">
      <c r="A4357" s="4">
        <v>4356</v>
      </c>
      <c r="C4357" s="41" t="s">
        <v>6730</v>
      </c>
      <c r="D4357" s="42"/>
      <c r="E4357" s="5" t="str">
        <f t="shared" si="85"/>
        <v>https://www.screener.in/company//consolidated/</v>
      </c>
      <c r="F4357" s="4">
        <v>443059</v>
      </c>
      <c r="G4357" s="4">
        <v>3832241897</v>
      </c>
      <c r="H4357" s="6" t="e">
        <f t="shared" ca="1" si="86"/>
        <v>#VALUE!</v>
      </c>
      <c r="I4357" s="7" t="str">
        <f ca="1">IFERROR(__xludf.DUMMYFUNCTION("IMPORTXML(E4357,""/html/body/main/div[3]/div[3]/div[2]/ul/li[5]/span[2]/span"")"),"Loading...")</f>
        <v>Loading...</v>
      </c>
      <c r="J4357" s="7" t="str">
        <f ca="1">IFERROR(__xludf.DUMMYFUNCTION("GOOGLEFINANCE(""NSE:""&amp;D4357,""marketcap"")"),"#N/A")</f>
        <v>#N/A</v>
      </c>
      <c r="K4357" s="7">
        <v>992.8</v>
      </c>
      <c r="L4357" s="8" t="str">
        <f ca="1">IFERROR(__xludf.DUMMYFUNCTION("GOOGLEFINANCE(""NSE:""&amp;D4357,""price"")"),"#N/A")</f>
        <v>#N/A</v>
      </c>
      <c r="M4357" s="9" t="e">
        <f t="shared" ca="1" si="87"/>
        <v>#VALUE!</v>
      </c>
      <c r="N4357" s="10" t="e">
        <f t="shared" ca="1" si="88"/>
        <v>#VALUE!</v>
      </c>
      <c r="O4357" s="7" t="str">
        <f ca="1">IFERROR(__xludf.DUMMYFUNCTION("GOOGLEFINANCE(""NSE:""&amp;D4357,""pe"")"),"#N/A")</f>
        <v>#N/A</v>
      </c>
      <c r="P4357" s="7" t="str">
        <f ca="1">IFERROR(__xludf.DUMMYFUNCTION("GOOGLEFINANCE(""NSE:""&amp;D4357,""EPS"")"),"#N/A")</f>
        <v>#N/A</v>
      </c>
      <c r="Q4357" s="7">
        <v>13.5</v>
      </c>
      <c r="R4357" s="7" t="str">
        <f ca="1">IFERROR(__xludf.DUMMYFUNCTION("IMPORTXML(E4357,""/html/body/main/div[3]/div[3]/div[2]/ul/li[7]/span[2]/span"")"),"Loading...")</f>
        <v>Loading...</v>
      </c>
      <c r="S4357" s="7" t="str">
        <f ca="1">IFERROR(__xludf.DUMMYFUNCTION("IMPORTXML(E4357,""/html/body/main/div[3]/div[3]/div[2]/ul/li[8]/span[2]/span"")"),"Loading...")</f>
        <v>Loading...</v>
      </c>
      <c r="T4357" s="4">
        <v>34.6</v>
      </c>
      <c r="U4357" s="4">
        <v>22.7</v>
      </c>
      <c r="V4357" s="4">
        <v>2.6</v>
      </c>
      <c r="W4357" s="4">
        <v>5.7</v>
      </c>
      <c r="X4357" s="4">
        <v>519.92999999999995</v>
      </c>
      <c r="Y4357" s="7" t="e">
        <f t="shared" ca="1" si="89"/>
        <v>#VALUE!</v>
      </c>
    </row>
    <row r="4358" spans="1:25" ht="15" x14ac:dyDescent="0.25">
      <c r="A4358" s="4">
        <v>4357</v>
      </c>
      <c r="C4358" s="41" t="s">
        <v>6731</v>
      </c>
      <c r="D4358" s="42"/>
      <c r="E4358" s="5" t="str">
        <f t="shared" si="85"/>
        <v>https://www.screener.in/company//consolidated/</v>
      </c>
      <c r="F4358" s="4">
        <v>443059</v>
      </c>
      <c r="G4358" s="4">
        <v>3832241897</v>
      </c>
      <c r="H4358" s="6" t="e">
        <f t="shared" ca="1" si="86"/>
        <v>#VALUE!</v>
      </c>
      <c r="I4358" s="7" t="str">
        <f ca="1">IFERROR(__xludf.DUMMYFUNCTION("IMPORTXML(E4358,""/html/body/main/div[3]/div[3]/div[2]/ul/li[5]/span[2]/span"")"),"Loading...")</f>
        <v>Loading...</v>
      </c>
      <c r="J4358" s="7" t="str">
        <f ca="1">IFERROR(__xludf.DUMMYFUNCTION("GOOGLEFINANCE(""NSE:""&amp;D4358,""marketcap"")"),"#N/A")</f>
        <v>#N/A</v>
      </c>
      <c r="K4358" s="7">
        <v>992.8</v>
      </c>
      <c r="L4358" s="8" t="str">
        <f ca="1">IFERROR(__xludf.DUMMYFUNCTION("GOOGLEFINANCE(""NSE:""&amp;D4358,""price"")"),"#N/A")</f>
        <v>#N/A</v>
      </c>
      <c r="M4358" s="9" t="e">
        <f t="shared" ca="1" si="87"/>
        <v>#VALUE!</v>
      </c>
      <c r="N4358" s="10" t="e">
        <f t="shared" ca="1" si="88"/>
        <v>#VALUE!</v>
      </c>
      <c r="O4358" s="7" t="str">
        <f ca="1">IFERROR(__xludf.DUMMYFUNCTION("GOOGLEFINANCE(""NSE:""&amp;D4358,""pe"")"),"#N/A")</f>
        <v>#N/A</v>
      </c>
      <c r="P4358" s="7" t="str">
        <f ca="1">IFERROR(__xludf.DUMMYFUNCTION("GOOGLEFINANCE(""NSE:""&amp;D4358,""EPS"")"),"#N/A")</f>
        <v>#N/A</v>
      </c>
      <c r="Q4358" s="7">
        <v>13.5</v>
      </c>
      <c r="R4358" s="7" t="str">
        <f ca="1">IFERROR(__xludf.DUMMYFUNCTION("IMPORTXML(E4358,""/html/body/main/div[3]/div[3]/div[2]/ul/li[7]/span[2]/span"")"),"Loading...")</f>
        <v>Loading...</v>
      </c>
      <c r="S4358" s="7" t="str">
        <f ca="1">IFERROR(__xludf.DUMMYFUNCTION("IMPORTXML(E4358,""/html/body/main/div[3]/div[3]/div[2]/ul/li[8]/span[2]/span"")"),"Loading...")</f>
        <v>Loading...</v>
      </c>
      <c r="T4358" s="4">
        <v>34.6</v>
      </c>
      <c r="U4358" s="4">
        <v>22.7</v>
      </c>
      <c r="V4358" s="4">
        <v>2.6</v>
      </c>
      <c r="W4358" s="4">
        <v>5.7</v>
      </c>
      <c r="X4358" s="4">
        <v>519.92999999999995</v>
      </c>
      <c r="Y4358" s="7" t="e">
        <f t="shared" ca="1" si="89"/>
        <v>#VALUE!</v>
      </c>
    </row>
    <row r="4359" spans="1:25" ht="15" x14ac:dyDescent="0.25">
      <c r="A4359" s="4">
        <v>4358</v>
      </c>
      <c r="C4359" s="12" t="s">
        <v>6732</v>
      </c>
      <c r="D4359" s="12" t="s">
        <v>6733</v>
      </c>
      <c r="E4359" s="5" t="str">
        <f t="shared" si="85"/>
        <v>https://www.screener.in/company/BGLOBAL/consolidated/</v>
      </c>
      <c r="F4359" s="4">
        <v>443059</v>
      </c>
      <c r="G4359" s="4">
        <v>3832241897</v>
      </c>
      <c r="H4359" s="6">
        <f t="shared" ca="1" si="86"/>
        <v>1302.9622449799999</v>
      </c>
      <c r="I4359" s="7" t="str">
        <f ca="1">IFERROR(__xludf.DUMMYFUNCTION("IMPORTXML(E4359,""/html/body/main/div[3]/div[3]/div[2]/ul/li[5]/span[2]/span"")"),"Loading...")</f>
        <v>Loading...</v>
      </c>
      <c r="J4359" s="7">
        <f ca="1">IFERROR(__xludf.DUMMYFUNCTION("GOOGLEFINANCE(""NSE:""&amp;D4359,""marketcap"")"),53866570)</f>
        <v>53866570</v>
      </c>
      <c r="K4359" s="7">
        <v>992.8</v>
      </c>
      <c r="L4359" s="8">
        <f ca="1">IFERROR(__xludf.DUMMYFUNCTION("GOOGLEFINANCE(""NSE:""&amp;D4359,""price"")"),3.4)</f>
        <v>3.4</v>
      </c>
      <c r="M4359" s="9">
        <f t="shared" ca="1" si="87"/>
        <v>-989.4</v>
      </c>
      <c r="N4359" s="10">
        <f t="shared" ca="1" si="88"/>
        <v>-99.657534246575338</v>
      </c>
      <c r="O4359" s="7" t="str">
        <f ca="1">IFERROR(__xludf.DUMMYFUNCTION("GOOGLEFINANCE(""NSE:""&amp;D4359,""pe"")"),"#N/A")</f>
        <v>#N/A</v>
      </c>
      <c r="P4359" s="7">
        <f ca="1">IFERROR(__xludf.DUMMYFUNCTION("GOOGLEFINANCE(""NSE:""&amp;D4359,""EPS"")"),-2.59)</f>
        <v>-2.59</v>
      </c>
      <c r="Q4359" s="7">
        <v>13.5</v>
      </c>
      <c r="R4359" s="7">
        <f ca="1">IFERROR(__xludf.DUMMYFUNCTION("IMPORTXML(E4359,""/html/body/main/div[3]/div[3]/div[2]/ul/li[7]/span[2]/span"")"),-1.77)</f>
        <v>-1.77</v>
      </c>
      <c r="S4359" s="7" t="str">
        <f ca="1">IFERROR(__xludf.DUMMYFUNCTION("IMPORTXML(E4359,""/html/body/main/div[3]/div[3]/div[2]/ul/li[8]/span[2]/span"")"),"Loading...")</f>
        <v>Loading...</v>
      </c>
      <c r="T4359" s="4">
        <v>34.6</v>
      </c>
      <c r="U4359" s="4">
        <v>22.7</v>
      </c>
      <c r="V4359" s="4">
        <v>2.6</v>
      </c>
      <c r="W4359" s="4">
        <v>5.7</v>
      </c>
      <c r="X4359" s="4">
        <v>519.92999999999995</v>
      </c>
      <c r="Y4359" s="7">
        <f t="shared" ca="1" si="89"/>
        <v>-516.53</v>
      </c>
    </row>
    <row r="4360" spans="1:25" ht="15" x14ac:dyDescent="0.25">
      <c r="A4360" s="4">
        <v>4359</v>
      </c>
      <c r="C4360" s="41" t="s">
        <v>6734</v>
      </c>
      <c r="D4360" s="42"/>
      <c r="E4360" s="5" t="str">
        <f t="shared" si="85"/>
        <v>https://www.screener.in/company//consolidated/</v>
      </c>
      <c r="F4360" s="4">
        <v>443059</v>
      </c>
      <c r="G4360" s="4">
        <v>3832241897</v>
      </c>
      <c r="H4360" s="6" t="e">
        <f t="shared" ca="1" si="86"/>
        <v>#VALUE!</v>
      </c>
      <c r="I4360" s="7" t="str">
        <f ca="1">IFERROR(__xludf.DUMMYFUNCTION("IMPORTXML(E4360,""/html/body/main/div[3]/div[3]/div[2]/ul/li[5]/span[2]/span"")"),"Loading...")</f>
        <v>Loading...</v>
      </c>
      <c r="J4360" s="7" t="str">
        <f ca="1">IFERROR(__xludf.DUMMYFUNCTION("GOOGLEFINANCE(""NSE:""&amp;D4360,""marketcap"")"),"#N/A")</f>
        <v>#N/A</v>
      </c>
      <c r="K4360" s="7">
        <v>992.8</v>
      </c>
      <c r="L4360" s="8" t="str">
        <f ca="1">IFERROR(__xludf.DUMMYFUNCTION("GOOGLEFINANCE(""NSE:""&amp;D4360,""price"")"),"#N/A")</f>
        <v>#N/A</v>
      </c>
      <c r="M4360" s="9" t="e">
        <f t="shared" ca="1" si="87"/>
        <v>#VALUE!</v>
      </c>
      <c r="N4360" s="10" t="e">
        <f t="shared" ca="1" si="88"/>
        <v>#VALUE!</v>
      </c>
      <c r="O4360" s="7" t="str">
        <f ca="1">IFERROR(__xludf.DUMMYFUNCTION("GOOGLEFINANCE(""NSE:""&amp;D4360,""pe"")"),"#N/A")</f>
        <v>#N/A</v>
      </c>
      <c r="P4360" s="7" t="str">
        <f ca="1">IFERROR(__xludf.DUMMYFUNCTION("GOOGLEFINANCE(""NSE:""&amp;D4360,""EPS"")"),"#N/A")</f>
        <v>#N/A</v>
      </c>
      <c r="Q4360" s="7">
        <v>13.5</v>
      </c>
      <c r="R4360" s="7" t="str">
        <f ca="1">IFERROR(__xludf.DUMMYFUNCTION("IMPORTXML(E4360,""/html/body/main/div[3]/div[3]/div[2]/ul/li[7]/span[2]/span"")"),"Loading...")</f>
        <v>Loading...</v>
      </c>
      <c r="S4360" s="7" t="str">
        <f ca="1">IFERROR(__xludf.DUMMYFUNCTION("IMPORTXML(E4360,""/html/body/main/div[3]/div[3]/div[2]/ul/li[8]/span[2]/span"")"),"Loading...")</f>
        <v>Loading...</v>
      </c>
      <c r="T4360" s="4">
        <v>34.6</v>
      </c>
      <c r="U4360" s="4">
        <v>22.7</v>
      </c>
      <c r="V4360" s="4">
        <v>2.6</v>
      </c>
      <c r="W4360" s="4">
        <v>5.7</v>
      </c>
      <c r="X4360" s="4">
        <v>519.92999999999995</v>
      </c>
      <c r="Y4360" s="7" t="e">
        <f t="shared" ca="1" si="89"/>
        <v>#VALUE!</v>
      </c>
    </row>
    <row r="4361" spans="1:25" ht="15" x14ac:dyDescent="0.25">
      <c r="A4361" s="4">
        <v>4360</v>
      </c>
      <c r="C4361" s="41" t="s">
        <v>6735</v>
      </c>
      <c r="D4361" s="42"/>
      <c r="E4361" s="5" t="str">
        <f t="shared" si="85"/>
        <v>https://www.screener.in/company//consolidated/</v>
      </c>
      <c r="F4361" s="4">
        <v>443059</v>
      </c>
      <c r="G4361" s="4">
        <v>3832241897</v>
      </c>
      <c r="H4361" s="6" t="e">
        <f t="shared" ca="1" si="86"/>
        <v>#VALUE!</v>
      </c>
      <c r="I4361" s="7" t="str">
        <f ca="1">IFERROR(__xludf.DUMMYFUNCTION("IMPORTXML(E4361,""/html/body/main/div[3]/div[3]/div[2]/ul/li[5]/span[2]/span"")"),"Loading...")</f>
        <v>Loading...</v>
      </c>
      <c r="J4361" s="7" t="str">
        <f ca="1">IFERROR(__xludf.DUMMYFUNCTION("GOOGLEFINANCE(""NSE:""&amp;D4361,""marketcap"")"),"#N/A")</f>
        <v>#N/A</v>
      </c>
      <c r="K4361" s="7">
        <v>992.8</v>
      </c>
      <c r="L4361" s="8" t="str">
        <f ca="1">IFERROR(__xludf.DUMMYFUNCTION("GOOGLEFINANCE(""NSE:""&amp;D4361,""price"")"),"#N/A")</f>
        <v>#N/A</v>
      </c>
      <c r="M4361" s="9" t="e">
        <f t="shared" ca="1" si="87"/>
        <v>#VALUE!</v>
      </c>
      <c r="N4361" s="10" t="e">
        <f t="shared" ca="1" si="88"/>
        <v>#VALUE!</v>
      </c>
      <c r="O4361" s="7" t="str">
        <f ca="1">IFERROR(__xludf.DUMMYFUNCTION("GOOGLEFINANCE(""NSE:""&amp;D4361,""pe"")"),"#N/A")</f>
        <v>#N/A</v>
      </c>
      <c r="P4361" s="7" t="str">
        <f ca="1">IFERROR(__xludf.DUMMYFUNCTION("GOOGLEFINANCE(""NSE:""&amp;D4361,""EPS"")"),"#N/A")</f>
        <v>#N/A</v>
      </c>
      <c r="Q4361" s="7">
        <v>13.5</v>
      </c>
      <c r="R4361" s="7" t="str">
        <f ca="1">IFERROR(__xludf.DUMMYFUNCTION("IMPORTXML(E4361,""/html/body/main/div[3]/div[3]/div[2]/ul/li[7]/span[2]/span"")"),"Loading...")</f>
        <v>Loading...</v>
      </c>
      <c r="S4361" s="7" t="str">
        <f ca="1">IFERROR(__xludf.DUMMYFUNCTION("IMPORTXML(E4361,""/html/body/main/div[3]/div[3]/div[2]/ul/li[8]/span[2]/span"")"),"Loading...")</f>
        <v>Loading...</v>
      </c>
      <c r="T4361" s="4">
        <v>34.6</v>
      </c>
      <c r="U4361" s="4">
        <v>22.7</v>
      </c>
      <c r="V4361" s="4">
        <v>2.6</v>
      </c>
      <c r="W4361" s="4">
        <v>5.7</v>
      </c>
      <c r="X4361" s="4">
        <v>519.92999999999995</v>
      </c>
      <c r="Y4361" s="7" t="e">
        <f t="shared" ca="1" si="89"/>
        <v>#VALUE!</v>
      </c>
    </row>
    <row r="4362" spans="1:25" ht="15" x14ac:dyDescent="0.25">
      <c r="A4362" s="4">
        <v>4361</v>
      </c>
      <c r="C4362" s="41" t="s">
        <v>6736</v>
      </c>
      <c r="D4362" s="42"/>
      <c r="E4362" s="5" t="str">
        <f t="shared" si="85"/>
        <v>https://www.screener.in/company//consolidated/</v>
      </c>
      <c r="F4362" s="4">
        <v>443059</v>
      </c>
      <c r="G4362" s="4">
        <v>3832241897</v>
      </c>
      <c r="H4362" s="6" t="e">
        <f t="shared" ca="1" si="86"/>
        <v>#VALUE!</v>
      </c>
      <c r="I4362" s="7" t="str">
        <f ca="1">IFERROR(__xludf.DUMMYFUNCTION("IMPORTXML(E4362,""/html/body/main/div[3]/div[3]/div[2]/ul/li[5]/span[2]/span"")"),"Loading...")</f>
        <v>Loading...</v>
      </c>
      <c r="J4362" s="7" t="str">
        <f ca="1">IFERROR(__xludf.DUMMYFUNCTION("GOOGLEFINANCE(""NSE:""&amp;D4362,""marketcap"")"),"#N/A")</f>
        <v>#N/A</v>
      </c>
      <c r="K4362" s="7">
        <v>992.8</v>
      </c>
      <c r="L4362" s="8" t="str">
        <f ca="1">IFERROR(__xludf.DUMMYFUNCTION("GOOGLEFINANCE(""NSE:""&amp;D4362,""price"")"),"#N/A")</f>
        <v>#N/A</v>
      </c>
      <c r="M4362" s="9" t="e">
        <f t="shared" ca="1" si="87"/>
        <v>#VALUE!</v>
      </c>
      <c r="N4362" s="10" t="e">
        <f t="shared" ca="1" si="88"/>
        <v>#VALUE!</v>
      </c>
      <c r="O4362" s="7" t="str">
        <f ca="1">IFERROR(__xludf.DUMMYFUNCTION("GOOGLEFINANCE(""NSE:""&amp;D4362,""pe"")"),"#N/A")</f>
        <v>#N/A</v>
      </c>
      <c r="P4362" s="7" t="str">
        <f ca="1">IFERROR(__xludf.DUMMYFUNCTION("GOOGLEFINANCE(""NSE:""&amp;D4362,""EPS"")"),"#N/A")</f>
        <v>#N/A</v>
      </c>
      <c r="Q4362" s="7">
        <v>13.5</v>
      </c>
      <c r="R4362" s="7" t="str">
        <f ca="1">IFERROR(__xludf.DUMMYFUNCTION("IMPORTXML(E4362,""/html/body/main/div[3]/div[3]/div[2]/ul/li[7]/span[2]/span"")"),"Loading...")</f>
        <v>Loading...</v>
      </c>
      <c r="S4362" s="7" t="str">
        <f ca="1">IFERROR(__xludf.DUMMYFUNCTION("IMPORTXML(E4362,""/html/body/main/div[3]/div[3]/div[2]/ul/li[8]/span[2]/span"")"),"Loading...")</f>
        <v>Loading...</v>
      </c>
      <c r="T4362" s="4">
        <v>34.6</v>
      </c>
      <c r="U4362" s="4">
        <v>22.7</v>
      </c>
      <c r="V4362" s="4">
        <v>2.6</v>
      </c>
      <c r="W4362" s="4">
        <v>5.7</v>
      </c>
      <c r="X4362" s="4">
        <v>519.92999999999995</v>
      </c>
      <c r="Y4362" s="7" t="e">
        <f t="shared" ca="1" si="89"/>
        <v>#VALUE!</v>
      </c>
    </row>
    <row r="4363" spans="1:25" ht="15" x14ac:dyDescent="0.25">
      <c r="A4363" s="4">
        <v>4362</v>
      </c>
      <c r="C4363" s="41" t="s">
        <v>6737</v>
      </c>
      <c r="D4363" s="42"/>
      <c r="E4363" s="5" t="str">
        <f t="shared" si="85"/>
        <v>https://www.screener.in/company//consolidated/</v>
      </c>
      <c r="F4363" s="4">
        <v>443059</v>
      </c>
      <c r="G4363" s="4">
        <v>3832241897</v>
      </c>
      <c r="H4363" s="6" t="e">
        <f t="shared" ca="1" si="86"/>
        <v>#VALUE!</v>
      </c>
      <c r="I4363" s="7" t="str">
        <f ca="1">IFERROR(__xludf.DUMMYFUNCTION("IMPORTXML(E4363,""/html/body/main/div[3]/div[3]/div[2]/ul/li[5]/span[2]/span"")"),"Loading...")</f>
        <v>Loading...</v>
      </c>
      <c r="J4363" s="7" t="str">
        <f ca="1">IFERROR(__xludf.DUMMYFUNCTION("GOOGLEFINANCE(""NSE:""&amp;D4363,""marketcap"")"),"#N/A")</f>
        <v>#N/A</v>
      </c>
      <c r="K4363" s="7">
        <v>992.8</v>
      </c>
      <c r="L4363" s="8" t="str">
        <f ca="1">IFERROR(__xludf.DUMMYFUNCTION("GOOGLEFINANCE(""NSE:""&amp;D4363,""price"")"),"#N/A")</f>
        <v>#N/A</v>
      </c>
      <c r="M4363" s="9" t="e">
        <f t="shared" ca="1" si="87"/>
        <v>#VALUE!</v>
      </c>
      <c r="N4363" s="10" t="e">
        <f t="shared" ca="1" si="88"/>
        <v>#VALUE!</v>
      </c>
      <c r="O4363" s="7" t="str">
        <f ca="1">IFERROR(__xludf.DUMMYFUNCTION("GOOGLEFINANCE(""NSE:""&amp;D4363,""pe"")"),"#N/A")</f>
        <v>#N/A</v>
      </c>
      <c r="P4363" s="7" t="str">
        <f ca="1">IFERROR(__xludf.DUMMYFUNCTION("GOOGLEFINANCE(""NSE:""&amp;D4363,""EPS"")"),"#N/A")</f>
        <v>#N/A</v>
      </c>
      <c r="Q4363" s="7">
        <v>13.5</v>
      </c>
      <c r="R4363" s="7" t="str">
        <f ca="1">IFERROR(__xludf.DUMMYFUNCTION("IMPORTXML(E4363,""/html/body/main/div[3]/div[3]/div[2]/ul/li[7]/span[2]/span"")"),"Loading...")</f>
        <v>Loading...</v>
      </c>
      <c r="S4363" s="7" t="str">
        <f ca="1">IFERROR(__xludf.DUMMYFUNCTION("IMPORTXML(E4363,""/html/body/main/div[3]/div[3]/div[2]/ul/li[8]/span[2]/span"")"),"Loading...")</f>
        <v>Loading...</v>
      </c>
      <c r="T4363" s="4">
        <v>34.6</v>
      </c>
      <c r="U4363" s="4">
        <v>22.7</v>
      </c>
      <c r="V4363" s="4">
        <v>2.6</v>
      </c>
      <c r="W4363" s="4">
        <v>5.7</v>
      </c>
      <c r="X4363" s="4">
        <v>519.92999999999995</v>
      </c>
      <c r="Y4363" s="7" t="e">
        <f t="shared" ca="1" si="89"/>
        <v>#VALUE!</v>
      </c>
    </row>
    <row r="4364" spans="1:25" ht="15" x14ac:dyDescent="0.25">
      <c r="A4364" s="4">
        <v>4363</v>
      </c>
      <c r="C4364" s="41" t="s">
        <v>6738</v>
      </c>
      <c r="D4364" s="42"/>
      <c r="E4364" s="5" t="str">
        <f t="shared" si="85"/>
        <v>https://www.screener.in/company//consolidated/</v>
      </c>
      <c r="F4364" s="4">
        <v>443059</v>
      </c>
      <c r="G4364" s="4">
        <v>3832241897</v>
      </c>
      <c r="H4364" s="6" t="e">
        <f t="shared" ca="1" si="86"/>
        <v>#VALUE!</v>
      </c>
      <c r="I4364" s="7" t="str">
        <f ca="1">IFERROR(__xludf.DUMMYFUNCTION("IMPORTXML(E4364,""/html/body/main/div[3]/div[3]/div[2]/ul/li[5]/span[2]/span"")"),"Loading...")</f>
        <v>Loading...</v>
      </c>
      <c r="J4364" s="7" t="str">
        <f ca="1">IFERROR(__xludf.DUMMYFUNCTION("GOOGLEFINANCE(""NSE:""&amp;D4364,""marketcap"")"),"#N/A")</f>
        <v>#N/A</v>
      </c>
      <c r="K4364" s="7">
        <v>992.8</v>
      </c>
      <c r="L4364" s="8" t="str">
        <f ca="1">IFERROR(__xludf.DUMMYFUNCTION("GOOGLEFINANCE(""NSE:""&amp;D4364,""price"")"),"#N/A")</f>
        <v>#N/A</v>
      </c>
      <c r="M4364" s="9" t="e">
        <f t="shared" ca="1" si="87"/>
        <v>#VALUE!</v>
      </c>
      <c r="N4364" s="10" t="e">
        <f t="shared" ca="1" si="88"/>
        <v>#VALUE!</v>
      </c>
      <c r="O4364" s="7" t="str">
        <f ca="1">IFERROR(__xludf.DUMMYFUNCTION("GOOGLEFINANCE(""NSE:""&amp;D4364,""pe"")"),"#N/A")</f>
        <v>#N/A</v>
      </c>
      <c r="P4364" s="7" t="str">
        <f ca="1">IFERROR(__xludf.DUMMYFUNCTION("GOOGLEFINANCE(""NSE:""&amp;D4364,""EPS"")"),"#N/A")</f>
        <v>#N/A</v>
      </c>
      <c r="Q4364" s="7">
        <v>13.5</v>
      </c>
      <c r="R4364" s="7" t="str">
        <f ca="1">IFERROR(__xludf.DUMMYFUNCTION("IMPORTXML(E4364,""/html/body/main/div[3]/div[3]/div[2]/ul/li[7]/span[2]/span"")"),"Loading...")</f>
        <v>Loading...</v>
      </c>
      <c r="S4364" s="7" t="str">
        <f ca="1">IFERROR(__xludf.DUMMYFUNCTION("IMPORTXML(E4364,""/html/body/main/div[3]/div[3]/div[2]/ul/li[8]/span[2]/span"")"),"Loading...")</f>
        <v>Loading...</v>
      </c>
      <c r="T4364" s="4">
        <v>34.6</v>
      </c>
      <c r="U4364" s="4">
        <v>22.7</v>
      </c>
      <c r="V4364" s="4">
        <v>2.6</v>
      </c>
      <c r="W4364" s="4">
        <v>5.7</v>
      </c>
      <c r="X4364" s="4">
        <v>519.92999999999995</v>
      </c>
      <c r="Y4364" s="7" t="e">
        <f t="shared" ca="1" si="89"/>
        <v>#VALUE!</v>
      </c>
    </row>
    <row r="4365" spans="1:25" ht="15" x14ac:dyDescent="0.25">
      <c r="A4365" s="4">
        <v>4364</v>
      </c>
      <c r="C4365" s="41" t="s">
        <v>6739</v>
      </c>
      <c r="D4365" s="42"/>
      <c r="E4365" s="5" t="str">
        <f t="shared" si="85"/>
        <v>https://www.screener.in/company//consolidated/</v>
      </c>
      <c r="F4365" s="4">
        <v>443059</v>
      </c>
      <c r="G4365" s="4">
        <v>3832241897</v>
      </c>
      <c r="H4365" s="6" t="e">
        <f t="shared" ca="1" si="86"/>
        <v>#VALUE!</v>
      </c>
      <c r="I4365" s="7" t="str">
        <f ca="1">IFERROR(__xludf.DUMMYFUNCTION("IMPORTXML(E4365,""/html/body/main/div[3]/div[3]/div[2]/ul/li[5]/span[2]/span"")"),"Loading...")</f>
        <v>Loading...</v>
      </c>
      <c r="J4365" s="7" t="str">
        <f ca="1">IFERROR(__xludf.DUMMYFUNCTION("GOOGLEFINANCE(""NSE:""&amp;D4365,""marketcap"")"),"#N/A")</f>
        <v>#N/A</v>
      </c>
      <c r="K4365" s="7">
        <v>992.8</v>
      </c>
      <c r="L4365" s="8" t="str">
        <f ca="1">IFERROR(__xludf.DUMMYFUNCTION("GOOGLEFINANCE(""NSE:""&amp;D4365,""price"")"),"#N/A")</f>
        <v>#N/A</v>
      </c>
      <c r="M4365" s="9" t="e">
        <f t="shared" ca="1" si="87"/>
        <v>#VALUE!</v>
      </c>
      <c r="N4365" s="10" t="e">
        <f t="shared" ca="1" si="88"/>
        <v>#VALUE!</v>
      </c>
      <c r="O4365" s="7" t="str">
        <f ca="1">IFERROR(__xludf.DUMMYFUNCTION("GOOGLEFINANCE(""NSE:""&amp;D4365,""pe"")"),"#N/A")</f>
        <v>#N/A</v>
      </c>
      <c r="P4365" s="7" t="str">
        <f ca="1">IFERROR(__xludf.DUMMYFUNCTION("GOOGLEFINANCE(""NSE:""&amp;D4365,""EPS"")"),"#N/A")</f>
        <v>#N/A</v>
      </c>
      <c r="Q4365" s="7">
        <v>13.5</v>
      </c>
      <c r="R4365" s="7" t="str">
        <f ca="1">IFERROR(__xludf.DUMMYFUNCTION("IMPORTXML(E4365,""/html/body/main/div[3]/div[3]/div[2]/ul/li[7]/span[2]/span"")"),"Loading...")</f>
        <v>Loading...</v>
      </c>
      <c r="S4365" s="7" t="str">
        <f ca="1">IFERROR(__xludf.DUMMYFUNCTION("IMPORTXML(E4365,""/html/body/main/div[3]/div[3]/div[2]/ul/li[8]/span[2]/span"")"),"Loading...")</f>
        <v>Loading...</v>
      </c>
      <c r="T4365" s="4">
        <v>34.6</v>
      </c>
      <c r="U4365" s="4">
        <v>22.7</v>
      </c>
      <c r="V4365" s="4">
        <v>2.6</v>
      </c>
      <c r="W4365" s="4">
        <v>5.7</v>
      </c>
      <c r="X4365" s="4">
        <v>519.92999999999995</v>
      </c>
      <c r="Y4365" s="7" t="e">
        <f t="shared" ca="1" si="89"/>
        <v>#VALUE!</v>
      </c>
    </row>
    <row r="4366" spans="1:25" ht="15" x14ac:dyDescent="0.25">
      <c r="A4366" s="4">
        <v>4365</v>
      </c>
      <c r="C4366" s="41" t="s">
        <v>6740</v>
      </c>
      <c r="D4366" s="42"/>
      <c r="E4366" s="5" t="str">
        <f t="shared" si="85"/>
        <v>https://www.screener.in/company//consolidated/</v>
      </c>
      <c r="F4366" s="4">
        <v>443059</v>
      </c>
      <c r="G4366" s="4">
        <v>3832241897</v>
      </c>
      <c r="H4366" s="6" t="e">
        <f t="shared" ca="1" si="86"/>
        <v>#VALUE!</v>
      </c>
      <c r="I4366" s="7" t="str">
        <f ca="1">IFERROR(__xludf.DUMMYFUNCTION("IMPORTXML(E4366,""/html/body/main/div[3]/div[3]/div[2]/ul/li[5]/span[2]/span"")"),"Loading...")</f>
        <v>Loading...</v>
      </c>
      <c r="J4366" s="7" t="str">
        <f ca="1">IFERROR(__xludf.DUMMYFUNCTION("GOOGLEFINANCE(""NSE:""&amp;D4366,""marketcap"")"),"#N/A")</f>
        <v>#N/A</v>
      </c>
      <c r="K4366" s="7">
        <v>992.8</v>
      </c>
      <c r="L4366" s="8" t="str">
        <f ca="1">IFERROR(__xludf.DUMMYFUNCTION("GOOGLEFINANCE(""NSE:""&amp;D4366,""price"")"),"#N/A")</f>
        <v>#N/A</v>
      </c>
      <c r="M4366" s="9" t="e">
        <f t="shared" ca="1" si="87"/>
        <v>#VALUE!</v>
      </c>
      <c r="N4366" s="10" t="e">
        <f t="shared" ca="1" si="88"/>
        <v>#VALUE!</v>
      </c>
      <c r="O4366" s="7" t="str">
        <f ca="1">IFERROR(__xludf.DUMMYFUNCTION("GOOGLEFINANCE(""NSE:""&amp;D4366,""pe"")"),"#N/A")</f>
        <v>#N/A</v>
      </c>
      <c r="P4366" s="7" t="str">
        <f ca="1">IFERROR(__xludf.DUMMYFUNCTION("GOOGLEFINANCE(""NSE:""&amp;D4366,""EPS"")"),"#N/A")</f>
        <v>#N/A</v>
      </c>
      <c r="Q4366" s="7">
        <v>13.5</v>
      </c>
      <c r="R4366" s="7" t="str">
        <f ca="1">IFERROR(__xludf.DUMMYFUNCTION("IMPORTXML(E4366,""/html/body/main/div[3]/div[3]/div[2]/ul/li[7]/span[2]/span"")"),"Loading...")</f>
        <v>Loading...</v>
      </c>
      <c r="S4366" s="7" t="str">
        <f ca="1">IFERROR(__xludf.DUMMYFUNCTION("IMPORTXML(E4366,""/html/body/main/div[3]/div[3]/div[2]/ul/li[8]/span[2]/span"")"),"Loading...")</f>
        <v>Loading...</v>
      </c>
      <c r="T4366" s="4">
        <v>34.6</v>
      </c>
      <c r="U4366" s="4">
        <v>22.7</v>
      </c>
      <c r="V4366" s="4">
        <v>2.6</v>
      </c>
      <c r="W4366" s="4">
        <v>5.7</v>
      </c>
      <c r="X4366" s="4">
        <v>519.92999999999995</v>
      </c>
      <c r="Y4366" s="7" t="e">
        <f t="shared" ca="1" si="89"/>
        <v>#VALUE!</v>
      </c>
    </row>
    <row r="4367" spans="1:25" ht="15" x14ac:dyDescent="0.25">
      <c r="A4367" s="4">
        <v>4366</v>
      </c>
      <c r="C4367" s="41" t="s">
        <v>6741</v>
      </c>
      <c r="D4367" s="42"/>
      <c r="E4367" s="5" t="str">
        <f t="shared" si="85"/>
        <v>https://www.screener.in/company//consolidated/</v>
      </c>
      <c r="F4367" s="4">
        <v>443059</v>
      </c>
      <c r="G4367" s="4">
        <v>3832241897</v>
      </c>
      <c r="H4367" s="6" t="e">
        <f t="shared" ca="1" si="86"/>
        <v>#VALUE!</v>
      </c>
      <c r="I4367" s="7" t="str">
        <f ca="1">IFERROR(__xludf.DUMMYFUNCTION("IMPORTXML(E4367,""/html/body/main/div[3]/div[3]/div[2]/ul/li[5]/span[2]/span"")"),"Loading...")</f>
        <v>Loading...</v>
      </c>
      <c r="J4367" s="7" t="str">
        <f ca="1">IFERROR(__xludf.DUMMYFUNCTION("GOOGLEFINANCE(""NSE:""&amp;D4367,""marketcap"")"),"#N/A")</f>
        <v>#N/A</v>
      </c>
      <c r="K4367" s="7">
        <v>992.8</v>
      </c>
      <c r="L4367" s="8" t="str">
        <f ca="1">IFERROR(__xludf.DUMMYFUNCTION("GOOGLEFINANCE(""NSE:""&amp;D4367,""price"")"),"#N/A")</f>
        <v>#N/A</v>
      </c>
      <c r="M4367" s="9" t="e">
        <f t="shared" ca="1" si="87"/>
        <v>#VALUE!</v>
      </c>
      <c r="N4367" s="10" t="e">
        <f t="shared" ca="1" si="88"/>
        <v>#VALUE!</v>
      </c>
      <c r="O4367" s="7" t="str">
        <f ca="1">IFERROR(__xludf.DUMMYFUNCTION("GOOGLEFINANCE(""NSE:""&amp;D4367,""pe"")"),"#N/A")</f>
        <v>#N/A</v>
      </c>
      <c r="P4367" s="7" t="str">
        <f ca="1">IFERROR(__xludf.DUMMYFUNCTION("GOOGLEFINANCE(""NSE:""&amp;D4367,""EPS"")"),"#N/A")</f>
        <v>#N/A</v>
      </c>
      <c r="Q4367" s="7">
        <v>13.5</v>
      </c>
      <c r="R4367" s="7" t="str">
        <f ca="1">IFERROR(__xludf.DUMMYFUNCTION("IMPORTXML(E4367,""/html/body/main/div[3]/div[3]/div[2]/ul/li[7]/span[2]/span"")"),"Loading...")</f>
        <v>Loading...</v>
      </c>
      <c r="S4367" s="7" t="str">
        <f ca="1">IFERROR(__xludf.DUMMYFUNCTION("IMPORTXML(E4367,""/html/body/main/div[3]/div[3]/div[2]/ul/li[8]/span[2]/span"")"),"Loading...")</f>
        <v>Loading...</v>
      </c>
      <c r="T4367" s="4">
        <v>34.6</v>
      </c>
      <c r="U4367" s="4">
        <v>22.7</v>
      </c>
      <c r="V4367" s="4">
        <v>2.6</v>
      </c>
      <c r="W4367" s="4">
        <v>5.7</v>
      </c>
      <c r="X4367" s="4">
        <v>519.92999999999995</v>
      </c>
      <c r="Y4367" s="7" t="e">
        <f t="shared" ca="1" si="89"/>
        <v>#VALUE!</v>
      </c>
    </row>
    <row r="4368" spans="1:25" ht="15" x14ac:dyDescent="0.25">
      <c r="A4368" s="4">
        <v>4367</v>
      </c>
      <c r="C4368" s="41" t="s">
        <v>6742</v>
      </c>
      <c r="D4368" s="42"/>
      <c r="E4368" s="5" t="str">
        <f t="shared" si="85"/>
        <v>https://www.screener.in/company//consolidated/</v>
      </c>
      <c r="F4368" s="4">
        <v>443059</v>
      </c>
      <c r="G4368" s="4">
        <v>3832241897</v>
      </c>
      <c r="H4368" s="6" t="e">
        <f t="shared" ca="1" si="86"/>
        <v>#VALUE!</v>
      </c>
      <c r="I4368" s="7" t="str">
        <f ca="1">IFERROR(__xludf.DUMMYFUNCTION("IMPORTXML(E4368,""/html/body/main/div[3]/div[3]/div[2]/ul/li[5]/span[2]/span"")"),"Loading...")</f>
        <v>Loading...</v>
      </c>
      <c r="J4368" s="7" t="str">
        <f ca="1">IFERROR(__xludf.DUMMYFUNCTION("GOOGLEFINANCE(""NSE:""&amp;D4368,""marketcap"")"),"#N/A")</f>
        <v>#N/A</v>
      </c>
      <c r="K4368" s="7">
        <v>992.8</v>
      </c>
      <c r="L4368" s="8" t="str">
        <f ca="1">IFERROR(__xludf.DUMMYFUNCTION("GOOGLEFINANCE(""NSE:""&amp;D4368,""price"")"),"#N/A")</f>
        <v>#N/A</v>
      </c>
      <c r="M4368" s="9" t="e">
        <f t="shared" ca="1" si="87"/>
        <v>#VALUE!</v>
      </c>
      <c r="N4368" s="10" t="e">
        <f t="shared" ca="1" si="88"/>
        <v>#VALUE!</v>
      </c>
      <c r="O4368" s="7" t="str">
        <f ca="1">IFERROR(__xludf.DUMMYFUNCTION("GOOGLEFINANCE(""NSE:""&amp;D4368,""pe"")"),"#N/A")</f>
        <v>#N/A</v>
      </c>
      <c r="P4368" s="7" t="str">
        <f ca="1">IFERROR(__xludf.DUMMYFUNCTION("GOOGLEFINANCE(""NSE:""&amp;D4368,""EPS"")"),"#N/A")</f>
        <v>#N/A</v>
      </c>
      <c r="Q4368" s="7">
        <v>13.5</v>
      </c>
      <c r="R4368" s="7" t="str">
        <f ca="1">IFERROR(__xludf.DUMMYFUNCTION("IMPORTXML(E4368,""/html/body/main/div[3]/div[3]/div[2]/ul/li[7]/span[2]/span"")"),"Loading...")</f>
        <v>Loading...</v>
      </c>
      <c r="S4368" s="7" t="str">
        <f ca="1">IFERROR(__xludf.DUMMYFUNCTION("IMPORTXML(E4368,""/html/body/main/div[3]/div[3]/div[2]/ul/li[8]/span[2]/span"")"),"Loading...")</f>
        <v>Loading...</v>
      </c>
      <c r="T4368" s="4">
        <v>34.6</v>
      </c>
      <c r="U4368" s="4">
        <v>22.7</v>
      </c>
      <c r="V4368" s="4">
        <v>2.6</v>
      </c>
      <c r="W4368" s="4">
        <v>5.7</v>
      </c>
      <c r="X4368" s="4">
        <v>519.92999999999995</v>
      </c>
      <c r="Y4368" s="7" t="e">
        <f t="shared" ca="1" si="89"/>
        <v>#VALUE!</v>
      </c>
    </row>
    <row r="4369" spans="1:25" ht="15" x14ac:dyDescent="0.25">
      <c r="A4369" s="4">
        <v>4368</v>
      </c>
      <c r="C4369" s="41" t="s">
        <v>6743</v>
      </c>
      <c r="D4369" s="42"/>
      <c r="E4369" s="5" t="str">
        <f t="shared" si="85"/>
        <v>https://www.screener.in/company//consolidated/</v>
      </c>
      <c r="F4369" s="4">
        <v>443059</v>
      </c>
      <c r="G4369" s="4">
        <v>3832241897</v>
      </c>
      <c r="H4369" s="6" t="e">
        <f t="shared" ca="1" si="86"/>
        <v>#VALUE!</v>
      </c>
      <c r="I4369" s="7" t="str">
        <f ca="1">IFERROR(__xludf.DUMMYFUNCTION("IMPORTXML(E4369,""/html/body/main/div[3]/div[3]/div[2]/ul/li[5]/span[2]/span"")"),"Loading...")</f>
        <v>Loading...</v>
      </c>
      <c r="J4369" s="7" t="str">
        <f ca="1">IFERROR(__xludf.DUMMYFUNCTION("GOOGLEFINANCE(""NSE:""&amp;D4369,""marketcap"")"),"#N/A")</f>
        <v>#N/A</v>
      </c>
      <c r="K4369" s="7">
        <v>992.8</v>
      </c>
      <c r="L4369" s="8" t="str">
        <f ca="1">IFERROR(__xludf.DUMMYFUNCTION("GOOGLEFINANCE(""NSE:""&amp;D4369,""price"")"),"#N/A")</f>
        <v>#N/A</v>
      </c>
      <c r="M4369" s="9" t="e">
        <f t="shared" ca="1" si="87"/>
        <v>#VALUE!</v>
      </c>
      <c r="N4369" s="10" t="e">
        <f t="shared" ca="1" si="88"/>
        <v>#VALUE!</v>
      </c>
      <c r="O4369" s="7" t="str">
        <f ca="1">IFERROR(__xludf.DUMMYFUNCTION("GOOGLEFINANCE(""NSE:""&amp;D4369,""pe"")"),"#N/A")</f>
        <v>#N/A</v>
      </c>
      <c r="P4369" s="7" t="str">
        <f ca="1">IFERROR(__xludf.DUMMYFUNCTION("GOOGLEFINANCE(""NSE:""&amp;D4369,""EPS"")"),"#N/A")</f>
        <v>#N/A</v>
      </c>
      <c r="Q4369" s="7">
        <v>13.5</v>
      </c>
      <c r="R4369" s="7" t="str">
        <f ca="1">IFERROR(__xludf.DUMMYFUNCTION("IMPORTXML(E4369,""/html/body/main/div[3]/div[3]/div[2]/ul/li[7]/span[2]/span"")"),"Loading...")</f>
        <v>Loading...</v>
      </c>
      <c r="S4369" s="7" t="str">
        <f ca="1">IFERROR(__xludf.DUMMYFUNCTION("IMPORTXML(E4369,""/html/body/main/div[3]/div[3]/div[2]/ul/li[8]/span[2]/span"")"),"Loading...")</f>
        <v>Loading...</v>
      </c>
      <c r="T4369" s="4">
        <v>34.6</v>
      </c>
      <c r="U4369" s="4">
        <v>22.7</v>
      </c>
      <c r="V4369" s="4">
        <v>2.6</v>
      </c>
      <c r="W4369" s="4">
        <v>5.7</v>
      </c>
      <c r="X4369" s="4">
        <v>519.92999999999995</v>
      </c>
      <c r="Y4369" s="7" t="e">
        <f t="shared" ca="1" si="89"/>
        <v>#VALUE!</v>
      </c>
    </row>
    <row r="4370" spans="1:25" ht="15" x14ac:dyDescent="0.25">
      <c r="A4370" s="4">
        <v>4369</v>
      </c>
      <c r="C4370" s="41" t="s">
        <v>6744</v>
      </c>
      <c r="D4370" s="42"/>
      <c r="E4370" s="5" t="str">
        <f t="shared" si="85"/>
        <v>https://www.screener.in/company//consolidated/</v>
      </c>
      <c r="F4370" s="4">
        <v>443059</v>
      </c>
      <c r="G4370" s="4">
        <v>3832241897</v>
      </c>
      <c r="H4370" s="6" t="e">
        <f t="shared" ca="1" si="86"/>
        <v>#VALUE!</v>
      </c>
      <c r="I4370" s="7" t="str">
        <f ca="1">IFERROR(__xludf.DUMMYFUNCTION("IMPORTXML(E4370,""/html/body/main/div[3]/div[3]/div[2]/ul/li[5]/span[2]/span"")"),"Loading...")</f>
        <v>Loading...</v>
      </c>
      <c r="J4370" s="7" t="str">
        <f ca="1">IFERROR(__xludf.DUMMYFUNCTION("GOOGLEFINANCE(""NSE:""&amp;D4370,""marketcap"")"),"#N/A")</f>
        <v>#N/A</v>
      </c>
      <c r="K4370" s="7">
        <v>992.8</v>
      </c>
      <c r="L4370" s="8" t="str">
        <f ca="1">IFERROR(__xludf.DUMMYFUNCTION("GOOGLEFINANCE(""NSE:""&amp;D4370,""price"")"),"#N/A")</f>
        <v>#N/A</v>
      </c>
      <c r="M4370" s="9" t="e">
        <f t="shared" ca="1" si="87"/>
        <v>#VALUE!</v>
      </c>
      <c r="N4370" s="10" t="e">
        <f t="shared" ca="1" si="88"/>
        <v>#VALUE!</v>
      </c>
      <c r="O4370" s="7" t="str">
        <f ca="1">IFERROR(__xludf.DUMMYFUNCTION("GOOGLEFINANCE(""NSE:""&amp;D4370,""pe"")"),"#N/A")</f>
        <v>#N/A</v>
      </c>
      <c r="P4370" s="7" t="str">
        <f ca="1">IFERROR(__xludf.DUMMYFUNCTION("GOOGLEFINANCE(""NSE:""&amp;D4370,""EPS"")"),"#N/A")</f>
        <v>#N/A</v>
      </c>
      <c r="Q4370" s="7">
        <v>13.5</v>
      </c>
      <c r="R4370" s="7" t="str">
        <f ca="1">IFERROR(__xludf.DUMMYFUNCTION("IMPORTXML(E4370,""/html/body/main/div[3]/div[3]/div[2]/ul/li[7]/span[2]/span"")"),"Loading...")</f>
        <v>Loading...</v>
      </c>
      <c r="S4370" s="7" t="str">
        <f ca="1">IFERROR(__xludf.DUMMYFUNCTION("IMPORTXML(E4370,""/html/body/main/div[3]/div[3]/div[2]/ul/li[8]/span[2]/span"")"),"Loading...")</f>
        <v>Loading...</v>
      </c>
      <c r="T4370" s="4">
        <v>34.6</v>
      </c>
      <c r="U4370" s="4">
        <v>22.7</v>
      </c>
      <c r="V4370" s="4">
        <v>2.6</v>
      </c>
      <c r="W4370" s="4">
        <v>5.7</v>
      </c>
      <c r="X4370" s="4">
        <v>519.92999999999995</v>
      </c>
      <c r="Y4370" s="7" t="e">
        <f t="shared" ca="1" si="89"/>
        <v>#VALUE!</v>
      </c>
    </row>
    <row r="4371" spans="1:25" ht="15" x14ac:dyDescent="0.25">
      <c r="A4371" s="4">
        <v>4370</v>
      </c>
      <c r="C4371" s="41" t="s">
        <v>6745</v>
      </c>
      <c r="D4371" s="42"/>
      <c r="E4371" s="5" t="str">
        <f t="shared" si="85"/>
        <v>https://www.screener.in/company//consolidated/</v>
      </c>
      <c r="F4371" s="4">
        <v>443059</v>
      </c>
      <c r="G4371" s="4">
        <v>3832241897</v>
      </c>
      <c r="H4371" s="6" t="e">
        <f t="shared" ca="1" si="86"/>
        <v>#VALUE!</v>
      </c>
      <c r="I4371" s="7" t="str">
        <f ca="1">IFERROR(__xludf.DUMMYFUNCTION("IMPORTXML(E4371,""/html/body/main/div[3]/div[3]/div[2]/ul/li[5]/span[2]/span"")"),"Loading...")</f>
        <v>Loading...</v>
      </c>
      <c r="J4371" s="7" t="str">
        <f ca="1">IFERROR(__xludf.DUMMYFUNCTION("GOOGLEFINANCE(""NSE:""&amp;D4371,""marketcap"")"),"#N/A")</f>
        <v>#N/A</v>
      </c>
      <c r="K4371" s="7">
        <v>992.8</v>
      </c>
      <c r="L4371" s="8" t="str">
        <f ca="1">IFERROR(__xludf.DUMMYFUNCTION("GOOGLEFINANCE(""NSE:""&amp;D4371,""price"")"),"#N/A")</f>
        <v>#N/A</v>
      </c>
      <c r="M4371" s="9" t="e">
        <f t="shared" ca="1" si="87"/>
        <v>#VALUE!</v>
      </c>
      <c r="N4371" s="10" t="e">
        <f t="shared" ca="1" si="88"/>
        <v>#VALUE!</v>
      </c>
      <c r="O4371" s="7" t="str">
        <f ca="1">IFERROR(__xludf.DUMMYFUNCTION("GOOGLEFINANCE(""NSE:""&amp;D4371,""pe"")"),"#N/A")</f>
        <v>#N/A</v>
      </c>
      <c r="P4371" s="7" t="str">
        <f ca="1">IFERROR(__xludf.DUMMYFUNCTION("GOOGLEFINANCE(""NSE:""&amp;D4371,""EPS"")"),"#N/A")</f>
        <v>#N/A</v>
      </c>
      <c r="Q4371" s="7">
        <v>13.5</v>
      </c>
      <c r="R4371" s="7" t="str">
        <f ca="1">IFERROR(__xludf.DUMMYFUNCTION("IMPORTXML(E4371,""/html/body/main/div[3]/div[3]/div[2]/ul/li[7]/span[2]/span"")"),"Loading...")</f>
        <v>Loading...</v>
      </c>
      <c r="S4371" s="7" t="str">
        <f ca="1">IFERROR(__xludf.DUMMYFUNCTION("IMPORTXML(E4371,""/html/body/main/div[3]/div[3]/div[2]/ul/li[8]/span[2]/span"")"),"Loading...")</f>
        <v>Loading...</v>
      </c>
      <c r="T4371" s="4">
        <v>34.6</v>
      </c>
      <c r="U4371" s="4">
        <v>22.7</v>
      </c>
      <c r="V4371" s="4">
        <v>2.6</v>
      </c>
      <c r="W4371" s="4">
        <v>5.7</v>
      </c>
      <c r="X4371" s="4">
        <v>519.92999999999995</v>
      </c>
      <c r="Y4371" s="7" t="e">
        <f t="shared" ca="1" si="89"/>
        <v>#VALUE!</v>
      </c>
    </row>
    <row r="4372" spans="1:25" ht="15" x14ac:dyDescent="0.25">
      <c r="A4372" s="4">
        <v>4371</v>
      </c>
      <c r="C4372" s="41" t="s">
        <v>6746</v>
      </c>
      <c r="D4372" s="42"/>
      <c r="E4372" s="5" t="str">
        <f t="shared" si="85"/>
        <v>https://www.screener.in/company//consolidated/</v>
      </c>
      <c r="F4372" s="4">
        <v>443059</v>
      </c>
      <c r="G4372" s="4">
        <v>3832241897</v>
      </c>
      <c r="H4372" s="6" t="e">
        <f t="shared" ca="1" si="86"/>
        <v>#VALUE!</v>
      </c>
      <c r="I4372" s="7" t="str">
        <f ca="1">IFERROR(__xludf.DUMMYFUNCTION("IMPORTXML(E4372,""/html/body/main/div[3]/div[3]/div[2]/ul/li[5]/span[2]/span"")"),"Loading...")</f>
        <v>Loading...</v>
      </c>
      <c r="J4372" s="7" t="str">
        <f ca="1">IFERROR(__xludf.DUMMYFUNCTION("GOOGLEFINANCE(""NSE:""&amp;D4372,""marketcap"")"),"#N/A")</f>
        <v>#N/A</v>
      </c>
      <c r="K4372" s="7">
        <v>992.8</v>
      </c>
      <c r="L4372" s="8" t="str">
        <f ca="1">IFERROR(__xludf.DUMMYFUNCTION("GOOGLEFINANCE(""NSE:""&amp;D4372,""price"")"),"#N/A")</f>
        <v>#N/A</v>
      </c>
      <c r="M4372" s="9" t="e">
        <f t="shared" ca="1" si="87"/>
        <v>#VALUE!</v>
      </c>
      <c r="N4372" s="10" t="e">
        <f t="shared" ca="1" si="88"/>
        <v>#VALUE!</v>
      </c>
      <c r="O4372" s="7" t="str">
        <f ca="1">IFERROR(__xludf.DUMMYFUNCTION("GOOGLEFINANCE(""NSE:""&amp;D4372,""pe"")"),"#N/A")</f>
        <v>#N/A</v>
      </c>
      <c r="P4372" s="7" t="str">
        <f ca="1">IFERROR(__xludf.DUMMYFUNCTION("GOOGLEFINANCE(""NSE:""&amp;D4372,""EPS"")"),"#N/A")</f>
        <v>#N/A</v>
      </c>
      <c r="Q4372" s="7">
        <v>13.5</v>
      </c>
      <c r="R4372" s="7" t="str">
        <f ca="1">IFERROR(__xludf.DUMMYFUNCTION("IMPORTXML(E4372,""/html/body/main/div[3]/div[3]/div[2]/ul/li[7]/span[2]/span"")"),"Loading...")</f>
        <v>Loading...</v>
      </c>
      <c r="S4372" s="7" t="str">
        <f ca="1">IFERROR(__xludf.DUMMYFUNCTION("IMPORTXML(E4372,""/html/body/main/div[3]/div[3]/div[2]/ul/li[8]/span[2]/span"")"),"Loading...")</f>
        <v>Loading...</v>
      </c>
      <c r="T4372" s="4">
        <v>34.6</v>
      </c>
      <c r="U4372" s="4">
        <v>22.7</v>
      </c>
      <c r="V4372" s="4">
        <v>2.6</v>
      </c>
      <c r="W4372" s="4">
        <v>5.7</v>
      </c>
      <c r="X4372" s="4">
        <v>519.92999999999995</v>
      </c>
      <c r="Y4372" s="7" t="e">
        <f t="shared" ca="1" si="89"/>
        <v>#VALUE!</v>
      </c>
    </row>
    <row r="4373" spans="1:25" ht="15" x14ac:dyDescent="0.25">
      <c r="A4373" s="4">
        <v>4372</v>
      </c>
      <c r="C4373" s="41" t="s">
        <v>6747</v>
      </c>
      <c r="D4373" s="42"/>
      <c r="E4373" s="5" t="str">
        <f t="shared" si="85"/>
        <v>https://www.screener.in/company//consolidated/</v>
      </c>
      <c r="F4373" s="4">
        <v>443059</v>
      </c>
      <c r="G4373" s="4">
        <v>3832241897</v>
      </c>
      <c r="H4373" s="6" t="e">
        <f t="shared" ca="1" si="86"/>
        <v>#VALUE!</v>
      </c>
      <c r="I4373" s="7" t="str">
        <f ca="1">IFERROR(__xludf.DUMMYFUNCTION("IMPORTXML(E4373,""/html/body/main/div[3]/div[3]/div[2]/ul/li[5]/span[2]/span"")"),"Loading...")</f>
        <v>Loading...</v>
      </c>
      <c r="J4373" s="7" t="str">
        <f ca="1">IFERROR(__xludf.DUMMYFUNCTION("GOOGLEFINANCE(""NSE:""&amp;D4373,""marketcap"")"),"#N/A")</f>
        <v>#N/A</v>
      </c>
      <c r="K4373" s="7">
        <v>992.8</v>
      </c>
      <c r="L4373" s="8" t="str">
        <f ca="1">IFERROR(__xludf.DUMMYFUNCTION("GOOGLEFINANCE(""NSE:""&amp;D4373,""price"")"),"#N/A")</f>
        <v>#N/A</v>
      </c>
      <c r="M4373" s="9" t="e">
        <f t="shared" ca="1" si="87"/>
        <v>#VALUE!</v>
      </c>
      <c r="N4373" s="10" t="e">
        <f t="shared" ca="1" si="88"/>
        <v>#VALUE!</v>
      </c>
      <c r="O4373" s="7" t="str">
        <f ca="1">IFERROR(__xludf.DUMMYFUNCTION("GOOGLEFINANCE(""NSE:""&amp;D4373,""pe"")"),"#N/A")</f>
        <v>#N/A</v>
      </c>
      <c r="P4373" s="7" t="str">
        <f ca="1">IFERROR(__xludf.DUMMYFUNCTION("GOOGLEFINANCE(""NSE:""&amp;D4373,""EPS"")"),"#N/A")</f>
        <v>#N/A</v>
      </c>
      <c r="Q4373" s="7">
        <v>13.5</v>
      </c>
      <c r="R4373" s="7" t="str">
        <f ca="1">IFERROR(__xludf.DUMMYFUNCTION("IMPORTXML(E4373,""/html/body/main/div[3]/div[3]/div[2]/ul/li[7]/span[2]/span"")"),"Loading...")</f>
        <v>Loading...</v>
      </c>
      <c r="S4373" s="7" t="str">
        <f ca="1">IFERROR(__xludf.DUMMYFUNCTION("IMPORTXML(E4373,""/html/body/main/div[3]/div[3]/div[2]/ul/li[8]/span[2]/span"")"),"Loading...")</f>
        <v>Loading...</v>
      </c>
      <c r="T4373" s="4">
        <v>34.6</v>
      </c>
      <c r="U4373" s="4">
        <v>22.7</v>
      </c>
      <c r="V4373" s="4">
        <v>2.6</v>
      </c>
      <c r="W4373" s="4">
        <v>5.7</v>
      </c>
      <c r="X4373" s="4">
        <v>519.92999999999995</v>
      </c>
      <c r="Y4373" s="7" t="e">
        <f t="shared" ca="1" si="89"/>
        <v>#VALUE!</v>
      </c>
    </row>
    <row r="4374" spans="1:25" ht="15" x14ac:dyDescent="0.25">
      <c r="A4374" s="4">
        <v>4373</v>
      </c>
      <c r="C4374" s="41" t="s">
        <v>6748</v>
      </c>
      <c r="D4374" s="42"/>
      <c r="E4374" s="5" t="str">
        <f t="shared" si="85"/>
        <v>https://www.screener.in/company//consolidated/</v>
      </c>
      <c r="F4374" s="4">
        <v>443059</v>
      </c>
      <c r="G4374" s="4">
        <v>3832241897</v>
      </c>
      <c r="H4374" s="6" t="e">
        <f t="shared" ca="1" si="86"/>
        <v>#VALUE!</v>
      </c>
      <c r="I4374" s="7" t="str">
        <f ca="1">IFERROR(__xludf.DUMMYFUNCTION("IMPORTXML(E4374,""/html/body/main/div[3]/div[3]/div[2]/ul/li[5]/span[2]/span"")"),"Loading...")</f>
        <v>Loading...</v>
      </c>
      <c r="J4374" s="7" t="str">
        <f ca="1">IFERROR(__xludf.DUMMYFUNCTION("GOOGLEFINANCE(""NSE:""&amp;D4374,""marketcap"")"),"#N/A")</f>
        <v>#N/A</v>
      </c>
      <c r="K4374" s="7">
        <v>992.8</v>
      </c>
      <c r="L4374" s="8" t="str">
        <f ca="1">IFERROR(__xludf.DUMMYFUNCTION("GOOGLEFINANCE(""NSE:""&amp;D4374,""price"")"),"#N/A")</f>
        <v>#N/A</v>
      </c>
      <c r="M4374" s="9" t="e">
        <f t="shared" ca="1" si="87"/>
        <v>#VALUE!</v>
      </c>
      <c r="N4374" s="10" t="e">
        <f t="shared" ca="1" si="88"/>
        <v>#VALUE!</v>
      </c>
      <c r="O4374" s="7" t="str">
        <f ca="1">IFERROR(__xludf.DUMMYFUNCTION("GOOGLEFINANCE(""NSE:""&amp;D4374,""pe"")"),"#N/A")</f>
        <v>#N/A</v>
      </c>
      <c r="P4374" s="7" t="str">
        <f ca="1">IFERROR(__xludf.DUMMYFUNCTION("GOOGLEFINANCE(""NSE:""&amp;D4374,""EPS"")"),"#N/A")</f>
        <v>#N/A</v>
      </c>
      <c r="Q4374" s="7">
        <v>13.5</v>
      </c>
      <c r="R4374" s="7" t="str">
        <f ca="1">IFERROR(__xludf.DUMMYFUNCTION("IMPORTXML(E4374,""/html/body/main/div[3]/div[3]/div[2]/ul/li[7]/span[2]/span"")"),"Loading...")</f>
        <v>Loading...</v>
      </c>
      <c r="S4374" s="7" t="str">
        <f ca="1">IFERROR(__xludf.DUMMYFUNCTION("IMPORTXML(E4374,""/html/body/main/div[3]/div[3]/div[2]/ul/li[8]/span[2]/span"")"),"Loading...")</f>
        <v>Loading...</v>
      </c>
      <c r="T4374" s="4">
        <v>34.6</v>
      </c>
      <c r="U4374" s="4">
        <v>22.7</v>
      </c>
      <c r="V4374" s="4">
        <v>2.6</v>
      </c>
      <c r="W4374" s="4">
        <v>5.7</v>
      </c>
      <c r="X4374" s="4">
        <v>519.92999999999995</v>
      </c>
      <c r="Y4374" s="7" t="e">
        <f t="shared" ca="1" si="89"/>
        <v>#VALUE!</v>
      </c>
    </row>
    <row r="4375" spans="1:25" ht="15" x14ac:dyDescent="0.25">
      <c r="A4375" s="4">
        <v>4374</v>
      </c>
      <c r="C4375" s="41" t="s">
        <v>6749</v>
      </c>
      <c r="D4375" s="42"/>
      <c r="E4375" s="5" t="str">
        <f t="shared" si="85"/>
        <v>https://www.screener.in/company//consolidated/</v>
      </c>
      <c r="F4375" s="4">
        <v>443059</v>
      </c>
      <c r="G4375" s="4">
        <v>3832241897</v>
      </c>
      <c r="H4375" s="6" t="e">
        <f t="shared" ca="1" si="86"/>
        <v>#VALUE!</v>
      </c>
      <c r="I4375" s="7" t="str">
        <f ca="1">IFERROR(__xludf.DUMMYFUNCTION("IMPORTXML(E4375,""/html/body/main/div[3]/div[3]/div[2]/ul/li[5]/span[2]/span"")"),"Loading...")</f>
        <v>Loading...</v>
      </c>
      <c r="J4375" s="7" t="str">
        <f ca="1">IFERROR(__xludf.DUMMYFUNCTION("GOOGLEFINANCE(""NSE:""&amp;D4375,""marketcap"")"),"#N/A")</f>
        <v>#N/A</v>
      </c>
      <c r="K4375" s="7">
        <v>992.8</v>
      </c>
      <c r="L4375" s="8" t="str">
        <f ca="1">IFERROR(__xludf.DUMMYFUNCTION("GOOGLEFINANCE(""NSE:""&amp;D4375,""price"")"),"#N/A")</f>
        <v>#N/A</v>
      </c>
      <c r="M4375" s="9" t="e">
        <f t="shared" ca="1" si="87"/>
        <v>#VALUE!</v>
      </c>
      <c r="N4375" s="10" t="e">
        <f t="shared" ca="1" si="88"/>
        <v>#VALUE!</v>
      </c>
      <c r="O4375" s="7" t="str">
        <f ca="1">IFERROR(__xludf.DUMMYFUNCTION("GOOGLEFINANCE(""NSE:""&amp;D4375,""pe"")"),"#N/A")</f>
        <v>#N/A</v>
      </c>
      <c r="P4375" s="7" t="str">
        <f ca="1">IFERROR(__xludf.DUMMYFUNCTION("GOOGLEFINANCE(""NSE:""&amp;D4375,""EPS"")"),"#N/A")</f>
        <v>#N/A</v>
      </c>
      <c r="Q4375" s="7">
        <v>13.5</v>
      </c>
      <c r="R4375" s="7" t="str">
        <f ca="1">IFERROR(__xludf.DUMMYFUNCTION("IMPORTXML(E4375,""/html/body/main/div[3]/div[3]/div[2]/ul/li[7]/span[2]/span"")"),"Loading...")</f>
        <v>Loading...</v>
      </c>
      <c r="S4375" s="7" t="str">
        <f ca="1">IFERROR(__xludf.DUMMYFUNCTION("IMPORTXML(E4375,""/html/body/main/div[3]/div[3]/div[2]/ul/li[8]/span[2]/span"")"),"Loading...")</f>
        <v>Loading...</v>
      </c>
      <c r="T4375" s="4">
        <v>34.6</v>
      </c>
      <c r="U4375" s="4">
        <v>22.7</v>
      </c>
      <c r="V4375" s="4">
        <v>2.6</v>
      </c>
      <c r="W4375" s="4">
        <v>5.7</v>
      </c>
      <c r="X4375" s="4">
        <v>519.92999999999995</v>
      </c>
      <c r="Y4375" s="7" t="e">
        <f t="shared" ca="1" si="89"/>
        <v>#VALUE!</v>
      </c>
    </row>
    <row r="4376" spans="1:25" ht="15" x14ac:dyDescent="0.25">
      <c r="A4376" s="4">
        <v>4375</v>
      </c>
      <c r="C4376" s="41" t="s">
        <v>6750</v>
      </c>
      <c r="D4376" s="42"/>
      <c r="E4376" s="5" t="str">
        <f t="shared" si="85"/>
        <v>https://www.screener.in/company//consolidated/</v>
      </c>
      <c r="F4376" s="4">
        <v>443059</v>
      </c>
      <c r="G4376" s="4">
        <v>3832241897</v>
      </c>
      <c r="H4376" s="6" t="e">
        <f t="shared" ca="1" si="86"/>
        <v>#VALUE!</v>
      </c>
      <c r="I4376" s="7" t="str">
        <f ca="1">IFERROR(__xludf.DUMMYFUNCTION("IMPORTXML(E4376,""/html/body/main/div[3]/div[3]/div[2]/ul/li[5]/span[2]/span"")"),"Loading...")</f>
        <v>Loading...</v>
      </c>
      <c r="J4376" s="7" t="str">
        <f ca="1">IFERROR(__xludf.DUMMYFUNCTION("GOOGLEFINANCE(""NSE:""&amp;D4376,""marketcap"")"),"#N/A")</f>
        <v>#N/A</v>
      </c>
      <c r="K4376" s="7">
        <v>992.8</v>
      </c>
      <c r="L4376" s="8" t="str">
        <f ca="1">IFERROR(__xludf.DUMMYFUNCTION("GOOGLEFINANCE(""NSE:""&amp;D4376,""price"")"),"#N/A")</f>
        <v>#N/A</v>
      </c>
      <c r="M4376" s="9" t="e">
        <f t="shared" ca="1" si="87"/>
        <v>#VALUE!</v>
      </c>
      <c r="N4376" s="10" t="e">
        <f t="shared" ca="1" si="88"/>
        <v>#VALUE!</v>
      </c>
      <c r="O4376" s="7" t="str">
        <f ca="1">IFERROR(__xludf.DUMMYFUNCTION("GOOGLEFINANCE(""NSE:""&amp;D4376,""pe"")"),"#N/A")</f>
        <v>#N/A</v>
      </c>
      <c r="P4376" s="7" t="str">
        <f ca="1">IFERROR(__xludf.DUMMYFUNCTION("GOOGLEFINANCE(""NSE:""&amp;D4376,""EPS"")"),"#N/A")</f>
        <v>#N/A</v>
      </c>
      <c r="Q4376" s="7">
        <v>13.5</v>
      </c>
      <c r="R4376" s="7" t="str">
        <f ca="1">IFERROR(__xludf.DUMMYFUNCTION("IMPORTXML(E4376,""/html/body/main/div[3]/div[3]/div[2]/ul/li[7]/span[2]/span"")"),"Loading...")</f>
        <v>Loading...</v>
      </c>
      <c r="S4376" s="7" t="str">
        <f ca="1">IFERROR(__xludf.DUMMYFUNCTION("IMPORTXML(E4376,""/html/body/main/div[3]/div[3]/div[2]/ul/li[8]/span[2]/span"")"),"Loading...")</f>
        <v>Loading...</v>
      </c>
      <c r="T4376" s="4">
        <v>34.6</v>
      </c>
      <c r="U4376" s="4">
        <v>22.7</v>
      </c>
      <c r="V4376" s="4">
        <v>2.6</v>
      </c>
      <c r="W4376" s="4">
        <v>5.7</v>
      </c>
      <c r="X4376" s="4">
        <v>519.92999999999995</v>
      </c>
      <c r="Y4376" s="7" t="e">
        <f t="shared" ca="1" si="89"/>
        <v>#VALUE!</v>
      </c>
    </row>
    <row r="4377" spans="1:25" ht="15" x14ac:dyDescent="0.25">
      <c r="A4377" s="4">
        <v>4376</v>
      </c>
      <c r="C4377" s="41" t="s">
        <v>6751</v>
      </c>
      <c r="D4377" s="42"/>
      <c r="E4377" s="5" t="str">
        <f t="shared" si="85"/>
        <v>https://www.screener.in/company//consolidated/</v>
      </c>
      <c r="F4377" s="4">
        <v>443059</v>
      </c>
      <c r="G4377" s="4">
        <v>3832241897</v>
      </c>
      <c r="H4377" s="6" t="e">
        <f t="shared" ca="1" si="86"/>
        <v>#VALUE!</v>
      </c>
      <c r="I4377" s="7" t="str">
        <f ca="1">IFERROR(__xludf.DUMMYFUNCTION("IMPORTXML(E4377,""/html/body/main/div[3]/div[3]/div[2]/ul/li[5]/span[2]/span"")"),"Loading...")</f>
        <v>Loading...</v>
      </c>
      <c r="J4377" s="7" t="str">
        <f ca="1">IFERROR(__xludf.DUMMYFUNCTION("GOOGLEFINANCE(""NSE:""&amp;D4377,""marketcap"")"),"#N/A")</f>
        <v>#N/A</v>
      </c>
      <c r="K4377" s="7">
        <v>992.8</v>
      </c>
      <c r="L4377" s="8" t="str">
        <f ca="1">IFERROR(__xludf.DUMMYFUNCTION("GOOGLEFINANCE(""NSE:""&amp;D4377,""price"")"),"#N/A")</f>
        <v>#N/A</v>
      </c>
      <c r="M4377" s="9" t="e">
        <f t="shared" ca="1" si="87"/>
        <v>#VALUE!</v>
      </c>
      <c r="N4377" s="10" t="e">
        <f t="shared" ca="1" si="88"/>
        <v>#VALUE!</v>
      </c>
      <c r="O4377" s="7" t="str">
        <f ca="1">IFERROR(__xludf.DUMMYFUNCTION("GOOGLEFINANCE(""NSE:""&amp;D4377,""pe"")"),"#N/A")</f>
        <v>#N/A</v>
      </c>
      <c r="P4377" s="7" t="str">
        <f ca="1">IFERROR(__xludf.DUMMYFUNCTION("GOOGLEFINANCE(""NSE:""&amp;D4377,""EPS"")"),"#N/A")</f>
        <v>#N/A</v>
      </c>
      <c r="Q4377" s="7">
        <v>13.5</v>
      </c>
      <c r="R4377" s="7" t="str">
        <f ca="1">IFERROR(__xludf.DUMMYFUNCTION("IMPORTXML(E4377,""/html/body/main/div[3]/div[3]/div[2]/ul/li[7]/span[2]/span"")"),"Loading...")</f>
        <v>Loading...</v>
      </c>
      <c r="S4377" s="7" t="str">
        <f ca="1">IFERROR(__xludf.DUMMYFUNCTION("IMPORTXML(E4377,""/html/body/main/div[3]/div[3]/div[2]/ul/li[8]/span[2]/span"")"),"Loading...")</f>
        <v>Loading...</v>
      </c>
      <c r="T4377" s="4">
        <v>34.6</v>
      </c>
      <c r="U4377" s="4">
        <v>22.7</v>
      </c>
      <c r="V4377" s="4">
        <v>2.6</v>
      </c>
      <c r="W4377" s="4">
        <v>5.7</v>
      </c>
      <c r="X4377" s="4">
        <v>519.92999999999995</v>
      </c>
      <c r="Y4377" s="7" t="e">
        <f t="shared" ca="1" si="89"/>
        <v>#VALUE!</v>
      </c>
    </row>
    <row r="4378" spans="1:25" ht="15" x14ac:dyDescent="0.25">
      <c r="A4378" s="4">
        <v>4377</v>
      </c>
      <c r="C4378" s="12" t="s">
        <v>6752</v>
      </c>
      <c r="D4378" s="37"/>
      <c r="E4378" s="5" t="str">
        <f t="shared" si="85"/>
        <v>https://www.screener.in/company//consolidated/</v>
      </c>
      <c r="F4378" s="4">
        <v>443059</v>
      </c>
      <c r="G4378" s="4">
        <v>3832241897</v>
      </c>
      <c r="H4378" s="6" t="e">
        <f t="shared" ca="1" si="86"/>
        <v>#VALUE!</v>
      </c>
      <c r="I4378" s="7" t="str">
        <f ca="1">IFERROR(__xludf.DUMMYFUNCTION("IMPORTXML(E4378,""/html/body/main/div[3]/div[3]/div[2]/ul/li[5]/span[2]/span"")"),"Loading...")</f>
        <v>Loading...</v>
      </c>
      <c r="J4378" s="7" t="str">
        <f ca="1">IFERROR(__xludf.DUMMYFUNCTION("GOOGLEFINANCE(""NSE:""&amp;D4378,""marketcap"")"),"#N/A")</f>
        <v>#N/A</v>
      </c>
      <c r="K4378" s="7">
        <v>992.8</v>
      </c>
      <c r="L4378" s="8" t="str">
        <f ca="1">IFERROR(__xludf.DUMMYFUNCTION("GOOGLEFINANCE(""NSE:""&amp;D4378,""price"")"),"#N/A")</f>
        <v>#N/A</v>
      </c>
      <c r="M4378" s="9" t="e">
        <f t="shared" ca="1" si="87"/>
        <v>#VALUE!</v>
      </c>
      <c r="N4378" s="10" t="e">
        <f t="shared" ca="1" si="88"/>
        <v>#VALUE!</v>
      </c>
      <c r="O4378" s="7" t="str">
        <f ca="1">IFERROR(__xludf.DUMMYFUNCTION("GOOGLEFINANCE(""NSE:""&amp;D4378,""pe"")"),"#N/A")</f>
        <v>#N/A</v>
      </c>
      <c r="P4378" s="7" t="str">
        <f ca="1">IFERROR(__xludf.DUMMYFUNCTION("GOOGLEFINANCE(""NSE:""&amp;D4378,""EPS"")"),"#N/A")</f>
        <v>#N/A</v>
      </c>
      <c r="Q4378" s="7">
        <v>13.5</v>
      </c>
      <c r="R4378" s="7" t="str">
        <f ca="1">IFERROR(__xludf.DUMMYFUNCTION("IMPORTXML(E4378,""/html/body/main/div[3]/div[3]/div[2]/ul/li[7]/span[2]/span"")"),"Loading...")</f>
        <v>Loading...</v>
      </c>
      <c r="S4378" s="7" t="str">
        <f ca="1">IFERROR(__xludf.DUMMYFUNCTION("IMPORTXML(E4378,""/html/body/main/div[3]/div[3]/div[2]/ul/li[8]/span[2]/span"")"),"Loading...")</f>
        <v>Loading...</v>
      </c>
      <c r="T4378" s="4">
        <v>34.6</v>
      </c>
      <c r="U4378" s="4">
        <v>22.7</v>
      </c>
      <c r="V4378" s="4">
        <v>2.6</v>
      </c>
      <c r="W4378" s="4">
        <v>5.7</v>
      </c>
      <c r="X4378" s="4">
        <v>519.92999999999995</v>
      </c>
      <c r="Y4378" s="7" t="e">
        <f t="shared" ca="1" si="89"/>
        <v>#VALUE!</v>
      </c>
    </row>
    <row r="4379" spans="1:25" ht="15" x14ac:dyDescent="0.25">
      <c r="A4379" s="4">
        <v>4378</v>
      </c>
      <c r="C4379" s="41" t="s">
        <v>6753</v>
      </c>
      <c r="D4379" s="42"/>
      <c r="E4379" s="5" t="str">
        <f t="shared" si="85"/>
        <v>https://www.screener.in/company//consolidated/</v>
      </c>
      <c r="F4379" s="4">
        <v>443059</v>
      </c>
      <c r="G4379" s="4">
        <v>3832241897</v>
      </c>
      <c r="H4379" s="6" t="e">
        <f t="shared" ca="1" si="86"/>
        <v>#VALUE!</v>
      </c>
      <c r="I4379" s="7" t="str">
        <f ca="1">IFERROR(__xludf.DUMMYFUNCTION("IMPORTXML(E4379,""/html/body/main/div[3]/div[3]/div[2]/ul/li[5]/span[2]/span"")"),"Loading...")</f>
        <v>Loading...</v>
      </c>
      <c r="J4379" s="7" t="str">
        <f ca="1">IFERROR(__xludf.DUMMYFUNCTION("GOOGLEFINANCE(""NSE:""&amp;D4379,""marketcap"")"),"#N/A")</f>
        <v>#N/A</v>
      </c>
      <c r="K4379" s="7">
        <v>992.8</v>
      </c>
      <c r="L4379" s="8" t="str">
        <f ca="1">IFERROR(__xludf.DUMMYFUNCTION("GOOGLEFINANCE(""NSE:""&amp;D4379,""price"")"),"#N/A")</f>
        <v>#N/A</v>
      </c>
      <c r="M4379" s="9" t="e">
        <f t="shared" ca="1" si="87"/>
        <v>#VALUE!</v>
      </c>
      <c r="N4379" s="10" t="e">
        <f t="shared" ca="1" si="88"/>
        <v>#VALUE!</v>
      </c>
      <c r="O4379" s="7" t="str">
        <f ca="1">IFERROR(__xludf.DUMMYFUNCTION("GOOGLEFINANCE(""NSE:""&amp;D4379,""pe"")"),"#N/A")</f>
        <v>#N/A</v>
      </c>
      <c r="P4379" s="7" t="str">
        <f ca="1">IFERROR(__xludf.DUMMYFUNCTION("GOOGLEFINANCE(""NSE:""&amp;D4379,""EPS"")"),"#N/A")</f>
        <v>#N/A</v>
      </c>
      <c r="Q4379" s="7">
        <v>13.5</v>
      </c>
      <c r="R4379" s="7" t="str">
        <f ca="1">IFERROR(__xludf.DUMMYFUNCTION("IMPORTXML(E4379,""/html/body/main/div[3]/div[3]/div[2]/ul/li[7]/span[2]/span"")"),"Loading...")</f>
        <v>Loading...</v>
      </c>
      <c r="S4379" s="7" t="str">
        <f ca="1">IFERROR(__xludf.DUMMYFUNCTION("IMPORTXML(E4379,""/html/body/main/div[3]/div[3]/div[2]/ul/li[8]/span[2]/span"")"),"Loading...")</f>
        <v>Loading...</v>
      </c>
      <c r="T4379" s="4">
        <v>34.6</v>
      </c>
      <c r="U4379" s="4">
        <v>22.7</v>
      </c>
      <c r="V4379" s="4">
        <v>2.6</v>
      </c>
      <c r="W4379" s="4">
        <v>5.7</v>
      </c>
      <c r="X4379" s="4">
        <v>519.92999999999995</v>
      </c>
      <c r="Y4379" s="7" t="e">
        <f t="shared" ca="1" si="89"/>
        <v>#VALUE!</v>
      </c>
    </row>
    <row r="4380" spans="1:25" ht="15" x14ac:dyDescent="0.25">
      <c r="A4380" s="4">
        <v>4379</v>
      </c>
      <c r="C4380" s="41" t="s">
        <v>6754</v>
      </c>
      <c r="D4380" s="42"/>
      <c r="E4380" s="5" t="str">
        <f t="shared" si="85"/>
        <v>https://www.screener.in/company//consolidated/</v>
      </c>
      <c r="F4380" s="4">
        <v>443059</v>
      </c>
      <c r="G4380" s="4">
        <v>3832241897</v>
      </c>
      <c r="H4380" s="6" t="e">
        <f t="shared" ca="1" si="86"/>
        <v>#VALUE!</v>
      </c>
      <c r="I4380" s="7" t="str">
        <f ca="1">IFERROR(__xludf.DUMMYFUNCTION("IMPORTXML(E4380,""/html/body/main/div[3]/div[3]/div[2]/ul/li[5]/span[2]/span"")"),"Loading...")</f>
        <v>Loading...</v>
      </c>
      <c r="J4380" s="7" t="str">
        <f ca="1">IFERROR(__xludf.DUMMYFUNCTION("GOOGLEFINANCE(""NSE:""&amp;D4380,""marketcap"")"),"#N/A")</f>
        <v>#N/A</v>
      </c>
      <c r="K4380" s="7">
        <v>992.8</v>
      </c>
      <c r="L4380" s="8" t="str">
        <f ca="1">IFERROR(__xludf.DUMMYFUNCTION("GOOGLEFINANCE(""NSE:""&amp;D4380,""price"")"),"#N/A")</f>
        <v>#N/A</v>
      </c>
      <c r="M4380" s="9" t="e">
        <f t="shared" ca="1" si="87"/>
        <v>#VALUE!</v>
      </c>
      <c r="N4380" s="10" t="e">
        <f t="shared" ca="1" si="88"/>
        <v>#VALUE!</v>
      </c>
      <c r="O4380" s="7" t="str">
        <f ca="1">IFERROR(__xludf.DUMMYFUNCTION("GOOGLEFINANCE(""NSE:""&amp;D4380,""pe"")"),"#N/A")</f>
        <v>#N/A</v>
      </c>
      <c r="P4380" s="7" t="str">
        <f ca="1">IFERROR(__xludf.DUMMYFUNCTION("GOOGLEFINANCE(""NSE:""&amp;D4380,""EPS"")"),"#N/A")</f>
        <v>#N/A</v>
      </c>
      <c r="Q4380" s="7">
        <v>13.5</v>
      </c>
      <c r="R4380" s="7" t="str">
        <f ca="1">IFERROR(__xludf.DUMMYFUNCTION("IMPORTXML(E4380,""/html/body/main/div[3]/div[3]/div[2]/ul/li[7]/span[2]/span"")"),"Loading...")</f>
        <v>Loading...</v>
      </c>
      <c r="S4380" s="7" t="str">
        <f ca="1">IFERROR(__xludf.DUMMYFUNCTION("IMPORTXML(E4380,""/html/body/main/div[3]/div[3]/div[2]/ul/li[8]/span[2]/span"")"),"Loading...")</f>
        <v>Loading...</v>
      </c>
      <c r="T4380" s="4">
        <v>34.6</v>
      </c>
      <c r="U4380" s="4">
        <v>22.7</v>
      </c>
      <c r="V4380" s="4">
        <v>2.6</v>
      </c>
      <c r="W4380" s="4">
        <v>5.7</v>
      </c>
      <c r="X4380" s="4">
        <v>519.92999999999995</v>
      </c>
      <c r="Y4380" s="7" t="e">
        <f t="shared" ca="1" si="89"/>
        <v>#VALUE!</v>
      </c>
    </row>
    <row r="4381" spans="1:25" ht="15" x14ac:dyDescent="0.25">
      <c r="A4381" s="4">
        <v>4380</v>
      </c>
      <c r="C4381" s="41" t="s">
        <v>6755</v>
      </c>
      <c r="D4381" s="42"/>
      <c r="E4381" s="5" t="str">
        <f t="shared" si="85"/>
        <v>https://www.screener.in/company//consolidated/</v>
      </c>
      <c r="F4381" s="4">
        <v>443059</v>
      </c>
      <c r="G4381" s="4">
        <v>3832241897</v>
      </c>
      <c r="H4381" s="6" t="e">
        <f t="shared" ca="1" si="86"/>
        <v>#VALUE!</v>
      </c>
      <c r="I4381" s="7" t="str">
        <f ca="1">IFERROR(__xludf.DUMMYFUNCTION("IMPORTXML(E4381,""/html/body/main/div[3]/div[3]/div[2]/ul/li[5]/span[2]/span"")"),"Loading...")</f>
        <v>Loading...</v>
      </c>
      <c r="J4381" s="7" t="str">
        <f ca="1">IFERROR(__xludf.DUMMYFUNCTION("GOOGLEFINANCE(""NSE:""&amp;D4381,""marketcap"")"),"#N/A")</f>
        <v>#N/A</v>
      </c>
      <c r="K4381" s="7">
        <v>992.8</v>
      </c>
      <c r="L4381" s="8" t="str">
        <f ca="1">IFERROR(__xludf.DUMMYFUNCTION("GOOGLEFINANCE(""NSE:""&amp;D4381,""price"")"),"#N/A")</f>
        <v>#N/A</v>
      </c>
      <c r="M4381" s="9" t="e">
        <f t="shared" ca="1" si="87"/>
        <v>#VALUE!</v>
      </c>
      <c r="N4381" s="10" t="e">
        <f t="shared" ca="1" si="88"/>
        <v>#VALUE!</v>
      </c>
      <c r="O4381" s="7" t="str">
        <f ca="1">IFERROR(__xludf.DUMMYFUNCTION("GOOGLEFINANCE(""NSE:""&amp;D4381,""pe"")"),"#N/A")</f>
        <v>#N/A</v>
      </c>
      <c r="P4381" s="7" t="str">
        <f ca="1">IFERROR(__xludf.DUMMYFUNCTION("GOOGLEFINANCE(""NSE:""&amp;D4381,""EPS"")"),"#N/A")</f>
        <v>#N/A</v>
      </c>
      <c r="Q4381" s="7">
        <v>13.5</v>
      </c>
      <c r="R4381" s="7" t="str">
        <f ca="1">IFERROR(__xludf.DUMMYFUNCTION("IMPORTXML(E4381,""/html/body/main/div[3]/div[3]/div[2]/ul/li[7]/span[2]/span"")"),"Loading...")</f>
        <v>Loading...</v>
      </c>
      <c r="S4381" s="7" t="str">
        <f ca="1">IFERROR(__xludf.DUMMYFUNCTION("IMPORTXML(E4381,""/html/body/main/div[3]/div[3]/div[2]/ul/li[8]/span[2]/span"")"),"Loading...")</f>
        <v>Loading...</v>
      </c>
      <c r="T4381" s="4">
        <v>34.6</v>
      </c>
      <c r="U4381" s="4">
        <v>22.7</v>
      </c>
      <c r="V4381" s="4">
        <v>2.6</v>
      </c>
      <c r="W4381" s="4">
        <v>5.7</v>
      </c>
      <c r="X4381" s="4">
        <v>519.92999999999995</v>
      </c>
      <c r="Y4381" s="7" t="e">
        <f t="shared" ca="1" si="89"/>
        <v>#VALUE!</v>
      </c>
    </row>
    <row r="4382" spans="1:25" ht="15" x14ac:dyDescent="0.25">
      <c r="A4382" s="4">
        <v>4381</v>
      </c>
      <c r="C4382" s="41" t="s">
        <v>6756</v>
      </c>
      <c r="D4382" s="42"/>
      <c r="E4382" s="5" t="str">
        <f t="shared" si="85"/>
        <v>https://www.screener.in/company//consolidated/</v>
      </c>
      <c r="F4382" s="4">
        <v>443059</v>
      </c>
      <c r="G4382" s="4">
        <v>3832241897</v>
      </c>
      <c r="H4382" s="6" t="e">
        <f t="shared" ca="1" si="86"/>
        <v>#VALUE!</v>
      </c>
      <c r="I4382" s="7" t="str">
        <f ca="1">IFERROR(__xludf.DUMMYFUNCTION("IMPORTXML(E4382,""/html/body/main/div[3]/div[3]/div[2]/ul/li[5]/span[2]/span"")"),"Loading...")</f>
        <v>Loading...</v>
      </c>
      <c r="J4382" s="7" t="str">
        <f ca="1">IFERROR(__xludf.DUMMYFUNCTION("GOOGLEFINANCE(""NSE:""&amp;D4382,""marketcap"")"),"#N/A")</f>
        <v>#N/A</v>
      </c>
      <c r="K4382" s="7">
        <v>992.8</v>
      </c>
      <c r="L4382" s="8" t="str">
        <f ca="1">IFERROR(__xludf.DUMMYFUNCTION("GOOGLEFINANCE(""NSE:""&amp;D4382,""price"")"),"#N/A")</f>
        <v>#N/A</v>
      </c>
      <c r="M4382" s="9" t="e">
        <f t="shared" ca="1" si="87"/>
        <v>#VALUE!</v>
      </c>
      <c r="N4382" s="10" t="e">
        <f t="shared" ca="1" si="88"/>
        <v>#VALUE!</v>
      </c>
      <c r="O4382" s="7" t="str">
        <f ca="1">IFERROR(__xludf.DUMMYFUNCTION("GOOGLEFINANCE(""NSE:""&amp;D4382,""pe"")"),"#N/A")</f>
        <v>#N/A</v>
      </c>
      <c r="P4382" s="7" t="str">
        <f ca="1">IFERROR(__xludf.DUMMYFUNCTION("GOOGLEFINANCE(""NSE:""&amp;D4382,""EPS"")"),"#N/A")</f>
        <v>#N/A</v>
      </c>
      <c r="Q4382" s="7">
        <v>13.5</v>
      </c>
      <c r="R4382" s="7" t="str">
        <f ca="1">IFERROR(__xludf.DUMMYFUNCTION("IMPORTXML(E4382,""/html/body/main/div[3]/div[3]/div[2]/ul/li[7]/span[2]/span"")"),"Loading...")</f>
        <v>Loading...</v>
      </c>
      <c r="S4382" s="7" t="str">
        <f ca="1">IFERROR(__xludf.DUMMYFUNCTION("IMPORTXML(E4382,""/html/body/main/div[3]/div[3]/div[2]/ul/li[8]/span[2]/span"")"),"Loading...")</f>
        <v>Loading...</v>
      </c>
      <c r="T4382" s="4">
        <v>34.6</v>
      </c>
      <c r="U4382" s="4">
        <v>22.7</v>
      </c>
      <c r="V4382" s="4">
        <v>2.6</v>
      </c>
      <c r="W4382" s="4">
        <v>5.7</v>
      </c>
      <c r="X4382" s="4">
        <v>519.92999999999995</v>
      </c>
      <c r="Y4382" s="7" t="e">
        <f t="shared" ca="1" si="89"/>
        <v>#VALUE!</v>
      </c>
    </row>
    <row r="4383" spans="1:25" ht="15" x14ac:dyDescent="0.25">
      <c r="A4383" s="4">
        <v>4382</v>
      </c>
      <c r="C4383" s="41" t="s">
        <v>6757</v>
      </c>
      <c r="D4383" s="42"/>
      <c r="E4383" s="5" t="str">
        <f t="shared" si="85"/>
        <v>https://www.screener.in/company//consolidated/</v>
      </c>
      <c r="F4383" s="4">
        <v>443059</v>
      </c>
      <c r="G4383" s="4">
        <v>3832241897</v>
      </c>
      <c r="H4383" s="6" t="e">
        <f t="shared" ca="1" si="86"/>
        <v>#VALUE!</v>
      </c>
      <c r="I4383" s="7" t="str">
        <f ca="1">IFERROR(__xludf.DUMMYFUNCTION("IMPORTXML(E4383,""/html/body/main/div[3]/div[3]/div[2]/ul/li[5]/span[2]/span"")"),"Loading...")</f>
        <v>Loading...</v>
      </c>
      <c r="J4383" s="7" t="str">
        <f ca="1">IFERROR(__xludf.DUMMYFUNCTION("GOOGLEFINANCE(""NSE:""&amp;D4383,""marketcap"")"),"#N/A")</f>
        <v>#N/A</v>
      </c>
      <c r="K4383" s="7">
        <v>992.8</v>
      </c>
      <c r="L4383" s="8" t="str">
        <f ca="1">IFERROR(__xludf.DUMMYFUNCTION("GOOGLEFINANCE(""NSE:""&amp;D4383,""price"")"),"#N/A")</f>
        <v>#N/A</v>
      </c>
      <c r="M4383" s="9" t="e">
        <f t="shared" ca="1" si="87"/>
        <v>#VALUE!</v>
      </c>
      <c r="N4383" s="10" t="e">
        <f t="shared" ca="1" si="88"/>
        <v>#VALUE!</v>
      </c>
      <c r="O4383" s="7" t="str">
        <f ca="1">IFERROR(__xludf.DUMMYFUNCTION("GOOGLEFINANCE(""NSE:""&amp;D4383,""pe"")"),"#N/A")</f>
        <v>#N/A</v>
      </c>
      <c r="P4383" s="7" t="str">
        <f ca="1">IFERROR(__xludf.DUMMYFUNCTION("GOOGLEFINANCE(""NSE:""&amp;D4383,""EPS"")"),"#N/A")</f>
        <v>#N/A</v>
      </c>
      <c r="Q4383" s="7">
        <v>13.5</v>
      </c>
      <c r="R4383" s="7" t="str">
        <f ca="1">IFERROR(__xludf.DUMMYFUNCTION("IMPORTXML(E4383,""/html/body/main/div[3]/div[3]/div[2]/ul/li[7]/span[2]/span"")"),"Loading...")</f>
        <v>Loading...</v>
      </c>
      <c r="S4383" s="7" t="str">
        <f ca="1">IFERROR(__xludf.DUMMYFUNCTION("IMPORTXML(E4383,""/html/body/main/div[3]/div[3]/div[2]/ul/li[8]/span[2]/span"")"),"Loading...")</f>
        <v>Loading...</v>
      </c>
      <c r="T4383" s="4">
        <v>34.6</v>
      </c>
      <c r="U4383" s="4">
        <v>22.7</v>
      </c>
      <c r="V4383" s="4">
        <v>2.6</v>
      </c>
      <c r="W4383" s="4">
        <v>5.7</v>
      </c>
      <c r="X4383" s="4">
        <v>519.92999999999995</v>
      </c>
      <c r="Y4383" s="7" t="e">
        <f t="shared" ca="1" si="89"/>
        <v>#VALUE!</v>
      </c>
    </row>
    <row r="4384" spans="1:25" ht="15" x14ac:dyDescent="0.25">
      <c r="A4384" s="4">
        <v>4383</v>
      </c>
      <c r="C4384" s="41" t="s">
        <v>6758</v>
      </c>
      <c r="D4384" s="42"/>
      <c r="E4384" s="5" t="str">
        <f t="shared" si="85"/>
        <v>https://www.screener.in/company//consolidated/</v>
      </c>
      <c r="F4384" s="4">
        <v>443059</v>
      </c>
      <c r="G4384" s="4">
        <v>3832241897</v>
      </c>
      <c r="H4384" s="6" t="e">
        <f t="shared" ca="1" si="86"/>
        <v>#VALUE!</v>
      </c>
      <c r="I4384" s="7" t="str">
        <f ca="1">IFERROR(__xludf.DUMMYFUNCTION("IMPORTXML(E4384,""/html/body/main/div[3]/div[3]/div[2]/ul/li[5]/span[2]/span"")"),"Loading...")</f>
        <v>Loading...</v>
      </c>
      <c r="J4384" s="7" t="str">
        <f ca="1">IFERROR(__xludf.DUMMYFUNCTION("GOOGLEFINANCE(""NSE:""&amp;D4384,""marketcap"")"),"#N/A")</f>
        <v>#N/A</v>
      </c>
      <c r="K4384" s="7">
        <v>992.8</v>
      </c>
      <c r="L4384" s="8" t="str">
        <f ca="1">IFERROR(__xludf.DUMMYFUNCTION("GOOGLEFINANCE(""NSE:""&amp;D4384,""price"")"),"#N/A")</f>
        <v>#N/A</v>
      </c>
      <c r="M4384" s="9" t="e">
        <f t="shared" ca="1" si="87"/>
        <v>#VALUE!</v>
      </c>
      <c r="N4384" s="10" t="e">
        <f t="shared" ca="1" si="88"/>
        <v>#VALUE!</v>
      </c>
      <c r="O4384" s="7" t="str">
        <f ca="1">IFERROR(__xludf.DUMMYFUNCTION("GOOGLEFINANCE(""NSE:""&amp;D4384,""pe"")"),"#N/A")</f>
        <v>#N/A</v>
      </c>
      <c r="P4384" s="7" t="str">
        <f ca="1">IFERROR(__xludf.DUMMYFUNCTION("GOOGLEFINANCE(""NSE:""&amp;D4384,""EPS"")"),"#N/A")</f>
        <v>#N/A</v>
      </c>
      <c r="Q4384" s="7">
        <v>13.5</v>
      </c>
      <c r="R4384" s="7" t="str">
        <f ca="1">IFERROR(__xludf.DUMMYFUNCTION("IMPORTXML(E4384,""/html/body/main/div[3]/div[3]/div[2]/ul/li[7]/span[2]/span"")"),"Loading...")</f>
        <v>Loading...</v>
      </c>
      <c r="S4384" s="7" t="str">
        <f ca="1">IFERROR(__xludf.DUMMYFUNCTION("IMPORTXML(E4384,""/html/body/main/div[3]/div[3]/div[2]/ul/li[8]/span[2]/span"")"),"Loading...")</f>
        <v>Loading...</v>
      </c>
      <c r="T4384" s="4">
        <v>34.6</v>
      </c>
      <c r="U4384" s="4">
        <v>22.7</v>
      </c>
      <c r="V4384" s="4">
        <v>2.6</v>
      </c>
      <c r="W4384" s="4">
        <v>5.7</v>
      </c>
      <c r="X4384" s="4">
        <v>519.92999999999995</v>
      </c>
      <c r="Y4384" s="7" t="e">
        <f t="shared" ca="1" si="89"/>
        <v>#VALUE!</v>
      </c>
    </row>
    <row r="4385" spans="1:25" ht="15" x14ac:dyDescent="0.25">
      <c r="A4385" s="4">
        <v>4384</v>
      </c>
      <c r="C4385" s="41" t="s">
        <v>6759</v>
      </c>
      <c r="D4385" s="42"/>
      <c r="E4385" s="5" t="str">
        <f t="shared" si="85"/>
        <v>https://www.screener.in/company//consolidated/</v>
      </c>
      <c r="F4385" s="4">
        <v>443059</v>
      </c>
      <c r="G4385" s="4">
        <v>3832241897</v>
      </c>
      <c r="H4385" s="6" t="e">
        <f t="shared" ca="1" si="86"/>
        <v>#VALUE!</v>
      </c>
      <c r="I4385" s="7" t="str">
        <f ca="1">IFERROR(__xludf.DUMMYFUNCTION("IMPORTXML(E4385,""/html/body/main/div[3]/div[3]/div[2]/ul/li[5]/span[2]/span"")"),"Loading...")</f>
        <v>Loading...</v>
      </c>
      <c r="J4385" s="7" t="str">
        <f ca="1">IFERROR(__xludf.DUMMYFUNCTION("GOOGLEFINANCE(""NSE:""&amp;D4385,""marketcap"")"),"#N/A")</f>
        <v>#N/A</v>
      </c>
      <c r="K4385" s="7">
        <v>992.8</v>
      </c>
      <c r="L4385" s="8" t="str">
        <f ca="1">IFERROR(__xludf.DUMMYFUNCTION("GOOGLEFINANCE(""NSE:""&amp;D4385,""price"")"),"#N/A")</f>
        <v>#N/A</v>
      </c>
      <c r="M4385" s="9" t="e">
        <f t="shared" ca="1" si="87"/>
        <v>#VALUE!</v>
      </c>
      <c r="N4385" s="10" t="e">
        <f t="shared" ca="1" si="88"/>
        <v>#VALUE!</v>
      </c>
      <c r="O4385" s="7" t="str">
        <f ca="1">IFERROR(__xludf.DUMMYFUNCTION("GOOGLEFINANCE(""NSE:""&amp;D4385,""pe"")"),"#N/A")</f>
        <v>#N/A</v>
      </c>
      <c r="P4385" s="7" t="str">
        <f ca="1">IFERROR(__xludf.DUMMYFUNCTION("GOOGLEFINANCE(""NSE:""&amp;D4385,""EPS"")"),"#N/A")</f>
        <v>#N/A</v>
      </c>
      <c r="Q4385" s="7">
        <v>13.5</v>
      </c>
      <c r="R4385" s="7" t="str">
        <f ca="1">IFERROR(__xludf.DUMMYFUNCTION("IMPORTXML(E4385,""/html/body/main/div[3]/div[3]/div[2]/ul/li[7]/span[2]/span"")"),"Loading...")</f>
        <v>Loading...</v>
      </c>
      <c r="S4385" s="7" t="str">
        <f ca="1">IFERROR(__xludf.DUMMYFUNCTION("IMPORTXML(E4385,""/html/body/main/div[3]/div[3]/div[2]/ul/li[8]/span[2]/span"")"),"Loading...")</f>
        <v>Loading...</v>
      </c>
      <c r="T4385" s="4">
        <v>34.6</v>
      </c>
      <c r="U4385" s="4">
        <v>22.7</v>
      </c>
      <c r="V4385" s="4">
        <v>2.6</v>
      </c>
      <c r="W4385" s="4">
        <v>5.7</v>
      </c>
      <c r="X4385" s="4">
        <v>519.92999999999995</v>
      </c>
      <c r="Y4385" s="7" t="e">
        <f t="shared" ca="1" si="89"/>
        <v>#VALUE!</v>
      </c>
    </row>
    <row r="4386" spans="1:25" ht="15" x14ac:dyDescent="0.25">
      <c r="A4386" s="4">
        <v>4385</v>
      </c>
      <c r="C4386" s="41" t="s">
        <v>6760</v>
      </c>
      <c r="D4386" s="42"/>
      <c r="E4386" s="5" t="str">
        <f t="shared" si="85"/>
        <v>https://www.screener.in/company//consolidated/</v>
      </c>
      <c r="F4386" s="4">
        <v>443059</v>
      </c>
      <c r="G4386" s="4">
        <v>3832241897</v>
      </c>
      <c r="H4386" s="6" t="e">
        <f t="shared" ca="1" si="86"/>
        <v>#VALUE!</v>
      </c>
      <c r="I4386" s="7" t="str">
        <f ca="1">IFERROR(__xludf.DUMMYFUNCTION("IMPORTXML(E4386,""/html/body/main/div[3]/div[3]/div[2]/ul/li[5]/span[2]/span"")"),"Loading...")</f>
        <v>Loading...</v>
      </c>
      <c r="J4386" s="7" t="str">
        <f ca="1">IFERROR(__xludf.DUMMYFUNCTION("GOOGLEFINANCE(""NSE:""&amp;D4386,""marketcap"")"),"#N/A")</f>
        <v>#N/A</v>
      </c>
      <c r="K4386" s="7">
        <v>992.8</v>
      </c>
      <c r="L4386" s="8" t="str">
        <f ca="1">IFERROR(__xludf.DUMMYFUNCTION("GOOGLEFINANCE(""NSE:""&amp;D4386,""price"")"),"#N/A")</f>
        <v>#N/A</v>
      </c>
      <c r="M4386" s="9" t="e">
        <f t="shared" ca="1" si="87"/>
        <v>#VALUE!</v>
      </c>
      <c r="N4386" s="10" t="e">
        <f t="shared" ca="1" si="88"/>
        <v>#VALUE!</v>
      </c>
      <c r="O4386" s="7" t="str">
        <f ca="1">IFERROR(__xludf.DUMMYFUNCTION("GOOGLEFINANCE(""NSE:""&amp;D4386,""pe"")"),"#N/A")</f>
        <v>#N/A</v>
      </c>
      <c r="P4386" s="7" t="str">
        <f ca="1">IFERROR(__xludf.DUMMYFUNCTION("GOOGLEFINANCE(""NSE:""&amp;D4386,""EPS"")"),"#N/A")</f>
        <v>#N/A</v>
      </c>
      <c r="Q4386" s="7">
        <v>13.5</v>
      </c>
      <c r="R4386" s="7" t="str">
        <f ca="1">IFERROR(__xludf.DUMMYFUNCTION("IMPORTXML(E4386,""/html/body/main/div[3]/div[3]/div[2]/ul/li[7]/span[2]/span"")"),"Loading...")</f>
        <v>Loading...</v>
      </c>
      <c r="S4386" s="7" t="str">
        <f ca="1">IFERROR(__xludf.DUMMYFUNCTION("IMPORTXML(E4386,""/html/body/main/div[3]/div[3]/div[2]/ul/li[8]/span[2]/span"")"),"Loading...")</f>
        <v>Loading...</v>
      </c>
      <c r="T4386" s="4">
        <v>34.6</v>
      </c>
      <c r="U4386" s="4">
        <v>22.7</v>
      </c>
      <c r="V4386" s="4">
        <v>2.6</v>
      </c>
      <c r="W4386" s="4">
        <v>5.7</v>
      </c>
      <c r="X4386" s="4">
        <v>519.92999999999995</v>
      </c>
      <c r="Y4386" s="7" t="e">
        <f t="shared" ca="1" si="89"/>
        <v>#VALUE!</v>
      </c>
    </row>
    <row r="4387" spans="1:25" ht="15" x14ac:dyDescent="0.25">
      <c r="A4387" s="4">
        <v>4386</v>
      </c>
      <c r="C4387" s="41" t="s">
        <v>6761</v>
      </c>
      <c r="D4387" s="42"/>
      <c r="E4387" s="5" t="str">
        <f t="shared" si="85"/>
        <v>https://www.screener.in/company//consolidated/</v>
      </c>
      <c r="F4387" s="4">
        <v>443059</v>
      </c>
      <c r="G4387" s="4">
        <v>3832241897</v>
      </c>
      <c r="H4387" s="6" t="e">
        <f t="shared" ca="1" si="86"/>
        <v>#VALUE!</v>
      </c>
      <c r="I4387" s="7" t="str">
        <f ca="1">IFERROR(__xludf.DUMMYFUNCTION("IMPORTXML(E4387,""/html/body/main/div[3]/div[3]/div[2]/ul/li[5]/span[2]/span"")"),"Loading...")</f>
        <v>Loading...</v>
      </c>
      <c r="J4387" s="7" t="str">
        <f ca="1">IFERROR(__xludf.DUMMYFUNCTION("GOOGLEFINANCE(""NSE:""&amp;D4387,""marketcap"")"),"#N/A")</f>
        <v>#N/A</v>
      </c>
      <c r="K4387" s="7">
        <v>992.8</v>
      </c>
      <c r="L4387" s="8" t="str">
        <f ca="1">IFERROR(__xludf.DUMMYFUNCTION("GOOGLEFINANCE(""NSE:""&amp;D4387,""price"")"),"#N/A")</f>
        <v>#N/A</v>
      </c>
      <c r="M4387" s="9" t="e">
        <f t="shared" ca="1" si="87"/>
        <v>#VALUE!</v>
      </c>
      <c r="N4387" s="10" t="e">
        <f t="shared" ca="1" si="88"/>
        <v>#VALUE!</v>
      </c>
      <c r="O4387" s="7" t="str">
        <f ca="1">IFERROR(__xludf.DUMMYFUNCTION("GOOGLEFINANCE(""NSE:""&amp;D4387,""pe"")"),"#N/A")</f>
        <v>#N/A</v>
      </c>
      <c r="P4387" s="7" t="str">
        <f ca="1">IFERROR(__xludf.DUMMYFUNCTION("GOOGLEFINANCE(""NSE:""&amp;D4387,""EPS"")"),"#N/A")</f>
        <v>#N/A</v>
      </c>
      <c r="Q4387" s="7">
        <v>13.5</v>
      </c>
      <c r="R4387" s="7" t="str">
        <f ca="1">IFERROR(__xludf.DUMMYFUNCTION("IMPORTXML(E4387,""/html/body/main/div[3]/div[3]/div[2]/ul/li[7]/span[2]/span"")"),"Loading...")</f>
        <v>Loading...</v>
      </c>
      <c r="S4387" s="7" t="str">
        <f ca="1">IFERROR(__xludf.DUMMYFUNCTION("IMPORTXML(E4387,""/html/body/main/div[3]/div[3]/div[2]/ul/li[8]/span[2]/span"")"),"Loading...")</f>
        <v>Loading...</v>
      </c>
      <c r="T4387" s="4">
        <v>34.6</v>
      </c>
      <c r="U4387" s="4">
        <v>22.7</v>
      </c>
      <c r="V4387" s="4">
        <v>2.6</v>
      </c>
      <c r="W4387" s="4">
        <v>5.7</v>
      </c>
      <c r="X4387" s="4">
        <v>519.92999999999995</v>
      </c>
      <c r="Y4387" s="7" t="e">
        <f t="shared" ca="1" si="89"/>
        <v>#VALUE!</v>
      </c>
    </row>
    <row r="4388" spans="1:25" ht="15" x14ac:dyDescent="0.25">
      <c r="A4388" s="4">
        <v>4387</v>
      </c>
      <c r="C4388" s="41" t="s">
        <v>6762</v>
      </c>
      <c r="D4388" s="42"/>
      <c r="E4388" s="5" t="str">
        <f t="shared" si="85"/>
        <v>https://www.screener.in/company//consolidated/</v>
      </c>
      <c r="F4388" s="4">
        <v>443059</v>
      </c>
      <c r="G4388" s="4">
        <v>3832241897</v>
      </c>
      <c r="H4388" s="6" t="e">
        <f t="shared" ca="1" si="86"/>
        <v>#VALUE!</v>
      </c>
      <c r="I4388" s="7" t="str">
        <f ca="1">IFERROR(__xludf.DUMMYFUNCTION("IMPORTXML(E4388,""/html/body/main/div[3]/div[3]/div[2]/ul/li[5]/span[2]/span"")"),"Loading...")</f>
        <v>Loading...</v>
      </c>
      <c r="J4388" s="7" t="str">
        <f ca="1">IFERROR(__xludf.DUMMYFUNCTION("GOOGLEFINANCE(""NSE:""&amp;D4388,""marketcap"")"),"#N/A")</f>
        <v>#N/A</v>
      </c>
      <c r="K4388" s="7">
        <v>992.8</v>
      </c>
      <c r="L4388" s="8" t="str">
        <f ca="1">IFERROR(__xludf.DUMMYFUNCTION("GOOGLEFINANCE(""NSE:""&amp;D4388,""price"")"),"#N/A")</f>
        <v>#N/A</v>
      </c>
      <c r="M4388" s="9" t="e">
        <f t="shared" ca="1" si="87"/>
        <v>#VALUE!</v>
      </c>
      <c r="N4388" s="10" t="e">
        <f t="shared" ca="1" si="88"/>
        <v>#VALUE!</v>
      </c>
      <c r="O4388" s="7" t="str">
        <f ca="1">IFERROR(__xludf.DUMMYFUNCTION("GOOGLEFINANCE(""NSE:""&amp;D4388,""pe"")"),"#N/A")</f>
        <v>#N/A</v>
      </c>
      <c r="P4388" s="7" t="str">
        <f ca="1">IFERROR(__xludf.DUMMYFUNCTION("GOOGLEFINANCE(""NSE:""&amp;D4388,""EPS"")"),"#N/A")</f>
        <v>#N/A</v>
      </c>
      <c r="Q4388" s="7">
        <v>13.5</v>
      </c>
      <c r="R4388" s="7" t="str">
        <f ca="1">IFERROR(__xludf.DUMMYFUNCTION("IMPORTXML(E4388,""/html/body/main/div[3]/div[3]/div[2]/ul/li[7]/span[2]/span"")"),"Loading...")</f>
        <v>Loading...</v>
      </c>
      <c r="S4388" s="7" t="str">
        <f ca="1">IFERROR(__xludf.DUMMYFUNCTION("IMPORTXML(E4388,""/html/body/main/div[3]/div[3]/div[2]/ul/li[8]/span[2]/span"")"),"Loading...")</f>
        <v>Loading...</v>
      </c>
      <c r="T4388" s="4">
        <v>34.6</v>
      </c>
      <c r="U4388" s="4">
        <v>22.7</v>
      </c>
      <c r="V4388" s="4">
        <v>2.6</v>
      </c>
      <c r="W4388" s="4">
        <v>5.7</v>
      </c>
      <c r="X4388" s="4">
        <v>519.92999999999995</v>
      </c>
      <c r="Y4388" s="7" t="e">
        <f t="shared" ca="1" si="89"/>
        <v>#VALUE!</v>
      </c>
    </row>
    <row r="4389" spans="1:25" ht="15" x14ac:dyDescent="0.25">
      <c r="A4389" s="4">
        <v>4388</v>
      </c>
      <c r="C4389" s="41" t="s">
        <v>6763</v>
      </c>
      <c r="D4389" s="42"/>
      <c r="E4389" s="5" t="str">
        <f t="shared" si="85"/>
        <v>https://www.screener.in/company//consolidated/</v>
      </c>
      <c r="F4389" s="4">
        <v>443059</v>
      </c>
      <c r="G4389" s="4">
        <v>3832241897</v>
      </c>
      <c r="H4389" s="6" t="e">
        <f t="shared" ca="1" si="86"/>
        <v>#VALUE!</v>
      </c>
      <c r="I4389" s="7" t="str">
        <f ca="1">IFERROR(__xludf.DUMMYFUNCTION("IMPORTXML(E4389,""/html/body/main/div[3]/div[3]/div[2]/ul/li[5]/span[2]/span"")"),"Loading...")</f>
        <v>Loading...</v>
      </c>
      <c r="J4389" s="7" t="str">
        <f ca="1">IFERROR(__xludf.DUMMYFUNCTION("GOOGLEFINANCE(""NSE:""&amp;D4389,""marketcap"")"),"#N/A")</f>
        <v>#N/A</v>
      </c>
      <c r="K4389" s="7">
        <v>992.8</v>
      </c>
      <c r="L4389" s="8" t="str">
        <f ca="1">IFERROR(__xludf.DUMMYFUNCTION("GOOGLEFINANCE(""NSE:""&amp;D4389,""price"")"),"#N/A")</f>
        <v>#N/A</v>
      </c>
      <c r="M4389" s="9" t="e">
        <f t="shared" ca="1" si="87"/>
        <v>#VALUE!</v>
      </c>
      <c r="N4389" s="10" t="e">
        <f t="shared" ca="1" si="88"/>
        <v>#VALUE!</v>
      </c>
      <c r="O4389" s="7" t="str">
        <f ca="1">IFERROR(__xludf.DUMMYFUNCTION("GOOGLEFINANCE(""NSE:""&amp;D4389,""pe"")"),"#N/A")</f>
        <v>#N/A</v>
      </c>
      <c r="P4389" s="7" t="str">
        <f ca="1">IFERROR(__xludf.DUMMYFUNCTION("GOOGLEFINANCE(""NSE:""&amp;D4389,""EPS"")"),"#N/A")</f>
        <v>#N/A</v>
      </c>
      <c r="Q4389" s="7">
        <v>13.5</v>
      </c>
      <c r="R4389" s="7" t="str">
        <f ca="1">IFERROR(__xludf.DUMMYFUNCTION("IMPORTXML(E4389,""/html/body/main/div[3]/div[3]/div[2]/ul/li[7]/span[2]/span"")"),"Loading...")</f>
        <v>Loading...</v>
      </c>
      <c r="S4389" s="7" t="str">
        <f ca="1">IFERROR(__xludf.DUMMYFUNCTION("IMPORTXML(E4389,""/html/body/main/div[3]/div[3]/div[2]/ul/li[8]/span[2]/span"")"),"Loading...")</f>
        <v>Loading...</v>
      </c>
      <c r="T4389" s="4">
        <v>34.6</v>
      </c>
      <c r="U4389" s="4">
        <v>22.7</v>
      </c>
      <c r="V4389" s="4">
        <v>2.6</v>
      </c>
      <c r="W4389" s="4">
        <v>5.7</v>
      </c>
      <c r="X4389" s="4">
        <v>519.92999999999995</v>
      </c>
      <c r="Y4389" s="7" t="e">
        <f t="shared" ca="1" si="89"/>
        <v>#VALUE!</v>
      </c>
    </row>
    <row r="4390" spans="1:25" ht="15" x14ac:dyDescent="0.25">
      <c r="A4390" s="4">
        <v>4389</v>
      </c>
      <c r="C4390" s="41" t="s">
        <v>6764</v>
      </c>
      <c r="D4390" s="42"/>
      <c r="E4390" s="5" t="str">
        <f t="shared" si="85"/>
        <v>https://www.screener.in/company//consolidated/</v>
      </c>
      <c r="F4390" s="4">
        <v>443059</v>
      </c>
      <c r="G4390" s="4">
        <v>3832241897</v>
      </c>
      <c r="H4390" s="6" t="e">
        <f t="shared" ca="1" si="86"/>
        <v>#VALUE!</v>
      </c>
      <c r="I4390" s="7" t="str">
        <f ca="1">IFERROR(__xludf.DUMMYFUNCTION("IMPORTXML(E4390,""/html/body/main/div[3]/div[3]/div[2]/ul/li[5]/span[2]/span"")"),"Loading...")</f>
        <v>Loading...</v>
      </c>
      <c r="J4390" s="7" t="str">
        <f ca="1">IFERROR(__xludf.DUMMYFUNCTION("GOOGLEFINANCE(""NSE:""&amp;D4390,""marketcap"")"),"#N/A")</f>
        <v>#N/A</v>
      </c>
      <c r="K4390" s="7">
        <v>992.8</v>
      </c>
      <c r="L4390" s="8" t="str">
        <f ca="1">IFERROR(__xludf.DUMMYFUNCTION("GOOGLEFINANCE(""NSE:""&amp;D4390,""price"")"),"#N/A")</f>
        <v>#N/A</v>
      </c>
      <c r="M4390" s="9" t="e">
        <f t="shared" ca="1" si="87"/>
        <v>#VALUE!</v>
      </c>
      <c r="N4390" s="10" t="e">
        <f t="shared" ca="1" si="88"/>
        <v>#VALUE!</v>
      </c>
      <c r="O4390" s="7" t="str">
        <f ca="1">IFERROR(__xludf.DUMMYFUNCTION("GOOGLEFINANCE(""NSE:""&amp;D4390,""pe"")"),"#N/A")</f>
        <v>#N/A</v>
      </c>
      <c r="P4390" s="7" t="str">
        <f ca="1">IFERROR(__xludf.DUMMYFUNCTION("GOOGLEFINANCE(""NSE:""&amp;D4390,""EPS"")"),"#N/A")</f>
        <v>#N/A</v>
      </c>
      <c r="Q4390" s="7">
        <v>13.5</v>
      </c>
      <c r="R4390" s="7" t="str">
        <f ca="1">IFERROR(__xludf.DUMMYFUNCTION("IMPORTXML(E4390,""/html/body/main/div[3]/div[3]/div[2]/ul/li[7]/span[2]/span"")"),"Loading...")</f>
        <v>Loading...</v>
      </c>
      <c r="S4390" s="7" t="str">
        <f ca="1">IFERROR(__xludf.DUMMYFUNCTION("IMPORTXML(E4390,""/html/body/main/div[3]/div[3]/div[2]/ul/li[8]/span[2]/span"")"),"Loading...")</f>
        <v>Loading...</v>
      </c>
      <c r="T4390" s="4">
        <v>34.6</v>
      </c>
      <c r="U4390" s="4">
        <v>22.7</v>
      </c>
      <c r="V4390" s="4">
        <v>2.6</v>
      </c>
      <c r="W4390" s="4">
        <v>5.7</v>
      </c>
      <c r="X4390" s="4">
        <v>519.92999999999995</v>
      </c>
      <c r="Y4390" s="7" t="e">
        <f t="shared" ca="1" si="89"/>
        <v>#VALUE!</v>
      </c>
    </row>
    <row r="4391" spans="1:25" ht="15" x14ac:dyDescent="0.25">
      <c r="A4391" s="4">
        <v>4390</v>
      </c>
      <c r="C4391" s="41" t="s">
        <v>6765</v>
      </c>
      <c r="D4391" s="42"/>
      <c r="E4391" s="5" t="str">
        <f t="shared" si="85"/>
        <v>https://www.screener.in/company//consolidated/</v>
      </c>
      <c r="F4391" s="4">
        <v>443059</v>
      </c>
      <c r="G4391" s="4">
        <v>3832241897</v>
      </c>
      <c r="H4391" s="6" t="e">
        <f t="shared" ca="1" si="86"/>
        <v>#VALUE!</v>
      </c>
      <c r="I4391" s="7" t="str">
        <f ca="1">IFERROR(__xludf.DUMMYFUNCTION("IMPORTXML(E4391,""/html/body/main/div[3]/div[3]/div[2]/ul/li[5]/span[2]/span"")"),"Loading...")</f>
        <v>Loading...</v>
      </c>
      <c r="J4391" s="7" t="str">
        <f ca="1">IFERROR(__xludf.DUMMYFUNCTION("GOOGLEFINANCE(""NSE:""&amp;D4391,""marketcap"")"),"#N/A")</f>
        <v>#N/A</v>
      </c>
      <c r="K4391" s="7">
        <v>992.8</v>
      </c>
      <c r="L4391" s="8" t="str">
        <f ca="1">IFERROR(__xludf.DUMMYFUNCTION("GOOGLEFINANCE(""NSE:""&amp;D4391,""price"")"),"#N/A")</f>
        <v>#N/A</v>
      </c>
      <c r="M4391" s="9" t="e">
        <f t="shared" ca="1" si="87"/>
        <v>#VALUE!</v>
      </c>
      <c r="N4391" s="10" t="e">
        <f t="shared" ca="1" si="88"/>
        <v>#VALUE!</v>
      </c>
      <c r="O4391" s="7" t="str">
        <f ca="1">IFERROR(__xludf.DUMMYFUNCTION("GOOGLEFINANCE(""NSE:""&amp;D4391,""pe"")"),"#N/A")</f>
        <v>#N/A</v>
      </c>
      <c r="P4391" s="7" t="str">
        <f ca="1">IFERROR(__xludf.DUMMYFUNCTION("GOOGLEFINANCE(""NSE:""&amp;D4391,""EPS"")"),"#N/A")</f>
        <v>#N/A</v>
      </c>
      <c r="Q4391" s="7">
        <v>13.5</v>
      </c>
      <c r="R4391" s="7" t="str">
        <f ca="1">IFERROR(__xludf.DUMMYFUNCTION("IMPORTXML(E4391,""/html/body/main/div[3]/div[3]/div[2]/ul/li[7]/span[2]/span"")"),"Loading...")</f>
        <v>Loading...</v>
      </c>
      <c r="S4391" s="7" t="str">
        <f ca="1">IFERROR(__xludf.DUMMYFUNCTION("IMPORTXML(E4391,""/html/body/main/div[3]/div[3]/div[2]/ul/li[8]/span[2]/span"")"),"Loading...")</f>
        <v>Loading...</v>
      </c>
      <c r="T4391" s="4">
        <v>34.6</v>
      </c>
      <c r="U4391" s="4">
        <v>22.7</v>
      </c>
      <c r="V4391" s="4">
        <v>2.6</v>
      </c>
      <c r="W4391" s="4">
        <v>5.7</v>
      </c>
      <c r="X4391" s="4">
        <v>519.92999999999995</v>
      </c>
      <c r="Y4391" s="7" t="e">
        <f t="shared" ca="1" si="89"/>
        <v>#VALUE!</v>
      </c>
    </row>
    <row r="4392" spans="1:25" ht="15" x14ac:dyDescent="0.25">
      <c r="A4392" s="4">
        <v>4391</v>
      </c>
      <c r="C4392" s="41" t="s">
        <v>6766</v>
      </c>
      <c r="D4392" s="42"/>
      <c r="E4392" s="5" t="str">
        <f t="shared" si="85"/>
        <v>https://www.screener.in/company//consolidated/</v>
      </c>
      <c r="F4392" s="4">
        <v>443059</v>
      </c>
      <c r="G4392" s="4">
        <v>3832241897</v>
      </c>
      <c r="H4392" s="6" t="e">
        <f t="shared" ca="1" si="86"/>
        <v>#VALUE!</v>
      </c>
      <c r="I4392" s="7" t="str">
        <f ca="1">IFERROR(__xludf.DUMMYFUNCTION("IMPORTXML(E4392,""/html/body/main/div[3]/div[3]/div[2]/ul/li[5]/span[2]/span"")"),"Loading...")</f>
        <v>Loading...</v>
      </c>
      <c r="J4392" s="7" t="str">
        <f ca="1">IFERROR(__xludf.DUMMYFUNCTION("GOOGLEFINANCE(""NSE:""&amp;D4392,""marketcap"")"),"#N/A")</f>
        <v>#N/A</v>
      </c>
      <c r="K4392" s="7">
        <v>992.8</v>
      </c>
      <c r="L4392" s="8" t="str">
        <f ca="1">IFERROR(__xludf.DUMMYFUNCTION("GOOGLEFINANCE(""NSE:""&amp;D4392,""price"")"),"#N/A")</f>
        <v>#N/A</v>
      </c>
      <c r="M4392" s="9" t="e">
        <f t="shared" ca="1" si="87"/>
        <v>#VALUE!</v>
      </c>
      <c r="N4392" s="10" t="e">
        <f t="shared" ca="1" si="88"/>
        <v>#VALUE!</v>
      </c>
      <c r="O4392" s="7" t="str">
        <f ca="1">IFERROR(__xludf.DUMMYFUNCTION("GOOGLEFINANCE(""NSE:""&amp;D4392,""pe"")"),"#N/A")</f>
        <v>#N/A</v>
      </c>
      <c r="P4392" s="7" t="str">
        <f ca="1">IFERROR(__xludf.DUMMYFUNCTION("GOOGLEFINANCE(""NSE:""&amp;D4392,""EPS"")"),"#N/A")</f>
        <v>#N/A</v>
      </c>
      <c r="Q4392" s="7">
        <v>13.5</v>
      </c>
      <c r="R4392" s="7" t="str">
        <f ca="1">IFERROR(__xludf.DUMMYFUNCTION("IMPORTXML(E4392,""/html/body/main/div[3]/div[3]/div[2]/ul/li[7]/span[2]/span"")"),"Loading...")</f>
        <v>Loading...</v>
      </c>
      <c r="S4392" s="7" t="str">
        <f ca="1">IFERROR(__xludf.DUMMYFUNCTION("IMPORTXML(E4392,""/html/body/main/div[3]/div[3]/div[2]/ul/li[8]/span[2]/span"")"),"Loading...")</f>
        <v>Loading...</v>
      </c>
      <c r="T4392" s="4">
        <v>34.6</v>
      </c>
      <c r="U4392" s="4">
        <v>22.7</v>
      </c>
      <c r="V4392" s="4">
        <v>2.6</v>
      </c>
      <c r="W4392" s="4">
        <v>5.7</v>
      </c>
      <c r="X4392" s="4">
        <v>519.92999999999995</v>
      </c>
      <c r="Y4392" s="7" t="e">
        <f t="shared" ca="1" si="89"/>
        <v>#VALUE!</v>
      </c>
    </row>
    <row r="4393" spans="1:25" ht="15" x14ac:dyDescent="0.25">
      <c r="A4393" s="4">
        <v>4392</v>
      </c>
      <c r="C4393" s="41" t="s">
        <v>6767</v>
      </c>
      <c r="D4393" s="42"/>
      <c r="E4393" s="5" t="str">
        <f t="shared" si="85"/>
        <v>https://www.screener.in/company//consolidated/</v>
      </c>
      <c r="F4393" s="4">
        <v>443059</v>
      </c>
      <c r="G4393" s="4">
        <v>3832241897</v>
      </c>
      <c r="H4393" s="6" t="e">
        <f t="shared" ca="1" si="86"/>
        <v>#VALUE!</v>
      </c>
      <c r="I4393" s="7" t="str">
        <f ca="1">IFERROR(__xludf.DUMMYFUNCTION("IMPORTXML(E4393,""/html/body/main/div[3]/div[3]/div[2]/ul/li[5]/span[2]/span"")"),"Loading...")</f>
        <v>Loading...</v>
      </c>
      <c r="J4393" s="7" t="str">
        <f ca="1">IFERROR(__xludf.DUMMYFUNCTION("GOOGLEFINANCE(""NSE:""&amp;D4393,""marketcap"")"),"#N/A")</f>
        <v>#N/A</v>
      </c>
      <c r="K4393" s="7">
        <v>992.8</v>
      </c>
      <c r="L4393" s="8" t="str">
        <f ca="1">IFERROR(__xludf.DUMMYFUNCTION("GOOGLEFINANCE(""NSE:""&amp;D4393,""price"")"),"#N/A")</f>
        <v>#N/A</v>
      </c>
      <c r="M4393" s="9" t="e">
        <f t="shared" ca="1" si="87"/>
        <v>#VALUE!</v>
      </c>
      <c r="N4393" s="10" t="e">
        <f t="shared" ca="1" si="88"/>
        <v>#VALUE!</v>
      </c>
      <c r="O4393" s="7" t="str">
        <f ca="1">IFERROR(__xludf.DUMMYFUNCTION("GOOGLEFINANCE(""NSE:""&amp;D4393,""pe"")"),"#N/A")</f>
        <v>#N/A</v>
      </c>
      <c r="P4393" s="7" t="str">
        <f ca="1">IFERROR(__xludf.DUMMYFUNCTION("GOOGLEFINANCE(""NSE:""&amp;D4393,""EPS"")"),"#N/A")</f>
        <v>#N/A</v>
      </c>
      <c r="Q4393" s="7">
        <v>13.5</v>
      </c>
      <c r="R4393" s="7" t="str">
        <f ca="1">IFERROR(__xludf.DUMMYFUNCTION("IMPORTXML(E4393,""/html/body/main/div[3]/div[3]/div[2]/ul/li[7]/span[2]/span"")"),"Loading...")</f>
        <v>Loading...</v>
      </c>
      <c r="S4393" s="7" t="str">
        <f ca="1">IFERROR(__xludf.DUMMYFUNCTION("IMPORTXML(E4393,""/html/body/main/div[3]/div[3]/div[2]/ul/li[8]/span[2]/span"")"),"Loading...")</f>
        <v>Loading...</v>
      </c>
      <c r="T4393" s="4">
        <v>34.6</v>
      </c>
      <c r="U4393" s="4">
        <v>22.7</v>
      </c>
      <c r="V4393" s="4">
        <v>2.6</v>
      </c>
      <c r="W4393" s="4">
        <v>5.7</v>
      </c>
      <c r="X4393" s="4">
        <v>519.92999999999995</v>
      </c>
      <c r="Y4393" s="7" t="e">
        <f t="shared" ca="1" si="89"/>
        <v>#VALUE!</v>
      </c>
    </row>
    <row r="4394" spans="1:25" ht="15" x14ac:dyDescent="0.25">
      <c r="A4394" s="4">
        <v>4393</v>
      </c>
      <c r="C4394" s="41" t="s">
        <v>6768</v>
      </c>
      <c r="D4394" s="42"/>
      <c r="E4394" s="5" t="str">
        <f t="shared" si="85"/>
        <v>https://www.screener.in/company//consolidated/</v>
      </c>
      <c r="F4394" s="4">
        <v>443059</v>
      </c>
      <c r="G4394" s="4">
        <v>3832241897</v>
      </c>
      <c r="H4394" s="6" t="e">
        <f t="shared" ca="1" si="86"/>
        <v>#VALUE!</v>
      </c>
      <c r="I4394" s="7" t="str">
        <f ca="1">IFERROR(__xludf.DUMMYFUNCTION("IMPORTXML(E4394,""/html/body/main/div[3]/div[3]/div[2]/ul/li[5]/span[2]/span"")"),"Loading...")</f>
        <v>Loading...</v>
      </c>
      <c r="J4394" s="7" t="str">
        <f ca="1">IFERROR(__xludf.DUMMYFUNCTION("GOOGLEFINANCE(""NSE:""&amp;D4394,""marketcap"")"),"#N/A")</f>
        <v>#N/A</v>
      </c>
      <c r="K4394" s="7">
        <v>992.8</v>
      </c>
      <c r="L4394" s="8" t="str">
        <f ca="1">IFERROR(__xludf.DUMMYFUNCTION("GOOGLEFINANCE(""NSE:""&amp;D4394,""price"")"),"#N/A")</f>
        <v>#N/A</v>
      </c>
      <c r="M4394" s="9" t="e">
        <f t="shared" ca="1" si="87"/>
        <v>#VALUE!</v>
      </c>
      <c r="N4394" s="10" t="e">
        <f t="shared" ca="1" si="88"/>
        <v>#VALUE!</v>
      </c>
      <c r="O4394" s="7" t="str">
        <f ca="1">IFERROR(__xludf.DUMMYFUNCTION("GOOGLEFINANCE(""NSE:""&amp;D4394,""pe"")"),"#N/A")</f>
        <v>#N/A</v>
      </c>
      <c r="P4394" s="7" t="str">
        <f ca="1">IFERROR(__xludf.DUMMYFUNCTION("GOOGLEFINANCE(""NSE:""&amp;D4394,""EPS"")"),"#N/A")</f>
        <v>#N/A</v>
      </c>
      <c r="Q4394" s="7">
        <v>13.5</v>
      </c>
      <c r="R4394" s="7" t="str">
        <f ca="1">IFERROR(__xludf.DUMMYFUNCTION("IMPORTXML(E4394,""/html/body/main/div[3]/div[3]/div[2]/ul/li[7]/span[2]/span"")"),"Loading...")</f>
        <v>Loading...</v>
      </c>
      <c r="S4394" s="7" t="str">
        <f ca="1">IFERROR(__xludf.DUMMYFUNCTION("IMPORTXML(E4394,""/html/body/main/div[3]/div[3]/div[2]/ul/li[8]/span[2]/span"")"),"Loading...")</f>
        <v>Loading...</v>
      </c>
      <c r="T4394" s="4">
        <v>34.6</v>
      </c>
      <c r="U4394" s="4">
        <v>22.7</v>
      </c>
      <c r="V4394" s="4">
        <v>2.6</v>
      </c>
      <c r="W4394" s="4">
        <v>5.7</v>
      </c>
      <c r="X4394" s="4">
        <v>519.92999999999995</v>
      </c>
      <c r="Y4394" s="7" t="e">
        <f t="shared" ca="1" si="89"/>
        <v>#VALUE!</v>
      </c>
    </row>
    <row r="4395" spans="1:25" ht="15" x14ac:dyDescent="0.25">
      <c r="A4395" s="4">
        <v>4394</v>
      </c>
      <c r="C4395" s="12" t="s">
        <v>6769</v>
      </c>
      <c r="D4395" s="12" t="s">
        <v>6770</v>
      </c>
      <c r="E4395" s="5" t="str">
        <f t="shared" si="85"/>
        <v>https://www.screener.in/company/QUINTEGRA/consolidated/</v>
      </c>
      <c r="F4395" s="4">
        <v>443059</v>
      </c>
      <c r="G4395" s="4">
        <v>3832241897</v>
      </c>
      <c r="H4395" s="6">
        <f t="shared" ca="1" si="86"/>
        <v>701.30026715100007</v>
      </c>
      <c r="I4395" s="7" t="str">
        <f ca="1">IFERROR(__xludf.DUMMYFUNCTION("IMPORTXML(E4395,""/html/body/main/div[3]/div[3]/div[2]/ul/li[5]/span[2]/span"")"),"Loading...")</f>
        <v>Loading...</v>
      </c>
      <c r="J4395" s="7">
        <f ca="1">IFERROR(__xludf.DUMMYFUNCTION("GOOGLEFINANCE(""NSE:""&amp;D4395,""marketcap"")"),49069310)</f>
        <v>49069310</v>
      </c>
      <c r="K4395" s="7">
        <v>992.8</v>
      </c>
      <c r="L4395" s="8">
        <f ca="1">IFERROR(__xludf.DUMMYFUNCTION("GOOGLEFINANCE(""NSE:""&amp;D4395,""price"")"),1.83)</f>
        <v>1.83</v>
      </c>
      <c r="M4395" s="9">
        <f t="shared" ca="1" si="87"/>
        <v>-990.96999999999991</v>
      </c>
      <c r="N4395" s="10">
        <f t="shared" ca="1" si="88"/>
        <v>-99.815672844480247</v>
      </c>
      <c r="O4395" s="7" t="str">
        <f ca="1">IFERROR(__xludf.DUMMYFUNCTION("GOOGLEFINANCE(""NSE:""&amp;D4395,""pe"")"),"#N/A")</f>
        <v>#N/A</v>
      </c>
      <c r="P4395" s="7">
        <f ca="1">IFERROR(__xludf.DUMMYFUNCTION("GOOGLEFINANCE(""NSE:""&amp;D4395,""EPS"")"),-0.03)</f>
        <v>-0.03</v>
      </c>
      <c r="Q4395" s="7">
        <v>13.5</v>
      </c>
      <c r="R4395" s="7" t="str">
        <f ca="1">IFERROR(__xludf.DUMMYFUNCTION("IMPORTXML(E4395,""/html/body/main/div[3]/div[3]/div[2]/ul/li[7]/span[2]/span"")"),"Loading...")</f>
        <v>Loading...</v>
      </c>
      <c r="S4395" s="7" t="str">
        <f ca="1">IFERROR(__xludf.DUMMYFUNCTION("IMPORTXML(E4395,""/html/body/main/div[3]/div[3]/div[2]/ul/li[8]/span[2]/span"")"),"Loading...")</f>
        <v>Loading...</v>
      </c>
      <c r="T4395" s="4">
        <v>34.6</v>
      </c>
      <c r="U4395" s="4">
        <v>22.7</v>
      </c>
      <c r="V4395" s="4">
        <v>2.6</v>
      </c>
      <c r="W4395" s="4">
        <v>5.7</v>
      </c>
      <c r="X4395" s="4">
        <v>519.92999999999995</v>
      </c>
      <c r="Y4395" s="7">
        <f t="shared" ca="1" si="89"/>
        <v>-518.09999999999991</v>
      </c>
    </row>
    <row r="4396" spans="1:25" ht="15" x14ac:dyDescent="0.25">
      <c r="A4396" s="4">
        <v>4395</v>
      </c>
      <c r="C4396" s="41" t="s">
        <v>6771</v>
      </c>
      <c r="D4396" s="42"/>
      <c r="E4396" s="5" t="str">
        <f t="shared" si="85"/>
        <v>https://www.screener.in/company//consolidated/</v>
      </c>
      <c r="F4396" s="4">
        <v>443059</v>
      </c>
      <c r="G4396" s="4">
        <v>3832241897</v>
      </c>
      <c r="H4396" s="6" t="e">
        <f t="shared" ca="1" si="86"/>
        <v>#VALUE!</v>
      </c>
      <c r="I4396" s="7" t="str">
        <f ca="1">IFERROR(__xludf.DUMMYFUNCTION("IMPORTXML(E4396,""/html/body/main/div[3]/div[3]/div[2]/ul/li[5]/span[2]/span"")"),"Loading...")</f>
        <v>Loading...</v>
      </c>
      <c r="J4396" s="7" t="str">
        <f ca="1">IFERROR(__xludf.DUMMYFUNCTION("GOOGLEFINANCE(""NSE:""&amp;D4396,""marketcap"")"),"#N/A")</f>
        <v>#N/A</v>
      </c>
      <c r="K4396" s="7">
        <v>992.8</v>
      </c>
      <c r="L4396" s="8" t="str">
        <f ca="1">IFERROR(__xludf.DUMMYFUNCTION("GOOGLEFINANCE(""NSE:""&amp;D4396,""price"")"),"#N/A")</f>
        <v>#N/A</v>
      </c>
      <c r="M4396" s="9" t="e">
        <f t="shared" ca="1" si="87"/>
        <v>#VALUE!</v>
      </c>
      <c r="N4396" s="10" t="e">
        <f t="shared" ca="1" si="88"/>
        <v>#VALUE!</v>
      </c>
      <c r="O4396" s="7" t="str">
        <f ca="1">IFERROR(__xludf.DUMMYFUNCTION("GOOGLEFINANCE(""NSE:""&amp;D4396,""pe"")"),"#N/A")</f>
        <v>#N/A</v>
      </c>
      <c r="P4396" s="7" t="str">
        <f ca="1">IFERROR(__xludf.DUMMYFUNCTION("GOOGLEFINANCE(""NSE:""&amp;D4396,""EPS"")"),"#N/A")</f>
        <v>#N/A</v>
      </c>
      <c r="Q4396" s="7">
        <v>13.5</v>
      </c>
      <c r="R4396" s="7" t="str">
        <f ca="1">IFERROR(__xludf.DUMMYFUNCTION("IMPORTXML(E4396,""/html/body/main/div[3]/div[3]/div[2]/ul/li[7]/span[2]/span"")"),"Loading...")</f>
        <v>Loading...</v>
      </c>
      <c r="S4396" s="7" t="str">
        <f ca="1">IFERROR(__xludf.DUMMYFUNCTION("IMPORTXML(E4396,""/html/body/main/div[3]/div[3]/div[2]/ul/li[8]/span[2]/span"")"),"Loading...")</f>
        <v>Loading...</v>
      </c>
      <c r="T4396" s="4">
        <v>34.6</v>
      </c>
      <c r="U4396" s="4">
        <v>22.7</v>
      </c>
      <c r="V4396" s="4">
        <v>2.6</v>
      </c>
      <c r="W4396" s="4">
        <v>5.7</v>
      </c>
      <c r="X4396" s="4">
        <v>519.92999999999995</v>
      </c>
      <c r="Y4396" s="7" t="e">
        <f t="shared" ca="1" si="89"/>
        <v>#VALUE!</v>
      </c>
    </row>
    <row r="4397" spans="1:25" ht="15" x14ac:dyDescent="0.25">
      <c r="A4397" s="4">
        <v>4396</v>
      </c>
      <c r="C4397" s="41" t="s">
        <v>6772</v>
      </c>
      <c r="D4397" s="42"/>
      <c r="E4397" s="5" t="str">
        <f t="shared" si="85"/>
        <v>https://www.screener.in/company//consolidated/</v>
      </c>
      <c r="F4397" s="4">
        <v>443059</v>
      </c>
      <c r="G4397" s="4">
        <v>3832241897</v>
      </c>
      <c r="H4397" s="6" t="e">
        <f t="shared" ca="1" si="86"/>
        <v>#VALUE!</v>
      </c>
      <c r="I4397" s="7" t="str">
        <f ca="1">IFERROR(__xludf.DUMMYFUNCTION("IMPORTXML(E4397,""/html/body/main/div[3]/div[3]/div[2]/ul/li[5]/span[2]/span"")"),"Loading...")</f>
        <v>Loading...</v>
      </c>
      <c r="J4397" s="7" t="str">
        <f ca="1">IFERROR(__xludf.DUMMYFUNCTION("GOOGLEFINANCE(""NSE:""&amp;D4397,""marketcap"")"),"#N/A")</f>
        <v>#N/A</v>
      </c>
      <c r="K4397" s="7">
        <v>992.8</v>
      </c>
      <c r="L4397" s="8" t="str">
        <f ca="1">IFERROR(__xludf.DUMMYFUNCTION("GOOGLEFINANCE(""NSE:""&amp;D4397,""price"")"),"#N/A")</f>
        <v>#N/A</v>
      </c>
      <c r="M4397" s="9" t="e">
        <f t="shared" ca="1" si="87"/>
        <v>#VALUE!</v>
      </c>
      <c r="N4397" s="10" t="e">
        <f t="shared" ca="1" si="88"/>
        <v>#VALUE!</v>
      </c>
      <c r="O4397" s="7" t="str">
        <f ca="1">IFERROR(__xludf.DUMMYFUNCTION("GOOGLEFINANCE(""NSE:""&amp;D4397,""pe"")"),"#N/A")</f>
        <v>#N/A</v>
      </c>
      <c r="P4397" s="7" t="str">
        <f ca="1">IFERROR(__xludf.DUMMYFUNCTION("GOOGLEFINANCE(""NSE:""&amp;D4397,""EPS"")"),"#N/A")</f>
        <v>#N/A</v>
      </c>
      <c r="Q4397" s="7">
        <v>13.5</v>
      </c>
      <c r="R4397" s="7" t="str">
        <f ca="1">IFERROR(__xludf.DUMMYFUNCTION("IMPORTXML(E4397,""/html/body/main/div[3]/div[3]/div[2]/ul/li[7]/span[2]/span"")"),"Loading...")</f>
        <v>Loading...</v>
      </c>
      <c r="S4397" s="7" t="str">
        <f ca="1">IFERROR(__xludf.DUMMYFUNCTION("IMPORTXML(E4397,""/html/body/main/div[3]/div[3]/div[2]/ul/li[8]/span[2]/span"")"),"Loading...")</f>
        <v>Loading...</v>
      </c>
      <c r="T4397" s="4">
        <v>34.6</v>
      </c>
      <c r="U4397" s="4">
        <v>22.7</v>
      </c>
      <c r="V4397" s="4">
        <v>2.6</v>
      </c>
      <c r="W4397" s="4">
        <v>5.7</v>
      </c>
      <c r="X4397" s="4">
        <v>519.92999999999995</v>
      </c>
      <c r="Y4397" s="7" t="e">
        <f t="shared" ca="1" si="89"/>
        <v>#VALUE!</v>
      </c>
    </row>
    <row r="4398" spans="1:25" ht="15" x14ac:dyDescent="0.25">
      <c r="A4398" s="4">
        <v>4397</v>
      </c>
      <c r="C4398" s="41" t="s">
        <v>6773</v>
      </c>
      <c r="D4398" s="42"/>
      <c r="E4398" s="5" t="str">
        <f t="shared" si="85"/>
        <v>https://www.screener.in/company//consolidated/</v>
      </c>
      <c r="F4398" s="4">
        <v>443059</v>
      </c>
      <c r="G4398" s="4">
        <v>3832241897</v>
      </c>
      <c r="H4398" s="6" t="e">
        <f t="shared" ca="1" si="86"/>
        <v>#VALUE!</v>
      </c>
      <c r="I4398" s="7" t="str">
        <f ca="1">IFERROR(__xludf.DUMMYFUNCTION("IMPORTXML(E4398,""/html/body/main/div[3]/div[3]/div[2]/ul/li[5]/span[2]/span"")"),"Loading...")</f>
        <v>Loading...</v>
      </c>
      <c r="J4398" s="7" t="str">
        <f ca="1">IFERROR(__xludf.DUMMYFUNCTION("GOOGLEFINANCE(""NSE:""&amp;D4398,""marketcap"")"),"#N/A")</f>
        <v>#N/A</v>
      </c>
      <c r="K4398" s="7">
        <v>992.8</v>
      </c>
      <c r="L4398" s="8" t="str">
        <f ca="1">IFERROR(__xludf.DUMMYFUNCTION("GOOGLEFINANCE(""NSE:""&amp;D4398,""price"")"),"#N/A")</f>
        <v>#N/A</v>
      </c>
      <c r="M4398" s="9" t="e">
        <f t="shared" ca="1" si="87"/>
        <v>#VALUE!</v>
      </c>
      <c r="N4398" s="10" t="e">
        <f t="shared" ca="1" si="88"/>
        <v>#VALUE!</v>
      </c>
      <c r="O4398" s="7" t="str">
        <f ca="1">IFERROR(__xludf.DUMMYFUNCTION("GOOGLEFINANCE(""NSE:""&amp;D4398,""pe"")"),"#N/A")</f>
        <v>#N/A</v>
      </c>
      <c r="P4398" s="7" t="str">
        <f ca="1">IFERROR(__xludf.DUMMYFUNCTION("GOOGLEFINANCE(""NSE:""&amp;D4398,""EPS"")"),"#N/A")</f>
        <v>#N/A</v>
      </c>
      <c r="Q4398" s="7">
        <v>13.5</v>
      </c>
      <c r="R4398" s="7" t="str">
        <f ca="1">IFERROR(__xludf.DUMMYFUNCTION("IMPORTXML(E4398,""/html/body/main/div[3]/div[3]/div[2]/ul/li[7]/span[2]/span"")"),"Loading...")</f>
        <v>Loading...</v>
      </c>
      <c r="S4398" s="7" t="str">
        <f ca="1">IFERROR(__xludf.DUMMYFUNCTION("IMPORTXML(E4398,""/html/body/main/div[3]/div[3]/div[2]/ul/li[8]/span[2]/span"")"),"Loading...")</f>
        <v>Loading...</v>
      </c>
      <c r="T4398" s="4">
        <v>34.6</v>
      </c>
      <c r="U4398" s="4">
        <v>22.7</v>
      </c>
      <c r="V4398" s="4">
        <v>2.6</v>
      </c>
      <c r="W4398" s="4">
        <v>5.7</v>
      </c>
      <c r="X4398" s="4">
        <v>519.92999999999995</v>
      </c>
      <c r="Y4398" s="7" t="e">
        <f t="shared" ca="1" si="89"/>
        <v>#VALUE!</v>
      </c>
    </row>
    <row r="4399" spans="1:25" ht="15" x14ac:dyDescent="0.25">
      <c r="A4399" s="4">
        <v>4398</v>
      </c>
      <c r="C4399" s="41" t="s">
        <v>6774</v>
      </c>
      <c r="D4399" s="42"/>
      <c r="E4399" s="5" t="str">
        <f t="shared" si="85"/>
        <v>https://www.screener.in/company//consolidated/</v>
      </c>
      <c r="F4399" s="4">
        <v>443059</v>
      </c>
      <c r="G4399" s="4">
        <v>3832241897</v>
      </c>
      <c r="H4399" s="6" t="e">
        <f t="shared" ca="1" si="86"/>
        <v>#VALUE!</v>
      </c>
      <c r="I4399" s="7" t="str">
        <f ca="1">IFERROR(__xludf.DUMMYFUNCTION("IMPORTXML(E4399,""/html/body/main/div[3]/div[3]/div[2]/ul/li[5]/span[2]/span"")"),"Loading...")</f>
        <v>Loading...</v>
      </c>
      <c r="J4399" s="7" t="str">
        <f ca="1">IFERROR(__xludf.DUMMYFUNCTION("GOOGLEFINANCE(""NSE:""&amp;D4399,""marketcap"")"),"#N/A")</f>
        <v>#N/A</v>
      </c>
      <c r="K4399" s="7">
        <v>992.8</v>
      </c>
      <c r="L4399" s="8" t="str">
        <f ca="1">IFERROR(__xludf.DUMMYFUNCTION("GOOGLEFINANCE(""NSE:""&amp;D4399,""price"")"),"#N/A")</f>
        <v>#N/A</v>
      </c>
      <c r="M4399" s="9" t="e">
        <f t="shared" ca="1" si="87"/>
        <v>#VALUE!</v>
      </c>
      <c r="N4399" s="10" t="e">
        <f t="shared" ca="1" si="88"/>
        <v>#VALUE!</v>
      </c>
      <c r="O4399" s="7" t="str">
        <f ca="1">IFERROR(__xludf.DUMMYFUNCTION("GOOGLEFINANCE(""NSE:""&amp;D4399,""pe"")"),"#N/A")</f>
        <v>#N/A</v>
      </c>
      <c r="P4399" s="7" t="str">
        <f ca="1">IFERROR(__xludf.DUMMYFUNCTION("GOOGLEFINANCE(""NSE:""&amp;D4399,""EPS"")"),"#N/A")</f>
        <v>#N/A</v>
      </c>
      <c r="Q4399" s="7">
        <v>13.5</v>
      </c>
      <c r="R4399" s="7" t="str">
        <f ca="1">IFERROR(__xludf.DUMMYFUNCTION("IMPORTXML(E4399,""/html/body/main/div[3]/div[3]/div[2]/ul/li[7]/span[2]/span"")"),"Loading...")</f>
        <v>Loading...</v>
      </c>
      <c r="S4399" s="7" t="str">
        <f ca="1">IFERROR(__xludf.DUMMYFUNCTION("IMPORTXML(E4399,""/html/body/main/div[3]/div[3]/div[2]/ul/li[8]/span[2]/span"")"),"Loading...")</f>
        <v>Loading...</v>
      </c>
      <c r="T4399" s="4">
        <v>34.6</v>
      </c>
      <c r="U4399" s="4">
        <v>22.7</v>
      </c>
      <c r="V4399" s="4">
        <v>2.6</v>
      </c>
      <c r="W4399" s="4">
        <v>5.7</v>
      </c>
      <c r="X4399" s="4">
        <v>519.92999999999995</v>
      </c>
      <c r="Y4399" s="7" t="e">
        <f t="shared" ca="1" si="89"/>
        <v>#VALUE!</v>
      </c>
    </row>
    <row r="4400" spans="1:25" ht="15" x14ac:dyDescent="0.25">
      <c r="A4400" s="4">
        <v>4399</v>
      </c>
      <c r="C4400" s="41" t="s">
        <v>6775</v>
      </c>
      <c r="D4400" s="42"/>
      <c r="E4400" s="5" t="str">
        <f t="shared" si="85"/>
        <v>https://www.screener.in/company//consolidated/</v>
      </c>
      <c r="F4400" s="4">
        <v>443059</v>
      </c>
      <c r="G4400" s="4">
        <v>3832241897</v>
      </c>
      <c r="H4400" s="6" t="e">
        <f t="shared" ca="1" si="86"/>
        <v>#VALUE!</v>
      </c>
      <c r="I4400" s="7" t="str">
        <f ca="1">IFERROR(__xludf.DUMMYFUNCTION("IMPORTXML(E4400,""/html/body/main/div[3]/div[3]/div[2]/ul/li[5]/span[2]/span"")"),"Loading...")</f>
        <v>Loading...</v>
      </c>
      <c r="J4400" s="7" t="str">
        <f ca="1">IFERROR(__xludf.DUMMYFUNCTION("GOOGLEFINANCE(""NSE:""&amp;D4400,""marketcap"")"),"#N/A")</f>
        <v>#N/A</v>
      </c>
      <c r="K4400" s="7">
        <v>992.8</v>
      </c>
      <c r="L4400" s="8" t="str">
        <f ca="1">IFERROR(__xludf.DUMMYFUNCTION("GOOGLEFINANCE(""NSE:""&amp;D4400,""price"")"),"#N/A")</f>
        <v>#N/A</v>
      </c>
      <c r="M4400" s="9" t="e">
        <f t="shared" ca="1" si="87"/>
        <v>#VALUE!</v>
      </c>
      <c r="N4400" s="10" t="e">
        <f t="shared" ca="1" si="88"/>
        <v>#VALUE!</v>
      </c>
      <c r="O4400" s="7" t="str">
        <f ca="1">IFERROR(__xludf.DUMMYFUNCTION("GOOGLEFINANCE(""NSE:""&amp;D4400,""pe"")"),"#N/A")</f>
        <v>#N/A</v>
      </c>
      <c r="P4400" s="7" t="str">
        <f ca="1">IFERROR(__xludf.DUMMYFUNCTION("GOOGLEFINANCE(""NSE:""&amp;D4400,""EPS"")"),"#N/A")</f>
        <v>#N/A</v>
      </c>
      <c r="Q4400" s="7">
        <v>13.5</v>
      </c>
      <c r="R4400" s="7" t="str">
        <f ca="1">IFERROR(__xludf.DUMMYFUNCTION("IMPORTXML(E4400,""/html/body/main/div[3]/div[3]/div[2]/ul/li[7]/span[2]/span"")"),"Loading...")</f>
        <v>Loading...</v>
      </c>
      <c r="S4400" s="7" t="str">
        <f ca="1">IFERROR(__xludf.DUMMYFUNCTION("IMPORTXML(E4400,""/html/body/main/div[3]/div[3]/div[2]/ul/li[8]/span[2]/span"")"),"Loading...")</f>
        <v>Loading...</v>
      </c>
      <c r="T4400" s="4">
        <v>34.6</v>
      </c>
      <c r="U4400" s="4">
        <v>22.7</v>
      </c>
      <c r="V4400" s="4">
        <v>2.6</v>
      </c>
      <c r="W4400" s="4">
        <v>5.7</v>
      </c>
      <c r="X4400" s="4">
        <v>519.92999999999995</v>
      </c>
      <c r="Y4400" s="7" t="e">
        <f t="shared" ca="1" si="89"/>
        <v>#VALUE!</v>
      </c>
    </row>
    <row r="4401" spans="1:25" ht="15" x14ac:dyDescent="0.25">
      <c r="A4401" s="4">
        <v>4400</v>
      </c>
      <c r="C4401" s="41" t="s">
        <v>6776</v>
      </c>
      <c r="D4401" s="42"/>
      <c r="E4401" s="5" t="str">
        <f t="shared" si="85"/>
        <v>https://www.screener.in/company//consolidated/</v>
      </c>
      <c r="F4401" s="4">
        <v>443059</v>
      </c>
      <c r="G4401" s="4">
        <v>3832241897</v>
      </c>
      <c r="H4401" s="6" t="e">
        <f t="shared" ca="1" si="86"/>
        <v>#VALUE!</v>
      </c>
      <c r="I4401" s="7" t="str">
        <f ca="1">IFERROR(__xludf.DUMMYFUNCTION("IMPORTXML(E4401,""/html/body/main/div[3]/div[3]/div[2]/ul/li[5]/span[2]/span"")"),"Loading...")</f>
        <v>Loading...</v>
      </c>
      <c r="J4401" s="7" t="str">
        <f ca="1">IFERROR(__xludf.DUMMYFUNCTION("GOOGLEFINANCE(""NSE:""&amp;D4401,""marketcap"")"),"#N/A")</f>
        <v>#N/A</v>
      </c>
      <c r="K4401" s="7">
        <v>992.8</v>
      </c>
      <c r="L4401" s="8" t="str">
        <f ca="1">IFERROR(__xludf.DUMMYFUNCTION("GOOGLEFINANCE(""NSE:""&amp;D4401,""price"")"),"#N/A")</f>
        <v>#N/A</v>
      </c>
      <c r="M4401" s="9" t="e">
        <f t="shared" ca="1" si="87"/>
        <v>#VALUE!</v>
      </c>
      <c r="N4401" s="10" t="e">
        <f t="shared" ca="1" si="88"/>
        <v>#VALUE!</v>
      </c>
      <c r="O4401" s="7" t="str">
        <f ca="1">IFERROR(__xludf.DUMMYFUNCTION("GOOGLEFINANCE(""NSE:""&amp;D4401,""pe"")"),"#N/A")</f>
        <v>#N/A</v>
      </c>
      <c r="P4401" s="7" t="str">
        <f ca="1">IFERROR(__xludf.DUMMYFUNCTION("GOOGLEFINANCE(""NSE:""&amp;D4401,""EPS"")"),"#N/A")</f>
        <v>#N/A</v>
      </c>
      <c r="Q4401" s="7">
        <v>13.5</v>
      </c>
      <c r="R4401" s="7" t="str">
        <f ca="1">IFERROR(__xludf.DUMMYFUNCTION("IMPORTXML(E4401,""/html/body/main/div[3]/div[3]/div[2]/ul/li[7]/span[2]/span"")"),"Loading...")</f>
        <v>Loading...</v>
      </c>
      <c r="S4401" s="7" t="str">
        <f ca="1">IFERROR(__xludf.DUMMYFUNCTION("IMPORTXML(E4401,""/html/body/main/div[3]/div[3]/div[2]/ul/li[8]/span[2]/span"")"),"Loading...")</f>
        <v>Loading...</v>
      </c>
      <c r="T4401" s="4">
        <v>34.6</v>
      </c>
      <c r="U4401" s="4">
        <v>22.7</v>
      </c>
      <c r="V4401" s="4">
        <v>2.6</v>
      </c>
      <c r="W4401" s="4">
        <v>5.7</v>
      </c>
      <c r="X4401" s="4">
        <v>519.92999999999995</v>
      </c>
      <c r="Y4401" s="7" t="e">
        <f t="shared" ca="1" si="89"/>
        <v>#VALUE!</v>
      </c>
    </row>
    <row r="4402" spans="1:25" ht="15" x14ac:dyDescent="0.25">
      <c r="A4402" s="4">
        <v>4401</v>
      </c>
      <c r="C4402" s="41" t="s">
        <v>6777</v>
      </c>
      <c r="D4402" s="42"/>
      <c r="E4402" s="5" t="str">
        <f t="shared" si="85"/>
        <v>https://www.screener.in/company//consolidated/</v>
      </c>
      <c r="F4402" s="4">
        <v>443059</v>
      </c>
      <c r="G4402" s="4">
        <v>3832241897</v>
      </c>
      <c r="H4402" s="6" t="e">
        <f t="shared" ca="1" si="86"/>
        <v>#VALUE!</v>
      </c>
      <c r="I4402" s="7" t="str">
        <f ca="1">IFERROR(__xludf.DUMMYFUNCTION("IMPORTXML(E4402,""/html/body/main/div[3]/div[3]/div[2]/ul/li[5]/span[2]/span"")"),"Loading...")</f>
        <v>Loading...</v>
      </c>
      <c r="J4402" s="7" t="str">
        <f ca="1">IFERROR(__xludf.DUMMYFUNCTION("GOOGLEFINANCE(""NSE:""&amp;D4402,""marketcap"")"),"#N/A")</f>
        <v>#N/A</v>
      </c>
      <c r="K4402" s="7">
        <v>992.8</v>
      </c>
      <c r="L4402" s="8" t="str">
        <f ca="1">IFERROR(__xludf.DUMMYFUNCTION("GOOGLEFINANCE(""NSE:""&amp;D4402,""price"")"),"#N/A")</f>
        <v>#N/A</v>
      </c>
      <c r="M4402" s="9" t="e">
        <f t="shared" ca="1" si="87"/>
        <v>#VALUE!</v>
      </c>
      <c r="N4402" s="10" t="e">
        <f t="shared" ca="1" si="88"/>
        <v>#VALUE!</v>
      </c>
      <c r="O4402" s="7" t="str">
        <f ca="1">IFERROR(__xludf.DUMMYFUNCTION("GOOGLEFINANCE(""NSE:""&amp;D4402,""pe"")"),"#N/A")</f>
        <v>#N/A</v>
      </c>
      <c r="P4402" s="7" t="str">
        <f ca="1">IFERROR(__xludf.DUMMYFUNCTION("GOOGLEFINANCE(""NSE:""&amp;D4402,""EPS"")"),"#N/A")</f>
        <v>#N/A</v>
      </c>
      <c r="Q4402" s="7">
        <v>13.5</v>
      </c>
      <c r="R4402" s="7" t="str">
        <f ca="1">IFERROR(__xludf.DUMMYFUNCTION("IMPORTXML(E4402,""/html/body/main/div[3]/div[3]/div[2]/ul/li[7]/span[2]/span"")"),"Loading...")</f>
        <v>Loading...</v>
      </c>
      <c r="S4402" s="7" t="str">
        <f ca="1">IFERROR(__xludf.DUMMYFUNCTION("IMPORTXML(E4402,""/html/body/main/div[3]/div[3]/div[2]/ul/li[8]/span[2]/span"")"),"Loading...")</f>
        <v>Loading...</v>
      </c>
      <c r="T4402" s="4">
        <v>34.6</v>
      </c>
      <c r="U4402" s="4">
        <v>22.7</v>
      </c>
      <c r="V4402" s="4">
        <v>2.6</v>
      </c>
      <c r="W4402" s="4">
        <v>5.7</v>
      </c>
      <c r="X4402" s="4">
        <v>519.92999999999995</v>
      </c>
      <c r="Y4402" s="7" t="e">
        <f t="shared" ca="1" si="89"/>
        <v>#VALUE!</v>
      </c>
    </row>
    <row r="4403" spans="1:25" ht="15" x14ac:dyDescent="0.25">
      <c r="A4403" s="4">
        <v>4402</v>
      </c>
      <c r="C4403" s="41" t="s">
        <v>6778</v>
      </c>
      <c r="D4403" s="42"/>
      <c r="E4403" s="5" t="str">
        <f t="shared" si="85"/>
        <v>https://www.screener.in/company//consolidated/</v>
      </c>
      <c r="F4403" s="4">
        <v>443059</v>
      </c>
      <c r="G4403" s="4">
        <v>3832241897</v>
      </c>
      <c r="H4403" s="6" t="e">
        <f t="shared" ca="1" si="86"/>
        <v>#VALUE!</v>
      </c>
      <c r="I4403" s="7" t="str">
        <f ca="1">IFERROR(__xludf.DUMMYFUNCTION("IMPORTXML(E4403,""/html/body/main/div[3]/div[3]/div[2]/ul/li[5]/span[2]/span"")"),"Loading...")</f>
        <v>Loading...</v>
      </c>
      <c r="J4403" s="7" t="str">
        <f ca="1">IFERROR(__xludf.DUMMYFUNCTION("GOOGLEFINANCE(""NSE:""&amp;D4403,""marketcap"")"),"#N/A")</f>
        <v>#N/A</v>
      </c>
      <c r="K4403" s="7">
        <v>992.8</v>
      </c>
      <c r="L4403" s="8" t="str">
        <f ca="1">IFERROR(__xludf.DUMMYFUNCTION("GOOGLEFINANCE(""NSE:""&amp;D4403,""price"")"),"#N/A")</f>
        <v>#N/A</v>
      </c>
      <c r="M4403" s="9" t="e">
        <f t="shared" ca="1" si="87"/>
        <v>#VALUE!</v>
      </c>
      <c r="N4403" s="10" t="e">
        <f t="shared" ca="1" si="88"/>
        <v>#VALUE!</v>
      </c>
      <c r="O4403" s="7" t="str">
        <f ca="1">IFERROR(__xludf.DUMMYFUNCTION("GOOGLEFINANCE(""NSE:""&amp;D4403,""pe"")"),"#N/A")</f>
        <v>#N/A</v>
      </c>
      <c r="P4403" s="7" t="str">
        <f ca="1">IFERROR(__xludf.DUMMYFUNCTION("GOOGLEFINANCE(""NSE:""&amp;D4403,""EPS"")"),"#N/A")</f>
        <v>#N/A</v>
      </c>
      <c r="Q4403" s="7">
        <v>13.5</v>
      </c>
      <c r="R4403" s="7" t="str">
        <f ca="1">IFERROR(__xludf.DUMMYFUNCTION("IMPORTXML(E4403,""/html/body/main/div[3]/div[3]/div[2]/ul/li[7]/span[2]/span"")"),"Loading...")</f>
        <v>Loading...</v>
      </c>
      <c r="S4403" s="7" t="str">
        <f ca="1">IFERROR(__xludf.DUMMYFUNCTION("IMPORTXML(E4403,""/html/body/main/div[3]/div[3]/div[2]/ul/li[8]/span[2]/span"")"),"Loading...")</f>
        <v>Loading...</v>
      </c>
      <c r="T4403" s="4">
        <v>34.6</v>
      </c>
      <c r="U4403" s="4">
        <v>22.7</v>
      </c>
      <c r="V4403" s="4">
        <v>2.6</v>
      </c>
      <c r="W4403" s="4">
        <v>5.7</v>
      </c>
      <c r="X4403" s="4">
        <v>519.92999999999995</v>
      </c>
      <c r="Y4403" s="7" t="e">
        <f t="shared" ca="1" si="89"/>
        <v>#VALUE!</v>
      </c>
    </row>
    <row r="4404" spans="1:25" ht="15" x14ac:dyDescent="0.25">
      <c r="A4404" s="4">
        <v>4403</v>
      </c>
      <c r="C4404" s="41" t="s">
        <v>6779</v>
      </c>
      <c r="D4404" s="42"/>
      <c r="E4404" s="5" t="str">
        <f t="shared" si="85"/>
        <v>https://www.screener.in/company//consolidated/</v>
      </c>
      <c r="F4404" s="4">
        <v>443059</v>
      </c>
      <c r="G4404" s="4">
        <v>3832241897</v>
      </c>
      <c r="H4404" s="6" t="e">
        <f t="shared" ca="1" si="86"/>
        <v>#VALUE!</v>
      </c>
      <c r="I4404" s="7" t="str">
        <f ca="1">IFERROR(__xludf.DUMMYFUNCTION("IMPORTXML(E4404,""/html/body/main/div[3]/div[3]/div[2]/ul/li[5]/span[2]/span"")"),"Loading...")</f>
        <v>Loading...</v>
      </c>
      <c r="J4404" s="7" t="str">
        <f ca="1">IFERROR(__xludf.DUMMYFUNCTION("GOOGLEFINANCE(""NSE:""&amp;D4404,""marketcap"")"),"#N/A")</f>
        <v>#N/A</v>
      </c>
      <c r="K4404" s="7">
        <v>992.8</v>
      </c>
      <c r="L4404" s="8" t="str">
        <f ca="1">IFERROR(__xludf.DUMMYFUNCTION("GOOGLEFINANCE(""NSE:""&amp;D4404,""price"")"),"#N/A")</f>
        <v>#N/A</v>
      </c>
      <c r="M4404" s="9" t="e">
        <f t="shared" ca="1" si="87"/>
        <v>#VALUE!</v>
      </c>
      <c r="N4404" s="10" t="e">
        <f t="shared" ca="1" si="88"/>
        <v>#VALUE!</v>
      </c>
      <c r="O4404" s="7" t="str">
        <f ca="1">IFERROR(__xludf.DUMMYFUNCTION("GOOGLEFINANCE(""NSE:""&amp;D4404,""pe"")"),"#N/A")</f>
        <v>#N/A</v>
      </c>
      <c r="P4404" s="7" t="str">
        <f ca="1">IFERROR(__xludf.DUMMYFUNCTION("GOOGLEFINANCE(""NSE:""&amp;D4404,""EPS"")"),"#N/A")</f>
        <v>#N/A</v>
      </c>
      <c r="Q4404" s="7">
        <v>13.5</v>
      </c>
      <c r="R4404" s="7" t="str">
        <f ca="1">IFERROR(__xludf.DUMMYFUNCTION("IMPORTXML(E4404,""/html/body/main/div[3]/div[3]/div[2]/ul/li[7]/span[2]/span"")"),"Loading...")</f>
        <v>Loading...</v>
      </c>
      <c r="S4404" s="7" t="str">
        <f ca="1">IFERROR(__xludf.DUMMYFUNCTION("IMPORTXML(E4404,""/html/body/main/div[3]/div[3]/div[2]/ul/li[8]/span[2]/span"")"),"Loading...")</f>
        <v>Loading...</v>
      </c>
      <c r="T4404" s="4">
        <v>34.6</v>
      </c>
      <c r="U4404" s="4">
        <v>22.7</v>
      </c>
      <c r="V4404" s="4">
        <v>2.6</v>
      </c>
      <c r="W4404" s="4">
        <v>5.7</v>
      </c>
      <c r="X4404" s="4">
        <v>519.92999999999995</v>
      </c>
      <c r="Y4404" s="7" t="e">
        <f t="shared" ca="1" si="89"/>
        <v>#VALUE!</v>
      </c>
    </row>
    <row r="4405" spans="1:25" ht="15" x14ac:dyDescent="0.25">
      <c r="A4405" s="4">
        <v>4404</v>
      </c>
      <c r="C4405" s="41" t="s">
        <v>6780</v>
      </c>
      <c r="D4405" s="42"/>
      <c r="E4405" s="5" t="str">
        <f t="shared" si="85"/>
        <v>https://www.screener.in/company//consolidated/</v>
      </c>
      <c r="F4405" s="4">
        <v>443059</v>
      </c>
      <c r="G4405" s="4">
        <v>3832241897</v>
      </c>
      <c r="H4405" s="6" t="e">
        <f t="shared" ca="1" si="86"/>
        <v>#VALUE!</v>
      </c>
      <c r="I4405" s="7" t="str">
        <f ca="1">IFERROR(__xludf.DUMMYFUNCTION("IMPORTXML(E4405,""/html/body/main/div[3]/div[3]/div[2]/ul/li[5]/span[2]/span"")"),"Loading...")</f>
        <v>Loading...</v>
      </c>
      <c r="J4405" s="7" t="str">
        <f ca="1">IFERROR(__xludf.DUMMYFUNCTION("GOOGLEFINANCE(""NSE:""&amp;D4405,""marketcap"")"),"#N/A")</f>
        <v>#N/A</v>
      </c>
      <c r="K4405" s="7">
        <v>992.8</v>
      </c>
      <c r="L4405" s="8" t="str">
        <f ca="1">IFERROR(__xludf.DUMMYFUNCTION("GOOGLEFINANCE(""NSE:""&amp;D4405,""price"")"),"#N/A")</f>
        <v>#N/A</v>
      </c>
      <c r="M4405" s="9" t="e">
        <f t="shared" ca="1" si="87"/>
        <v>#VALUE!</v>
      </c>
      <c r="N4405" s="10" t="e">
        <f t="shared" ca="1" si="88"/>
        <v>#VALUE!</v>
      </c>
      <c r="O4405" s="7" t="str">
        <f ca="1">IFERROR(__xludf.DUMMYFUNCTION("GOOGLEFINANCE(""NSE:""&amp;D4405,""pe"")"),"#N/A")</f>
        <v>#N/A</v>
      </c>
      <c r="P4405" s="7" t="str">
        <f ca="1">IFERROR(__xludf.DUMMYFUNCTION("GOOGLEFINANCE(""NSE:""&amp;D4405,""EPS"")"),"#N/A")</f>
        <v>#N/A</v>
      </c>
      <c r="Q4405" s="7">
        <v>13.5</v>
      </c>
      <c r="R4405" s="7" t="str">
        <f ca="1">IFERROR(__xludf.DUMMYFUNCTION("IMPORTXML(E4405,""/html/body/main/div[3]/div[3]/div[2]/ul/li[7]/span[2]/span"")"),"Loading...")</f>
        <v>Loading...</v>
      </c>
      <c r="S4405" s="7" t="str">
        <f ca="1">IFERROR(__xludf.DUMMYFUNCTION("IMPORTXML(E4405,""/html/body/main/div[3]/div[3]/div[2]/ul/li[8]/span[2]/span"")"),"Loading...")</f>
        <v>Loading...</v>
      </c>
      <c r="T4405" s="4">
        <v>34.6</v>
      </c>
      <c r="U4405" s="4">
        <v>22.7</v>
      </c>
      <c r="V4405" s="4">
        <v>2.6</v>
      </c>
      <c r="W4405" s="4">
        <v>5.7</v>
      </c>
      <c r="X4405" s="4">
        <v>519.92999999999995</v>
      </c>
      <c r="Y4405" s="7" t="e">
        <f t="shared" ca="1" si="89"/>
        <v>#VALUE!</v>
      </c>
    </row>
    <row r="4406" spans="1:25" ht="15" x14ac:dyDescent="0.25">
      <c r="A4406" s="4">
        <v>4405</v>
      </c>
      <c r="C4406" s="41" t="s">
        <v>6781</v>
      </c>
      <c r="D4406" s="42"/>
      <c r="E4406" s="5" t="str">
        <f t="shared" si="85"/>
        <v>https://www.screener.in/company//consolidated/</v>
      </c>
      <c r="F4406" s="4">
        <v>443059</v>
      </c>
      <c r="G4406" s="4">
        <v>3832241897</v>
      </c>
      <c r="H4406" s="6" t="e">
        <f t="shared" ca="1" si="86"/>
        <v>#VALUE!</v>
      </c>
      <c r="I4406" s="7" t="str">
        <f ca="1">IFERROR(__xludf.DUMMYFUNCTION("IMPORTXML(E4406,""/html/body/main/div[3]/div[3]/div[2]/ul/li[5]/span[2]/span"")"),"Loading...")</f>
        <v>Loading...</v>
      </c>
      <c r="J4406" s="7" t="str">
        <f ca="1">IFERROR(__xludf.DUMMYFUNCTION("GOOGLEFINANCE(""NSE:""&amp;D4406,""marketcap"")"),"#N/A")</f>
        <v>#N/A</v>
      </c>
      <c r="K4406" s="7">
        <v>992.8</v>
      </c>
      <c r="L4406" s="8" t="str">
        <f ca="1">IFERROR(__xludf.DUMMYFUNCTION("GOOGLEFINANCE(""NSE:""&amp;D4406,""price"")"),"#N/A")</f>
        <v>#N/A</v>
      </c>
      <c r="M4406" s="9" t="e">
        <f t="shared" ca="1" si="87"/>
        <v>#VALUE!</v>
      </c>
      <c r="N4406" s="10" t="e">
        <f t="shared" ca="1" si="88"/>
        <v>#VALUE!</v>
      </c>
      <c r="O4406" s="7" t="str">
        <f ca="1">IFERROR(__xludf.DUMMYFUNCTION("GOOGLEFINANCE(""NSE:""&amp;D4406,""pe"")"),"#N/A")</f>
        <v>#N/A</v>
      </c>
      <c r="P4406" s="7" t="str">
        <f ca="1">IFERROR(__xludf.DUMMYFUNCTION("GOOGLEFINANCE(""NSE:""&amp;D4406,""EPS"")"),"#N/A")</f>
        <v>#N/A</v>
      </c>
      <c r="Q4406" s="7">
        <v>13.5</v>
      </c>
      <c r="R4406" s="7" t="str">
        <f ca="1">IFERROR(__xludf.DUMMYFUNCTION("IMPORTXML(E4406,""/html/body/main/div[3]/div[3]/div[2]/ul/li[7]/span[2]/span"")"),"Loading...")</f>
        <v>Loading...</v>
      </c>
      <c r="S4406" s="7" t="str">
        <f ca="1">IFERROR(__xludf.DUMMYFUNCTION("IMPORTXML(E4406,""/html/body/main/div[3]/div[3]/div[2]/ul/li[8]/span[2]/span"")"),"Loading...")</f>
        <v>Loading...</v>
      </c>
      <c r="T4406" s="4">
        <v>34.6</v>
      </c>
      <c r="U4406" s="4">
        <v>22.7</v>
      </c>
      <c r="V4406" s="4">
        <v>2.6</v>
      </c>
      <c r="W4406" s="4">
        <v>5.7</v>
      </c>
      <c r="X4406" s="4">
        <v>519.92999999999995</v>
      </c>
      <c r="Y4406" s="7" t="e">
        <f t="shared" ca="1" si="89"/>
        <v>#VALUE!</v>
      </c>
    </row>
    <row r="4407" spans="1:25" ht="15" x14ac:dyDescent="0.25">
      <c r="A4407" s="4">
        <v>4406</v>
      </c>
      <c r="C4407" s="41" t="s">
        <v>6782</v>
      </c>
      <c r="D4407" s="42"/>
      <c r="E4407" s="5" t="str">
        <f t="shared" si="85"/>
        <v>https://www.screener.in/company//consolidated/</v>
      </c>
      <c r="F4407" s="4">
        <v>443059</v>
      </c>
      <c r="G4407" s="4">
        <v>3832241897</v>
      </c>
      <c r="H4407" s="6" t="e">
        <f t="shared" ca="1" si="86"/>
        <v>#VALUE!</v>
      </c>
      <c r="I4407" s="7" t="str">
        <f ca="1">IFERROR(__xludf.DUMMYFUNCTION("IMPORTXML(E4407,""/html/body/main/div[3]/div[3]/div[2]/ul/li[5]/span[2]/span"")"),"Loading...")</f>
        <v>Loading...</v>
      </c>
      <c r="J4407" s="7" t="str">
        <f ca="1">IFERROR(__xludf.DUMMYFUNCTION("GOOGLEFINANCE(""NSE:""&amp;D4407,""marketcap"")"),"#N/A")</f>
        <v>#N/A</v>
      </c>
      <c r="K4407" s="7">
        <v>992.8</v>
      </c>
      <c r="L4407" s="8" t="str">
        <f ca="1">IFERROR(__xludf.DUMMYFUNCTION("GOOGLEFINANCE(""NSE:""&amp;D4407,""price"")"),"#N/A")</f>
        <v>#N/A</v>
      </c>
      <c r="M4407" s="9" t="e">
        <f t="shared" ca="1" si="87"/>
        <v>#VALUE!</v>
      </c>
      <c r="N4407" s="10" t="e">
        <f t="shared" ca="1" si="88"/>
        <v>#VALUE!</v>
      </c>
      <c r="O4407" s="7" t="str">
        <f ca="1">IFERROR(__xludf.DUMMYFUNCTION("GOOGLEFINANCE(""NSE:""&amp;D4407,""pe"")"),"#N/A")</f>
        <v>#N/A</v>
      </c>
      <c r="P4407" s="7" t="str">
        <f ca="1">IFERROR(__xludf.DUMMYFUNCTION("GOOGLEFINANCE(""NSE:""&amp;D4407,""EPS"")"),"#N/A")</f>
        <v>#N/A</v>
      </c>
      <c r="Q4407" s="7">
        <v>13.5</v>
      </c>
      <c r="R4407" s="7" t="str">
        <f ca="1">IFERROR(__xludf.DUMMYFUNCTION("IMPORTXML(E4407,""/html/body/main/div[3]/div[3]/div[2]/ul/li[7]/span[2]/span"")"),"Loading...")</f>
        <v>Loading...</v>
      </c>
      <c r="S4407" s="7" t="str">
        <f ca="1">IFERROR(__xludf.DUMMYFUNCTION("IMPORTXML(E4407,""/html/body/main/div[3]/div[3]/div[2]/ul/li[8]/span[2]/span"")"),"Loading...")</f>
        <v>Loading...</v>
      </c>
      <c r="T4407" s="4">
        <v>34.6</v>
      </c>
      <c r="U4407" s="4">
        <v>22.7</v>
      </c>
      <c r="V4407" s="4">
        <v>2.6</v>
      </c>
      <c r="W4407" s="4">
        <v>5.7</v>
      </c>
      <c r="X4407" s="4">
        <v>519.92999999999995</v>
      </c>
      <c r="Y4407" s="7" t="e">
        <f t="shared" ca="1" si="89"/>
        <v>#VALUE!</v>
      </c>
    </row>
    <row r="4408" spans="1:25" ht="15" x14ac:dyDescent="0.25">
      <c r="A4408" s="4">
        <v>4407</v>
      </c>
      <c r="C4408" s="41" t="s">
        <v>6783</v>
      </c>
      <c r="D4408" s="42"/>
      <c r="E4408" s="5" t="str">
        <f t="shared" si="85"/>
        <v>https://www.screener.in/company//consolidated/</v>
      </c>
      <c r="F4408" s="4">
        <v>443059</v>
      </c>
      <c r="G4408" s="4">
        <v>3832241897</v>
      </c>
      <c r="H4408" s="6" t="e">
        <f t="shared" ca="1" si="86"/>
        <v>#VALUE!</v>
      </c>
      <c r="I4408" s="7" t="str">
        <f ca="1">IFERROR(__xludf.DUMMYFUNCTION("IMPORTXML(E4408,""/html/body/main/div[3]/div[3]/div[2]/ul/li[5]/span[2]/span"")"),"Loading...")</f>
        <v>Loading...</v>
      </c>
      <c r="J4408" s="7" t="str">
        <f ca="1">IFERROR(__xludf.DUMMYFUNCTION("GOOGLEFINANCE(""NSE:""&amp;D4408,""marketcap"")"),"#N/A")</f>
        <v>#N/A</v>
      </c>
      <c r="K4408" s="7">
        <v>992.8</v>
      </c>
      <c r="L4408" s="8" t="str">
        <f ca="1">IFERROR(__xludf.DUMMYFUNCTION("GOOGLEFINANCE(""NSE:""&amp;D4408,""price"")"),"#N/A")</f>
        <v>#N/A</v>
      </c>
      <c r="M4408" s="9" t="e">
        <f t="shared" ca="1" si="87"/>
        <v>#VALUE!</v>
      </c>
      <c r="N4408" s="10" t="e">
        <f t="shared" ca="1" si="88"/>
        <v>#VALUE!</v>
      </c>
      <c r="O4408" s="7" t="str">
        <f ca="1">IFERROR(__xludf.DUMMYFUNCTION("GOOGLEFINANCE(""NSE:""&amp;D4408,""pe"")"),"#N/A")</f>
        <v>#N/A</v>
      </c>
      <c r="P4408" s="7" t="str">
        <f ca="1">IFERROR(__xludf.DUMMYFUNCTION("GOOGLEFINANCE(""NSE:""&amp;D4408,""EPS"")"),"#N/A")</f>
        <v>#N/A</v>
      </c>
      <c r="Q4408" s="7">
        <v>13.5</v>
      </c>
      <c r="R4408" s="7" t="str">
        <f ca="1">IFERROR(__xludf.DUMMYFUNCTION("IMPORTXML(E4408,""/html/body/main/div[3]/div[3]/div[2]/ul/li[7]/span[2]/span"")"),"Loading...")</f>
        <v>Loading...</v>
      </c>
      <c r="S4408" s="7" t="str">
        <f ca="1">IFERROR(__xludf.DUMMYFUNCTION("IMPORTXML(E4408,""/html/body/main/div[3]/div[3]/div[2]/ul/li[8]/span[2]/span"")"),"Loading...")</f>
        <v>Loading...</v>
      </c>
      <c r="T4408" s="4">
        <v>34.6</v>
      </c>
      <c r="U4408" s="4">
        <v>22.7</v>
      </c>
      <c r="V4408" s="4">
        <v>2.6</v>
      </c>
      <c r="W4408" s="4">
        <v>5.7</v>
      </c>
      <c r="X4408" s="4">
        <v>519.92999999999995</v>
      </c>
      <c r="Y4408" s="7" t="e">
        <f t="shared" ca="1" si="89"/>
        <v>#VALUE!</v>
      </c>
    </row>
    <row r="4409" spans="1:25" ht="15" x14ac:dyDescent="0.25">
      <c r="A4409" s="4">
        <v>4408</v>
      </c>
      <c r="C4409" s="41" t="s">
        <v>6784</v>
      </c>
      <c r="D4409" s="42"/>
      <c r="E4409" s="5" t="str">
        <f t="shared" si="85"/>
        <v>https://www.screener.in/company//consolidated/</v>
      </c>
      <c r="F4409" s="4">
        <v>443059</v>
      </c>
      <c r="G4409" s="4">
        <v>3832241897</v>
      </c>
      <c r="H4409" s="6" t="e">
        <f t="shared" ca="1" si="86"/>
        <v>#VALUE!</v>
      </c>
      <c r="I4409" s="7" t="str">
        <f ca="1">IFERROR(__xludf.DUMMYFUNCTION("IMPORTXML(E4409,""/html/body/main/div[3]/div[3]/div[2]/ul/li[5]/span[2]/span"")"),"Loading...")</f>
        <v>Loading...</v>
      </c>
      <c r="J4409" s="7" t="str">
        <f ca="1">IFERROR(__xludf.DUMMYFUNCTION("GOOGLEFINANCE(""NSE:""&amp;D4409,""marketcap"")"),"#N/A")</f>
        <v>#N/A</v>
      </c>
      <c r="K4409" s="7">
        <v>992.8</v>
      </c>
      <c r="L4409" s="8" t="str">
        <f ca="1">IFERROR(__xludf.DUMMYFUNCTION("GOOGLEFINANCE(""NSE:""&amp;D4409,""price"")"),"#N/A")</f>
        <v>#N/A</v>
      </c>
      <c r="M4409" s="9" t="e">
        <f t="shared" ca="1" si="87"/>
        <v>#VALUE!</v>
      </c>
      <c r="N4409" s="10" t="e">
        <f t="shared" ca="1" si="88"/>
        <v>#VALUE!</v>
      </c>
      <c r="O4409" s="7" t="str">
        <f ca="1">IFERROR(__xludf.DUMMYFUNCTION("GOOGLEFINANCE(""NSE:""&amp;D4409,""pe"")"),"#N/A")</f>
        <v>#N/A</v>
      </c>
      <c r="P4409" s="7" t="str">
        <f ca="1">IFERROR(__xludf.DUMMYFUNCTION("GOOGLEFINANCE(""NSE:""&amp;D4409,""EPS"")"),"#N/A")</f>
        <v>#N/A</v>
      </c>
      <c r="Q4409" s="7">
        <v>13.5</v>
      </c>
      <c r="R4409" s="7" t="str">
        <f ca="1">IFERROR(__xludf.DUMMYFUNCTION("IMPORTXML(E4409,""/html/body/main/div[3]/div[3]/div[2]/ul/li[7]/span[2]/span"")"),"Loading...")</f>
        <v>Loading...</v>
      </c>
      <c r="S4409" s="7" t="str">
        <f ca="1">IFERROR(__xludf.DUMMYFUNCTION("IMPORTXML(E4409,""/html/body/main/div[3]/div[3]/div[2]/ul/li[8]/span[2]/span"")"),"Loading...")</f>
        <v>Loading...</v>
      </c>
      <c r="T4409" s="4">
        <v>34.6</v>
      </c>
      <c r="U4409" s="4">
        <v>22.7</v>
      </c>
      <c r="V4409" s="4">
        <v>2.6</v>
      </c>
      <c r="W4409" s="4">
        <v>5.7</v>
      </c>
      <c r="X4409" s="4">
        <v>519.92999999999995</v>
      </c>
      <c r="Y4409" s="7" t="e">
        <f t="shared" ca="1" si="89"/>
        <v>#VALUE!</v>
      </c>
    </row>
    <row r="4410" spans="1:25" ht="15" x14ac:dyDescent="0.25">
      <c r="A4410" s="4">
        <v>4409</v>
      </c>
      <c r="C4410" s="41" t="s">
        <v>6785</v>
      </c>
      <c r="D4410" s="42"/>
      <c r="E4410" s="5" t="str">
        <f t="shared" si="85"/>
        <v>https://www.screener.in/company//consolidated/</v>
      </c>
      <c r="F4410" s="4">
        <v>443059</v>
      </c>
      <c r="G4410" s="4">
        <v>3832241897</v>
      </c>
      <c r="H4410" s="6" t="e">
        <f t="shared" ca="1" si="86"/>
        <v>#VALUE!</v>
      </c>
      <c r="I4410" s="7" t="str">
        <f ca="1">IFERROR(__xludf.DUMMYFUNCTION("IMPORTXML(E4410,""/html/body/main/div[3]/div[3]/div[2]/ul/li[5]/span[2]/span"")"),"Loading...")</f>
        <v>Loading...</v>
      </c>
      <c r="J4410" s="7" t="str">
        <f ca="1">IFERROR(__xludf.DUMMYFUNCTION("GOOGLEFINANCE(""NSE:""&amp;D4410,""marketcap"")"),"#N/A")</f>
        <v>#N/A</v>
      </c>
      <c r="K4410" s="7">
        <v>992.8</v>
      </c>
      <c r="L4410" s="8" t="str">
        <f ca="1">IFERROR(__xludf.DUMMYFUNCTION("GOOGLEFINANCE(""NSE:""&amp;D4410,""price"")"),"#N/A")</f>
        <v>#N/A</v>
      </c>
      <c r="M4410" s="9" t="e">
        <f t="shared" ca="1" si="87"/>
        <v>#VALUE!</v>
      </c>
      <c r="N4410" s="10" t="e">
        <f t="shared" ca="1" si="88"/>
        <v>#VALUE!</v>
      </c>
      <c r="O4410" s="7" t="str">
        <f ca="1">IFERROR(__xludf.DUMMYFUNCTION("GOOGLEFINANCE(""NSE:""&amp;D4410,""pe"")"),"#N/A")</f>
        <v>#N/A</v>
      </c>
      <c r="P4410" s="7" t="str">
        <f ca="1">IFERROR(__xludf.DUMMYFUNCTION("GOOGLEFINANCE(""NSE:""&amp;D4410,""EPS"")"),"#N/A")</f>
        <v>#N/A</v>
      </c>
      <c r="Q4410" s="7">
        <v>13.5</v>
      </c>
      <c r="R4410" s="7" t="str">
        <f ca="1">IFERROR(__xludf.DUMMYFUNCTION("IMPORTXML(E4410,""/html/body/main/div[3]/div[3]/div[2]/ul/li[7]/span[2]/span"")"),"Loading...")</f>
        <v>Loading...</v>
      </c>
      <c r="S4410" s="7" t="str">
        <f ca="1">IFERROR(__xludf.DUMMYFUNCTION("IMPORTXML(E4410,""/html/body/main/div[3]/div[3]/div[2]/ul/li[8]/span[2]/span"")"),"Loading...")</f>
        <v>Loading...</v>
      </c>
      <c r="T4410" s="4">
        <v>34.6</v>
      </c>
      <c r="U4410" s="4">
        <v>22.7</v>
      </c>
      <c r="V4410" s="4">
        <v>2.6</v>
      </c>
      <c r="W4410" s="4">
        <v>5.7</v>
      </c>
      <c r="X4410" s="4">
        <v>519.92999999999995</v>
      </c>
      <c r="Y4410" s="7" t="e">
        <f t="shared" ca="1" si="89"/>
        <v>#VALUE!</v>
      </c>
    </row>
    <row r="4411" spans="1:25" ht="15" x14ac:dyDescent="0.25">
      <c r="A4411" s="4">
        <v>4410</v>
      </c>
      <c r="C4411" s="41" t="s">
        <v>6786</v>
      </c>
      <c r="D4411" s="42"/>
      <c r="E4411" s="5" t="str">
        <f t="shared" si="85"/>
        <v>https://www.screener.in/company//consolidated/</v>
      </c>
      <c r="F4411" s="4">
        <v>443059</v>
      </c>
      <c r="G4411" s="4">
        <v>3832241897</v>
      </c>
      <c r="H4411" s="6" t="e">
        <f t="shared" ca="1" si="86"/>
        <v>#VALUE!</v>
      </c>
      <c r="I4411" s="7" t="str">
        <f ca="1">IFERROR(__xludf.DUMMYFUNCTION("IMPORTXML(E4411,""/html/body/main/div[3]/div[3]/div[2]/ul/li[5]/span[2]/span"")"),"Loading...")</f>
        <v>Loading...</v>
      </c>
      <c r="J4411" s="7" t="str">
        <f ca="1">IFERROR(__xludf.DUMMYFUNCTION("GOOGLEFINANCE(""NSE:""&amp;D4411,""marketcap"")"),"#N/A")</f>
        <v>#N/A</v>
      </c>
      <c r="K4411" s="7">
        <v>992.8</v>
      </c>
      <c r="L4411" s="8" t="str">
        <f ca="1">IFERROR(__xludf.DUMMYFUNCTION("GOOGLEFINANCE(""NSE:""&amp;D4411,""price"")"),"#N/A")</f>
        <v>#N/A</v>
      </c>
      <c r="M4411" s="9" t="e">
        <f t="shared" ca="1" si="87"/>
        <v>#VALUE!</v>
      </c>
      <c r="N4411" s="10" t="e">
        <f t="shared" ca="1" si="88"/>
        <v>#VALUE!</v>
      </c>
      <c r="O4411" s="7" t="str">
        <f ca="1">IFERROR(__xludf.DUMMYFUNCTION("GOOGLEFINANCE(""NSE:""&amp;D4411,""pe"")"),"#N/A")</f>
        <v>#N/A</v>
      </c>
      <c r="P4411" s="7" t="str">
        <f ca="1">IFERROR(__xludf.DUMMYFUNCTION("GOOGLEFINANCE(""NSE:""&amp;D4411,""EPS"")"),"#N/A")</f>
        <v>#N/A</v>
      </c>
      <c r="Q4411" s="7">
        <v>13.5</v>
      </c>
      <c r="R4411" s="7" t="str">
        <f ca="1">IFERROR(__xludf.DUMMYFUNCTION("IMPORTXML(E4411,""/html/body/main/div[3]/div[3]/div[2]/ul/li[7]/span[2]/span"")"),"Loading...")</f>
        <v>Loading...</v>
      </c>
      <c r="S4411" s="7" t="str">
        <f ca="1">IFERROR(__xludf.DUMMYFUNCTION("IMPORTXML(E4411,""/html/body/main/div[3]/div[3]/div[2]/ul/li[8]/span[2]/span"")"),"Loading...")</f>
        <v>Loading...</v>
      </c>
      <c r="T4411" s="4">
        <v>34.6</v>
      </c>
      <c r="U4411" s="4">
        <v>22.7</v>
      </c>
      <c r="V4411" s="4">
        <v>2.6</v>
      </c>
      <c r="W4411" s="4">
        <v>5.7</v>
      </c>
      <c r="X4411" s="4">
        <v>519.92999999999995</v>
      </c>
      <c r="Y4411" s="7" t="e">
        <f t="shared" ca="1" si="89"/>
        <v>#VALUE!</v>
      </c>
    </row>
    <row r="4412" spans="1:25" ht="15" x14ac:dyDescent="0.25">
      <c r="A4412" s="4">
        <v>4411</v>
      </c>
      <c r="C4412" s="41" t="s">
        <v>6787</v>
      </c>
      <c r="D4412" s="42"/>
      <c r="E4412" s="5" t="str">
        <f t="shared" si="85"/>
        <v>https://www.screener.in/company//consolidated/</v>
      </c>
      <c r="F4412" s="4">
        <v>443059</v>
      </c>
      <c r="G4412" s="4">
        <v>3832241897</v>
      </c>
      <c r="H4412" s="6" t="e">
        <f t="shared" ca="1" si="86"/>
        <v>#VALUE!</v>
      </c>
      <c r="I4412" s="7" t="str">
        <f ca="1">IFERROR(__xludf.DUMMYFUNCTION("IMPORTXML(E4412,""/html/body/main/div[3]/div[3]/div[2]/ul/li[5]/span[2]/span"")"),"Loading...")</f>
        <v>Loading...</v>
      </c>
      <c r="J4412" s="7" t="str">
        <f ca="1">IFERROR(__xludf.DUMMYFUNCTION("GOOGLEFINANCE(""NSE:""&amp;D4412,""marketcap"")"),"#N/A")</f>
        <v>#N/A</v>
      </c>
      <c r="K4412" s="7">
        <v>992.8</v>
      </c>
      <c r="L4412" s="8" t="str">
        <f ca="1">IFERROR(__xludf.DUMMYFUNCTION("GOOGLEFINANCE(""NSE:""&amp;D4412,""price"")"),"#N/A")</f>
        <v>#N/A</v>
      </c>
      <c r="M4412" s="9" t="e">
        <f t="shared" ca="1" si="87"/>
        <v>#VALUE!</v>
      </c>
      <c r="N4412" s="10" t="e">
        <f t="shared" ca="1" si="88"/>
        <v>#VALUE!</v>
      </c>
      <c r="O4412" s="7" t="str">
        <f ca="1">IFERROR(__xludf.DUMMYFUNCTION("GOOGLEFINANCE(""NSE:""&amp;D4412,""pe"")"),"#N/A")</f>
        <v>#N/A</v>
      </c>
      <c r="P4412" s="7" t="str">
        <f ca="1">IFERROR(__xludf.DUMMYFUNCTION("GOOGLEFINANCE(""NSE:""&amp;D4412,""EPS"")"),"#N/A")</f>
        <v>#N/A</v>
      </c>
      <c r="Q4412" s="7">
        <v>13.5</v>
      </c>
      <c r="R4412" s="7" t="str">
        <f ca="1">IFERROR(__xludf.DUMMYFUNCTION("IMPORTXML(E4412,""/html/body/main/div[3]/div[3]/div[2]/ul/li[7]/span[2]/span"")"),"Loading...")</f>
        <v>Loading...</v>
      </c>
      <c r="S4412" s="7" t="str">
        <f ca="1">IFERROR(__xludf.DUMMYFUNCTION("IMPORTXML(E4412,""/html/body/main/div[3]/div[3]/div[2]/ul/li[8]/span[2]/span"")"),"Loading...")</f>
        <v>Loading...</v>
      </c>
      <c r="T4412" s="4">
        <v>34.6</v>
      </c>
      <c r="U4412" s="4">
        <v>22.7</v>
      </c>
      <c r="V4412" s="4">
        <v>2.6</v>
      </c>
      <c r="W4412" s="4">
        <v>5.7</v>
      </c>
      <c r="X4412" s="4">
        <v>519.92999999999995</v>
      </c>
      <c r="Y4412" s="7" t="e">
        <f t="shared" ca="1" si="89"/>
        <v>#VALUE!</v>
      </c>
    </row>
    <row r="4413" spans="1:25" ht="15" x14ac:dyDescent="0.25">
      <c r="A4413" s="4">
        <v>4412</v>
      </c>
      <c r="C4413" s="41" t="s">
        <v>6788</v>
      </c>
      <c r="D4413" s="42"/>
      <c r="E4413" s="5" t="str">
        <f t="shared" si="85"/>
        <v>https://www.screener.in/company//consolidated/</v>
      </c>
      <c r="F4413" s="4">
        <v>443059</v>
      </c>
      <c r="G4413" s="4">
        <v>3832241897</v>
      </c>
      <c r="H4413" s="6" t="e">
        <f t="shared" ca="1" si="86"/>
        <v>#VALUE!</v>
      </c>
      <c r="I4413" s="7" t="str">
        <f ca="1">IFERROR(__xludf.DUMMYFUNCTION("IMPORTXML(E4413,""/html/body/main/div[3]/div[3]/div[2]/ul/li[5]/span[2]/span"")"),"Loading...")</f>
        <v>Loading...</v>
      </c>
      <c r="J4413" s="7" t="str">
        <f ca="1">IFERROR(__xludf.DUMMYFUNCTION("GOOGLEFINANCE(""NSE:""&amp;D4413,""marketcap"")"),"#N/A")</f>
        <v>#N/A</v>
      </c>
      <c r="K4413" s="7">
        <v>992.8</v>
      </c>
      <c r="L4413" s="8" t="str">
        <f ca="1">IFERROR(__xludf.DUMMYFUNCTION("GOOGLEFINANCE(""NSE:""&amp;D4413,""price"")"),"#N/A")</f>
        <v>#N/A</v>
      </c>
      <c r="M4413" s="9" t="e">
        <f t="shared" ca="1" si="87"/>
        <v>#VALUE!</v>
      </c>
      <c r="N4413" s="10" t="e">
        <f t="shared" ca="1" si="88"/>
        <v>#VALUE!</v>
      </c>
      <c r="O4413" s="7" t="str">
        <f ca="1">IFERROR(__xludf.DUMMYFUNCTION("GOOGLEFINANCE(""NSE:""&amp;D4413,""pe"")"),"#N/A")</f>
        <v>#N/A</v>
      </c>
      <c r="P4413" s="7" t="str">
        <f ca="1">IFERROR(__xludf.DUMMYFUNCTION("GOOGLEFINANCE(""NSE:""&amp;D4413,""EPS"")"),"#N/A")</f>
        <v>#N/A</v>
      </c>
      <c r="Q4413" s="7">
        <v>13.5</v>
      </c>
      <c r="R4413" s="7" t="str">
        <f ca="1">IFERROR(__xludf.DUMMYFUNCTION("IMPORTXML(E4413,""/html/body/main/div[3]/div[3]/div[2]/ul/li[7]/span[2]/span"")"),"Loading...")</f>
        <v>Loading...</v>
      </c>
      <c r="S4413" s="7" t="str">
        <f ca="1">IFERROR(__xludf.DUMMYFUNCTION("IMPORTXML(E4413,""/html/body/main/div[3]/div[3]/div[2]/ul/li[8]/span[2]/span"")"),"Loading...")</f>
        <v>Loading...</v>
      </c>
      <c r="T4413" s="4">
        <v>34.6</v>
      </c>
      <c r="U4413" s="4">
        <v>22.7</v>
      </c>
      <c r="V4413" s="4">
        <v>2.6</v>
      </c>
      <c r="W4413" s="4">
        <v>5.7</v>
      </c>
      <c r="X4413" s="4">
        <v>519.92999999999995</v>
      </c>
      <c r="Y4413" s="7" t="e">
        <f t="shared" ca="1" si="89"/>
        <v>#VALUE!</v>
      </c>
    </row>
    <row r="4414" spans="1:25" ht="15" x14ac:dyDescent="0.25">
      <c r="A4414" s="4">
        <v>4413</v>
      </c>
      <c r="C4414" s="41" t="s">
        <v>6789</v>
      </c>
      <c r="D4414" s="42"/>
      <c r="E4414" s="5" t="str">
        <f t="shared" si="85"/>
        <v>https://www.screener.in/company//consolidated/</v>
      </c>
      <c r="F4414" s="4">
        <v>443059</v>
      </c>
      <c r="G4414" s="4">
        <v>3832241897</v>
      </c>
      <c r="H4414" s="6" t="e">
        <f t="shared" ca="1" si="86"/>
        <v>#VALUE!</v>
      </c>
      <c r="I4414" s="7" t="str">
        <f ca="1">IFERROR(__xludf.DUMMYFUNCTION("IMPORTXML(E4414,""/html/body/main/div[3]/div[3]/div[2]/ul/li[5]/span[2]/span"")"),"Loading...")</f>
        <v>Loading...</v>
      </c>
      <c r="J4414" s="7" t="str">
        <f ca="1">IFERROR(__xludf.DUMMYFUNCTION("GOOGLEFINANCE(""NSE:""&amp;D4414,""marketcap"")"),"#N/A")</f>
        <v>#N/A</v>
      </c>
      <c r="K4414" s="7">
        <v>992.8</v>
      </c>
      <c r="L4414" s="8" t="str">
        <f ca="1">IFERROR(__xludf.DUMMYFUNCTION("GOOGLEFINANCE(""NSE:""&amp;D4414,""price"")"),"#N/A")</f>
        <v>#N/A</v>
      </c>
      <c r="M4414" s="9" t="e">
        <f t="shared" ca="1" si="87"/>
        <v>#VALUE!</v>
      </c>
      <c r="N4414" s="10" t="e">
        <f t="shared" ca="1" si="88"/>
        <v>#VALUE!</v>
      </c>
      <c r="O4414" s="7" t="str">
        <f ca="1">IFERROR(__xludf.DUMMYFUNCTION("GOOGLEFINANCE(""NSE:""&amp;D4414,""pe"")"),"#N/A")</f>
        <v>#N/A</v>
      </c>
      <c r="P4414" s="7" t="str">
        <f ca="1">IFERROR(__xludf.DUMMYFUNCTION("GOOGLEFINANCE(""NSE:""&amp;D4414,""EPS"")"),"#N/A")</f>
        <v>#N/A</v>
      </c>
      <c r="Q4414" s="7">
        <v>13.5</v>
      </c>
      <c r="R4414" s="7" t="str">
        <f ca="1">IFERROR(__xludf.DUMMYFUNCTION("IMPORTXML(E4414,""/html/body/main/div[3]/div[3]/div[2]/ul/li[7]/span[2]/span"")"),"Loading...")</f>
        <v>Loading...</v>
      </c>
      <c r="S4414" s="7" t="str">
        <f ca="1">IFERROR(__xludf.DUMMYFUNCTION("IMPORTXML(E4414,""/html/body/main/div[3]/div[3]/div[2]/ul/li[8]/span[2]/span"")"),"Loading...")</f>
        <v>Loading...</v>
      </c>
      <c r="T4414" s="4">
        <v>34.6</v>
      </c>
      <c r="U4414" s="4">
        <v>22.7</v>
      </c>
      <c r="V4414" s="4">
        <v>2.6</v>
      </c>
      <c r="W4414" s="4">
        <v>5.7</v>
      </c>
      <c r="X4414" s="4">
        <v>519.92999999999995</v>
      </c>
      <c r="Y4414" s="7" t="e">
        <f t="shared" ca="1" si="89"/>
        <v>#VALUE!</v>
      </c>
    </row>
    <row r="4415" spans="1:25" ht="15" x14ac:dyDescent="0.25">
      <c r="A4415" s="4">
        <v>4414</v>
      </c>
      <c r="C4415" s="41" t="s">
        <v>6790</v>
      </c>
      <c r="D4415" s="42"/>
      <c r="E4415" s="5" t="str">
        <f t="shared" si="85"/>
        <v>https://www.screener.in/company//consolidated/</v>
      </c>
      <c r="F4415" s="4">
        <v>443059</v>
      </c>
      <c r="G4415" s="4">
        <v>3832241897</v>
      </c>
      <c r="H4415" s="6" t="e">
        <f t="shared" ca="1" si="86"/>
        <v>#VALUE!</v>
      </c>
      <c r="I4415" s="7" t="str">
        <f ca="1">IFERROR(__xludf.DUMMYFUNCTION("IMPORTXML(E4415,""/html/body/main/div[3]/div[3]/div[2]/ul/li[5]/span[2]/span"")"),"Loading...")</f>
        <v>Loading...</v>
      </c>
      <c r="J4415" s="7" t="str">
        <f ca="1">IFERROR(__xludf.DUMMYFUNCTION("GOOGLEFINANCE(""NSE:""&amp;D4415,""marketcap"")"),"#N/A")</f>
        <v>#N/A</v>
      </c>
      <c r="K4415" s="7">
        <v>992.8</v>
      </c>
      <c r="L4415" s="8" t="str">
        <f ca="1">IFERROR(__xludf.DUMMYFUNCTION("GOOGLEFINANCE(""NSE:""&amp;D4415,""price"")"),"#N/A")</f>
        <v>#N/A</v>
      </c>
      <c r="M4415" s="9" t="e">
        <f t="shared" ca="1" si="87"/>
        <v>#VALUE!</v>
      </c>
      <c r="N4415" s="10" t="e">
        <f t="shared" ca="1" si="88"/>
        <v>#VALUE!</v>
      </c>
      <c r="O4415" s="7" t="str">
        <f ca="1">IFERROR(__xludf.DUMMYFUNCTION("GOOGLEFINANCE(""NSE:""&amp;D4415,""pe"")"),"#N/A")</f>
        <v>#N/A</v>
      </c>
      <c r="P4415" s="7" t="str">
        <f ca="1">IFERROR(__xludf.DUMMYFUNCTION("GOOGLEFINANCE(""NSE:""&amp;D4415,""EPS"")"),"#N/A")</f>
        <v>#N/A</v>
      </c>
      <c r="Q4415" s="7">
        <v>13.5</v>
      </c>
      <c r="R4415" s="7" t="str">
        <f ca="1">IFERROR(__xludf.DUMMYFUNCTION("IMPORTXML(E4415,""/html/body/main/div[3]/div[3]/div[2]/ul/li[7]/span[2]/span"")"),"Loading...")</f>
        <v>Loading...</v>
      </c>
      <c r="S4415" s="7" t="str">
        <f ca="1">IFERROR(__xludf.DUMMYFUNCTION("IMPORTXML(E4415,""/html/body/main/div[3]/div[3]/div[2]/ul/li[8]/span[2]/span"")"),"Loading...")</f>
        <v>Loading...</v>
      </c>
      <c r="T4415" s="4">
        <v>34.6</v>
      </c>
      <c r="U4415" s="4">
        <v>22.7</v>
      </c>
      <c r="V4415" s="4">
        <v>2.6</v>
      </c>
      <c r="W4415" s="4">
        <v>5.7</v>
      </c>
      <c r="X4415" s="4">
        <v>519.92999999999995</v>
      </c>
      <c r="Y4415" s="7" t="e">
        <f t="shared" ca="1" si="89"/>
        <v>#VALUE!</v>
      </c>
    </row>
    <row r="4416" spans="1:25" ht="15" x14ac:dyDescent="0.25">
      <c r="A4416" s="4">
        <v>4415</v>
      </c>
      <c r="C4416" s="41" t="s">
        <v>6791</v>
      </c>
      <c r="D4416" s="42"/>
      <c r="E4416" s="5" t="str">
        <f t="shared" si="85"/>
        <v>https://www.screener.in/company//consolidated/</v>
      </c>
      <c r="F4416" s="4">
        <v>443059</v>
      </c>
      <c r="G4416" s="4">
        <v>3832241897</v>
      </c>
      <c r="H4416" s="6" t="e">
        <f t="shared" ca="1" si="86"/>
        <v>#VALUE!</v>
      </c>
      <c r="I4416" s="7" t="str">
        <f ca="1">IFERROR(__xludf.DUMMYFUNCTION("IMPORTXML(E4416,""/html/body/main/div[3]/div[3]/div[2]/ul/li[5]/span[2]/span"")"),"Loading...")</f>
        <v>Loading...</v>
      </c>
      <c r="J4416" s="7" t="str">
        <f ca="1">IFERROR(__xludf.DUMMYFUNCTION("GOOGLEFINANCE(""NSE:""&amp;D4416,""marketcap"")"),"#N/A")</f>
        <v>#N/A</v>
      </c>
      <c r="K4416" s="7">
        <v>992.8</v>
      </c>
      <c r="L4416" s="8" t="str">
        <f ca="1">IFERROR(__xludf.DUMMYFUNCTION("GOOGLEFINANCE(""NSE:""&amp;D4416,""price"")"),"#N/A")</f>
        <v>#N/A</v>
      </c>
      <c r="M4416" s="9" t="e">
        <f t="shared" ca="1" si="87"/>
        <v>#VALUE!</v>
      </c>
      <c r="N4416" s="10" t="e">
        <f t="shared" ca="1" si="88"/>
        <v>#VALUE!</v>
      </c>
      <c r="O4416" s="7" t="str">
        <f ca="1">IFERROR(__xludf.DUMMYFUNCTION("GOOGLEFINANCE(""NSE:""&amp;D4416,""pe"")"),"#N/A")</f>
        <v>#N/A</v>
      </c>
      <c r="P4416" s="7" t="str">
        <f ca="1">IFERROR(__xludf.DUMMYFUNCTION("GOOGLEFINANCE(""NSE:""&amp;D4416,""EPS"")"),"#N/A")</f>
        <v>#N/A</v>
      </c>
      <c r="Q4416" s="7">
        <v>13.5</v>
      </c>
      <c r="R4416" s="7" t="str">
        <f ca="1">IFERROR(__xludf.DUMMYFUNCTION("IMPORTXML(E4416,""/html/body/main/div[3]/div[3]/div[2]/ul/li[7]/span[2]/span"")"),"Loading...")</f>
        <v>Loading...</v>
      </c>
      <c r="S4416" s="7" t="str">
        <f ca="1">IFERROR(__xludf.DUMMYFUNCTION("IMPORTXML(E4416,""/html/body/main/div[3]/div[3]/div[2]/ul/li[8]/span[2]/span"")"),"Loading...")</f>
        <v>Loading...</v>
      </c>
      <c r="T4416" s="4">
        <v>34.6</v>
      </c>
      <c r="U4416" s="4">
        <v>22.7</v>
      </c>
      <c r="V4416" s="4">
        <v>2.6</v>
      </c>
      <c r="W4416" s="4">
        <v>5.7</v>
      </c>
      <c r="X4416" s="4">
        <v>519.92999999999995</v>
      </c>
      <c r="Y4416" s="7" t="e">
        <f t="shared" ca="1" si="89"/>
        <v>#VALUE!</v>
      </c>
    </row>
    <row r="4417" spans="1:25" ht="15" x14ac:dyDescent="0.25">
      <c r="A4417" s="4">
        <v>4416</v>
      </c>
      <c r="C4417" s="41" t="s">
        <v>6792</v>
      </c>
      <c r="D4417" s="42"/>
      <c r="E4417" s="5" t="str">
        <f t="shared" si="85"/>
        <v>https://www.screener.in/company//consolidated/</v>
      </c>
      <c r="F4417" s="4">
        <v>443059</v>
      </c>
      <c r="G4417" s="4">
        <v>3832241897</v>
      </c>
      <c r="H4417" s="6" t="e">
        <f t="shared" ca="1" si="86"/>
        <v>#VALUE!</v>
      </c>
      <c r="I4417" s="7" t="str">
        <f ca="1">IFERROR(__xludf.DUMMYFUNCTION("IMPORTXML(E4417,""/html/body/main/div[3]/div[3]/div[2]/ul/li[5]/span[2]/span"")"),"Loading...")</f>
        <v>Loading...</v>
      </c>
      <c r="J4417" s="7" t="str">
        <f ca="1">IFERROR(__xludf.DUMMYFUNCTION("GOOGLEFINANCE(""NSE:""&amp;D4417,""marketcap"")"),"#N/A")</f>
        <v>#N/A</v>
      </c>
      <c r="K4417" s="7">
        <v>992.8</v>
      </c>
      <c r="L4417" s="8" t="str">
        <f ca="1">IFERROR(__xludf.DUMMYFUNCTION("GOOGLEFINANCE(""NSE:""&amp;D4417,""price"")"),"#N/A")</f>
        <v>#N/A</v>
      </c>
      <c r="M4417" s="9" t="e">
        <f t="shared" ca="1" si="87"/>
        <v>#VALUE!</v>
      </c>
      <c r="N4417" s="10" t="e">
        <f t="shared" ca="1" si="88"/>
        <v>#VALUE!</v>
      </c>
      <c r="O4417" s="7" t="str">
        <f ca="1">IFERROR(__xludf.DUMMYFUNCTION("GOOGLEFINANCE(""NSE:""&amp;D4417,""pe"")"),"#N/A")</f>
        <v>#N/A</v>
      </c>
      <c r="P4417" s="7" t="str">
        <f ca="1">IFERROR(__xludf.DUMMYFUNCTION("GOOGLEFINANCE(""NSE:""&amp;D4417,""EPS"")"),"#N/A")</f>
        <v>#N/A</v>
      </c>
      <c r="Q4417" s="7">
        <v>13.5</v>
      </c>
      <c r="R4417" s="7" t="str">
        <f ca="1">IFERROR(__xludf.DUMMYFUNCTION("IMPORTXML(E4417,""/html/body/main/div[3]/div[3]/div[2]/ul/li[7]/span[2]/span"")"),"Loading...")</f>
        <v>Loading...</v>
      </c>
      <c r="S4417" s="7" t="str">
        <f ca="1">IFERROR(__xludf.DUMMYFUNCTION("IMPORTXML(E4417,""/html/body/main/div[3]/div[3]/div[2]/ul/li[8]/span[2]/span"")"),"Loading...")</f>
        <v>Loading...</v>
      </c>
      <c r="T4417" s="4">
        <v>34.6</v>
      </c>
      <c r="U4417" s="4">
        <v>22.7</v>
      </c>
      <c r="V4417" s="4">
        <v>2.6</v>
      </c>
      <c r="W4417" s="4">
        <v>5.7</v>
      </c>
      <c r="X4417" s="4">
        <v>519.92999999999995</v>
      </c>
      <c r="Y4417" s="7" t="e">
        <f t="shared" ca="1" si="89"/>
        <v>#VALUE!</v>
      </c>
    </row>
    <row r="4418" spans="1:25" ht="15" x14ac:dyDescent="0.25">
      <c r="A4418" s="4">
        <v>4417</v>
      </c>
      <c r="C4418" s="41" t="s">
        <v>6793</v>
      </c>
      <c r="D4418" s="42"/>
      <c r="E4418" s="5" t="str">
        <f t="shared" si="85"/>
        <v>https://www.screener.in/company//consolidated/</v>
      </c>
      <c r="F4418" s="4">
        <v>443059</v>
      </c>
      <c r="G4418" s="4">
        <v>3832241897</v>
      </c>
      <c r="H4418" s="6" t="e">
        <f t="shared" ca="1" si="86"/>
        <v>#VALUE!</v>
      </c>
      <c r="I4418" s="7" t="str">
        <f ca="1">IFERROR(__xludf.DUMMYFUNCTION("IMPORTXML(E4418,""/html/body/main/div[3]/div[3]/div[2]/ul/li[5]/span[2]/span"")"),"Loading...")</f>
        <v>Loading...</v>
      </c>
      <c r="J4418" s="7" t="str">
        <f ca="1">IFERROR(__xludf.DUMMYFUNCTION("GOOGLEFINANCE(""NSE:""&amp;D4418,""marketcap"")"),"#N/A")</f>
        <v>#N/A</v>
      </c>
      <c r="K4418" s="7">
        <v>992.8</v>
      </c>
      <c r="L4418" s="8" t="str">
        <f ca="1">IFERROR(__xludf.DUMMYFUNCTION("GOOGLEFINANCE(""NSE:""&amp;D4418,""price"")"),"#N/A")</f>
        <v>#N/A</v>
      </c>
      <c r="M4418" s="9" t="e">
        <f t="shared" ca="1" si="87"/>
        <v>#VALUE!</v>
      </c>
      <c r="N4418" s="10" t="e">
        <f t="shared" ca="1" si="88"/>
        <v>#VALUE!</v>
      </c>
      <c r="O4418" s="7" t="str">
        <f ca="1">IFERROR(__xludf.DUMMYFUNCTION("GOOGLEFINANCE(""NSE:""&amp;D4418,""pe"")"),"#N/A")</f>
        <v>#N/A</v>
      </c>
      <c r="P4418" s="7" t="str">
        <f ca="1">IFERROR(__xludf.DUMMYFUNCTION("GOOGLEFINANCE(""NSE:""&amp;D4418,""EPS"")"),"#N/A")</f>
        <v>#N/A</v>
      </c>
      <c r="Q4418" s="7">
        <v>13.5</v>
      </c>
      <c r="R4418" s="7" t="str">
        <f ca="1">IFERROR(__xludf.DUMMYFUNCTION("IMPORTXML(E4418,""/html/body/main/div[3]/div[3]/div[2]/ul/li[7]/span[2]/span"")"),"Loading...")</f>
        <v>Loading...</v>
      </c>
      <c r="S4418" s="7" t="str">
        <f ca="1">IFERROR(__xludf.DUMMYFUNCTION("IMPORTXML(E4418,""/html/body/main/div[3]/div[3]/div[2]/ul/li[8]/span[2]/span"")"),"Loading...")</f>
        <v>Loading...</v>
      </c>
      <c r="T4418" s="4">
        <v>34.6</v>
      </c>
      <c r="U4418" s="4">
        <v>22.7</v>
      </c>
      <c r="V4418" s="4">
        <v>2.6</v>
      </c>
      <c r="W4418" s="4">
        <v>5.7</v>
      </c>
      <c r="X4418" s="4">
        <v>519.92999999999995</v>
      </c>
      <c r="Y4418" s="7" t="e">
        <f t="shared" ca="1" si="89"/>
        <v>#VALUE!</v>
      </c>
    </row>
    <row r="4419" spans="1:25" ht="15" x14ac:dyDescent="0.25">
      <c r="A4419" s="4">
        <v>4418</v>
      </c>
      <c r="C4419" s="41" t="s">
        <v>6794</v>
      </c>
      <c r="D4419" s="42"/>
      <c r="E4419" s="5" t="str">
        <f t="shared" si="85"/>
        <v>https://www.screener.in/company//consolidated/</v>
      </c>
      <c r="F4419" s="4">
        <v>443059</v>
      </c>
      <c r="G4419" s="4">
        <v>3832241897</v>
      </c>
      <c r="H4419" s="6" t="e">
        <f t="shared" ca="1" si="86"/>
        <v>#VALUE!</v>
      </c>
      <c r="I4419" s="7" t="str">
        <f ca="1">IFERROR(__xludf.DUMMYFUNCTION("IMPORTXML(E4419,""/html/body/main/div[3]/div[3]/div[2]/ul/li[5]/span[2]/span"")"),"Loading...")</f>
        <v>Loading...</v>
      </c>
      <c r="J4419" s="7" t="str">
        <f ca="1">IFERROR(__xludf.DUMMYFUNCTION("GOOGLEFINANCE(""NSE:""&amp;D4419,""marketcap"")"),"#N/A")</f>
        <v>#N/A</v>
      </c>
      <c r="K4419" s="7">
        <v>992.8</v>
      </c>
      <c r="L4419" s="8" t="str">
        <f ca="1">IFERROR(__xludf.DUMMYFUNCTION("GOOGLEFINANCE(""NSE:""&amp;D4419,""price"")"),"#N/A")</f>
        <v>#N/A</v>
      </c>
      <c r="M4419" s="9" t="e">
        <f t="shared" ca="1" si="87"/>
        <v>#VALUE!</v>
      </c>
      <c r="N4419" s="10" t="e">
        <f t="shared" ca="1" si="88"/>
        <v>#VALUE!</v>
      </c>
      <c r="O4419" s="7" t="str">
        <f ca="1">IFERROR(__xludf.DUMMYFUNCTION("GOOGLEFINANCE(""NSE:""&amp;D4419,""pe"")"),"#N/A")</f>
        <v>#N/A</v>
      </c>
      <c r="P4419" s="7" t="str">
        <f ca="1">IFERROR(__xludf.DUMMYFUNCTION("GOOGLEFINANCE(""NSE:""&amp;D4419,""EPS"")"),"#N/A")</f>
        <v>#N/A</v>
      </c>
      <c r="Q4419" s="7">
        <v>13.5</v>
      </c>
      <c r="R4419" s="7" t="str">
        <f ca="1">IFERROR(__xludf.DUMMYFUNCTION("IMPORTXML(E4419,""/html/body/main/div[3]/div[3]/div[2]/ul/li[7]/span[2]/span"")"),"Loading...")</f>
        <v>Loading...</v>
      </c>
      <c r="S4419" s="7" t="str">
        <f ca="1">IFERROR(__xludf.DUMMYFUNCTION("IMPORTXML(E4419,""/html/body/main/div[3]/div[3]/div[2]/ul/li[8]/span[2]/span"")"),"Loading...")</f>
        <v>Loading...</v>
      </c>
      <c r="T4419" s="4">
        <v>34.6</v>
      </c>
      <c r="U4419" s="4">
        <v>22.7</v>
      </c>
      <c r="V4419" s="4">
        <v>2.6</v>
      </c>
      <c r="W4419" s="4">
        <v>5.7</v>
      </c>
      <c r="X4419" s="4">
        <v>519.92999999999995</v>
      </c>
      <c r="Y4419" s="7" t="e">
        <f t="shared" ca="1" si="89"/>
        <v>#VALUE!</v>
      </c>
    </row>
    <row r="4420" spans="1:25" ht="15" x14ac:dyDescent="0.25">
      <c r="A4420" s="4">
        <v>4419</v>
      </c>
      <c r="C4420" s="41" t="s">
        <v>6795</v>
      </c>
      <c r="D4420" s="42"/>
      <c r="E4420" s="5" t="str">
        <f t="shared" si="85"/>
        <v>https://www.screener.in/company//consolidated/</v>
      </c>
      <c r="F4420" s="4">
        <v>443059</v>
      </c>
      <c r="G4420" s="4">
        <v>3832241897</v>
      </c>
      <c r="H4420" s="6" t="e">
        <f t="shared" ca="1" si="86"/>
        <v>#VALUE!</v>
      </c>
      <c r="I4420" s="7" t="str">
        <f ca="1">IFERROR(__xludf.DUMMYFUNCTION("IMPORTXML(E4420,""/html/body/main/div[3]/div[3]/div[2]/ul/li[5]/span[2]/span"")"),"Loading...")</f>
        <v>Loading...</v>
      </c>
      <c r="J4420" s="7" t="str">
        <f ca="1">IFERROR(__xludf.DUMMYFUNCTION("GOOGLEFINANCE(""NSE:""&amp;D4420,""marketcap"")"),"#N/A")</f>
        <v>#N/A</v>
      </c>
      <c r="K4420" s="7">
        <v>992.8</v>
      </c>
      <c r="L4420" s="8" t="str">
        <f ca="1">IFERROR(__xludf.DUMMYFUNCTION("GOOGLEFINANCE(""NSE:""&amp;D4420,""price"")"),"#N/A")</f>
        <v>#N/A</v>
      </c>
      <c r="M4420" s="9" t="e">
        <f t="shared" ca="1" si="87"/>
        <v>#VALUE!</v>
      </c>
      <c r="N4420" s="10" t="e">
        <f t="shared" ca="1" si="88"/>
        <v>#VALUE!</v>
      </c>
      <c r="O4420" s="7" t="str">
        <f ca="1">IFERROR(__xludf.DUMMYFUNCTION("GOOGLEFINANCE(""NSE:""&amp;D4420,""pe"")"),"#N/A")</f>
        <v>#N/A</v>
      </c>
      <c r="P4420" s="7" t="str">
        <f ca="1">IFERROR(__xludf.DUMMYFUNCTION("GOOGLEFINANCE(""NSE:""&amp;D4420,""EPS"")"),"#N/A")</f>
        <v>#N/A</v>
      </c>
      <c r="Q4420" s="7">
        <v>13.5</v>
      </c>
      <c r="R4420" s="7" t="str">
        <f ca="1">IFERROR(__xludf.DUMMYFUNCTION("IMPORTXML(E4420,""/html/body/main/div[3]/div[3]/div[2]/ul/li[7]/span[2]/span"")"),"Loading...")</f>
        <v>Loading...</v>
      </c>
      <c r="S4420" s="7" t="str">
        <f ca="1">IFERROR(__xludf.DUMMYFUNCTION("IMPORTXML(E4420,""/html/body/main/div[3]/div[3]/div[2]/ul/li[8]/span[2]/span"")"),"Loading...")</f>
        <v>Loading...</v>
      </c>
      <c r="T4420" s="4">
        <v>34.6</v>
      </c>
      <c r="U4420" s="4">
        <v>22.7</v>
      </c>
      <c r="V4420" s="4">
        <v>2.6</v>
      </c>
      <c r="W4420" s="4">
        <v>5.7</v>
      </c>
      <c r="X4420" s="4">
        <v>519.92999999999995</v>
      </c>
      <c r="Y4420" s="7" t="e">
        <f t="shared" ca="1" si="89"/>
        <v>#VALUE!</v>
      </c>
    </row>
    <row r="4421" spans="1:25" ht="15" x14ac:dyDescent="0.25">
      <c r="A4421" s="4">
        <v>4420</v>
      </c>
      <c r="C4421" s="41" t="s">
        <v>6796</v>
      </c>
      <c r="D4421" s="42"/>
      <c r="E4421" s="5" t="str">
        <f t="shared" si="85"/>
        <v>https://www.screener.in/company//consolidated/</v>
      </c>
      <c r="F4421" s="4">
        <v>443059</v>
      </c>
      <c r="G4421" s="4">
        <v>3832241897</v>
      </c>
      <c r="H4421" s="6" t="e">
        <f t="shared" ca="1" si="86"/>
        <v>#VALUE!</v>
      </c>
      <c r="I4421" s="7" t="str">
        <f ca="1">IFERROR(__xludf.DUMMYFUNCTION("IMPORTXML(E4421,""/html/body/main/div[3]/div[3]/div[2]/ul/li[5]/span[2]/span"")"),"Loading...")</f>
        <v>Loading...</v>
      </c>
      <c r="J4421" s="7" t="str">
        <f ca="1">IFERROR(__xludf.DUMMYFUNCTION("GOOGLEFINANCE(""NSE:""&amp;D4421,""marketcap"")"),"#N/A")</f>
        <v>#N/A</v>
      </c>
      <c r="K4421" s="7">
        <v>992.8</v>
      </c>
      <c r="L4421" s="8" t="str">
        <f ca="1">IFERROR(__xludf.DUMMYFUNCTION("GOOGLEFINANCE(""NSE:""&amp;D4421,""price"")"),"#N/A")</f>
        <v>#N/A</v>
      </c>
      <c r="M4421" s="9" t="e">
        <f t="shared" ca="1" si="87"/>
        <v>#VALUE!</v>
      </c>
      <c r="N4421" s="10" t="e">
        <f t="shared" ca="1" si="88"/>
        <v>#VALUE!</v>
      </c>
      <c r="O4421" s="7" t="str">
        <f ca="1">IFERROR(__xludf.DUMMYFUNCTION("GOOGLEFINANCE(""NSE:""&amp;D4421,""pe"")"),"#N/A")</f>
        <v>#N/A</v>
      </c>
      <c r="P4421" s="7" t="str">
        <f ca="1">IFERROR(__xludf.DUMMYFUNCTION("GOOGLEFINANCE(""NSE:""&amp;D4421,""EPS"")"),"#N/A")</f>
        <v>#N/A</v>
      </c>
      <c r="Q4421" s="7">
        <v>13.5</v>
      </c>
      <c r="R4421" s="7" t="str">
        <f ca="1">IFERROR(__xludf.DUMMYFUNCTION("IMPORTXML(E4421,""/html/body/main/div[3]/div[3]/div[2]/ul/li[7]/span[2]/span"")"),"Loading...")</f>
        <v>Loading...</v>
      </c>
      <c r="S4421" s="7" t="str">
        <f ca="1">IFERROR(__xludf.DUMMYFUNCTION("IMPORTXML(E4421,""/html/body/main/div[3]/div[3]/div[2]/ul/li[8]/span[2]/span"")"),"Loading...")</f>
        <v>Loading...</v>
      </c>
      <c r="T4421" s="4">
        <v>34.6</v>
      </c>
      <c r="U4421" s="4">
        <v>22.7</v>
      </c>
      <c r="V4421" s="4">
        <v>2.6</v>
      </c>
      <c r="W4421" s="4">
        <v>5.7</v>
      </c>
      <c r="X4421" s="4">
        <v>519.92999999999995</v>
      </c>
      <c r="Y4421" s="7" t="e">
        <f t="shared" ca="1" si="89"/>
        <v>#VALUE!</v>
      </c>
    </row>
    <row r="4422" spans="1:25" ht="15" x14ac:dyDescent="0.25">
      <c r="A4422" s="4">
        <v>4421</v>
      </c>
      <c r="C4422" s="41" t="s">
        <v>6797</v>
      </c>
      <c r="D4422" s="42"/>
      <c r="E4422" s="5" t="str">
        <f t="shared" si="85"/>
        <v>https://www.screener.in/company//consolidated/</v>
      </c>
      <c r="F4422" s="4">
        <v>443059</v>
      </c>
      <c r="G4422" s="4">
        <v>3832241897</v>
      </c>
      <c r="H4422" s="6" t="e">
        <f t="shared" ca="1" si="86"/>
        <v>#VALUE!</v>
      </c>
      <c r="I4422" s="7" t="str">
        <f ca="1">IFERROR(__xludf.DUMMYFUNCTION("IMPORTXML(E4422,""/html/body/main/div[3]/div[3]/div[2]/ul/li[5]/span[2]/span"")"),"Loading...")</f>
        <v>Loading...</v>
      </c>
      <c r="J4422" s="7" t="str">
        <f ca="1">IFERROR(__xludf.DUMMYFUNCTION("GOOGLEFINANCE(""NSE:""&amp;D4422,""marketcap"")"),"#N/A")</f>
        <v>#N/A</v>
      </c>
      <c r="K4422" s="7">
        <v>992.8</v>
      </c>
      <c r="L4422" s="8" t="str">
        <f ca="1">IFERROR(__xludf.DUMMYFUNCTION("GOOGLEFINANCE(""NSE:""&amp;D4422,""price"")"),"#N/A")</f>
        <v>#N/A</v>
      </c>
      <c r="M4422" s="9" t="e">
        <f t="shared" ca="1" si="87"/>
        <v>#VALUE!</v>
      </c>
      <c r="N4422" s="10" t="e">
        <f t="shared" ca="1" si="88"/>
        <v>#VALUE!</v>
      </c>
      <c r="O4422" s="7" t="str">
        <f ca="1">IFERROR(__xludf.DUMMYFUNCTION("GOOGLEFINANCE(""NSE:""&amp;D4422,""pe"")"),"#N/A")</f>
        <v>#N/A</v>
      </c>
      <c r="P4422" s="7" t="str">
        <f ca="1">IFERROR(__xludf.DUMMYFUNCTION("GOOGLEFINANCE(""NSE:""&amp;D4422,""EPS"")"),"#N/A")</f>
        <v>#N/A</v>
      </c>
      <c r="Q4422" s="7">
        <v>13.5</v>
      </c>
      <c r="R4422" s="7" t="str">
        <f ca="1">IFERROR(__xludf.DUMMYFUNCTION("IMPORTXML(E4422,""/html/body/main/div[3]/div[3]/div[2]/ul/li[7]/span[2]/span"")"),"Loading...")</f>
        <v>Loading...</v>
      </c>
      <c r="S4422" s="7" t="str">
        <f ca="1">IFERROR(__xludf.DUMMYFUNCTION("IMPORTXML(E4422,""/html/body/main/div[3]/div[3]/div[2]/ul/li[8]/span[2]/span"")"),"Loading...")</f>
        <v>Loading...</v>
      </c>
      <c r="T4422" s="4">
        <v>34.6</v>
      </c>
      <c r="U4422" s="4">
        <v>22.7</v>
      </c>
      <c r="V4422" s="4">
        <v>2.6</v>
      </c>
      <c r="W4422" s="4">
        <v>5.7</v>
      </c>
      <c r="X4422" s="4">
        <v>519.92999999999995</v>
      </c>
      <c r="Y4422" s="7" t="e">
        <f t="shared" ca="1" si="89"/>
        <v>#VALUE!</v>
      </c>
    </row>
    <row r="4423" spans="1:25" ht="15" x14ac:dyDescent="0.25">
      <c r="A4423" s="4">
        <v>4422</v>
      </c>
      <c r="C4423" s="41" t="s">
        <v>6798</v>
      </c>
      <c r="D4423" s="42"/>
      <c r="E4423" s="5" t="str">
        <f t="shared" si="85"/>
        <v>https://www.screener.in/company//consolidated/</v>
      </c>
      <c r="F4423" s="4">
        <v>443059</v>
      </c>
      <c r="G4423" s="4">
        <v>3832241897</v>
      </c>
      <c r="H4423" s="6" t="e">
        <f t="shared" ca="1" si="86"/>
        <v>#VALUE!</v>
      </c>
      <c r="I4423" s="7" t="str">
        <f ca="1">IFERROR(__xludf.DUMMYFUNCTION("IMPORTXML(E4423,""/html/body/main/div[3]/div[3]/div[2]/ul/li[5]/span[2]/span"")"),"Loading...")</f>
        <v>Loading...</v>
      </c>
      <c r="J4423" s="7" t="str">
        <f ca="1">IFERROR(__xludf.DUMMYFUNCTION("GOOGLEFINANCE(""NSE:""&amp;D4423,""marketcap"")"),"#N/A")</f>
        <v>#N/A</v>
      </c>
      <c r="K4423" s="7">
        <v>992.8</v>
      </c>
      <c r="L4423" s="8" t="str">
        <f ca="1">IFERROR(__xludf.DUMMYFUNCTION("GOOGLEFINANCE(""NSE:""&amp;D4423,""price"")"),"#N/A")</f>
        <v>#N/A</v>
      </c>
      <c r="M4423" s="9" t="e">
        <f t="shared" ca="1" si="87"/>
        <v>#VALUE!</v>
      </c>
      <c r="N4423" s="10" t="e">
        <f t="shared" ca="1" si="88"/>
        <v>#VALUE!</v>
      </c>
      <c r="O4423" s="7" t="str">
        <f ca="1">IFERROR(__xludf.DUMMYFUNCTION("GOOGLEFINANCE(""NSE:""&amp;D4423,""pe"")"),"#N/A")</f>
        <v>#N/A</v>
      </c>
      <c r="P4423" s="7" t="str">
        <f ca="1">IFERROR(__xludf.DUMMYFUNCTION("GOOGLEFINANCE(""NSE:""&amp;D4423,""EPS"")"),"#N/A")</f>
        <v>#N/A</v>
      </c>
      <c r="Q4423" s="7">
        <v>13.5</v>
      </c>
      <c r="R4423" s="7" t="str">
        <f ca="1">IFERROR(__xludf.DUMMYFUNCTION("IMPORTXML(E4423,""/html/body/main/div[3]/div[3]/div[2]/ul/li[7]/span[2]/span"")"),"Loading...")</f>
        <v>Loading...</v>
      </c>
      <c r="S4423" s="7" t="str">
        <f ca="1">IFERROR(__xludf.DUMMYFUNCTION("IMPORTXML(E4423,""/html/body/main/div[3]/div[3]/div[2]/ul/li[8]/span[2]/span"")"),"Loading...")</f>
        <v>Loading...</v>
      </c>
      <c r="T4423" s="4">
        <v>34.6</v>
      </c>
      <c r="U4423" s="4">
        <v>22.7</v>
      </c>
      <c r="V4423" s="4">
        <v>2.6</v>
      </c>
      <c r="W4423" s="4">
        <v>5.7</v>
      </c>
      <c r="X4423" s="4">
        <v>519.92999999999995</v>
      </c>
      <c r="Y4423" s="7" t="e">
        <f t="shared" ca="1" si="89"/>
        <v>#VALUE!</v>
      </c>
    </row>
    <row r="4424" spans="1:25" ht="15" x14ac:dyDescent="0.25">
      <c r="A4424" s="4">
        <v>4423</v>
      </c>
      <c r="C4424" s="41" t="s">
        <v>6799</v>
      </c>
      <c r="D4424" s="42"/>
      <c r="E4424" s="5" t="str">
        <f t="shared" si="85"/>
        <v>https://www.screener.in/company//consolidated/</v>
      </c>
      <c r="F4424" s="4">
        <v>443059</v>
      </c>
      <c r="G4424" s="4">
        <v>3832241897</v>
      </c>
      <c r="H4424" s="6" t="e">
        <f t="shared" ca="1" si="86"/>
        <v>#VALUE!</v>
      </c>
      <c r="I4424" s="7" t="str">
        <f ca="1">IFERROR(__xludf.DUMMYFUNCTION("IMPORTXML(E4424,""/html/body/main/div[3]/div[3]/div[2]/ul/li[5]/span[2]/span"")"),"Loading...")</f>
        <v>Loading...</v>
      </c>
      <c r="J4424" s="7" t="str">
        <f ca="1">IFERROR(__xludf.DUMMYFUNCTION("GOOGLEFINANCE(""NSE:""&amp;D4424,""marketcap"")"),"#N/A")</f>
        <v>#N/A</v>
      </c>
      <c r="K4424" s="7">
        <v>992.8</v>
      </c>
      <c r="L4424" s="8" t="str">
        <f ca="1">IFERROR(__xludf.DUMMYFUNCTION("GOOGLEFINANCE(""NSE:""&amp;D4424,""price"")"),"#N/A")</f>
        <v>#N/A</v>
      </c>
      <c r="M4424" s="9" t="e">
        <f t="shared" ca="1" si="87"/>
        <v>#VALUE!</v>
      </c>
      <c r="N4424" s="10" t="e">
        <f t="shared" ca="1" si="88"/>
        <v>#VALUE!</v>
      </c>
      <c r="O4424" s="7" t="str">
        <f ca="1">IFERROR(__xludf.DUMMYFUNCTION("GOOGLEFINANCE(""NSE:""&amp;D4424,""pe"")"),"#N/A")</f>
        <v>#N/A</v>
      </c>
      <c r="P4424" s="7" t="str">
        <f ca="1">IFERROR(__xludf.DUMMYFUNCTION("GOOGLEFINANCE(""NSE:""&amp;D4424,""EPS"")"),"#N/A")</f>
        <v>#N/A</v>
      </c>
      <c r="Q4424" s="7">
        <v>13.5</v>
      </c>
      <c r="R4424" s="7" t="str">
        <f ca="1">IFERROR(__xludf.DUMMYFUNCTION("IMPORTXML(E4424,""/html/body/main/div[3]/div[3]/div[2]/ul/li[7]/span[2]/span"")"),"Loading...")</f>
        <v>Loading...</v>
      </c>
      <c r="S4424" s="7" t="str">
        <f ca="1">IFERROR(__xludf.DUMMYFUNCTION("IMPORTXML(E4424,""/html/body/main/div[3]/div[3]/div[2]/ul/li[8]/span[2]/span"")"),"Loading...")</f>
        <v>Loading...</v>
      </c>
      <c r="T4424" s="4">
        <v>34.6</v>
      </c>
      <c r="U4424" s="4">
        <v>22.7</v>
      </c>
      <c r="V4424" s="4">
        <v>2.6</v>
      </c>
      <c r="W4424" s="4">
        <v>5.7</v>
      </c>
      <c r="X4424" s="4">
        <v>519.92999999999995</v>
      </c>
      <c r="Y4424" s="7" t="e">
        <f t="shared" ca="1" si="89"/>
        <v>#VALUE!</v>
      </c>
    </row>
    <row r="4425" spans="1:25" ht="15" x14ac:dyDescent="0.25">
      <c r="A4425" s="4">
        <v>4424</v>
      </c>
      <c r="C4425" s="41" t="s">
        <v>6800</v>
      </c>
      <c r="D4425" s="42"/>
      <c r="E4425" s="5" t="str">
        <f t="shared" si="85"/>
        <v>https://www.screener.in/company//consolidated/</v>
      </c>
      <c r="F4425" s="4">
        <v>443059</v>
      </c>
      <c r="G4425" s="4">
        <v>3832241897</v>
      </c>
      <c r="H4425" s="6" t="e">
        <f t="shared" ca="1" si="86"/>
        <v>#VALUE!</v>
      </c>
      <c r="I4425" s="7" t="str">
        <f ca="1">IFERROR(__xludf.DUMMYFUNCTION("IMPORTXML(E4425,""/html/body/main/div[3]/div[3]/div[2]/ul/li[5]/span[2]/span"")"),"Loading...")</f>
        <v>Loading...</v>
      </c>
      <c r="J4425" s="7" t="str">
        <f ca="1">IFERROR(__xludf.DUMMYFUNCTION("GOOGLEFINANCE(""NSE:""&amp;D4425,""marketcap"")"),"#N/A")</f>
        <v>#N/A</v>
      </c>
      <c r="K4425" s="7">
        <v>992.8</v>
      </c>
      <c r="L4425" s="8" t="str">
        <f ca="1">IFERROR(__xludf.DUMMYFUNCTION("GOOGLEFINANCE(""NSE:""&amp;D4425,""price"")"),"#N/A")</f>
        <v>#N/A</v>
      </c>
      <c r="M4425" s="9" t="e">
        <f t="shared" ca="1" si="87"/>
        <v>#VALUE!</v>
      </c>
      <c r="N4425" s="10" t="e">
        <f t="shared" ca="1" si="88"/>
        <v>#VALUE!</v>
      </c>
      <c r="O4425" s="7" t="str">
        <f ca="1">IFERROR(__xludf.DUMMYFUNCTION("GOOGLEFINANCE(""NSE:""&amp;D4425,""pe"")"),"#N/A")</f>
        <v>#N/A</v>
      </c>
      <c r="P4425" s="7" t="str">
        <f ca="1">IFERROR(__xludf.DUMMYFUNCTION("GOOGLEFINANCE(""NSE:""&amp;D4425,""EPS"")"),"#N/A")</f>
        <v>#N/A</v>
      </c>
      <c r="Q4425" s="7">
        <v>13.5</v>
      </c>
      <c r="R4425" s="7" t="str">
        <f ca="1">IFERROR(__xludf.DUMMYFUNCTION("IMPORTXML(E4425,""/html/body/main/div[3]/div[3]/div[2]/ul/li[7]/span[2]/span"")"),"Loading...")</f>
        <v>Loading...</v>
      </c>
      <c r="S4425" s="7" t="str">
        <f ca="1">IFERROR(__xludf.DUMMYFUNCTION("IMPORTXML(E4425,""/html/body/main/div[3]/div[3]/div[2]/ul/li[8]/span[2]/span"")"),"Loading...")</f>
        <v>Loading...</v>
      </c>
      <c r="T4425" s="4">
        <v>34.6</v>
      </c>
      <c r="U4425" s="4">
        <v>22.7</v>
      </c>
      <c r="V4425" s="4">
        <v>2.6</v>
      </c>
      <c r="W4425" s="4">
        <v>5.7</v>
      </c>
      <c r="X4425" s="4">
        <v>519.92999999999995</v>
      </c>
      <c r="Y4425" s="7" t="e">
        <f t="shared" ca="1" si="89"/>
        <v>#VALUE!</v>
      </c>
    </row>
    <row r="4426" spans="1:25" ht="15" x14ac:dyDescent="0.25">
      <c r="A4426" s="4">
        <v>4425</v>
      </c>
      <c r="C4426" s="41" t="s">
        <v>6801</v>
      </c>
      <c r="D4426" s="42"/>
      <c r="E4426" s="5" t="str">
        <f t="shared" si="85"/>
        <v>https://www.screener.in/company//consolidated/</v>
      </c>
      <c r="F4426" s="4">
        <v>443059</v>
      </c>
      <c r="G4426" s="4">
        <v>3832241897</v>
      </c>
      <c r="H4426" s="6" t="e">
        <f t="shared" ca="1" si="86"/>
        <v>#VALUE!</v>
      </c>
      <c r="I4426" s="7" t="str">
        <f ca="1">IFERROR(__xludf.DUMMYFUNCTION("IMPORTXML(E4426,""/html/body/main/div[3]/div[3]/div[2]/ul/li[5]/span[2]/span"")"),"Loading...")</f>
        <v>Loading...</v>
      </c>
      <c r="J4426" s="7" t="str">
        <f ca="1">IFERROR(__xludf.DUMMYFUNCTION("GOOGLEFINANCE(""NSE:""&amp;D4426,""marketcap"")"),"#N/A")</f>
        <v>#N/A</v>
      </c>
      <c r="K4426" s="7">
        <v>992.8</v>
      </c>
      <c r="L4426" s="8" t="str">
        <f ca="1">IFERROR(__xludf.DUMMYFUNCTION("GOOGLEFINANCE(""NSE:""&amp;D4426,""price"")"),"#N/A")</f>
        <v>#N/A</v>
      </c>
      <c r="M4426" s="9" t="e">
        <f t="shared" ca="1" si="87"/>
        <v>#VALUE!</v>
      </c>
      <c r="N4426" s="10" t="e">
        <f t="shared" ca="1" si="88"/>
        <v>#VALUE!</v>
      </c>
      <c r="O4426" s="7" t="str">
        <f ca="1">IFERROR(__xludf.DUMMYFUNCTION("GOOGLEFINANCE(""NSE:""&amp;D4426,""pe"")"),"#N/A")</f>
        <v>#N/A</v>
      </c>
      <c r="P4426" s="7" t="str">
        <f ca="1">IFERROR(__xludf.DUMMYFUNCTION("GOOGLEFINANCE(""NSE:""&amp;D4426,""EPS"")"),"#N/A")</f>
        <v>#N/A</v>
      </c>
      <c r="Q4426" s="7">
        <v>13.5</v>
      </c>
      <c r="R4426" s="7" t="str">
        <f ca="1">IFERROR(__xludf.DUMMYFUNCTION("IMPORTXML(E4426,""/html/body/main/div[3]/div[3]/div[2]/ul/li[7]/span[2]/span"")"),"Loading...")</f>
        <v>Loading...</v>
      </c>
      <c r="S4426" s="7" t="str">
        <f ca="1">IFERROR(__xludf.DUMMYFUNCTION("IMPORTXML(E4426,""/html/body/main/div[3]/div[3]/div[2]/ul/li[8]/span[2]/span"")"),"Loading...")</f>
        <v>Loading...</v>
      </c>
      <c r="T4426" s="4">
        <v>34.6</v>
      </c>
      <c r="U4426" s="4">
        <v>22.7</v>
      </c>
      <c r="V4426" s="4">
        <v>2.6</v>
      </c>
      <c r="W4426" s="4">
        <v>5.7</v>
      </c>
      <c r="X4426" s="4">
        <v>519.92999999999995</v>
      </c>
      <c r="Y4426" s="7" t="e">
        <f t="shared" ca="1" si="89"/>
        <v>#VALUE!</v>
      </c>
    </row>
    <row r="4427" spans="1:25" ht="15" x14ac:dyDescent="0.25">
      <c r="A4427" s="4">
        <v>4426</v>
      </c>
      <c r="C4427" s="41" t="s">
        <v>6802</v>
      </c>
      <c r="D4427" s="42"/>
      <c r="E4427" s="5" t="str">
        <f t="shared" si="85"/>
        <v>https://www.screener.in/company//consolidated/</v>
      </c>
      <c r="F4427" s="4">
        <v>443059</v>
      </c>
      <c r="G4427" s="4">
        <v>3832241897</v>
      </c>
      <c r="H4427" s="6" t="e">
        <f t="shared" ca="1" si="86"/>
        <v>#VALUE!</v>
      </c>
      <c r="I4427" s="7" t="str">
        <f ca="1">IFERROR(__xludf.DUMMYFUNCTION("IMPORTXML(E4427,""/html/body/main/div[3]/div[3]/div[2]/ul/li[5]/span[2]/span"")"),"Loading...")</f>
        <v>Loading...</v>
      </c>
      <c r="J4427" s="7" t="str">
        <f ca="1">IFERROR(__xludf.DUMMYFUNCTION("GOOGLEFINANCE(""NSE:""&amp;D4427,""marketcap"")"),"#N/A")</f>
        <v>#N/A</v>
      </c>
      <c r="K4427" s="7">
        <v>992.8</v>
      </c>
      <c r="L4427" s="8" t="str">
        <f ca="1">IFERROR(__xludf.DUMMYFUNCTION("GOOGLEFINANCE(""NSE:""&amp;D4427,""price"")"),"#N/A")</f>
        <v>#N/A</v>
      </c>
      <c r="M4427" s="9" t="e">
        <f t="shared" ca="1" si="87"/>
        <v>#VALUE!</v>
      </c>
      <c r="N4427" s="10" t="e">
        <f t="shared" ca="1" si="88"/>
        <v>#VALUE!</v>
      </c>
      <c r="O4427" s="7" t="str">
        <f ca="1">IFERROR(__xludf.DUMMYFUNCTION("GOOGLEFINANCE(""NSE:""&amp;D4427,""pe"")"),"#N/A")</f>
        <v>#N/A</v>
      </c>
      <c r="P4427" s="7" t="str">
        <f ca="1">IFERROR(__xludf.DUMMYFUNCTION("GOOGLEFINANCE(""NSE:""&amp;D4427,""EPS"")"),"#N/A")</f>
        <v>#N/A</v>
      </c>
      <c r="Q4427" s="7">
        <v>13.5</v>
      </c>
      <c r="R4427" s="7" t="str">
        <f ca="1">IFERROR(__xludf.DUMMYFUNCTION("IMPORTXML(E4427,""/html/body/main/div[3]/div[3]/div[2]/ul/li[7]/span[2]/span"")"),"Loading...")</f>
        <v>Loading...</v>
      </c>
      <c r="S4427" s="7" t="str">
        <f ca="1">IFERROR(__xludf.DUMMYFUNCTION("IMPORTXML(E4427,""/html/body/main/div[3]/div[3]/div[2]/ul/li[8]/span[2]/span"")"),"Loading...")</f>
        <v>Loading...</v>
      </c>
      <c r="T4427" s="4">
        <v>34.6</v>
      </c>
      <c r="U4427" s="4">
        <v>22.7</v>
      </c>
      <c r="V4427" s="4">
        <v>2.6</v>
      </c>
      <c r="W4427" s="4">
        <v>5.7</v>
      </c>
      <c r="X4427" s="4">
        <v>519.92999999999995</v>
      </c>
      <c r="Y4427" s="7" t="e">
        <f t="shared" ca="1" si="89"/>
        <v>#VALUE!</v>
      </c>
    </row>
    <row r="4428" spans="1:25" ht="15" x14ac:dyDescent="0.25">
      <c r="A4428" s="4">
        <v>4427</v>
      </c>
      <c r="C4428" s="41" t="s">
        <v>6803</v>
      </c>
      <c r="D4428" s="42"/>
      <c r="E4428" s="5" t="str">
        <f t="shared" si="85"/>
        <v>https://www.screener.in/company//consolidated/</v>
      </c>
      <c r="F4428" s="4">
        <v>443059</v>
      </c>
      <c r="G4428" s="4">
        <v>3832241897</v>
      </c>
      <c r="H4428" s="6" t="e">
        <f t="shared" ca="1" si="86"/>
        <v>#VALUE!</v>
      </c>
      <c r="I4428" s="7" t="str">
        <f ca="1">IFERROR(__xludf.DUMMYFUNCTION("IMPORTXML(E4428,""/html/body/main/div[3]/div[3]/div[2]/ul/li[5]/span[2]/span"")"),"Loading...")</f>
        <v>Loading...</v>
      </c>
      <c r="J4428" s="7" t="str">
        <f ca="1">IFERROR(__xludf.DUMMYFUNCTION("GOOGLEFINANCE(""NSE:""&amp;D4428,""marketcap"")"),"#N/A")</f>
        <v>#N/A</v>
      </c>
      <c r="K4428" s="7">
        <v>992.8</v>
      </c>
      <c r="L4428" s="8" t="str">
        <f ca="1">IFERROR(__xludf.DUMMYFUNCTION("GOOGLEFINANCE(""NSE:""&amp;D4428,""price"")"),"#N/A")</f>
        <v>#N/A</v>
      </c>
      <c r="M4428" s="9" t="e">
        <f t="shared" ca="1" si="87"/>
        <v>#VALUE!</v>
      </c>
      <c r="N4428" s="10" t="e">
        <f t="shared" ca="1" si="88"/>
        <v>#VALUE!</v>
      </c>
      <c r="O4428" s="7" t="str">
        <f ca="1">IFERROR(__xludf.DUMMYFUNCTION("GOOGLEFINANCE(""NSE:""&amp;D4428,""pe"")"),"#N/A")</f>
        <v>#N/A</v>
      </c>
      <c r="P4428" s="7" t="str">
        <f ca="1">IFERROR(__xludf.DUMMYFUNCTION("GOOGLEFINANCE(""NSE:""&amp;D4428,""EPS"")"),"#N/A")</f>
        <v>#N/A</v>
      </c>
      <c r="Q4428" s="7">
        <v>13.5</v>
      </c>
      <c r="R4428" s="7" t="str">
        <f ca="1">IFERROR(__xludf.DUMMYFUNCTION("IMPORTXML(E4428,""/html/body/main/div[3]/div[3]/div[2]/ul/li[7]/span[2]/span"")"),"Loading...")</f>
        <v>Loading...</v>
      </c>
      <c r="S4428" s="7" t="str">
        <f ca="1">IFERROR(__xludf.DUMMYFUNCTION("IMPORTXML(E4428,""/html/body/main/div[3]/div[3]/div[2]/ul/li[8]/span[2]/span"")"),"Loading...")</f>
        <v>Loading...</v>
      </c>
      <c r="T4428" s="4">
        <v>34.6</v>
      </c>
      <c r="U4428" s="4">
        <v>22.7</v>
      </c>
      <c r="V4428" s="4">
        <v>2.6</v>
      </c>
      <c r="W4428" s="4">
        <v>5.7</v>
      </c>
      <c r="X4428" s="4">
        <v>519.92999999999995</v>
      </c>
      <c r="Y4428" s="7" t="e">
        <f t="shared" ca="1" si="89"/>
        <v>#VALUE!</v>
      </c>
    </row>
    <row r="4429" spans="1:25" ht="15" x14ac:dyDescent="0.25">
      <c r="A4429" s="4">
        <v>4428</v>
      </c>
      <c r="C4429" s="41" t="s">
        <v>6804</v>
      </c>
      <c r="D4429" s="42"/>
      <c r="E4429" s="5" t="str">
        <f t="shared" si="85"/>
        <v>https://www.screener.in/company//consolidated/</v>
      </c>
      <c r="F4429" s="4">
        <v>443059</v>
      </c>
      <c r="G4429" s="4">
        <v>3832241897</v>
      </c>
      <c r="H4429" s="6" t="e">
        <f t="shared" ca="1" si="86"/>
        <v>#VALUE!</v>
      </c>
      <c r="I4429" s="7" t="str">
        <f ca="1">IFERROR(__xludf.DUMMYFUNCTION("IMPORTXML(E4429,""/html/body/main/div[3]/div[3]/div[2]/ul/li[5]/span[2]/span"")"),"Loading...")</f>
        <v>Loading...</v>
      </c>
      <c r="J4429" s="7" t="str">
        <f ca="1">IFERROR(__xludf.DUMMYFUNCTION("GOOGLEFINANCE(""NSE:""&amp;D4429,""marketcap"")"),"#N/A")</f>
        <v>#N/A</v>
      </c>
      <c r="K4429" s="7">
        <v>992.8</v>
      </c>
      <c r="L4429" s="8" t="str">
        <f ca="1">IFERROR(__xludf.DUMMYFUNCTION("GOOGLEFINANCE(""NSE:""&amp;D4429,""price"")"),"#N/A")</f>
        <v>#N/A</v>
      </c>
      <c r="M4429" s="9" t="e">
        <f t="shared" ca="1" si="87"/>
        <v>#VALUE!</v>
      </c>
      <c r="N4429" s="10" t="e">
        <f t="shared" ca="1" si="88"/>
        <v>#VALUE!</v>
      </c>
      <c r="O4429" s="7" t="str">
        <f ca="1">IFERROR(__xludf.DUMMYFUNCTION("GOOGLEFINANCE(""NSE:""&amp;D4429,""pe"")"),"#N/A")</f>
        <v>#N/A</v>
      </c>
      <c r="P4429" s="7" t="str">
        <f ca="1">IFERROR(__xludf.DUMMYFUNCTION("GOOGLEFINANCE(""NSE:""&amp;D4429,""EPS"")"),"#N/A")</f>
        <v>#N/A</v>
      </c>
      <c r="Q4429" s="7">
        <v>13.5</v>
      </c>
      <c r="R4429" s="7" t="str">
        <f ca="1">IFERROR(__xludf.DUMMYFUNCTION("IMPORTXML(E4429,""/html/body/main/div[3]/div[3]/div[2]/ul/li[7]/span[2]/span"")"),"Loading...")</f>
        <v>Loading...</v>
      </c>
      <c r="S4429" s="7" t="str">
        <f ca="1">IFERROR(__xludf.DUMMYFUNCTION("IMPORTXML(E4429,""/html/body/main/div[3]/div[3]/div[2]/ul/li[8]/span[2]/span"")"),"Loading...")</f>
        <v>Loading...</v>
      </c>
      <c r="T4429" s="4">
        <v>34.6</v>
      </c>
      <c r="U4429" s="4">
        <v>22.7</v>
      </c>
      <c r="V4429" s="4">
        <v>2.6</v>
      </c>
      <c r="W4429" s="4">
        <v>5.7</v>
      </c>
      <c r="X4429" s="4">
        <v>519.92999999999995</v>
      </c>
      <c r="Y4429" s="7" t="e">
        <f t="shared" ca="1" si="89"/>
        <v>#VALUE!</v>
      </c>
    </row>
    <row r="4430" spans="1:25" ht="15" x14ac:dyDescent="0.25">
      <c r="A4430" s="4">
        <v>4429</v>
      </c>
      <c r="C4430" s="41" t="s">
        <v>6805</v>
      </c>
      <c r="D4430" s="42"/>
      <c r="E4430" s="5" t="str">
        <f t="shared" si="85"/>
        <v>https://www.screener.in/company//consolidated/</v>
      </c>
      <c r="F4430" s="4">
        <v>443059</v>
      </c>
      <c r="G4430" s="4">
        <v>3832241897</v>
      </c>
      <c r="H4430" s="6" t="e">
        <f t="shared" ca="1" si="86"/>
        <v>#VALUE!</v>
      </c>
      <c r="I4430" s="7" t="str">
        <f ca="1">IFERROR(__xludf.DUMMYFUNCTION("IMPORTXML(E4430,""/html/body/main/div[3]/div[3]/div[2]/ul/li[5]/span[2]/span"")"),"Loading...")</f>
        <v>Loading...</v>
      </c>
      <c r="J4430" s="7" t="str">
        <f ca="1">IFERROR(__xludf.DUMMYFUNCTION("GOOGLEFINANCE(""NSE:""&amp;D4430,""marketcap"")"),"#N/A")</f>
        <v>#N/A</v>
      </c>
      <c r="K4430" s="7">
        <v>992.8</v>
      </c>
      <c r="L4430" s="8" t="str">
        <f ca="1">IFERROR(__xludf.DUMMYFUNCTION("GOOGLEFINANCE(""NSE:""&amp;D4430,""price"")"),"#N/A")</f>
        <v>#N/A</v>
      </c>
      <c r="M4430" s="9" t="e">
        <f t="shared" ca="1" si="87"/>
        <v>#VALUE!</v>
      </c>
      <c r="N4430" s="10" t="e">
        <f t="shared" ca="1" si="88"/>
        <v>#VALUE!</v>
      </c>
      <c r="O4430" s="7" t="str">
        <f ca="1">IFERROR(__xludf.DUMMYFUNCTION("GOOGLEFINANCE(""NSE:""&amp;D4430,""pe"")"),"#N/A")</f>
        <v>#N/A</v>
      </c>
      <c r="P4430" s="7" t="str">
        <f ca="1">IFERROR(__xludf.DUMMYFUNCTION("GOOGLEFINANCE(""NSE:""&amp;D4430,""EPS"")"),"#N/A")</f>
        <v>#N/A</v>
      </c>
      <c r="Q4430" s="7">
        <v>13.5</v>
      </c>
      <c r="R4430" s="7" t="str">
        <f ca="1">IFERROR(__xludf.DUMMYFUNCTION("IMPORTXML(E4430,""/html/body/main/div[3]/div[3]/div[2]/ul/li[7]/span[2]/span"")"),"Loading...")</f>
        <v>Loading...</v>
      </c>
      <c r="S4430" s="7" t="str">
        <f ca="1">IFERROR(__xludf.DUMMYFUNCTION("IMPORTXML(E4430,""/html/body/main/div[3]/div[3]/div[2]/ul/li[8]/span[2]/span"")"),"Loading...")</f>
        <v>Loading...</v>
      </c>
      <c r="T4430" s="4">
        <v>34.6</v>
      </c>
      <c r="U4430" s="4">
        <v>22.7</v>
      </c>
      <c r="V4430" s="4">
        <v>2.6</v>
      </c>
      <c r="W4430" s="4">
        <v>5.7</v>
      </c>
      <c r="X4430" s="4">
        <v>519.92999999999995</v>
      </c>
      <c r="Y4430" s="7" t="e">
        <f t="shared" ca="1" si="89"/>
        <v>#VALUE!</v>
      </c>
    </row>
    <row r="4431" spans="1:25" ht="15" x14ac:dyDescent="0.25">
      <c r="A4431" s="4">
        <v>4430</v>
      </c>
      <c r="C4431" s="41" t="s">
        <v>6806</v>
      </c>
      <c r="D4431" s="42"/>
      <c r="E4431" s="5" t="str">
        <f t="shared" si="85"/>
        <v>https://www.screener.in/company//consolidated/</v>
      </c>
      <c r="F4431" s="4">
        <v>443059</v>
      </c>
      <c r="G4431" s="4">
        <v>3832241897</v>
      </c>
      <c r="H4431" s="6" t="e">
        <f t="shared" ca="1" si="86"/>
        <v>#VALUE!</v>
      </c>
      <c r="I4431" s="7" t="str">
        <f ca="1">IFERROR(__xludf.DUMMYFUNCTION("IMPORTXML(E4431,""/html/body/main/div[3]/div[3]/div[2]/ul/li[5]/span[2]/span"")"),"Loading...")</f>
        <v>Loading...</v>
      </c>
      <c r="J4431" s="7" t="str">
        <f ca="1">IFERROR(__xludf.DUMMYFUNCTION("GOOGLEFINANCE(""NSE:""&amp;D4431,""marketcap"")"),"#N/A")</f>
        <v>#N/A</v>
      </c>
      <c r="K4431" s="7">
        <v>992.8</v>
      </c>
      <c r="L4431" s="8" t="str">
        <f ca="1">IFERROR(__xludf.DUMMYFUNCTION("GOOGLEFINANCE(""NSE:""&amp;D4431,""price"")"),"#N/A")</f>
        <v>#N/A</v>
      </c>
      <c r="M4431" s="9" t="e">
        <f t="shared" ca="1" si="87"/>
        <v>#VALUE!</v>
      </c>
      <c r="N4431" s="10" t="e">
        <f t="shared" ca="1" si="88"/>
        <v>#VALUE!</v>
      </c>
      <c r="O4431" s="7" t="str">
        <f ca="1">IFERROR(__xludf.DUMMYFUNCTION("GOOGLEFINANCE(""NSE:""&amp;D4431,""pe"")"),"#N/A")</f>
        <v>#N/A</v>
      </c>
      <c r="P4431" s="7" t="str">
        <f ca="1">IFERROR(__xludf.DUMMYFUNCTION("GOOGLEFINANCE(""NSE:""&amp;D4431,""EPS"")"),"#N/A")</f>
        <v>#N/A</v>
      </c>
      <c r="Q4431" s="7">
        <v>13.5</v>
      </c>
      <c r="R4431" s="7" t="str">
        <f ca="1">IFERROR(__xludf.DUMMYFUNCTION("IMPORTXML(E4431,""/html/body/main/div[3]/div[3]/div[2]/ul/li[7]/span[2]/span"")"),"Loading...")</f>
        <v>Loading...</v>
      </c>
      <c r="S4431" s="7" t="str">
        <f ca="1">IFERROR(__xludf.DUMMYFUNCTION("IMPORTXML(E4431,""/html/body/main/div[3]/div[3]/div[2]/ul/li[8]/span[2]/span"")"),"Loading...")</f>
        <v>Loading...</v>
      </c>
      <c r="T4431" s="4">
        <v>34.6</v>
      </c>
      <c r="U4431" s="4">
        <v>22.7</v>
      </c>
      <c r="V4431" s="4">
        <v>2.6</v>
      </c>
      <c r="W4431" s="4">
        <v>5.7</v>
      </c>
      <c r="X4431" s="4">
        <v>519.92999999999995</v>
      </c>
      <c r="Y4431" s="7" t="e">
        <f t="shared" ca="1" si="89"/>
        <v>#VALUE!</v>
      </c>
    </row>
    <row r="4432" spans="1:25" ht="15" x14ac:dyDescent="0.25">
      <c r="A4432" s="4">
        <v>4431</v>
      </c>
      <c r="C4432" s="41" t="s">
        <v>6807</v>
      </c>
      <c r="D4432" s="42"/>
      <c r="E4432" s="5" t="str">
        <f t="shared" si="85"/>
        <v>https://www.screener.in/company//consolidated/</v>
      </c>
      <c r="F4432" s="4">
        <v>443059</v>
      </c>
      <c r="G4432" s="4">
        <v>3832241897</v>
      </c>
      <c r="H4432" s="6" t="e">
        <f t="shared" ca="1" si="86"/>
        <v>#VALUE!</v>
      </c>
      <c r="I4432" s="7" t="str">
        <f ca="1">IFERROR(__xludf.DUMMYFUNCTION("IMPORTXML(E4432,""/html/body/main/div[3]/div[3]/div[2]/ul/li[5]/span[2]/span"")"),"Loading...")</f>
        <v>Loading...</v>
      </c>
      <c r="J4432" s="7" t="str">
        <f ca="1">IFERROR(__xludf.DUMMYFUNCTION("GOOGLEFINANCE(""NSE:""&amp;D4432,""marketcap"")"),"#N/A")</f>
        <v>#N/A</v>
      </c>
      <c r="K4432" s="7">
        <v>992.8</v>
      </c>
      <c r="L4432" s="8" t="str">
        <f ca="1">IFERROR(__xludf.DUMMYFUNCTION("GOOGLEFINANCE(""NSE:""&amp;D4432,""price"")"),"#N/A")</f>
        <v>#N/A</v>
      </c>
      <c r="M4432" s="9" t="e">
        <f t="shared" ca="1" si="87"/>
        <v>#VALUE!</v>
      </c>
      <c r="N4432" s="10" t="e">
        <f t="shared" ca="1" si="88"/>
        <v>#VALUE!</v>
      </c>
      <c r="O4432" s="7" t="str">
        <f ca="1">IFERROR(__xludf.DUMMYFUNCTION("GOOGLEFINANCE(""NSE:""&amp;D4432,""pe"")"),"#N/A")</f>
        <v>#N/A</v>
      </c>
      <c r="P4432" s="7" t="str">
        <f ca="1">IFERROR(__xludf.DUMMYFUNCTION("GOOGLEFINANCE(""NSE:""&amp;D4432,""EPS"")"),"#N/A")</f>
        <v>#N/A</v>
      </c>
      <c r="Q4432" s="7">
        <v>13.5</v>
      </c>
      <c r="R4432" s="7" t="str">
        <f ca="1">IFERROR(__xludf.DUMMYFUNCTION("IMPORTXML(E4432,""/html/body/main/div[3]/div[3]/div[2]/ul/li[7]/span[2]/span"")"),"Loading...")</f>
        <v>Loading...</v>
      </c>
      <c r="S4432" s="7" t="str">
        <f ca="1">IFERROR(__xludf.DUMMYFUNCTION("IMPORTXML(E4432,""/html/body/main/div[3]/div[3]/div[2]/ul/li[8]/span[2]/span"")"),"Loading...")</f>
        <v>Loading...</v>
      </c>
      <c r="T4432" s="4">
        <v>34.6</v>
      </c>
      <c r="U4432" s="4">
        <v>22.7</v>
      </c>
      <c r="V4432" s="4">
        <v>2.6</v>
      </c>
      <c r="W4432" s="4">
        <v>5.7</v>
      </c>
      <c r="X4432" s="4">
        <v>519.92999999999995</v>
      </c>
      <c r="Y4432" s="7" t="e">
        <f t="shared" ca="1" si="89"/>
        <v>#VALUE!</v>
      </c>
    </row>
    <row r="4433" spans="1:25" ht="15" x14ac:dyDescent="0.25">
      <c r="A4433" s="4">
        <v>4432</v>
      </c>
      <c r="C4433" s="41" t="s">
        <v>6808</v>
      </c>
      <c r="D4433" s="42"/>
      <c r="E4433" s="5" t="str">
        <f t="shared" si="85"/>
        <v>https://www.screener.in/company//consolidated/</v>
      </c>
      <c r="F4433" s="4">
        <v>443059</v>
      </c>
      <c r="G4433" s="4">
        <v>3832241897</v>
      </c>
      <c r="H4433" s="6" t="e">
        <f t="shared" ca="1" si="86"/>
        <v>#VALUE!</v>
      </c>
      <c r="I4433" s="7" t="str">
        <f ca="1">IFERROR(__xludf.DUMMYFUNCTION("IMPORTXML(E4433,""/html/body/main/div[3]/div[3]/div[2]/ul/li[5]/span[2]/span"")"),"Loading...")</f>
        <v>Loading...</v>
      </c>
      <c r="J4433" s="7" t="str">
        <f ca="1">IFERROR(__xludf.DUMMYFUNCTION("GOOGLEFINANCE(""NSE:""&amp;D4433,""marketcap"")"),"#N/A")</f>
        <v>#N/A</v>
      </c>
      <c r="K4433" s="7">
        <v>992.8</v>
      </c>
      <c r="L4433" s="8" t="str">
        <f ca="1">IFERROR(__xludf.DUMMYFUNCTION("GOOGLEFINANCE(""NSE:""&amp;D4433,""price"")"),"#N/A")</f>
        <v>#N/A</v>
      </c>
      <c r="M4433" s="9" t="e">
        <f t="shared" ca="1" si="87"/>
        <v>#VALUE!</v>
      </c>
      <c r="N4433" s="10" t="e">
        <f t="shared" ca="1" si="88"/>
        <v>#VALUE!</v>
      </c>
      <c r="O4433" s="7" t="str">
        <f ca="1">IFERROR(__xludf.DUMMYFUNCTION("GOOGLEFINANCE(""NSE:""&amp;D4433,""pe"")"),"#N/A")</f>
        <v>#N/A</v>
      </c>
      <c r="P4433" s="7" t="str">
        <f ca="1">IFERROR(__xludf.DUMMYFUNCTION("GOOGLEFINANCE(""NSE:""&amp;D4433,""EPS"")"),"#N/A")</f>
        <v>#N/A</v>
      </c>
      <c r="Q4433" s="7">
        <v>13.5</v>
      </c>
      <c r="R4433" s="7" t="str">
        <f ca="1">IFERROR(__xludf.DUMMYFUNCTION("IMPORTXML(E4433,""/html/body/main/div[3]/div[3]/div[2]/ul/li[7]/span[2]/span"")"),"Loading...")</f>
        <v>Loading...</v>
      </c>
      <c r="S4433" s="7" t="str">
        <f ca="1">IFERROR(__xludf.DUMMYFUNCTION("IMPORTXML(E4433,""/html/body/main/div[3]/div[3]/div[2]/ul/li[8]/span[2]/span"")"),"Loading...")</f>
        <v>Loading...</v>
      </c>
      <c r="T4433" s="4">
        <v>34.6</v>
      </c>
      <c r="U4433" s="4">
        <v>22.7</v>
      </c>
      <c r="V4433" s="4">
        <v>2.6</v>
      </c>
      <c r="W4433" s="4">
        <v>5.7</v>
      </c>
      <c r="X4433" s="4">
        <v>519.92999999999995</v>
      </c>
      <c r="Y4433" s="7" t="e">
        <f t="shared" ca="1" si="89"/>
        <v>#VALUE!</v>
      </c>
    </row>
    <row r="4434" spans="1:25" ht="15" x14ac:dyDescent="0.25">
      <c r="A4434" s="4">
        <v>4433</v>
      </c>
      <c r="C4434" s="41" t="s">
        <v>6809</v>
      </c>
      <c r="D4434" s="42"/>
      <c r="E4434" s="5" t="str">
        <f t="shared" si="85"/>
        <v>https://www.screener.in/company//consolidated/</v>
      </c>
      <c r="F4434" s="4">
        <v>443059</v>
      </c>
      <c r="G4434" s="4">
        <v>3832241897</v>
      </c>
      <c r="H4434" s="6" t="e">
        <f t="shared" ca="1" si="86"/>
        <v>#VALUE!</v>
      </c>
      <c r="I4434" s="7" t="str">
        <f ca="1">IFERROR(__xludf.DUMMYFUNCTION("IMPORTXML(E4434,""/html/body/main/div[3]/div[3]/div[2]/ul/li[5]/span[2]/span"")"),"Loading...")</f>
        <v>Loading...</v>
      </c>
      <c r="J4434" s="7" t="str">
        <f ca="1">IFERROR(__xludf.DUMMYFUNCTION("GOOGLEFINANCE(""NSE:""&amp;D4434,""marketcap"")"),"#N/A")</f>
        <v>#N/A</v>
      </c>
      <c r="K4434" s="7">
        <v>992.8</v>
      </c>
      <c r="L4434" s="8" t="str">
        <f ca="1">IFERROR(__xludf.DUMMYFUNCTION("GOOGLEFINANCE(""NSE:""&amp;D4434,""price"")"),"#N/A")</f>
        <v>#N/A</v>
      </c>
      <c r="M4434" s="9" t="e">
        <f t="shared" ca="1" si="87"/>
        <v>#VALUE!</v>
      </c>
      <c r="N4434" s="10" t="e">
        <f t="shared" ca="1" si="88"/>
        <v>#VALUE!</v>
      </c>
      <c r="O4434" s="7" t="str">
        <f ca="1">IFERROR(__xludf.DUMMYFUNCTION("GOOGLEFINANCE(""NSE:""&amp;D4434,""pe"")"),"#N/A")</f>
        <v>#N/A</v>
      </c>
      <c r="P4434" s="7" t="str">
        <f ca="1">IFERROR(__xludf.DUMMYFUNCTION("GOOGLEFINANCE(""NSE:""&amp;D4434,""EPS"")"),"#N/A")</f>
        <v>#N/A</v>
      </c>
      <c r="Q4434" s="7">
        <v>13.5</v>
      </c>
      <c r="R4434" s="7" t="str">
        <f ca="1">IFERROR(__xludf.DUMMYFUNCTION("IMPORTXML(E4434,""/html/body/main/div[3]/div[3]/div[2]/ul/li[7]/span[2]/span"")"),"Loading...")</f>
        <v>Loading...</v>
      </c>
      <c r="S4434" s="7" t="str">
        <f ca="1">IFERROR(__xludf.DUMMYFUNCTION("IMPORTXML(E4434,""/html/body/main/div[3]/div[3]/div[2]/ul/li[8]/span[2]/span"")"),"Loading...")</f>
        <v>Loading...</v>
      </c>
      <c r="T4434" s="4">
        <v>34.6</v>
      </c>
      <c r="U4434" s="4">
        <v>22.7</v>
      </c>
      <c r="V4434" s="4">
        <v>2.6</v>
      </c>
      <c r="W4434" s="4">
        <v>5.7</v>
      </c>
      <c r="X4434" s="4">
        <v>519.92999999999995</v>
      </c>
      <c r="Y4434" s="7" t="e">
        <f t="shared" ca="1" si="89"/>
        <v>#VALUE!</v>
      </c>
    </row>
    <row r="4435" spans="1:25" ht="15" x14ac:dyDescent="0.25">
      <c r="A4435" s="4">
        <v>4434</v>
      </c>
      <c r="C4435" s="41" t="s">
        <v>6810</v>
      </c>
      <c r="D4435" s="42"/>
      <c r="E4435" s="5" t="str">
        <f t="shared" si="85"/>
        <v>https://www.screener.in/company//consolidated/</v>
      </c>
      <c r="F4435" s="4">
        <v>443059</v>
      </c>
      <c r="G4435" s="4">
        <v>3832241897</v>
      </c>
      <c r="H4435" s="6" t="e">
        <f t="shared" ca="1" si="86"/>
        <v>#VALUE!</v>
      </c>
      <c r="I4435" s="7" t="str">
        <f ca="1">IFERROR(__xludf.DUMMYFUNCTION("IMPORTXML(E4435,""/html/body/main/div[3]/div[3]/div[2]/ul/li[5]/span[2]/span"")"),"Loading...")</f>
        <v>Loading...</v>
      </c>
      <c r="J4435" s="7" t="str">
        <f ca="1">IFERROR(__xludf.DUMMYFUNCTION("GOOGLEFINANCE(""NSE:""&amp;D4435,""marketcap"")"),"#N/A")</f>
        <v>#N/A</v>
      </c>
      <c r="K4435" s="7">
        <v>992.8</v>
      </c>
      <c r="L4435" s="8" t="str">
        <f ca="1">IFERROR(__xludf.DUMMYFUNCTION("GOOGLEFINANCE(""NSE:""&amp;D4435,""price"")"),"#N/A")</f>
        <v>#N/A</v>
      </c>
      <c r="M4435" s="9" t="e">
        <f t="shared" ca="1" si="87"/>
        <v>#VALUE!</v>
      </c>
      <c r="N4435" s="10" t="e">
        <f t="shared" ca="1" si="88"/>
        <v>#VALUE!</v>
      </c>
      <c r="O4435" s="7" t="str">
        <f ca="1">IFERROR(__xludf.DUMMYFUNCTION("GOOGLEFINANCE(""NSE:""&amp;D4435,""pe"")"),"#N/A")</f>
        <v>#N/A</v>
      </c>
      <c r="P4435" s="7" t="str">
        <f ca="1">IFERROR(__xludf.DUMMYFUNCTION("GOOGLEFINANCE(""NSE:""&amp;D4435,""EPS"")"),"#N/A")</f>
        <v>#N/A</v>
      </c>
      <c r="Q4435" s="7">
        <v>13.5</v>
      </c>
      <c r="R4435" s="7" t="str">
        <f ca="1">IFERROR(__xludf.DUMMYFUNCTION("IMPORTXML(E4435,""/html/body/main/div[3]/div[3]/div[2]/ul/li[7]/span[2]/span"")"),"Loading...")</f>
        <v>Loading...</v>
      </c>
      <c r="S4435" s="7" t="str">
        <f ca="1">IFERROR(__xludf.DUMMYFUNCTION("IMPORTXML(E4435,""/html/body/main/div[3]/div[3]/div[2]/ul/li[8]/span[2]/span"")"),"Loading...")</f>
        <v>Loading...</v>
      </c>
      <c r="T4435" s="4">
        <v>34.6</v>
      </c>
      <c r="U4435" s="4">
        <v>22.7</v>
      </c>
      <c r="V4435" s="4">
        <v>2.6</v>
      </c>
      <c r="W4435" s="4">
        <v>5.7</v>
      </c>
      <c r="X4435" s="4">
        <v>519.92999999999995</v>
      </c>
      <c r="Y4435" s="7" t="e">
        <f t="shared" ca="1" si="89"/>
        <v>#VALUE!</v>
      </c>
    </row>
    <row r="4436" spans="1:25" ht="15" x14ac:dyDescent="0.25">
      <c r="A4436" s="4">
        <v>4435</v>
      </c>
      <c r="C4436" s="41" t="s">
        <v>6811</v>
      </c>
      <c r="D4436" s="42"/>
      <c r="E4436" s="5" t="str">
        <f t="shared" si="85"/>
        <v>https://www.screener.in/company//consolidated/</v>
      </c>
      <c r="F4436" s="4">
        <v>443059</v>
      </c>
      <c r="G4436" s="4">
        <v>3832241897</v>
      </c>
      <c r="H4436" s="6" t="e">
        <f t="shared" ca="1" si="86"/>
        <v>#VALUE!</v>
      </c>
      <c r="I4436" s="7" t="str">
        <f ca="1">IFERROR(__xludf.DUMMYFUNCTION("IMPORTXML(E4436,""/html/body/main/div[3]/div[3]/div[2]/ul/li[5]/span[2]/span"")"),"Loading...")</f>
        <v>Loading...</v>
      </c>
      <c r="J4436" s="7" t="str">
        <f ca="1">IFERROR(__xludf.DUMMYFUNCTION("GOOGLEFINANCE(""NSE:""&amp;D4436,""marketcap"")"),"#N/A")</f>
        <v>#N/A</v>
      </c>
      <c r="K4436" s="7">
        <v>992.8</v>
      </c>
      <c r="L4436" s="8" t="str">
        <f ca="1">IFERROR(__xludf.DUMMYFUNCTION("GOOGLEFINANCE(""NSE:""&amp;D4436,""price"")"),"#N/A")</f>
        <v>#N/A</v>
      </c>
      <c r="M4436" s="9" t="e">
        <f t="shared" ca="1" si="87"/>
        <v>#VALUE!</v>
      </c>
      <c r="N4436" s="10" t="e">
        <f t="shared" ca="1" si="88"/>
        <v>#VALUE!</v>
      </c>
      <c r="O4436" s="7" t="str">
        <f ca="1">IFERROR(__xludf.DUMMYFUNCTION("GOOGLEFINANCE(""NSE:""&amp;D4436,""pe"")"),"#N/A")</f>
        <v>#N/A</v>
      </c>
      <c r="P4436" s="7" t="str">
        <f ca="1">IFERROR(__xludf.DUMMYFUNCTION("GOOGLEFINANCE(""NSE:""&amp;D4436,""EPS"")"),"#N/A")</f>
        <v>#N/A</v>
      </c>
      <c r="Q4436" s="7">
        <v>13.5</v>
      </c>
      <c r="R4436" s="7" t="str">
        <f ca="1">IFERROR(__xludf.DUMMYFUNCTION("IMPORTXML(E4436,""/html/body/main/div[3]/div[3]/div[2]/ul/li[7]/span[2]/span"")"),"Loading...")</f>
        <v>Loading...</v>
      </c>
      <c r="S4436" s="7" t="str">
        <f ca="1">IFERROR(__xludf.DUMMYFUNCTION("IMPORTXML(E4436,""/html/body/main/div[3]/div[3]/div[2]/ul/li[8]/span[2]/span"")"),"Loading...")</f>
        <v>Loading...</v>
      </c>
      <c r="T4436" s="4">
        <v>34.6</v>
      </c>
      <c r="U4436" s="4">
        <v>22.7</v>
      </c>
      <c r="V4436" s="4">
        <v>2.6</v>
      </c>
      <c r="W4436" s="4">
        <v>5.7</v>
      </c>
      <c r="X4436" s="4">
        <v>519.92999999999995</v>
      </c>
      <c r="Y4436" s="7" t="e">
        <f t="shared" ca="1" si="89"/>
        <v>#VALUE!</v>
      </c>
    </row>
    <row r="4437" spans="1:25" ht="15" x14ac:dyDescent="0.25">
      <c r="A4437" s="4">
        <v>4436</v>
      </c>
      <c r="C4437" s="41" t="s">
        <v>6812</v>
      </c>
      <c r="D4437" s="42"/>
      <c r="E4437" s="5" t="str">
        <f t="shared" si="85"/>
        <v>https://www.screener.in/company//consolidated/</v>
      </c>
      <c r="F4437" s="4">
        <v>443059</v>
      </c>
      <c r="G4437" s="4">
        <v>3832241897</v>
      </c>
      <c r="H4437" s="6" t="e">
        <f t="shared" ca="1" si="86"/>
        <v>#VALUE!</v>
      </c>
      <c r="I4437" s="7" t="str">
        <f ca="1">IFERROR(__xludf.DUMMYFUNCTION("IMPORTXML(E4437,""/html/body/main/div[3]/div[3]/div[2]/ul/li[5]/span[2]/span"")"),"Loading...")</f>
        <v>Loading...</v>
      </c>
      <c r="J4437" s="7" t="str">
        <f ca="1">IFERROR(__xludf.DUMMYFUNCTION("GOOGLEFINANCE(""NSE:""&amp;D4437,""marketcap"")"),"#N/A")</f>
        <v>#N/A</v>
      </c>
      <c r="K4437" s="7">
        <v>992.8</v>
      </c>
      <c r="L4437" s="8" t="str">
        <f ca="1">IFERROR(__xludf.DUMMYFUNCTION("GOOGLEFINANCE(""NSE:""&amp;D4437,""price"")"),"#N/A")</f>
        <v>#N/A</v>
      </c>
      <c r="M4437" s="9" t="e">
        <f t="shared" ca="1" si="87"/>
        <v>#VALUE!</v>
      </c>
      <c r="N4437" s="10" t="e">
        <f t="shared" ca="1" si="88"/>
        <v>#VALUE!</v>
      </c>
      <c r="O4437" s="7" t="str">
        <f ca="1">IFERROR(__xludf.DUMMYFUNCTION("GOOGLEFINANCE(""NSE:""&amp;D4437,""pe"")"),"#N/A")</f>
        <v>#N/A</v>
      </c>
      <c r="P4437" s="7" t="str">
        <f ca="1">IFERROR(__xludf.DUMMYFUNCTION("GOOGLEFINANCE(""NSE:""&amp;D4437,""EPS"")"),"#N/A")</f>
        <v>#N/A</v>
      </c>
      <c r="Q4437" s="7">
        <v>13.5</v>
      </c>
      <c r="R4437" s="7" t="str">
        <f ca="1">IFERROR(__xludf.DUMMYFUNCTION("IMPORTXML(E4437,""/html/body/main/div[3]/div[3]/div[2]/ul/li[7]/span[2]/span"")"),"Loading...")</f>
        <v>Loading...</v>
      </c>
      <c r="S4437" s="7" t="str">
        <f ca="1">IFERROR(__xludf.DUMMYFUNCTION("IMPORTXML(E4437,""/html/body/main/div[3]/div[3]/div[2]/ul/li[8]/span[2]/span"")"),"Loading...")</f>
        <v>Loading...</v>
      </c>
      <c r="T4437" s="4">
        <v>34.6</v>
      </c>
      <c r="U4437" s="4">
        <v>22.7</v>
      </c>
      <c r="V4437" s="4">
        <v>2.6</v>
      </c>
      <c r="W4437" s="4">
        <v>5.7</v>
      </c>
      <c r="X4437" s="4">
        <v>519.92999999999995</v>
      </c>
      <c r="Y4437" s="7" t="e">
        <f t="shared" ca="1" si="89"/>
        <v>#VALUE!</v>
      </c>
    </row>
    <row r="4438" spans="1:25" ht="15" x14ac:dyDescent="0.25">
      <c r="A4438" s="4">
        <v>4437</v>
      </c>
      <c r="C4438" s="41" t="s">
        <v>6813</v>
      </c>
      <c r="D4438" s="42"/>
      <c r="E4438" s="5" t="str">
        <f t="shared" si="85"/>
        <v>https://www.screener.in/company//consolidated/</v>
      </c>
      <c r="F4438" s="4">
        <v>443059</v>
      </c>
      <c r="G4438" s="4">
        <v>3832241897</v>
      </c>
      <c r="H4438" s="6" t="e">
        <f t="shared" ca="1" si="86"/>
        <v>#VALUE!</v>
      </c>
      <c r="I4438" s="7" t="str">
        <f ca="1">IFERROR(__xludf.DUMMYFUNCTION("IMPORTXML(E4438,""/html/body/main/div[3]/div[3]/div[2]/ul/li[5]/span[2]/span"")"),"Loading...")</f>
        <v>Loading...</v>
      </c>
      <c r="J4438" s="7" t="str">
        <f ca="1">IFERROR(__xludf.DUMMYFUNCTION("GOOGLEFINANCE(""NSE:""&amp;D4438,""marketcap"")"),"#N/A")</f>
        <v>#N/A</v>
      </c>
      <c r="K4438" s="7">
        <v>992.8</v>
      </c>
      <c r="L4438" s="8" t="str">
        <f ca="1">IFERROR(__xludf.DUMMYFUNCTION("GOOGLEFINANCE(""NSE:""&amp;D4438,""price"")"),"#N/A")</f>
        <v>#N/A</v>
      </c>
      <c r="M4438" s="9" t="e">
        <f t="shared" ca="1" si="87"/>
        <v>#VALUE!</v>
      </c>
      <c r="N4438" s="10" t="e">
        <f t="shared" ca="1" si="88"/>
        <v>#VALUE!</v>
      </c>
      <c r="O4438" s="7" t="str">
        <f ca="1">IFERROR(__xludf.DUMMYFUNCTION("GOOGLEFINANCE(""NSE:""&amp;D4438,""pe"")"),"#N/A")</f>
        <v>#N/A</v>
      </c>
      <c r="P4438" s="7" t="str">
        <f ca="1">IFERROR(__xludf.DUMMYFUNCTION("GOOGLEFINANCE(""NSE:""&amp;D4438,""EPS"")"),"#N/A")</f>
        <v>#N/A</v>
      </c>
      <c r="Q4438" s="7">
        <v>13.5</v>
      </c>
      <c r="R4438" s="7" t="str">
        <f ca="1">IFERROR(__xludf.DUMMYFUNCTION("IMPORTXML(E4438,""/html/body/main/div[3]/div[3]/div[2]/ul/li[7]/span[2]/span"")"),"Loading...")</f>
        <v>Loading...</v>
      </c>
      <c r="S4438" s="7" t="str">
        <f ca="1">IFERROR(__xludf.DUMMYFUNCTION("IMPORTXML(E4438,""/html/body/main/div[3]/div[3]/div[2]/ul/li[8]/span[2]/span"")"),"Loading...")</f>
        <v>Loading...</v>
      </c>
      <c r="T4438" s="4">
        <v>34.6</v>
      </c>
      <c r="U4438" s="4">
        <v>22.7</v>
      </c>
      <c r="V4438" s="4">
        <v>2.6</v>
      </c>
      <c r="W4438" s="4">
        <v>5.7</v>
      </c>
      <c r="X4438" s="4">
        <v>519.92999999999995</v>
      </c>
      <c r="Y4438" s="7" t="e">
        <f t="shared" ca="1" si="89"/>
        <v>#VALUE!</v>
      </c>
    </row>
    <row r="4439" spans="1:25" ht="15" x14ac:dyDescent="0.25">
      <c r="A4439" s="4">
        <v>4438</v>
      </c>
      <c r="C4439" s="41" t="s">
        <v>6814</v>
      </c>
      <c r="D4439" s="42"/>
      <c r="E4439" s="5" t="str">
        <f t="shared" si="85"/>
        <v>https://www.screener.in/company//consolidated/</v>
      </c>
      <c r="F4439" s="4">
        <v>443059</v>
      </c>
      <c r="G4439" s="4">
        <v>3832241897</v>
      </c>
      <c r="H4439" s="6" t="e">
        <f t="shared" ca="1" si="86"/>
        <v>#VALUE!</v>
      </c>
      <c r="I4439" s="7" t="str">
        <f ca="1">IFERROR(__xludf.DUMMYFUNCTION("IMPORTXML(E4439,""/html/body/main/div[3]/div[3]/div[2]/ul/li[5]/span[2]/span"")"),"Loading...")</f>
        <v>Loading...</v>
      </c>
      <c r="J4439" s="7" t="str">
        <f ca="1">IFERROR(__xludf.DUMMYFUNCTION("GOOGLEFINANCE(""NSE:""&amp;D4439,""marketcap"")"),"#N/A")</f>
        <v>#N/A</v>
      </c>
      <c r="K4439" s="7">
        <v>992.8</v>
      </c>
      <c r="L4439" s="8" t="str">
        <f ca="1">IFERROR(__xludf.DUMMYFUNCTION("GOOGLEFINANCE(""NSE:""&amp;D4439,""price"")"),"#N/A")</f>
        <v>#N/A</v>
      </c>
      <c r="M4439" s="9" t="e">
        <f t="shared" ca="1" si="87"/>
        <v>#VALUE!</v>
      </c>
      <c r="N4439" s="10" t="e">
        <f t="shared" ca="1" si="88"/>
        <v>#VALUE!</v>
      </c>
      <c r="O4439" s="7" t="str">
        <f ca="1">IFERROR(__xludf.DUMMYFUNCTION("GOOGLEFINANCE(""NSE:""&amp;D4439,""pe"")"),"#N/A")</f>
        <v>#N/A</v>
      </c>
      <c r="P4439" s="7" t="str">
        <f ca="1">IFERROR(__xludf.DUMMYFUNCTION("GOOGLEFINANCE(""NSE:""&amp;D4439,""EPS"")"),"#N/A")</f>
        <v>#N/A</v>
      </c>
      <c r="Q4439" s="7">
        <v>13.5</v>
      </c>
      <c r="R4439" s="7" t="str">
        <f ca="1">IFERROR(__xludf.DUMMYFUNCTION("IMPORTXML(E4439,""/html/body/main/div[3]/div[3]/div[2]/ul/li[7]/span[2]/span"")"),"Loading...")</f>
        <v>Loading...</v>
      </c>
      <c r="S4439" s="7" t="str">
        <f ca="1">IFERROR(__xludf.DUMMYFUNCTION("IMPORTXML(E4439,""/html/body/main/div[3]/div[3]/div[2]/ul/li[8]/span[2]/span"")"),"Loading...")</f>
        <v>Loading...</v>
      </c>
      <c r="T4439" s="4">
        <v>34.6</v>
      </c>
      <c r="U4439" s="4">
        <v>22.7</v>
      </c>
      <c r="V4439" s="4">
        <v>2.6</v>
      </c>
      <c r="W4439" s="4">
        <v>5.7</v>
      </c>
      <c r="X4439" s="4">
        <v>519.92999999999995</v>
      </c>
      <c r="Y4439" s="7" t="e">
        <f t="shared" ca="1" si="89"/>
        <v>#VALUE!</v>
      </c>
    </row>
    <row r="4440" spans="1:25" ht="15" x14ac:dyDescent="0.25">
      <c r="A4440" s="4">
        <v>4439</v>
      </c>
      <c r="C4440" s="41" t="s">
        <v>6815</v>
      </c>
      <c r="D4440" s="42"/>
      <c r="E4440" s="5" t="str">
        <f t="shared" si="85"/>
        <v>https://www.screener.in/company//consolidated/</v>
      </c>
      <c r="F4440" s="4">
        <v>443059</v>
      </c>
      <c r="G4440" s="4">
        <v>3832241897</v>
      </c>
      <c r="H4440" s="6" t="e">
        <f t="shared" ca="1" si="86"/>
        <v>#VALUE!</v>
      </c>
      <c r="I4440" s="7" t="str">
        <f ca="1">IFERROR(__xludf.DUMMYFUNCTION("IMPORTXML(E4440,""/html/body/main/div[3]/div[3]/div[2]/ul/li[5]/span[2]/span"")"),"Loading...")</f>
        <v>Loading...</v>
      </c>
      <c r="J4440" s="7" t="str">
        <f ca="1">IFERROR(__xludf.DUMMYFUNCTION("GOOGLEFINANCE(""NSE:""&amp;D4440,""marketcap"")"),"#N/A")</f>
        <v>#N/A</v>
      </c>
      <c r="K4440" s="7">
        <v>992.8</v>
      </c>
      <c r="L4440" s="8" t="str">
        <f ca="1">IFERROR(__xludf.DUMMYFUNCTION("GOOGLEFINANCE(""NSE:""&amp;D4440,""price"")"),"#N/A")</f>
        <v>#N/A</v>
      </c>
      <c r="M4440" s="9" t="e">
        <f t="shared" ca="1" si="87"/>
        <v>#VALUE!</v>
      </c>
      <c r="N4440" s="10" t="e">
        <f t="shared" ca="1" si="88"/>
        <v>#VALUE!</v>
      </c>
      <c r="O4440" s="7" t="str">
        <f ca="1">IFERROR(__xludf.DUMMYFUNCTION("GOOGLEFINANCE(""NSE:""&amp;D4440,""pe"")"),"#N/A")</f>
        <v>#N/A</v>
      </c>
      <c r="P4440" s="7" t="str">
        <f ca="1">IFERROR(__xludf.DUMMYFUNCTION("GOOGLEFINANCE(""NSE:""&amp;D4440,""EPS"")"),"#N/A")</f>
        <v>#N/A</v>
      </c>
      <c r="Q4440" s="7">
        <v>13.5</v>
      </c>
      <c r="R4440" s="7" t="str">
        <f ca="1">IFERROR(__xludf.DUMMYFUNCTION("IMPORTXML(E4440,""/html/body/main/div[3]/div[3]/div[2]/ul/li[7]/span[2]/span"")"),"Loading...")</f>
        <v>Loading...</v>
      </c>
      <c r="S4440" s="7" t="str">
        <f ca="1">IFERROR(__xludf.DUMMYFUNCTION("IMPORTXML(E4440,""/html/body/main/div[3]/div[3]/div[2]/ul/li[8]/span[2]/span"")"),"Loading...")</f>
        <v>Loading...</v>
      </c>
      <c r="T4440" s="4">
        <v>34.6</v>
      </c>
      <c r="U4440" s="4">
        <v>22.7</v>
      </c>
      <c r="V4440" s="4">
        <v>2.6</v>
      </c>
      <c r="W4440" s="4">
        <v>5.7</v>
      </c>
      <c r="X4440" s="4">
        <v>519.92999999999995</v>
      </c>
      <c r="Y4440" s="7" t="e">
        <f t="shared" ca="1" si="89"/>
        <v>#VALUE!</v>
      </c>
    </row>
    <row r="4441" spans="1:25" ht="15" x14ac:dyDescent="0.25">
      <c r="A4441" s="4">
        <v>4440</v>
      </c>
      <c r="C4441" s="41" t="s">
        <v>6816</v>
      </c>
      <c r="D4441" s="42"/>
      <c r="E4441" s="5" t="str">
        <f t="shared" si="85"/>
        <v>https://www.screener.in/company//consolidated/</v>
      </c>
      <c r="F4441" s="4">
        <v>443059</v>
      </c>
      <c r="G4441" s="4">
        <v>3832241897</v>
      </c>
      <c r="H4441" s="6" t="e">
        <f t="shared" ca="1" si="86"/>
        <v>#VALUE!</v>
      </c>
      <c r="I4441" s="7" t="str">
        <f ca="1">IFERROR(__xludf.DUMMYFUNCTION("IMPORTXML(E4441,""/html/body/main/div[3]/div[3]/div[2]/ul/li[5]/span[2]/span"")"),"Loading...")</f>
        <v>Loading...</v>
      </c>
      <c r="J4441" s="7" t="str">
        <f ca="1">IFERROR(__xludf.DUMMYFUNCTION("GOOGLEFINANCE(""NSE:""&amp;D4441,""marketcap"")"),"#N/A")</f>
        <v>#N/A</v>
      </c>
      <c r="K4441" s="7">
        <v>992.8</v>
      </c>
      <c r="L4441" s="8" t="str">
        <f ca="1">IFERROR(__xludf.DUMMYFUNCTION("GOOGLEFINANCE(""NSE:""&amp;D4441,""price"")"),"#N/A")</f>
        <v>#N/A</v>
      </c>
      <c r="M4441" s="9" t="e">
        <f t="shared" ca="1" si="87"/>
        <v>#VALUE!</v>
      </c>
      <c r="N4441" s="10" t="e">
        <f t="shared" ca="1" si="88"/>
        <v>#VALUE!</v>
      </c>
      <c r="O4441" s="7" t="str">
        <f ca="1">IFERROR(__xludf.DUMMYFUNCTION("GOOGLEFINANCE(""NSE:""&amp;D4441,""pe"")"),"#N/A")</f>
        <v>#N/A</v>
      </c>
      <c r="P4441" s="7" t="str">
        <f ca="1">IFERROR(__xludf.DUMMYFUNCTION("GOOGLEFINANCE(""NSE:""&amp;D4441,""EPS"")"),"#N/A")</f>
        <v>#N/A</v>
      </c>
      <c r="Q4441" s="7">
        <v>13.5</v>
      </c>
      <c r="R4441" s="7" t="str">
        <f ca="1">IFERROR(__xludf.DUMMYFUNCTION("IMPORTXML(E4441,""/html/body/main/div[3]/div[3]/div[2]/ul/li[7]/span[2]/span"")"),"Loading...")</f>
        <v>Loading...</v>
      </c>
      <c r="S4441" s="7" t="str">
        <f ca="1">IFERROR(__xludf.DUMMYFUNCTION("IMPORTXML(E4441,""/html/body/main/div[3]/div[3]/div[2]/ul/li[8]/span[2]/span"")"),"Loading...")</f>
        <v>Loading...</v>
      </c>
      <c r="T4441" s="4">
        <v>34.6</v>
      </c>
      <c r="U4441" s="4">
        <v>22.7</v>
      </c>
      <c r="V4441" s="4">
        <v>2.6</v>
      </c>
      <c r="W4441" s="4">
        <v>5.7</v>
      </c>
      <c r="X4441" s="4">
        <v>519.92999999999995</v>
      </c>
      <c r="Y4441" s="7" t="e">
        <f t="shared" ca="1" si="89"/>
        <v>#VALUE!</v>
      </c>
    </row>
    <row r="4442" spans="1:25" ht="15" x14ac:dyDescent="0.25">
      <c r="A4442" s="4">
        <v>4441</v>
      </c>
      <c r="C4442" s="41" t="s">
        <v>6817</v>
      </c>
      <c r="D4442" s="42"/>
      <c r="E4442" s="5" t="str">
        <f t="shared" si="85"/>
        <v>https://www.screener.in/company//consolidated/</v>
      </c>
      <c r="F4442" s="4">
        <v>443059</v>
      </c>
      <c r="G4442" s="4">
        <v>3832241897</v>
      </c>
      <c r="H4442" s="6" t="e">
        <f t="shared" ca="1" si="86"/>
        <v>#VALUE!</v>
      </c>
      <c r="I4442" s="7" t="str">
        <f ca="1">IFERROR(__xludf.DUMMYFUNCTION("IMPORTXML(E4442,""/html/body/main/div[3]/div[3]/div[2]/ul/li[5]/span[2]/span"")"),"Loading...")</f>
        <v>Loading...</v>
      </c>
      <c r="J4442" s="7" t="str">
        <f ca="1">IFERROR(__xludf.DUMMYFUNCTION("GOOGLEFINANCE(""NSE:""&amp;D4442,""marketcap"")"),"#N/A")</f>
        <v>#N/A</v>
      </c>
      <c r="K4442" s="7">
        <v>992.8</v>
      </c>
      <c r="L4442" s="8" t="str">
        <f ca="1">IFERROR(__xludf.DUMMYFUNCTION("GOOGLEFINANCE(""NSE:""&amp;D4442,""price"")"),"#N/A")</f>
        <v>#N/A</v>
      </c>
      <c r="M4442" s="9" t="e">
        <f t="shared" ca="1" si="87"/>
        <v>#VALUE!</v>
      </c>
      <c r="N4442" s="10" t="e">
        <f t="shared" ca="1" si="88"/>
        <v>#VALUE!</v>
      </c>
      <c r="O4442" s="7" t="str">
        <f ca="1">IFERROR(__xludf.DUMMYFUNCTION("GOOGLEFINANCE(""NSE:""&amp;D4442,""pe"")"),"#N/A")</f>
        <v>#N/A</v>
      </c>
      <c r="P4442" s="7" t="str">
        <f ca="1">IFERROR(__xludf.DUMMYFUNCTION("GOOGLEFINANCE(""NSE:""&amp;D4442,""EPS"")"),"#N/A")</f>
        <v>#N/A</v>
      </c>
      <c r="Q4442" s="7">
        <v>13.5</v>
      </c>
      <c r="R4442" s="7" t="str">
        <f ca="1">IFERROR(__xludf.DUMMYFUNCTION("IMPORTXML(E4442,""/html/body/main/div[3]/div[3]/div[2]/ul/li[7]/span[2]/span"")"),"Loading...")</f>
        <v>Loading...</v>
      </c>
      <c r="S4442" s="7" t="str">
        <f ca="1">IFERROR(__xludf.DUMMYFUNCTION("IMPORTXML(E4442,""/html/body/main/div[3]/div[3]/div[2]/ul/li[8]/span[2]/span"")"),"Loading...")</f>
        <v>Loading...</v>
      </c>
      <c r="T4442" s="4">
        <v>34.6</v>
      </c>
      <c r="U4442" s="4">
        <v>22.7</v>
      </c>
      <c r="V4442" s="4">
        <v>2.6</v>
      </c>
      <c r="W4442" s="4">
        <v>5.7</v>
      </c>
      <c r="X4442" s="4">
        <v>519.92999999999995</v>
      </c>
      <c r="Y4442" s="7" t="e">
        <f t="shared" ca="1" si="89"/>
        <v>#VALUE!</v>
      </c>
    </row>
    <row r="4443" spans="1:25" ht="15" x14ac:dyDescent="0.25">
      <c r="A4443" s="4">
        <v>4442</v>
      </c>
      <c r="C4443" s="41" t="s">
        <v>6818</v>
      </c>
      <c r="D4443" s="42"/>
      <c r="E4443" s="5" t="str">
        <f t="shared" si="85"/>
        <v>https://www.screener.in/company//consolidated/</v>
      </c>
      <c r="F4443" s="4">
        <v>443059</v>
      </c>
      <c r="G4443" s="4">
        <v>3832241897</v>
      </c>
      <c r="H4443" s="6" t="e">
        <f t="shared" ca="1" si="86"/>
        <v>#VALUE!</v>
      </c>
      <c r="I4443" s="7" t="str">
        <f ca="1">IFERROR(__xludf.DUMMYFUNCTION("IMPORTXML(E4443,""/html/body/main/div[3]/div[3]/div[2]/ul/li[5]/span[2]/span"")"),"Loading...")</f>
        <v>Loading...</v>
      </c>
      <c r="J4443" s="7" t="str">
        <f ca="1">IFERROR(__xludf.DUMMYFUNCTION("GOOGLEFINANCE(""NSE:""&amp;D4443,""marketcap"")"),"#N/A")</f>
        <v>#N/A</v>
      </c>
      <c r="K4443" s="7">
        <v>992.8</v>
      </c>
      <c r="L4443" s="8" t="str">
        <f ca="1">IFERROR(__xludf.DUMMYFUNCTION("GOOGLEFINANCE(""NSE:""&amp;D4443,""price"")"),"#N/A")</f>
        <v>#N/A</v>
      </c>
      <c r="M4443" s="9" t="e">
        <f t="shared" ca="1" si="87"/>
        <v>#VALUE!</v>
      </c>
      <c r="N4443" s="10" t="e">
        <f t="shared" ca="1" si="88"/>
        <v>#VALUE!</v>
      </c>
      <c r="O4443" s="7" t="str">
        <f ca="1">IFERROR(__xludf.DUMMYFUNCTION("GOOGLEFINANCE(""NSE:""&amp;D4443,""pe"")"),"#N/A")</f>
        <v>#N/A</v>
      </c>
      <c r="P4443" s="7" t="str">
        <f ca="1">IFERROR(__xludf.DUMMYFUNCTION("GOOGLEFINANCE(""NSE:""&amp;D4443,""EPS"")"),"#N/A")</f>
        <v>#N/A</v>
      </c>
      <c r="Q4443" s="7">
        <v>13.5</v>
      </c>
      <c r="R4443" s="7" t="str">
        <f ca="1">IFERROR(__xludf.DUMMYFUNCTION("IMPORTXML(E4443,""/html/body/main/div[3]/div[3]/div[2]/ul/li[7]/span[2]/span"")"),"Loading...")</f>
        <v>Loading...</v>
      </c>
      <c r="S4443" s="7" t="str">
        <f ca="1">IFERROR(__xludf.DUMMYFUNCTION("IMPORTXML(E4443,""/html/body/main/div[3]/div[3]/div[2]/ul/li[8]/span[2]/span"")"),"Loading...")</f>
        <v>Loading...</v>
      </c>
      <c r="T4443" s="4">
        <v>34.6</v>
      </c>
      <c r="U4443" s="4">
        <v>22.7</v>
      </c>
      <c r="V4443" s="4">
        <v>2.6</v>
      </c>
      <c r="W4443" s="4">
        <v>5.7</v>
      </c>
      <c r="X4443" s="4">
        <v>519.92999999999995</v>
      </c>
      <c r="Y4443" s="7" t="e">
        <f t="shared" ca="1" si="89"/>
        <v>#VALUE!</v>
      </c>
    </row>
    <row r="4444" spans="1:25" ht="15" x14ac:dyDescent="0.25">
      <c r="A4444" s="4">
        <v>4443</v>
      </c>
      <c r="C4444" s="41" t="s">
        <v>6819</v>
      </c>
      <c r="D4444" s="42"/>
      <c r="E4444" s="5" t="str">
        <f t="shared" si="85"/>
        <v>https://www.screener.in/company//consolidated/</v>
      </c>
      <c r="F4444" s="4">
        <v>443059</v>
      </c>
      <c r="G4444" s="4">
        <v>3832241897</v>
      </c>
      <c r="H4444" s="6" t="e">
        <f t="shared" ca="1" si="86"/>
        <v>#VALUE!</v>
      </c>
      <c r="I4444" s="7" t="str">
        <f ca="1">IFERROR(__xludf.DUMMYFUNCTION("IMPORTXML(E4444,""/html/body/main/div[3]/div[3]/div[2]/ul/li[5]/span[2]/span"")"),"Loading...")</f>
        <v>Loading...</v>
      </c>
      <c r="J4444" s="7" t="str">
        <f ca="1">IFERROR(__xludf.DUMMYFUNCTION("GOOGLEFINANCE(""NSE:""&amp;D4444,""marketcap"")"),"#N/A")</f>
        <v>#N/A</v>
      </c>
      <c r="K4444" s="7">
        <v>992.8</v>
      </c>
      <c r="L4444" s="8" t="str">
        <f ca="1">IFERROR(__xludf.DUMMYFUNCTION("GOOGLEFINANCE(""NSE:""&amp;D4444,""price"")"),"#N/A")</f>
        <v>#N/A</v>
      </c>
      <c r="M4444" s="9" t="e">
        <f t="shared" ca="1" si="87"/>
        <v>#VALUE!</v>
      </c>
      <c r="N4444" s="10" t="e">
        <f t="shared" ca="1" si="88"/>
        <v>#VALUE!</v>
      </c>
      <c r="O4444" s="7" t="str">
        <f ca="1">IFERROR(__xludf.DUMMYFUNCTION("GOOGLEFINANCE(""NSE:""&amp;D4444,""pe"")"),"#N/A")</f>
        <v>#N/A</v>
      </c>
      <c r="P4444" s="7" t="str">
        <f ca="1">IFERROR(__xludf.DUMMYFUNCTION("GOOGLEFINANCE(""NSE:""&amp;D4444,""EPS"")"),"#N/A")</f>
        <v>#N/A</v>
      </c>
      <c r="Q4444" s="7">
        <v>13.5</v>
      </c>
      <c r="R4444" s="7" t="str">
        <f ca="1">IFERROR(__xludf.DUMMYFUNCTION("IMPORTXML(E4444,""/html/body/main/div[3]/div[3]/div[2]/ul/li[7]/span[2]/span"")"),"Loading...")</f>
        <v>Loading...</v>
      </c>
      <c r="S4444" s="7" t="str">
        <f ca="1">IFERROR(__xludf.DUMMYFUNCTION("IMPORTXML(E4444,""/html/body/main/div[3]/div[3]/div[2]/ul/li[8]/span[2]/span"")"),"Loading...")</f>
        <v>Loading...</v>
      </c>
      <c r="T4444" s="4">
        <v>34.6</v>
      </c>
      <c r="U4444" s="4">
        <v>22.7</v>
      </c>
      <c r="V4444" s="4">
        <v>2.6</v>
      </c>
      <c r="W4444" s="4">
        <v>5.7</v>
      </c>
      <c r="X4444" s="4">
        <v>519.92999999999995</v>
      </c>
      <c r="Y4444" s="7" t="e">
        <f t="shared" ca="1" si="89"/>
        <v>#VALUE!</v>
      </c>
    </row>
    <row r="4445" spans="1:25" ht="15" x14ac:dyDescent="0.25">
      <c r="A4445" s="4">
        <v>4444</v>
      </c>
      <c r="C4445" s="41" t="s">
        <v>6820</v>
      </c>
      <c r="D4445" s="42"/>
      <c r="E4445" s="5" t="str">
        <f t="shared" si="85"/>
        <v>https://www.screener.in/company//consolidated/</v>
      </c>
      <c r="F4445" s="4">
        <v>443059</v>
      </c>
      <c r="G4445" s="4">
        <v>3832241897</v>
      </c>
      <c r="H4445" s="6" t="e">
        <f t="shared" ca="1" si="86"/>
        <v>#VALUE!</v>
      </c>
      <c r="I4445" s="7" t="str">
        <f ca="1">IFERROR(__xludf.DUMMYFUNCTION("IMPORTXML(E4445,""/html/body/main/div[3]/div[3]/div[2]/ul/li[5]/span[2]/span"")"),"Loading...")</f>
        <v>Loading...</v>
      </c>
      <c r="J4445" s="7" t="str">
        <f ca="1">IFERROR(__xludf.DUMMYFUNCTION("GOOGLEFINANCE(""NSE:""&amp;D4445,""marketcap"")"),"#N/A")</f>
        <v>#N/A</v>
      </c>
      <c r="K4445" s="7">
        <v>992.8</v>
      </c>
      <c r="L4445" s="8" t="str">
        <f ca="1">IFERROR(__xludf.DUMMYFUNCTION("GOOGLEFINANCE(""NSE:""&amp;D4445,""price"")"),"#N/A")</f>
        <v>#N/A</v>
      </c>
      <c r="M4445" s="9" t="e">
        <f t="shared" ca="1" si="87"/>
        <v>#VALUE!</v>
      </c>
      <c r="N4445" s="10" t="e">
        <f t="shared" ca="1" si="88"/>
        <v>#VALUE!</v>
      </c>
      <c r="O4445" s="7" t="str">
        <f ca="1">IFERROR(__xludf.DUMMYFUNCTION("GOOGLEFINANCE(""NSE:""&amp;D4445,""pe"")"),"#N/A")</f>
        <v>#N/A</v>
      </c>
      <c r="P4445" s="7" t="str">
        <f ca="1">IFERROR(__xludf.DUMMYFUNCTION("GOOGLEFINANCE(""NSE:""&amp;D4445,""EPS"")"),"#N/A")</f>
        <v>#N/A</v>
      </c>
      <c r="Q4445" s="7">
        <v>13.5</v>
      </c>
      <c r="R4445" s="7" t="str">
        <f ca="1">IFERROR(__xludf.DUMMYFUNCTION("IMPORTXML(E4445,""/html/body/main/div[3]/div[3]/div[2]/ul/li[7]/span[2]/span"")"),"Loading...")</f>
        <v>Loading...</v>
      </c>
      <c r="S4445" s="7" t="str">
        <f ca="1">IFERROR(__xludf.DUMMYFUNCTION("IMPORTXML(E4445,""/html/body/main/div[3]/div[3]/div[2]/ul/li[8]/span[2]/span"")"),"Loading...")</f>
        <v>Loading...</v>
      </c>
      <c r="T4445" s="4">
        <v>34.6</v>
      </c>
      <c r="U4445" s="4">
        <v>22.7</v>
      </c>
      <c r="V4445" s="4">
        <v>2.6</v>
      </c>
      <c r="W4445" s="4">
        <v>5.7</v>
      </c>
      <c r="X4445" s="4">
        <v>519.92999999999995</v>
      </c>
      <c r="Y4445" s="7" t="e">
        <f t="shared" ca="1" si="89"/>
        <v>#VALUE!</v>
      </c>
    </row>
    <row r="4446" spans="1:25" ht="15" x14ac:dyDescent="0.25">
      <c r="A4446" s="4">
        <v>4445</v>
      </c>
      <c r="C4446" s="41" t="s">
        <v>6821</v>
      </c>
      <c r="D4446" s="42"/>
      <c r="E4446" s="5" t="str">
        <f t="shared" si="85"/>
        <v>https://www.screener.in/company//consolidated/</v>
      </c>
      <c r="F4446" s="4">
        <v>443059</v>
      </c>
      <c r="G4446" s="4">
        <v>3832241897</v>
      </c>
      <c r="H4446" s="6" t="e">
        <f t="shared" ca="1" si="86"/>
        <v>#VALUE!</v>
      </c>
      <c r="I4446" s="7" t="str">
        <f ca="1">IFERROR(__xludf.DUMMYFUNCTION("IMPORTXML(E4446,""/html/body/main/div[3]/div[3]/div[2]/ul/li[5]/span[2]/span"")"),"Loading...")</f>
        <v>Loading...</v>
      </c>
      <c r="J4446" s="7" t="str">
        <f ca="1">IFERROR(__xludf.DUMMYFUNCTION("GOOGLEFINANCE(""NSE:""&amp;D4446,""marketcap"")"),"#N/A")</f>
        <v>#N/A</v>
      </c>
      <c r="K4446" s="7">
        <v>992.8</v>
      </c>
      <c r="L4446" s="8" t="str">
        <f ca="1">IFERROR(__xludf.DUMMYFUNCTION("GOOGLEFINANCE(""NSE:""&amp;D4446,""price"")"),"#N/A")</f>
        <v>#N/A</v>
      </c>
      <c r="M4446" s="9" t="e">
        <f t="shared" ca="1" si="87"/>
        <v>#VALUE!</v>
      </c>
      <c r="N4446" s="10" t="e">
        <f t="shared" ca="1" si="88"/>
        <v>#VALUE!</v>
      </c>
      <c r="O4446" s="7" t="str">
        <f ca="1">IFERROR(__xludf.DUMMYFUNCTION("GOOGLEFINANCE(""NSE:""&amp;D4446,""pe"")"),"#N/A")</f>
        <v>#N/A</v>
      </c>
      <c r="P4446" s="7" t="str">
        <f ca="1">IFERROR(__xludf.DUMMYFUNCTION("GOOGLEFINANCE(""NSE:""&amp;D4446,""EPS"")"),"#N/A")</f>
        <v>#N/A</v>
      </c>
      <c r="Q4446" s="7">
        <v>13.5</v>
      </c>
      <c r="R4446" s="7" t="str">
        <f ca="1">IFERROR(__xludf.DUMMYFUNCTION("IMPORTXML(E4446,""/html/body/main/div[3]/div[3]/div[2]/ul/li[7]/span[2]/span"")"),"Loading...")</f>
        <v>Loading...</v>
      </c>
      <c r="S4446" s="7" t="str">
        <f ca="1">IFERROR(__xludf.DUMMYFUNCTION("IMPORTXML(E4446,""/html/body/main/div[3]/div[3]/div[2]/ul/li[8]/span[2]/span"")"),"Loading...")</f>
        <v>Loading...</v>
      </c>
      <c r="T4446" s="4">
        <v>34.6</v>
      </c>
      <c r="U4446" s="4">
        <v>22.7</v>
      </c>
      <c r="V4446" s="4">
        <v>2.6</v>
      </c>
      <c r="W4446" s="4">
        <v>5.7</v>
      </c>
      <c r="X4446" s="4">
        <v>519.92999999999995</v>
      </c>
      <c r="Y4446" s="7" t="e">
        <f t="shared" ca="1" si="89"/>
        <v>#VALUE!</v>
      </c>
    </row>
    <row r="4447" spans="1:25" ht="15" x14ac:dyDescent="0.25">
      <c r="A4447" s="4">
        <v>4446</v>
      </c>
      <c r="C4447" s="41" t="s">
        <v>6822</v>
      </c>
      <c r="D4447" s="42"/>
      <c r="E4447" s="5" t="str">
        <f t="shared" si="85"/>
        <v>https://www.screener.in/company//consolidated/</v>
      </c>
      <c r="F4447" s="4">
        <v>443059</v>
      </c>
      <c r="G4447" s="4">
        <v>3832241897</v>
      </c>
      <c r="H4447" s="6" t="e">
        <f t="shared" ca="1" si="86"/>
        <v>#VALUE!</v>
      </c>
      <c r="I4447" s="7" t="str">
        <f ca="1">IFERROR(__xludf.DUMMYFUNCTION("IMPORTXML(E4447,""/html/body/main/div[3]/div[3]/div[2]/ul/li[5]/span[2]/span"")"),"Loading...")</f>
        <v>Loading...</v>
      </c>
      <c r="J4447" s="7" t="str">
        <f ca="1">IFERROR(__xludf.DUMMYFUNCTION("GOOGLEFINANCE(""NSE:""&amp;D4447,""marketcap"")"),"#N/A")</f>
        <v>#N/A</v>
      </c>
      <c r="K4447" s="7">
        <v>992.8</v>
      </c>
      <c r="L4447" s="8" t="str">
        <f ca="1">IFERROR(__xludf.DUMMYFUNCTION("GOOGLEFINANCE(""NSE:""&amp;D4447,""price"")"),"#N/A")</f>
        <v>#N/A</v>
      </c>
      <c r="M4447" s="9" t="e">
        <f t="shared" ca="1" si="87"/>
        <v>#VALUE!</v>
      </c>
      <c r="N4447" s="10" t="e">
        <f t="shared" ca="1" si="88"/>
        <v>#VALUE!</v>
      </c>
      <c r="O4447" s="7" t="str">
        <f ca="1">IFERROR(__xludf.DUMMYFUNCTION("GOOGLEFINANCE(""NSE:""&amp;D4447,""pe"")"),"#N/A")</f>
        <v>#N/A</v>
      </c>
      <c r="P4447" s="7" t="str">
        <f ca="1">IFERROR(__xludf.DUMMYFUNCTION("GOOGLEFINANCE(""NSE:""&amp;D4447,""EPS"")"),"#N/A")</f>
        <v>#N/A</v>
      </c>
      <c r="Q4447" s="7">
        <v>13.5</v>
      </c>
      <c r="R4447" s="7" t="str">
        <f ca="1">IFERROR(__xludf.DUMMYFUNCTION("IMPORTXML(E4447,""/html/body/main/div[3]/div[3]/div[2]/ul/li[7]/span[2]/span"")"),"Loading...")</f>
        <v>Loading...</v>
      </c>
      <c r="S4447" s="7" t="str">
        <f ca="1">IFERROR(__xludf.DUMMYFUNCTION("IMPORTXML(E4447,""/html/body/main/div[3]/div[3]/div[2]/ul/li[8]/span[2]/span"")"),"Loading...")</f>
        <v>Loading...</v>
      </c>
      <c r="T4447" s="4">
        <v>34.6</v>
      </c>
      <c r="U4447" s="4">
        <v>22.7</v>
      </c>
      <c r="V4447" s="4">
        <v>2.6</v>
      </c>
      <c r="W4447" s="4">
        <v>5.7</v>
      </c>
      <c r="X4447" s="4">
        <v>519.92999999999995</v>
      </c>
      <c r="Y4447" s="7" t="e">
        <f t="shared" ca="1" si="89"/>
        <v>#VALUE!</v>
      </c>
    </row>
    <row r="4448" spans="1:25" ht="15" x14ac:dyDescent="0.25">
      <c r="A4448" s="4">
        <v>4447</v>
      </c>
      <c r="C4448" s="41" t="s">
        <v>6823</v>
      </c>
      <c r="D4448" s="42"/>
      <c r="E4448" s="5" t="str">
        <f t="shared" si="85"/>
        <v>https://www.screener.in/company//consolidated/</v>
      </c>
      <c r="F4448" s="4">
        <v>443059</v>
      </c>
      <c r="G4448" s="4">
        <v>3832241897</v>
      </c>
      <c r="H4448" s="6" t="e">
        <f t="shared" ca="1" si="86"/>
        <v>#VALUE!</v>
      </c>
      <c r="I4448" s="7" t="str">
        <f ca="1">IFERROR(__xludf.DUMMYFUNCTION("IMPORTXML(E4448,""/html/body/main/div[3]/div[3]/div[2]/ul/li[5]/span[2]/span"")"),"Loading...")</f>
        <v>Loading...</v>
      </c>
      <c r="J4448" s="7" t="str">
        <f ca="1">IFERROR(__xludf.DUMMYFUNCTION("GOOGLEFINANCE(""NSE:""&amp;D4448,""marketcap"")"),"#N/A")</f>
        <v>#N/A</v>
      </c>
      <c r="K4448" s="7">
        <v>992.8</v>
      </c>
      <c r="L4448" s="8" t="str">
        <f ca="1">IFERROR(__xludf.DUMMYFUNCTION("GOOGLEFINANCE(""NSE:""&amp;D4448,""price"")"),"#N/A")</f>
        <v>#N/A</v>
      </c>
      <c r="M4448" s="9" t="e">
        <f t="shared" ca="1" si="87"/>
        <v>#VALUE!</v>
      </c>
      <c r="N4448" s="10" t="e">
        <f t="shared" ca="1" si="88"/>
        <v>#VALUE!</v>
      </c>
      <c r="O4448" s="7" t="str">
        <f ca="1">IFERROR(__xludf.DUMMYFUNCTION("GOOGLEFINANCE(""NSE:""&amp;D4448,""pe"")"),"#N/A")</f>
        <v>#N/A</v>
      </c>
      <c r="P4448" s="7" t="str">
        <f ca="1">IFERROR(__xludf.DUMMYFUNCTION("GOOGLEFINANCE(""NSE:""&amp;D4448,""EPS"")"),"#N/A")</f>
        <v>#N/A</v>
      </c>
      <c r="Q4448" s="7">
        <v>13.5</v>
      </c>
      <c r="R4448" s="7" t="str">
        <f ca="1">IFERROR(__xludf.DUMMYFUNCTION("IMPORTXML(E4448,""/html/body/main/div[3]/div[3]/div[2]/ul/li[7]/span[2]/span"")"),"Loading...")</f>
        <v>Loading...</v>
      </c>
      <c r="S4448" s="7" t="str">
        <f ca="1">IFERROR(__xludf.DUMMYFUNCTION("IMPORTXML(E4448,""/html/body/main/div[3]/div[3]/div[2]/ul/li[8]/span[2]/span"")"),"Loading...")</f>
        <v>Loading...</v>
      </c>
      <c r="T4448" s="4">
        <v>34.6</v>
      </c>
      <c r="U4448" s="4">
        <v>22.7</v>
      </c>
      <c r="V4448" s="4">
        <v>2.6</v>
      </c>
      <c r="W4448" s="4">
        <v>5.7</v>
      </c>
      <c r="X4448" s="4">
        <v>519.92999999999995</v>
      </c>
      <c r="Y4448" s="7" t="e">
        <f t="shared" ca="1" si="89"/>
        <v>#VALUE!</v>
      </c>
    </row>
    <row r="4449" spans="1:25" ht="15" x14ac:dyDescent="0.25">
      <c r="A4449" s="4">
        <v>4448</v>
      </c>
      <c r="C4449" s="12" t="s">
        <v>6824</v>
      </c>
      <c r="D4449" s="12" t="s">
        <v>6825</v>
      </c>
      <c r="E4449" s="5" t="str">
        <f t="shared" si="85"/>
        <v>https://www.screener.in/company/GANGOTRI/consolidated/</v>
      </c>
      <c r="F4449" s="4">
        <v>443059</v>
      </c>
      <c r="G4449" s="4">
        <v>3832241897</v>
      </c>
      <c r="H4449" s="6">
        <f t="shared" ca="1" si="86"/>
        <v>241.431239511</v>
      </c>
      <c r="I4449" s="7" t="str">
        <f ca="1">IFERROR(__xludf.DUMMYFUNCTION("IMPORTXML(E4449,""/html/body/main/div[3]/div[3]/div[2]/ul/li[5]/span[2]/span"")"),"Loading...")</f>
        <v>Loading...</v>
      </c>
      <c r="J4449" s="7">
        <f ca="1">IFERROR(__xludf.DUMMYFUNCTION("GOOGLEFINANCE(""NSE:""&amp;D4449,""marketcap"")"),19900452)</f>
        <v>19900452</v>
      </c>
      <c r="K4449" s="7">
        <v>992.8</v>
      </c>
      <c r="L4449" s="8">
        <f ca="1">IFERROR(__xludf.DUMMYFUNCTION("GOOGLEFINANCE(""NSE:""&amp;D4449,""price"")"),0.63)</f>
        <v>0.63</v>
      </c>
      <c r="M4449" s="9">
        <f t="shared" ca="1" si="87"/>
        <v>-992.17</v>
      </c>
      <c r="N4449" s="10">
        <f t="shared" ca="1" si="88"/>
        <v>-99.936543110394851</v>
      </c>
      <c r="O4449" s="7" t="str">
        <f ca="1">IFERROR(__xludf.DUMMYFUNCTION("GOOGLEFINANCE(""NSE:""&amp;D4449,""pe"")"),"#N/A")</f>
        <v>#N/A</v>
      </c>
      <c r="P4449" s="7">
        <f ca="1">IFERROR(__xludf.DUMMYFUNCTION("GOOGLEFINANCE(""NSE:""&amp;D4449,""EPS"")"),-0.02)</f>
        <v>-0.02</v>
      </c>
      <c r="Q4449" s="7">
        <v>13.5</v>
      </c>
      <c r="R4449" s="7" t="str">
        <f ca="1">IFERROR(__xludf.DUMMYFUNCTION("IMPORTXML(E4449,""/html/body/main/div[3]/div[3]/div[2]/ul/li[7]/span[2]/span"")"),"Loading...")</f>
        <v>Loading...</v>
      </c>
      <c r="S4449" s="7" t="str">
        <f ca="1">IFERROR(__xludf.DUMMYFUNCTION("IMPORTXML(E4449,""/html/body/main/div[3]/div[3]/div[2]/ul/li[8]/span[2]/span"")"),"Loading...")</f>
        <v>Loading...</v>
      </c>
      <c r="T4449" s="4">
        <v>34.6</v>
      </c>
      <c r="U4449" s="4">
        <v>22.7</v>
      </c>
      <c r="V4449" s="4">
        <v>2.6</v>
      </c>
      <c r="W4449" s="4">
        <v>5.7</v>
      </c>
      <c r="X4449" s="4">
        <v>519.92999999999995</v>
      </c>
      <c r="Y4449" s="7">
        <f t="shared" ca="1" si="89"/>
        <v>-519.29999999999995</v>
      </c>
    </row>
    <row r="4450" spans="1:25" ht="15" x14ac:dyDescent="0.25">
      <c r="A4450" s="4">
        <v>4449</v>
      </c>
      <c r="C4450" s="41" t="s">
        <v>6826</v>
      </c>
      <c r="D4450" s="42"/>
      <c r="E4450" s="5" t="str">
        <f t="shared" si="85"/>
        <v>https://www.screener.in/company//consolidated/</v>
      </c>
      <c r="F4450" s="4">
        <v>443059</v>
      </c>
      <c r="G4450" s="4">
        <v>3832241897</v>
      </c>
      <c r="H4450" s="6" t="e">
        <f t="shared" ca="1" si="86"/>
        <v>#VALUE!</v>
      </c>
      <c r="I4450" s="7" t="str">
        <f ca="1">IFERROR(__xludf.DUMMYFUNCTION("IMPORTXML(E4450,""/html/body/main/div[3]/div[3]/div[2]/ul/li[5]/span[2]/span"")"),"Loading...")</f>
        <v>Loading...</v>
      </c>
      <c r="J4450" s="7" t="str">
        <f ca="1">IFERROR(__xludf.DUMMYFUNCTION("GOOGLEFINANCE(""NSE:""&amp;D4450,""marketcap"")"),"#N/A")</f>
        <v>#N/A</v>
      </c>
      <c r="K4450" s="7">
        <v>992.8</v>
      </c>
      <c r="L4450" s="8" t="str">
        <f ca="1">IFERROR(__xludf.DUMMYFUNCTION("GOOGLEFINANCE(""NSE:""&amp;D4450,""price"")"),"#N/A")</f>
        <v>#N/A</v>
      </c>
      <c r="M4450" s="9" t="e">
        <f t="shared" ca="1" si="87"/>
        <v>#VALUE!</v>
      </c>
      <c r="N4450" s="10" t="e">
        <f t="shared" ca="1" si="88"/>
        <v>#VALUE!</v>
      </c>
      <c r="O4450" s="7" t="str">
        <f ca="1">IFERROR(__xludf.DUMMYFUNCTION("GOOGLEFINANCE(""NSE:""&amp;D4450,""pe"")"),"#N/A")</f>
        <v>#N/A</v>
      </c>
      <c r="P4450" s="7" t="str">
        <f ca="1">IFERROR(__xludf.DUMMYFUNCTION("GOOGLEFINANCE(""NSE:""&amp;D4450,""EPS"")"),"#N/A")</f>
        <v>#N/A</v>
      </c>
      <c r="Q4450" s="7">
        <v>13.5</v>
      </c>
      <c r="R4450" s="7" t="str">
        <f ca="1">IFERROR(__xludf.DUMMYFUNCTION("IMPORTXML(E4450,""/html/body/main/div[3]/div[3]/div[2]/ul/li[7]/span[2]/span"")"),"Loading...")</f>
        <v>Loading...</v>
      </c>
      <c r="S4450" s="7" t="str">
        <f ca="1">IFERROR(__xludf.DUMMYFUNCTION("IMPORTXML(E4450,""/html/body/main/div[3]/div[3]/div[2]/ul/li[8]/span[2]/span"")"),"Loading...")</f>
        <v>Loading...</v>
      </c>
      <c r="T4450" s="4">
        <v>34.6</v>
      </c>
      <c r="U4450" s="4">
        <v>22.7</v>
      </c>
      <c r="V4450" s="4">
        <v>2.6</v>
      </c>
      <c r="W4450" s="4">
        <v>5.7</v>
      </c>
      <c r="X4450" s="4">
        <v>519.92999999999995</v>
      </c>
      <c r="Y4450" s="7" t="e">
        <f t="shared" ca="1" si="89"/>
        <v>#VALUE!</v>
      </c>
    </row>
    <row r="4451" spans="1:25" ht="15" x14ac:dyDescent="0.25">
      <c r="A4451" s="4">
        <v>4450</v>
      </c>
      <c r="C4451" s="41" t="s">
        <v>6827</v>
      </c>
      <c r="D4451" s="42"/>
      <c r="E4451" s="5" t="str">
        <f t="shared" si="85"/>
        <v>https://www.screener.in/company//consolidated/</v>
      </c>
      <c r="F4451" s="4">
        <v>443059</v>
      </c>
      <c r="G4451" s="4">
        <v>3832241897</v>
      </c>
      <c r="H4451" s="6" t="e">
        <f t="shared" ca="1" si="86"/>
        <v>#VALUE!</v>
      </c>
      <c r="I4451" s="7" t="str">
        <f ca="1">IFERROR(__xludf.DUMMYFUNCTION("IMPORTXML(E4451,""/html/body/main/div[3]/div[3]/div[2]/ul/li[5]/span[2]/span"")"),"Loading...")</f>
        <v>Loading...</v>
      </c>
      <c r="J4451" s="7" t="str">
        <f ca="1">IFERROR(__xludf.DUMMYFUNCTION("GOOGLEFINANCE(""NSE:""&amp;D4451,""marketcap"")"),"#N/A")</f>
        <v>#N/A</v>
      </c>
      <c r="K4451" s="7">
        <v>992.8</v>
      </c>
      <c r="L4451" s="8" t="str">
        <f ca="1">IFERROR(__xludf.DUMMYFUNCTION("GOOGLEFINANCE(""NSE:""&amp;D4451,""price"")"),"#N/A")</f>
        <v>#N/A</v>
      </c>
      <c r="M4451" s="9" t="e">
        <f t="shared" ca="1" si="87"/>
        <v>#VALUE!</v>
      </c>
      <c r="N4451" s="10" t="e">
        <f t="shared" ca="1" si="88"/>
        <v>#VALUE!</v>
      </c>
      <c r="O4451" s="7" t="str">
        <f ca="1">IFERROR(__xludf.DUMMYFUNCTION("GOOGLEFINANCE(""NSE:""&amp;D4451,""pe"")"),"#N/A")</f>
        <v>#N/A</v>
      </c>
      <c r="P4451" s="7" t="str">
        <f ca="1">IFERROR(__xludf.DUMMYFUNCTION("GOOGLEFINANCE(""NSE:""&amp;D4451,""EPS"")"),"#N/A")</f>
        <v>#N/A</v>
      </c>
      <c r="Q4451" s="7">
        <v>13.5</v>
      </c>
      <c r="R4451" s="7" t="str">
        <f ca="1">IFERROR(__xludf.DUMMYFUNCTION("IMPORTXML(E4451,""/html/body/main/div[3]/div[3]/div[2]/ul/li[7]/span[2]/span"")"),"Loading...")</f>
        <v>Loading...</v>
      </c>
      <c r="S4451" s="7" t="str">
        <f ca="1">IFERROR(__xludf.DUMMYFUNCTION("IMPORTXML(E4451,""/html/body/main/div[3]/div[3]/div[2]/ul/li[8]/span[2]/span"")"),"Loading...")</f>
        <v>Loading...</v>
      </c>
      <c r="T4451" s="4">
        <v>34.6</v>
      </c>
      <c r="U4451" s="4">
        <v>22.7</v>
      </c>
      <c r="V4451" s="4">
        <v>2.6</v>
      </c>
      <c r="W4451" s="4">
        <v>5.7</v>
      </c>
      <c r="X4451" s="4">
        <v>519.92999999999995</v>
      </c>
      <c r="Y4451" s="7" t="e">
        <f t="shared" ca="1" si="89"/>
        <v>#VALUE!</v>
      </c>
    </row>
    <row r="4452" spans="1:25" ht="15" x14ac:dyDescent="0.25">
      <c r="A4452" s="4">
        <v>4451</v>
      </c>
      <c r="C4452" s="41" t="s">
        <v>6828</v>
      </c>
      <c r="D4452" s="42"/>
      <c r="E4452" s="5" t="str">
        <f t="shared" si="85"/>
        <v>https://www.screener.in/company//consolidated/</v>
      </c>
      <c r="F4452" s="4">
        <v>443059</v>
      </c>
      <c r="G4452" s="4">
        <v>3832241897</v>
      </c>
      <c r="H4452" s="6" t="e">
        <f t="shared" ca="1" si="86"/>
        <v>#VALUE!</v>
      </c>
      <c r="I4452" s="7" t="str">
        <f ca="1">IFERROR(__xludf.DUMMYFUNCTION("IMPORTXML(E4452,""/html/body/main/div[3]/div[3]/div[2]/ul/li[5]/span[2]/span"")"),"Loading...")</f>
        <v>Loading...</v>
      </c>
      <c r="J4452" s="7" t="str">
        <f ca="1">IFERROR(__xludf.DUMMYFUNCTION("GOOGLEFINANCE(""NSE:""&amp;D4452,""marketcap"")"),"#N/A")</f>
        <v>#N/A</v>
      </c>
      <c r="K4452" s="7">
        <v>992.8</v>
      </c>
      <c r="L4452" s="8" t="str">
        <f ca="1">IFERROR(__xludf.DUMMYFUNCTION("GOOGLEFINANCE(""NSE:""&amp;D4452,""price"")"),"#N/A")</f>
        <v>#N/A</v>
      </c>
      <c r="M4452" s="9" t="e">
        <f t="shared" ca="1" si="87"/>
        <v>#VALUE!</v>
      </c>
      <c r="N4452" s="10" t="e">
        <f t="shared" ca="1" si="88"/>
        <v>#VALUE!</v>
      </c>
      <c r="O4452" s="7" t="str">
        <f ca="1">IFERROR(__xludf.DUMMYFUNCTION("GOOGLEFINANCE(""NSE:""&amp;D4452,""pe"")"),"#N/A")</f>
        <v>#N/A</v>
      </c>
      <c r="P4452" s="7" t="str">
        <f ca="1">IFERROR(__xludf.DUMMYFUNCTION("GOOGLEFINANCE(""NSE:""&amp;D4452,""EPS"")"),"#N/A")</f>
        <v>#N/A</v>
      </c>
      <c r="Q4452" s="7">
        <v>13.5</v>
      </c>
      <c r="R4452" s="7" t="str">
        <f ca="1">IFERROR(__xludf.DUMMYFUNCTION("IMPORTXML(E4452,""/html/body/main/div[3]/div[3]/div[2]/ul/li[7]/span[2]/span"")"),"Loading...")</f>
        <v>Loading...</v>
      </c>
      <c r="S4452" s="7" t="str">
        <f ca="1">IFERROR(__xludf.DUMMYFUNCTION("IMPORTXML(E4452,""/html/body/main/div[3]/div[3]/div[2]/ul/li[8]/span[2]/span"")"),"Loading...")</f>
        <v>Loading...</v>
      </c>
      <c r="T4452" s="4">
        <v>34.6</v>
      </c>
      <c r="U4452" s="4">
        <v>22.7</v>
      </c>
      <c r="V4452" s="4">
        <v>2.6</v>
      </c>
      <c r="W4452" s="4">
        <v>5.7</v>
      </c>
      <c r="X4452" s="4">
        <v>519.92999999999995</v>
      </c>
      <c r="Y4452" s="7" t="e">
        <f t="shared" ca="1" si="89"/>
        <v>#VALUE!</v>
      </c>
    </row>
    <row r="4453" spans="1:25" ht="15" x14ac:dyDescent="0.25">
      <c r="A4453" s="4">
        <v>4452</v>
      </c>
      <c r="C4453" s="41" t="s">
        <v>6829</v>
      </c>
      <c r="D4453" s="42"/>
      <c r="E4453" s="5" t="str">
        <f t="shared" si="85"/>
        <v>https://www.screener.in/company//consolidated/</v>
      </c>
      <c r="F4453" s="4">
        <v>443059</v>
      </c>
      <c r="G4453" s="4">
        <v>3832241897</v>
      </c>
      <c r="H4453" s="6" t="e">
        <f t="shared" ca="1" si="86"/>
        <v>#VALUE!</v>
      </c>
      <c r="I4453" s="7" t="str">
        <f ca="1">IFERROR(__xludf.DUMMYFUNCTION("IMPORTXML(E4453,""/html/body/main/div[3]/div[3]/div[2]/ul/li[5]/span[2]/span"")"),"Loading...")</f>
        <v>Loading...</v>
      </c>
      <c r="J4453" s="7" t="str">
        <f ca="1">IFERROR(__xludf.DUMMYFUNCTION("GOOGLEFINANCE(""NSE:""&amp;D4453,""marketcap"")"),"#N/A")</f>
        <v>#N/A</v>
      </c>
      <c r="K4453" s="7">
        <v>992.8</v>
      </c>
      <c r="L4453" s="8" t="str">
        <f ca="1">IFERROR(__xludf.DUMMYFUNCTION("GOOGLEFINANCE(""NSE:""&amp;D4453,""price"")"),"#N/A")</f>
        <v>#N/A</v>
      </c>
      <c r="M4453" s="9" t="e">
        <f t="shared" ca="1" si="87"/>
        <v>#VALUE!</v>
      </c>
      <c r="N4453" s="10" t="e">
        <f t="shared" ca="1" si="88"/>
        <v>#VALUE!</v>
      </c>
      <c r="O4453" s="7" t="str">
        <f ca="1">IFERROR(__xludf.DUMMYFUNCTION("GOOGLEFINANCE(""NSE:""&amp;D4453,""pe"")"),"#N/A")</f>
        <v>#N/A</v>
      </c>
      <c r="P4453" s="7" t="str">
        <f ca="1">IFERROR(__xludf.DUMMYFUNCTION("GOOGLEFINANCE(""NSE:""&amp;D4453,""EPS"")"),"#N/A")</f>
        <v>#N/A</v>
      </c>
      <c r="Q4453" s="7">
        <v>13.5</v>
      </c>
      <c r="R4453" s="7" t="str">
        <f ca="1">IFERROR(__xludf.DUMMYFUNCTION("IMPORTXML(E4453,""/html/body/main/div[3]/div[3]/div[2]/ul/li[7]/span[2]/span"")"),"Loading...")</f>
        <v>Loading...</v>
      </c>
      <c r="S4453" s="7" t="str">
        <f ca="1">IFERROR(__xludf.DUMMYFUNCTION("IMPORTXML(E4453,""/html/body/main/div[3]/div[3]/div[2]/ul/li[8]/span[2]/span"")"),"Loading...")</f>
        <v>Loading...</v>
      </c>
      <c r="T4453" s="4">
        <v>34.6</v>
      </c>
      <c r="U4453" s="4">
        <v>22.7</v>
      </c>
      <c r="V4453" s="4">
        <v>2.6</v>
      </c>
      <c r="W4453" s="4">
        <v>5.7</v>
      </c>
      <c r="X4453" s="4">
        <v>519.92999999999995</v>
      </c>
      <c r="Y4453" s="7" t="e">
        <f t="shared" ca="1" si="89"/>
        <v>#VALUE!</v>
      </c>
    </row>
    <row r="4454" spans="1:25" ht="15" x14ac:dyDescent="0.25">
      <c r="A4454" s="4">
        <v>4453</v>
      </c>
      <c r="C4454" s="41" t="s">
        <v>6830</v>
      </c>
      <c r="D4454" s="42"/>
      <c r="E4454" s="5" t="str">
        <f t="shared" si="85"/>
        <v>https://www.screener.in/company//consolidated/</v>
      </c>
      <c r="F4454" s="4">
        <v>443059</v>
      </c>
      <c r="G4454" s="4">
        <v>3832241897</v>
      </c>
      <c r="H4454" s="6" t="e">
        <f t="shared" ca="1" si="86"/>
        <v>#VALUE!</v>
      </c>
      <c r="I4454" s="7" t="str">
        <f ca="1">IFERROR(__xludf.DUMMYFUNCTION("IMPORTXML(E4454,""/html/body/main/div[3]/div[3]/div[2]/ul/li[5]/span[2]/span"")"),"Loading...")</f>
        <v>Loading...</v>
      </c>
      <c r="J4454" s="7" t="str">
        <f ca="1">IFERROR(__xludf.DUMMYFUNCTION("GOOGLEFINANCE(""NSE:""&amp;D4454,""marketcap"")"),"#N/A")</f>
        <v>#N/A</v>
      </c>
      <c r="K4454" s="7">
        <v>992.8</v>
      </c>
      <c r="L4454" s="8" t="str">
        <f ca="1">IFERROR(__xludf.DUMMYFUNCTION("GOOGLEFINANCE(""NSE:""&amp;D4454,""price"")"),"#N/A")</f>
        <v>#N/A</v>
      </c>
      <c r="M4454" s="9" t="e">
        <f t="shared" ca="1" si="87"/>
        <v>#VALUE!</v>
      </c>
      <c r="N4454" s="10" t="e">
        <f t="shared" ca="1" si="88"/>
        <v>#VALUE!</v>
      </c>
      <c r="O4454" s="7" t="str">
        <f ca="1">IFERROR(__xludf.DUMMYFUNCTION("GOOGLEFINANCE(""NSE:""&amp;D4454,""pe"")"),"#N/A")</f>
        <v>#N/A</v>
      </c>
      <c r="P4454" s="7" t="str">
        <f ca="1">IFERROR(__xludf.DUMMYFUNCTION("GOOGLEFINANCE(""NSE:""&amp;D4454,""EPS"")"),"#N/A")</f>
        <v>#N/A</v>
      </c>
      <c r="Q4454" s="7">
        <v>13.5</v>
      </c>
      <c r="R4454" s="7" t="str">
        <f ca="1">IFERROR(__xludf.DUMMYFUNCTION("IMPORTXML(E4454,""/html/body/main/div[3]/div[3]/div[2]/ul/li[7]/span[2]/span"")"),"Loading...")</f>
        <v>Loading...</v>
      </c>
      <c r="S4454" s="7" t="str">
        <f ca="1">IFERROR(__xludf.DUMMYFUNCTION("IMPORTXML(E4454,""/html/body/main/div[3]/div[3]/div[2]/ul/li[8]/span[2]/span"")"),"Loading...")</f>
        <v>Loading...</v>
      </c>
      <c r="T4454" s="4">
        <v>34.6</v>
      </c>
      <c r="U4454" s="4">
        <v>22.7</v>
      </c>
      <c r="V4454" s="4">
        <v>2.6</v>
      </c>
      <c r="W4454" s="4">
        <v>5.7</v>
      </c>
      <c r="X4454" s="4">
        <v>519.92999999999995</v>
      </c>
      <c r="Y4454" s="7" t="e">
        <f t="shared" ca="1" si="89"/>
        <v>#VALUE!</v>
      </c>
    </row>
    <row r="4455" spans="1:25" ht="15" x14ac:dyDescent="0.25">
      <c r="A4455" s="4">
        <v>4454</v>
      </c>
      <c r="C4455" s="41" t="s">
        <v>6831</v>
      </c>
      <c r="D4455" s="42"/>
      <c r="E4455" s="5" t="str">
        <f t="shared" si="85"/>
        <v>https://www.screener.in/company//consolidated/</v>
      </c>
      <c r="F4455" s="4">
        <v>443059</v>
      </c>
      <c r="G4455" s="4">
        <v>3832241897</v>
      </c>
      <c r="H4455" s="6" t="e">
        <f t="shared" ca="1" si="86"/>
        <v>#VALUE!</v>
      </c>
      <c r="I4455" s="7" t="str">
        <f ca="1">IFERROR(__xludf.DUMMYFUNCTION("IMPORTXML(E4455,""/html/body/main/div[3]/div[3]/div[2]/ul/li[5]/span[2]/span"")"),"Loading...")</f>
        <v>Loading...</v>
      </c>
      <c r="J4455" s="7" t="str">
        <f ca="1">IFERROR(__xludf.DUMMYFUNCTION("GOOGLEFINANCE(""NSE:""&amp;D4455,""marketcap"")"),"#N/A")</f>
        <v>#N/A</v>
      </c>
      <c r="K4455" s="7">
        <v>992.8</v>
      </c>
      <c r="L4455" s="8" t="str">
        <f ca="1">IFERROR(__xludf.DUMMYFUNCTION("GOOGLEFINANCE(""NSE:""&amp;D4455,""price"")"),"#N/A")</f>
        <v>#N/A</v>
      </c>
      <c r="M4455" s="9" t="e">
        <f t="shared" ca="1" si="87"/>
        <v>#VALUE!</v>
      </c>
      <c r="N4455" s="10" t="e">
        <f t="shared" ca="1" si="88"/>
        <v>#VALUE!</v>
      </c>
      <c r="O4455" s="7" t="str">
        <f ca="1">IFERROR(__xludf.DUMMYFUNCTION("GOOGLEFINANCE(""NSE:""&amp;D4455,""pe"")"),"#N/A")</f>
        <v>#N/A</v>
      </c>
      <c r="P4455" s="7" t="str">
        <f ca="1">IFERROR(__xludf.DUMMYFUNCTION("GOOGLEFINANCE(""NSE:""&amp;D4455,""EPS"")"),"#N/A")</f>
        <v>#N/A</v>
      </c>
      <c r="Q4455" s="7">
        <v>13.5</v>
      </c>
      <c r="R4455" s="7" t="str">
        <f ca="1">IFERROR(__xludf.DUMMYFUNCTION("IMPORTXML(E4455,""/html/body/main/div[3]/div[3]/div[2]/ul/li[7]/span[2]/span"")"),"Loading...")</f>
        <v>Loading...</v>
      </c>
      <c r="S4455" s="7" t="str">
        <f ca="1">IFERROR(__xludf.DUMMYFUNCTION("IMPORTXML(E4455,""/html/body/main/div[3]/div[3]/div[2]/ul/li[8]/span[2]/span"")"),"Loading...")</f>
        <v>Loading...</v>
      </c>
      <c r="T4455" s="4">
        <v>34.6</v>
      </c>
      <c r="U4455" s="4">
        <v>22.7</v>
      </c>
      <c r="V4455" s="4">
        <v>2.6</v>
      </c>
      <c r="W4455" s="4">
        <v>5.7</v>
      </c>
      <c r="X4455" s="4">
        <v>519.92999999999995</v>
      </c>
      <c r="Y4455" s="7" t="e">
        <f t="shared" ca="1" si="89"/>
        <v>#VALUE!</v>
      </c>
    </row>
    <row r="4456" spans="1:25" ht="15" x14ac:dyDescent="0.25">
      <c r="A4456" s="4">
        <v>4455</v>
      </c>
      <c r="C4456" s="41" t="s">
        <v>6832</v>
      </c>
      <c r="D4456" s="42"/>
      <c r="E4456" s="5" t="str">
        <f t="shared" si="85"/>
        <v>https://www.screener.in/company//consolidated/</v>
      </c>
      <c r="F4456" s="4">
        <v>443059</v>
      </c>
      <c r="G4456" s="4">
        <v>3832241897</v>
      </c>
      <c r="H4456" s="6" t="e">
        <f t="shared" ca="1" si="86"/>
        <v>#VALUE!</v>
      </c>
      <c r="I4456" s="7" t="str">
        <f ca="1">IFERROR(__xludf.DUMMYFUNCTION("IMPORTXML(E4456,""/html/body/main/div[3]/div[3]/div[2]/ul/li[5]/span[2]/span"")"),"Loading...")</f>
        <v>Loading...</v>
      </c>
      <c r="J4456" s="7" t="str">
        <f ca="1">IFERROR(__xludf.DUMMYFUNCTION("GOOGLEFINANCE(""NSE:""&amp;D4456,""marketcap"")"),"#N/A")</f>
        <v>#N/A</v>
      </c>
      <c r="K4456" s="7">
        <v>992.8</v>
      </c>
      <c r="L4456" s="8" t="str">
        <f ca="1">IFERROR(__xludf.DUMMYFUNCTION("GOOGLEFINANCE(""NSE:""&amp;D4456,""price"")"),"#N/A")</f>
        <v>#N/A</v>
      </c>
      <c r="M4456" s="9" t="e">
        <f t="shared" ca="1" si="87"/>
        <v>#VALUE!</v>
      </c>
      <c r="N4456" s="10" t="e">
        <f t="shared" ca="1" si="88"/>
        <v>#VALUE!</v>
      </c>
      <c r="O4456" s="7" t="str">
        <f ca="1">IFERROR(__xludf.DUMMYFUNCTION("GOOGLEFINANCE(""NSE:""&amp;D4456,""pe"")"),"#N/A")</f>
        <v>#N/A</v>
      </c>
      <c r="P4456" s="7" t="str">
        <f ca="1">IFERROR(__xludf.DUMMYFUNCTION("GOOGLEFINANCE(""NSE:""&amp;D4456,""EPS"")"),"#N/A")</f>
        <v>#N/A</v>
      </c>
      <c r="Q4456" s="7">
        <v>13.5</v>
      </c>
      <c r="R4456" s="7" t="str">
        <f ca="1">IFERROR(__xludf.DUMMYFUNCTION("IMPORTXML(E4456,""/html/body/main/div[3]/div[3]/div[2]/ul/li[7]/span[2]/span"")"),"Loading...")</f>
        <v>Loading...</v>
      </c>
      <c r="S4456" s="7" t="str">
        <f ca="1">IFERROR(__xludf.DUMMYFUNCTION("IMPORTXML(E4456,""/html/body/main/div[3]/div[3]/div[2]/ul/li[8]/span[2]/span"")"),"Loading...")</f>
        <v>Loading...</v>
      </c>
      <c r="T4456" s="4">
        <v>34.6</v>
      </c>
      <c r="U4456" s="4">
        <v>22.7</v>
      </c>
      <c r="V4456" s="4">
        <v>2.6</v>
      </c>
      <c r="W4456" s="4">
        <v>5.7</v>
      </c>
      <c r="X4456" s="4">
        <v>519.92999999999995</v>
      </c>
      <c r="Y4456" s="7" t="e">
        <f t="shared" ca="1" si="89"/>
        <v>#VALUE!</v>
      </c>
    </row>
    <row r="4457" spans="1:25" ht="15" x14ac:dyDescent="0.25">
      <c r="A4457" s="4">
        <v>4456</v>
      </c>
      <c r="C4457" s="41" t="s">
        <v>6833</v>
      </c>
      <c r="D4457" s="42"/>
      <c r="E4457" s="5" t="str">
        <f t="shared" si="85"/>
        <v>https://www.screener.in/company//consolidated/</v>
      </c>
      <c r="F4457" s="4">
        <v>443059</v>
      </c>
      <c r="G4457" s="4">
        <v>3832241897</v>
      </c>
      <c r="H4457" s="6" t="e">
        <f t="shared" ca="1" si="86"/>
        <v>#VALUE!</v>
      </c>
      <c r="I4457" s="7" t="str">
        <f ca="1">IFERROR(__xludf.DUMMYFUNCTION("IMPORTXML(E4457,""/html/body/main/div[3]/div[3]/div[2]/ul/li[5]/span[2]/span"")"),"Loading...")</f>
        <v>Loading...</v>
      </c>
      <c r="J4457" s="7" t="str">
        <f ca="1">IFERROR(__xludf.DUMMYFUNCTION("GOOGLEFINANCE(""NSE:""&amp;D4457,""marketcap"")"),"#N/A")</f>
        <v>#N/A</v>
      </c>
      <c r="K4457" s="7">
        <v>992.8</v>
      </c>
      <c r="L4457" s="8" t="str">
        <f ca="1">IFERROR(__xludf.DUMMYFUNCTION("GOOGLEFINANCE(""NSE:""&amp;D4457,""price"")"),"#N/A")</f>
        <v>#N/A</v>
      </c>
      <c r="M4457" s="9" t="e">
        <f t="shared" ca="1" si="87"/>
        <v>#VALUE!</v>
      </c>
      <c r="N4457" s="10" t="e">
        <f t="shared" ca="1" si="88"/>
        <v>#VALUE!</v>
      </c>
      <c r="O4457" s="7" t="str">
        <f ca="1">IFERROR(__xludf.DUMMYFUNCTION("GOOGLEFINANCE(""NSE:""&amp;D4457,""pe"")"),"#N/A")</f>
        <v>#N/A</v>
      </c>
      <c r="P4457" s="7" t="str">
        <f ca="1">IFERROR(__xludf.DUMMYFUNCTION("GOOGLEFINANCE(""NSE:""&amp;D4457,""EPS"")"),"#N/A")</f>
        <v>#N/A</v>
      </c>
      <c r="Q4457" s="7">
        <v>13.5</v>
      </c>
      <c r="R4457" s="7" t="str">
        <f ca="1">IFERROR(__xludf.DUMMYFUNCTION("IMPORTXML(E4457,""/html/body/main/div[3]/div[3]/div[2]/ul/li[7]/span[2]/span"")"),"Loading...")</f>
        <v>Loading...</v>
      </c>
      <c r="S4457" s="7" t="str">
        <f ca="1">IFERROR(__xludf.DUMMYFUNCTION("IMPORTXML(E4457,""/html/body/main/div[3]/div[3]/div[2]/ul/li[8]/span[2]/span"")"),"Loading...")</f>
        <v>Loading...</v>
      </c>
      <c r="T4457" s="4">
        <v>34.6</v>
      </c>
      <c r="U4457" s="4">
        <v>22.7</v>
      </c>
      <c r="V4457" s="4">
        <v>2.6</v>
      </c>
      <c r="W4457" s="4">
        <v>5.7</v>
      </c>
      <c r="X4457" s="4">
        <v>519.92999999999995</v>
      </c>
      <c r="Y4457" s="7" t="e">
        <f t="shared" ca="1" si="89"/>
        <v>#VALUE!</v>
      </c>
    </row>
    <row r="4458" spans="1:25" ht="15" x14ac:dyDescent="0.25">
      <c r="A4458" s="4">
        <v>4457</v>
      </c>
      <c r="C4458" s="41" t="s">
        <v>6834</v>
      </c>
      <c r="D4458" s="42"/>
      <c r="E4458" s="5" t="str">
        <f t="shared" si="85"/>
        <v>https://www.screener.in/company//consolidated/</v>
      </c>
      <c r="F4458" s="4">
        <v>443059</v>
      </c>
      <c r="G4458" s="4">
        <v>3832241897</v>
      </c>
      <c r="H4458" s="6" t="e">
        <f t="shared" ca="1" si="86"/>
        <v>#VALUE!</v>
      </c>
      <c r="I4458" s="7" t="str">
        <f ca="1">IFERROR(__xludf.DUMMYFUNCTION("IMPORTXML(E4458,""/html/body/main/div[3]/div[3]/div[2]/ul/li[5]/span[2]/span"")"),"Loading...")</f>
        <v>Loading...</v>
      </c>
      <c r="J4458" s="7" t="str">
        <f ca="1">IFERROR(__xludf.DUMMYFUNCTION("GOOGLEFINANCE(""NSE:""&amp;D4458,""marketcap"")"),"#N/A")</f>
        <v>#N/A</v>
      </c>
      <c r="K4458" s="7">
        <v>992.8</v>
      </c>
      <c r="L4458" s="8" t="str">
        <f ca="1">IFERROR(__xludf.DUMMYFUNCTION("GOOGLEFINANCE(""NSE:""&amp;D4458,""price"")"),"#N/A")</f>
        <v>#N/A</v>
      </c>
      <c r="M4458" s="9" t="e">
        <f t="shared" ca="1" si="87"/>
        <v>#VALUE!</v>
      </c>
      <c r="N4458" s="10" t="e">
        <f t="shared" ca="1" si="88"/>
        <v>#VALUE!</v>
      </c>
      <c r="O4458" s="7" t="str">
        <f ca="1">IFERROR(__xludf.DUMMYFUNCTION("GOOGLEFINANCE(""NSE:""&amp;D4458,""pe"")"),"#N/A")</f>
        <v>#N/A</v>
      </c>
      <c r="P4458" s="7" t="str">
        <f ca="1">IFERROR(__xludf.DUMMYFUNCTION("GOOGLEFINANCE(""NSE:""&amp;D4458,""EPS"")"),"#N/A")</f>
        <v>#N/A</v>
      </c>
      <c r="Q4458" s="7">
        <v>13.5</v>
      </c>
      <c r="R4458" s="7" t="str">
        <f ca="1">IFERROR(__xludf.DUMMYFUNCTION("IMPORTXML(E4458,""/html/body/main/div[3]/div[3]/div[2]/ul/li[7]/span[2]/span"")"),"Loading...")</f>
        <v>Loading...</v>
      </c>
      <c r="S4458" s="7" t="str">
        <f ca="1">IFERROR(__xludf.DUMMYFUNCTION("IMPORTXML(E4458,""/html/body/main/div[3]/div[3]/div[2]/ul/li[8]/span[2]/span"")"),"Loading...")</f>
        <v>Loading...</v>
      </c>
      <c r="T4458" s="4">
        <v>34.6</v>
      </c>
      <c r="U4458" s="4">
        <v>22.7</v>
      </c>
      <c r="V4458" s="4">
        <v>2.6</v>
      </c>
      <c r="W4458" s="4">
        <v>5.7</v>
      </c>
      <c r="X4458" s="4">
        <v>519.92999999999995</v>
      </c>
      <c r="Y4458" s="7" t="e">
        <f t="shared" ca="1" si="89"/>
        <v>#VALUE!</v>
      </c>
    </row>
    <row r="4459" spans="1:25" ht="15" x14ac:dyDescent="0.25">
      <c r="A4459" s="4">
        <v>4458</v>
      </c>
      <c r="C4459" s="41" t="s">
        <v>6835</v>
      </c>
      <c r="D4459" s="42"/>
      <c r="E4459" s="5" t="str">
        <f t="shared" si="85"/>
        <v>https://www.screener.in/company//consolidated/</v>
      </c>
      <c r="F4459" s="4">
        <v>443059</v>
      </c>
      <c r="G4459" s="4">
        <v>3832241897</v>
      </c>
      <c r="H4459" s="6" t="e">
        <f t="shared" ca="1" si="86"/>
        <v>#VALUE!</v>
      </c>
      <c r="I4459" s="7" t="str">
        <f ca="1">IFERROR(__xludf.DUMMYFUNCTION("IMPORTXML(E4459,""/html/body/main/div[3]/div[3]/div[2]/ul/li[5]/span[2]/span"")"),"Loading...")</f>
        <v>Loading...</v>
      </c>
      <c r="J4459" s="7" t="str">
        <f ca="1">IFERROR(__xludf.DUMMYFUNCTION("GOOGLEFINANCE(""NSE:""&amp;D4459,""marketcap"")"),"#N/A")</f>
        <v>#N/A</v>
      </c>
      <c r="K4459" s="7">
        <v>992.8</v>
      </c>
      <c r="L4459" s="8" t="str">
        <f ca="1">IFERROR(__xludf.DUMMYFUNCTION("GOOGLEFINANCE(""NSE:""&amp;D4459,""price"")"),"#N/A")</f>
        <v>#N/A</v>
      </c>
      <c r="M4459" s="9" t="e">
        <f t="shared" ca="1" si="87"/>
        <v>#VALUE!</v>
      </c>
      <c r="N4459" s="10" t="e">
        <f t="shared" ca="1" si="88"/>
        <v>#VALUE!</v>
      </c>
      <c r="O4459" s="7" t="str">
        <f ca="1">IFERROR(__xludf.DUMMYFUNCTION("GOOGLEFINANCE(""NSE:""&amp;D4459,""pe"")"),"#N/A")</f>
        <v>#N/A</v>
      </c>
      <c r="P4459" s="7" t="str">
        <f ca="1">IFERROR(__xludf.DUMMYFUNCTION("GOOGLEFINANCE(""NSE:""&amp;D4459,""EPS"")"),"#N/A")</f>
        <v>#N/A</v>
      </c>
      <c r="Q4459" s="7">
        <v>13.5</v>
      </c>
      <c r="R4459" s="7" t="str">
        <f ca="1">IFERROR(__xludf.DUMMYFUNCTION("IMPORTXML(E4459,""/html/body/main/div[3]/div[3]/div[2]/ul/li[7]/span[2]/span"")"),"Loading...")</f>
        <v>Loading...</v>
      </c>
      <c r="S4459" s="7" t="str">
        <f ca="1">IFERROR(__xludf.DUMMYFUNCTION("IMPORTXML(E4459,""/html/body/main/div[3]/div[3]/div[2]/ul/li[8]/span[2]/span"")"),"Loading...")</f>
        <v>Loading...</v>
      </c>
      <c r="T4459" s="4">
        <v>34.6</v>
      </c>
      <c r="U4459" s="4">
        <v>22.7</v>
      </c>
      <c r="V4459" s="4">
        <v>2.6</v>
      </c>
      <c r="W4459" s="4">
        <v>5.7</v>
      </c>
      <c r="X4459" s="4">
        <v>519.92999999999995</v>
      </c>
      <c r="Y4459" s="7" t="e">
        <f t="shared" ca="1" si="89"/>
        <v>#VALUE!</v>
      </c>
    </row>
    <row r="4460" spans="1:25" ht="15" x14ac:dyDescent="0.25">
      <c r="A4460" s="4">
        <v>4459</v>
      </c>
      <c r="C4460" s="41" t="s">
        <v>6836</v>
      </c>
      <c r="D4460" s="42"/>
      <c r="E4460" s="5" t="str">
        <f t="shared" si="85"/>
        <v>https://www.screener.in/company//consolidated/</v>
      </c>
      <c r="F4460" s="4">
        <v>443059</v>
      </c>
      <c r="G4460" s="4">
        <v>3832241897</v>
      </c>
      <c r="H4460" s="6" t="e">
        <f t="shared" ca="1" si="86"/>
        <v>#VALUE!</v>
      </c>
      <c r="I4460" s="7" t="str">
        <f ca="1">IFERROR(__xludf.DUMMYFUNCTION("IMPORTXML(E4460,""/html/body/main/div[3]/div[3]/div[2]/ul/li[5]/span[2]/span"")"),"Loading...")</f>
        <v>Loading...</v>
      </c>
      <c r="J4460" s="7" t="str">
        <f ca="1">IFERROR(__xludf.DUMMYFUNCTION("GOOGLEFINANCE(""NSE:""&amp;D4460,""marketcap"")"),"#N/A")</f>
        <v>#N/A</v>
      </c>
      <c r="K4460" s="7">
        <v>992.8</v>
      </c>
      <c r="L4460" s="8" t="str">
        <f ca="1">IFERROR(__xludf.DUMMYFUNCTION("GOOGLEFINANCE(""NSE:""&amp;D4460,""price"")"),"#N/A")</f>
        <v>#N/A</v>
      </c>
      <c r="M4460" s="9" t="e">
        <f t="shared" ca="1" si="87"/>
        <v>#VALUE!</v>
      </c>
      <c r="N4460" s="10" t="e">
        <f t="shared" ca="1" si="88"/>
        <v>#VALUE!</v>
      </c>
      <c r="O4460" s="7" t="str">
        <f ca="1">IFERROR(__xludf.DUMMYFUNCTION("GOOGLEFINANCE(""NSE:""&amp;D4460,""pe"")"),"#N/A")</f>
        <v>#N/A</v>
      </c>
      <c r="P4460" s="7" t="str">
        <f ca="1">IFERROR(__xludf.DUMMYFUNCTION("GOOGLEFINANCE(""NSE:""&amp;D4460,""EPS"")"),"#N/A")</f>
        <v>#N/A</v>
      </c>
      <c r="Q4460" s="7">
        <v>13.5</v>
      </c>
      <c r="R4460" s="7" t="str">
        <f ca="1">IFERROR(__xludf.DUMMYFUNCTION("IMPORTXML(E4460,""/html/body/main/div[3]/div[3]/div[2]/ul/li[7]/span[2]/span"")"),"Loading...")</f>
        <v>Loading...</v>
      </c>
      <c r="S4460" s="7" t="str">
        <f ca="1">IFERROR(__xludf.DUMMYFUNCTION("IMPORTXML(E4460,""/html/body/main/div[3]/div[3]/div[2]/ul/li[8]/span[2]/span"")"),"Loading...")</f>
        <v>Loading...</v>
      </c>
      <c r="T4460" s="4">
        <v>34.6</v>
      </c>
      <c r="U4460" s="4">
        <v>22.7</v>
      </c>
      <c r="V4460" s="4">
        <v>2.6</v>
      </c>
      <c r="W4460" s="4">
        <v>5.7</v>
      </c>
      <c r="X4460" s="4">
        <v>519.92999999999995</v>
      </c>
      <c r="Y4460" s="7" t="e">
        <f t="shared" ca="1" si="89"/>
        <v>#VALUE!</v>
      </c>
    </row>
    <row r="4461" spans="1:25" ht="15" x14ac:dyDescent="0.25">
      <c r="A4461" s="4">
        <v>4460</v>
      </c>
      <c r="C4461" s="41" t="s">
        <v>6837</v>
      </c>
      <c r="D4461" s="42"/>
      <c r="E4461" s="5" t="str">
        <f t="shared" si="85"/>
        <v>https://www.screener.in/company//consolidated/</v>
      </c>
      <c r="F4461" s="4">
        <v>443059</v>
      </c>
      <c r="G4461" s="4">
        <v>3832241897</v>
      </c>
      <c r="H4461" s="6" t="e">
        <f t="shared" ca="1" si="86"/>
        <v>#VALUE!</v>
      </c>
      <c r="I4461" s="7" t="str">
        <f ca="1">IFERROR(__xludf.DUMMYFUNCTION("IMPORTXML(E4461,""/html/body/main/div[3]/div[3]/div[2]/ul/li[5]/span[2]/span"")"),"Loading...")</f>
        <v>Loading...</v>
      </c>
      <c r="J4461" s="7" t="str">
        <f ca="1">IFERROR(__xludf.DUMMYFUNCTION("GOOGLEFINANCE(""NSE:""&amp;D4461,""marketcap"")"),"#N/A")</f>
        <v>#N/A</v>
      </c>
      <c r="K4461" s="7">
        <v>992.8</v>
      </c>
      <c r="L4461" s="8" t="str">
        <f ca="1">IFERROR(__xludf.DUMMYFUNCTION("GOOGLEFINANCE(""NSE:""&amp;D4461,""price"")"),"#N/A")</f>
        <v>#N/A</v>
      </c>
      <c r="M4461" s="9" t="e">
        <f t="shared" ca="1" si="87"/>
        <v>#VALUE!</v>
      </c>
      <c r="N4461" s="10" t="e">
        <f t="shared" ca="1" si="88"/>
        <v>#VALUE!</v>
      </c>
      <c r="O4461" s="7" t="str">
        <f ca="1">IFERROR(__xludf.DUMMYFUNCTION("GOOGLEFINANCE(""NSE:""&amp;D4461,""pe"")"),"#N/A")</f>
        <v>#N/A</v>
      </c>
      <c r="P4461" s="7" t="str">
        <f ca="1">IFERROR(__xludf.DUMMYFUNCTION("GOOGLEFINANCE(""NSE:""&amp;D4461,""EPS"")"),"#N/A")</f>
        <v>#N/A</v>
      </c>
      <c r="Q4461" s="7">
        <v>13.5</v>
      </c>
      <c r="R4461" s="7" t="str">
        <f ca="1">IFERROR(__xludf.DUMMYFUNCTION("IMPORTXML(E4461,""/html/body/main/div[3]/div[3]/div[2]/ul/li[7]/span[2]/span"")"),"Loading...")</f>
        <v>Loading...</v>
      </c>
      <c r="S4461" s="7" t="str">
        <f ca="1">IFERROR(__xludf.DUMMYFUNCTION("IMPORTXML(E4461,""/html/body/main/div[3]/div[3]/div[2]/ul/li[8]/span[2]/span"")"),"Loading...")</f>
        <v>Loading...</v>
      </c>
      <c r="T4461" s="4">
        <v>34.6</v>
      </c>
      <c r="U4461" s="4">
        <v>22.7</v>
      </c>
      <c r="V4461" s="4">
        <v>2.6</v>
      </c>
      <c r="W4461" s="4">
        <v>5.7</v>
      </c>
      <c r="X4461" s="4">
        <v>519.92999999999995</v>
      </c>
      <c r="Y4461" s="7" t="e">
        <f t="shared" ca="1" si="89"/>
        <v>#VALUE!</v>
      </c>
    </row>
    <row r="4462" spans="1:25" ht="15" x14ac:dyDescent="0.25">
      <c r="A4462" s="4">
        <v>4461</v>
      </c>
      <c r="C4462" s="41" t="s">
        <v>6838</v>
      </c>
      <c r="D4462" s="42"/>
      <c r="E4462" s="5" t="str">
        <f t="shared" si="85"/>
        <v>https://www.screener.in/company//consolidated/</v>
      </c>
      <c r="F4462" s="4">
        <v>443059</v>
      </c>
      <c r="G4462" s="4">
        <v>3832241897</v>
      </c>
      <c r="H4462" s="6" t="e">
        <f t="shared" ca="1" si="86"/>
        <v>#VALUE!</v>
      </c>
      <c r="I4462" s="7" t="str">
        <f ca="1">IFERROR(__xludf.DUMMYFUNCTION("IMPORTXML(E4462,""/html/body/main/div[3]/div[3]/div[2]/ul/li[5]/span[2]/span"")"),"Loading...")</f>
        <v>Loading...</v>
      </c>
      <c r="J4462" s="7" t="str">
        <f ca="1">IFERROR(__xludf.DUMMYFUNCTION("GOOGLEFINANCE(""NSE:""&amp;D4462,""marketcap"")"),"#N/A")</f>
        <v>#N/A</v>
      </c>
      <c r="K4462" s="7">
        <v>992.8</v>
      </c>
      <c r="L4462" s="8" t="str">
        <f ca="1">IFERROR(__xludf.DUMMYFUNCTION("GOOGLEFINANCE(""NSE:""&amp;D4462,""price"")"),"#N/A")</f>
        <v>#N/A</v>
      </c>
      <c r="M4462" s="9" t="e">
        <f t="shared" ca="1" si="87"/>
        <v>#VALUE!</v>
      </c>
      <c r="N4462" s="10" t="e">
        <f t="shared" ca="1" si="88"/>
        <v>#VALUE!</v>
      </c>
      <c r="O4462" s="7" t="str">
        <f ca="1">IFERROR(__xludf.DUMMYFUNCTION("GOOGLEFINANCE(""NSE:""&amp;D4462,""pe"")"),"#N/A")</f>
        <v>#N/A</v>
      </c>
      <c r="P4462" s="7" t="str">
        <f ca="1">IFERROR(__xludf.DUMMYFUNCTION("GOOGLEFINANCE(""NSE:""&amp;D4462,""EPS"")"),"#N/A")</f>
        <v>#N/A</v>
      </c>
      <c r="Q4462" s="7">
        <v>13.5</v>
      </c>
      <c r="R4462" s="7" t="str">
        <f ca="1">IFERROR(__xludf.DUMMYFUNCTION("IMPORTXML(E4462,""/html/body/main/div[3]/div[3]/div[2]/ul/li[7]/span[2]/span"")"),"Loading...")</f>
        <v>Loading...</v>
      </c>
      <c r="S4462" s="7" t="str">
        <f ca="1">IFERROR(__xludf.DUMMYFUNCTION("IMPORTXML(E4462,""/html/body/main/div[3]/div[3]/div[2]/ul/li[8]/span[2]/span"")"),"Loading...")</f>
        <v>Loading...</v>
      </c>
      <c r="T4462" s="4">
        <v>34.6</v>
      </c>
      <c r="U4462" s="4">
        <v>22.7</v>
      </c>
      <c r="V4462" s="4">
        <v>2.6</v>
      </c>
      <c r="W4462" s="4">
        <v>5.7</v>
      </c>
      <c r="X4462" s="4">
        <v>519.92999999999995</v>
      </c>
      <c r="Y4462" s="7" t="e">
        <f t="shared" ca="1" si="89"/>
        <v>#VALUE!</v>
      </c>
    </row>
    <row r="4463" spans="1:25" ht="15" x14ac:dyDescent="0.25">
      <c r="A4463" s="4">
        <v>4462</v>
      </c>
      <c r="C4463" s="41" t="s">
        <v>6839</v>
      </c>
      <c r="D4463" s="42"/>
      <c r="E4463" s="5" t="str">
        <f t="shared" si="85"/>
        <v>https://www.screener.in/company//consolidated/</v>
      </c>
      <c r="F4463" s="4">
        <v>443059</v>
      </c>
      <c r="G4463" s="4">
        <v>3832241897</v>
      </c>
      <c r="H4463" s="6" t="e">
        <f t="shared" ca="1" si="86"/>
        <v>#VALUE!</v>
      </c>
      <c r="I4463" s="7" t="str">
        <f ca="1">IFERROR(__xludf.DUMMYFUNCTION("IMPORTXML(E4463,""/html/body/main/div[3]/div[3]/div[2]/ul/li[5]/span[2]/span"")"),"Loading...")</f>
        <v>Loading...</v>
      </c>
      <c r="J4463" s="7" t="str">
        <f ca="1">IFERROR(__xludf.DUMMYFUNCTION("GOOGLEFINANCE(""NSE:""&amp;D4463,""marketcap"")"),"#N/A")</f>
        <v>#N/A</v>
      </c>
      <c r="K4463" s="7">
        <v>992.8</v>
      </c>
      <c r="L4463" s="8" t="str">
        <f ca="1">IFERROR(__xludf.DUMMYFUNCTION("GOOGLEFINANCE(""NSE:""&amp;D4463,""price"")"),"#N/A")</f>
        <v>#N/A</v>
      </c>
      <c r="M4463" s="9" t="e">
        <f t="shared" ca="1" si="87"/>
        <v>#VALUE!</v>
      </c>
      <c r="N4463" s="10" t="e">
        <f t="shared" ca="1" si="88"/>
        <v>#VALUE!</v>
      </c>
      <c r="O4463" s="7" t="str">
        <f ca="1">IFERROR(__xludf.DUMMYFUNCTION("GOOGLEFINANCE(""NSE:""&amp;D4463,""pe"")"),"#N/A")</f>
        <v>#N/A</v>
      </c>
      <c r="P4463" s="7" t="str">
        <f ca="1">IFERROR(__xludf.DUMMYFUNCTION("GOOGLEFINANCE(""NSE:""&amp;D4463,""EPS"")"),"#N/A")</f>
        <v>#N/A</v>
      </c>
      <c r="Q4463" s="7">
        <v>13.5</v>
      </c>
      <c r="R4463" s="7" t="str">
        <f ca="1">IFERROR(__xludf.DUMMYFUNCTION("IMPORTXML(E4463,""/html/body/main/div[3]/div[3]/div[2]/ul/li[7]/span[2]/span"")"),"Loading...")</f>
        <v>Loading...</v>
      </c>
      <c r="S4463" s="7" t="str">
        <f ca="1">IFERROR(__xludf.DUMMYFUNCTION("IMPORTXML(E4463,""/html/body/main/div[3]/div[3]/div[2]/ul/li[8]/span[2]/span"")"),"Loading...")</f>
        <v>Loading...</v>
      </c>
      <c r="T4463" s="4">
        <v>34.6</v>
      </c>
      <c r="U4463" s="4">
        <v>22.7</v>
      </c>
      <c r="V4463" s="4">
        <v>2.6</v>
      </c>
      <c r="W4463" s="4">
        <v>5.7</v>
      </c>
      <c r="X4463" s="4">
        <v>519.92999999999995</v>
      </c>
      <c r="Y4463" s="7" t="e">
        <f t="shared" ca="1" si="89"/>
        <v>#VALUE!</v>
      </c>
    </row>
    <row r="4464" spans="1:25" ht="15" x14ac:dyDescent="0.25">
      <c r="A4464" s="4">
        <v>4463</v>
      </c>
      <c r="C4464" s="41" t="s">
        <v>6840</v>
      </c>
      <c r="D4464" s="42"/>
      <c r="E4464" s="5" t="str">
        <f t="shared" si="85"/>
        <v>https://www.screener.in/company//consolidated/</v>
      </c>
      <c r="F4464" s="4">
        <v>443059</v>
      </c>
      <c r="G4464" s="4">
        <v>3832241897</v>
      </c>
      <c r="H4464" s="6" t="e">
        <f t="shared" ca="1" si="86"/>
        <v>#VALUE!</v>
      </c>
      <c r="I4464" s="7" t="str">
        <f ca="1">IFERROR(__xludf.DUMMYFUNCTION("IMPORTXML(E4464,""/html/body/main/div[3]/div[3]/div[2]/ul/li[5]/span[2]/span"")"),"Loading...")</f>
        <v>Loading...</v>
      </c>
      <c r="J4464" s="7" t="str">
        <f ca="1">IFERROR(__xludf.DUMMYFUNCTION("GOOGLEFINANCE(""NSE:""&amp;D4464,""marketcap"")"),"#N/A")</f>
        <v>#N/A</v>
      </c>
      <c r="K4464" s="7">
        <v>992.8</v>
      </c>
      <c r="L4464" s="8" t="str">
        <f ca="1">IFERROR(__xludf.DUMMYFUNCTION("GOOGLEFINANCE(""NSE:""&amp;D4464,""price"")"),"#N/A")</f>
        <v>#N/A</v>
      </c>
      <c r="M4464" s="9" t="e">
        <f t="shared" ca="1" si="87"/>
        <v>#VALUE!</v>
      </c>
      <c r="N4464" s="10" t="e">
        <f t="shared" ca="1" si="88"/>
        <v>#VALUE!</v>
      </c>
      <c r="O4464" s="7" t="str">
        <f ca="1">IFERROR(__xludf.DUMMYFUNCTION("GOOGLEFINANCE(""NSE:""&amp;D4464,""pe"")"),"#N/A")</f>
        <v>#N/A</v>
      </c>
      <c r="P4464" s="7" t="str">
        <f ca="1">IFERROR(__xludf.DUMMYFUNCTION("GOOGLEFINANCE(""NSE:""&amp;D4464,""EPS"")"),"#N/A")</f>
        <v>#N/A</v>
      </c>
      <c r="Q4464" s="7">
        <v>13.5</v>
      </c>
      <c r="R4464" s="7" t="str">
        <f ca="1">IFERROR(__xludf.DUMMYFUNCTION("IMPORTXML(E4464,""/html/body/main/div[3]/div[3]/div[2]/ul/li[7]/span[2]/span"")"),"Loading...")</f>
        <v>Loading...</v>
      </c>
      <c r="S4464" s="7" t="str">
        <f ca="1">IFERROR(__xludf.DUMMYFUNCTION("IMPORTXML(E4464,""/html/body/main/div[3]/div[3]/div[2]/ul/li[8]/span[2]/span"")"),"Loading...")</f>
        <v>Loading...</v>
      </c>
      <c r="T4464" s="4">
        <v>34.6</v>
      </c>
      <c r="U4464" s="4">
        <v>22.7</v>
      </c>
      <c r="V4464" s="4">
        <v>2.6</v>
      </c>
      <c r="W4464" s="4">
        <v>5.7</v>
      </c>
      <c r="X4464" s="4">
        <v>519.92999999999995</v>
      </c>
      <c r="Y4464" s="7" t="e">
        <f t="shared" ca="1" si="89"/>
        <v>#VALUE!</v>
      </c>
    </row>
    <row r="4465" spans="1:25" ht="15" x14ac:dyDescent="0.25">
      <c r="A4465" s="4">
        <v>4464</v>
      </c>
      <c r="C4465" s="41" t="s">
        <v>6841</v>
      </c>
      <c r="D4465" s="42"/>
      <c r="E4465" s="5" t="str">
        <f t="shared" si="85"/>
        <v>https://www.screener.in/company//consolidated/</v>
      </c>
      <c r="F4465" s="4">
        <v>443059</v>
      </c>
      <c r="G4465" s="4">
        <v>3832241897</v>
      </c>
      <c r="H4465" s="6" t="e">
        <f t="shared" ca="1" si="86"/>
        <v>#VALUE!</v>
      </c>
      <c r="I4465" s="7" t="str">
        <f ca="1">IFERROR(__xludf.DUMMYFUNCTION("IMPORTXML(E4465,""/html/body/main/div[3]/div[3]/div[2]/ul/li[5]/span[2]/span"")"),"Loading...")</f>
        <v>Loading...</v>
      </c>
      <c r="J4465" s="7" t="str">
        <f ca="1">IFERROR(__xludf.DUMMYFUNCTION("GOOGLEFINANCE(""NSE:""&amp;D4465,""marketcap"")"),"#N/A")</f>
        <v>#N/A</v>
      </c>
      <c r="K4465" s="7">
        <v>992.8</v>
      </c>
      <c r="L4465" s="8" t="str">
        <f ca="1">IFERROR(__xludf.DUMMYFUNCTION("GOOGLEFINANCE(""NSE:""&amp;D4465,""price"")"),"#N/A")</f>
        <v>#N/A</v>
      </c>
      <c r="M4465" s="9" t="e">
        <f t="shared" ca="1" si="87"/>
        <v>#VALUE!</v>
      </c>
      <c r="N4465" s="10" t="e">
        <f t="shared" ca="1" si="88"/>
        <v>#VALUE!</v>
      </c>
      <c r="O4465" s="7" t="str">
        <f ca="1">IFERROR(__xludf.DUMMYFUNCTION("GOOGLEFINANCE(""NSE:""&amp;D4465,""pe"")"),"#N/A")</f>
        <v>#N/A</v>
      </c>
      <c r="P4465" s="7" t="str">
        <f ca="1">IFERROR(__xludf.DUMMYFUNCTION("GOOGLEFINANCE(""NSE:""&amp;D4465,""EPS"")"),"#N/A")</f>
        <v>#N/A</v>
      </c>
      <c r="Q4465" s="7">
        <v>13.5</v>
      </c>
      <c r="R4465" s="7" t="str">
        <f ca="1">IFERROR(__xludf.DUMMYFUNCTION("IMPORTXML(E4465,""/html/body/main/div[3]/div[3]/div[2]/ul/li[7]/span[2]/span"")"),"Loading...")</f>
        <v>Loading...</v>
      </c>
      <c r="S4465" s="7" t="str">
        <f ca="1">IFERROR(__xludf.DUMMYFUNCTION("IMPORTXML(E4465,""/html/body/main/div[3]/div[3]/div[2]/ul/li[8]/span[2]/span"")"),"Loading...")</f>
        <v>Loading...</v>
      </c>
      <c r="T4465" s="4">
        <v>34.6</v>
      </c>
      <c r="U4465" s="4">
        <v>22.7</v>
      </c>
      <c r="V4465" s="4">
        <v>2.6</v>
      </c>
      <c r="W4465" s="4">
        <v>5.7</v>
      </c>
      <c r="X4465" s="4">
        <v>519.92999999999995</v>
      </c>
      <c r="Y4465" s="7" t="e">
        <f t="shared" ca="1" si="89"/>
        <v>#VALUE!</v>
      </c>
    </row>
    <row r="4466" spans="1:25" ht="15" x14ac:dyDescent="0.25">
      <c r="A4466" s="4">
        <v>4465</v>
      </c>
      <c r="C4466" s="41" t="s">
        <v>6842</v>
      </c>
      <c r="D4466" s="42"/>
      <c r="E4466" s="5" t="str">
        <f t="shared" si="85"/>
        <v>https://www.screener.in/company//consolidated/</v>
      </c>
      <c r="F4466" s="4">
        <v>443059</v>
      </c>
      <c r="G4466" s="4">
        <v>3832241897</v>
      </c>
      <c r="H4466" s="6" t="e">
        <f t="shared" ca="1" si="86"/>
        <v>#VALUE!</v>
      </c>
      <c r="I4466" s="7" t="str">
        <f ca="1">IFERROR(__xludf.DUMMYFUNCTION("IMPORTXML(E4466,""/html/body/main/div[3]/div[3]/div[2]/ul/li[5]/span[2]/span"")"),"Loading...")</f>
        <v>Loading...</v>
      </c>
      <c r="J4466" s="7" t="str">
        <f ca="1">IFERROR(__xludf.DUMMYFUNCTION("GOOGLEFINANCE(""NSE:""&amp;D4466,""marketcap"")"),"#N/A")</f>
        <v>#N/A</v>
      </c>
      <c r="K4466" s="7">
        <v>992.8</v>
      </c>
      <c r="L4466" s="8" t="str">
        <f ca="1">IFERROR(__xludf.DUMMYFUNCTION("GOOGLEFINANCE(""NSE:""&amp;D4466,""price"")"),"#N/A")</f>
        <v>#N/A</v>
      </c>
      <c r="M4466" s="9" t="e">
        <f t="shared" ca="1" si="87"/>
        <v>#VALUE!</v>
      </c>
      <c r="N4466" s="10" t="e">
        <f t="shared" ca="1" si="88"/>
        <v>#VALUE!</v>
      </c>
      <c r="O4466" s="7" t="str">
        <f ca="1">IFERROR(__xludf.DUMMYFUNCTION("GOOGLEFINANCE(""NSE:""&amp;D4466,""pe"")"),"#N/A")</f>
        <v>#N/A</v>
      </c>
      <c r="P4466" s="7" t="str">
        <f ca="1">IFERROR(__xludf.DUMMYFUNCTION("GOOGLEFINANCE(""NSE:""&amp;D4466,""EPS"")"),"#N/A")</f>
        <v>#N/A</v>
      </c>
      <c r="Q4466" s="7">
        <v>13.5</v>
      </c>
      <c r="R4466" s="7" t="str">
        <f ca="1">IFERROR(__xludf.DUMMYFUNCTION("IMPORTXML(E4466,""/html/body/main/div[3]/div[3]/div[2]/ul/li[7]/span[2]/span"")"),"Loading...")</f>
        <v>Loading...</v>
      </c>
      <c r="S4466" s="7" t="str">
        <f ca="1">IFERROR(__xludf.DUMMYFUNCTION("IMPORTXML(E4466,""/html/body/main/div[3]/div[3]/div[2]/ul/li[8]/span[2]/span"")"),"Loading...")</f>
        <v>Loading...</v>
      </c>
      <c r="T4466" s="4">
        <v>34.6</v>
      </c>
      <c r="U4466" s="4">
        <v>22.7</v>
      </c>
      <c r="V4466" s="4">
        <v>2.6</v>
      </c>
      <c r="W4466" s="4">
        <v>5.7</v>
      </c>
      <c r="X4466" s="4">
        <v>519.92999999999995</v>
      </c>
      <c r="Y4466" s="7" t="e">
        <f t="shared" ca="1" si="89"/>
        <v>#VALUE!</v>
      </c>
    </row>
    <row r="4467" spans="1:25" ht="15" x14ac:dyDescent="0.25">
      <c r="A4467" s="4">
        <v>4466</v>
      </c>
      <c r="C4467" s="41" t="s">
        <v>6843</v>
      </c>
      <c r="D4467" s="42"/>
      <c r="E4467" s="5" t="str">
        <f t="shared" si="85"/>
        <v>https://www.screener.in/company//consolidated/</v>
      </c>
      <c r="F4467" s="4">
        <v>443059</v>
      </c>
      <c r="G4467" s="4">
        <v>3832241897</v>
      </c>
      <c r="H4467" s="6" t="e">
        <f t="shared" ca="1" si="86"/>
        <v>#VALUE!</v>
      </c>
      <c r="I4467" s="7" t="str">
        <f ca="1">IFERROR(__xludf.DUMMYFUNCTION("IMPORTXML(E4467,""/html/body/main/div[3]/div[3]/div[2]/ul/li[5]/span[2]/span"")"),"Loading...")</f>
        <v>Loading...</v>
      </c>
      <c r="J4467" s="7" t="str">
        <f ca="1">IFERROR(__xludf.DUMMYFUNCTION("GOOGLEFINANCE(""NSE:""&amp;D4467,""marketcap"")"),"#N/A")</f>
        <v>#N/A</v>
      </c>
      <c r="K4467" s="7">
        <v>992.8</v>
      </c>
      <c r="L4467" s="8" t="str">
        <f ca="1">IFERROR(__xludf.DUMMYFUNCTION("GOOGLEFINANCE(""NSE:""&amp;D4467,""price"")"),"#N/A")</f>
        <v>#N/A</v>
      </c>
      <c r="M4467" s="9" t="e">
        <f t="shared" ca="1" si="87"/>
        <v>#VALUE!</v>
      </c>
      <c r="N4467" s="10" t="e">
        <f t="shared" ca="1" si="88"/>
        <v>#VALUE!</v>
      </c>
      <c r="O4467" s="7" t="str">
        <f ca="1">IFERROR(__xludf.DUMMYFUNCTION("GOOGLEFINANCE(""NSE:""&amp;D4467,""pe"")"),"#N/A")</f>
        <v>#N/A</v>
      </c>
      <c r="P4467" s="7" t="str">
        <f ca="1">IFERROR(__xludf.DUMMYFUNCTION("GOOGLEFINANCE(""NSE:""&amp;D4467,""EPS"")"),"#N/A")</f>
        <v>#N/A</v>
      </c>
      <c r="Q4467" s="7">
        <v>13.5</v>
      </c>
      <c r="R4467" s="7" t="str">
        <f ca="1">IFERROR(__xludf.DUMMYFUNCTION("IMPORTXML(E4467,""/html/body/main/div[3]/div[3]/div[2]/ul/li[7]/span[2]/span"")"),"Loading...")</f>
        <v>Loading...</v>
      </c>
      <c r="S4467" s="7" t="str">
        <f ca="1">IFERROR(__xludf.DUMMYFUNCTION("IMPORTXML(E4467,""/html/body/main/div[3]/div[3]/div[2]/ul/li[8]/span[2]/span"")"),"Loading...")</f>
        <v>Loading...</v>
      </c>
      <c r="T4467" s="4">
        <v>34.6</v>
      </c>
      <c r="U4467" s="4">
        <v>22.7</v>
      </c>
      <c r="V4467" s="4">
        <v>2.6</v>
      </c>
      <c r="W4467" s="4">
        <v>5.7</v>
      </c>
      <c r="X4467" s="4">
        <v>519.92999999999995</v>
      </c>
      <c r="Y4467" s="7" t="e">
        <f t="shared" ca="1" si="89"/>
        <v>#VALUE!</v>
      </c>
    </row>
    <row r="4468" spans="1:25" ht="15" x14ac:dyDescent="0.25">
      <c r="A4468" s="4">
        <v>4467</v>
      </c>
      <c r="C4468" s="41" t="s">
        <v>6844</v>
      </c>
      <c r="D4468" s="42"/>
      <c r="E4468" s="5" t="str">
        <f t="shared" si="85"/>
        <v>https://www.screener.in/company//consolidated/</v>
      </c>
      <c r="F4468" s="4">
        <v>443059</v>
      </c>
      <c r="G4468" s="4">
        <v>3832241897</v>
      </c>
      <c r="H4468" s="6" t="e">
        <f t="shared" ca="1" si="86"/>
        <v>#VALUE!</v>
      </c>
      <c r="I4468" s="7" t="str">
        <f ca="1">IFERROR(__xludf.DUMMYFUNCTION("IMPORTXML(E4468,""/html/body/main/div[3]/div[3]/div[2]/ul/li[5]/span[2]/span"")"),"Loading...")</f>
        <v>Loading...</v>
      </c>
      <c r="J4468" s="7" t="str">
        <f ca="1">IFERROR(__xludf.DUMMYFUNCTION("GOOGLEFINANCE(""NSE:""&amp;D4468,""marketcap"")"),"#N/A")</f>
        <v>#N/A</v>
      </c>
      <c r="K4468" s="7">
        <v>992.8</v>
      </c>
      <c r="L4468" s="8" t="str">
        <f ca="1">IFERROR(__xludf.DUMMYFUNCTION("GOOGLEFINANCE(""NSE:""&amp;D4468,""price"")"),"#N/A")</f>
        <v>#N/A</v>
      </c>
      <c r="M4468" s="9" t="e">
        <f t="shared" ca="1" si="87"/>
        <v>#VALUE!</v>
      </c>
      <c r="N4468" s="10" t="e">
        <f t="shared" ca="1" si="88"/>
        <v>#VALUE!</v>
      </c>
      <c r="O4468" s="7" t="str">
        <f ca="1">IFERROR(__xludf.DUMMYFUNCTION("GOOGLEFINANCE(""NSE:""&amp;D4468,""pe"")"),"#N/A")</f>
        <v>#N/A</v>
      </c>
      <c r="P4468" s="7" t="str">
        <f ca="1">IFERROR(__xludf.DUMMYFUNCTION("GOOGLEFINANCE(""NSE:""&amp;D4468,""EPS"")"),"#N/A")</f>
        <v>#N/A</v>
      </c>
      <c r="Q4468" s="7">
        <v>13.5</v>
      </c>
      <c r="R4468" s="7" t="str">
        <f ca="1">IFERROR(__xludf.DUMMYFUNCTION("IMPORTXML(E4468,""/html/body/main/div[3]/div[3]/div[2]/ul/li[7]/span[2]/span"")"),"Loading...")</f>
        <v>Loading...</v>
      </c>
      <c r="S4468" s="7" t="str">
        <f ca="1">IFERROR(__xludf.DUMMYFUNCTION("IMPORTXML(E4468,""/html/body/main/div[3]/div[3]/div[2]/ul/li[8]/span[2]/span"")"),"Loading...")</f>
        <v>Loading...</v>
      </c>
      <c r="T4468" s="4">
        <v>34.6</v>
      </c>
      <c r="U4468" s="4">
        <v>22.7</v>
      </c>
      <c r="V4468" s="4">
        <v>2.6</v>
      </c>
      <c r="W4468" s="4">
        <v>5.7</v>
      </c>
      <c r="X4468" s="4">
        <v>519.92999999999995</v>
      </c>
      <c r="Y4468" s="7" t="e">
        <f t="shared" ca="1" si="89"/>
        <v>#VALUE!</v>
      </c>
    </row>
    <row r="4469" spans="1:25" ht="15" x14ac:dyDescent="0.25">
      <c r="A4469" s="4">
        <v>4468</v>
      </c>
      <c r="C4469" s="41" t="s">
        <v>6845</v>
      </c>
      <c r="D4469" s="42"/>
      <c r="E4469" s="5" t="str">
        <f t="shared" si="85"/>
        <v>https://www.screener.in/company//consolidated/</v>
      </c>
      <c r="F4469" s="4">
        <v>443059</v>
      </c>
      <c r="G4469" s="4">
        <v>3832241897</v>
      </c>
      <c r="H4469" s="6" t="e">
        <f t="shared" ca="1" si="86"/>
        <v>#VALUE!</v>
      </c>
      <c r="I4469" s="7" t="str">
        <f ca="1">IFERROR(__xludf.DUMMYFUNCTION("IMPORTXML(E4469,""/html/body/main/div[3]/div[3]/div[2]/ul/li[5]/span[2]/span"")"),"Loading...")</f>
        <v>Loading...</v>
      </c>
      <c r="J4469" s="7" t="str">
        <f ca="1">IFERROR(__xludf.DUMMYFUNCTION("GOOGLEFINANCE(""NSE:""&amp;D4469,""marketcap"")"),"#N/A")</f>
        <v>#N/A</v>
      </c>
      <c r="K4469" s="7">
        <v>992.8</v>
      </c>
      <c r="L4469" s="8" t="str">
        <f ca="1">IFERROR(__xludf.DUMMYFUNCTION("GOOGLEFINANCE(""NSE:""&amp;D4469,""price"")"),"#N/A")</f>
        <v>#N/A</v>
      </c>
      <c r="M4469" s="9" t="e">
        <f t="shared" ca="1" si="87"/>
        <v>#VALUE!</v>
      </c>
      <c r="N4469" s="10" t="e">
        <f t="shared" ca="1" si="88"/>
        <v>#VALUE!</v>
      </c>
      <c r="O4469" s="7" t="str">
        <f ca="1">IFERROR(__xludf.DUMMYFUNCTION("GOOGLEFINANCE(""NSE:""&amp;D4469,""pe"")"),"#N/A")</f>
        <v>#N/A</v>
      </c>
      <c r="P4469" s="7" t="str">
        <f ca="1">IFERROR(__xludf.DUMMYFUNCTION("GOOGLEFINANCE(""NSE:""&amp;D4469,""EPS"")"),"#N/A")</f>
        <v>#N/A</v>
      </c>
      <c r="Q4469" s="7">
        <v>13.5</v>
      </c>
      <c r="R4469" s="7" t="str">
        <f ca="1">IFERROR(__xludf.DUMMYFUNCTION("IMPORTXML(E4469,""/html/body/main/div[3]/div[3]/div[2]/ul/li[7]/span[2]/span"")"),"Loading...")</f>
        <v>Loading...</v>
      </c>
      <c r="S4469" s="7" t="str">
        <f ca="1">IFERROR(__xludf.DUMMYFUNCTION("IMPORTXML(E4469,""/html/body/main/div[3]/div[3]/div[2]/ul/li[8]/span[2]/span"")"),"Loading...")</f>
        <v>Loading...</v>
      </c>
      <c r="T4469" s="4">
        <v>34.6</v>
      </c>
      <c r="U4469" s="4">
        <v>22.7</v>
      </c>
      <c r="V4469" s="4">
        <v>2.6</v>
      </c>
      <c r="W4469" s="4">
        <v>5.7</v>
      </c>
      <c r="X4469" s="4">
        <v>519.92999999999995</v>
      </c>
      <c r="Y4469" s="7" t="e">
        <f t="shared" ca="1" si="89"/>
        <v>#VALUE!</v>
      </c>
    </row>
    <row r="4470" spans="1:25" ht="15" x14ac:dyDescent="0.25">
      <c r="A4470" s="4">
        <v>4469</v>
      </c>
      <c r="C4470" s="41" t="s">
        <v>6846</v>
      </c>
      <c r="D4470" s="42"/>
      <c r="E4470" s="5" t="str">
        <f t="shared" si="85"/>
        <v>https://www.screener.in/company//consolidated/</v>
      </c>
      <c r="F4470" s="4">
        <v>443059</v>
      </c>
      <c r="G4470" s="4">
        <v>3832241897</v>
      </c>
      <c r="H4470" s="6" t="e">
        <f t="shared" ca="1" si="86"/>
        <v>#VALUE!</v>
      </c>
      <c r="I4470" s="7" t="str">
        <f ca="1">IFERROR(__xludf.DUMMYFUNCTION("IMPORTXML(E4470,""/html/body/main/div[3]/div[3]/div[2]/ul/li[5]/span[2]/span"")"),"Loading...")</f>
        <v>Loading...</v>
      </c>
      <c r="J4470" s="7" t="str">
        <f ca="1">IFERROR(__xludf.DUMMYFUNCTION("GOOGLEFINANCE(""NSE:""&amp;D4470,""marketcap"")"),"#N/A")</f>
        <v>#N/A</v>
      </c>
      <c r="K4470" s="7">
        <v>992.8</v>
      </c>
      <c r="L4470" s="8" t="str">
        <f ca="1">IFERROR(__xludf.DUMMYFUNCTION("GOOGLEFINANCE(""NSE:""&amp;D4470,""price"")"),"#N/A")</f>
        <v>#N/A</v>
      </c>
      <c r="M4470" s="9" t="e">
        <f t="shared" ca="1" si="87"/>
        <v>#VALUE!</v>
      </c>
      <c r="N4470" s="10" t="e">
        <f t="shared" ca="1" si="88"/>
        <v>#VALUE!</v>
      </c>
      <c r="O4470" s="7" t="str">
        <f ca="1">IFERROR(__xludf.DUMMYFUNCTION("GOOGLEFINANCE(""NSE:""&amp;D4470,""pe"")"),"#N/A")</f>
        <v>#N/A</v>
      </c>
      <c r="P4470" s="7" t="str">
        <f ca="1">IFERROR(__xludf.DUMMYFUNCTION("GOOGLEFINANCE(""NSE:""&amp;D4470,""EPS"")"),"#N/A")</f>
        <v>#N/A</v>
      </c>
      <c r="Q4470" s="7">
        <v>13.5</v>
      </c>
      <c r="R4470" s="7" t="str">
        <f ca="1">IFERROR(__xludf.DUMMYFUNCTION("IMPORTXML(E4470,""/html/body/main/div[3]/div[3]/div[2]/ul/li[7]/span[2]/span"")"),"Loading...")</f>
        <v>Loading...</v>
      </c>
      <c r="S4470" s="7" t="str">
        <f ca="1">IFERROR(__xludf.DUMMYFUNCTION("IMPORTXML(E4470,""/html/body/main/div[3]/div[3]/div[2]/ul/li[8]/span[2]/span"")"),"Loading...")</f>
        <v>Loading...</v>
      </c>
      <c r="T4470" s="4">
        <v>34.6</v>
      </c>
      <c r="U4470" s="4">
        <v>22.7</v>
      </c>
      <c r="V4470" s="4">
        <v>2.6</v>
      </c>
      <c r="W4470" s="4">
        <v>5.7</v>
      </c>
      <c r="X4470" s="4">
        <v>519.92999999999995</v>
      </c>
      <c r="Y4470" s="7" t="e">
        <f t="shared" ca="1" si="89"/>
        <v>#VALUE!</v>
      </c>
    </row>
    <row r="4471" spans="1:25" ht="15" x14ac:dyDescent="0.25">
      <c r="A4471" s="4">
        <v>4470</v>
      </c>
      <c r="C4471" s="41" t="s">
        <v>6847</v>
      </c>
      <c r="D4471" s="42"/>
      <c r="E4471" s="5" t="str">
        <f t="shared" si="85"/>
        <v>https://www.screener.in/company//consolidated/</v>
      </c>
      <c r="F4471" s="4">
        <v>443059</v>
      </c>
      <c r="G4471" s="4">
        <v>3832241897</v>
      </c>
      <c r="H4471" s="6" t="e">
        <f t="shared" ca="1" si="86"/>
        <v>#VALUE!</v>
      </c>
      <c r="I4471" s="7" t="str">
        <f ca="1">IFERROR(__xludf.DUMMYFUNCTION("IMPORTXML(E4471,""/html/body/main/div[3]/div[3]/div[2]/ul/li[5]/span[2]/span"")"),"Loading...")</f>
        <v>Loading...</v>
      </c>
      <c r="J4471" s="7" t="str">
        <f ca="1">IFERROR(__xludf.DUMMYFUNCTION("GOOGLEFINANCE(""NSE:""&amp;D4471,""marketcap"")"),"#N/A")</f>
        <v>#N/A</v>
      </c>
      <c r="K4471" s="7">
        <v>992.8</v>
      </c>
      <c r="L4471" s="8" t="str">
        <f ca="1">IFERROR(__xludf.DUMMYFUNCTION("GOOGLEFINANCE(""NSE:""&amp;D4471,""price"")"),"#N/A")</f>
        <v>#N/A</v>
      </c>
      <c r="M4471" s="9" t="e">
        <f t="shared" ca="1" si="87"/>
        <v>#VALUE!</v>
      </c>
      <c r="N4471" s="10" t="e">
        <f t="shared" ca="1" si="88"/>
        <v>#VALUE!</v>
      </c>
      <c r="O4471" s="7" t="str">
        <f ca="1">IFERROR(__xludf.DUMMYFUNCTION("GOOGLEFINANCE(""NSE:""&amp;D4471,""pe"")"),"#N/A")</f>
        <v>#N/A</v>
      </c>
      <c r="P4471" s="7" t="str">
        <f ca="1">IFERROR(__xludf.DUMMYFUNCTION("GOOGLEFINANCE(""NSE:""&amp;D4471,""EPS"")"),"#N/A")</f>
        <v>#N/A</v>
      </c>
      <c r="Q4471" s="7">
        <v>13.5</v>
      </c>
      <c r="R4471" s="7" t="str">
        <f ca="1">IFERROR(__xludf.DUMMYFUNCTION("IMPORTXML(E4471,""/html/body/main/div[3]/div[3]/div[2]/ul/li[7]/span[2]/span"")"),"Loading...")</f>
        <v>Loading...</v>
      </c>
      <c r="S4471" s="7" t="str">
        <f ca="1">IFERROR(__xludf.DUMMYFUNCTION("IMPORTXML(E4471,""/html/body/main/div[3]/div[3]/div[2]/ul/li[8]/span[2]/span"")"),"Loading...")</f>
        <v>Loading...</v>
      </c>
      <c r="T4471" s="4">
        <v>34.6</v>
      </c>
      <c r="U4471" s="4">
        <v>22.7</v>
      </c>
      <c r="V4471" s="4">
        <v>2.6</v>
      </c>
      <c r="W4471" s="4">
        <v>5.7</v>
      </c>
      <c r="X4471" s="4">
        <v>519.92999999999995</v>
      </c>
      <c r="Y4471" s="7" t="e">
        <f t="shared" ca="1" si="89"/>
        <v>#VALUE!</v>
      </c>
    </row>
    <row r="4472" spans="1:25" ht="15" x14ac:dyDescent="0.25">
      <c r="A4472" s="4">
        <v>4471</v>
      </c>
      <c r="C4472" s="41" t="s">
        <v>6848</v>
      </c>
      <c r="D4472" s="42"/>
      <c r="E4472" s="5" t="str">
        <f t="shared" si="85"/>
        <v>https://www.screener.in/company//consolidated/</v>
      </c>
      <c r="F4472" s="4">
        <v>443059</v>
      </c>
      <c r="G4472" s="4">
        <v>3832241897</v>
      </c>
      <c r="H4472" s="6" t="e">
        <f t="shared" ca="1" si="86"/>
        <v>#VALUE!</v>
      </c>
      <c r="I4472" s="7" t="str">
        <f ca="1">IFERROR(__xludf.DUMMYFUNCTION("IMPORTXML(E4472,""/html/body/main/div[3]/div[3]/div[2]/ul/li[5]/span[2]/span"")"),"Loading...")</f>
        <v>Loading...</v>
      </c>
      <c r="J4472" s="7" t="str">
        <f ca="1">IFERROR(__xludf.DUMMYFUNCTION("GOOGLEFINANCE(""NSE:""&amp;D4472,""marketcap"")"),"#N/A")</f>
        <v>#N/A</v>
      </c>
      <c r="K4472" s="7">
        <v>992.8</v>
      </c>
      <c r="L4472" s="8" t="str">
        <f ca="1">IFERROR(__xludf.DUMMYFUNCTION("GOOGLEFINANCE(""NSE:""&amp;D4472,""price"")"),"#N/A")</f>
        <v>#N/A</v>
      </c>
      <c r="M4472" s="9" t="e">
        <f t="shared" ca="1" si="87"/>
        <v>#VALUE!</v>
      </c>
      <c r="N4472" s="10" t="e">
        <f t="shared" ca="1" si="88"/>
        <v>#VALUE!</v>
      </c>
      <c r="O4472" s="7" t="str">
        <f ca="1">IFERROR(__xludf.DUMMYFUNCTION("GOOGLEFINANCE(""NSE:""&amp;D4472,""pe"")"),"#N/A")</f>
        <v>#N/A</v>
      </c>
      <c r="P4472" s="7" t="str">
        <f ca="1">IFERROR(__xludf.DUMMYFUNCTION("GOOGLEFINANCE(""NSE:""&amp;D4472,""EPS"")"),"#N/A")</f>
        <v>#N/A</v>
      </c>
      <c r="Q4472" s="7">
        <v>13.5</v>
      </c>
      <c r="R4472" s="7" t="str">
        <f ca="1">IFERROR(__xludf.DUMMYFUNCTION("IMPORTXML(E4472,""/html/body/main/div[3]/div[3]/div[2]/ul/li[7]/span[2]/span"")"),"Loading...")</f>
        <v>Loading...</v>
      </c>
      <c r="S4472" s="7" t="str">
        <f ca="1">IFERROR(__xludf.DUMMYFUNCTION("IMPORTXML(E4472,""/html/body/main/div[3]/div[3]/div[2]/ul/li[8]/span[2]/span"")"),"Loading...")</f>
        <v>Loading...</v>
      </c>
      <c r="T4472" s="4">
        <v>34.6</v>
      </c>
      <c r="U4472" s="4">
        <v>22.7</v>
      </c>
      <c r="V4472" s="4">
        <v>2.6</v>
      </c>
      <c r="W4472" s="4">
        <v>5.7</v>
      </c>
      <c r="X4472" s="4">
        <v>519.92999999999995</v>
      </c>
      <c r="Y4472" s="7" t="e">
        <f t="shared" ca="1" si="89"/>
        <v>#VALUE!</v>
      </c>
    </row>
    <row r="4473" spans="1:25" ht="15" x14ac:dyDescent="0.25">
      <c r="A4473" s="4">
        <v>4472</v>
      </c>
      <c r="C4473" s="41" t="s">
        <v>6849</v>
      </c>
      <c r="D4473" s="42"/>
      <c r="E4473" s="5" t="str">
        <f t="shared" si="85"/>
        <v>https://www.screener.in/company//consolidated/</v>
      </c>
      <c r="F4473" s="4">
        <v>443059</v>
      </c>
      <c r="G4473" s="4">
        <v>3832241897</v>
      </c>
      <c r="H4473" s="6" t="e">
        <f t="shared" ca="1" si="86"/>
        <v>#VALUE!</v>
      </c>
      <c r="I4473" s="7" t="str">
        <f ca="1">IFERROR(__xludf.DUMMYFUNCTION("IMPORTXML(E4473,""/html/body/main/div[3]/div[3]/div[2]/ul/li[5]/span[2]/span"")"),"Loading...")</f>
        <v>Loading...</v>
      </c>
      <c r="J4473" s="7" t="str">
        <f ca="1">IFERROR(__xludf.DUMMYFUNCTION("GOOGLEFINANCE(""NSE:""&amp;D4473,""marketcap"")"),"#N/A")</f>
        <v>#N/A</v>
      </c>
      <c r="K4473" s="7">
        <v>992.8</v>
      </c>
      <c r="L4473" s="8" t="str">
        <f ca="1">IFERROR(__xludf.DUMMYFUNCTION("GOOGLEFINANCE(""NSE:""&amp;D4473,""price"")"),"#N/A")</f>
        <v>#N/A</v>
      </c>
      <c r="M4473" s="9" t="e">
        <f t="shared" ca="1" si="87"/>
        <v>#VALUE!</v>
      </c>
      <c r="N4473" s="10" t="e">
        <f t="shared" ca="1" si="88"/>
        <v>#VALUE!</v>
      </c>
      <c r="O4473" s="7" t="str">
        <f ca="1">IFERROR(__xludf.DUMMYFUNCTION("GOOGLEFINANCE(""NSE:""&amp;D4473,""pe"")"),"#N/A")</f>
        <v>#N/A</v>
      </c>
      <c r="P4473" s="7" t="str">
        <f ca="1">IFERROR(__xludf.DUMMYFUNCTION("GOOGLEFINANCE(""NSE:""&amp;D4473,""EPS"")"),"#N/A")</f>
        <v>#N/A</v>
      </c>
      <c r="Q4473" s="7">
        <v>13.5</v>
      </c>
      <c r="R4473" s="7" t="str">
        <f ca="1">IFERROR(__xludf.DUMMYFUNCTION("IMPORTXML(E4473,""/html/body/main/div[3]/div[3]/div[2]/ul/li[7]/span[2]/span"")"),"Loading...")</f>
        <v>Loading...</v>
      </c>
      <c r="S4473" s="7" t="str">
        <f ca="1">IFERROR(__xludf.DUMMYFUNCTION("IMPORTXML(E4473,""/html/body/main/div[3]/div[3]/div[2]/ul/li[8]/span[2]/span"")"),"Loading...")</f>
        <v>Loading...</v>
      </c>
      <c r="T4473" s="4">
        <v>34.6</v>
      </c>
      <c r="U4473" s="4">
        <v>22.7</v>
      </c>
      <c r="V4473" s="4">
        <v>2.6</v>
      </c>
      <c r="W4473" s="4">
        <v>5.7</v>
      </c>
      <c r="X4473" s="4">
        <v>519.92999999999995</v>
      </c>
      <c r="Y4473" s="7" t="e">
        <f t="shared" ca="1" si="89"/>
        <v>#VALUE!</v>
      </c>
    </row>
    <row r="4474" spans="1:25" ht="15" x14ac:dyDescent="0.25">
      <c r="A4474" s="4">
        <v>4473</v>
      </c>
      <c r="C4474" s="41" t="s">
        <v>6850</v>
      </c>
      <c r="D4474" s="42"/>
      <c r="E4474" s="5" t="str">
        <f t="shared" si="85"/>
        <v>https://www.screener.in/company//consolidated/</v>
      </c>
      <c r="F4474" s="4">
        <v>443059</v>
      </c>
      <c r="G4474" s="4">
        <v>3832241897</v>
      </c>
      <c r="H4474" s="6" t="e">
        <f t="shared" ca="1" si="86"/>
        <v>#VALUE!</v>
      </c>
      <c r="I4474" s="7" t="str">
        <f ca="1">IFERROR(__xludf.DUMMYFUNCTION("IMPORTXML(E4474,""/html/body/main/div[3]/div[3]/div[2]/ul/li[5]/span[2]/span"")"),"Loading...")</f>
        <v>Loading...</v>
      </c>
      <c r="J4474" s="7" t="str">
        <f ca="1">IFERROR(__xludf.DUMMYFUNCTION("GOOGLEFINANCE(""NSE:""&amp;D4474,""marketcap"")"),"#N/A")</f>
        <v>#N/A</v>
      </c>
      <c r="K4474" s="7">
        <v>992.8</v>
      </c>
      <c r="L4474" s="8" t="str">
        <f ca="1">IFERROR(__xludf.DUMMYFUNCTION("GOOGLEFINANCE(""NSE:""&amp;D4474,""price"")"),"#N/A")</f>
        <v>#N/A</v>
      </c>
      <c r="M4474" s="9" t="e">
        <f t="shared" ca="1" si="87"/>
        <v>#VALUE!</v>
      </c>
      <c r="N4474" s="10" t="e">
        <f t="shared" ca="1" si="88"/>
        <v>#VALUE!</v>
      </c>
      <c r="O4474" s="7" t="str">
        <f ca="1">IFERROR(__xludf.DUMMYFUNCTION("GOOGLEFINANCE(""NSE:""&amp;D4474,""pe"")"),"#N/A")</f>
        <v>#N/A</v>
      </c>
      <c r="P4474" s="7" t="str">
        <f ca="1">IFERROR(__xludf.DUMMYFUNCTION("GOOGLEFINANCE(""NSE:""&amp;D4474,""EPS"")"),"#N/A")</f>
        <v>#N/A</v>
      </c>
      <c r="Q4474" s="7">
        <v>13.5</v>
      </c>
      <c r="R4474" s="7" t="str">
        <f ca="1">IFERROR(__xludf.DUMMYFUNCTION("IMPORTXML(E4474,""/html/body/main/div[3]/div[3]/div[2]/ul/li[7]/span[2]/span"")"),"Loading...")</f>
        <v>Loading...</v>
      </c>
      <c r="S4474" s="7" t="str">
        <f ca="1">IFERROR(__xludf.DUMMYFUNCTION("IMPORTXML(E4474,""/html/body/main/div[3]/div[3]/div[2]/ul/li[8]/span[2]/span"")"),"Loading...")</f>
        <v>Loading...</v>
      </c>
      <c r="T4474" s="4">
        <v>34.6</v>
      </c>
      <c r="U4474" s="4">
        <v>22.7</v>
      </c>
      <c r="V4474" s="4">
        <v>2.6</v>
      </c>
      <c r="W4474" s="4">
        <v>5.7</v>
      </c>
      <c r="X4474" s="4">
        <v>519.92999999999995</v>
      </c>
      <c r="Y4474" s="7" t="e">
        <f t="shared" ca="1" si="89"/>
        <v>#VALUE!</v>
      </c>
    </row>
    <row r="4475" spans="1:25" ht="15" x14ac:dyDescent="0.25">
      <c r="A4475" s="4">
        <v>4474</v>
      </c>
      <c r="C4475" s="41" t="s">
        <v>6851</v>
      </c>
      <c r="D4475" s="42"/>
      <c r="E4475" s="5" t="str">
        <f t="shared" si="85"/>
        <v>https://www.screener.in/company//consolidated/</v>
      </c>
      <c r="F4475" s="4">
        <v>443059</v>
      </c>
      <c r="G4475" s="4">
        <v>3832241897</v>
      </c>
      <c r="H4475" s="6" t="e">
        <f t="shared" ca="1" si="86"/>
        <v>#VALUE!</v>
      </c>
      <c r="I4475" s="7" t="str">
        <f ca="1">IFERROR(__xludf.DUMMYFUNCTION("IMPORTXML(E4475,""/html/body/main/div[3]/div[3]/div[2]/ul/li[5]/span[2]/span"")"),"Loading...")</f>
        <v>Loading...</v>
      </c>
      <c r="J4475" s="7" t="str">
        <f ca="1">IFERROR(__xludf.DUMMYFUNCTION("GOOGLEFINANCE(""NSE:""&amp;D4475,""marketcap"")"),"#N/A")</f>
        <v>#N/A</v>
      </c>
      <c r="K4475" s="7">
        <v>992.8</v>
      </c>
      <c r="L4475" s="8" t="str">
        <f ca="1">IFERROR(__xludf.DUMMYFUNCTION("GOOGLEFINANCE(""NSE:""&amp;D4475,""price"")"),"#N/A")</f>
        <v>#N/A</v>
      </c>
      <c r="M4475" s="9" t="e">
        <f t="shared" ca="1" si="87"/>
        <v>#VALUE!</v>
      </c>
      <c r="N4475" s="10" t="e">
        <f t="shared" ca="1" si="88"/>
        <v>#VALUE!</v>
      </c>
      <c r="O4475" s="7" t="str">
        <f ca="1">IFERROR(__xludf.DUMMYFUNCTION("GOOGLEFINANCE(""NSE:""&amp;D4475,""pe"")"),"#N/A")</f>
        <v>#N/A</v>
      </c>
      <c r="P4475" s="7" t="str">
        <f ca="1">IFERROR(__xludf.DUMMYFUNCTION("GOOGLEFINANCE(""NSE:""&amp;D4475,""EPS"")"),"#N/A")</f>
        <v>#N/A</v>
      </c>
      <c r="Q4475" s="7">
        <v>13.5</v>
      </c>
      <c r="R4475" s="7" t="str">
        <f ca="1">IFERROR(__xludf.DUMMYFUNCTION("IMPORTXML(E4475,""/html/body/main/div[3]/div[3]/div[2]/ul/li[7]/span[2]/span"")"),"Loading...")</f>
        <v>Loading...</v>
      </c>
      <c r="S4475" s="7" t="str">
        <f ca="1">IFERROR(__xludf.DUMMYFUNCTION("IMPORTXML(E4475,""/html/body/main/div[3]/div[3]/div[2]/ul/li[8]/span[2]/span"")"),"Loading...")</f>
        <v>Loading...</v>
      </c>
      <c r="T4475" s="4">
        <v>34.6</v>
      </c>
      <c r="U4475" s="4">
        <v>22.7</v>
      </c>
      <c r="V4475" s="4">
        <v>2.6</v>
      </c>
      <c r="W4475" s="4">
        <v>5.7</v>
      </c>
      <c r="X4475" s="4">
        <v>519.92999999999995</v>
      </c>
      <c r="Y4475" s="7" t="e">
        <f t="shared" ca="1" si="89"/>
        <v>#VALUE!</v>
      </c>
    </row>
    <row r="4476" spans="1:25" ht="15" x14ac:dyDescent="0.25">
      <c r="A4476" s="4">
        <v>4475</v>
      </c>
      <c r="C4476" s="41" t="s">
        <v>6852</v>
      </c>
      <c r="D4476" s="42"/>
      <c r="E4476" s="5" t="str">
        <f t="shared" si="85"/>
        <v>https://www.screener.in/company//consolidated/</v>
      </c>
      <c r="F4476" s="4">
        <v>443059</v>
      </c>
      <c r="G4476" s="4">
        <v>3832241897</v>
      </c>
      <c r="H4476" s="6" t="e">
        <f t="shared" ca="1" si="86"/>
        <v>#VALUE!</v>
      </c>
      <c r="I4476" s="7" t="str">
        <f ca="1">IFERROR(__xludf.DUMMYFUNCTION("IMPORTXML(E4476,""/html/body/main/div[3]/div[3]/div[2]/ul/li[5]/span[2]/span"")"),"Loading...")</f>
        <v>Loading...</v>
      </c>
      <c r="J4476" s="7" t="str">
        <f ca="1">IFERROR(__xludf.DUMMYFUNCTION("GOOGLEFINANCE(""NSE:""&amp;D4476,""marketcap"")"),"#N/A")</f>
        <v>#N/A</v>
      </c>
      <c r="K4476" s="7">
        <v>992.8</v>
      </c>
      <c r="L4476" s="8" t="str">
        <f ca="1">IFERROR(__xludf.DUMMYFUNCTION("GOOGLEFINANCE(""NSE:""&amp;D4476,""price"")"),"#N/A")</f>
        <v>#N/A</v>
      </c>
      <c r="M4476" s="9" t="e">
        <f t="shared" ca="1" si="87"/>
        <v>#VALUE!</v>
      </c>
      <c r="N4476" s="10" t="e">
        <f t="shared" ca="1" si="88"/>
        <v>#VALUE!</v>
      </c>
      <c r="O4476" s="7" t="str">
        <f ca="1">IFERROR(__xludf.DUMMYFUNCTION("GOOGLEFINANCE(""NSE:""&amp;D4476,""pe"")"),"#N/A")</f>
        <v>#N/A</v>
      </c>
      <c r="P4476" s="7" t="str">
        <f ca="1">IFERROR(__xludf.DUMMYFUNCTION("GOOGLEFINANCE(""NSE:""&amp;D4476,""EPS"")"),"#N/A")</f>
        <v>#N/A</v>
      </c>
      <c r="Q4476" s="7">
        <v>13.5</v>
      </c>
      <c r="R4476" s="7" t="str">
        <f ca="1">IFERROR(__xludf.DUMMYFUNCTION("IMPORTXML(E4476,""/html/body/main/div[3]/div[3]/div[2]/ul/li[7]/span[2]/span"")"),"Loading...")</f>
        <v>Loading...</v>
      </c>
      <c r="S4476" s="7" t="str">
        <f ca="1">IFERROR(__xludf.DUMMYFUNCTION("IMPORTXML(E4476,""/html/body/main/div[3]/div[3]/div[2]/ul/li[8]/span[2]/span"")"),"Loading...")</f>
        <v>Loading...</v>
      </c>
      <c r="T4476" s="4">
        <v>34.6</v>
      </c>
      <c r="U4476" s="4">
        <v>22.7</v>
      </c>
      <c r="V4476" s="4">
        <v>2.6</v>
      </c>
      <c r="W4476" s="4">
        <v>5.7</v>
      </c>
      <c r="X4476" s="4">
        <v>519.92999999999995</v>
      </c>
      <c r="Y4476" s="7" t="e">
        <f t="shared" ca="1" si="89"/>
        <v>#VALUE!</v>
      </c>
    </row>
    <row r="4477" spans="1:25" ht="15" x14ac:dyDescent="0.25">
      <c r="A4477" s="4">
        <v>4476</v>
      </c>
      <c r="C4477" s="41" t="s">
        <v>6853</v>
      </c>
      <c r="D4477" s="42"/>
      <c r="E4477" s="5" t="str">
        <f t="shared" si="85"/>
        <v>https://www.screener.in/company//consolidated/</v>
      </c>
      <c r="F4477" s="4">
        <v>443059</v>
      </c>
      <c r="G4477" s="4">
        <v>3832241897</v>
      </c>
      <c r="H4477" s="6" t="e">
        <f t="shared" ca="1" si="86"/>
        <v>#VALUE!</v>
      </c>
      <c r="I4477" s="7" t="str">
        <f ca="1">IFERROR(__xludf.DUMMYFUNCTION("IMPORTXML(E4477,""/html/body/main/div[3]/div[3]/div[2]/ul/li[5]/span[2]/span"")"),"Loading...")</f>
        <v>Loading...</v>
      </c>
      <c r="J4477" s="7" t="str">
        <f ca="1">IFERROR(__xludf.DUMMYFUNCTION("GOOGLEFINANCE(""NSE:""&amp;D4477,""marketcap"")"),"#N/A")</f>
        <v>#N/A</v>
      </c>
      <c r="K4477" s="7">
        <v>992.8</v>
      </c>
      <c r="L4477" s="8" t="str">
        <f ca="1">IFERROR(__xludf.DUMMYFUNCTION("GOOGLEFINANCE(""NSE:""&amp;D4477,""price"")"),"#N/A")</f>
        <v>#N/A</v>
      </c>
      <c r="M4477" s="9" t="e">
        <f t="shared" ca="1" si="87"/>
        <v>#VALUE!</v>
      </c>
      <c r="N4477" s="10" t="e">
        <f t="shared" ca="1" si="88"/>
        <v>#VALUE!</v>
      </c>
      <c r="O4477" s="7" t="str">
        <f ca="1">IFERROR(__xludf.DUMMYFUNCTION("GOOGLEFINANCE(""NSE:""&amp;D4477,""pe"")"),"#N/A")</f>
        <v>#N/A</v>
      </c>
      <c r="P4477" s="7" t="str">
        <f ca="1">IFERROR(__xludf.DUMMYFUNCTION("GOOGLEFINANCE(""NSE:""&amp;D4477,""EPS"")"),"#N/A")</f>
        <v>#N/A</v>
      </c>
      <c r="Q4477" s="7">
        <v>13.5</v>
      </c>
      <c r="R4477" s="7" t="str">
        <f ca="1">IFERROR(__xludf.DUMMYFUNCTION("IMPORTXML(E4477,""/html/body/main/div[3]/div[3]/div[2]/ul/li[7]/span[2]/span"")"),"Loading...")</f>
        <v>Loading...</v>
      </c>
      <c r="S4477" s="7" t="str">
        <f ca="1">IFERROR(__xludf.DUMMYFUNCTION("IMPORTXML(E4477,""/html/body/main/div[3]/div[3]/div[2]/ul/li[8]/span[2]/span"")"),"Loading...")</f>
        <v>Loading...</v>
      </c>
      <c r="T4477" s="4">
        <v>34.6</v>
      </c>
      <c r="U4477" s="4">
        <v>22.7</v>
      </c>
      <c r="V4477" s="4">
        <v>2.6</v>
      </c>
      <c r="W4477" s="4">
        <v>5.7</v>
      </c>
      <c r="X4477" s="4">
        <v>519.92999999999995</v>
      </c>
      <c r="Y4477" s="7" t="e">
        <f t="shared" ca="1" si="89"/>
        <v>#VALUE!</v>
      </c>
    </row>
    <row r="4478" spans="1:25" ht="15" x14ac:dyDescent="0.25">
      <c r="A4478" s="4">
        <v>4477</v>
      </c>
      <c r="C4478" s="41" t="s">
        <v>6854</v>
      </c>
      <c r="D4478" s="42"/>
      <c r="E4478" s="5" t="str">
        <f t="shared" si="85"/>
        <v>https://www.screener.in/company//consolidated/</v>
      </c>
      <c r="F4478" s="4">
        <v>443059</v>
      </c>
      <c r="G4478" s="4">
        <v>3832241897</v>
      </c>
      <c r="H4478" s="6" t="e">
        <f t="shared" ca="1" si="86"/>
        <v>#VALUE!</v>
      </c>
      <c r="I4478" s="7" t="str">
        <f ca="1">IFERROR(__xludf.DUMMYFUNCTION("IMPORTXML(E4478,""/html/body/main/div[3]/div[3]/div[2]/ul/li[5]/span[2]/span"")"),"Loading...")</f>
        <v>Loading...</v>
      </c>
      <c r="J4478" s="7" t="str">
        <f ca="1">IFERROR(__xludf.DUMMYFUNCTION("GOOGLEFINANCE(""NSE:""&amp;D4478,""marketcap"")"),"#N/A")</f>
        <v>#N/A</v>
      </c>
      <c r="K4478" s="7">
        <v>992.8</v>
      </c>
      <c r="L4478" s="8" t="str">
        <f ca="1">IFERROR(__xludf.DUMMYFUNCTION("GOOGLEFINANCE(""NSE:""&amp;D4478,""price"")"),"#N/A")</f>
        <v>#N/A</v>
      </c>
      <c r="M4478" s="9" t="e">
        <f t="shared" ca="1" si="87"/>
        <v>#VALUE!</v>
      </c>
      <c r="N4478" s="10" t="e">
        <f t="shared" ca="1" si="88"/>
        <v>#VALUE!</v>
      </c>
      <c r="O4478" s="7" t="str">
        <f ca="1">IFERROR(__xludf.DUMMYFUNCTION("GOOGLEFINANCE(""NSE:""&amp;D4478,""pe"")"),"#N/A")</f>
        <v>#N/A</v>
      </c>
      <c r="P4478" s="7" t="str">
        <f ca="1">IFERROR(__xludf.DUMMYFUNCTION("GOOGLEFINANCE(""NSE:""&amp;D4478,""EPS"")"),"#N/A")</f>
        <v>#N/A</v>
      </c>
      <c r="Q4478" s="7">
        <v>13.5</v>
      </c>
      <c r="R4478" s="7" t="str">
        <f ca="1">IFERROR(__xludf.DUMMYFUNCTION("IMPORTXML(E4478,""/html/body/main/div[3]/div[3]/div[2]/ul/li[7]/span[2]/span"")"),"Loading...")</f>
        <v>Loading...</v>
      </c>
      <c r="S4478" s="7" t="str">
        <f ca="1">IFERROR(__xludf.DUMMYFUNCTION("IMPORTXML(E4478,""/html/body/main/div[3]/div[3]/div[2]/ul/li[8]/span[2]/span"")"),"Loading...")</f>
        <v>Loading...</v>
      </c>
      <c r="T4478" s="4">
        <v>34.6</v>
      </c>
      <c r="U4478" s="4">
        <v>22.7</v>
      </c>
      <c r="V4478" s="4">
        <v>2.6</v>
      </c>
      <c r="W4478" s="4">
        <v>5.7</v>
      </c>
      <c r="X4478" s="4">
        <v>519.92999999999995</v>
      </c>
      <c r="Y4478" s="7" t="e">
        <f t="shared" ca="1" si="89"/>
        <v>#VALUE!</v>
      </c>
    </row>
    <row r="4479" spans="1:25" ht="15" x14ac:dyDescent="0.25">
      <c r="A4479" s="4">
        <v>4478</v>
      </c>
      <c r="C4479" s="41" t="s">
        <v>6855</v>
      </c>
      <c r="D4479" s="42"/>
      <c r="E4479" s="5" t="str">
        <f t="shared" si="85"/>
        <v>https://www.screener.in/company//consolidated/</v>
      </c>
      <c r="F4479" s="4">
        <v>443059</v>
      </c>
      <c r="G4479" s="4">
        <v>3832241897</v>
      </c>
      <c r="H4479" s="6" t="e">
        <f t="shared" ca="1" si="86"/>
        <v>#VALUE!</v>
      </c>
      <c r="I4479" s="7" t="str">
        <f ca="1">IFERROR(__xludf.DUMMYFUNCTION("IMPORTXML(E4479,""/html/body/main/div[3]/div[3]/div[2]/ul/li[5]/span[2]/span"")"),"Loading...")</f>
        <v>Loading...</v>
      </c>
      <c r="J4479" s="7" t="str">
        <f ca="1">IFERROR(__xludf.DUMMYFUNCTION("GOOGLEFINANCE(""NSE:""&amp;D4479,""marketcap"")"),"#N/A")</f>
        <v>#N/A</v>
      </c>
      <c r="K4479" s="7">
        <v>992.8</v>
      </c>
      <c r="L4479" s="8" t="str">
        <f ca="1">IFERROR(__xludf.DUMMYFUNCTION("GOOGLEFINANCE(""NSE:""&amp;D4479,""price"")"),"#N/A")</f>
        <v>#N/A</v>
      </c>
      <c r="M4479" s="9" t="e">
        <f t="shared" ca="1" si="87"/>
        <v>#VALUE!</v>
      </c>
      <c r="N4479" s="10" t="e">
        <f t="shared" ca="1" si="88"/>
        <v>#VALUE!</v>
      </c>
      <c r="O4479" s="7" t="str">
        <f ca="1">IFERROR(__xludf.DUMMYFUNCTION("GOOGLEFINANCE(""NSE:""&amp;D4479,""pe"")"),"#N/A")</f>
        <v>#N/A</v>
      </c>
      <c r="P4479" s="7" t="str">
        <f ca="1">IFERROR(__xludf.DUMMYFUNCTION("GOOGLEFINANCE(""NSE:""&amp;D4479,""EPS"")"),"#N/A")</f>
        <v>#N/A</v>
      </c>
      <c r="Q4479" s="7">
        <v>13.5</v>
      </c>
      <c r="R4479" s="7" t="str">
        <f ca="1">IFERROR(__xludf.DUMMYFUNCTION("IMPORTXML(E4479,""/html/body/main/div[3]/div[3]/div[2]/ul/li[7]/span[2]/span"")"),"Loading...")</f>
        <v>Loading...</v>
      </c>
      <c r="S4479" s="7" t="str">
        <f ca="1">IFERROR(__xludf.DUMMYFUNCTION("IMPORTXML(E4479,""/html/body/main/div[3]/div[3]/div[2]/ul/li[8]/span[2]/span"")"),"Loading...")</f>
        <v>Loading...</v>
      </c>
      <c r="T4479" s="4">
        <v>34.6</v>
      </c>
      <c r="U4479" s="4">
        <v>22.7</v>
      </c>
      <c r="V4479" s="4">
        <v>2.6</v>
      </c>
      <c r="W4479" s="4">
        <v>5.7</v>
      </c>
      <c r="X4479" s="4">
        <v>519.92999999999995</v>
      </c>
      <c r="Y4479" s="7" t="e">
        <f t="shared" ca="1" si="89"/>
        <v>#VALUE!</v>
      </c>
    </row>
    <row r="4480" spans="1:25" ht="15" x14ac:dyDescent="0.25">
      <c r="A4480" s="4">
        <v>4479</v>
      </c>
      <c r="C4480" s="41" t="s">
        <v>6856</v>
      </c>
      <c r="D4480" s="42"/>
      <c r="E4480" s="5" t="str">
        <f t="shared" si="85"/>
        <v>https://www.screener.in/company//consolidated/</v>
      </c>
      <c r="F4480" s="4">
        <v>443059</v>
      </c>
      <c r="G4480" s="4">
        <v>3832241897</v>
      </c>
      <c r="H4480" s="6" t="e">
        <f t="shared" ca="1" si="86"/>
        <v>#VALUE!</v>
      </c>
      <c r="I4480" s="7" t="str">
        <f ca="1">IFERROR(__xludf.DUMMYFUNCTION("IMPORTXML(E4480,""/html/body/main/div[3]/div[3]/div[2]/ul/li[5]/span[2]/span"")"),"Loading...")</f>
        <v>Loading...</v>
      </c>
      <c r="J4480" s="7" t="str">
        <f ca="1">IFERROR(__xludf.DUMMYFUNCTION("GOOGLEFINANCE(""NSE:""&amp;D4480,""marketcap"")"),"#N/A")</f>
        <v>#N/A</v>
      </c>
      <c r="K4480" s="7">
        <v>992.8</v>
      </c>
      <c r="L4480" s="8" t="str">
        <f ca="1">IFERROR(__xludf.DUMMYFUNCTION("GOOGLEFINANCE(""NSE:""&amp;D4480,""price"")"),"#N/A")</f>
        <v>#N/A</v>
      </c>
      <c r="M4480" s="9" t="e">
        <f t="shared" ca="1" si="87"/>
        <v>#VALUE!</v>
      </c>
      <c r="N4480" s="10" t="e">
        <f t="shared" ca="1" si="88"/>
        <v>#VALUE!</v>
      </c>
      <c r="O4480" s="7" t="str">
        <f ca="1">IFERROR(__xludf.DUMMYFUNCTION("GOOGLEFINANCE(""NSE:""&amp;D4480,""pe"")"),"#N/A")</f>
        <v>#N/A</v>
      </c>
      <c r="P4480" s="7" t="str">
        <f ca="1">IFERROR(__xludf.DUMMYFUNCTION("GOOGLEFINANCE(""NSE:""&amp;D4480,""EPS"")"),"#N/A")</f>
        <v>#N/A</v>
      </c>
      <c r="Q4480" s="7">
        <v>13.5</v>
      </c>
      <c r="R4480" s="7" t="str">
        <f ca="1">IFERROR(__xludf.DUMMYFUNCTION("IMPORTXML(E4480,""/html/body/main/div[3]/div[3]/div[2]/ul/li[7]/span[2]/span"")"),"Loading...")</f>
        <v>Loading...</v>
      </c>
      <c r="S4480" s="7" t="str">
        <f ca="1">IFERROR(__xludf.DUMMYFUNCTION("IMPORTXML(E4480,""/html/body/main/div[3]/div[3]/div[2]/ul/li[8]/span[2]/span"")"),"Loading...")</f>
        <v>Loading...</v>
      </c>
      <c r="T4480" s="4">
        <v>34.6</v>
      </c>
      <c r="U4480" s="4">
        <v>22.7</v>
      </c>
      <c r="V4480" s="4">
        <v>2.6</v>
      </c>
      <c r="W4480" s="4">
        <v>5.7</v>
      </c>
      <c r="X4480" s="4">
        <v>519.92999999999995</v>
      </c>
      <c r="Y4480" s="7" t="e">
        <f t="shared" ca="1" si="89"/>
        <v>#VALUE!</v>
      </c>
    </row>
    <row r="4481" spans="1:25" ht="15" x14ac:dyDescent="0.25">
      <c r="A4481" s="4">
        <v>4480</v>
      </c>
      <c r="C4481" s="41" t="s">
        <v>6857</v>
      </c>
      <c r="D4481" s="42"/>
      <c r="E4481" s="5" t="str">
        <f t="shared" si="85"/>
        <v>https://www.screener.in/company//consolidated/</v>
      </c>
      <c r="F4481" s="4">
        <v>443059</v>
      </c>
      <c r="G4481" s="4">
        <v>3832241897</v>
      </c>
      <c r="H4481" s="6" t="e">
        <f t="shared" ca="1" si="86"/>
        <v>#VALUE!</v>
      </c>
      <c r="I4481" s="7" t="str">
        <f ca="1">IFERROR(__xludf.DUMMYFUNCTION("IMPORTXML(E4481,""/html/body/main/div[3]/div[3]/div[2]/ul/li[5]/span[2]/span"")"),"Loading...")</f>
        <v>Loading...</v>
      </c>
      <c r="J4481" s="7" t="str">
        <f ca="1">IFERROR(__xludf.DUMMYFUNCTION("GOOGLEFINANCE(""NSE:""&amp;D4481,""marketcap"")"),"#N/A")</f>
        <v>#N/A</v>
      </c>
      <c r="K4481" s="7">
        <v>992.8</v>
      </c>
      <c r="L4481" s="8" t="str">
        <f ca="1">IFERROR(__xludf.DUMMYFUNCTION("GOOGLEFINANCE(""NSE:""&amp;D4481,""price"")"),"#N/A")</f>
        <v>#N/A</v>
      </c>
      <c r="M4481" s="9" t="e">
        <f t="shared" ca="1" si="87"/>
        <v>#VALUE!</v>
      </c>
      <c r="N4481" s="10" t="e">
        <f t="shared" ca="1" si="88"/>
        <v>#VALUE!</v>
      </c>
      <c r="O4481" s="7" t="str">
        <f ca="1">IFERROR(__xludf.DUMMYFUNCTION("GOOGLEFINANCE(""NSE:""&amp;D4481,""pe"")"),"#N/A")</f>
        <v>#N/A</v>
      </c>
      <c r="P4481" s="7" t="str">
        <f ca="1">IFERROR(__xludf.DUMMYFUNCTION("GOOGLEFINANCE(""NSE:""&amp;D4481,""EPS"")"),"#N/A")</f>
        <v>#N/A</v>
      </c>
      <c r="Q4481" s="7">
        <v>13.5</v>
      </c>
      <c r="R4481" s="7" t="str">
        <f ca="1">IFERROR(__xludf.DUMMYFUNCTION("IMPORTXML(E4481,""/html/body/main/div[3]/div[3]/div[2]/ul/li[7]/span[2]/span"")"),"Loading...")</f>
        <v>Loading...</v>
      </c>
      <c r="S4481" s="7" t="str">
        <f ca="1">IFERROR(__xludf.DUMMYFUNCTION("IMPORTXML(E4481,""/html/body/main/div[3]/div[3]/div[2]/ul/li[8]/span[2]/span"")"),"Loading...")</f>
        <v>Loading...</v>
      </c>
      <c r="T4481" s="4">
        <v>34.6</v>
      </c>
      <c r="U4481" s="4">
        <v>22.7</v>
      </c>
      <c r="V4481" s="4">
        <v>2.6</v>
      </c>
      <c r="W4481" s="4">
        <v>5.7</v>
      </c>
      <c r="X4481" s="4">
        <v>519.92999999999995</v>
      </c>
      <c r="Y4481" s="7" t="e">
        <f t="shared" ca="1" si="89"/>
        <v>#VALUE!</v>
      </c>
    </row>
    <row r="4482" spans="1:25" ht="15" x14ac:dyDescent="0.25">
      <c r="A4482" s="4">
        <v>4481</v>
      </c>
      <c r="C4482" s="41" t="s">
        <v>6858</v>
      </c>
      <c r="D4482" s="42"/>
      <c r="E4482" s="5" t="str">
        <f t="shared" si="85"/>
        <v>https://www.screener.in/company//consolidated/</v>
      </c>
      <c r="F4482" s="4">
        <v>443059</v>
      </c>
      <c r="G4482" s="4">
        <v>3832241897</v>
      </c>
      <c r="H4482" s="6" t="e">
        <f t="shared" ca="1" si="86"/>
        <v>#VALUE!</v>
      </c>
      <c r="I4482" s="7" t="str">
        <f ca="1">IFERROR(__xludf.DUMMYFUNCTION("IMPORTXML(E4482,""/html/body/main/div[3]/div[3]/div[2]/ul/li[5]/span[2]/span"")"),"Loading...")</f>
        <v>Loading...</v>
      </c>
      <c r="J4482" s="7" t="str">
        <f ca="1">IFERROR(__xludf.DUMMYFUNCTION("GOOGLEFINANCE(""NSE:""&amp;D4482,""marketcap"")"),"#N/A")</f>
        <v>#N/A</v>
      </c>
      <c r="K4482" s="7">
        <v>992.8</v>
      </c>
      <c r="L4482" s="8" t="str">
        <f ca="1">IFERROR(__xludf.DUMMYFUNCTION("GOOGLEFINANCE(""NSE:""&amp;D4482,""price"")"),"#N/A")</f>
        <v>#N/A</v>
      </c>
      <c r="M4482" s="9" t="e">
        <f t="shared" ca="1" si="87"/>
        <v>#VALUE!</v>
      </c>
      <c r="N4482" s="10" t="e">
        <f t="shared" ca="1" si="88"/>
        <v>#VALUE!</v>
      </c>
      <c r="O4482" s="7" t="str">
        <f ca="1">IFERROR(__xludf.DUMMYFUNCTION("GOOGLEFINANCE(""NSE:""&amp;D4482,""pe"")"),"#N/A")</f>
        <v>#N/A</v>
      </c>
      <c r="P4482" s="7" t="str">
        <f ca="1">IFERROR(__xludf.DUMMYFUNCTION("GOOGLEFINANCE(""NSE:""&amp;D4482,""EPS"")"),"#N/A")</f>
        <v>#N/A</v>
      </c>
      <c r="Q4482" s="7">
        <v>13.5</v>
      </c>
      <c r="R4482" s="7" t="str">
        <f ca="1">IFERROR(__xludf.DUMMYFUNCTION("IMPORTXML(E4482,""/html/body/main/div[3]/div[3]/div[2]/ul/li[7]/span[2]/span"")"),"Loading...")</f>
        <v>Loading...</v>
      </c>
      <c r="S4482" s="7" t="str">
        <f ca="1">IFERROR(__xludf.DUMMYFUNCTION("IMPORTXML(E4482,""/html/body/main/div[3]/div[3]/div[2]/ul/li[8]/span[2]/span"")"),"Loading...")</f>
        <v>Loading...</v>
      </c>
      <c r="T4482" s="4">
        <v>34.6</v>
      </c>
      <c r="U4482" s="4">
        <v>22.7</v>
      </c>
      <c r="V4482" s="4">
        <v>2.6</v>
      </c>
      <c r="W4482" s="4">
        <v>5.7</v>
      </c>
      <c r="X4482" s="4">
        <v>519.92999999999995</v>
      </c>
      <c r="Y4482" s="7" t="e">
        <f t="shared" ca="1" si="89"/>
        <v>#VALUE!</v>
      </c>
    </row>
    <row r="4483" spans="1:25" ht="15" x14ac:dyDescent="0.25">
      <c r="A4483" s="4">
        <v>4482</v>
      </c>
      <c r="C4483" s="41" t="s">
        <v>6859</v>
      </c>
      <c r="D4483" s="42"/>
      <c r="E4483" s="5" t="str">
        <f t="shared" si="85"/>
        <v>https://www.screener.in/company//consolidated/</v>
      </c>
      <c r="F4483" s="4">
        <v>443059</v>
      </c>
      <c r="G4483" s="4">
        <v>3832241897</v>
      </c>
      <c r="H4483" s="6" t="e">
        <f t="shared" ca="1" si="86"/>
        <v>#VALUE!</v>
      </c>
      <c r="I4483" s="7" t="str">
        <f ca="1">IFERROR(__xludf.DUMMYFUNCTION("IMPORTXML(E4483,""/html/body/main/div[3]/div[3]/div[2]/ul/li[5]/span[2]/span"")"),"Loading...")</f>
        <v>Loading...</v>
      </c>
      <c r="J4483" s="7" t="str">
        <f ca="1">IFERROR(__xludf.DUMMYFUNCTION("GOOGLEFINANCE(""NSE:""&amp;D4483,""marketcap"")"),"#N/A")</f>
        <v>#N/A</v>
      </c>
      <c r="K4483" s="7">
        <v>992.8</v>
      </c>
      <c r="L4483" s="8" t="str">
        <f ca="1">IFERROR(__xludf.DUMMYFUNCTION("GOOGLEFINANCE(""NSE:""&amp;D4483,""price"")"),"#N/A")</f>
        <v>#N/A</v>
      </c>
      <c r="M4483" s="9" t="e">
        <f t="shared" ca="1" si="87"/>
        <v>#VALUE!</v>
      </c>
      <c r="N4483" s="10" t="e">
        <f t="shared" ca="1" si="88"/>
        <v>#VALUE!</v>
      </c>
      <c r="O4483" s="7" t="str">
        <f ca="1">IFERROR(__xludf.DUMMYFUNCTION("GOOGLEFINANCE(""NSE:""&amp;D4483,""pe"")"),"#N/A")</f>
        <v>#N/A</v>
      </c>
      <c r="P4483" s="7" t="str">
        <f ca="1">IFERROR(__xludf.DUMMYFUNCTION("GOOGLEFINANCE(""NSE:""&amp;D4483,""EPS"")"),"#N/A")</f>
        <v>#N/A</v>
      </c>
      <c r="Q4483" s="7">
        <v>13.5</v>
      </c>
      <c r="R4483" s="7" t="str">
        <f ca="1">IFERROR(__xludf.DUMMYFUNCTION("IMPORTXML(E4483,""/html/body/main/div[3]/div[3]/div[2]/ul/li[7]/span[2]/span"")"),"Loading...")</f>
        <v>Loading...</v>
      </c>
      <c r="S4483" s="7" t="str">
        <f ca="1">IFERROR(__xludf.DUMMYFUNCTION("IMPORTXML(E4483,""/html/body/main/div[3]/div[3]/div[2]/ul/li[8]/span[2]/span"")"),"Loading...")</f>
        <v>Loading...</v>
      </c>
      <c r="T4483" s="4">
        <v>34.6</v>
      </c>
      <c r="U4483" s="4">
        <v>22.7</v>
      </c>
      <c r="V4483" s="4">
        <v>2.6</v>
      </c>
      <c r="W4483" s="4">
        <v>5.7</v>
      </c>
      <c r="X4483" s="4">
        <v>519.92999999999995</v>
      </c>
      <c r="Y4483" s="7" t="e">
        <f t="shared" ca="1" si="89"/>
        <v>#VALUE!</v>
      </c>
    </row>
    <row r="4484" spans="1:25" ht="15" x14ac:dyDescent="0.25">
      <c r="A4484" s="4">
        <v>4483</v>
      </c>
      <c r="C4484" s="41" t="s">
        <v>6860</v>
      </c>
      <c r="D4484" s="42"/>
      <c r="E4484" s="5" t="str">
        <f t="shared" si="85"/>
        <v>https://www.screener.in/company//consolidated/</v>
      </c>
      <c r="F4484" s="4">
        <v>443059</v>
      </c>
      <c r="G4484" s="4">
        <v>3832241897</v>
      </c>
      <c r="H4484" s="6" t="e">
        <f t="shared" ca="1" si="86"/>
        <v>#VALUE!</v>
      </c>
      <c r="I4484" s="7" t="str">
        <f ca="1">IFERROR(__xludf.DUMMYFUNCTION("IMPORTXML(E4484,""/html/body/main/div[3]/div[3]/div[2]/ul/li[5]/span[2]/span"")"),"Loading...")</f>
        <v>Loading...</v>
      </c>
      <c r="J4484" s="7" t="str">
        <f ca="1">IFERROR(__xludf.DUMMYFUNCTION("GOOGLEFINANCE(""NSE:""&amp;D4484,""marketcap"")"),"#N/A")</f>
        <v>#N/A</v>
      </c>
      <c r="K4484" s="7">
        <v>992.8</v>
      </c>
      <c r="L4484" s="8" t="str">
        <f ca="1">IFERROR(__xludf.DUMMYFUNCTION("GOOGLEFINANCE(""NSE:""&amp;D4484,""price"")"),"#N/A")</f>
        <v>#N/A</v>
      </c>
      <c r="M4484" s="9" t="e">
        <f t="shared" ca="1" si="87"/>
        <v>#VALUE!</v>
      </c>
      <c r="N4484" s="10" t="e">
        <f t="shared" ca="1" si="88"/>
        <v>#VALUE!</v>
      </c>
      <c r="O4484" s="7" t="str">
        <f ca="1">IFERROR(__xludf.DUMMYFUNCTION("GOOGLEFINANCE(""NSE:""&amp;D4484,""pe"")"),"#N/A")</f>
        <v>#N/A</v>
      </c>
      <c r="P4484" s="7" t="str">
        <f ca="1">IFERROR(__xludf.DUMMYFUNCTION("GOOGLEFINANCE(""NSE:""&amp;D4484,""EPS"")"),"#N/A")</f>
        <v>#N/A</v>
      </c>
      <c r="Q4484" s="7">
        <v>13.5</v>
      </c>
      <c r="R4484" s="7" t="str">
        <f ca="1">IFERROR(__xludf.DUMMYFUNCTION("IMPORTXML(E4484,""/html/body/main/div[3]/div[3]/div[2]/ul/li[7]/span[2]/span"")"),"Loading...")</f>
        <v>Loading...</v>
      </c>
      <c r="S4484" s="7" t="str">
        <f ca="1">IFERROR(__xludf.DUMMYFUNCTION("IMPORTXML(E4484,""/html/body/main/div[3]/div[3]/div[2]/ul/li[8]/span[2]/span"")"),"Loading...")</f>
        <v>Loading...</v>
      </c>
      <c r="T4484" s="4">
        <v>34.6</v>
      </c>
      <c r="U4484" s="4">
        <v>22.7</v>
      </c>
      <c r="V4484" s="4">
        <v>2.6</v>
      </c>
      <c r="W4484" s="4">
        <v>5.7</v>
      </c>
      <c r="X4484" s="4">
        <v>519.92999999999995</v>
      </c>
      <c r="Y4484" s="7" t="e">
        <f t="shared" ca="1" si="89"/>
        <v>#VALUE!</v>
      </c>
    </row>
    <row r="4485" spans="1:25" ht="15" x14ac:dyDescent="0.25">
      <c r="A4485" s="4">
        <v>4484</v>
      </c>
      <c r="C4485" s="41" t="s">
        <v>6861</v>
      </c>
      <c r="D4485" s="42"/>
      <c r="E4485" s="5" t="str">
        <f t="shared" si="85"/>
        <v>https://www.screener.in/company//consolidated/</v>
      </c>
      <c r="F4485" s="4">
        <v>443059</v>
      </c>
      <c r="G4485" s="4">
        <v>3832241897</v>
      </c>
      <c r="H4485" s="6" t="e">
        <f t="shared" ca="1" si="86"/>
        <v>#VALUE!</v>
      </c>
      <c r="I4485" s="7" t="str">
        <f ca="1">IFERROR(__xludf.DUMMYFUNCTION("IMPORTXML(E4485,""/html/body/main/div[3]/div[3]/div[2]/ul/li[5]/span[2]/span"")"),"Loading...")</f>
        <v>Loading...</v>
      </c>
      <c r="J4485" s="7" t="str">
        <f ca="1">IFERROR(__xludf.DUMMYFUNCTION("GOOGLEFINANCE(""NSE:""&amp;D4485,""marketcap"")"),"#N/A")</f>
        <v>#N/A</v>
      </c>
      <c r="K4485" s="7">
        <v>992.8</v>
      </c>
      <c r="L4485" s="8" t="str">
        <f ca="1">IFERROR(__xludf.DUMMYFUNCTION("GOOGLEFINANCE(""NSE:""&amp;D4485,""price"")"),"#N/A")</f>
        <v>#N/A</v>
      </c>
      <c r="M4485" s="9" t="e">
        <f t="shared" ca="1" si="87"/>
        <v>#VALUE!</v>
      </c>
      <c r="N4485" s="10" t="e">
        <f t="shared" ca="1" si="88"/>
        <v>#VALUE!</v>
      </c>
      <c r="O4485" s="7" t="str">
        <f ca="1">IFERROR(__xludf.DUMMYFUNCTION("GOOGLEFINANCE(""NSE:""&amp;D4485,""pe"")"),"#N/A")</f>
        <v>#N/A</v>
      </c>
      <c r="P4485" s="7" t="str">
        <f ca="1">IFERROR(__xludf.DUMMYFUNCTION("GOOGLEFINANCE(""NSE:""&amp;D4485,""EPS"")"),"#N/A")</f>
        <v>#N/A</v>
      </c>
      <c r="Q4485" s="7">
        <v>13.5</v>
      </c>
      <c r="R4485" s="7" t="str">
        <f ca="1">IFERROR(__xludf.DUMMYFUNCTION("IMPORTXML(E4485,""/html/body/main/div[3]/div[3]/div[2]/ul/li[7]/span[2]/span"")"),"Loading...")</f>
        <v>Loading...</v>
      </c>
      <c r="S4485" s="7" t="str">
        <f ca="1">IFERROR(__xludf.DUMMYFUNCTION("IMPORTXML(E4485,""/html/body/main/div[3]/div[3]/div[2]/ul/li[8]/span[2]/span"")"),"Loading...")</f>
        <v>Loading...</v>
      </c>
      <c r="T4485" s="4">
        <v>34.6</v>
      </c>
      <c r="U4485" s="4">
        <v>22.7</v>
      </c>
      <c r="V4485" s="4">
        <v>2.6</v>
      </c>
      <c r="W4485" s="4">
        <v>5.7</v>
      </c>
      <c r="X4485" s="4">
        <v>519.92999999999995</v>
      </c>
      <c r="Y4485" s="7" t="e">
        <f t="shared" ca="1" si="89"/>
        <v>#VALUE!</v>
      </c>
    </row>
    <row r="4486" spans="1:25" ht="15" x14ac:dyDescent="0.25">
      <c r="A4486" s="4">
        <v>4485</v>
      </c>
      <c r="C4486" s="41" t="s">
        <v>6862</v>
      </c>
      <c r="D4486" s="42"/>
      <c r="E4486" s="5" t="str">
        <f t="shared" si="85"/>
        <v>https://www.screener.in/company//consolidated/</v>
      </c>
      <c r="F4486" s="4">
        <v>443059</v>
      </c>
      <c r="G4486" s="4">
        <v>3832241897</v>
      </c>
      <c r="H4486" s="6" t="e">
        <f t="shared" ca="1" si="86"/>
        <v>#VALUE!</v>
      </c>
      <c r="I4486" s="7" t="str">
        <f ca="1">IFERROR(__xludf.DUMMYFUNCTION("IMPORTXML(E4486,""/html/body/main/div[3]/div[3]/div[2]/ul/li[5]/span[2]/span"")"),"Loading...")</f>
        <v>Loading...</v>
      </c>
      <c r="J4486" s="7" t="str">
        <f ca="1">IFERROR(__xludf.DUMMYFUNCTION("GOOGLEFINANCE(""NSE:""&amp;D4486,""marketcap"")"),"#N/A")</f>
        <v>#N/A</v>
      </c>
      <c r="K4486" s="7">
        <v>992.8</v>
      </c>
      <c r="L4486" s="8" t="str">
        <f ca="1">IFERROR(__xludf.DUMMYFUNCTION("GOOGLEFINANCE(""NSE:""&amp;D4486,""price"")"),"#N/A")</f>
        <v>#N/A</v>
      </c>
      <c r="M4486" s="9" t="e">
        <f t="shared" ca="1" si="87"/>
        <v>#VALUE!</v>
      </c>
      <c r="N4486" s="10" t="e">
        <f t="shared" ca="1" si="88"/>
        <v>#VALUE!</v>
      </c>
      <c r="O4486" s="7" t="str">
        <f ca="1">IFERROR(__xludf.DUMMYFUNCTION("GOOGLEFINANCE(""NSE:""&amp;D4486,""pe"")"),"#N/A")</f>
        <v>#N/A</v>
      </c>
      <c r="P4486" s="7" t="str">
        <f ca="1">IFERROR(__xludf.DUMMYFUNCTION("GOOGLEFINANCE(""NSE:""&amp;D4486,""EPS"")"),"#N/A")</f>
        <v>#N/A</v>
      </c>
      <c r="Q4486" s="7">
        <v>13.5</v>
      </c>
      <c r="R4486" s="7" t="str">
        <f ca="1">IFERROR(__xludf.DUMMYFUNCTION("IMPORTXML(E4486,""/html/body/main/div[3]/div[3]/div[2]/ul/li[7]/span[2]/span"")"),"Loading...")</f>
        <v>Loading...</v>
      </c>
      <c r="S4486" s="7" t="str">
        <f ca="1">IFERROR(__xludf.DUMMYFUNCTION("IMPORTXML(E4486,""/html/body/main/div[3]/div[3]/div[2]/ul/li[8]/span[2]/span"")"),"Loading...")</f>
        <v>Loading...</v>
      </c>
      <c r="T4486" s="4">
        <v>34.6</v>
      </c>
      <c r="U4486" s="4">
        <v>22.7</v>
      </c>
      <c r="V4486" s="4">
        <v>2.6</v>
      </c>
      <c r="W4486" s="4">
        <v>5.7</v>
      </c>
      <c r="X4486" s="4">
        <v>519.92999999999995</v>
      </c>
      <c r="Y4486" s="7" t="e">
        <f t="shared" ca="1" si="89"/>
        <v>#VALUE!</v>
      </c>
    </row>
    <row r="4487" spans="1:25" ht="15" x14ac:dyDescent="0.25">
      <c r="A4487" s="4">
        <v>4486</v>
      </c>
      <c r="C4487" s="41" t="s">
        <v>6863</v>
      </c>
      <c r="D4487" s="42"/>
      <c r="E4487" s="5" t="str">
        <f t="shared" si="85"/>
        <v>https://www.screener.in/company//consolidated/</v>
      </c>
      <c r="F4487" s="4">
        <v>443059</v>
      </c>
      <c r="G4487" s="4">
        <v>3832241897</v>
      </c>
      <c r="H4487" s="6" t="e">
        <f t="shared" ca="1" si="86"/>
        <v>#VALUE!</v>
      </c>
      <c r="I4487" s="7" t="str">
        <f ca="1">IFERROR(__xludf.DUMMYFUNCTION("IMPORTXML(E4487,""/html/body/main/div[3]/div[3]/div[2]/ul/li[5]/span[2]/span"")"),"Loading...")</f>
        <v>Loading...</v>
      </c>
      <c r="J4487" s="7" t="str">
        <f ca="1">IFERROR(__xludf.DUMMYFUNCTION("GOOGLEFINANCE(""NSE:""&amp;D4487,""marketcap"")"),"#N/A")</f>
        <v>#N/A</v>
      </c>
      <c r="K4487" s="7">
        <v>992.8</v>
      </c>
      <c r="L4487" s="8" t="str">
        <f ca="1">IFERROR(__xludf.DUMMYFUNCTION("GOOGLEFINANCE(""NSE:""&amp;D4487,""price"")"),"#N/A")</f>
        <v>#N/A</v>
      </c>
      <c r="M4487" s="9" t="e">
        <f t="shared" ca="1" si="87"/>
        <v>#VALUE!</v>
      </c>
      <c r="N4487" s="10" t="e">
        <f t="shared" ca="1" si="88"/>
        <v>#VALUE!</v>
      </c>
      <c r="O4487" s="7" t="str">
        <f ca="1">IFERROR(__xludf.DUMMYFUNCTION("GOOGLEFINANCE(""NSE:""&amp;D4487,""pe"")"),"#N/A")</f>
        <v>#N/A</v>
      </c>
      <c r="P4487" s="7" t="str">
        <f ca="1">IFERROR(__xludf.DUMMYFUNCTION("GOOGLEFINANCE(""NSE:""&amp;D4487,""EPS"")"),"#N/A")</f>
        <v>#N/A</v>
      </c>
      <c r="Q4487" s="7">
        <v>13.5</v>
      </c>
      <c r="R4487" s="7" t="str">
        <f ca="1">IFERROR(__xludf.DUMMYFUNCTION("IMPORTXML(E4487,""/html/body/main/div[3]/div[3]/div[2]/ul/li[7]/span[2]/span"")"),"Loading...")</f>
        <v>Loading...</v>
      </c>
      <c r="S4487" s="7" t="str">
        <f ca="1">IFERROR(__xludf.DUMMYFUNCTION("IMPORTXML(E4487,""/html/body/main/div[3]/div[3]/div[2]/ul/li[8]/span[2]/span"")"),"Loading...")</f>
        <v>Loading...</v>
      </c>
      <c r="T4487" s="4">
        <v>34.6</v>
      </c>
      <c r="U4487" s="4">
        <v>22.7</v>
      </c>
      <c r="V4487" s="4">
        <v>2.6</v>
      </c>
      <c r="W4487" s="4">
        <v>5.7</v>
      </c>
      <c r="X4487" s="4">
        <v>519.92999999999995</v>
      </c>
      <c r="Y4487" s="7" t="e">
        <f t="shared" ca="1" si="89"/>
        <v>#VALUE!</v>
      </c>
    </row>
    <row r="4488" spans="1:25" ht="15" x14ac:dyDescent="0.25">
      <c r="A4488" s="4">
        <v>4487</v>
      </c>
      <c r="C4488" s="41" t="s">
        <v>6864</v>
      </c>
      <c r="D4488" s="42"/>
      <c r="E4488" s="5" t="str">
        <f t="shared" si="85"/>
        <v>https://www.screener.in/company//consolidated/</v>
      </c>
      <c r="F4488" s="4">
        <v>443059</v>
      </c>
      <c r="G4488" s="4">
        <v>3832241897</v>
      </c>
      <c r="H4488" s="6" t="e">
        <f t="shared" ca="1" si="86"/>
        <v>#VALUE!</v>
      </c>
      <c r="I4488" s="7" t="str">
        <f ca="1">IFERROR(__xludf.DUMMYFUNCTION("IMPORTXML(E4488,""/html/body/main/div[3]/div[3]/div[2]/ul/li[5]/span[2]/span"")"),"Loading...")</f>
        <v>Loading...</v>
      </c>
      <c r="J4488" s="7" t="str">
        <f ca="1">IFERROR(__xludf.DUMMYFUNCTION("GOOGLEFINANCE(""NSE:""&amp;D4488,""marketcap"")"),"#N/A")</f>
        <v>#N/A</v>
      </c>
      <c r="K4488" s="7">
        <v>992.8</v>
      </c>
      <c r="L4488" s="8" t="str">
        <f ca="1">IFERROR(__xludf.DUMMYFUNCTION("GOOGLEFINANCE(""NSE:""&amp;D4488,""price"")"),"#N/A")</f>
        <v>#N/A</v>
      </c>
      <c r="M4488" s="9" t="e">
        <f t="shared" ca="1" si="87"/>
        <v>#VALUE!</v>
      </c>
      <c r="N4488" s="10" t="e">
        <f t="shared" ca="1" si="88"/>
        <v>#VALUE!</v>
      </c>
      <c r="O4488" s="7" t="str">
        <f ca="1">IFERROR(__xludf.DUMMYFUNCTION("GOOGLEFINANCE(""NSE:""&amp;D4488,""pe"")"),"#N/A")</f>
        <v>#N/A</v>
      </c>
      <c r="P4488" s="7" t="str">
        <f ca="1">IFERROR(__xludf.DUMMYFUNCTION("GOOGLEFINANCE(""NSE:""&amp;D4488,""EPS"")"),"#N/A")</f>
        <v>#N/A</v>
      </c>
      <c r="Q4488" s="7">
        <v>13.5</v>
      </c>
      <c r="R4488" s="7" t="str">
        <f ca="1">IFERROR(__xludf.DUMMYFUNCTION("IMPORTXML(E4488,""/html/body/main/div[3]/div[3]/div[2]/ul/li[7]/span[2]/span"")"),"Loading...")</f>
        <v>Loading...</v>
      </c>
      <c r="S4488" s="7" t="str">
        <f ca="1">IFERROR(__xludf.DUMMYFUNCTION("IMPORTXML(E4488,""/html/body/main/div[3]/div[3]/div[2]/ul/li[8]/span[2]/span"")"),"Loading...")</f>
        <v>Loading...</v>
      </c>
      <c r="T4488" s="4">
        <v>34.6</v>
      </c>
      <c r="U4488" s="4">
        <v>22.7</v>
      </c>
      <c r="V4488" s="4">
        <v>2.6</v>
      </c>
      <c r="W4488" s="4">
        <v>5.7</v>
      </c>
      <c r="X4488" s="4">
        <v>519.92999999999995</v>
      </c>
      <c r="Y4488" s="7" t="e">
        <f t="shared" ca="1" si="89"/>
        <v>#VALUE!</v>
      </c>
    </row>
    <row r="4489" spans="1:25" ht="15" x14ac:dyDescent="0.25">
      <c r="A4489" s="4">
        <v>4488</v>
      </c>
      <c r="C4489" s="41" t="s">
        <v>6865</v>
      </c>
      <c r="D4489" s="42"/>
      <c r="E4489" s="5" t="str">
        <f t="shared" si="85"/>
        <v>https://www.screener.in/company//consolidated/</v>
      </c>
      <c r="F4489" s="4">
        <v>443059</v>
      </c>
      <c r="G4489" s="4">
        <v>3832241897</v>
      </c>
      <c r="H4489" s="6" t="e">
        <f t="shared" ca="1" si="86"/>
        <v>#VALUE!</v>
      </c>
      <c r="I4489" s="7" t="str">
        <f ca="1">IFERROR(__xludf.DUMMYFUNCTION("IMPORTXML(E4489,""/html/body/main/div[3]/div[3]/div[2]/ul/li[5]/span[2]/span"")"),"Loading...")</f>
        <v>Loading...</v>
      </c>
      <c r="J4489" s="7" t="str">
        <f ca="1">IFERROR(__xludf.DUMMYFUNCTION("GOOGLEFINANCE(""NSE:""&amp;D4489,""marketcap"")"),"#N/A")</f>
        <v>#N/A</v>
      </c>
      <c r="K4489" s="7">
        <v>992.8</v>
      </c>
      <c r="L4489" s="8" t="str">
        <f ca="1">IFERROR(__xludf.DUMMYFUNCTION("GOOGLEFINANCE(""NSE:""&amp;D4489,""price"")"),"#N/A")</f>
        <v>#N/A</v>
      </c>
      <c r="M4489" s="9" t="e">
        <f t="shared" ca="1" si="87"/>
        <v>#VALUE!</v>
      </c>
      <c r="N4489" s="10" t="e">
        <f t="shared" ca="1" si="88"/>
        <v>#VALUE!</v>
      </c>
      <c r="O4489" s="7" t="str">
        <f ca="1">IFERROR(__xludf.DUMMYFUNCTION("GOOGLEFINANCE(""NSE:""&amp;D4489,""pe"")"),"#N/A")</f>
        <v>#N/A</v>
      </c>
      <c r="P4489" s="7" t="str">
        <f ca="1">IFERROR(__xludf.DUMMYFUNCTION("GOOGLEFINANCE(""NSE:""&amp;D4489,""EPS"")"),"#N/A")</f>
        <v>#N/A</v>
      </c>
      <c r="Q4489" s="7">
        <v>13.5</v>
      </c>
      <c r="R4489" s="7" t="str">
        <f ca="1">IFERROR(__xludf.DUMMYFUNCTION("IMPORTXML(E4489,""/html/body/main/div[3]/div[3]/div[2]/ul/li[7]/span[2]/span"")"),"Loading...")</f>
        <v>Loading...</v>
      </c>
      <c r="S4489" s="7" t="str">
        <f ca="1">IFERROR(__xludf.DUMMYFUNCTION("IMPORTXML(E4489,""/html/body/main/div[3]/div[3]/div[2]/ul/li[8]/span[2]/span"")"),"Loading...")</f>
        <v>Loading...</v>
      </c>
      <c r="T4489" s="4">
        <v>34.6</v>
      </c>
      <c r="U4489" s="4">
        <v>22.7</v>
      </c>
      <c r="V4489" s="4">
        <v>2.6</v>
      </c>
      <c r="W4489" s="4">
        <v>5.7</v>
      </c>
      <c r="X4489" s="4">
        <v>519.92999999999995</v>
      </c>
      <c r="Y4489" s="7" t="e">
        <f t="shared" ca="1" si="89"/>
        <v>#VALUE!</v>
      </c>
    </row>
    <row r="4490" spans="1:25" ht="15" x14ac:dyDescent="0.25">
      <c r="A4490" s="4">
        <v>4489</v>
      </c>
      <c r="C4490" s="41" t="s">
        <v>6866</v>
      </c>
      <c r="D4490" s="42"/>
      <c r="E4490" s="5" t="str">
        <f t="shared" si="85"/>
        <v>https://www.screener.in/company//consolidated/</v>
      </c>
      <c r="F4490" s="4">
        <v>443059</v>
      </c>
      <c r="G4490" s="4">
        <v>3832241897</v>
      </c>
      <c r="H4490" s="6" t="e">
        <f t="shared" ca="1" si="86"/>
        <v>#VALUE!</v>
      </c>
      <c r="I4490" s="7" t="str">
        <f ca="1">IFERROR(__xludf.DUMMYFUNCTION("IMPORTXML(E4490,""/html/body/main/div[3]/div[3]/div[2]/ul/li[5]/span[2]/span"")"),"Loading...")</f>
        <v>Loading...</v>
      </c>
      <c r="J4490" s="7" t="str">
        <f ca="1">IFERROR(__xludf.DUMMYFUNCTION("GOOGLEFINANCE(""NSE:""&amp;D4490,""marketcap"")"),"#N/A")</f>
        <v>#N/A</v>
      </c>
      <c r="K4490" s="7">
        <v>992.8</v>
      </c>
      <c r="L4490" s="8" t="str">
        <f ca="1">IFERROR(__xludf.DUMMYFUNCTION("GOOGLEFINANCE(""NSE:""&amp;D4490,""price"")"),"#N/A")</f>
        <v>#N/A</v>
      </c>
      <c r="M4490" s="9" t="e">
        <f t="shared" ca="1" si="87"/>
        <v>#VALUE!</v>
      </c>
      <c r="N4490" s="10" t="e">
        <f t="shared" ca="1" si="88"/>
        <v>#VALUE!</v>
      </c>
      <c r="O4490" s="7" t="str">
        <f ca="1">IFERROR(__xludf.DUMMYFUNCTION("GOOGLEFINANCE(""NSE:""&amp;D4490,""pe"")"),"#N/A")</f>
        <v>#N/A</v>
      </c>
      <c r="P4490" s="7" t="str">
        <f ca="1">IFERROR(__xludf.DUMMYFUNCTION("GOOGLEFINANCE(""NSE:""&amp;D4490,""EPS"")"),"#N/A")</f>
        <v>#N/A</v>
      </c>
      <c r="Q4490" s="7">
        <v>13.5</v>
      </c>
      <c r="R4490" s="7" t="str">
        <f ca="1">IFERROR(__xludf.DUMMYFUNCTION("IMPORTXML(E4490,""/html/body/main/div[3]/div[3]/div[2]/ul/li[7]/span[2]/span"")"),"Loading...")</f>
        <v>Loading...</v>
      </c>
      <c r="S4490" s="7" t="str">
        <f ca="1">IFERROR(__xludf.DUMMYFUNCTION("IMPORTXML(E4490,""/html/body/main/div[3]/div[3]/div[2]/ul/li[8]/span[2]/span"")"),"Loading...")</f>
        <v>Loading...</v>
      </c>
      <c r="T4490" s="4">
        <v>34.6</v>
      </c>
      <c r="U4490" s="4">
        <v>22.7</v>
      </c>
      <c r="V4490" s="4">
        <v>2.6</v>
      </c>
      <c r="W4490" s="4">
        <v>5.7</v>
      </c>
      <c r="X4490" s="4">
        <v>519.92999999999995</v>
      </c>
      <c r="Y4490" s="7" t="e">
        <f t="shared" ca="1" si="89"/>
        <v>#VALUE!</v>
      </c>
    </row>
    <row r="4491" spans="1:25" ht="15" x14ac:dyDescent="0.25">
      <c r="A4491" s="4">
        <v>4490</v>
      </c>
      <c r="C4491" s="41" t="s">
        <v>6867</v>
      </c>
      <c r="D4491" s="42"/>
      <c r="E4491" s="5" t="str">
        <f t="shared" si="85"/>
        <v>https://www.screener.in/company//consolidated/</v>
      </c>
      <c r="F4491" s="4">
        <v>443059</v>
      </c>
      <c r="G4491" s="4">
        <v>3832241897</v>
      </c>
      <c r="H4491" s="6" t="e">
        <f t="shared" ca="1" si="86"/>
        <v>#VALUE!</v>
      </c>
      <c r="I4491" s="7" t="str">
        <f ca="1">IFERROR(__xludf.DUMMYFUNCTION("IMPORTXML(E4491,""/html/body/main/div[3]/div[3]/div[2]/ul/li[5]/span[2]/span"")"),"Loading...")</f>
        <v>Loading...</v>
      </c>
      <c r="J4491" s="7" t="str">
        <f ca="1">IFERROR(__xludf.DUMMYFUNCTION("GOOGLEFINANCE(""NSE:""&amp;D4491,""marketcap"")"),"#N/A")</f>
        <v>#N/A</v>
      </c>
      <c r="K4491" s="7">
        <v>992.8</v>
      </c>
      <c r="L4491" s="8" t="str">
        <f ca="1">IFERROR(__xludf.DUMMYFUNCTION("GOOGLEFINANCE(""NSE:""&amp;D4491,""price"")"),"#N/A")</f>
        <v>#N/A</v>
      </c>
      <c r="M4491" s="9" t="e">
        <f t="shared" ca="1" si="87"/>
        <v>#VALUE!</v>
      </c>
      <c r="N4491" s="10" t="e">
        <f t="shared" ca="1" si="88"/>
        <v>#VALUE!</v>
      </c>
      <c r="O4491" s="7" t="str">
        <f ca="1">IFERROR(__xludf.DUMMYFUNCTION("GOOGLEFINANCE(""NSE:""&amp;D4491,""pe"")"),"#N/A")</f>
        <v>#N/A</v>
      </c>
      <c r="P4491" s="7" t="str">
        <f ca="1">IFERROR(__xludf.DUMMYFUNCTION("GOOGLEFINANCE(""NSE:""&amp;D4491,""EPS"")"),"#N/A")</f>
        <v>#N/A</v>
      </c>
      <c r="Q4491" s="7">
        <v>13.5</v>
      </c>
      <c r="R4491" s="7" t="str">
        <f ca="1">IFERROR(__xludf.DUMMYFUNCTION("IMPORTXML(E4491,""/html/body/main/div[3]/div[3]/div[2]/ul/li[7]/span[2]/span"")"),"Loading...")</f>
        <v>Loading...</v>
      </c>
      <c r="S4491" s="7" t="str">
        <f ca="1">IFERROR(__xludf.DUMMYFUNCTION("IMPORTXML(E4491,""/html/body/main/div[3]/div[3]/div[2]/ul/li[8]/span[2]/span"")"),"Loading...")</f>
        <v>Loading...</v>
      </c>
      <c r="T4491" s="4">
        <v>34.6</v>
      </c>
      <c r="U4491" s="4">
        <v>22.7</v>
      </c>
      <c r="V4491" s="4">
        <v>2.6</v>
      </c>
      <c r="W4491" s="4">
        <v>5.7</v>
      </c>
      <c r="X4491" s="4">
        <v>519.92999999999995</v>
      </c>
      <c r="Y4491" s="7" t="e">
        <f t="shared" ca="1" si="89"/>
        <v>#VALUE!</v>
      </c>
    </row>
    <row r="4492" spans="1:25" ht="15" x14ac:dyDescent="0.25">
      <c r="A4492" s="4">
        <v>4491</v>
      </c>
      <c r="C4492" s="41" t="s">
        <v>6868</v>
      </c>
      <c r="D4492" s="42"/>
      <c r="E4492" s="5" t="str">
        <f t="shared" si="85"/>
        <v>https://www.screener.in/company//consolidated/</v>
      </c>
      <c r="F4492" s="4">
        <v>443059</v>
      </c>
      <c r="G4492" s="4">
        <v>3832241897</v>
      </c>
      <c r="H4492" s="6" t="e">
        <f t="shared" ca="1" si="86"/>
        <v>#VALUE!</v>
      </c>
      <c r="I4492" s="7" t="str">
        <f ca="1">IFERROR(__xludf.DUMMYFUNCTION("IMPORTXML(E4492,""/html/body/main/div[3]/div[3]/div[2]/ul/li[5]/span[2]/span"")"),"Loading...")</f>
        <v>Loading...</v>
      </c>
      <c r="J4492" s="7" t="str">
        <f ca="1">IFERROR(__xludf.DUMMYFUNCTION("GOOGLEFINANCE(""NSE:""&amp;D4492,""marketcap"")"),"#N/A")</f>
        <v>#N/A</v>
      </c>
      <c r="K4492" s="7">
        <v>992.8</v>
      </c>
      <c r="L4492" s="8" t="str">
        <f ca="1">IFERROR(__xludf.DUMMYFUNCTION("GOOGLEFINANCE(""NSE:""&amp;D4492,""price"")"),"#N/A")</f>
        <v>#N/A</v>
      </c>
      <c r="M4492" s="9" t="e">
        <f t="shared" ca="1" si="87"/>
        <v>#VALUE!</v>
      </c>
      <c r="N4492" s="10" t="e">
        <f t="shared" ca="1" si="88"/>
        <v>#VALUE!</v>
      </c>
      <c r="O4492" s="7" t="str">
        <f ca="1">IFERROR(__xludf.DUMMYFUNCTION("GOOGLEFINANCE(""NSE:""&amp;D4492,""pe"")"),"#N/A")</f>
        <v>#N/A</v>
      </c>
      <c r="P4492" s="7" t="str">
        <f ca="1">IFERROR(__xludf.DUMMYFUNCTION("GOOGLEFINANCE(""NSE:""&amp;D4492,""EPS"")"),"#N/A")</f>
        <v>#N/A</v>
      </c>
      <c r="Q4492" s="7">
        <v>13.5</v>
      </c>
      <c r="R4492" s="7" t="str">
        <f ca="1">IFERROR(__xludf.DUMMYFUNCTION("IMPORTXML(E4492,""/html/body/main/div[3]/div[3]/div[2]/ul/li[7]/span[2]/span"")"),"Loading...")</f>
        <v>Loading...</v>
      </c>
      <c r="S4492" s="7" t="str">
        <f ca="1">IFERROR(__xludf.DUMMYFUNCTION("IMPORTXML(E4492,""/html/body/main/div[3]/div[3]/div[2]/ul/li[8]/span[2]/span"")"),"Loading...")</f>
        <v>Loading...</v>
      </c>
      <c r="T4492" s="4">
        <v>34.6</v>
      </c>
      <c r="U4492" s="4">
        <v>22.7</v>
      </c>
      <c r="V4492" s="4">
        <v>2.6</v>
      </c>
      <c r="W4492" s="4">
        <v>5.7</v>
      </c>
      <c r="X4492" s="4">
        <v>519.92999999999995</v>
      </c>
      <c r="Y4492" s="7" t="e">
        <f t="shared" ca="1" si="89"/>
        <v>#VALUE!</v>
      </c>
    </row>
    <row r="4493" spans="1:25" ht="15" x14ac:dyDescent="0.25">
      <c r="A4493" s="4">
        <v>4492</v>
      </c>
      <c r="C4493" s="41" t="s">
        <v>6869</v>
      </c>
      <c r="D4493" s="42"/>
      <c r="E4493" s="5" t="str">
        <f t="shared" si="85"/>
        <v>https://www.screener.in/company//consolidated/</v>
      </c>
      <c r="F4493" s="4">
        <v>443059</v>
      </c>
      <c r="G4493" s="4">
        <v>3832241897</v>
      </c>
      <c r="H4493" s="6" t="e">
        <f t="shared" ca="1" si="86"/>
        <v>#VALUE!</v>
      </c>
      <c r="I4493" s="7" t="str">
        <f ca="1">IFERROR(__xludf.DUMMYFUNCTION("IMPORTXML(E4493,""/html/body/main/div[3]/div[3]/div[2]/ul/li[5]/span[2]/span"")"),"Loading...")</f>
        <v>Loading...</v>
      </c>
      <c r="J4493" s="7" t="str">
        <f ca="1">IFERROR(__xludf.DUMMYFUNCTION("GOOGLEFINANCE(""NSE:""&amp;D4493,""marketcap"")"),"#N/A")</f>
        <v>#N/A</v>
      </c>
      <c r="K4493" s="7">
        <v>992.8</v>
      </c>
      <c r="L4493" s="8" t="str">
        <f ca="1">IFERROR(__xludf.DUMMYFUNCTION("GOOGLEFINANCE(""NSE:""&amp;D4493,""price"")"),"#N/A")</f>
        <v>#N/A</v>
      </c>
      <c r="M4493" s="9" t="e">
        <f t="shared" ca="1" si="87"/>
        <v>#VALUE!</v>
      </c>
      <c r="N4493" s="10" t="e">
        <f t="shared" ca="1" si="88"/>
        <v>#VALUE!</v>
      </c>
      <c r="O4493" s="7" t="str">
        <f ca="1">IFERROR(__xludf.DUMMYFUNCTION("GOOGLEFINANCE(""NSE:""&amp;D4493,""pe"")"),"#N/A")</f>
        <v>#N/A</v>
      </c>
      <c r="P4493" s="7" t="str">
        <f ca="1">IFERROR(__xludf.DUMMYFUNCTION("GOOGLEFINANCE(""NSE:""&amp;D4493,""EPS"")"),"#N/A")</f>
        <v>#N/A</v>
      </c>
      <c r="Q4493" s="7">
        <v>13.5</v>
      </c>
      <c r="R4493" s="7" t="str">
        <f ca="1">IFERROR(__xludf.DUMMYFUNCTION("IMPORTXML(E4493,""/html/body/main/div[3]/div[3]/div[2]/ul/li[7]/span[2]/span"")"),"Loading...")</f>
        <v>Loading...</v>
      </c>
      <c r="S4493" s="7" t="str">
        <f ca="1">IFERROR(__xludf.DUMMYFUNCTION("IMPORTXML(E4493,""/html/body/main/div[3]/div[3]/div[2]/ul/li[8]/span[2]/span"")"),"Loading...")</f>
        <v>Loading...</v>
      </c>
      <c r="T4493" s="4">
        <v>34.6</v>
      </c>
      <c r="U4493" s="4">
        <v>22.7</v>
      </c>
      <c r="V4493" s="4">
        <v>2.6</v>
      </c>
      <c r="W4493" s="4">
        <v>5.7</v>
      </c>
      <c r="X4493" s="4">
        <v>519.92999999999995</v>
      </c>
      <c r="Y4493" s="7" t="e">
        <f t="shared" ca="1" si="89"/>
        <v>#VALUE!</v>
      </c>
    </row>
    <row r="4494" spans="1:25" ht="15" x14ac:dyDescent="0.25">
      <c r="A4494" s="4">
        <v>4493</v>
      </c>
      <c r="C4494" s="41" t="s">
        <v>6870</v>
      </c>
      <c r="D4494" s="42"/>
      <c r="E4494" s="5" t="str">
        <f t="shared" si="85"/>
        <v>https://www.screener.in/company//consolidated/</v>
      </c>
      <c r="F4494" s="4">
        <v>443059</v>
      </c>
      <c r="G4494" s="4">
        <v>3832241897</v>
      </c>
      <c r="H4494" s="6" t="e">
        <f t="shared" ca="1" si="86"/>
        <v>#VALUE!</v>
      </c>
      <c r="I4494" s="7" t="str">
        <f ca="1">IFERROR(__xludf.DUMMYFUNCTION("IMPORTXML(E4494,""/html/body/main/div[3]/div[3]/div[2]/ul/li[5]/span[2]/span"")"),"Loading...")</f>
        <v>Loading...</v>
      </c>
      <c r="J4494" s="7" t="str">
        <f ca="1">IFERROR(__xludf.DUMMYFUNCTION("GOOGLEFINANCE(""NSE:""&amp;D4494,""marketcap"")"),"#N/A")</f>
        <v>#N/A</v>
      </c>
      <c r="K4494" s="7">
        <v>992.8</v>
      </c>
      <c r="L4494" s="8" t="str">
        <f ca="1">IFERROR(__xludf.DUMMYFUNCTION("GOOGLEFINANCE(""NSE:""&amp;D4494,""price"")"),"#N/A")</f>
        <v>#N/A</v>
      </c>
      <c r="M4494" s="9" t="e">
        <f t="shared" ca="1" si="87"/>
        <v>#VALUE!</v>
      </c>
      <c r="N4494" s="10" t="e">
        <f t="shared" ca="1" si="88"/>
        <v>#VALUE!</v>
      </c>
      <c r="O4494" s="7" t="str">
        <f ca="1">IFERROR(__xludf.DUMMYFUNCTION("GOOGLEFINANCE(""NSE:""&amp;D4494,""pe"")"),"#N/A")</f>
        <v>#N/A</v>
      </c>
      <c r="P4494" s="7" t="str">
        <f ca="1">IFERROR(__xludf.DUMMYFUNCTION("GOOGLEFINANCE(""NSE:""&amp;D4494,""EPS"")"),"#N/A")</f>
        <v>#N/A</v>
      </c>
      <c r="Q4494" s="7">
        <v>13.5</v>
      </c>
      <c r="R4494" s="7" t="str">
        <f ca="1">IFERROR(__xludf.DUMMYFUNCTION("IMPORTXML(E4494,""/html/body/main/div[3]/div[3]/div[2]/ul/li[7]/span[2]/span"")"),"Loading...")</f>
        <v>Loading...</v>
      </c>
      <c r="S4494" s="7" t="str">
        <f ca="1">IFERROR(__xludf.DUMMYFUNCTION("IMPORTXML(E4494,""/html/body/main/div[3]/div[3]/div[2]/ul/li[8]/span[2]/span"")"),"Loading...")</f>
        <v>Loading...</v>
      </c>
      <c r="T4494" s="4">
        <v>34.6</v>
      </c>
      <c r="U4494" s="4">
        <v>22.7</v>
      </c>
      <c r="V4494" s="4">
        <v>2.6</v>
      </c>
      <c r="W4494" s="4">
        <v>5.7</v>
      </c>
      <c r="X4494" s="4">
        <v>519.92999999999995</v>
      </c>
      <c r="Y4494" s="7" t="e">
        <f t="shared" ca="1" si="89"/>
        <v>#VALUE!</v>
      </c>
    </row>
    <row r="4495" spans="1:25" ht="15" x14ac:dyDescent="0.25">
      <c r="A4495" s="4">
        <v>4494</v>
      </c>
      <c r="C4495" s="41" t="s">
        <v>6871</v>
      </c>
      <c r="D4495" s="42"/>
      <c r="E4495" s="5" t="str">
        <f t="shared" si="85"/>
        <v>https://www.screener.in/company//consolidated/</v>
      </c>
      <c r="F4495" s="4">
        <v>443059</v>
      </c>
      <c r="G4495" s="4">
        <v>3832241897</v>
      </c>
      <c r="H4495" s="6" t="e">
        <f t="shared" ca="1" si="86"/>
        <v>#VALUE!</v>
      </c>
      <c r="I4495" s="7" t="str">
        <f ca="1">IFERROR(__xludf.DUMMYFUNCTION("IMPORTXML(E4495,""/html/body/main/div[3]/div[3]/div[2]/ul/li[5]/span[2]/span"")"),"Loading...")</f>
        <v>Loading...</v>
      </c>
      <c r="J4495" s="7" t="str">
        <f ca="1">IFERROR(__xludf.DUMMYFUNCTION("GOOGLEFINANCE(""NSE:""&amp;D4495,""marketcap"")"),"#N/A")</f>
        <v>#N/A</v>
      </c>
      <c r="K4495" s="7">
        <v>992.8</v>
      </c>
      <c r="L4495" s="8" t="str">
        <f ca="1">IFERROR(__xludf.DUMMYFUNCTION("GOOGLEFINANCE(""NSE:""&amp;D4495,""price"")"),"#N/A")</f>
        <v>#N/A</v>
      </c>
      <c r="M4495" s="9" t="e">
        <f t="shared" ca="1" si="87"/>
        <v>#VALUE!</v>
      </c>
      <c r="N4495" s="10" t="e">
        <f t="shared" ca="1" si="88"/>
        <v>#VALUE!</v>
      </c>
      <c r="O4495" s="7" t="str">
        <f ca="1">IFERROR(__xludf.DUMMYFUNCTION("GOOGLEFINANCE(""NSE:""&amp;D4495,""pe"")"),"#N/A")</f>
        <v>#N/A</v>
      </c>
      <c r="P4495" s="7" t="str">
        <f ca="1">IFERROR(__xludf.DUMMYFUNCTION("GOOGLEFINANCE(""NSE:""&amp;D4495,""EPS"")"),"#N/A")</f>
        <v>#N/A</v>
      </c>
      <c r="Q4495" s="7">
        <v>13.5</v>
      </c>
      <c r="R4495" s="7" t="str">
        <f ca="1">IFERROR(__xludf.DUMMYFUNCTION("IMPORTXML(E4495,""/html/body/main/div[3]/div[3]/div[2]/ul/li[7]/span[2]/span"")"),"Loading...")</f>
        <v>Loading...</v>
      </c>
      <c r="S4495" s="7" t="str">
        <f ca="1">IFERROR(__xludf.DUMMYFUNCTION("IMPORTXML(E4495,""/html/body/main/div[3]/div[3]/div[2]/ul/li[8]/span[2]/span"")"),"Loading...")</f>
        <v>Loading...</v>
      </c>
      <c r="T4495" s="4">
        <v>34.6</v>
      </c>
      <c r="U4495" s="4">
        <v>22.7</v>
      </c>
      <c r="V4495" s="4">
        <v>2.6</v>
      </c>
      <c r="W4495" s="4">
        <v>5.7</v>
      </c>
      <c r="X4495" s="4">
        <v>519.92999999999995</v>
      </c>
      <c r="Y4495" s="7" t="e">
        <f t="shared" ca="1" si="89"/>
        <v>#VALUE!</v>
      </c>
    </row>
    <row r="4496" spans="1:25" ht="15" x14ac:dyDescent="0.25">
      <c r="A4496" s="4">
        <v>4495</v>
      </c>
      <c r="C4496" s="41" t="s">
        <v>6872</v>
      </c>
      <c r="D4496" s="42"/>
      <c r="E4496" s="5" t="str">
        <f t="shared" si="85"/>
        <v>https://www.screener.in/company//consolidated/</v>
      </c>
      <c r="F4496" s="4">
        <v>443059</v>
      </c>
      <c r="G4496" s="4">
        <v>3832241897</v>
      </c>
      <c r="H4496" s="6" t="e">
        <f t="shared" ca="1" si="86"/>
        <v>#VALUE!</v>
      </c>
      <c r="I4496" s="7" t="str">
        <f ca="1">IFERROR(__xludf.DUMMYFUNCTION("IMPORTXML(E4496,""/html/body/main/div[3]/div[3]/div[2]/ul/li[5]/span[2]/span"")"),"Loading...")</f>
        <v>Loading...</v>
      </c>
      <c r="J4496" s="7" t="str">
        <f ca="1">IFERROR(__xludf.DUMMYFUNCTION("GOOGLEFINANCE(""NSE:""&amp;D4496,""marketcap"")"),"#N/A")</f>
        <v>#N/A</v>
      </c>
      <c r="K4496" s="7">
        <v>992.8</v>
      </c>
      <c r="L4496" s="8" t="str">
        <f ca="1">IFERROR(__xludf.DUMMYFUNCTION("GOOGLEFINANCE(""NSE:""&amp;D4496,""price"")"),"#N/A")</f>
        <v>#N/A</v>
      </c>
      <c r="M4496" s="9" t="e">
        <f t="shared" ca="1" si="87"/>
        <v>#VALUE!</v>
      </c>
      <c r="N4496" s="10" t="e">
        <f t="shared" ca="1" si="88"/>
        <v>#VALUE!</v>
      </c>
      <c r="O4496" s="7" t="str">
        <f ca="1">IFERROR(__xludf.DUMMYFUNCTION("GOOGLEFINANCE(""NSE:""&amp;D4496,""pe"")"),"#N/A")</f>
        <v>#N/A</v>
      </c>
      <c r="P4496" s="7" t="str">
        <f ca="1">IFERROR(__xludf.DUMMYFUNCTION("GOOGLEFINANCE(""NSE:""&amp;D4496,""EPS"")"),"#N/A")</f>
        <v>#N/A</v>
      </c>
      <c r="Q4496" s="7">
        <v>13.5</v>
      </c>
      <c r="R4496" s="7" t="str">
        <f ca="1">IFERROR(__xludf.DUMMYFUNCTION("IMPORTXML(E4496,""/html/body/main/div[3]/div[3]/div[2]/ul/li[7]/span[2]/span"")"),"Loading...")</f>
        <v>Loading...</v>
      </c>
      <c r="S4496" s="7" t="str">
        <f ca="1">IFERROR(__xludf.DUMMYFUNCTION("IMPORTXML(E4496,""/html/body/main/div[3]/div[3]/div[2]/ul/li[8]/span[2]/span"")"),"Loading...")</f>
        <v>Loading...</v>
      </c>
      <c r="T4496" s="4">
        <v>34.6</v>
      </c>
      <c r="U4496" s="4">
        <v>22.7</v>
      </c>
      <c r="V4496" s="4">
        <v>2.6</v>
      </c>
      <c r="W4496" s="4">
        <v>5.7</v>
      </c>
      <c r="X4496" s="4">
        <v>519.92999999999995</v>
      </c>
      <c r="Y4496" s="7" t="e">
        <f t="shared" ca="1" si="89"/>
        <v>#VALUE!</v>
      </c>
    </row>
    <row r="4497" spans="1:25" ht="15" x14ac:dyDescent="0.25">
      <c r="A4497" s="4">
        <v>4496</v>
      </c>
      <c r="C4497" s="41" t="s">
        <v>6873</v>
      </c>
      <c r="D4497" s="42"/>
      <c r="E4497" s="5" t="str">
        <f t="shared" si="85"/>
        <v>https://www.screener.in/company//consolidated/</v>
      </c>
      <c r="F4497" s="4">
        <v>443059</v>
      </c>
      <c r="G4497" s="4">
        <v>3832241897</v>
      </c>
      <c r="H4497" s="6" t="e">
        <f t="shared" ca="1" si="86"/>
        <v>#VALUE!</v>
      </c>
      <c r="I4497" s="7" t="str">
        <f ca="1">IFERROR(__xludf.DUMMYFUNCTION("IMPORTXML(E4497,""/html/body/main/div[3]/div[3]/div[2]/ul/li[5]/span[2]/span"")"),"Loading...")</f>
        <v>Loading...</v>
      </c>
      <c r="J4497" s="7" t="str">
        <f ca="1">IFERROR(__xludf.DUMMYFUNCTION("GOOGLEFINANCE(""NSE:""&amp;D4497,""marketcap"")"),"#N/A")</f>
        <v>#N/A</v>
      </c>
      <c r="K4497" s="7">
        <v>992.8</v>
      </c>
      <c r="L4497" s="8" t="str">
        <f ca="1">IFERROR(__xludf.DUMMYFUNCTION("GOOGLEFINANCE(""NSE:""&amp;D4497,""price"")"),"#N/A")</f>
        <v>#N/A</v>
      </c>
      <c r="M4497" s="9" t="e">
        <f t="shared" ca="1" si="87"/>
        <v>#VALUE!</v>
      </c>
      <c r="N4497" s="10" t="e">
        <f t="shared" ca="1" si="88"/>
        <v>#VALUE!</v>
      </c>
      <c r="O4497" s="7" t="str">
        <f ca="1">IFERROR(__xludf.DUMMYFUNCTION("GOOGLEFINANCE(""NSE:""&amp;D4497,""pe"")"),"#N/A")</f>
        <v>#N/A</v>
      </c>
      <c r="P4497" s="7" t="str">
        <f ca="1">IFERROR(__xludf.DUMMYFUNCTION("GOOGLEFINANCE(""NSE:""&amp;D4497,""EPS"")"),"#N/A")</f>
        <v>#N/A</v>
      </c>
      <c r="Q4497" s="7">
        <v>13.5</v>
      </c>
      <c r="R4497" s="7" t="str">
        <f ca="1">IFERROR(__xludf.DUMMYFUNCTION("IMPORTXML(E4497,""/html/body/main/div[3]/div[3]/div[2]/ul/li[7]/span[2]/span"")"),"Loading...")</f>
        <v>Loading...</v>
      </c>
      <c r="S4497" s="7" t="str">
        <f ca="1">IFERROR(__xludf.DUMMYFUNCTION("IMPORTXML(E4497,""/html/body/main/div[3]/div[3]/div[2]/ul/li[8]/span[2]/span"")"),"Loading...")</f>
        <v>Loading...</v>
      </c>
      <c r="T4497" s="4">
        <v>34.6</v>
      </c>
      <c r="U4497" s="4">
        <v>22.7</v>
      </c>
      <c r="V4497" s="4">
        <v>2.6</v>
      </c>
      <c r="W4497" s="4">
        <v>5.7</v>
      </c>
      <c r="X4497" s="4">
        <v>519.92999999999995</v>
      </c>
      <c r="Y4497" s="7" t="e">
        <f t="shared" ca="1" si="89"/>
        <v>#VALUE!</v>
      </c>
    </row>
    <row r="4498" spans="1:25" ht="15" x14ac:dyDescent="0.25">
      <c r="A4498" s="4">
        <v>4497</v>
      </c>
      <c r="C4498" s="41" t="s">
        <v>6874</v>
      </c>
      <c r="D4498" s="42"/>
      <c r="E4498" s="5" t="str">
        <f t="shared" ref="E4498:E4752" si="90">"https://www.screener.in/company/"&amp; D4498&amp;"/consolidated/"</f>
        <v>https://www.screener.in/company//consolidated/</v>
      </c>
      <c r="F4498" s="4">
        <v>443059</v>
      </c>
      <c r="G4498" s="4">
        <v>3832241897</v>
      </c>
      <c r="H4498" s="6" t="e">
        <f t="shared" ref="H4498:H4752" ca="1" si="91">(G4498*L4498)/10^7</f>
        <v>#VALUE!</v>
      </c>
      <c r="I4498" s="7" t="str">
        <f ca="1">IFERROR(__xludf.DUMMYFUNCTION("IMPORTXML(E4498,""/html/body/main/div[3]/div[3]/div[2]/ul/li[5]/span[2]/span"")"),"Loading...")</f>
        <v>Loading...</v>
      </c>
      <c r="J4498" s="7" t="str">
        <f ca="1">IFERROR(__xludf.DUMMYFUNCTION("GOOGLEFINANCE(""NSE:""&amp;D4498,""marketcap"")"),"#N/A")</f>
        <v>#N/A</v>
      </c>
      <c r="K4498" s="7">
        <v>992.8</v>
      </c>
      <c r="L4498" s="8" t="str">
        <f ca="1">IFERROR(__xludf.DUMMYFUNCTION("GOOGLEFINANCE(""NSE:""&amp;D4498,""price"")"),"#N/A")</f>
        <v>#N/A</v>
      </c>
      <c r="M4498" s="9" t="e">
        <f t="shared" ref="M4498:M4752" ca="1" si="92">L4498-K4498</f>
        <v>#VALUE!</v>
      </c>
      <c r="N4498" s="10" t="e">
        <f t="shared" ref="N4498:N4752" ca="1" si="93">(M4498/K4498)*100</f>
        <v>#VALUE!</v>
      </c>
      <c r="O4498" s="7" t="str">
        <f ca="1">IFERROR(__xludf.DUMMYFUNCTION("GOOGLEFINANCE(""NSE:""&amp;D4498,""pe"")"),"#N/A")</f>
        <v>#N/A</v>
      </c>
      <c r="P4498" s="7" t="str">
        <f ca="1">IFERROR(__xludf.DUMMYFUNCTION("GOOGLEFINANCE(""NSE:""&amp;D4498,""EPS"")"),"#N/A")</f>
        <v>#N/A</v>
      </c>
      <c r="Q4498" s="7">
        <v>13.5</v>
      </c>
      <c r="R4498" s="7" t="str">
        <f ca="1">IFERROR(__xludf.DUMMYFUNCTION("IMPORTXML(E4498,""/html/body/main/div[3]/div[3]/div[2]/ul/li[7]/span[2]/span"")"),"Loading...")</f>
        <v>Loading...</v>
      </c>
      <c r="S4498" s="7" t="str">
        <f ca="1">IFERROR(__xludf.DUMMYFUNCTION("IMPORTXML(E4498,""/html/body/main/div[3]/div[3]/div[2]/ul/li[8]/span[2]/span"")"),"Loading...")</f>
        <v>Loading...</v>
      </c>
      <c r="T4498" s="4">
        <v>34.6</v>
      </c>
      <c r="U4498" s="4">
        <v>22.7</v>
      </c>
      <c r="V4498" s="4">
        <v>2.6</v>
      </c>
      <c r="W4498" s="4">
        <v>5.7</v>
      </c>
      <c r="X4498" s="4">
        <v>519.92999999999995</v>
      </c>
      <c r="Y4498" s="7" t="e">
        <f t="shared" ref="Y4498:Y4752" ca="1" si="94">L4498-X4498</f>
        <v>#VALUE!</v>
      </c>
    </row>
    <row r="4499" spans="1:25" ht="15" x14ac:dyDescent="0.25">
      <c r="A4499" s="4">
        <v>4498</v>
      </c>
      <c r="C4499" s="41" t="s">
        <v>6875</v>
      </c>
      <c r="D4499" s="42"/>
      <c r="E4499" s="5" t="str">
        <f t="shared" si="90"/>
        <v>https://www.screener.in/company//consolidated/</v>
      </c>
      <c r="F4499" s="4">
        <v>443059</v>
      </c>
      <c r="G4499" s="4">
        <v>3832241897</v>
      </c>
      <c r="H4499" s="6" t="e">
        <f t="shared" ca="1" si="91"/>
        <v>#VALUE!</v>
      </c>
      <c r="I4499" s="7" t="str">
        <f ca="1">IFERROR(__xludf.DUMMYFUNCTION("IMPORTXML(E4499,""/html/body/main/div[3]/div[3]/div[2]/ul/li[5]/span[2]/span"")"),"Loading...")</f>
        <v>Loading...</v>
      </c>
      <c r="J4499" s="7" t="str">
        <f ca="1">IFERROR(__xludf.DUMMYFUNCTION("GOOGLEFINANCE(""NSE:""&amp;D4499,""marketcap"")"),"#N/A")</f>
        <v>#N/A</v>
      </c>
      <c r="K4499" s="7">
        <v>992.8</v>
      </c>
      <c r="L4499" s="8" t="str">
        <f ca="1">IFERROR(__xludf.DUMMYFUNCTION("GOOGLEFINANCE(""NSE:""&amp;D4499,""price"")"),"#N/A")</f>
        <v>#N/A</v>
      </c>
      <c r="M4499" s="9" t="e">
        <f t="shared" ca="1" si="92"/>
        <v>#VALUE!</v>
      </c>
      <c r="N4499" s="10" t="e">
        <f t="shared" ca="1" si="93"/>
        <v>#VALUE!</v>
      </c>
      <c r="O4499" s="7" t="str">
        <f ca="1">IFERROR(__xludf.DUMMYFUNCTION("GOOGLEFINANCE(""NSE:""&amp;D4499,""pe"")"),"#N/A")</f>
        <v>#N/A</v>
      </c>
      <c r="P4499" s="7" t="str">
        <f ca="1">IFERROR(__xludf.DUMMYFUNCTION("GOOGLEFINANCE(""NSE:""&amp;D4499,""EPS"")"),"#N/A")</f>
        <v>#N/A</v>
      </c>
      <c r="Q4499" s="7">
        <v>13.5</v>
      </c>
      <c r="R4499" s="7" t="str">
        <f ca="1">IFERROR(__xludf.DUMMYFUNCTION("IMPORTXML(E4499,""/html/body/main/div[3]/div[3]/div[2]/ul/li[7]/span[2]/span"")"),"Loading...")</f>
        <v>Loading...</v>
      </c>
      <c r="S4499" s="7" t="str">
        <f ca="1">IFERROR(__xludf.DUMMYFUNCTION("IMPORTXML(E4499,""/html/body/main/div[3]/div[3]/div[2]/ul/li[8]/span[2]/span"")"),"Loading...")</f>
        <v>Loading...</v>
      </c>
      <c r="T4499" s="4">
        <v>34.6</v>
      </c>
      <c r="U4499" s="4">
        <v>22.7</v>
      </c>
      <c r="V4499" s="4">
        <v>2.6</v>
      </c>
      <c r="W4499" s="4">
        <v>5.7</v>
      </c>
      <c r="X4499" s="4">
        <v>519.92999999999995</v>
      </c>
      <c r="Y4499" s="7" t="e">
        <f t="shared" ca="1" si="94"/>
        <v>#VALUE!</v>
      </c>
    </row>
    <row r="4500" spans="1:25" ht="15" x14ac:dyDescent="0.25">
      <c r="A4500" s="4">
        <v>4499</v>
      </c>
      <c r="C4500" s="41" t="s">
        <v>6876</v>
      </c>
      <c r="D4500" s="42"/>
      <c r="E4500" s="5" t="str">
        <f t="shared" si="90"/>
        <v>https://www.screener.in/company//consolidated/</v>
      </c>
      <c r="F4500" s="4">
        <v>443059</v>
      </c>
      <c r="G4500" s="4">
        <v>3832241897</v>
      </c>
      <c r="H4500" s="6" t="e">
        <f t="shared" ca="1" si="91"/>
        <v>#VALUE!</v>
      </c>
      <c r="I4500" s="7" t="str">
        <f ca="1">IFERROR(__xludf.DUMMYFUNCTION("IMPORTXML(E4500,""/html/body/main/div[3]/div[3]/div[2]/ul/li[5]/span[2]/span"")"),"Loading...")</f>
        <v>Loading...</v>
      </c>
      <c r="J4500" s="7" t="str">
        <f ca="1">IFERROR(__xludf.DUMMYFUNCTION("GOOGLEFINANCE(""NSE:""&amp;D4500,""marketcap"")"),"#N/A")</f>
        <v>#N/A</v>
      </c>
      <c r="K4500" s="7">
        <v>992.8</v>
      </c>
      <c r="L4500" s="8" t="str">
        <f ca="1">IFERROR(__xludf.DUMMYFUNCTION("GOOGLEFINANCE(""NSE:""&amp;D4500,""price"")"),"#N/A")</f>
        <v>#N/A</v>
      </c>
      <c r="M4500" s="9" t="e">
        <f t="shared" ca="1" si="92"/>
        <v>#VALUE!</v>
      </c>
      <c r="N4500" s="10" t="e">
        <f t="shared" ca="1" si="93"/>
        <v>#VALUE!</v>
      </c>
      <c r="O4500" s="7" t="str">
        <f ca="1">IFERROR(__xludf.DUMMYFUNCTION("GOOGLEFINANCE(""NSE:""&amp;D4500,""pe"")"),"#N/A")</f>
        <v>#N/A</v>
      </c>
      <c r="P4500" s="7" t="str">
        <f ca="1">IFERROR(__xludf.DUMMYFUNCTION("GOOGLEFINANCE(""NSE:""&amp;D4500,""EPS"")"),"#N/A")</f>
        <v>#N/A</v>
      </c>
      <c r="Q4500" s="7">
        <v>13.5</v>
      </c>
      <c r="R4500" s="7" t="str">
        <f ca="1">IFERROR(__xludf.DUMMYFUNCTION("IMPORTXML(E4500,""/html/body/main/div[3]/div[3]/div[2]/ul/li[7]/span[2]/span"")"),"Loading...")</f>
        <v>Loading...</v>
      </c>
      <c r="S4500" s="7" t="str">
        <f ca="1">IFERROR(__xludf.DUMMYFUNCTION("IMPORTXML(E4500,""/html/body/main/div[3]/div[3]/div[2]/ul/li[8]/span[2]/span"")"),"Loading...")</f>
        <v>Loading...</v>
      </c>
      <c r="T4500" s="4">
        <v>34.6</v>
      </c>
      <c r="U4500" s="4">
        <v>22.7</v>
      </c>
      <c r="V4500" s="4">
        <v>2.6</v>
      </c>
      <c r="W4500" s="4">
        <v>5.7</v>
      </c>
      <c r="X4500" s="4">
        <v>519.92999999999995</v>
      </c>
      <c r="Y4500" s="7" t="e">
        <f t="shared" ca="1" si="94"/>
        <v>#VALUE!</v>
      </c>
    </row>
    <row r="4501" spans="1:25" ht="15" x14ac:dyDescent="0.25">
      <c r="A4501" s="4">
        <v>4500</v>
      </c>
      <c r="C4501" s="41" t="s">
        <v>6877</v>
      </c>
      <c r="D4501" s="42"/>
      <c r="E4501" s="5" t="str">
        <f t="shared" si="90"/>
        <v>https://www.screener.in/company//consolidated/</v>
      </c>
      <c r="F4501" s="4">
        <v>443059</v>
      </c>
      <c r="G4501" s="4">
        <v>3832241897</v>
      </c>
      <c r="H4501" s="6" t="e">
        <f t="shared" ca="1" si="91"/>
        <v>#VALUE!</v>
      </c>
      <c r="I4501" s="7" t="str">
        <f ca="1">IFERROR(__xludf.DUMMYFUNCTION("IMPORTXML(E4501,""/html/body/main/div[3]/div[3]/div[2]/ul/li[5]/span[2]/span"")"),"Loading...")</f>
        <v>Loading...</v>
      </c>
      <c r="J4501" s="7" t="str">
        <f ca="1">IFERROR(__xludf.DUMMYFUNCTION("GOOGLEFINANCE(""NSE:""&amp;D4501,""marketcap"")"),"#N/A")</f>
        <v>#N/A</v>
      </c>
      <c r="K4501" s="7">
        <v>992.8</v>
      </c>
      <c r="L4501" s="8" t="str">
        <f ca="1">IFERROR(__xludf.DUMMYFUNCTION("GOOGLEFINANCE(""NSE:""&amp;D4501,""price"")"),"#N/A")</f>
        <v>#N/A</v>
      </c>
      <c r="M4501" s="9" t="e">
        <f t="shared" ca="1" si="92"/>
        <v>#VALUE!</v>
      </c>
      <c r="N4501" s="10" t="e">
        <f t="shared" ca="1" si="93"/>
        <v>#VALUE!</v>
      </c>
      <c r="O4501" s="7" t="str">
        <f ca="1">IFERROR(__xludf.DUMMYFUNCTION("GOOGLEFINANCE(""NSE:""&amp;D4501,""pe"")"),"#N/A")</f>
        <v>#N/A</v>
      </c>
      <c r="P4501" s="7" t="str">
        <f ca="1">IFERROR(__xludf.DUMMYFUNCTION("GOOGLEFINANCE(""NSE:""&amp;D4501,""EPS"")"),"#N/A")</f>
        <v>#N/A</v>
      </c>
      <c r="Q4501" s="7">
        <v>13.5</v>
      </c>
      <c r="R4501" s="7" t="str">
        <f ca="1">IFERROR(__xludf.DUMMYFUNCTION("IMPORTXML(E4501,""/html/body/main/div[3]/div[3]/div[2]/ul/li[7]/span[2]/span"")"),"Loading...")</f>
        <v>Loading...</v>
      </c>
      <c r="S4501" s="7" t="str">
        <f ca="1">IFERROR(__xludf.DUMMYFUNCTION("IMPORTXML(E4501,""/html/body/main/div[3]/div[3]/div[2]/ul/li[8]/span[2]/span"")"),"Loading...")</f>
        <v>Loading...</v>
      </c>
      <c r="T4501" s="4">
        <v>34.6</v>
      </c>
      <c r="U4501" s="4">
        <v>22.7</v>
      </c>
      <c r="V4501" s="4">
        <v>2.6</v>
      </c>
      <c r="W4501" s="4">
        <v>5.7</v>
      </c>
      <c r="X4501" s="4">
        <v>519.92999999999995</v>
      </c>
      <c r="Y4501" s="7" t="e">
        <f t="shared" ca="1" si="94"/>
        <v>#VALUE!</v>
      </c>
    </row>
    <row r="4502" spans="1:25" ht="15" x14ac:dyDescent="0.25">
      <c r="A4502" s="4">
        <v>4501</v>
      </c>
      <c r="C4502" s="41" t="s">
        <v>6878</v>
      </c>
      <c r="D4502" s="42"/>
      <c r="E4502" s="5" t="str">
        <f t="shared" si="90"/>
        <v>https://www.screener.in/company//consolidated/</v>
      </c>
      <c r="F4502" s="4">
        <v>443059</v>
      </c>
      <c r="G4502" s="4">
        <v>3832241897</v>
      </c>
      <c r="H4502" s="6" t="e">
        <f t="shared" ca="1" si="91"/>
        <v>#VALUE!</v>
      </c>
      <c r="I4502" s="7" t="str">
        <f ca="1">IFERROR(__xludf.DUMMYFUNCTION("IMPORTXML(E4502,""/html/body/main/div[3]/div[3]/div[2]/ul/li[5]/span[2]/span"")"),"Loading...")</f>
        <v>Loading...</v>
      </c>
      <c r="J4502" s="7" t="str">
        <f ca="1">IFERROR(__xludf.DUMMYFUNCTION("GOOGLEFINANCE(""NSE:""&amp;D4502,""marketcap"")"),"#N/A")</f>
        <v>#N/A</v>
      </c>
      <c r="K4502" s="7">
        <v>992.8</v>
      </c>
      <c r="L4502" s="8" t="str">
        <f ca="1">IFERROR(__xludf.DUMMYFUNCTION("GOOGLEFINANCE(""NSE:""&amp;D4502,""price"")"),"#N/A")</f>
        <v>#N/A</v>
      </c>
      <c r="M4502" s="9" t="e">
        <f t="shared" ca="1" si="92"/>
        <v>#VALUE!</v>
      </c>
      <c r="N4502" s="10" t="e">
        <f t="shared" ca="1" si="93"/>
        <v>#VALUE!</v>
      </c>
      <c r="O4502" s="7" t="str">
        <f ca="1">IFERROR(__xludf.DUMMYFUNCTION("GOOGLEFINANCE(""NSE:""&amp;D4502,""pe"")"),"#N/A")</f>
        <v>#N/A</v>
      </c>
      <c r="P4502" s="7" t="str">
        <f ca="1">IFERROR(__xludf.DUMMYFUNCTION("GOOGLEFINANCE(""NSE:""&amp;D4502,""EPS"")"),"#N/A")</f>
        <v>#N/A</v>
      </c>
      <c r="Q4502" s="7">
        <v>13.5</v>
      </c>
      <c r="R4502" s="7" t="str">
        <f ca="1">IFERROR(__xludf.DUMMYFUNCTION("IMPORTXML(E4502,""/html/body/main/div[3]/div[3]/div[2]/ul/li[7]/span[2]/span"")"),"Loading...")</f>
        <v>Loading...</v>
      </c>
      <c r="S4502" s="7" t="str">
        <f ca="1">IFERROR(__xludf.DUMMYFUNCTION("IMPORTXML(E4502,""/html/body/main/div[3]/div[3]/div[2]/ul/li[8]/span[2]/span"")"),"Loading...")</f>
        <v>Loading...</v>
      </c>
      <c r="T4502" s="4">
        <v>34.6</v>
      </c>
      <c r="U4502" s="4">
        <v>22.7</v>
      </c>
      <c r="V4502" s="4">
        <v>2.6</v>
      </c>
      <c r="W4502" s="4">
        <v>5.7</v>
      </c>
      <c r="X4502" s="4">
        <v>519.92999999999995</v>
      </c>
      <c r="Y4502" s="7" t="e">
        <f t="shared" ca="1" si="94"/>
        <v>#VALUE!</v>
      </c>
    </row>
    <row r="4503" spans="1:25" ht="15" x14ac:dyDescent="0.25">
      <c r="A4503" s="4">
        <v>4502</v>
      </c>
      <c r="C4503" s="41" t="s">
        <v>6879</v>
      </c>
      <c r="D4503" s="42"/>
      <c r="E4503" s="5" t="str">
        <f t="shared" si="90"/>
        <v>https://www.screener.in/company//consolidated/</v>
      </c>
      <c r="F4503" s="4">
        <v>443059</v>
      </c>
      <c r="G4503" s="4">
        <v>3832241897</v>
      </c>
      <c r="H4503" s="6" t="e">
        <f t="shared" ca="1" si="91"/>
        <v>#VALUE!</v>
      </c>
      <c r="I4503" s="7" t="str">
        <f ca="1">IFERROR(__xludf.DUMMYFUNCTION("IMPORTXML(E4503,""/html/body/main/div[3]/div[3]/div[2]/ul/li[5]/span[2]/span"")"),"Loading...")</f>
        <v>Loading...</v>
      </c>
      <c r="J4503" s="7" t="str">
        <f ca="1">IFERROR(__xludf.DUMMYFUNCTION("GOOGLEFINANCE(""NSE:""&amp;D4503,""marketcap"")"),"#N/A")</f>
        <v>#N/A</v>
      </c>
      <c r="K4503" s="7">
        <v>992.8</v>
      </c>
      <c r="L4503" s="8" t="str">
        <f ca="1">IFERROR(__xludf.DUMMYFUNCTION("GOOGLEFINANCE(""NSE:""&amp;D4503,""price"")"),"#N/A")</f>
        <v>#N/A</v>
      </c>
      <c r="M4503" s="9" t="e">
        <f t="shared" ca="1" si="92"/>
        <v>#VALUE!</v>
      </c>
      <c r="N4503" s="10" t="e">
        <f t="shared" ca="1" si="93"/>
        <v>#VALUE!</v>
      </c>
      <c r="O4503" s="7" t="str">
        <f ca="1">IFERROR(__xludf.DUMMYFUNCTION("GOOGLEFINANCE(""NSE:""&amp;D4503,""pe"")"),"#N/A")</f>
        <v>#N/A</v>
      </c>
      <c r="P4503" s="7" t="str">
        <f ca="1">IFERROR(__xludf.DUMMYFUNCTION("GOOGLEFINANCE(""NSE:""&amp;D4503,""EPS"")"),"#N/A")</f>
        <v>#N/A</v>
      </c>
      <c r="Q4503" s="7">
        <v>13.5</v>
      </c>
      <c r="R4503" s="7" t="str">
        <f ca="1">IFERROR(__xludf.DUMMYFUNCTION("IMPORTXML(E4503,""/html/body/main/div[3]/div[3]/div[2]/ul/li[7]/span[2]/span"")"),"Loading...")</f>
        <v>Loading...</v>
      </c>
      <c r="S4503" s="7" t="str">
        <f ca="1">IFERROR(__xludf.DUMMYFUNCTION("IMPORTXML(E4503,""/html/body/main/div[3]/div[3]/div[2]/ul/li[8]/span[2]/span"")"),"Loading...")</f>
        <v>Loading...</v>
      </c>
      <c r="T4503" s="4">
        <v>34.6</v>
      </c>
      <c r="U4503" s="4">
        <v>22.7</v>
      </c>
      <c r="V4503" s="4">
        <v>2.6</v>
      </c>
      <c r="W4503" s="4">
        <v>5.7</v>
      </c>
      <c r="X4503" s="4">
        <v>519.92999999999995</v>
      </c>
      <c r="Y4503" s="7" t="e">
        <f t="shared" ca="1" si="94"/>
        <v>#VALUE!</v>
      </c>
    </row>
    <row r="4504" spans="1:25" ht="15" x14ac:dyDescent="0.25">
      <c r="A4504" s="4">
        <v>4503</v>
      </c>
      <c r="C4504" s="41" t="s">
        <v>6880</v>
      </c>
      <c r="D4504" s="42"/>
      <c r="E4504" s="5" t="str">
        <f t="shared" si="90"/>
        <v>https://www.screener.in/company//consolidated/</v>
      </c>
      <c r="F4504" s="4">
        <v>443059</v>
      </c>
      <c r="G4504" s="4">
        <v>3832241897</v>
      </c>
      <c r="H4504" s="6" t="e">
        <f t="shared" ca="1" si="91"/>
        <v>#VALUE!</v>
      </c>
      <c r="I4504" s="7" t="str">
        <f ca="1">IFERROR(__xludf.DUMMYFUNCTION("IMPORTXML(E4504,""/html/body/main/div[3]/div[3]/div[2]/ul/li[5]/span[2]/span"")"),"Loading...")</f>
        <v>Loading...</v>
      </c>
      <c r="J4504" s="7" t="str">
        <f ca="1">IFERROR(__xludf.DUMMYFUNCTION("GOOGLEFINANCE(""NSE:""&amp;D4504,""marketcap"")"),"#N/A")</f>
        <v>#N/A</v>
      </c>
      <c r="K4504" s="7">
        <v>992.8</v>
      </c>
      <c r="L4504" s="8" t="str">
        <f ca="1">IFERROR(__xludf.DUMMYFUNCTION("GOOGLEFINANCE(""NSE:""&amp;D4504,""price"")"),"#N/A")</f>
        <v>#N/A</v>
      </c>
      <c r="M4504" s="9" t="e">
        <f t="shared" ca="1" si="92"/>
        <v>#VALUE!</v>
      </c>
      <c r="N4504" s="10" t="e">
        <f t="shared" ca="1" si="93"/>
        <v>#VALUE!</v>
      </c>
      <c r="O4504" s="7" t="str">
        <f ca="1">IFERROR(__xludf.DUMMYFUNCTION("GOOGLEFINANCE(""NSE:""&amp;D4504,""pe"")"),"#N/A")</f>
        <v>#N/A</v>
      </c>
      <c r="P4504" s="7" t="str">
        <f ca="1">IFERROR(__xludf.DUMMYFUNCTION("GOOGLEFINANCE(""NSE:""&amp;D4504,""EPS"")"),"#N/A")</f>
        <v>#N/A</v>
      </c>
      <c r="Q4504" s="7">
        <v>13.5</v>
      </c>
      <c r="R4504" s="7" t="str">
        <f ca="1">IFERROR(__xludf.DUMMYFUNCTION("IMPORTXML(E4504,""/html/body/main/div[3]/div[3]/div[2]/ul/li[7]/span[2]/span"")"),"Loading...")</f>
        <v>Loading...</v>
      </c>
      <c r="S4504" s="7" t="str">
        <f ca="1">IFERROR(__xludf.DUMMYFUNCTION("IMPORTXML(E4504,""/html/body/main/div[3]/div[3]/div[2]/ul/li[8]/span[2]/span"")"),"Loading...")</f>
        <v>Loading...</v>
      </c>
      <c r="T4504" s="4">
        <v>34.6</v>
      </c>
      <c r="U4504" s="4">
        <v>22.7</v>
      </c>
      <c r="V4504" s="4">
        <v>2.6</v>
      </c>
      <c r="W4504" s="4">
        <v>5.7</v>
      </c>
      <c r="X4504" s="4">
        <v>519.92999999999995</v>
      </c>
      <c r="Y4504" s="7" t="e">
        <f t="shared" ca="1" si="94"/>
        <v>#VALUE!</v>
      </c>
    </row>
    <row r="4505" spans="1:25" ht="15" x14ac:dyDescent="0.25">
      <c r="A4505" s="4">
        <v>4504</v>
      </c>
      <c r="C4505" s="41" t="s">
        <v>6881</v>
      </c>
      <c r="D4505" s="42"/>
      <c r="E4505" s="5" t="str">
        <f t="shared" si="90"/>
        <v>https://www.screener.in/company//consolidated/</v>
      </c>
      <c r="F4505" s="4">
        <v>443059</v>
      </c>
      <c r="G4505" s="4">
        <v>3832241897</v>
      </c>
      <c r="H4505" s="6" t="e">
        <f t="shared" ca="1" si="91"/>
        <v>#VALUE!</v>
      </c>
      <c r="I4505" s="7" t="str">
        <f ca="1">IFERROR(__xludf.DUMMYFUNCTION("IMPORTXML(E4505,""/html/body/main/div[3]/div[3]/div[2]/ul/li[5]/span[2]/span"")"),"Loading...")</f>
        <v>Loading...</v>
      </c>
      <c r="J4505" s="7" t="str">
        <f ca="1">IFERROR(__xludf.DUMMYFUNCTION("GOOGLEFINANCE(""NSE:""&amp;D4505,""marketcap"")"),"#N/A")</f>
        <v>#N/A</v>
      </c>
      <c r="K4505" s="7">
        <v>992.8</v>
      </c>
      <c r="L4505" s="8" t="str">
        <f ca="1">IFERROR(__xludf.DUMMYFUNCTION("GOOGLEFINANCE(""NSE:""&amp;D4505,""price"")"),"#N/A")</f>
        <v>#N/A</v>
      </c>
      <c r="M4505" s="9" t="e">
        <f t="shared" ca="1" si="92"/>
        <v>#VALUE!</v>
      </c>
      <c r="N4505" s="10" t="e">
        <f t="shared" ca="1" si="93"/>
        <v>#VALUE!</v>
      </c>
      <c r="O4505" s="7" t="str">
        <f ca="1">IFERROR(__xludf.DUMMYFUNCTION("GOOGLEFINANCE(""NSE:""&amp;D4505,""pe"")"),"#N/A")</f>
        <v>#N/A</v>
      </c>
      <c r="P4505" s="7" t="str">
        <f ca="1">IFERROR(__xludf.DUMMYFUNCTION("GOOGLEFINANCE(""NSE:""&amp;D4505,""EPS"")"),"#N/A")</f>
        <v>#N/A</v>
      </c>
      <c r="Q4505" s="7">
        <v>13.5</v>
      </c>
      <c r="R4505" s="7" t="str">
        <f ca="1">IFERROR(__xludf.DUMMYFUNCTION("IMPORTXML(E4505,""/html/body/main/div[3]/div[3]/div[2]/ul/li[7]/span[2]/span"")"),"Loading...")</f>
        <v>Loading...</v>
      </c>
      <c r="S4505" s="7" t="str">
        <f ca="1">IFERROR(__xludf.DUMMYFUNCTION("IMPORTXML(E4505,""/html/body/main/div[3]/div[3]/div[2]/ul/li[8]/span[2]/span"")"),"Loading...")</f>
        <v>Loading...</v>
      </c>
      <c r="T4505" s="4">
        <v>34.6</v>
      </c>
      <c r="U4505" s="4">
        <v>22.7</v>
      </c>
      <c r="V4505" s="4">
        <v>2.6</v>
      </c>
      <c r="W4505" s="4">
        <v>5.7</v>
      </c>
      <c r="X4505" s="4">
        <v>519.92999999999995</v>
      </c>
      <c r="Y4505" s="7" t="e">
        <f t="shared" ca="1" si="94"/>
        <v>#VALUE!</v>
      </c>
    </row>
    <row r="4506" spans="1:25" ht="15" x14ac:dyDescent="0.25">
      <c r="A4506" s="4">
        <v>4505</v>
      </c>
      <c r="C4506" s="41" t="s">
        <v>6882</v>
      </c>
      <c r="D4506" s="42"/>
      <c r="E4506" s="5" t="str">
        <f t="shared" si="90"/>
        <v>https://www.screener.in/company//consolidated/</v>
      </c>
      <c r="F4506" s="4">
        <v>443059</v>
      </c>
      <c r="G4506" s="4">
        <v>3832241897</v>
      </c>
      <c r="H4506" s="6" t="e">
        <f t="shared" ca="1" si="91"/>
        <v>#VALUE!</v>
      </c>
      <c r="I4506" s="7" t="str">
        <f ca="1">IFERROR(__xludf.DUMMYFUNCTION("IMPORTXML(E4506,""/html/body/main/div[3]/div[3]/div[2]/ul/li[5]/span[2]/span"")"),"Loading...")</f>
        <v>Loading...</v>
      </c>
      <c r="J4506" s="7" t="str">
        <f ca="1">IFERROR(__xludf.DUMMYFUNCTION("GOOGLEFINANCE(""NSE:""&amp;D4506,""marketcap"")"),"#N/A")</f>
        <v>#N/A</v>
      </c>
      <c r="K4506" s="7">
        <v>992.8</v>
      </c>
      <c r="L4506" s="8" t="str">
        <f ca="1">IFERROR(__xludf.DUMMYFUNCTION("GOOGLEFINANCE(""NSE:""&amp;D4506,""price"")"),"#N/A")</f>
        <v>#N/A</v>
      </c>
      <c r="M4506" s="9" t="e">
        <f t="shared" ca="1" si="92"/>
        <v>#VALUE!</v>
      </c>
      <c r="N4506" s="10" t="e">
        <f t="shared" ca="1" si="93"/>
        <v>#VALUE!</v>
      </c>
      <c r="O4506" s="7" t="str">
        <f ca="1">IFERROR(__xludf.DUMMYFUNCTION("GOOGLEFINANCE(""NSE:""&amp;D4506,""pe"")"),"#N/A")</f>
        <v>#N/A</v>
      </c>
      <c r="P4506" s="7" t="str">
        <f ca="1">IFERROR(__xludf.DUMMYFUNCTION("GOOGLEFINANCE(""NSE:""&amp;D4506,""EPS"")"),"#N/A")</f>
        <v>#N/A</v>
      </c>
      <c r="Q4506" s="7">
        <v>13.5</v>
      </c>
      <c r="R4506" s="7" t="str">
        <f ca="1">IFERROR(__xludf.DUMMYFUNCTION("IMPORTXML(E4506,""/html/body/main/div[3]/div[3]/div[2]/ul/li[7]/span[2]/span"")"),"Loading...")</f>
        <v>Loading...</v>
      </c>
      <c r="S4506" s="7" t="str">
        <f ca="1">IFERROR(__xludf.DUMMYFUNCTION("IMPORTXML(E4506,""/html/body/main/div[3]/div[3]/div[2]/ul/li[8]/span[2]/span"")"),"Loading...")</f>
        <v>Loading...</v>
      </c>
      <c r="T4506" s="4">
        <v>34.6</v>
      </c>
      <c r="U4506" s="4">
        <v>22.7</v>
      </c>
      <c r="V4506" s="4">
        <v>2.6</v>
      </c>
      <c r="W4506" s="4">
        <v>5.7</v>
      </c>
      <c r="X4506" s="4">
        <v>519.92999999999995</v>
      </c>
      <c r="Y4506" s="7" t="e">
        <f t="shared" ca="1" si="94"/>
        <v>#VALUE!</v>
      </c>
    </row>
    <row r="4507" spans="1:25" ht="15" x14ac:dyDescent="0.25">
      <c r="A4507" s="4">
        <v>4506</v>
      </c>
      <c r="C4507" s="41" t="s">
        <v>6883</v>
      </c>
      <c r="D4507" s="42"/>
      <c r="E4507" s="5" t="str">
        <f t="shared" si="90"/>
        <v>https://www.screener.in/company//consolidated/</v>
      </c>
      <c r="F4507" s="4">
        <v>443059</v>
      </c>
      <c r="G4507" s="4">
        <v>3832241897</v>
      </c>
      <c r="H4507" s="6" t="e">
        <f t="shared" ca="1" si="91"/>
        <v>#VALUE!</v>
      </c>
      <c r="I4507" s="7" t="str">
        <f ca="1">IFERROR(__xludf.DUMMYFUNCTION("IMPORTXML(E4507,""/html/body/main/div[3]/div[3]/div[2]/ul/li[5]/span[2]/span"")"),"Loading...")</f>
        <v>Loading...</v>
      </c>
      <c r="J4507" s="7" t="str">
        <f ca="1">IFERROR(__xludf.DUMMYFUNCTION("GOOGLEFINANCE(""NSE:""&amp;D4507,""marketcap"")"),"#N/A")</f>
        <v>#N/A</v>
      </c>
      <c r="K4507" s="7">
        <v>992.8</v>
      </c>
      <c r="L4507" s="8" t="str">
        <f ca="1">IFERROR(__xludf.DUMMYFUNCTION("GOOGLEFINANCE(""NSE:""&amp;D4507,""price"")"),"#N/A")</f>
        <v>#N/A</v>
      </c>
      <c r="M4507" s="9" t="e">
        <f t="shared" ca="1" si="92"/>
        <v>#VALUE!</v>
      </c>
      <c r="N4507" s="10" t="e">
        <f t="shared" ca="1" si="93"/>
        <v>#VALUE!</v>
      </c>
      <c r="O4507" s="7" t="str">
        <f ca="1">IFERROR(__xludf.DUMMYFUNCTION("GOOGLEFINANCE(""NSE:""&amp;D4507,""pe"")"),"#N/A")</f>
        <v>#N/A</v>
      </c>
      <c r="P4507" s="7" t="str">
        <f ca="1">IFERROR(__xludf.DUMMYFUNCTION("GOOGLEFINANCE(""NSE:""&amp;D4507,""EPS"")"),"#N/A")</f>
        <v>#N/A</v>
      </c>
      <c r="Q4507" s="7">
        <v>13.5</v>
      </c>
      <c r="R4507" s="7" t="str">
        <f ca="1">IFERROR(__xludf.DUMMYFUNCTION("IMPORTXML(E4507,""/html/body/main/div[3]/div[3]/div[2]/ul/li[7]/span[2]/span"")"),"Loading...")</f>
        <v>Loading...</v>
      </c>
      <c r="S4507" s="7" t="str">
        <f ca="1">IFERROR(__xludf.DUMMYFUNCTION("IMPORTXML(E4507,""/html/body/main/div[3]/div[3]/div[2]/ul/li[8]/span[2]/span"")"),"Loading...")</f>
        <v>Loading...</v>
      </c>
      <c r="T4507" s="4">
        <v>34.6</v>
      </c>
      <c r="U4507" s="4">
        <v>22.7</v>
      </c>
      <c r="V4507" s="4">
        <v>2.6</v>
      </c>
      <c r="W4507" s="4">
        <v>5.7</v>
      </c>
      <c r="X4507" s="4">
        <v>519.92999999999995</v>
      </c>
      <c r="Y4507" s="7" t="e">
        <f t="shared" ca="1" si="94"/>
        <v>#VALUE!</v>
      </c>
    </row>
    <row r="4508" spans="1:25" ht="15" x14ac:dyDescent="0.25">
      <c r="A4508" s="4">
        <v>4507</v>
      </c>
      <c r="C4508" s="41" t="s">
        <v>6884</v>
      </c>
      <c r="D4508" s="42"/>
      <c r="E4508" s="5" t="str">
        <f t="shared" si="90"/>
        <v>https://www.screener.in/company//consolidated/</v>
      </c>
      <c r="F4508" s="4">
        <v>443059</v>
      </c>
      <c r="G4508" s="4">
        <v>3832241897</v>
      </c>
      <c r="H4508" s="6" t="e">
        <f t="shared" ca="1" si="91"/>
        <v>#VALUE!</v>
      </c>
      <c r="I4508" s="7" t="str">
        <f ca="1">IFERROR(__xludf.DUMMYFUNCTION("IMPORTXML(E4508,""/html/body/main/div[3]/div[3]/div[2]/ul/li[5]/span[2]/span"")"),"Loading...")</f>
        <v>Loading...</v>
      </c>
      <c r="J4508" s="7" t="str">
        <f ca="1">IFERROR(__xludf.DUMMYFUNCTION("GOOGLEFINANCE(""NSE:""&amp;D4508,""marketcap"")"),"#N/A")</f>
        <v>#N/A</v>
      </c>
      <c r="K4508" s="7">
        <v>992.8</v>
      </c>
      <c r="L4508" s="8" t="str">
        <f ca="1">IFERROR(__xludf.DUMMYFUNCTION("GOOGLEFINANCE(""NSE:""&amp;D4508,""price"")"),"#N/A")</f>
        <v>#N/A</v>
      </c>
      <c r="M4508" s="9" t="e">
        <f t="shared" ca="1" si="92"/>
        <v>#VALUE!</v>
      </c>
      <c r="N4508" s="10" t="e">
        <f t="shared" ca="1" si="93"/>
        <v>#VALUE!</v>
      </c>
      <c r="O4508" s="7" t="str">
        <f ca="1">IFERROR(__xludf.DUMMYFUNCTION("GOOGLEFINANCE(""NSE:""&amp;D4508,""pe"")"),"#N/A")</f>
        <v>#N/A</v>
      </c>
      <c r="P4508" s="7" t="str">
        <f ca="1">IFERROR(__xludf.DUMMYFUNCTION("GOOGLEFINANCE(""NSE:""&amp;D4508,""EPS"")"),"#N/A")</f>
        <v>#N/A</v>
      </c>
      <c r="Q4508" s="7">
        <v>13.5</v>
      </c>
      <c r="R4508" s="7" t="str">
        <f ca="1">IFERROR(__xludf.DUMMYFUNCTION("IMPORTXML(E4508,""/html/body/main/div[3]/div[3]/div[2]/ul/li[7]/span[2]/span"")"),"Loading...")</f>
        <v>Loading...</v>
      </c>
      <c r="S4508" s="7" t="str">
        <f ca="1">IFERROR(__xludf.DUMMYFUNCTION("IMPORTXML(E4508,""/html/body/main/div[3]/div[3]/div[2]/ul/li[8]/span[2]/span"")"),"Loading...")</f>
        <v>Loading...</v>
      </c>
      <c r="T4508" s="4">
        <v>34.6</v>
      </c>
      <c r="U4508" s="4">
        <v>22.7</v>
      </c>
      <c r="V4508" s="4">
        <v>2.6</v>
      </c>
      <c r="W4508" s="4">
        <v>5.7</v>
      </c>
      <c r="X4508" s="4">
        <v>519.92999999999995</v>
      </c>
      <c r="Y4508" s="7" t="e">
        <f t="shared" ca="1" si="94"/>
        <v>#VALUE!</v>
      </c>
    </row>
    <row r="4509" spans="1:25" ht="15" x14ac:dyDescent="0.25">
      <c r="A4509" s="4">
        <v>4508</v>
      </c>
      <c r="C4509" s="41" t="s">
        <v>6885</v>
      </c>
      <c r="D4509" s="42"/>
      <c r="E4509" s="5" t="str">
        <f t="shared" si="90"/>
        <v>https://www.screener.in/company//consolidated/</v>
      </c>
      <c r="F4509" s="4">
        <v>443059</v>
      </c>
      <c r="G4509" s="4">
        <v>3832241897</v>
      </c>
      <c r="H4509" s="6" t="e">
        <f t="shared" ca="1" si="91"/>
        <v>#VALUE!</v>
      </c>
      <c r="I4509" s="7" t="str">
        <f ca="1">IFERROR(__xludf.DUMMYFUNCTION("IMPORTXML(E4509,""/html/body/main/div[3]/div[3]/div[2]/ul/li[5]/span[2]/span"")"),"Loading...")</f>
        <v>Loading...</v>
      </c>
      <c r="J4509" s="7" t="str">
        <f ca="1">IFERROR(__xludf.DUMMYFUNCTION("GOOGLEFINANCE(""NSE:""&amp;D4509,""marketcap"")"),"#N/A")</f>
        <v>#N/A</v>
      </c>
      <c r="K4509" s="7">
        <v>992.8</v>
      </c>
      <c r="L4509" s="8" t="str">
        <f ca="1">IFERROR(__xludf.DUMMYFUNCTION("GOOGLEFINANCE(""NSE:""&amp;D4509,""price"")"),"#N/A")</f>
        <v>#N/A</v>
      </c>
      <c r="M4509" s="9" t="e">
        <f t="shared" ca="1" si="92"/>
        <v>#VALUE!</v>
      </c>
      <c r="N4509" s="10" t="e">
        <f t="shared" ca="1" si="93"/>
        <v>#VALUE!</v>
      </c>
      <c r="O4509" s="7" t="str">
        <f ca="1">IFERROR(__xludf.DUMMYFUNCTION("GOOGLEFINANCE(""NSE:""&amp;D4509,""pe"")"),"#N/A")</f>
        <v>#N/A</v>
      </c>
      <c r="P4509" s="7" t="str">
        <f ca="1">IFERROR(__xludf.DUMMYFUNCTION("GOOGLEFINANCE(""NSE:""&amp;D4509,""EPS"")"),"#N/A")</f>
        <v>#N/A</v>
      </c>
      <c r="Q4509" s="7">
        <v>13.5</v>
      </c>
      <c r="R4509" s="7" t="str">
        <f ca="1">IFERROR(__xludf.DUMMYFUNCTION("IMPORTXML(E4509,""/html/body/main/div[3]/div[3]/div[2]/ul/li[7]/span[2]/span"")"),"Loading...")</f>
        <v>Loading...</v>
      </c>
      <c r="S4509" s="7" t="str">
        <f ca="1">IFERROR(__xludf.DUMMYFUNCTION("IMPORTXML(E4509,""/html/body/main/div[3]/div[3]/div[2]/ul/li[8]/span[2]/span"")"),"Loading...")</f>
        <v>Loading...</v>
      </c>
      <c r="T4509" s="4">
        <v>34.6</v>
      </c>
      <c r="U4509" s="4">
        <v>22.7</v>
      </c>
      <c r="V4509" s="4">
        <v>2.6</v>
      </c>
      <c r="W4509" s="4">
        <v>5.7</v>
      </c>
      <c r="X4509" s="4">
        <v>519.92999999999995</v>
      </c>
      <c r="Y4509" s="7" t="e">
        <f t="shared" ca="1" si="94"/>
        <v>#VALUE!</v>
      </c>
    </row>
    <row r="4510" spans="1:25" ht="15" x14ac:dyDescent="0.25">
      <c r="A4510" s="4">
        <v>4509</v>
      </c>
      <c r="C4510" s="41" t="s">
        <v>6886</v>
      </c>
      <c r="D4510" s="42"/>
      <c r="E4510" s="5" t="str">
        <f t="shared" si="90"/>
        <v>https://www.screener.in/company//consolidated/</v>
      </c>
      <c r="F4510" s="4">
        <v>443059</v>
      </c>
      <c r="G4510" s="4">
        <v>3832241897</v>
      </c>
      <c r="H4510" s="6" t="e">
        <f t="shared" ca="1" si="91"/>
        <v>#VALUE!</v>
      </c>
      <c r="I4510" s="7" t="str">
        <f ca="1">IFERROR(__xludf.DUMMYFUNCTION("IMPORTXML(E4510,""/html/body/main/div[3]/div[3]/div[2]/ul/li[5]/span[2]/span"")"),"Loading...")</f>
        <v>Loading...</v>
      </c>
      <c r="J4510" s="7" t="str">
        <f ca="1">IFERROR(__xludf.DUMMYFUNCTION("GOOGLEFINANCE(""NSE:""&amp;D4510,""marketcap"")"),"#N/A")</f>
        <v>#N/A</v>
      </c>
      <c r="K4510" s="7">
        <v>992.8</v>
      </c>
      <c r="L4510" s="8" t="str">
        <f ca="1">IFERROR(__xludf.DUMMYFUNCTION("GOOGLEFINANCE(""NSE:""&amp;D4510,""price"")"),"#N/A")</f>
        <v>#N/A</v>
      </c>
      <c r="M4510" s="9" t="e">
        <f t="shared" ca="1" si="92"/>
        <v>#VALUE!</v>
      </c>
      <c r="N4510" s="10" t="e">
        <f t="shared" ca="1" si="93"/>
        <v>#VALUE!</v>
      </c>
      <c r="O4510" s="7" t="str">
        <f ca="1">IFERROR(__xludf.DUMMYFUNCTION("GOOGLEFINANCE(""NSE:""&amp;D4510,""pe"")"),"#N/A")</f>
        <v>#N/A</v>
      </c>
      <c r="P4510" s="7" t="str">
        <f ca="1">IFERROR(__xludf.DUMMYFUNCTION("GOOGLEFINANCE(""NSE:""&amp;D4510,""EPS"")"),"#N/A")</f>
        <v>#N/A</v>
      </c>
      <c r="Q4510" s="7">
        <v>13.5</v>
      </c>
      <c r="R4510" s="7" t="str">
        <f ca="1">IFERROR(__xludf.DUMMYFUNCTION("IMPORTXML(E4510,""/html/body/main/div[3]/div[3]/div[2]/ul/li[7]/span[2]/span"")"),"Loading...")</f>
        <v>Loading...</v>
      </c>
      <c r="S4510" s="7" t="str">
        <f ca="1">IFERROR(__xludf.DUMMYFUNCTION("IMPORTXML(E4510,""/html/body/main/div[3]/div[3]/div[2]/ul/li[8]/span[2]/span"")"),"Loading...")</f>
        <v>Loading...</v>
      </c>
      <c r="T4510" s="4">
        <v>34.6</v>
      </c>
      <c r="U4510" s="4">
        <v>22.7</v>
      </c>
      <c r="V4510" s="4">
        <v>2.6</v>
      </c>
      <c r="W4510" s="4">
        <v>5.7</v>
      </c>
      <c r="X4510" s="4">
        <v>519.92999999999995</v>
      </c>
      <c r="Y4510" s="7" t="e">
        <f t="shared" ca="1" si="94"/>
        <v>#VALUE!</v>
      </c>
    </row>
    <row r="4511" spans="1:25" ht="15" x14ac:dyDescent="0.25">
      <c r="A4511" s="4">
        <v>4510</v>
      </c>
      <c r="C4511" s="41" t="s">
        <v>6887</v>
      </c>
      <c r="D4511" s="42"/>
      <c r="E4511" s="5" t="str">
        <f t="shared" si="90"/>
        <v>https://www.screener.in/company//consolidated/</v>
      </c>
      <c r="F4511" s="4">
        <v>443059</v>
      </c>
      <c r="G4511" s="4">
        <v>3832241897</v>
      </c>
      <c r="H4511" s="6" t="e">
        <f t="shared" ca="1" si="91"/>
        <v>#VALUE!</v>
      </c>
      <c r="I4511" s="7" t="str">
        <f ca="1">IFERROR(__xludf.DUMMYFUNCTION("IMPORTXML(E4511,""/html/body/main/div[3]/div[3]/div[2]/ul/li[5]/span[2]/span"")"),"Loading...")</f>
        <v>Loading...</v>
      </c>
      <c r="J4511" s="7" t="str">
        <f ca="1">IFERROR(__xludf.DUMMYFUNCTION("GOOGLEFINANCE(""NSE:""&amp;D4511,""marketcap"")"),"#N/A")</f>
        <v>#N/A</v>
      </c>
      <c r="K4511" s="7">
        <v>992.8</v>
      </c>
      <c r="L4511" s="8" t="str">
        <f ca="1">IFERROR(__xludf.DUMMYFUNCTION("GOOGLEFINANCE(""NSE:""&amp;D4511,""price"")"),"#N/A")</f>
        <v>#N/A</v>
      </c>
      <c r="M4511" s="9" t="e">
        <f t="shared" ca="1" si="92"/>
        <v>#VALUE!</v>
      </c>
      <c r="N4511" s="10" t="e">
        <f t="shared" ca="1" si="93"/>
        <v>#VALUE!</v>
      </c>
      <c r="O4511" s="7" t="str">
        <f ca="1">IFERROR(__xludf.DUMMYFUNCTION("GOOGLEFINANCE(""NSE:""&amp;D4511,""pe"")"),"#N/A")</f>
        <v>#N/A</v>
      </c>
      <c r="P4511" s="7" t="str">
        <f ca="1">IFERROR(__xludf.DUMMYFUNCTION("GOOGLEFINANCE(""NSE:""&amp;D4511,""EPS"")"),"#N/A")</f>
        <v>#N/A</v>
      </c>
      <c r="Q4511" s="7">
        <v>13.5</v>
      </c>
      <c r="R4511" s="7" t="str">
        <f ca="1">IFERROR(__xludf.DUMMYFUNCTION("IMPORTXML(E4511,""/html/body/main/div[3]/div[3]/div[2]/ul/li[7]/span[2]/span"")"),"Loading...")</f>
        <v>Loading...</v>
      </c>
      <c r="S4511" s="7" t="str">
        <f ca="1">IFERROR(__xludf.DUMMYFUNCTION("IMPORTXML(E4511,""/html/body/main/div[3]/div[3]/div[2]/ul/li[8]/span[2]/span"")"),"Loading...")</f>
        <v>Loading...</v>
      </c>
      <c r="T4511" s="4">
        <v>34.6</v>
      </c>
      <c r="U4511" s="4">
        <v>22.7</v>
      </c>
      <c r="V4511" s="4">
        <v>2.6</v>
      </c>
      <c r="W4511" s="4">
        <v>5.7</v>
      </c>
      <c r="X4511" s="4">
        <v>519.92999999999995</v>
      </c>
      <c r="Y4511" s="7" t="e">
        <f t="shared" ca="1" si="94"/>
        <v>#VALUE!</v>
      </c>
    </row>
    <row r="4512" spans="1:25" ht="15" x14ac:dyDescent="0.25">
      <c r="A4512" s="4">
        <v>4511</v>
      </c>
      <c r="C4512" s="41" t="s">
        <v>6888</v>
      </c>
      <c r="D4512" s="42"/>
      <c r="E4512" s="5" t="str">
        <f t="shared" si="90"/>
        <v>https://www.screener.in/company//consolidated/</v>
      </c>
      <c r="F4512" s="4">
        <v>443059</v>
      </c>
      <c r="G4512" s="4">
        <v>3832241897</v>
      </c>
      <c r="H4512" s="6" t="e">
        <f t="shared" ca="1" si="91"/>
        <v>#VALUE!</v>
      </c>
      <c r="I4512" s="7" t="str">
        <f ca="1">IFERROR(__xludf.DUMMYFUNCTION("IMPORTXML(E4512,""/html/body/main/div[3]/div[3]/div[2]/ul/li[5]/span[2]/span"")"),"Loading...")</f>
        <v>Loading...</v>
      </c>
      <c r="J4512" s="7" t="str">
        <f ca="1">IFERROR(__xludf.DUMMYFUNCTION("GOOGLEFINANCE(""NSE:""&amp;D4512,""marketcap"")"),"#N/A")</f>
        <v>#N/A</v>
      </c>
      <c r="K4512" s="7">
        <v>992.8</v>
      </c>
      <c r="L4512" s="8" t="str">
        <f ca="1">IFERROR(__xludf.DUMMYFUNCTION("GOOGLEFINANCE(""NSE:""&amp;D4512,""price"")"),"#N/A")</f>
        <v>#N/A</v>
      </c>
      <c r="M4512" s="9" t="e">
        <f t="shared" ca="1" si="92"/>
        <v>#VALUE!</v>
      </c>
      <c r="N4512" s="10" t="e">
        <f t="shared" ca="1" si="93"/>
        <v>#VALUE!</v>
      </c>
      <c r="O4512" s="7" t="str">
        <f ca="1">IFERROR(__xludf.DUMMYFUNCTION("GOOGLEFINANCE(""NSE:""&amp;D4512,""pe"")"),"#N/A")</f>
        <v>#N/A</v>
      </c>
      <c r="P4512" s="7" t="str">
        <f ca="1">IFERROR(__xludf.DUMMYFUNCTION("GOOGLEFINANCE(""NSE:""&amp;D4512,""EPS"")"),"#N/A")</f>
        <v>#N/A</v>
      </c>
      <c r="Q4512" s="7">
        <v>13.5</v>
      </c>
      <c r="R4512" s="7" t="str">
        <f ca="1">IFERROR(__xludf.DUMMYFUNCTION("IMPORTXML(E4512,""/html/body/main/div[3]/div[3]/div[2]/ul/li[7]/span[2]/span"")"),"Loading...")</f>
        <v>Loading...</v>
      </c>
      <c r="S4512" s="7" t="str">
        <f ca="1">IFERROR(__xludf.DUMMYFUNCTION("IMPORTXML(E4512,""/html/body/main/div[3]/div[3]/div[2]/ul/li[8]/span[2]/span"")"),"Loading...")</f>
        <v>Loading...</v>
      </c>
      <c r="T4512" s="4">
        <v>34.6</v>
      </c>
      <c r="U4512" s="4">
        <v>22.7</v>
      </c>
      <c r="V4512" s="4">
        <v>2.6</v>
      </c>
      <c r="W4512" s="4">
        <v>5.7</v>
      </c>
      <c r="X4512" s="4">
        <v>519.92999999999995</v>
      </c>
      <c r="Y4512" s="7" t="e">
        <f t="shared" ca="1" si="94"/>
        <v>#VALUE!</v>
      </c>
    </row>
    <row r="4513" spans="1:25" ht="15" x14ac:dyDescent="0.25">
      <c r="A4513" s="4">
        <v>4512</v>
      </c>
      <c r="C4513" s="41" t="s">
        <v>6889</v>
      </c>
      <c r="D4513" s="42"/>
      <c r="E4513" s="5" t="str">
        <f t="shared" si="90"/>
        <v>https://www.screener.in/company//consolidated/</v>
      </c>
      <c r="F4513" s="4">
        <v>443059</v>
      </c>
      <c r="G4513" s="4">
        <v>3832241897</v>
      </c>
      <c r="H4513" s="6" t="e">
        <f t="shared" ca="1" si="91"/>
        <v>#VALUE!</v>
      </c>
      <c r="I4513" s="7" t="str">
        <f ca="1">IFERROR(__xludf.DUMMYFUNCTION("IMPORTXML(E4513,""/html/body/main/div[3]/div[3]/div[2]/ul/li[5]/span[2]/span"")"),"Loading...")</f>
        <v>Loading...</v>
      </c>
      <c r="J4513" s="7" t="str">
        <f ca="1">IFERROR(__xludf.DUMMYFUNCTION("GOOGLEFINANCE(""NSE:""&amp;D4513,""marketcap"")"),"#N/A")</f>
        <v>#N/A</v>
      </c>
      <c r="K4513" s="7">
        <v>992.8</v>
      </c>
      <c r="L4513" s="8" t="str">
        <f ca="1">IFERROR(__xludf.DUMMYFUNCTION("GOOGLEFINANCE(""NSE:""&amp;D4513,""price"")"),"#N/A")</f>
        <v>#N/A</v>
      </c>
      <c r="M4513" s="9" t="e">
        <f t="shared" ca="1" si="92"/>
        <v>#VALUE!</v>
      </c>
      <c r="N4513" s="10" t="e">
        <f t="shared" ca="1" si="93"/>
        <v>#VALUE!</v>
      </c>
      <c r="O4513" s="7" t="str">
        <f ca="1">IFERROR(__xludf.DUMMYFUNCTION("GOOGLEFINANCE(""NSE:""&amp;D4513,""pe"")"),"#N/A")</f>
        <v>#N/A</v>
      </c>
      <c r="P4513" s="7" t="str">
        <f ca="1">IFERROR(__xludf.DUMMYFUNCTION("GOOGLEFINANCE(""NSE:""&amp;D4513,""EPS"")"),"#N/A")</f>
        <v>#N/A</v>
      </c>
      <c r="Q4513" s="7">
        <v>13.5</v>
      </c>
      <c r="R4513" s="7" t="str">
        <f ca="1">IFERROR(__xludf.DUMMYFUNCTION("IMPORTXML(E4513,""/html/body/main/div[3]/div[3]/div[2]/ul/li[7]/span[2]/span"")"),"Loading...")</f>
        <v>Loading...</v>
      </c>
      <c r="S4513" s="7" t="str">
        <f ca="1">IFERROR(__xludf.DUMMYFUNCTION("IMPORTXML(E4513,""/html/body/main/div[3]/div[3]/div[2]/ul/li[8]/span[2]/span"")"),"Loading...")</f>
        <v>Loading...</v>
      </c>
      <c r="T4513" s="4">
        <v>34.6</v>
      </c>
      <c r="U4513" s="4">
        <v>22.7</v>
      </c>
      <c r="V4513" s="4">
        <v>2.6</v>
      </c>
      <c r="W4513" s="4">
        <v>5.7</v>
      </c>
      <c r="X4513" s="4">
        <v>519.92999999999995</v>
      </c>
      <c r="Y4513" s="7" t="e">
        <f t="shared" ca="1" si="94"/>
        <v>#VALUE!</v>
      </c>
    </row>
    <row r="4514" spans="1:25" ht="15" x14ac:dyDescent="0.25">
      <c r="A4514" s="4">
        <v>4513</v>
      </c>
      <c r="C4514" s="41" t="s">
        <v>6890</v>
      </c>
      <c r="D4514" s="42"/>
      <c r="E4514" s="5" t="str">
        <f t="shared" si="90"/>
        <v>https://www.screener.in/company//consolidated/</v>
      </c>
      <c r="F4514" s="4">
        <v>443059</v>
      </c>
      <c r="G4514" s="4">
        <v>3832241897</v>
      </c>
      <c r="H4514" s="6" t="e">
        <f t="shared" ca="1" si="91"/>
        <v>#VALUE!</v>
      </c>
      <c r="I4514" s="7" t="str">
        <f ca="1">IFERROR(__xludf.DUMMYFUNCTION("IMPORTXML(E4514,""/html/body/main/div[3]/div[3]/div[2]/ul/li[5]/span[2]/span"")"),"Loading...")</f>
        <v>Loading...</v>
      </c>
      <c r="J4514" s="7" t="str">
        <f ca="1">IFERROR(__xludf.DUMMYFUNCTION("GOOGLEFINANCE(""NSE:""&amp;D4514,""marketcap"")"),"#N/A")</f>
        <v>#N/A</v>
      </c>
      <c r="K4514" s="7">
        <v>992.8</v>
      </c>
      <c r="L4514" s="8" t="str">
        <f ca="1">IFERROR(__xludf.DUMMYFUNCTION("GOOGLEFINANCE(""NSE:""&amp;D4514,""price"")"),"#N/A")</f>
        <v>#N/A</v>
      </c>
      <c r="M4514" s="9" t="e">
        <f t="shared" ca="1" si="92"/>
        <v>#VALUE!</v>
      </c>
      <c r="N4514" s="10" t="e">
        <f t="shared" ca="1" si="93"/>
        <v>#VALUE!</v>
      </c>
      <c r="O4514" s="7" t="str">
        <f ca="1">IFERROR(__xludf.DUMMYFUNCTION("GOOGLEFINANCE(""NSE:""&amp;D4514,""pe"")"),"#N/A")</f>
        <v>#N/A</v>
      </c>
      <c r="P4514" s="7" t="str">
        <f ca="1">IFERROR(__xludf.DUMMYFUNCTION("GOOGLEFINANCE(""NSE:""&amp;D4514,""EPS"")"),"#N/A")</f>
        <v>#N/A</v>
      </c>
      <c r="Q4514" s="7">
        <v>13.5</v>
      </c>
      <c r="R4514" s="7" t="str">
        <f ca="1">IFERROR(__xludf.DUMMYFUNCTION("IMPORTXML(E4514,""/html/body/main/div[3]/div[3]/div[2]/ul/li[7]/span[2]/span"")"),"Loading...")</f>
        <v>Loading...</v>
      </c>
      <c r="S4514" s="7" t="str">
        <f ca="1">IFERROR(__xludf.DUMMYFUNCTION("IMPORTXML(E4514,""/html/body/main/div[3]/div[3]/div[2]/ul/li[8]/span[2]/span"")"),"Loading...")</f>
        <v>Loading...</v>
      </c>
      <c r="T4514" s="4">
        <v>34.6</v>
      </c>
      <c r="U4514" s="4">
        <v>22.7</v>
      </c>
      <c r="V4514" s="4">
        <v>2.6</v>
      </c>
      <c r="W4514" s="4">
        <v>5.7</v>
      </c>
      <c r="X4514" s="4">
        <v>519.92999999999995</v>
      </c>
      <c r="Y4514" s="7" t="e">
        <f t="shared" ca="1" si="94"/>
        <v>#VALUE!</v>
      </c>
    </row>
    <row r="4515" spans="1:25" ht="15" x14ac:dyDescent="0.25">
      <c r="A4515" s="4">
        <v>4514</v>
      </c>
      <c r="C4515" s="41" t="s">
        <v>6891</v>
      </c>
      <c r="D4515" s="42"/>
      <c r="E4515" s="5" t="str">
        <f t="shared" si="90"/>
        <v>https://www.screener.in/company//consolidated/</v>
      </c>
      <c r="F4515" s="4">
        <v>443059</v>
      </c>
      <c r="G4515" s="4">
        <v>3832241897</v>
      </c>
      <c r="H4515" s="6" t="e">
        <f t="shared" ca="1" si="91"/>
        <v>#VALUE!</v>
      </c>
      <c r="I4515" s="7" t="str">
        <f ca="1">IFERROR(__xludf.DUMMYFUNCTION("IMPORTXML(E4515,""/html/body/main/div[3]/div[3]/div[2]/ul/li[5]/span[2]/span"")"),"Loading...")</f>
        <v>Loading...</v>
      </c>
      <c r="J4515" s="7" t="str">
        <f ca="1">IFERROR(__xludf.DUMMYFUNCTION("GOOGLEFINANCE(""NSE:""&amp;D4515,""marketcap"")"),"#N/A")</f>
        <v>#N/A</v>
      </c>
      <c r="K4515" s="7">
        <v>992.8</v>
      </c>
      <c r="L4515" s="8" t="str">
        <f ca="1">IFERROR(__xludf.DUMMYFUNCTION("GOOGLEFINANCE(""NSE:""&amp;D4515,""price"")"),"#N/A")</f>
        <v>#N/A</v>
      </c>
      <c r="M4515" s="9" t="e">
        <f t="shared" ca="1" si="92"/>
        <v>#VALUE!</v>
      </c>
      <c r="N4515" s="10" t="e">
        <f t="shared" ca="1" si="93"/>
        <v>#VALUE!</v>
      </c>
      <c r="O4515" s="7" t="str">
        <f ca="1">IFERROR(__xludf.DUMMYFUNCTION("GOOGLEFINANCE(""NSE:""&amp;D4515,""pe"")"),"#N/A")</f>
        <v>#N/A</v>
      </c>
      <c r="P4515" s="7" t="str">
        <f ca="1">IFERROR(__xludf.DUMMYFUNCTION("GOOGLEFINANCE(""NSE:""&amp;D4515,""EPS"")"),"#N/A")</f>
        <v>#N/A</v>
      </c>
      <c r="Q4515" s="7">
        <v>13.5</v>
      </c>
      <c r="R4515" s="7" t="str">
        <f ca="1">IFERROR(__xludf.DUMMYFUNCTION("IMPORTXML(E4515,""/html/body/main/div[3]/div[3]/div[2]/ul/li[7]/span[2]/span"")"),"Loading...")</f>
        <v>Loading...</v>
      </c>
      <c r="S4515" s="7" t="str">
        <f ca="1">IFERROR(__xludf.DUMMYFUNCTION("IMPORTXML(E4515,""/html/body/main/div[3]/div[3]/div[2]/ul/li[8]/span[2]/span"")"),"Loading...")</f>
        <v>Loading...</v>
      </c>
      <c r="T4515" s="4">
        <v>34.6</v>
      </c>
      <c r="U4515" s="4">
        <v>22.7</v>
      </c>
      <c r="V4515" s="4">
        <v>2.6</v>
      </c>
      <c r="W4515" s="4">
        <v>5.7</v>
      </c>
      <c r="X4515" s="4">
        <v>519.92999999999995</v>
      </c>
      <c r="Y4515" s="7" t="e">
        <f t="shared" ca="1" si="94"/>
        <v>#VALUE!</v>
      </c>
    </row>
    <row r="4516" spans="1:25" ht="15" x14ac:dyDescent="0.25">
      <c r="A4516" s="4">
        <v>4515</v>
      </c>
      <c r="C4516" s="41" t="s">
        <v>6892</v>
      </c>
      <c r="D4516" s="42"/>
      <c r="E4516" s="5" t="str">
        <f t="shared" si="90"/>
        <v>https://www.screener.in/company//consolidated/</v>
      </c>
      <c r="F4516" s="4">
        <v>443059</v>
      </c>
      <c r="G4516" s="4">
        <v>3832241897</v>
      </c>
      <c r="H4516" s="6" t="e">
        <f t="shared" ca="1" si="91"/>
        <v>#VALUE!</v>
      </c>
      <c r="I4516" s="7" t="str">
        <f ca="1">IFERROR(__xludf.DUMMYFUNCTION("IMPORTXML(E4516,""/html/body/main/div[3]/div[3]/div[2]/ul/li[5]/span[2]/span"")"),"Loading...")</f>
        <v>Loading...</v>
      </c>
      <c r="J4516" s="7" t="str">
        <f ca="1">IFERROR(__xludf.DUMMYFUNCTION("GOOGLEFINANCE(""NSE:""&amp;D4516,""marketcap"")"),"#N/A")</f>
        <v>#N/A</v>
      </c>
      <c r="K4516" s="7">
        <v>992.8</v>
      </c>
      <c r="L4516" s="8" t="str">
        <f ca="1">IFERROR(__xludf.DUMMYFUNCTION("GOOGLEFINANCE(""NSE:""&amp;D4516,""price"")"),"#N/A")</f>
        <v>#N/A</v>
      </c>
      <c r="M4516" s="9" t="e">
        <f t="shared" ca="1" si="92"/>
        <v>#VALUE!</v>
      </c>
      <c r="N4516" s="10" t="e">
        <f t="shared" ca="1" si="93"/>
        <v>#VALUE!</v>
      </c>
      <c r="O4516" s="7" t="str">
        <f ca="1">IFERROR(__xludf.DUMMYFUNCTION("GOOGLEFINANCE(""NSE:""&amp;D4516,""pe"")"),"#N/A")</f>
        <v>#N/A</v>
      </c>
      <c r="P4516" s="7" t="str">
        <f ca="1">IFERROR(__xludf.DUMMYFUNCTION("GOOGLEFINANCE(""NSE:""&amp;D4516,""EPS"")"),"#N/A")</f>
        <v>#N/A</v>
      </c>
      <c r="Q4516" s="7">
        <v>13.5</v>
      </c>
      <c r="R4516" s="7" t="str">
        <f ca="1">IFERROR(__xludf.DUMMYFUNCTION("IMPORTXML(E4516,""/html/body/main/div[3]/div[3]/div[2]/ul/li[7]/span[2]/span"")"),"Loading...")</f>
        <v>Loading...</v>
      </c>
      <c r="S4516" s="7" t="str">
        <f ca="1">IFERROR(__xludf.DUMMYFUNCTION("IMPORTXML(E4516,""/html/body/main/div[3]/div[3]/div[2]/ul/li[8]/span[2]/span"")"),"Loading...")</f>
        <v>Loading...</v>
      </c>
      <c r="T4516" s="4">
        <v>34.6</v>
      </c>
      <c r="U4516" s="4">
        <v>22.7</v>
      </c>
      <c r="V4516" s="4">
        <v>2.6</v>
      </c>
      <c r="W4516" s="4">
        <v>5.7</v>
      </c>
      <c r="X4516" s="4">
        <v>519.92999999999995</v>
      </c>
      <c r="Y4516" s="7" t="e">
        <f t="shared" ca="1" si="94"/>
        <v>#VALUE!</v>
      </c>
    </row>
    <row r="4517" spans="1:25" ht="15" x14ac:dyDescent="0.25">
      <c r="A4517" s="4">
        <v>4516</v>
      </c>
      <c r="C4517" s="41" t="s">
        <v>6893</v>
      </c>
      <c r="D4517" s="42"/>
      <c r="E4517" s="5" t="str">
        <f t="shared" si="90"/>
        <v>https://www.screener.in/company//consolidated/</v>
      </c>
      <c r="F4517" s="4">
        <v>443059</v>
      </c>
      <c r="G4517" s="4">
        <v>3832241897</v>
      </c>
      <c r="H4517" s="6" t="e">
        <f t="shared" ca="1" si="91"/>
        <v>#VALUE!</v>
      </c>
      <c r="I4517" s="7" t="str">
        <f ca="1">IFERROR(__xludf.DUMMYFUNCTION("IMPORTXML(E4517,""/html/body/main/div[3]/div[3]/div[2]/ul/li[5]/span[2]/span"")"),"Loading...")</f>
        <v>Loading...</v>
      </c>
      <c r="J4517" s="7" t="str">
        <f ca="1">IFERROR(__xludf.DUMMYFUNCTION("GOOGLEFINANCE(""NSE:""&amp;D4517,""marketcap"")"),"#N/A")</f>
        <v>#N/A</v>
      </c>
      <c r="K4517" s="7">
        <v>992.8</v>
      </c>
      <c r="L4517" s="8" t="str">
        <f ca="1">IFERROR(__xludf.DUMMYFUNCTION("GOOGLEFINANCE(""NSE:""&amp;D4517,""price"")"),"#N/A")</f>
        <v>#N/A</v>
      </c>
      <c r="M4517" s="9" t="e">
        <f t="shared" ca="1" si="92"/>
        <v>#VALUE!</v>
      </c>
      <c r="N4517" s="10" t="e">
        <f t="shared" ca="1" si="93"/>
        <v>#VALUE!</v>
      </c>
      <c r="O4517" s="7" t="str">
        <f ca="1">IFERROR(__xludf.DUMMYFUNCTION("GOOGLEFINANCE(""NSE:""&amp;D4517,""pe"")"),"#N/A")</f>
        <v>#N/A</v>
      </c>
      <c r="P4517" s="7" t="str">
        <f ca="1">IFERROR(__xludf.DUMMYFUNCTION("GOOGLEFINANCE(""NSE:""&amp;D4517,""EPS"")"),"#N/A")</f>
        <v>#N/A</v>
      </c>
      <c r="Q4517" s="7">
        <v>13.5</v>
      </c>
      <c r="R4517" s="7" t="str">
        <f ca="1">IFERROR(__xludf.DUMMYFUNCTION("IMPORTXML(E4517,""/html/body/main/div[3]/div[3]/div[2]/ul/li[7]/span[2]/span"")"),"Loading...")</f>
        <v>Loading...</v>
      </c>
      <c r="S4517" s="7" t="str">
        <f ca="1">IFERROR(__xludf.DUMMYFUNCTION("IMPORTXML(E4517,""/html/body/main/div[3]/div[3]/div[2]/ul/li[8]/span[2]/span"")"),"Loading...")</f>
        <v>Loading...</v>
      </c>
      <c r="T4517" s="4">
        <v>34.6</v>
      </c>
      <c r="U4517" s="4">
        <v>22.7</v>
      </c>
      <c r="V4517" s="4">
        <v>2.6</v>
      </c>
      <c r="W4517" s="4">
        <v>5.7</v>
      </c>
      <c r="X4517" s="4">
        <v>519.92999999999995</v>
      </c>
      <c r="Y4517" s="7" t="e">
        <f t="shared" ca="1" si="94"/>
        <v>#VALUE!</v>
      </c>
    </row>
    <row r="4518" spans="1:25" ht="15" x14ac:dyDescent="0.25">
      <c r="A4518" s="4">
        <v>4517</v>
      </c>
      <c r="C4518" s="41" t="s">
        <v>6894</v>
      </c>
      <c r="D4518" s="42"/>
      <c r="E4518" s="5" t="str">
        <f t="shared" si="90"/>
        <v>https://www.screener.in/company//consolidated/</v>
      </c>
      <c r="F4518" s="4">
        <v>443059</v>
      </c>
      <c r="G4518" s="4">
        <v>3832241897</v>
      </c>
      <c r="H4518" s="6" t="e">
        <f t="shared" ca="1" si="91"/>
        <v>#VALUE!</v>
      </c>
      <c r="I4518" s="7" t="str">
        <f ca="1">IFERROR(__xludf.DUMMYFUNCTION("IMPORTXML(E4518,""/html/body/main/div[3]/div[3]/div[2]/ul/li[5]/span[2]/span"")"),"Loading...")</f>
        <v>Loading...</v>
      </c>
      <c r="J4518" s="7" t="str">
        <f ca="1">IFERROR(__xludf.DUMMYFUNCTION("GOOGLEFINANCE(""NSE:""&amp;D4518,""marketcap"")"),"#N/A")</f>
        <v>#N/A</v>
      </c>
      <c r="K4518" s="7">
        <v>992.8</v>
      </c>
      <c r="L4518" s="8" t="str">
        <f ca="1">IFERROR(__xludf.DUMMYFUNCTION("GOOGLEFINANCE(""NSE:""&amp;D4518,""price"")"),"#N/A")</f>
        <v>#N/A</v>
      </c>
      <c r="M4518" s="9" t="e">
        <f t="shared" ca="1" si="92"/>
        <v>#VALUE!</v>
      </c>
      <c r="N4518" s="10" t="e">
        <f t="shared" ca="1" si="93"/>
        <v>#VALUE!</v>
      </c>
      <c r="O4518" s="7" t="str">
        <f ca="1">IFERROR(__xludf.DUMMYFUNCTION("GOOGLEFINANCE(""NSE:""&amp;D4518,""pe"")"),"#N/A")</f>
        <v>#N/A</v>
      </c>
      <c r="P4518" s="7" t="str">
        <f ca="1">IFERROR(__xludf.DUMMYFUNCTION("GOOGLEFINANCE(""NSE:""&amp;D4518,""EPS"")"),"#N/A")</f>
        <v>#N/A</v>
      </c>
      <c r="Q4518" s="7">
        <v>13.5</v>
      </c>
      <c r="R4518" s="7" t="str">
        <f ca="1">IFERROR(__xludf.DUMMYFUNCTION("IMPORTXML(E4518,""/html/body/main/div[3]/div[3]/div[2]/ul/li[7]/span[2]/span"")"),"Loading...")</f>
        <v>Loading...</v>
      </c>
      <c r="S4518" s="7" t="str">
        <f ca="1">IFERROR(__xludf.DUMMYFUNCTION("IMPORTXML(E4518,""/html/body/main/div[3]/div[3]/div[2]/ul/li[8]/span[2]/span"")"),"Loading...")</f>
        <v>Loading...</v>
      </c>
      <c r="T4518" s="4">
        <v>34.6</v>
      </c>
      <c r="U4518" s="4">
        <v>22.7</v>
      </c>
      <c r="V4518" s="4">
        <v>2.6</v>
      </c>
      <c r="W4518" s="4">
        <v>5.7</v>
      </c>
      <c r="X4518" s="4">
        <v>519.92999999999995</v>
      </c>
      <c r="Y4518" s="7" t="e">
        <f t="shared" ca="1" si="94"/>
        <v>#VALUE!</v>
      </c>
    </row>
    <row r="4519" spans="1:25" ht="15" x14ac:dyDescent="0.25">
      <c r="A4519" s="4">
        <v>4518</v>
      </c>
      <c r="C4519" s="41" t="s">
        <v>6895</v>
      </c>
      <c r="D4519" s="42"/>
      <c r="E4519" s="5" t="str">
        <f t="shared" si="90"/>
        <v>https://www.screener.in/company//consolidated/</v>
      </c>
      <c r="F4519" s="4">
        <v>443059</v>
      </c>
      <c r="G4519" s="4">
        <v>3832241897</v>
      </c>
      <c r="H4519" s="6" t="e">
        <f t="shared" ca="1" si="91"/>
        <v>#VALUE!</v>
      </c>
      <c r="I4519" s="7" t="str">
        <f ca="1">IFERROR(__xludf.DUMMYFUNCTION("IMPORTXML(E4519,""/html/body/main/div[3]/div[3]/div[2]/ul/li[5]/span[2]/span"")"),"Loading...")</f>
        <v>Loading...</v>
      </c>
      <c r="J4519" s="7" t="str">
        <f ca="1">IFERROR(__xludf.DUMMYFUNCTION("GOOGLEFINANCE(""NSE:""&amp;D4519,""marketcap"")"),"#N/A")</f>
        <v>#N/A</v>
      </c>
      <c r="K4519" s="7">
        <v>992.8</v>
      </c>
      <c r="L4519" s="8" t="str">
        <f ca="1">IFERROR(__xludf.DUMMYFUNCTION("GOOGLEFINANCE(""NSE:""&amp;D4519,""price"")"),"#N/A")</f>
        <v>#N/A</v>
      </c>
      <c r="M4519" s="9" t="e">
        <f t="shared" ca="1" si="92"/>
        <v>#VALUE!</v>
      </c>
      <c r="N4519" s="10" t="e">
        <f t="shared" ca="1" si="93"/>
        <v>#VALUE!</v>
      </c>
      <c r="O4519" s="7" t="str">
        <f ca="1">IFERROR(__xludf.DUMMYFUNCTION("GOOGLEFINANCE(""NSE:""&amp;D4519,""pe"")"),"#N/A")</f>
        <v>#N/A</v>
      </c>
      <c r="P4519" s="7" t="str">
        <f ca="1">IFERROR(__xludf.DUMMYFUNCTION("GOOGLEFINANCE(""NSE:""&amp;D4519,""EPS"")"),"#N/A")</f>
        <v>#N/A</v>
      </c>
      <c r="Q4519" s="7">
        <v>13.5</v>
      </c>
      <c r="R4519" s="7" t="str">
        <f ca="1">IFERROR(__xludf.DUMMYFUNCTION("IMPORTXML(E4519,""/html/body/main/div[3]/div[3]/div[2]/ul/li[7]/span[2]/span"")"),"Loading...")</f>
        <v>Loading...</v>
      </c>
      <c r="S4519" s="7" t="str">
        <f ca="1">IFERROR(__xludf.DUMMYFUNCTION("IMPORTXML(E4519,""/html/body/main/div[3]/div[3]/div[2]/ul/li[8]/span[2]/span"")"),"Loading...")</f>
        <v>Loading...</v>
      </c>
      <c r="T4519" s="4">
        <v>34.6</v>
      </c>
      <c r="U4519" s="4">
        <v>22.7</v>
      </c>
      <c r="V4519" s="4">
        <v>2.6</v>
      </c>
      <c r="W4519" s="4">
        <v>5.7</v>
      </c>
      <c r="X4519" s="4">
        <v>519.92999999999995</v>
      </c>
      <c r="Y4519" s="7" t="e">
        <f t="shared" ca="1" si="94"/>
        <v>#VALUE!</v>
      </c>
    </row>
    <row r="4520" spans="1:25" ht="15" x14ac:dyDescent="0.25">
      <c r="A4520" s="4">
        <v>4519</v>
      </c>
      <c r="C4520" s="41" t="s">
        <v>6896</v>
      </c>
      <c r="D4520" s="42"/>
      <c r="E4520" s="5" t="str">
        <f t="shared" si="90"/>
        <v>https://www.screener.in/company//consolidated/</v>
      </c>
      <c r="F4520" s="4">
        <v>443059</v>
      </c>
      <c r="G4520" s="4">
        <v>3832241897</v>
      </c>
      <c r="H4520" s="6" t="e">
        <f t="shared" ca="1" si="91"/>
        <v>#VALUE!</v>
      </c>
      <c r="I4520" s="7" t="str">
        <f ca="1">IFERROR(__xludf.DUMMYFUNCTION("IMPORTXML(E4520,""/html/body/main/div[3]/div[3]/div[2]/ul/li[5]/span[2]/span"")"),"Loading...")</f>
        <v>Loading...</v>
      </c>
      <c r="J4520" s="7" t="str">
        <f ca="1">IFERROR(__xludf.DUMMYFUNCTION("GOOGLEFINANCE(""NSE:""&amp;D4520,""marketcap"")"),"#N/A")</f>
        <v>#N/A</v>
      </c>
      <c r="K4520" s="7">
        <v>992.8</v>
      </c>
      <c r="L4520" s="8" t="str">
        <f ca="1">IFERROR(__xludf.DUMMYFUNCTION("GOOGLEFINANCE(""NSE:""&amp;D4520,""price"")"),"#N/A")</f>
        <v>#N/A</v>
      </c>
      <c r="M4520" s="9" t="e">
        <f t="shared" ca="1" si="92"/>
        <v>#VALUE!</v>
      </c>
      <c r="N4520" s="10" t="e">
        <f t="shared" ca="1" si="93"/>
        <v>#VALUE!</v>
      </c>
      <c r="O4520" s="7" t="str">
        <f ca="1">IFERROR(__xludf.DUMMYFUNCTION("GOOGLEFINANCE(""NSE:""&amp;D4520,""pe"")"),"#N/A")</f>
        <v>#N/A</v>
      </c>
      <c r="P4520" s="7" t="str">
        <f ca="1">IFERROR(__xludf.DUMMYFUNCTION("GOOGLEFINANCE(""NSE:""&amp;D4520,""EPS"")"),"#N/A")</f>
        <v>#N/A</v>
      </c>
      <c r="Q4520" s="7">
        <v>13.5</v>
      </c>
      <c r="R4520" s="7" t="str">
        <f ca="1">IFERROR(__xludf.DUMMYFUNCTION("IMPORTXML(E4520,""/html/body/main/div[3]/div[3]/div[2]/ul/li[7]/span[2]/span"")"),"Loading...")</f>
        <v>Loading...</v>
      </c>
      <c r="S4520" s="7" t="str">
        <f ca="1">IFERROR(__xludf.DUMMYFUNCTION("IMPORTXML(E4520,""/html/body/main/div[3]/div[3]/div[2]/ul/li[8]/span[2]/span"")"),"Loading...")</f>
        <v>Loading...</v>
      </c>
      <c r="T4520" s="4">
        <v>34.6</v>
      </c>
      <c r="U4520" s="4">
        <v>22.7</v>
      </c>
      <c r="V4520" s="4">
        <v>2.6</v>
      </c>
      <c r="W4520" s="4">
        <v>5.7</v>
      </c>
      <c r="X4520" s="4">
        <v>519.92999999999995</v>
      </c>
      <c r="Y4520" s="7" t="e">
        <f t="shared" ca="1" si="94"/>
        <v>#VALUE!</v>
      </c>
    </row>
    <row r="4521" spans="1:25" ht="15" x14ac:dyDescent="0.25">
      <c r="A4521" s="4">
        <v>4520</v>
      </c>
      <c r="C4521" s="41" t="s">
        <v>6897</v>
      </c>
      <c r="D4521" s="42"/>
      <c r="E4521" s="5" t="str">
        <f t="shared" si="90"/>
        <v>https://www.screener.in/company//consolidated/</v>
      </c>
      <c r="F4521" s="4">
        <v>443059</v>
      </c>
      <c r="G4521" s="4">
        <v>3832241897</v>
      </c>
      <c r="H4521" s="6" t="e">
        <f t="shared" ca="1" si="91"/>
        <v>#VALUE!</v>
      </c>
      <c r="I4521" s="7" t="str">
        <f ca="1">IFERROR(__xludf.DUMMYFUNCTION("IMPORTXML(E4521,""/html/body/main/div[3]/div[3]/div[2]/ul/li[5]/span[2]/span"")"),"Loading...")</f>
        <v>Loading...</v>
      </c>
      <c r="J4521" s="7" t="str">
        <f ca="1">IFERROR(__xludf.DUMMYFUNCTION("GOOGLEFINANCE(""NSE:""&amp;D4521,""marketcap"")"),"#N/A")</f>
        <v>#N/A</v>
      </c>
      <c r="K4521" s="7">
        <v>992.8</v>
      </c>
      <c r="L4521" s="8" t="str">
        <f ca="1">IFERROR(__xludf.DUMMYFUNCTION("GOOGLEFINANCE(""NSE:""&amp;D4521,""price"")"),"#N/A")</f>
        <v>#N/A</v>
      </c>
      <c r="M4521" s="9" t="e">
        <f t="shared" ca="1" si="92"/>
        <v>#VALUE!</v>
      </c>
      <c r="N4521" s="10" t="e">
        <f t="shared" ca="1" si="93"/>
        <v>#VALUE!</v>
      </c>
      <c r="O4521" s="7" t="str">
        <f ca="1">IFERROR(__xludf.DUMMYFUNCTION("GOOGLEFINANCE(""NSE:""&amp;D4521,""pe"")"),"#N/A")</f>
        <v>#N/A</v>
      </c>
      <c r="P4521" s="7" t="str">
        <f ca="1">IFERROR(__xludf.DUMMYFUNCTION("GOOGLEFINANCE(""NSE:""&amp;D4521,""EPS"")"),"#N/A")</f>
        <v>#N/A</v>
      </c>
      <c r="Q4521" s="7">
        <v>13.5</v>
      </c>
      <c r="R4521" s="7" t="str">
        <f ca="1">IFERROR(__xludf.DUMMYFUNCTION("IMPORTXML(E4521,""/html/body/main/div[3]/div[3]/div[2]/ul/li[7]/span[2]/span"")"),"Loading...")</f>
        <v>Loading...</v>
      </c>
      <c r="S4521" s="7" t="str">
        <f ca="1">IFERROR(__xludf.DUMMYFUNCTION("IMPORTXML(E4521,""/html/body/main/div[3]/div[3]/div[2]/ul/li[8]/span[2]/span"")"),"Loading...")</f>
        <v>Loading...</v>
      </c>
      <c r="T4521" s="4">
        <v>34.6</v>
      </c>
      <c r="U4521" s="4">
        <v>22.7</v>
      </c>
      <c r="V4521" s="4">
        <v>2.6</v>
      </c>
      <c r="W4521" s="4">
        <v>5.7</v>
      </c>
      <c r="X4521" s="4">
        <v>519.92999999999995</v>
      </c>
      <c r="Y4521" s="7" t="e">
        <f t="shared" ca="1" si="94"/>
        <v>#VALUE!</v>
      </c>
    </row>
    <row r="4522" spans="1:25" ht="15" x14ac:dyDescent="0.25">
      <c r="A4522" s="4">
        <v>4521</v>
      </c>
      <c r="C4522" s="41" t="s">
        <v>6898</v>
      </c>
      <c r="D4522" s="42"/>
      <c r="E4522" s="5" t="str">
        <f t="shared" si="90"/>
        <v>https://www.screener.in/company//consolidated/</v>
      </c>
      <c r="F4522" s="4">
        <v>443059</v>
      </c>
      <c r="G4522" s="4">
        <v>3832241897</v>
      </c>
      <c r="H4522" s="6" t="e">
        <f t="shared" ca="1" si="91"/>
        <v>#VALUE!</v>
      </c>
      <c r="I4522" s="7" t="str">
        <f ca="1">IFERROR(__xludf.DUMMYFUNCTION("IMPORTXML(E4522,""/html/body/main/div[3]/div[3]/div[2]/ul/li[5]/span[2]/span"")"),"Loading...")</f>
        <v>Loading...</v>
      </c>
      <c r="J4522" s="7" t="str">
        <f ca="1">IFERROR(__xludf.DUMMYFUNCTION("GOOGLEFINANCE(""NSE:""&amp;D4522,""marketcap"")"),"#N/A")</f>
        <v>#N/A</v>
      </c>
      <c r="K4522" s="7">
        <v>992.8</v>
      </c>
      <c r="L4522" s="8" t="str">
        <f ca="1">IFERROR(__xludf.DUMMYFUNCTION("GOOGLEFINANCE(""NSE:""&amp;D4522,""price"")"),"#N/A")</f>
        <v>#N/A</v>
      </c>
      <c r="M4522" s="9" t="e">
        <f t="shared" ca="1" si="92"/>
        <v>#VALUE!</v>
      </c>
      <c r="N4522" s="10" t="e">
        <f t="shared" ca="1" si="93"/>
        <v>#VALUE!</v>
      </c>
      <c r="O4522" s="7" t="str">
        <f ca="1">IFERROR(__xludf.DUMMYFUNCTION("GOOGLEFINANCE(""NSE:""&amp;D4522,""pe"")"),"#N/A")</f>
        <v>#N/A</v>
      </c>
      <c r="P4522" s="7" t="str">
        <f ca="1">IFERROR(__xludf.DUMMYFUNCTION("GOOGLEFINANCE(""NSE:""&amp;D4522,""EPS"")"),"#N/A")</f>
        <v>#N/A</v>
      </c>
      <c r="Q4522" s="7">
        <v>13.5</v>
      </c>
      <c r="R4522" s="7" t="str">
        <f ca="1">IFERROR(__xludf.DUMMYFUNCTION("IMPORTXML(E4522,""/html/body/main/div[3]/div[3]/div[2]/ul/li[7]/span[2]/span"")"),"Loading...")</f>
        <v>Loading...</v>
      </c>
      <c r="S4522" s="7" t="str">
        <f ca="1">IFERROR(__xludf.DUMMYFUNCTION("IMPORTXML(E4522,""/html/body/main/div[3]/div[3]/div[2]/ul/li[8]/span[2]/span"")"),"Loading...")</f>
        <v>Loading...</v>
      </c>
      <c r="T4522" s="4">
        <v>34.6</v>
      </c>
      <c r="U4522" s="4">
        <v>22.7</v>
      </c>
      <c r="V4522" s="4">
        <v>2.6</v>
      </c>
      <c r="W4522" s="4">
        <v>5.7</v>
      </c>
      <c r="X4522" s="4">
        <v>519.92999999999995</v>
      </c>
      <c r="Y4522" s="7" t="e">
        <f t="shared" ca="1" si="94"/>
        <v>#VALUE!</v>
      </c>
    </row>
    <row r="4523" spans="1:25" ht="15" x14ac:dyDescent="0.25">
      <c r="A4523" s="4">
        <v>4522</v>
      </c>
      <c r="C4523" s="41" t="s">
        <v>6899</v>
      </c>
      <c r="D4523" s="42"/>
      <c r="E4523" s="5" t="str">
        <f t="shared" si="90"/>
        <v>https://www.screener.in/company//consolidated/</v>
      </c>
      <c r="F4523" s="4">
        <v>443059</v>
      </c>
      <c r="G4523" s="4">
        <v>3832241897</v>
      </c>
      <c r="H4523" s="6" t="e">
        <f t="shared" ca="1" si="91"/>
        <v>#VALUE!</v>
      </c>
      <c r="I4523" s="7" t="str">
        <f ca="1">IFERROR(__xludf.DUMMYFUNCTION("IMPORTXML(E4523,""/html/body/main/div[3]/div[3]/div[2]/ul/li[5]/span[2]/span"")"),"Loading...")</f>
        <v>Loading...</v>
      </c>
      <c r="J4523" s="7" t="str">
        <f ca="1">IFERROR(__xludf.DUMMYFUNCTION("GOOGLEFINANCE(""NSE:""&amp;D4523,""marketcap"")"),"#N/A")</f>
        <v>#N/A</v>
      </c>
      <c r="K4523" s="7">
        <v>992.8</v>
      </c>
      <c r="L4523" s="8" t="str">
        <f ca="1">IFERROR(__xludf.DUMMYFUNCTION("GOOGLEFINANCE(""NSE:""&amp;D4523,""price"")"),"#N/A")</f>
        <v>#N/A</v>
      </c>
      <c r="M4523" s="9" t="e">
        <f t="shared" ca="1" si="92"/>
        <v>#VALUE!</v>
      </c>
      <c r="N4523" s="10" t="e">
        <f t="shared" ca="1" si="93"/>
        <v>#VALUE!</v>
      </c>
      <c r="O4523" s="7" t="str">
        <f ca="1">IFERROR(__xludf.DUMMYFUNCTION("GOOGLEFINANCE(""NSE:""&amp;D4523,""pe"")"),"#N/A")</f>
        <v>#N/A</v>
      </c>
      <c r="P4523" s="7" t="str">
        <f ca="1">IFERROR(__xludf.DUMMYFUNCTION("GOOGLEFINANCE(""NSE:""&amp;D4523,""EPS"")"),"#N/A")</f>
        <v>#N/A</v>
      </c>
      <c r="Q4523" s="7">
        <v>13.5</v>
      </c>
      <c r="R4523" s="7" t="str">
        <f ca="1">IFERROR(__xludf.DUMMYFUNCTION("IMPORTXML(E4523,""/html/body/main/div[3]/div[3]/div[2]/ul/li[7]/span[2]/span"")"),"Loading...")</f>
        <v>Loading...</v>
      </c>
      <c r="S4523" s="7" t="str">
        <f ca="1">IFERROR(__xludf.DUMMYFUNCTION("IMPORTXML(E4523,""/html/body/main/div[3]/div[3]/div[2]/ul/li[8]/span[2]/span"")"),"Loading...")</f>
        <v>Loading...</v>
      </c>
      <c r="T4523" s="4">
        <v>34.6</v>
      </c>
      <c r="U4523" s="4">
        <v>22.7</v>
      </c>
      <c r="V4523" s="4">
        <v>2.6</v>
      </c>
      <c r="W4523" s="4">
        <v>5.7</v>
      </c>
      <c r="X4523" s="4">
        <v>519.92999999999995</v>
      </c>
      <c r="Y4523" s="7" t="e">
        <f t="shared" ca="1" si="94"/>
        <v>#VALUE!</v>
      </c>
    </row>
    <row r="4524" spans="1:25" ht="15" x14ac:dyDescent="0.25">
      <c r="A4524" s="4">
        <v>4523</v>
      </c>
      <c r="C4524" s="41" t="s">
        <v>6900</v>
      </c>
      <c r="D4524" s="42"/>
      <c r="E4524" s="5" t="str">
        <f t="shared" si="90"/>
        <v>https://www.screener.in/company//consolidated/</v>
      </c>
      <c r="F4524" s="4">
        <v>443059</v>
      </c>
      <c r="G4524" s="4">
        <v>3832241897</v>
      </c>
      <c r="H4524" s="6" t="e">
        <f t="shared" ca="1" si="91"/>
        <v>#VALUE!</v>
      </c>
      <c r="I4524" s="7" t="str">
        <f ca="1">IFERROR(__xludf.DUMMYFUNCTION("IMPORTXML(E4524,""/html/body/main/div[3]/div[3]/div[2]/ul/li[5]/span[2]/span"")"),"Loading...")</f>
        <v>Loading...</v>
      </c>
      <c r="J4524" s="7" t="str">
        <f ca="1">IFERROR(__xludf.DUMMYFUNCTION("GOOGLEFINANCE(""NSE:""&amp;D4524,""marketcap"")"),"#N/A")</f>
        <v>#N/A</v>
      </c>
      <c r="K4524" s="7">
        <v>992.8</v>
      </c>
      <c r="L4524" s="8" t="str">
        <f ca="1">IFERROR(__xludf.DUMMYFUNCTION("GOOGLEFINANCE(""NSE:""&amp;D4524,""price"")"),"#N/A")</f>
        <v>#N/A</v>
      </c>
      <c r="M4524" s="9" t="e">
        <f t="shared" ca="1" si="92"/>
        <v>#VALUE!</v>
      </c>
      <c r="N4524" s="10" t="e">
        <f t="shared" ca="1" si="93"/>
        <v>#VALUE!</v>
      </c>
      <c r="O4524" s="7" t="str">
        <f ca="1">IFERROR(__xludf.DUMMYFUNCTION("GOOGLEFINANCE(""NSE:""&amp;D4524,""pe"")"),"#N/A")</f>
        <v>#N/A</v>
      </c>
      <c r="P4524" s="7" t="str">
        <f ca="1">IFERROR(__xludf.DUMMYFUNCTION("GOOGLEFINANCE(""NSE:""&amp;D4524,""EPS"")"),"#N/A")</f>
        <v>#N/A</v>
      </c>
      <c r="Q4524" s="7">
        <v>13.5</v>
      </c>
      <c r="R4524" s="7" t="str">
        <f ca="1">IFERROR(__xludf.DUMMYFUNCTION("IMPORTXML(E4524,""/html/body/main/div[3]/div[3]/div[2]/ul/li[7]/span[2]/span"")"),"Loading...")</f>
        <v>Loading...</v>
      </c>
      <c r="S4524" s="7" t="str">
        <f ca="1">IFERROR(__xludf.DUMMYFUNCTION("IMPORTXML(E4524,""/html/body/main/div[3]/div[3]/div[2]/ul/li[8]/span[2]/span"")"),"Loading...")</f>
        <v>Loading...</v>
      </c>
      <c r="T4524" s="4">
        <v>34.6</v>
      </c>
      <c r="U4524" s="4">
        <v>22.7</v>
      </c>
      <c r="V4524" s="4">
        <v>2.6</v>
      </c>
      <c r="W4524" s="4">
        <v>5.7</v>
      </c>
      <c r="X4524" s="4">
        <v>519.92999999999995</v>
      </c>
      <c r="Y4524" s="7" t="e">
        <f t="shared" ca="1" si="94"/>
        <v>#VALUE!</v>
      </c>
    </row>
    <row r="4525" spans="1:25" ht="15" x14ac:dyDescent="0.25">
      <c r="A4525" s="4">
        <v>4524</v>
      </c>
      <c r="C4525" s="41" t="s">
        <v>6901</v>
      </c>
      <c r="D4525" s="42"/>
      <c r="E4525" s="5" t="str">
        <f t="shared" si="90"/>
        <v>https://www.screener.in/company//consolidated/</v>
      </c>
      <c r="F4525" s="4">
        <v>443059</v>
      </c>
      <c r="G4525" s="4">
        <v>3832241897</v>
      </c>
      <c r="H4525" s="6" t="e">
        <f t="shared" ca="1" si="91"/>
        <v>#VALUE!</v>
      </c>
      <c r="I4525" s="7" t="str">
        <f ca="1">IFERROR(__xludf.DUMMYFUNCTION("IMPORTXML(E4525,""/html/body/main/div[3]/div[3]/div[2]/ul/li[5]/span[2]/span"")"),"Loading...")</f>
        <v>Loading...</v>
      </c>
      <c r="J4525" s="7" t="str">
        <f ca="1">IFERROR(__xludf.DUMMYFUNCTION("GOOGLEFINANCE(""NSE:""&amp;D4525,""marketcap"")"),"#N/A")</f>
        <v>#N/A</v>
      </c>
      <c r="K4525" s="7">
        <v>992.8</v>
      </c>
      <c r="L4525" s="8" t="str">
        <f ca="1">IFERROR(__xludf.DUMMYFUNCTION("GOOGLEFINANCE(""NSE:""&amp;D4525,""price"")"),"#N/A")</f>
        <v>#N/A</v>
      </c>
      <c r="M4525" s="9" t="e">
        <f t="shared" ca="1" si="92"/>
        <v>#VALUE!</v>
      </c>
      <c r="N4525" s="10" t="e">
        <f t="shared" ca="1" si="93"/>
        <v>#VALUE!</v>
      </c>
      <c r="O4525" s="7" t="str">
        <f ca="1">IFERROR(__xludf.DUMMYFUNCTION("GOOGLEFINANCE(""NSE:""&amp;D4525,""pe"")"),"#N/A")</f>
        <v>#N/A</v>
      </c>
      <c r="P4525" s="7" t="str">
        <f ca="1">IFERROR(__xludf.DUMMYFUNCTION("GOOGLEFINANCE(""NSE:""&amp;D4525,""EPS"")"),"#N/A")</f>
        <v>#N/A</v>
      </c>
      <c r="Q4525" s="7">
        <v>13.5</v>
      </c>
      <c r="R4525" s="7" t="str">
        <f ca="1">IFERROR(__xludf.DUMMYFUNCTION("IMPORTXML(E4525,""/html/body/main/div[3]/div[3]/div[2]/ul/li[7]/span[2]/span"")"),"Loading...")</f>
        <v>Loading...</v>
      </c>
      <c r="S4525" s="7" t="str">
        <f ca="1">IFERROR(__xludf.DUMMYFUNCTION("IMPORTXML(E4525,""/html/body/main/div[3]/div[3]/div[2]/ul/li[8]/span[2]/span"")"),"Loading...")</f>
        <v>Loading...</v>
      </c>
      <c r="T4525" s="4">
        <v>34.6</v>
      </c>
      <c r="U4525" s="4">
        <v>22.7</v>
      </c>
      <c r="V4525" s="4">
        <v>2.6</v>
      </c>
      <c r="W4525" s="4">
        <v>5.7</v>
      </c>
      <c r="X4525" s="4">
        <v>519.92999999999995</v>
      </c>
      <c r="Y4525" s="7" t="e">
        <f t="shared" ca="1" si="94"/>
        <v>#VALUE!</v>
      </c>
    </row>
    <row r="4526" spans="1:25" ht="15" x14ac:dyDescent="0.25">
      <c r="A4526" s="4">
        <v>4525</v>
      </c>
      <c r="C4526" s="41" t="s">
        <v>6902</v>
      </c>
      <c r="D4526" s="42"/>
      <c r="E4526" s="5" t="str">
        <f t="shared" si="90"/>
        <v>https://www.screener.in/company//consolidated/</v>
      </c>
      <c r="F4526" s="4">
        <v>443059</v>
      </c>
      <c r="G4526" s="4">
        <v>3832241897</v>
      </c>
      <c r="H4526" s="6" t="e">
        <f t="shared" ca="1" si="91"/>
        <v>#VALUE!</v>
      </c>
      <c r="I4526" s="7" t="str">
        <f ca="1">IFERROR(__xludf.DUMMYFUNCTION("IMPORTXML(E4526,""/html/body/main/div[3]/div[3]/div[2]/ul/li[5]/span[2]/span"")"),"Loading...")</f>
        <v>Loading...</v>
      </c>
      <c r="J4526" s="7" t="str">
        <f ca="1">IFERROR(__xludf.DUMMYFUNCTION("GOOGLEFINANCE(""NSE:""&amp;D4526,""marketcap"")"),"#N/A")</f>
        <v>#N/A</v>
      </c>
      <c r="K4526" s="7">
        <v>992.8</v>
      </c>
      <c r="L4526" s="8" t="str">
        <f ca="1">IFERROR(__xludf.DUMMYFUNCTION("GOOGLEFINANCE(""NSE:""&amp;D4526,""price"")"),"#N/A")</f>
        <v>#N/A</v>
      </c>
      <c r="M4526" s="9" t="e">
        <f t="shared" ca="1" si="92"/>
        <v>#VALUE!</v>
      </c>
      <c r="N4526" s="10" t="e">
        <f t="shared" ca="1" si="93"/>
        <v>#VALUE!</v>
      </c>
      <c r="O4526" s="7" t="str">
        <f ca="1">IFERROR(__xludf.DUMMYFUNCTION("GOOGLEFINANCE(""NSE:""&amp;D4526,""pe"")"),"#N/A")</f>
        <v>#N/A</v>
      </c>
      <c r="P4526" s="7" t="str">
        <f ca="1">IFERROR(__xludf.DUMMYFUNCTION("GOOGLEFINANCE(""NSE:""&amp;D4526,""EPS"")"),"#N/A")</f>
        <v>#N/A</v>
      </c>
      <c r="Q4526" s="7">
        <v>13.5</v>
      </c>
      <c r="R4526" s="7" t="str">
        <f ca="1">IFERROR(__xludf.DUMMYFUNCTION("IMPORTXML(E4526,""/html/body/main/div[3]/div[3]/div[2]/ul/li[7]/span[2]/span"")"),"Loading...")</f>
        <v>Loading...</v>
      </c>
      <c r="S4526" s="7" t="str">
        <f ca="1">IFERROR(__xludf.DUMMYFUNCTION("IMPORTXML(E4526,""/html/body/main/div[3]/div[3]/div[2]/ul/li[8]/span[2]/span"")"),"Loading...")</f>
        <v>Loading...</v>
      </c>
      <c r="T4526" s="4">
        <v>34.6</v>
      </c>
      <c r="U4526" s="4">
        <v>22.7</v>
      </c>
      <c r="V4526" s="4">
        <v>2.6</v>
      </c>
      <c r="W4526" s="4">
        <v>5.7</v>
      </c>
      <c r="X4526" s="4">
        <v>519.92999999999995</v>
      </c>
      <c r="Y4526" s="7" t="e">
        <f t="shared" ca="1" si="94"/>
        <v>#VALUE!</v>
      </c>
    </row>
    <row r="4527" spans="1:25" ht="15" x14ac:dyDescent="0.25">
      <c r="A4527" s="4">
        <v>4526</v>
      </c>
      <c r="C4527" s="41" t="s">
        <v>6903</v>
      </c>
      <c r="D4527" s="42"/>
      <c r="E4527" s="5" t="str">
        <f t="shared" si="90"/>
        <v>https://www.screener.in/company//consolidated/</v>
      </c>
      <c r="F4527" s="4">
        <v>443059</v>
      </c>
      <c r="G4527" s="4">
        <v>3832241897</v>
      </c>
      <c r="H4527" s="6" t="e">
        <f t="shared" ca="1" si="91"/>
        <v>#VALUE!</v>
      </c>
      <c r="I4527" s="7" t="str">
        <f ca="1">IFERROR(__xludf.DUMMYFUNCTION("IMPORTXML(E4527,""/html/body/main/div[3]/div[3]/div[2]/ul/li[5]/span[2]/span"")"),"Loading...")</f>
        <v>Loading...</v>
      </c>
      <c r="J4527" s="7" t="str">
        <f ca="1">IFERROR(__xludf.DUMMYFUNCTION("GOOGLEFINANCE(""NSE:""&amp;D4527,""marketcap"")"),"#N/A")</f>
        <v>#N/A</v>
      </c>
      <c r="K4527" s="7">
        <v>992.8</v>
      </c>
      <c r="L4527" s="8" t="str">
        <f ca="1">IFERROR(__xludf.DUMMYFUNCTION("GOOGLEFINANCE(""NSE:""&amp;D4527,""price"")"),"#N/A")</f>
        <v>#N/A</v>
      </c>
      <c r="M4527" s="9" t="e">
        <f t="shared" ca="1" si="92"/>
        <v>#VALUE!</v>
      </c>
      <c r="N4527" s="10" t="e">
        <f t="shared" ca="1" si="93"/>
        <v>#VALUE!</v>
      </c>
      <c r="O4527" s="7" t="str">
        <f ca="1">IFERROR(__xludf.DUMMYFUNCTION("GOOGLEFINANCE(""NSE:""&amp;D4527,""pe"")"),"#N/A")</f>
        <v>#N/A</v>
      </c>
      <c r="P4527" s="7" t="str">
        <f ca="1">IFERROR(__xludf.DUMMYFUNCTION("GOOGLEFINANCE(""NSE:""&amp;D4527,""EPS"")"),"#N/A")</f>
        <v>#N/A</v>
      </c>
      <c r="Q4527" s="7">
        <v>13.5</v>
      </c>
      <c r="R4527" s="7" t="str">
        <f ca="1">IFERROR(__xludf.DUMMYFUNCTION("IMPORTXML(E4527,""/html/body/main/div[3]/div[3]/div[2]/ul/li[7]/span[2]/span"")"),"Loading...")</f>
        <v>Loading...</v>
      </c>
      <c r="S4527" s="7" t="str">
        <f ca="1">IFERROR(__xludf.DUMMYFUNCTION("IMPORTXML(E4527,""/html/body/main/div[3]/div[3]/div[2]/ul/li[8]/span[2]/span"")"),"Loading...")</f>
        <v>Loading...</v>
      </c>
      <c r="T4527" s="4">
        <v>34.6</v>
      </c>
      <c r="U4527" s="4">
        <v>22.7</v>
      </c>
      <c r="V4527" s="4">
        <v>2.6</v>
      </c>
      <c r="W4527" s="4">
        <v>5.7</v>
      </c>
      <c r="X4527" s="4">
        <v>519.92999999999995</v>
      </c>
      <c r="Y4527" s="7" t="e">
        <f t="shared" ca="1" si="94"/>
        <v>#VALUE!</v>
      </c>
    </row>
    <row r="4528" spans="1:25" ht="15" x14ac:dyDescent="0.25">
      <c r="A4528" s="4">
        <v>4527</v>
      </c>
      <c r="C4528" s="41" t="s">
        <v>6904</v>
      </c>
      <c r="D4528" s="42"/>
      <c r="E4528" s="5" t="str">
        <f t="shared" si="90"/>
        <v>https://www.screener.in/company//consolidated/</v>
      </c>
      <c r="F4528" s="4">
        <v>443059</v>
      </c>
      <c r="G4528" s="4">
        <v>3832241897</v>
      </c>
      <c r="H4528" s="6" t="e">
        <f t="shared" ca="1" si="91"/>
        <v>#VALUE!</v>
      </c>
      <c r="I4528" s="7" t="str">
        <f ca="1">IFERROR(__xludf.DUMMYFUNCTION("IMPORTXML(E4528,""/html/body/main/div[3]/div[3]/div[2]/ul/li[5]/span[2]/span"")"),"Loading...")</f>
        <v>Loading...</v>
      </c>
      <c r="J4528" s="7" t="str">
        <f ca="1">IFERROR(__xludf.DUMMYFUNCTION("GOOGLEFINANCE(""NSE:""&amp;D4528,""marketcap"")"),"#N/A")</f>
        <v>#N/A</v>
      </c>
      <c r="K4528" s="7">
        <v>992.8</v>
      </c>
      <c r="L4528" s="8" t="str">
        <f ca="1">IFERROR(__xludf.DUMMYFUNCTION("GOOGLEFINANCE(""NSE:""&amp;D4528,""price"")"),"#N/A")</f>
        <v>#N/A</v>
      </c>
      <c r="M4528" s="9" t="e">
        <f t="shared" ca="1" si="92"/>
        <v>#VALUE!</v>
      </c>
      <c r="N4528" s="10" t="e">
        <f t="shared" ca="1" si="93"/>
        <v>#VALUE!</v>
      </c>
      <c r="O4528" s="7" t="str">
        <f ca="1">IFERROR(__xludf.DUMMYFUNCTION("GOOGLEFINANCE(""NSE:""&amp;D4528,""pe"")"),"#N/A")</f>
        <v>#N/A</v>
      </c>
      <c r="P4528" s="7" t="str">
        <f ca="1">IFERROR(__xludf.DUMMYFUNCTION("GOOGLEFINANCE(""NSE:""&amp;D4528,""EPS"")"),"#N/A")</f>
        <v>#N/A</v>
      </c>
      <c r="Q4528" s="7">
        <v>13.5</v>
      </c>
      <c r="R4528" s="7" t="str">
        <f ca="1">IFERROR(__xludf.DUMMYFUNCTION("IMPORTXML(E4528,""/html/body/main/div[3]/div[3]/div[2]/ul/li[7]/span[2]/span"")"),"Loading...")</f>
        <v>Loading...</v>
      </c>
      <c r="S4528" s="7" t="str">
        <f ca="1">IFERROR(__xludf.DUMMYFUNCTION("IMPORTXML(E4528,""/html/body/main/div[3]/div[3]/div[2]/ul/li[8]/span[2]/span"")"),"Loading...")</f>
        <v>Loading...</v>
      </c>
      <c r="T4528" s="4">
        <v>34.6</v>
      </c>
      <c r="U4528" s="4">
        <v>22.7</v>
      </c>
      <c r="V4528" s="4">
        <v>2.6</v>
      </c>
      <c r="W4528" s="4">
        <v>5.7</v>
      </c>
      <c r="X4528" s="4">
        <v>519.92999999999995</v>
      </c>
      <c r="Y4528" s="7" t="e">
        <f t="shared" ca="1" si="94"/>
        <v>#VALUE!</v>
      </c>
    </row>
    <row r="4529" spans="1:25" ht="15" x14ac:dyDescent="0.25">
      <c r="A4529" s="4">
        <v>4528</v>
      </c>
      <c r="C4529" s="41" t="s">
        <v>6905</v>
      </c>
      <c r="D4529" s="42"/>
      <c r="E4529" s="5" t="str">
        <f t="shared" si="90"/>
        <v>https://www.screener.in/company//consolidated/</v>
      </c>
      <c r="F4529" s="4">
        <v>443059</v>
      </c>
      <c r="G4529" s="4">
        <v>3832241897</v>
      </c>
      <c r="H4529" s="6" t="e">
        <f t="shared" ca="1" si="91"/>
        <v>#VALUE!</v>
      </c>
      <c r="I4529" s="7" t="str">
        <f ca="1">IFERROR(__xludf.DUMMYFUNCTION("IMPORTXML(E4529,""/html/body/main/div[3]/div[3]/div[2]/ul/li[5]/span[2]/span"")"),"Loading...")</f>
        <v>Loading...</v>
      </c>
      <c r="J4529" s="7" t="str">
        <f ca="1">IFERROR(__xludf.DUMMYFUNCTION("GOOGLEFINANCE(""NSE:""&amp;D4529,""marketcap"")"),"#N/A")</f>
        <v>#N/A</v>
      </c>
      <c r="K4529" s="7">
        <v>992.8</v>
      </c>
      <c r="L4529" s="8" t="str">
        <f ca="1">IFERROR(__xludf.DUMMYFUNCTION("GOOGLEFINANCE(""NSE:""&amp;D4529,""price"")"),"#N/A")</f>
        <v>#N/A</v>
      </c>
      <c r="M4529" s="9" t="e">
        <f t="shared" ca="1" si="92"/>
        <v>#VALUE!</v>
      </c>
      <c r="N4529" s="10" t="e">
        <f t="shared" ca="1" si="93"/>
        <v>#VALUE!</v>
      </c>
      <c r="O4529" s="7" t="str">
        <f ca="1">IFERROR(__xludf.DUMMYFUNCTION("GOOGLEFINANCE(""NSE:""&amp;D4529,""pe"")"),"#N/A")</f>
        <v>#N/A</v>
      </c>
      <c r="P4529" s="7" t="str">
        <f ca="1">IFERROR(__xludf.DUMMYFUNCTION("GOOGLEFINANCE(""NSE:""&amp;D4529,""EPS"")"),"#N/A")</f>
        <v>#N/A</v>
      </c>
      <c r="Q4529" s="7">
        <v>13.5</v>
      </c>
      <c r="R4529" s="7" t="str">
        <f ca="1">IFERROR(__xludf.DUMMYFUNCTION("IMPORTXML(E4529,""/html/body/main/div[3]/div[3]/div[2]/ul/li[7]/span[2]/span"")"),"Loading...")</f>
        <v>Loading...</v>
      </c>
      <c r="S4529" s="7" t="str">
        <f ca="1">IFERROR(__xludf.DUMMYFUNCTION("IMPORTXML(E4529,""/html/body/main/div[3]/div[3]/div[2]/ul/li[8]/span[2]/span"")"),"Loading...")</f>
        <v>Loading...</v>
      </c>
      <c r="T4529" s="4">
        <v>34.6</v>
      </c>
      <c r="U4529" s="4">
        <v>22.7</v>
      </c>
      <c r="V4529" s="4">
        <v>2.6</v>
      </c>
      <c r="W4529" s="4">
        <v>5.7</v>
      </c>
      <c r="X4529" s="4">
        <v>519.92999999999995</v>
      </c>
      <c r="Y4529" s="7" t="e">
        <f t="shared" ca="1" si="94"/>
        <v>#VALUE!</v>
      </c>
    </row>
    <row r="4530" spans="1:25" ht="15" x14ac:dyDescent="0.25">
      <c r="A4530" s="4">
        <v>4529</v>
      </c>
      <c r="C4530" s="41" t="s">
        <v>6906</v>
      </c>
      <c r="D4530" s="42"/>
      <c r="E4530" s="5" t="str">
        <f t="shared" si="90"/>
        <v>https://www.screener.in/company//consolidated/</v>
      </c>
      <c r="F4530" s="4">
        <v>443059</v>
      </c>
      <c r="G4530" s="4">
        <v>3832241897</v>
      </c>
      <c r="H4530" s="6" t="e">
        <f t="shared" ca="1" si="91"/>
        <v>#VALUE!</v>
      </c>
      <c r="I4530" s="7" t="str">
        <f ca="1">IFERROR(__xludf.DUMMYFUNCTION("IMPORTXML(E4530,""/html/body/main/div[3]/div[3]/div[2]/ul/li[5]/span[2]/span"")"),"Loading...")</f>
        <v>Loading...</v>
      </c>
      <c r="J4530" s="7" t="str">
        <f ca="1">IFERROR(__xludf.DUMMYFUNCTION("GOOGLEFINANCE(""NSE:""&amp;D4530,""marketcap"")"),"#N/A")</f>
        <v>#N/A</v>
      </c>
      <c r="K4530" s="7">
        <v>992.8</v>
      </c>
      <c r="L4530" s="8" t="str">
        <f ca="1">IFERROR(__xludf.DUMMYFUNCTION("GOOGLEFINANCE(""NSE:""&amp;D4530,""price"")"),"#N/A")</f>
        <v>#N/A</v>
      </c>
      <c r="M4530" s="9" t="e">
        <f t="shared" ca="1" si="92"/>
        <v>#VALUE!</v>
      </c>
      <c r="N4530" s="10" t="e">
        <f t="shared" ca="1" si="93"/>
        <v>#VALUE!</v>
      </c>
      <c r="O4530" s="7" t="str">
        <f ca="1">IFERROR(__xludf.DUMMYFUNCTION("GOOGLEFINANCE(""NSE:""&amp;D4530,""pe"")"),"#N/A")</f>
        <v>#N/A</v>
      </c>
      <c r="P4530" s="7" t="str">
        <f ca="1">IFERROR(__xludf.DUMMYFUNCTION("GOOGLEFINANCE(""NSE:""&amp;D4530,""EPS"")"),"#N/A")</f>
        <v>#N/A</v>
      </c>
      <c r="Q4530" s="7">
        <v>13.5</v>
      </c>
      <c r="R4530" s="7" t="str">
        <f ca="1">IFERROR(__xludf.DUMMYFUNCTION("IMPORTXML(E4530,""/html/body/main/div[3]/div[3]/div[2]/ul/li[7]/span[2]/span"")"),"Loading...")</f>
        <v>Loading...</v>
      </c>
      <c r="S4530" s="7" t="str">
        <f ca="1">IFERROR(__xludf.DUMMYFUNCTION("IMPORTXML(E4530,""/html/body/main/div[3]/div[3]/div[2]/ul/li[8]/span[2]/span"")"),"Loading...")</f>
        <v>Loading...</v>
      </c>
      <c r="T4530" s="4">
        <v>34.6</v>
      </c>
      <c r="U4530" s="4">
        <v>22.7</v>
      </c>
      <c r="V4530" s="4">
        <v>2.6</v>
      </c>
      <c r="W4530" s="4">
        <v>5.7</v>
      </c>
      <c r="X4530" s="4">
        <v>519.92999999999995</v>
      </c>
      <c r="Y4530" s="7" t="e">
        <f t="shared" ca="1" si="94"/>
        <v>#VALUE!</v>
      </c>
    </row>
    <row r="4531" spans="1:25" ht="15" x14ac:dyDescent="0.25">
      <c r="A4531" s="4">
        <v>4530</v>
      </c>
      <c r="C4531" s="41" t="s">
        <v>6907</v>
      </c>
      <c r="D4531" s="42"/>
      <c r="E4531" s="5" t="str">
        <f t="shared" si="90"/>
        <v>https://www.screener.in/company//consolidated/</v>
      </c>
      <c r="F4531" s="4">
        <v>443059</v>
      </c>
      <c r="G4531" s="4">
        <v>3832241897</v>
      </c>
      <c r="H4531" s="6" t="e">
        <f t="shared" ca="1" si="91"/>
        <v>#VALUE!</v>
      </c>
      <c r="I4531" s="7" t="str">
        <f ca="1">IFERROR(__xludf.DUMMYFUNCTION("IMPORTXML(E4531,""/html/body/main/div[3]/div[3]/div[2]/ul/li[5]/span[2]/span"")"),"Loading...")</f>
        <v>Loading...</v>
      </c>
      <c r="J4531" s="7" t="str">
        <f ca="1">IFERROR(__xludf.DUMMYFUNCTION("GOOGLEFINANCE(""NSE:""&amp;D4531,""marketcap"")"),"#N/A")</f>
        <v>#N/A</v>
      </c>
      <c r="K4531" s="7">
        <v>992.8</v>
      </c>
      <c r="L4531" s="8" t="str">
        <f ca="1">IFERROR(__xludf.DUMMYFUNCTION("GOOGLEFINANCE(""NSE:""&amp;D4531,""price"")"),"#N/A")</f>
        <v>#N/A</v>
      </c>
      <c r="M4531" s="9" t="e">
        <f t="shared" ca="1" si="92"/>
        <v>#VALUE!</v>
      </c>
      <c r="N4531" s="10" t="e">
        <f t="shared" ca="1" si="93"/>
        <v>#VALUE!</v>
      </c>
      <c r="O4531" s="7" t="str">
        <f ca="1">IFERROR(__xludf.DUMMYFUNCTION("GOOGLEFINANCE(""NSE:""&amp;D4531,""pe"")"),"#N/A")</f>
        <v>#N/A</v>
      </c>
      <c r="P4531" s="7" t="str">
        <f ca="1">IFERROR(__xludf.DUMMYFUNCTION("GOOGLEFINANCE(""NSE:""&amp;D4531,""EPS"")"),"#N/A")</f>
        <v>#N/A</v>
      </c>
      <c r="Q4531" s="7">
        <v>13.5</v>
      </c>
      <c r="R4531" s="7" t="str">
        <f ca="1">IFERROR(__xludf.DUMMYFUNCTION("IMPORTXML(E4531,""/html/body/main/div[3]/div[3]/div[2]/ul/li[7]/span[2]/span"")"),"Loading...")</f>
        <v>Loading...</v>
      </c>
      <c r="S4531" s="7" t="str">
        <f ca="1">IFERROR(__xludf.DUMMYFUNCTION("IMPORTXML(E4531,""/html/body/main/div[3]/div[3]/div[2]/ul/li[8]/span[2]/span"")"),"Loading...")</f>
        <v>Loading...</v>
      </c>
      <c r="T4531" s="4">
        <v>34.6</v>
      </c>
      <c r="U4531" s="4">
        <v>22.7</v>
      </c>
      <c r="V4531" s="4">
        <v>2.6</v>
      </c>
      <c r="W4531" s="4">
        <v>5.7</v>
      </c>
      <c r="X4531" s="4">
        <v>519.92999999999995</v>
      </c>
      <c r="Y4531" s="7" t="e">
        <f t="shared" ca="1" si="94"/>
        <v>#VALUE!</v>
      </c>
    </row>
    <row r="4532" spans="1:25" ht="15" x14ac:dyDescent="0.25">
      <c r="A4532" s="4">
        <v>4531</v>
      </c>
      <c r="C4532" s="41" t="s">
        <v>6908</v>
      </c>
      <c r="D4532" s="42"/>
      <c r="E4532" s="5" t="str">
        <f t="shared" si="90"/>
        <v>https://www.screener.in/company//consolidated/</v>
      </c>
      <c r="F4532" s="4">
        <v>443059</v>
      </c>
      <c r="G4532" s="4">
        <v>3832241897</v>
      </c>
      <c r="H4532" s="6" t="e">
        <f t="shared" ca="1" si="91"/>
        <v>#VALUE!</v>
      </c>
      <c r="I4532" s="7" t="str">
        <f ca="1">IFERROR(__xludf.DUMMYFUNCTION("IMPORTXML(E4532,""/html/body/main/div[3]/div[3]/div[2]/ul/li[5]/span[2]/span"")"),"Loading...")</f>
        <v>Loading...</v>
      </c>
      <c r="J4532" s="7" t="str">
        <f ca="1">IFERROR(__xludf.DUMMYFUNCTION("GOOGLEFINANCE(""NSE:""&amp;D4532,""marketcap"")"),"#N/A")</f>
        <v>#N/A</v>
      </c>
      <c r="K4532" s="7">
        <v>992.8</v>
      </c>
      <c r="L4532" s="8" t="str">
        <f ca="1">IFERROR(__xludf.DUMMYFUNCTION("GOOGLEFINANCE(""NSE:""&amp;D4532,""price"")"),"#N/A")</f>
        <v>#N/A</v>
      </c>
      <c r="M4532" s="9" t="e">
        <f t="shared" ca="1" si="92"/>
        <v>#VALUE!</v>
      </c>
      <c r="N4532" s="10" t="e">
        <f t="shared" ca="1" si="93"/>
        <v>#VALUE!</v>
      </c>
      <c r="O4532" s="7" t="str">
        <f ca="1">IFERROR(__xludf.DUMMYFUNCTION("GOOGLEFINANCE(""NSE:""&amp;D4532,""pe"")"),"#N/A")</f>
        <v>#N/A</v>
      </c>
      <c r="P4532" s="7" t="str">
        <f ca="1">IFERROR(__xludf.DUMMYFUNCTION("GOOGLEFINANCE(""NSE:""&amp;D4532,""EPS"")"),"#N/A")</f>
        <v>#N/A</v>
      </c>
      <c r="Q4532" s="7">
        <v>13.5</v>
      </c>
      <c r="R4532" s="7" t="str">
        <f ca="1">IFERROR(__xludf.DUMMYFUNCTION("IMPORTXML(E4532,""/html/body/main/div[3]/div[3]/div[2]/ul/li[7]/span[2]/span"")"),"Loading...")</f>
        <v>Loading...</v>
      </c>
      <c r="S4532" s="7" t="str">
        <f ca="1">IFERROR(__xludf.DUMMYFUNCTION("IMPORTXML(E4532,""/html/body/main/div[3]/div[3]/div[2]/ul/li[8]/span[2]/span"")"),"Loading...")</f>
        <v>Loading...</v>
      </c>
      <c r="T4532" s="4">
        <v>34.6</v>
      </c>
      <c r="U4532" s="4">
        <v>22.7</v>
      </c>
      <c r="V4532" s="4">
        <v>2.6</v>
      </c>
      <c r="W4532" s="4">
        <v>5.7</v>
      </c>
      <c r="X4532" s="4">
        <v>519.92999999999995</v>
      </c>
      <c r="Y4532" s="7" t="e">
        <f t="shared" ca="1" si="94"/>
        <v>#VALUE!</v>
      </c>
    </row>
    <row r="4533" spans="1:25" ht="15" x14ac:dyDescent="0.25">
      <c r="A4533" s="4">
        <v>4532</v>
      </c>
      <c r="C4533" s="41" t="s">
        <v>6909</v>
      </c>
      <c r="D4533" s="42"/>
      <c r="E4533" s="5" t="str">
        <f t="shared" si="90"/>
        <v>https://www.screener.in/company//consolidated/</v>
      </c>
      <c r="F4533" s="4">
        <v>443059</v>
      </c>
      <c r="G4533" s="4">
        <v>3832241897</v>
      </c>
      <c r="H4533" s="6" t="e">
        <f t="shared" ca="1" si="91"/>
        <v>#VALUE!</v>
      </c>
      <c r="I4533" s="7" t="str">
        <f ca="1">IFERROR(__xludf.DUMMYFUNCTION("IMPORTXML(E4533,""/html/body/main/div[3]/div[3]/div[2]/ul/li[5]/span[2]/span"")"),"Loading...")</f>
        <v>Loading...</v>
      </c>
      <c r="J4533" s="7" t="str">
        <f ca="1">IFERROR(__xludf.DUMMYFUNCTION("GOOGLEFINANCE(""NSE:""&amp;D4533,""marketcap"")"),"#N/A")</f>
        <v>#N/A</v>
      </c>
      <c r="K4533" s="7">
        <v>992.8</v>
      </c>
      <c r="L4533" s="8" t="str">
        <f ca="1">IFERROR(__xludf.DUMMYFUNCTION("GOOGLEFINANCE(""NSE:""&amp;D4533,""price"")"),"#N/A")</f>
        <v>#N/A</v>
      </c>
      <c r="M4533" s="9" t="e">
        <f t="shared" ca="1" si="92"/>
        <v>#VALUE!</v>
      </c>
      <c r="N4533" s="10" t="e">
        <f t="shared" ca="1" si="93"/>
        <v>#VALUE!</v>
      </c>
      <c r="O4533" s="7" t="str">
        <f ca="1">IFERROR(__xludf.DUMMYFUNCTION("GOOGLEFINANCE(""NSE:""&amp;D4533,""pe"")"),"#N/A")</f>
        <v>#N/A</v>
      </c>
      <c r="P4533" s="7" t="str">
        <f ca="1">IFERROR(__xludf.DUMMYFUNCTION("GOOGLEFINANCE(""NSE:""&amp;D4533,""EPS"")"),"#N/A")</f>
        <v>#N/A</v>
      </c>
      <c r="Q4533" s="7">
        <v>13.5</v>
      </c>
      <c r="R4533" s="7" t="str">
        <f ca="1">IFERROR(__xludf.DUMMYFUNCTION("IMPORTXML(E4533,""/html/body/main/div[3]/div[3]/div[2]/ul/li[7]/span[2]/span"")"),"Loading...")</f>
        <v>Loading...</v>
      </c>
      <c r="S4533" s="7" t="str">
        <f ca="1">IFERROR(__xludf.DUMMYFUNCTION("IMPORTXML(E4533,""/html/body/main/div[3]/div[3]/div[2]/ul/li[8]/span[2]/span"")"),"Loading...")</f>
        <v>Loading...</v>
      </c>
      <c r="T4533" s="4">
        <v>34.6</v>
      </c>
      <c r="U4533" s="4">
        <v>22.7</v>
      </c>
      <c r="V4533" s="4">
        <v>2.6</v>
      </c>
      <c r="W4533" s="4">
        <v>5.7</v>
      </c>
      <c r="X4533" s="4">
        <v>519.92999999999995</v>
      </c>
      <c r="Y4533" s="7" t="e">
        <f t="shared" ca="1" si="94"/>
        <v>#VALUE!</v>
      </c>
    </row>
    <row r="4534" spans="1:25" ht="15" x14ac:dyDescent="0.25">
      <c r="A4534" s="4">
        <v>4533</v>
      </c>
      <c r="C4534" s="41" t="s">
        <v>6910</v>
      </c>
      <c r="D4534" s="42"/>
      <c r="E4534" s="5" t="str">
        <f t="shared" si="90"/>
        <v>https://www.screener.in/company//consolidated/</v>
      </c>
      <c r="F4534" s="4">
        <v>443059</v>
      </c>
      <c r="G4534" s="4">
        <v>3832241897</v>
      </c>
      <c r="H4534" s="6" t="e">
        <f t="shared" ca="1" si="91"/>
        <v>#VALUE!</v>
      </c>
      <c r="I4534" s="7" t="str">
        <f ca="1">IFERROR(__xludf.DUMMYFUNCTION("IMPORTXML(E4534,""/html/body/main/div[3]/div[3]/div[2]/ul/li[5]/span[2]/span"")"),"Loading...")</f>
        <v>Loading...</v>
      </c>
      <c r="J4534" s="7" t="str">
        <f ca="1">IFERROR(__xludf.DUMMYFUNCTION("GOOGLEFINANCE(""NSE:""&amp;D4534,""marketcap"")"),"#N/A")</f>
        <v>#N/A</v>
      </c>
      <c r="K4534" s="7">
        <v>992.8</v>
      </c>
      <c r="L4534" s="8" t="str">
        <f ca="1">IFERROR(__xludf.DUMMYFUNCTION("GOOGLEFINANCE(""NSE:""&amp;D4534,""price"")"),"#N/A")</f>
        <v>#N/A</v>
      </c>
      <c r="M4534" s="9" t="e">
        <f t="shared" ca="1" si="92"/>
        <v>#VALUE!</v>
      </c>
      <c r="N4534" s="10" t="e">
        <f t="shared" ca="1" si="93"/>
        <v>#VALUE!</v>
      </c>
      <c r="O4534" s="7" t="str">
        <f ca="1">IFERROR(__xludf.DUMMYFUNCTION("GOOGLEFINANCE(""NSE:""&amp;D4534,""pe"")"),"#N/A")</f>
        <v>#N/A</v>
      </c>
      <c r="P4534" s="7" t="str">
        <f ca="1">IFERROR(__xludf.DUMMYFUNCTION("GOOGLEFINANCE(""NSE:""&amp;D4534,""EPS"")"),"#N/A")</f>
        <v>#N/A</v>
      </c>
      <c r="Q4534" s="7">
        <v>13.5</v>
      </c>
      <c r="R4534" s="7" t="str">
        <f ca="1">IFERROR(__xludf.DUMMYFUNCTION("IMPORTXML(E4534,""/html/body/main/div[3]/div[3]/div[2]/ul/li[7]/span[2]/span"")"),"Loading...")</f>
        <v>Loading...</v>
      </c>
      <c r="S4534" s="7" t="str">
        <f ca="1">IFERROR(__xludf.DUMMYFUNCTION("IMPORTXML(E4534,""/html/body/main/div[3]/div[3]/div[2]/ul/li[8]/span[2]/span"")"),"Loading...")</f>
        <v>Loading...</v>
      </c>
      <c r="T4534" s="4">
        <v>34.6</v>
      </c>
      <c r="U4534" s="4">
        <v>22.7</v>
      </c>
      <c r="V4534" s="4">
        <v>2.6</v>
      </c>
      <c r="W4534" s="4">
        <v>5.7</v>
      </c>
      <c r="X4534" s="4">
        <v>519.92999999999995</v>
      </c>
      <c r="Y4534" s="7" t="e">
        <f t="shared" ca="1" si="94"/>
        <v>#VALUE!</v>
      </c>
    </row>
    <row r="4535" spans="1:25" ht="15" x14ac:dyDescent="0.25">
      <c r="A4535" s="4">
        <v>4534</v>
      </c>
      <c r="C4535" s="41" t="s">
        <v>6911</v>
      </c>
      <c r="D4535" s="42"/>
      <c r="E4535" s="5" t="str">
        <f t="shared" si="90"/>
        <v>https://www.screener.in/company//consolidated/</v>
      </c>
      <c r="F4535" s="4">
        <v>443059</v>
      </c>
      <c r="G4535" s="4">
        <v>3832241897</v>
      </c>
      <c r="H4535" s="6" t="e">
        <f t="shared" ca="1" si="91"/>
        <v>#VALUE!</v>
      </c>
      <c r="I4535" s="7" t="str">
        <f ca="1">IFERROR(__xludf.DUMMYFUNCTION("IMPORTXML(E4535,""/html/body/main/div[3]/div[3]/div[2]/ul/li[5]/span[2]/span"")"),"Loading...")</f>
        <v>Loading...</v>
      </c>
      <c r="J4535" s="7" t="str">
        <f ca="1">IFERROR(__xludf.DUMMYFUNCTION("GOOGLEFINANCE(""NSE:""&amp;D4535,""marketcap"")"),"#N/A")</f>
        <v>#N/A</v>
      </c>
      <c r="K4535" s="7">
        <v>992.8</v>
      </c>
      <c r="L4535" s="8" t="str">
        <f ca="1">IFERROR(__xludf.DUMMYFUNCTION("GOOGLEFINANCE(""NSE:""&amp;D4535,""price"")"),"#N/A")</f>
        <v>#N/A</v>
      </c>
      <c r="M4535" s="9" t="e">
        <f t="shared" ca="1" si="92"/>
        <v>#VALUE!</v>
      </c>
      <c r="N4535" s="10" t="e">
        <f t="shared" ca="1" si="93"/>
        <v>#VALUE!</v>
      </c>
      <c r="O4535" s="7" t="str">
        <f ca="1">IFERROR(__xludf.DUMMYFUNCTION("GOOGLEFINANCE(""NSE:""&amp;D4535,""pe"")"),"#N/A")</f>
        <v>#N/A</v>
      </c>
      <c r="P4535" s="7" t="str">
        <f ca="1">IFERROR(__xludf.DUMMYFUNCTION("GOOGLEFINANCE(""NSE:""&amp;D4535,""EPS"")"),"#N/A")</f>
        <v>#N/A</v>
      </c>
      <c r="Q4535" s="7">
        <v>13.5</v>
      </c>
      <c r="R4535" s="7" t="str">
        <f ca="1">IFERROR(__xludf.DUMMYFUNCTION("IMPORTXML(E4535,""/html/body/main/div[3]/div[3]/div[2]/ul/li[7]/span[2]/span"")"),"Loading...")</f>
        <v>Loading...</v>
      </c>
      <c r="S4535" s="7" t="str">
        <f ca="1">IFERROR(__xludf.DUMMYFUNCTION("IMPORTXML(E4535,""/html/body/main/div[3]/div[3]/div[2]/ul/li[8]/span[2]/span"")"),"Loading...")</f>
        <v>Loading...</v>
      </c>
      <c r="T4535" s="4">
        <v>34.6</v>
      </c>
      <c r="U4535" s="4">
        <v>22.7</v>
      </c>
      <c r="V4535" s="4">
        <v>2.6</v>
      </c>
      <c r="W4535" s="4">
        <v>5.7</v>
      </c>
      <c r="X4535" s="4">
        <v>519.92999999999995</v>
      </c>
      <c r="Y4535" s="7" t="e">
        <f t="shared" ca="1" si="94"/>
        <v>#VALUE!</v>
      </c>
    </row>
    <row r="4536" spans="1:25" ht="15" x14ac:dyDescent="0.25">
      <c r="A4536" s="4">
        <v>4535</v>
      </c>
      <c r="C4536" s="41" t="s">
        <v>6912</v>
      </c>
      <c r="D4536" s="42"/>
      <c r="E4536" s="5" t="str">
        <f t="shared" si="90"/>
        <v>https://www.screener.in/company//consolidated/</v>
      </c>
      <c r="F4536" s="4">
        <v>443059</v>
      </c>
      <c r="G4536" s="4">
        <v>3832241897</v>
      </c>
      <c r="H4536" s="6" t="e">
        <f t="shared" ca="1" si="91"/>
        <v>#VALUE!</v>
      </c>
      <c r="I4536" s="7" t="str">
        <f ca="1">IFERROR(__xludf.DUMMYFUNCTION("IMPORTXML(E4536,""/html/body/main/div[3]/div[3]/div[2]/ul/li[5]/span[2]/span"")"),"Loading...")</f>
        <v>Loading...</v>
      </c>
      <c r="J4536" s="7" t="str">
        <f ca="1">IFERROR(__xludf.DUMMYFUNCTION("GOOGLEFINANCE(""NSE:""&amp;D4536,""marketcap"")"),"#N/A")</f>
        <v>#N/A</v>
      </c>
      <c r="K4536" s="7">
        <v>992.8</v>
      </c>
      <c r="L4536" s="8" t="str">
        <f ca="1">IFERROR(__xludf.DUMMYFUNCTION("GOOGLEFINANCE(""NSE:""&amp;D4536,""price"")"),"#N/A")</f>
        <v>#N/A</v>
      </c>
      <c r="M4536" s="9" t="e">
        <f t="shared" ca="1" si="92"/>
        <v>#VALUE!</v>
      </c>
      <c r="N4536" s="10" t="e">
        <f t="shared" ca="1" si="93"/>
        <v>#VALUE!</v>
      </c>
      <c r="O4536" s="7" t="str">
        <f ca="1">IFERROR(__xludf.DUMMYFUNCTION("GOOGLEFINANCE(""NSE:""&amp;D4536,""pe"")"),"#N/A")</f>
        <v>#N/A</v>
      </c>
      <c r="P4536" s="7" t="str">
        <f ca="1">IFERROR(__xludf.DUMMYFUNCTION("GOOGLEFINANCE(""NSE:""&amp;D4536,""EPS"")"),"#N/A")</f>
        <v>#N/A</v>
      </c>
      <c r="Q4536" s="7">
        <v>13.5</v>
      </c>
      <c r="R4536" s="7" t="str">
        <f ca="1">IFERROR(__xludf.DUMMYFUNCTION("IMPORTXML(E4536,""/html/body/main/div[3]/div[3]/div[2]/ul/li[7]/span[2]/span"")"),"Loading...")</f>
        <v>Loading...</v>
      </c>
      <c r="S4536" s="7" t="str">
        <f ca="1">IFERROR(__xludf.DUMMYFUNCTION("IMPORTXML(E4536,""/html/body/main/div[3]/div[3]/div[2]/ul/li[8]/span[2]/span"")"),"Loading...")</f>
        <v>Loading...</v>
      </c>
      <c r="T4536" s="4">
        <v>34.6</v>
      </c>
      <c r="U4536" s="4">
        <v>22.7</v>
      </c>
      <c r="V4536" s="4">
        <v>2.6</v>
      </c>
      <c r="W4536" s="4">
        <v>5.7</v>
      </c>
      <c r="X4536" s="4">
        <v>519.92999999999995</v>
      </c>
      <c r="Y4536" s="7" t="e">
        <f t="shared" ca="1" si="94"/>
        <v>#VALUE!</v>
      </c>
    </row>
    <row r="4537" spans="1:25" ht="15" x14ac:dyDescent="0.25">
      <c r="A4537" s="4">
        <v>4536</v>
      </c>
      <c r="C4537" s="41" t="s">
        <v>6913</v>
      </c>
      <c r="D4537" s="42"/>
      <c r="E4537" s="5" t="str">
        <f t="shared" si="90"/>
        <v>https://www.screener.in/company//consolidated/</v>
      </c>
      <c r="F4537" s="4">
        <v>443059</v>
      </c>
      <c r="G4537" s="4">
        <v>3832241897</v>
      </c>
      <c r="H4537" s="6" t="e">
        <f t="shared" ca="1" si="91"/>
        <v>#VALUE!</v>
      </c>
      <c r="I4537" s="7" t="str">
        <f ca="1">IFERROR(__xludf.DUMMYFUNCTION("IMPORTXML(E4537,""/html/body/main/div[3]/div[3]/div[2]/ul/li[5]/span[2]/span"")"),"Loading...")</f>
        <v>Loading...</v>
      </c>
      <c r="J4537" s="7" t="str">
        <f ca="1">IFERROR(__xludf.DUMMYFUNCTION("GOOGLEFINANCE(""NSE:""&amp;D4537,""marketcap"")"),"#N/A")</f>
        <v>#N/A</v>
      </c>
      <c r="K4537" s="7">
        <v>992.8</v>
      </c>
      <c r="L4537" s="8" t="str">
        <f ca="1">IFERROR(__xludf.DUMMYFUNCTION("GOOGLEFINANCE(""NSE:""&amp;D4537,""price"")"),"#N/A")</f>
        <v>#N/A</v>
      </c>
      <c r="M4537" s="9" t="e">
        <f t="shared" ca="1" si="92"/>
        <v>#VALUE!</v>
      </c>
      <c r="N4537" s="10" t="e">
        <f t="shared" ca="1" si="93"/>
        <v>#VALUE!</v>
      </c>
      <c r="O4537" s="7" t="str">
        <f ca="1">IFERROR(__xludf.DUMMYFUNCTION("GOOGLEFINANCE(""NSE:""&amp;D4537,""pe"")"),"#N/A")</f>
        <v>#N/A</v>
      </c>
      <c r="P4537" s="7" t="str">
        <f ca="1">IFERROR(__xludf.DUMMYFUNCTION("GOOGLEFINANCE(""NSE:""&amp;D4537,""EPS"")"),"#N/A")</f>
        <v>#N/A</v>
      </c>
      <c r="Q4537" s="7">
        <v>13.5</v>
      </c>
      <c r="R4537" s="7" t="str">
        <f ca="1">IFERROR(__xludf.DUMMYFUNCTION("IMPORTXML(E4537,""/html/body/main/div[3]/div[3]/div[2]/ul/li[7]/span[2]/span"")"),"Loading...")</f>
        <v>Loading...</v>
      </c>
      <c r="S4537" s="7" t="str">
        <f ca="1">IFERROR(__xludf.DUMMYFUNCTION("IMPORTXML(E4537,""/html/body/main/div[3]/div[3]/div[2]/ul/li[8]/span[2]/span"")"),"Loading...")</f>
        <v>Loading...</v>
      </c>
      <c r="T4537" s="4">
        <v>34.6</v>
      </c>
      <c r="U4537" s="4">
        <v>22.7</v>
      </c>
      <c r="V4537" s="4">
        <v>2.6</v>
      </c>
      <c r="W4537" s="4">
        <v>5.7</v>
      </c>
      <c r="X4537" s="4">
        <v>519.92999999999995</v>
      </c>
      <c r="Y4537" s="7" t="e">
        <f t="shared" ca="1" si="94"/>
        <v>#VALUE!</v>
      </c>
    </row>
    <row r="4538" spans="1:25" ht="15" x14ac:dyDescent="0.25">
      <c r="A4538" s="4">
        <v>4537</v>
      </c>
      <c r="C4538" s="41" t="s">
        <v>6914</v>
      </c>
      <c r="D4538" s="42"/>
      <c r="E4538" s="5" t="str">
        <f t="shared" si="90"/>
        <v>https://www.screener.in/company//consolidated/</v>
      </c>
      <c r="F4538" s="4">
        <v>443059</v>
      </c>
      <c r="G4538" s="4">
        <v>3832241897</v>
      </c>
      <c r="H4538" s="6" t="e">
        <f t="shared" ca="1" si="91"/>
        <v>#VALUE!</v>
      </c>
      <c r="I4538" s="7" t="str">
        <f ca="1">IFERROR(__xludf.DUMMYFUNCTION("IMPORTXML(E4538,""/html/body/main/div[3]/div[3]/div[2]/ul/li[5]/span[2]/span"")"),"Loading...")</f>
        <v>Loading...</v>
      </c>
      <c r="J4538" s="7" t="str">
        <f ca="1">IFERROR(__xludf.DUMMYFUNCTION("GOOGLEFINANCE(""NSE:""&amp;D4538,""marketcap"")"),"#N/A")</f>
        <v>#N/A</v>
      </c>
      <c r="K4538" s="7">
        <v>992.8</v>
      </c>
      <c r="L4538" s="8" t="str">
        <f ca="1">IFERROR(__xludf.DUMMYFUNCTION("GOOGLEFINANCE(""NSE:""&amp;D4538,""price"")"),"#N/A")</f>
        <v>#N/A</v>
      </c>
      <c r="M4538" s="9" t="e">
        <f t="shared" ca="1" si="92"/>
        <v>#VALUE!</v>
      </c>
      <c r="N4538" s="10" t="e">
        <f t="shared" ca="1" si="93"/>
        <v>#VALUE!</v>
      </c>
      <c r="O4538" s="7" t="str">
        <f ca="1">IFERROR(__xludf.DUMMYFUNCTION("GOOGLEFINANCE(""NSE:""&amp;D4538,""pe"")"),"#N/A")</f>
        <v>#N/A</v>
      </c>
      <c r="P4538" s="7" t="str">
        <f ca="1">IFERROR(__xludf.DUMMYFUNCTION("GOOGLEFINANCE(""NSE:""&amp;D4538,""EPS"")"),"#N/A")</f>
        <v>#N/A</v>
      </c>
      <c r="Q4538" s="7">
        <v>13.5</v>
      </c>
      <c r="R4538" s="7" t="str">
        <f ca="1">IFERROR(__xludf.DUMMYFUNCTION("IMPORTXML(E4538,""/html/body/main/div[3]/div[3]/div[2]/ul/li[7]/span[2]/span"")"),"Loading...")</f>
        <v>Loading...</v>
      </c>
      <c r="S4538" s="7" t="str">
        <f ca="1">IFERROR(__xludf.DUMMYFUNCTION("IMPORTXML(E4538,""/html/body/main/div[3]/div[3]/div[2]/ul/li[8]/span[2]/span"")"),"Loading...")</f>
        <v>Loading...</v>
      </c>
      <c r="T4538" s="4">
        <v>34.6</v>
      </c>
      <c r="U4538" s="4">
        <v>22.7</v>
      </c>
      <c r="V4538" s="4">
        <v>2.6</v>
      </c>
      <c r="W4538" s="4">
        <v>5.7</v>
      </c>
      <c r="X4538" s="4">
        <v>519.92999999999995</v>
      </c>
      <c r="Y4538" s="7" t="e">
        <f t="shared" ca="1" si="94"/>
        <v>#VALUE!</v>
      </c>
    </row>
    <row r="4539" spans="1:25" ht="15" x14ac:dyDescent="0.25">
      <c r="A4539" s="4">
        <v>4538</v>
      </c>
      <c r="C4539" s="41" t="s">
        <v>6915</v>
      </c>
      <c r="D4539" s="42"/>
      <c r="E4539" s="5" t="str">
        <f t="shared" si="90"/>
        <v>https://www.screener.in/company//consolidated/</v>
      </c>
      <c r="F4539" s="4">
        <v>443059</v>
      </c>
      <c r="G4539" s="4">
        <v>3832241897</v>
      </c>
      <c r="H4539" s="6" t="e">
        <f t="shared" ca="1" si="91"/>
        <v>#VALUE!</v>
      </c>
      <c r="I4539" s="7" t="str">
        <f ca="1">IFERROR(__xludf.DUMMYFUNCTION("IMPORTXML(E4539,""/html/body/main/div[3]/div[3]/div[2]/ul/li[5]/span[2]/span"")"),"Loading...")</f>
        <v>Loading...</v>
      </c>
      <c r="J4539" s="7" t="str">
        <f ca="1">IFERROR(__xludf.DUMMYFUNCTION("GOOGLEFINANCE(""NSE:""&amp;D4539,""marketcap"")"),"#N/A")</f>
        <v>#N/A</v>
      </c>
      <c r="K4539" s="7">
        <v>992.8</v>
      </c>
      <c r="L4539" s="8" t="str">
        <f ca="1">IFERROR(__xludf.DUMMYFUNCTION("GOOGLEFINANCE(""NSE:""&amp;D4539,""price"")"),"#N/A")</f>
        <v>#N/A</v>
      </c>
      <c r="M4539" s="9" t="e">
        <f t="shared" ca="1" si="92"/>
        <v>#VALUE!</v>
      </c>
      <c r="N4539" s="10" t="e">
        <f t="shared" ca="1" si="93"/>
        <v>#VALUE!</v>
      </c>
      <c r="O4539" s="7" t="str">
        <f ca="1">IFERROR(__xludf.DUMMYFUNCTION("GOOGLEFINANCE(""NSE:""&amp;D4539,""pe"")"),"#N/A")</f>
        <v>#N/A</v>
      </c>
      <c r="P4539" s="7" t="str">
        <f ca="1">IFERROR(__xludf.DUMMYFUNCTION("GOOGLEFINANCE(""NSE:""&amp;D4539,""EPS"")"),"#N/A")</f>
        <v>#N/A</v>
      </c>
      <c r="Q4539" s="7">
        <v>13.5</v>
      </c>
      <c r="R4539" s="7" t="str">
        <f ca="1">IFERROR(__xludf.DUMMYFUNCTION("IMPORTXML(E4539,""/html/body/main/div[3]/div[3]/div[2]/ul/li[7]/span[2]/span"")"),"Loading...")</f>
        <v>Loading...</v>
      </c>
      <c r="S4539" s="7" t="str">
        <f ca="1">IFERROR(__xludf.DUMMYFUNCTION("IMPORTXML(E4539,""/html/body/main/div[3]/div[3]/div[2]/ul/li[8]/span[2]/span"")"),"Loading...")</f>
        <v>Loading...</v>
      </c>
      <c r="T4539" s="4">
        <v>34.6</v>
      </c>
      <c r="U4539" s="4">
        <v>22.7</v>
      </c>
      <c r="V4539" s="4">
        <v>2.6</v>
      </c>
      <c r="W4539" s="4">
        <v>5.7</v>
      </c>
      <c r="X4539" s="4">
        <v>519.92999999999995</v>
      </c>
      <c r="Y4539" s="7" t="e">
        <f t="shared" ca="1" si="94"/>
        <v>#VALUE!</v>
      </c>
    </row>
    <row r="4540" spans="1:25" ht="15" x14ac:dyDescent="0.25">
      <c r="A4540" s="4">
        <v>4539</v>
      </c>
      <c r="C4540" s="41" t="s">
        <v>6916</v>
      </c>
      <c r="D4540" s="42"/>
      <c r="E4540" s="5" t="str">
        <f t="shared" si="90"/>
        <v>https://www.screener.in/company//consolidated/</v>
      </c>
      <c r="F4540" s="4">
        <v>443059</v>
      </c>
      <c r="G4540" s="4">
        <v>3832241897</v>
      </c>
      <c r="H4540" s="6" t="e">
        <f t="shared" ca="1" si="91"/>
        <v>#VALUE!</v>
      </c>
      <c r="I4540" s="7" t="str">
        <f ca="1">IFERROR(__xludf.DUMMYFUNCTION("IMPORTXML(E4540,""/html/body/main/div[3]/div[3]/div[2]/ul/li[5]/span[2]/span"")"),"Loading...")</f>
        <v>Loading...</v>
      </c>
      <c r="J4540" s="7" t="str">
        <f ca="1">IFERROR(__xludf.DUMMYFUNCTION("GOOGLEFINANCE(""NSE:""&amp;D4540,""marketcap"")"),"#N/A")</f>
        <v>#N/A</v>
      </c>
      <c r="K4540" s="7">
        <v>992.8</v>
      </c>
      <c r="L4540" s="8" t="str">
        <f ca="1">IFERROR(__xludf.DUMMYFUNCTION("GOOGLEFINANCE(""NSE:""&amp;D4540,""price"")"),"#N/A")</f>
        <v>#N/A</v>
      </c>
      <c r="M4540" s="9" t="e">
        <f t="shared" ca="1" si="92"/>
        <v>#VALUE!</v>
      </c>
      <c r="N4540" s="10" t="e">
        <f t="shared" ca="1" si="93"/>
        <v>#VALUE!</v>
      </c>
      <c r="O4540" s="7" t="str">
        <f ca="1">IFERROR(__xludf.DUMMYFUNCTION("GOOGLEFINANCE(""NSE:""&amp;D4540,""pe"")"),"#N/A")</f>
        <v>#N/A</v>
      </c>
      <c r="P4540" s="7" t="str">
        <f ca="1">IFERROR(__xludf.DUMMYFUNCTION("GOOGLEFINANCE(""NSE:""&amp;D4540,""EPS"")"),"#N/A")</f>
        <v>#N/A</v>
      </c>
      <c r="Q4540" s="7">
        <v>13.5</v>
      </c>
      <c r="R4540" s="7" t="str">
        <f ca="1">IFERROR(__xludf.DUMMYFUNCTION("IMPORTXML(E4540,""/html/body/main/div[3]/div[3]/div[2]/ul/li[7]/span[2]/span"")"),"Loading...")</f>
        <v>Loading...</v>
      </c>
      <c r="S4540" s="7" t="str">
        <f ca="1">IFERROR(__xludf.DUMMYFUNCTION("IMPORTXML(E4540,""/html/body/main/div[3]/div[3]/div[2]/ul/li[8]/span[2]/span"")"),"Loading...")</f>
        <v>Loading...</v>
      </c>
      <c r="T4540" s="4">
        <v>34.6</v>
      </c>
      <c r="U4540" s="4">
        <v>22.7</v>
      </c>
      <c r="V4540" s="4">
        <v>2.6</v>
      </c>
      <c r="W4540" s="4">
        <v>5.7</v>
      </c>
      <c r="X4540" s="4">
        <v>519.92999999999995</v>
      </c>
      <c r="Y4540" s="7" t="e">
        <f t="shared" ca="1" si="94"/>
        <v>#VALUE!</v>
      </c>
    </row>
    <row r="4541" spans="1:25" ht="15" x14ac:dyDescent="0.25">
      <c r="A4541" s="4">
        <v>4540</v>
      </c>
      <c r="C4541" s="41" t="s">
        <v>6917</v>
      </c>
      <c r="D4541" s="42"/>
      <c r="E4541" s="5" t="str">
        <f t="shared" si="90"/>
        <v>https://www.screener.in/company//consolidated/</v>
      </c>
      <c r="F4541" s="4">
        <v>443059</v>
      </c>
      <c r="G4541" s="4">
        <v>3832241897</v>
      </c>
      <c r="H4541" s="6" t="e">
        <f t="shared" ca="1" si="91"/>
        <v>#VALUE!</v>
      </c>
      <c r="I4541" s="7" t="str">
        <f ca="1">IFERROR(__xludf.DUMMYFUNCTION("IMPORTXML(E4541,""/html/body/main/div[3]/div[3]/div[2]/ul/li[5]/span[2]/span"")"),"Loading...")</f>
        <v>Loading...</v>
      </c>
      <c r="J4541" s="7" t="str">
        <f ca="1">IFERROR(__xludf.DUMMYFUNCTION("GOOGLEFINANCE(""NSE:""&amp;D4541,""marketcap"")"),"#N/A")</f>
        <v>#N/A</v>
      </c>
      <c r="K4541" s="7">
        <v>992.8</v>
      </c>
      <c r="L4541" s="8" t="str">
        <f ca="1">IFERROR(__xludf.DUMMYFUNCTION("GOOGLEFINANCE(""NSE:""&amp;D4541,""price"")"),"#N/A")</f>
        <v>#N/A</v>
      </c>
      <c r="M4541" s="9" t="e">
        <f t="shared" ca="1" si="92"/>
        <v>#VALUE!</v>
      </c>
      <c r="N4541" s="10" t="e">
        <f t="shared" ca="1" si="93"/>
        <v>#VALUE!</v>
      </c>
      <c r="O4541" s="7" t="str">
        <f ca="1">IFERROR(__xludf.DUMMYFUNCTION("GOOGLEFINANCE(""NSE:""&amp;D4541,""pe"")"),"#N/A")</f>
        <v>#N/A</v>
      </c>
      <c r="P4541" s="7" t="str">
        <f ca="1">IFERROR(__xludf.DUMMYFUNCTION("GOOGLEFINANCE(""NSE:""&amp;D4541,""EPS"")"),"#N/A")</f>
        <v>#N/A</v>
      </c>
      <c r="Q4541" s="7">
        <v>13.5</v>
      </c>
      <c r="R4541" s="7" t="str">
        <f ca="1">IFERROR(__xludf.DUMMYFUNCTION("IMPORTXML(E4541,""/html/body/main/div[3]/div[3]/div[2]/ul/li[7]/span[2]/span"")"),"Loading...")</f>
        <v>Loading...</v>
      </c>
      <c r="S4541" s="7" t="str">
        <f ca="1">IFERROR(__xludf.DUMMYFUNCTION("IMPORTXML(E4541,""/html/body/main/div[3]/div[3]/div[2]/ul/li[8]/span[2]/span"")"),"Loading...")</f>
        <v>Loading...</v>
      </c>
      <c r="T4541" s="4">
        <v>34.6</v>
      </c>
      <c r="U4541" s="4">
        <v>22.7</v>
      </c>
      <c r="V4541" s="4">
        <v>2.6</v>
      </c>
      <c r="W4541" s="4">
        <v>5.7</v>
      </c>
      <c r="X4541" s="4">
        <v>519.92999999999995</v>
      </c>
      <c r="Y4541" s="7" t="e">
        <f t="shared" ca="1" si="94"/>
        <v>#VALUE!</v>
      </c>
    </row>
    <row r="4542" spans="1:25" ht="15" x14ac:dyDescent="0.25">
      <c r="A4542" s="4">
        <v>4541</v>
      </c>
      <c r="C4542" s="41" t="s">
        <v>6918</v>
      </c>
      <c r="D4542" s="42"/>
      <c r="E4542" s="5" t="str">
        <f t="shared" si="90"/>
        <v>https://www.screener.in/company//consolidated/</v>
      </c>
      <c r="F4542" s="4">
        <v>443059</v>
      </c>
      <c r="G4542" s="4">
        <v>3832241897</v>
      </c>
      <c r="H4542" s="6" t="e">
        <f t="shared" ca="1" si="91"/>
        <v>#VALUE!</v>
      </c>
      <c r="I4542" s="7" t="str">
        <f ca="1">IFERROR(__xludf.DUMMYFUNCTION("IMPORTXML(E4542,""/html/body/main/div[3]/div[3]/div[2]/ul/li[5]/span[2]/span"")"),"Loading...")</f>
        <v>Loading...</v>
      </c>
      <c r="J4542" s="7" t="str">
        <f ca="1">IFERROR(__xludf.DUMMYFUNCTION("GOOGLEFINANCE(""NSE:""&amp;D4542,""marketcap"")"),"#N/A")</f>
        <v>#N/A</v>
      </c>
      <c r="K4542" s="7">
        <v>992.8</v>
      </c>
      <c r="L4542" s="8" t="str">
        <f ca="1">IFERROR(__xludf.DUMMYFUNCTION("GOOGLEFINANCE(""NSE:""&amp;D4542,""price"")"),"#N/A")</f>
        <v>#N/A</v>
      </c>
      <c r="M4542" s="9" t="e">
        <f t="shared" ca="1" si="92"/>
        <v>#VALUE!</v>
      </c>
      <c r="N4542" s="10" t="e">
        <f t="shared" ca="1" si="93"/>
        <v>#VALUE!</v>
      </c>
      <c r="O4542" s="7" t="str">
        <f ca="1">IFERROR(__xludf.DUMMYFUNCTION("GOOGLEFINANCE(""NSE:""&amp;D4542,""pe"")"),"#N/A")</f>
        <v>#N/A</v>
      </c>
      <c r="P4542" s="7" t="str">
        <f ca="1">IFERROR(__xludf.DUMMYFUNCTION("GOOGLEFINANCE(""NSE:""&amp;D4542,""EPS"")"),"#N/A")</f>
        <v>#N/A</v>
      </c>
      <c r="Q4542" s="7">
        <v>13.5</v>
      </c>
      <c r="R4542" s="7" t="str">
        <f ca="1">IFERROR(__xludf.DUMMYFUNCTION("IMPORTXML(E4542,""/html/body/main/div[3]/div[3]/div[2]/ul/li[7]/span[2]/span"")"),"Loading...")</f>
        <v>Loading...</v>
      </c>
      <c r="S4542" s="7" t="str">
        <f ca="1">IFERROR(__xludf.DUMMYFUNCTION("IMPORTXML(E4542,""/html/body/main/div[3]/div[3]/div[2]/ul/li[8]/span[2]/span"")"),"Loading...")</f>
        <v>Loading...</v>
      </c>
      <c r="T4542" s="4">
        <v>34.6</v>
      </c>
      <c r="U4542" s="4">
        <v>22.7</v>
      </c>
      <c r="V4542" s="4">
        <v>2.6</v>
      </c>
      <c r="W4542" s="4">
        <v>5.7</v>
      </c>
      <c r="X4542" s="4">
        <v>519.92999999999995</v>
      </c>
      <c r="Y4542" s="7" t="e">
        <f t="shared" ca="1" si="94"/>
        <v>#VALUE!</v>
      </c>
    </row>
    <row r="4543" spans="1:25" ht="15" x14ac:dyDescent="0.25">
      <c r="A4543" s="4">
        <v>4542</v>
      </c>
      <c r="C4543" s="41" t="s">
        <v>6919</v>
      </c>
      <c r="D4543" s="42"/>
      <c r="E4543" s="5" t="str">
        <f t="shared" si="90"/>
        <v>https://www.screener.in/company//consolidated/</v>
      </c>
      <c r="F4543" s="4">
        <v>443059</v>
      </c>
      <c r="G4543" s="4">
        <v>3832241897</v>
      </c>
      <c r="H4543" s="6" t="e">
        <f t="shared" ca="1" si="91"/>
        <v>#VALUE!</v>
      </c>
      <c r="I4543" s="7" t="str">
        <f ca="1">IFERROR(__xludf.DUMMYFUNCTION("IMPORTXML(E4543,""/html/body/main/div[3]/div[3]/div[2]/ul/li[5]/span[2]/span"")"),"Loading...")</f>
        <v>Loading...</v>
      </c>
      <c r="J4543" s="7" t="str">
        <f ca="1">IFERROR(__xludf.DUMMYFUNCTION("GOOGLEFINANCE(""NSE:""&amp;D4543,""marketcap"")"),"#N/A")</f>
        <v>#N/A</v>
      </c>
      <c r="K4543" s="7">
        <v>992.8</v>
      </c>
      <c r="L4543" s="8" t="str">
        <f ca="1">IFERROR(__xludf.DUMMYFUNCTION("GOOGLEFINANCE(""NSE:""&amp;D4543,""price"")"),"#N/A")</f>
        <v>#N/A</v>
      </c>
      <c r="M4543" s="9" t="e">
        <f t="shared" ca="1" si="92"/>
        <v>#VALUE!</v>
      </c>
      <c r="N4543" s="10" t="e">
        <f t="shared" ca="1" si="93"/>
        <v>#VALUE!</v>
      </c>
      <c r="O4543" s="7" t="str">
        <f ca="1">IFERROR(__xludf.DUMMYFUNCTION("GOOGLEFINANCE(""NSE:""&amp;D4543,""pe"")"),"#N/A")</f>
        <v>#N/A</v>
      </c>
      <c r="P4543" s="7" t="str">
        <f ca="1">IFERROR(__xludf.DUMMYFUNCTION("GOOGLEFINANCE(""NSE:""&amp;D4543,""EPS"")"),"#N/A")</f>
        <v>#N/A</v>
      </c>
      <c r="Q4543" s="7">
        <v>13.5</v>
      </c>
      <c r="R4543" s="7" t="str">
        <f ca="1">IFERROR(__xludf.DUMMYFUNCTION("IMPORTXML(E4543,""/html/body/main/div[3]/div[3]/div[2]/ul/li[7]/span[2]/span"")"),"Loading...")</f>
        <v>Loading...</v>
      </c>
      <c r="S4543" s="7" t="str">
        <f ca="1">IFERROR(__xludf.DUMMYFUNCTION("IMPORTXML(E4543,""/html/body/main/div[3]/div[3]/div[2]/ul/li[8]/span[2]/span"")"),"Loading...")</f>
        <v>Loading...</v>
      </c>
      <c r="T4543" s="4">
        <v>34.6</v>
      </c>
      <c r="U4543" s="4">
        <v>22.7</v>
      </c>
      <c r="V4543" s="4">
        <v>2.6</v>
      </c>
      <c r="W4543" s="4">
        <v>5.7</v>
      </c>
      <c r="X4543" s="4">
        <v>519.92999999999995</v>
      </c>
      <c r="Y4543" s="7" t="e">
        <f t="shared" ca="1" si="94"/>
        <v>#VALUE!</v>
      </c>
    </row>
    <row r="4544" spans="1:25" ht="15" x14ac:dyDescent="0.25">
      <c r="A4544" s="4">
        <v>4543</v>
      </c>
      <c r="C4544" s="12" t="s">
        <v>6920</v>
      </c>
      <c r="D4544" s="12" t="s">
        <v>6921</v>
      </c>
      <c r="E4544" s="5" t="str">
        <f t="shared" si="90"/>
        <v>https://www.screener.in/company/RAJVIR/consolidated/</v>
      </c>
      <c r="F4544" s="4">
        <v>443059</v>
      </c>
      <c r="G4544" s="4">
        <v>3832241897</v>
      </c>
      <c r="H4544" s="6">
        <f t="shared" ca="1" si="91"/>
        <v>3832.2418969999999</v>
      </c>
      <c r="I4544" s="7" t="str">
        <f ca="1">IFERROR(__xludf.DUMMYFUNCTION("IMPORTXML(E4544,""/html/body/main/div[3]/div[3]/div[2]/ul/li[5]/span[2]/span"")"),"Loading...")</f>
        <v>Loading...</v>
      </c>
      <c r="J4544" s="7">
        <f ca="1">IFERROR(__xludf.DUMMYFUNCTION("GOOGLEFINANCE(""NSE:""&amp;D4544,""marketcap"")"),39948600)</f>
        <v>39948600</v>
      </c>
      <c r="K4544" s="7">
        <v>992.8</v>
      </c>
      <c r="L4544" s="8">
        <f ca="1">IFERROR(__xludf.DUMMYFUNCTION("GOOGLEFINANCE(""NSE:""&amp;D4544,""price"")"),10)</f>
        <v>10</v>
      </c>
      <c r="M4544" s="9">
        <f t="shared" ca="1" si="92"/>
        <v>-982.8</v>
      </c>
      <c r="N4544" s="10">
        <f t="shared" ca="1" si="93"/>
        <v>-98.992747784045122</v>
      </c>
      <c r="O4544" s="7" t="str">
        <f ca="1">IFERROR(__xludf.DUMMYFUNCTION("GOOGLEFINANCE(""NSE:""&amp;D4544,""pe"")"),"#N/A")</f>
        <v>#N/A</v>
      </c>
      <c r="P4544" s="7" t="str">
        <f ca="1">IFERROR(__xludf.DUMMYFUNCTION("GOOGLEFINANCE(""NSE:""&amp;D4544,""EPS"")"),"#N/A")</f>
        <v>#N/A</v>
      </c>
      <c r="Q4544" s="7">
        <v>13.5</v>
      </c>
      <c r="R4544" s="7" t="str">
        <f ca="1">IFERROR(__xludf.DUMMYFUNCTION("IMPORTXML(E4544,""/html/body/main/div[3]/div[3]/div[2]/ul/li[7]/span[2]/span"")"),"Loading...")</f>
        <v>Loading...</v>
      </c>
      <c r="S4544" s="7" t="str">
        <f ca="1">IFERROR(__xludf.DUMMYFUNCTION("IMPORTXML(E4544,""/html/body/main/div[3]/div[3]/div[2]/ul/li[8]/span[2]/span"")"),"Loading...")</f>
        <v>Loading...</v>
      </c>
      <c r="T4544" s="4">
        <v>34.6</v>
      </c>
      <c r="U4544" s="4">
        <v>22.7</v>
      </c>
      <c r="V4544" s="4">
        <v>2.6</v>
      </c>
      <c r="W4544" s="4">
        <v>5.7</v>
      </c>
      <c r="X4544" s="4">
        <v>519.92999999999995</v>
      </c>
      <c r="Y4544" s="7">
        <f t="shared" ca="1" si="94"/>
        <v>-509.92999999999995</v>
      </c>
    </row>
    <row r="4545" spans="1:25" ht="15" x14ac:dyDescent="0.25">
      <c r="A4545" s="4">
        <v>4544</v>
      </c>
      <c r="C4545" s="41" t="s">
        <v>6922</v>
      </c>
      <c r="D4545" s="42"/>
      <c r="E4545" s="5" t="str">
        <f t="shared" si="90"/>
        <v>https://www.screener.in/company//consolidated/</v>
      </c>
      <c r="F4545" s="4">
        <v>443059</v>
      </c>
      <c r="G4545" s="4">
        <v>3832241897</v>
      </c>
      <c r="H4545" s="6" t="e">
        <f t="shared" ca="1" si="91"/>
        <v>#VALUE!</v>
      </c>
      <c r="I4545" s="7" t="str">
        <f ca="1">IFERROR(__xludf.DUMMYFUNCTION("IMPORTXML(E4545,""/html/body/main/div[3]/div[3]/div[2]/ul/li[5]/span[2]/span"")"),"Loading...")</f>
        <v>Loading...</v>
      </c>
      <c r="J4545" s="7" t="str">
        <f ca="1">IFERROR(__xludf.DUMMYFUNCTION("GOOGLEFINANCE(""NSE:""&amp;D4545,""marketcap"")"),"#N/A")</f>
        <v>#N/A</v>
      </c>
      <c r="K4545" s="7">
        <v>992.8</v>
      </c>
      <c r="L4545" s="8" t="str">
        <f ca="1">IFERROR(__xludf.DUMMYFUNCTION("GOOGLEFINANCE(""NSE:""&amp;D4545,""price"")"),"#N/A")</f>
        <v>#N/A</v>
      </c>
      <c r="M4545" s="9" t="e">
        <f t="shared" ca="1" si="92"/>
        <v>#VALUE!</v>
      </c>
      <c r="N4545" s="10" t="e">
        <f t="shared" ca="1" si="93"/>
        <v>#VALUE!</v>
      </c>
      <c r="O4545" s="7" t="str">
        <f ca="1">IFERROR(__xludf.DUMMYFUNCTION("GOOGLEFINANCE(""NSE:""&amp;D4545,""pe"")"),"#N/A")</f>
        <v>#N/A</v>
      </c>
      <c r="P4545" s="7" t="str">
        <f ca="1">IFERROR(__xludf.DUMMYFUNCTION("GOOGLEFINANCE(""NSE:""&amp;D4545,""EPS"")"),"#N/A")</f>
        <v>#N/A</v>
      </c>
      <c r="Q4545" s="7">
        <v>13.5</v>
      </c>
      <c r="R4545" s="7" t="str">
        <f ca="1">IFERROR(__xludf.DUMMYFUNCTION("IMPORTXML(E4545,""/html/body/main/div[3]/div[3]/div[2]/ul/li[7]/span[2]/span"")"),"Loading...")</f>
        <v>Loading...</v>
      </c>
      <c r="S4545" s="7" t="str">
        <f ca="1">IFERROR(__xludf.DUMMYFUNCTION("IMPORTXML(E4545,""/html/body/main/div[3]/div[3]/div[2]/ul/li[8]/span[2]/span"")"),"Loading...")</f>
        <v>Loading...</v>
      </c>
      <c r="T4545" s="4">
        <v>34.6</v>
      </c>
      <c r="U4545" s="4">
        <v>22.7</v>
      </c>
      <c r="V4545" s="4">
        <v>2.6</v>
      </c>
      <c r="W4545" s="4">
        <v>5.7</v>
      </c>
      <c r="X4545" s="4">
        <v>519.92999999999995</v>
      </c>
      <c r="Y4545" s="7" t="e">
        <f t="shared" ca="1" si="94"/>
        <v>#VALUE!</v>
      </c>
    </row>
    <row r="4546" spans="1:25" ht="15" x14ac:dyDescent="0.25">
      <c r="A4546" s="4">
        <v>4545</v>
      </c>
      <c r="C4546" s="41" t="s">
        <v>6923</v>
      </c>
      <c r="D4546" s="42"/>
      <c r="E4546" s="5" t="str">
        <f t="shared" si="90"/>
        <v>https://www.screener.in/company//consolidated/</v>
      </c>
      <c r="F4546" s="4">
        <v>443059</v>
      </c>
      <c r="G4546" s="4">
        <v>3832241897</v>
      </c>
      <c r="H4546" s="6" t="e">
        <f t="shared" ca="1" si="91"/>
        <v>#VALUE!</v>
      </c>
      <c r="I4546" s="7" t="str">
        <f ca="1">IFERROR(__xludf.DUMMYFUNCTION("IMPORTXML(E4546,""/html/body/main/div[3]/div[3]/div[2]/ul/li[5]/span[2]/span"")"),"Loading...")</f>
        <v>Loading...</v>
      </c>
      <c r="J4546" s="7" t="str">
        <f ca="1">IFERROR(__xludf.DUMMYFUNCTION("GOOGLEFINANCE(""NSE:""&amp;D4546,""marketcap"")"),"#N/A")</f>
        <v>#N/A</v>
      </c>
      <c r="K4546" s="7">
        <v>992.8</v>
      </c>
      <c r="L4546" s="8" t="str">
        <f ca="1">IFERROR(__xludf.DUMMYFUNCTION("GOOGLEFINANCE(""NSE:""&amp;D4546,""price"")"),"#N/A")</f>
        <v>#N/A</v>
      </c>
      <c r="M4546" s="9" t="e">
        <f t="shared" ca="1" si="92"/>
        <v>#VALUE!</v>
      </c>
      <c r="N4546" s="10" t="e">
        <f t="shared" ca="1" si="93"/>
        <v>#VALUE!</v>
      </c>
      <c r="O4546" s="7" t="str">
        <f ca="1">IFERROR(__xludf.DUMMYFUNCTION("GOOGLEFINANCE(""NSE:""&amp;D4546,""pe"")"),"#N/A")</f>
        <v>#N/A</v>
      </c>
      <c r="P4546" s="7" t="str">
        <f ca="1">IFERROR(__xludf.DUMMYFUNCTION("GOOGLEFINANCE(""NSE:""&amp;D4546,""EPS"")"),"#N/A")</f>
        <v>#N/A</v>
      </c>
      <c r="Q4546" s="7">
        <v>13.5</v>
      </c>
      <c r="R4546" s="7" t="str">
        <f ca="1">IFERROR(__xludf.DUMMYFUNCTION("IMPORTXML(E4546,""/html/body/main/div[3]/div[3]/div[2]/ul/li[7]/span[2]/span"")"),"Loading...")</f>
        <v>Loading...</v>
      </c>
      <c r="S4546" s="7" t="str">
        <f ca="1">IFERROR(__xludf.DUMMYFUNCTION("IMPORTXML(E4546,""/html/body/main/div[3]/div[3]/div[2]/ul/li[8]/span[2]/span"")"),"Loading...")</f>
        <v>Loading...</v>
      </c>
      <c r="T4546" s="4">
        <v>34.6</v>
      </c>
      <c r="U4546" s="4">
        <v>22.7</v>
      </c>
      <c r="V4546" s="4">
        <v>2.6</v>
      </c>
      <c r="W4546" s="4">
        <v>5.7</v>
      </c>
      <c r="X4546" s="4">
        <v>519.92999999999995</v>
      </c>
      <c r="Y4546" s="7" t="e">
        <f t="shared" ca="1" si="94"/>
        <v>#VALUE!</v>
      </c>
    </row>
    <row r="4547" spans="1:25" ht="15" x14ac:dyDescent="0.25">
      <c r="A4547" s="4">
        <v>4546</v>
      </c>
      <c r="C4547" s="41" t="s">
        <v>6924</v>
      </c>
      <c r="D4547" s="42"/>
      <c r="E4547" s="5" t="str">
        <f t="shared" si="90"/>
        <v>https://www.screener.in/company//consolidated/</v>
      </c>
      <c r="F4547" s="4">
        <v>443059</v>
      </c>
      <c r="G4547" s="4">
        <v>3832241897</v>
      </c>
      <c r="H4547" s="6" t="e">
        <f t="shared" ca="1" si="91"/>
        <v>#VALUE!</v>
      </c>
      <c r="I4547" s="7" t="str">
        <f ca="1">IFERROR(__xludf.DUMMYFUNCTION("IMPORTXML(E4547,""/html/body/main/div[3]/div[3]/div[2]/ul/li[5]/span[2]/span"")"),"Loading...")</f>
        <v>Loading...</v>
      </c>
      <c r="J4547" s="7" t="str">
        <f ca="1">IFERROR(__xludf.DUMMYFUNCTION("GOOGLEFINANCE(""NSE:""&amp;D4547,""marketcap"")"),"#N/A")</f>
        <v>#N/A</v>
      </c>
      <c r="K4547" s="7">
        <v>992.8</v>
      </c>
      <c r="L4547" s="8" t="str">
        <f ca="1">IFERROR(__xludf.DUMMYFUNCTION("GOOGLEFINANCE(""NSE:""&amp;D4547,""price"")"),"#N/A")</f>
        <v>#N/A</v>
      </c>
      <c r="M4547" s="9" t="e">
        <f t="shared" ca="1" si="92"/>
        <v>#VALUE!</v>
      </c>
      <c r="N4547" s="10" t="e">
        <f t="shared" ca="1" si="93"/>
        <v>#VALUE!</v>
      </c>
      <c r="O4547" s="7" t="str">
        <f ca="1">IFERROR(__xludf.DUMMYFUNCTION("GOOGLEFINANCE(""NSE:""&amp;D4547,""pe"")"),"#N/A")</f>
        <v>#N/A</v>
      </c>
      <c r="P4547" s="7" t="str">
        <f ca="1">IFERROR(__xludf.DUMMYFUNCTION("GOOGLEFINANCE(""NSE:""&amp;D4547,""EPS"")"),"#N/A")</f>
        <v>#N/A</v>
      </c>
      <c r="Q4547" s="7">
        <v>13.5</v>
      </c>
      <c r="R4547" s="7" t="str">
        <f ca="1">IFERROR(__xludf.DUMMYFUNCTION("IMPORTXML(E4547,""/html/body/main/div[3]/div[3]/div[2]/ul/li[7]/span[2]/span"")"),"Loading...")</f>
        <v>Loading...</v>
      </c>
      <c r="S4547" s="7" t="str">
        <f ca="1">IFERROR(__xludf.DUMMYFUNCTION("IMPORTXML(E4547,""/html/body/main/div[3]/div[3]/div[2]/ul/li[8]/span[2]/span"")"),"Loading...")</f>
        <v>Loading...</v>
      </c>
      <c r="T4547" s="4">
        <v>34.6</v>
      </c>
      <c r="U4547" s="4">
        <v>22.7</v>
      </c>
      <c r="V4547" s="4">
        <v>2.6</v>
      </c>
      <c r="W4547" s="4">
        <v>5.7</v>
      </c>
      <c r="X4547" s="4">
        <v>519.92999999999995</v>
      </c>
      <c r="Y4547" s="7" t="e">
        <f t="shared" ca="1" si="94"/>
        <v>#VALUE!</v>
      </c>
    </row>
    <row r="4548" spans="1:25" ht="15" x14ac:dyDescent="0.25">
      <c r="A4548" s="4">
        <v>4547</v>
      </c>
      <c r="C4548" s="41" t="s">
        <v>6925</v>
      </c>
      <c r="D4548" s="42"/>
      <c r="E4548" s="5" t="str">
        <f t="shared" si="90"/>
        <v>https://www.screener.in/company//consolidated/</v>
      </c>
      <c r="F4548" s="4">
        <v>443059</v>
      </c>
      <c r="G4548" s="4">
        <v>3832241897</v>
      </c>
      <c r="H4548" s="6" t="e">
        <f t="shared" ca="1" si="91"/>
        <v>#VALUE!</v>
      </c>
      <c r="I4548" s="7" t="str">
        <f ca="1">IFERROR(__xludf.DUMMYFUNCTION("IMPORTXML(E4548,""/html/body/main/div[3]/div[3]/div[2]/ul/li[5]/span[2]/span"")"),"Loading...")</f>
        <v>Loading...</v>
      </c>
      <c r="J4548" s="7" t="str">
        <f ca="1">IFERROR(__xludf.DUMMYFUNCTION("GOOGLEFINANCE(""NSE:""&amp;D4548,""marketcap"")"),"#N/A")</f>
        <v>#N/A</v>
      </c>
      <c r="K4548" s="7">
        <v>992.8</v>
      </c>
      <c r="L4548" s="8" t="str">
        <f ca="1">IFERROR(__xludf.DUMMYFUNCTION("GOOGLEFINANCE(""NSE:""&amp;D4548,""price"")"),"#N/A")</f>
        <v>#N/A</v>
      </c>
      <c r="M4548" s="9" t="e">
        <f t="shared" ca="1" si="92"/>
        <v>#VALUE!</v>
      </c>
      <c r="N4548" s="10" t="e">
        <f t="shared" ca="1" si="93"/>
        <v>#VALUE!</v>
      </c>
      <c r="O4548" s="7" t="str">
        <f ca="1">IFERROR(__xludf.DUMMYFUNCTION("GOOGLEFINANCE(""NSE:""&amp;D4548,""pe"")"),"#N/A")</f>
        <v>#N/A</v>
      </c>
      <c r="P4548" s="7" t="str">
        <f ca="1">IFERROR(__xludf.DUMMYFUNCTION("GOOGLEFINANCE(""NSE:""&amp;D4548,""EPS"")"),"#N/A")</f>
        <v>#N/A</v>
      </c>
      <c r="Q4548" s="7">
        <v>13.5</v>
      </c>
      <c r="R4548" s="7" t="str">
        <f ca="1">IFERROR(__xludf.DUMMYFUNCTION("IMPORTXML(E4548,""/html/body/main/div[3]/div[3]/div[2]/ul/li[7]/span[2]/span"")"),"Loading...")</f>
        <v>Loading...</v>
      </c>
      <c r="S4548" s="7" t="str">
        <f ca="1">IFERROR(__xludf.DUMMYFUNCTION("IMPORTXML(E4548,""/html/body/main/div[3]/div[3]/div[2]/ul/li[8]/span[2]/span"")"),"Loading...")</f>
        <v>Loading...</v>
      </c>
      <c r="T4548" s="4">
        <v>34.6</v>
      </c>
      <c r="U4548" s="4">
        <v>22.7</v>
      </c>
      <c r="V4548" s="4">
        <v>2.6</v>
      </c>
      <c r="W4548" s="4">
        <v>5.7</v>
      </c>
      <c r="X4548" s="4">
        <v>519.92999999999995</v>
      </c>
      <c r="Y4548" s="7" t="e">
        <f t="shared" ca="1" si="94"/>
        <v>#VALUE!</v>
      </c>
    </row>
    <row r="4549" spans="1:25" ht="15" x14ac:dyDescent="0.25">
      <c r="A4549" s="4">
        <v>4548</v>
      </c>
      <c r="C4549" s="41" t="s">
        <v>6926</v>
      </c>
      <c r="D4549" s="42"/>
      <c r="E4549" s="5" t="str">
        <f t="shared" si="90"/>
        <v>https://www.screener.in/company//consolidated/</v>
      </c>
      <c r="F4549" s="4">
        <v>443059</v>
      </c>
      <c r="G4549" s="4">
        <v>3832241897</v>
      </c>
      <c r="H4549" s="6" t="e">
        <f t="shared" ca="1" si="91"/>
        <v>#VALUE!</v>
      </c>
      <c r="I4549" s="7" t="str">
        <f ca="1">IFERROR(__xludf.DUMMYFUNCTION("IMPORTXML(E4549,""/html/body/main/div[3]/div[3]/div[2]/ul/li[5]/span[2]/span"")"),"Loading...")</f>
        <v>Loading...</v>
      </c>
      <c r="J4549" s="7" t="str">
        <f ca="1">IFERROR(__xludf.DUMMYFUNCTION("GOOGLEFINANCE(""NSE:""&amp;D4549,""marketcap"")"),"#N/A")</f>
        <v>#N/A</v>
      </c>
      <c r="K4549" s="7">
        <v>992.8</v>
      </c>
      <c r="L4549" s="8" t="str">
        <f ca="1">IFERROR(__xludf.DUMMYFUNCTION("GOOGLEFINANCE(""NSE:""&amp;D4549,""price"")"),"#N/A")</f>
        <v>#N/A</v>
      </c>
      <c r="M4549" s="9" t="e">
        <f t="shared" ca="1" si="92"/>
        <v>#VALUE!</v>
      </c>
      <c r="N4549" s="10" t="e">
        <f t="shared" ca="1" si="93"/>
        <v>#VALUE!</v>
      </c>
      <c r="O4549" s="7" t="str">
        <f ca="1">IFERROR(__xludf.DUMMYFUNCTION("GOOGLEFINANCE(""NSE:""&amp;D4549,""pe"")"),"#N/A")</f>
        <v>#N/A</v>
      </c>
      <c r="P4549" s="7" t="str">
        <f ca="1">IFERROR(__xludf.DUMMYFUNCTION("GOOGLEFINANCE(""NSE:""&amp;D4549,""EPS"")"),"#N/A")</f>
        <v>#N/A</v>
      </c>
      <c r="Q4549" s="7">
        <v>13.5</v>
      </c>
      <c r="R4549" s="7" t="str">
        <f ca="1">IFERROR(__xludf.DUMMYFUNCTION("IMPORTXML(E4549,""/html/body/main/div[3]/div[3]/div[2]/ul/li[7]/span[2]/span"")"),"Loading...")</f>
        <v>Loading...</v>
      </c>
      <c r="S4549" s="7" t="str">
        <f ca="1">IFERROR(__xludf.DUMMYFUNCTION("IMPORTXML(E4549,""/html/body/main/div[3]/div[3]/div[2]/ul/li[8]/span[2]/span"")"),"Loading...")</f>
        <v>Loading...</v>
      </c>
      <c r="T4549" s="4">
        <v>34.6</v>
      </c>
      <c r="U4549" s="4">
        <v>22.7</v>
      </c>
      <c r="V4549" s="4">
        <v>2.6</v>
      </c>
      <c r="W4549" s="4">
        <v>5.7</v>
      </c>
      <c r="X4549" s="4">
        <v>519.92999999999995</v>
      </c>
      <c r="Y4549" s="7" t="e">
        <f t="shared" ca="1" si="94"/>
        <v>#VALUE!</v>
      </c>
    </row>
    <row r="4550" spans="1:25" ht="15" x14ac:dyDescent="0.25">
      <c r="A4550" s="4">
        <v>4549</v>
      </c>
      <c r="C4550" s="41" t="s">
        <v>6927</v>
      </c>
      <c r="D4550" s="42"/>
      <c r="E4550" s="5" t="str">
        <f t="shared" si="90"/>
        <v>https://www.screener.in/company//consolidated/</v>
      </c>
      <c r="F4550" s="4">
        <v>443059</v>
      </c>
      <c r="G4550" s="4">
        <v>3832241897</v>
      </c>
      <c r="H4550" s="6" t="e">
        <f t="shared" ca="1" si="91"/>
        <v>#VALUE!</v>
      </c>
      <c r="I4550" s="7" t="str">
        <f ca="1">IFERROR(__xludf.DUMMYFUNCTION("IMPORTXML(E4550,""/html/body/main/div[3]/div[3]/div[2]/ul/li[5]/span[2]/span"")"),"Loading...")</f>
        <v>Loading...</v>
      </c>
      <c r="J4550" s="7" t="str">
        <f ca="1">IFERROR(__xludf.DUMMYFUNCTION("GOOGLEFINANCE(""NSE:""&amp;D4550,""marketcap"")"),"#N/A")</f>
        <v>#N/A</v>
      </c>
      <c r="K4550" s="7">
        <v>992.8</v>
      </c>
      <c r="L4550" s="8" t="str">
        <f ca="1">IFERROR(__xludf.DUMMYFUNCTION("GOOGLEFINANCE(""NSE:""&amp;D4550,""price"")"),"#N/A")</f>
        <v>#N/A</v>
      </c>
      <c r="M4550" s="9" t="e">
        <f t="shared" ca="1" si="92"/>
        <v>#VALUE!</v>
      </c>
      <c r="N4550" s="10" t="e">
        <f t="shared" ca="1" si="93"/>
        <v>#VALUE!</v>
      </c>
      <c r="O4550" s="7" t="str">
        <f ca="1">IFERROR(__xludf.DUMMYFUNCTION("GOOGLEFINANCE(""NSE:""&amp;D4550,""pe"")"),"#N/A")</f>
        <v>#N/A</v>
      </c>
      <c r="P4550" s="7" t="str">
        <f ca="1">IFERROR(__xludf.DUMMYFUNCTION("GOOGLEFINANCE(""NSE:""&amp;D4550,""EPS"")"),"#N/A")</f>
        <v>#N/A</v>
      </c>
      <c r="Q4550" s="7">
        <v>13.5</v>
      </c>
      <c r="R4550" s="7" t="str">
        <f ca="1">IFERROR(__xludf.DUMMYFUNCTION("IMPORTXML(E4550,""/html/body/main/div[3]/div[3]/div[2]/ul/li[7]/span[2]/span"")"),"Loading...")</f>
        <v>Loading...</v>
      </c>
      <c r="S4550" s="7" t="str">
        <f ca="1">IFERROR(__xludf.DUMMYFUNCTION("IMPORTXML(E4550,""/html/body/main/div[3]/div[3]/div[2]/ul/li[8]/span[2]/span"")"),"Loading...")</f>
        <v>Loading...</v>
      </c>
      <c r="T4550" s="4">
        <v>34.6</v>
      </c>
      <c r="U4550" s="4">
        <v>22.7</v>
      </c>
      <c r="V4550" s="4">
        <v>2.6</v>
      </c>
      <c r="W4550" s="4">
        <v>5.7</v>
      </c>
      <c r="X4550" s="4">
        <v>519.92999999999995</v>
      </c>
      <c r="Y4550" s="7" t="e">
        <f t="shared" ca="1" si="94"/>
        <v>#VALUE!</v>
      </c>
    </row>
    <row r="4551" spans="1:25" ht="15" x14ac:dyDescent="0.25">
      <c r="A4551" s="4">
        <v>4550</v>
      </c>
      <c r="C4551" s="41" t="s">
        <v>6928</v>
      </c>
      <c r="D4551" s="42"/>
      <c r="E4551" s="5" t="str">
        <f t="shared" si="90"/>
        <v>https://www.screener.in/company//consolidated/</v>
      </c>
      <c r="F4551" s="4">
        <v>443059</v>
      </c>
      <c r="G4551" s="4">
        <v>3832241897</v>
      </c>
      <c r="H4551" s="6" t="e">
        <f t="shared" ca="1" si="91"/>
        <v>#VALUE!</v>
      </c>
      <c r="I4551" s="7" t="str">
        <f ca="1">IFERROR(__xludf.DUMMYFUNCTION("IMPORTXML(E4551,""/html/body/main/div[3]/div[3]/div[2]/ul/li[5]/span[2]/span"")"),"Loading...")</f>
        <v>Loading...</v>
      </c>
      <c r="J4551" s="7" t="str">
        <f ca="1">IFERROR(__xludf.DUMMYFUNCTION("GOOGLEFINANCE(""NSE:""&amp;D4551,""marketcap"")"),"#N/A")</f>
        <v>#N/A</v>
      </c>
      <c r="K4551" s="7">
        <v>992.8</v>
      </c>
      <c r="L4551" s="8" t="str">
        <f ca="1">IFERROR(__xludf.DUMMYFUNCTION("GOOGLEFINANCE(""NSE:""&amp;D4551,""price"")"),"#N/A")</f>
        <v>#N/A</v>
      </c>
      <c r="M4551" s="9" t="e">
        <f t="shared" ca="1" si="92"/>
        <v>#VALUE!</v>
      </c>
      <c r="N4551" s="10" t="e">
        <f t="shared" ca="1" si="93"/>
        <v>#VALUE!</v>
      </c>
      <c r="O4551" s="7" t="str">
        <f ca="1">IFERROR(__xludf.DUMMYFUNCTION("GOOGLEFINANCE(""NSE:""&amp;D4551,""pe"")"),"#N/A")</f>
        <v>#N/A</v>
      </c>
      <c r="P4551" s="7" t="str">
        <f ca="1">IFERROR(__xludf.DUMMYFUNCTION("GOOGLEFINANCE(""NSE:""&amp;D4551,""EPS"")"),"#N/A")</f>
        <v>#N/A</v>
      </c>
      <c r="Q4551" s="7">
        <v>13.5</v>
      </c>
      <c r="R4551" s="7" t="str">
        <f ca="1">IFERROR(__xludf.DUMMYFUNCTION("IMPORTXML(E4551,""/html/body/main/div[3]/div[3]/div[2]/ul/li[7]/span[2]/span"")"),"Loading...")</f>
        <v>Loading...</v>
      </c>
      <c r="S4551" s="7" t="str">
        <f ca="1">IFERROR(__xludf.DUMMYFUNCTION("IMPORTXML(E4551,""/html/body/main/div[3]/div[3]/div[2]/ul/li[8]/span[2]/span"")"),"Loading...")</f>
        <v>Loading...</v>
      </c>
      <c r="T4551" s="4">
        <v>34.6</v>
      </c>
      <c r="U4551" s="4">
        <v>22.7</v>
      </c>
      <c r="V4551" s="4">
        <v>2.6</v>
      </c>
      <c r="W4551" s="4">
        <v>5.7</v>
      </c>
      <c r="X4551" s="4">
        <v>519.92999999999995</v>
      </c>
      <c r="Y4551" s="7" t="e">
        <f t="shared" ca="1" si="94"/>
        <v>#VALUE!</v>
      </c>
    </row>
    <row r="4552" spans="1:25" ht="15" x14ac:dyDescent="0.25">
      <c r="A4552" s="4">
        <v>4551</v>
      </c>
      <c r="C4552" s="41" t="s">
        <v>6929</v>
      </c>
      <c r="D4552" s="42"/>
      <c r="E4552" s="5" t="str">
        <f t="shared" si="90"/>
        <v>https://www.screener.in/company//consolidated/</v>
      </c>
      <c r="F4552" s="4">
        <v>443059</v>
      </c>
      <c r="G4552" s="4">
        <v>3832241897</v>
      </c>
      <c r="H4552" s="6" t="e">
        <f t="shared" ca="1" si="91"/>
        <v>#VALUE!</v>
      </c>
      <c r="I4552" s="7" t="str">
        <f ca="1">IFERROR(__xludf.DUMMYFUNCTION("IMPORTXML(E4552,""/html/body/main/div[3]/div[3]/div[2]/ul/li[5]/span[2]/span"")"),"Loading...")</f>
        <v>Loading...</v>
      </c>
      <c r="J4552" s="7" t="str">
        <f ca="1">IFERROR(__xludf.DUMMYFUNCTION("GOOGLEFINANCE(""NSE:""&amp;D4552,""marketcap"")"),"#N/A")</f>
        <v>#N/A</v>
      </c>
      <c r="K4552" s="7">
        <v>992.8</v>
      </c>
      <c r="L4552" s="8" t="str">
        <f ca="1">IFERROR(__xludf.DUMMYFUNCTION("GOOGLEFINANCE(""NSE:""&amp;D4552,""price"")"),"#N/A")</f>
        <v>#N/A</v>
      </c>
      <c r="M4552" s="9" t="e">
        <f t="shared" ca="1" si="92"/>
        <v>#VALUE!</v>
      </c>
      <c r="N4552" s="10" t="e">
        <f t="shared" ca="1" si="93"/>
        <v>#VALUE!</v>
      </c>
      <c r="O4552" s="7" t="str">
        <f ca="1">IFERROR(__xludf.DUMMYFUNCTION("GOOGLEFINANCE(""NSE:""&amp;D4552,""pe"")"),"#N/A")</f>
        <v>#N/A</v>
      </c>
      <c r="P4552" s="7" t="str">
        <f ca="1">IFERROR(__xludf.DUMMYFUNCTION("GOOGLEFINANCE(""NSE:""&amp;D4552,""EPS"")"),"#N/A")</f>
        <v>#N/A</v>
      </c>
      <c r="Q4552" s="7">
        <v>13.5</v>
      </c>
      <c r="R4552" s="7" t="str">
        <f ca="1">IFERROR(__xludf.DUMMYFUNCTION("IMPORTXML(E4552,""/html/body/main/div[3]/div[3]/div[2]/ul/li[7]/span[2]/span"")"),"Loading...")</f>
        <v>Loading...</v>
      </c>
      <c r="S4552" s="7" t="str">
        <f ca="1">IFERROR(__xludf.DUMMYFUNCTION("IMPORTXML(E4552,""/html/body/main/div[3]/div[3]/div[2]/ul/li[8]/span[2]/span"")"),"Loading...")</f>
        <v>Loading...</v>
      </c>
      <c r="T4552" s="4">
        <v>34.6</v>
      </c>
      <c r="U4552" s="4">
        <v>22.7</v>
      </c>
      <c r="V4552" s="4">
        <v>2.6</v>
      </c>
      <c r="W4552" s="4">
        <v>5.7</v>
      </c>
      <c r="X4552" s="4">
        <v>519.92999999999995</v>
      </c>
      <c r="Y4552" s="7" t="e">
        <f t="shared" ca="1" si="94"/>
        <v>#VALUE!</v>
      </c>
    </row>
    <row r="4553" spans="1:25" ht="15" x14ac:dyDescent="0.25">
      <c r="A4553" s="4">
        <v>4552</v>
      </c>
      <c r="C4553" s="41" t="s">
        <v>6930</v>
      </c>
      <c r="D4553" s="42"/>
      <c r="E4553" s="5" t="str">
        <f t="shared" si="90"/>
        <v>https://www.screener.in/company//consolidated/</v>
      </c>
      <c r="F4553" s="4">
        <v>443059</v>
      </c>
      <c r="G4553" s="4">
        <v>3832241897</v>
      </c>
      <c r="H4553" s="6" t="e">
        <f t="shared" ca="1" si="91"/>
        <v>#VALUE!</v>
      </c>
      <c r="I4553" s="7" t="str">
        <f ca="1">IFERROR(__xludf.DUMMYFUNCTION("IMPORTXML(E4553,""/html/body/main/div[3]/div[3]/div[2]/ul/li[5]/span[2]/span"")"),"Loading...")</f>
        <v>Loading...</v>
      </c>
      <c r="J4553" s="7" t="str">
        <f ca="1">IFERROR(__xludf.DUMMYFUNCTION("GOOGLEFINANCE(""NSE:""&amp;D4553,""marketcap"")"),"#N/A")</f>
        <v>#N/A</v>
      </c>
      <c r="K4553" s="7">
        <v>992.8</v>
      </c>
      <c r="L4553" s="8" t="str">
        <f ca="1">IFERROR(__xludf.DUMMYFUNCTION("GOOGLEFINANCE(""NSE:""&amp;D4553,""price"")"),"#N/A")</f>
        <v>#N/A</v>
      </c>
      <c r="M4553" s="9" t="e">
        <f t="shared" ca="1" si="92"/>
        <v>#VALUE!</v>
      </c>
      <c r="N4553" s="10" t="e">
        <f t="shared" ca="1" si="93"/>
        <v>#VALUE!</v>
      </c>
      <c r="O4553" s="7" t="str">
        <f ca="1">IFERROR(__xludf.DUMMYFUNCTION("GOOGLEFINANCE(""NSE:""&amp;D4553,""pe"")"),"#N/A")</f>
        <v>#N/A</v>
      </c>
      <c r="P4553" s="7" t="str">
        <f ca="1">IFERROR(__xludf.DUMMYFUNCTION("GOOGLEFINANCE(""NSE:""&amp;D4553,""EPS"")"),"#N/A")</f>
        <v>#N/A</v>
      </c>
      <c r="Q4553" s="7">
        <v>13.5</v>
      </c>
      <c r="R4553" s="7" t="str">
        <f ca="1">IFERROR(__xludf.DUMMYFUNCTION("IMPORTXML(E4553,""/html/body/main/div[3]/div[3]/div[2]/ul/li[7]/span[2]/span"")"),"Loading...")</f>
        <v>Loading...</v>
      </c>
      <c r="S4553" s="7" t="str">
        <f ca="1">IFERROR(__xludf.DUMMYFUNCTION("IMPORTXML(E4553,""/html/body/main/div[3]/div[3]/div[2]/ul/li[8]/span[2]/span"")"),"Loading...")</f>
        <v>Loading...</v>
      </c>
      <c r="T4553" s="4">
        <v>34.6</v>
      </c>
      <c r="U4553" s="4">
        <v>22.7</v>
      </c>
      <c r="V4553" s="4">
        <v>2.6</v>
      </c>
      <c r="W4553" s="4">
        <v>5.7</v>
      </c>
      <c r="X4553" s="4">
        <v>519.92999999999995</v>
      </c>
      <c r="Y4553" s="7" t="e">
        <f t="shared" ca="1" si="94"/>
        <v>#VALUE!</v>
      </c>
    </row>
    <row r="4554" spans="1:25" ht="15" x14ac:dyDescent="0.25">
      <c r="A4554" s="4">
        <v>4553</v>
      </c>
      <c r="C4554" s="41" t="s">
        <v>6931</v>
      </c>
      <c r="D4554" s="42"/>
      <c r="E4554" s="5" t="str">
        <f t="shared" si="90"/>
        <v>https://www.screener.in/company//consolidated/</v>
      </c>
      <c r="F4554" s="4">
        <v>443059</v>
      </c>
      <c r="G4554" s="4">
        <v>3832241897</v>
      </c>
      <c r="H4554" s="6" t="e">
        <f t="shared" ca="1" si="91"/>
        <v>#VALUE!</v>
      </c>
      <c r="I4554" s="7" t="str">
        <f ca="1">IFERROR(__xludf.DUMMYFUNCTION("IMPORTXML(E4554,""/html/body/main/div[3]/div[3]/div[2]/ul/li[5]/span[2]/span"")"),"Loading...")</f>
        <v>Loading...</v>
      </c>
      <c r="J4554" s="7" t="str">
        <f ca="1">IFERROR(__xludf.DUMMYFUNCTION("GOOGLEFINANCE(""NSE:""&amp;D4554,""marketcap"")"),"#N/A")</f>
        <v>#N/A</v>
      </c>
      <c r="K4554" s="7">
        <v>992.8</v>
      </c>
      <c r="L4554" s="8" t="str">
        <f ca="1">IFERROR(__xludf.DUMMYFUNCTION("GOOGLEFINANCE(""NSE:""&amp;D4554,""price"")"),"#N/A")</f>
        <v>#N/A</v>
      </c>
      <c r="M4554" s="9" t="e">
        <f t="shared" ca="1" si="92"/>
        <v>#VALUE!</v>
      </c>
      <c r="N4554" s="10" t="e">
        <f t="shared" ca="1" si="93"/>
        <v>#VALUE!</v>
      </c>
      <c r="O4554" s="7" t="str">
        <f ca="1">IFERROR(__xludf.DUMMYFUNCTION("GOOGLEFINANCE(""NSE:""&amp;D4554,""pe"")"),"#N/A")</f>
        <v>#N/A</v>
      </c>
      <c r="P4554" s="7" t="str">
        <f ca="1">IFERROR(__xludf.DUMMYFUNCTION("GOOGLEFINANCE(""NSE:""&amp;D4554,""EPS"")"),"#N/A")</f>
        <v>#N/A</v>
      </c>
      <c r="Q4554" s="7">
        <v>13.5</v>
      </c>
      <c r="R4554" s="7" t="str">
        <f ca="1">IFERROR(__xludf.DUMMYFUNCTION("IMPORTXML(E4554,""/html/body/main/div[3]/div[3]/div[2]/ul/li[7]/span[2]/span"")"),"Loading...")</f>
        <v>Loading...</v>
      </c>
      <c r="S4554" s="7" t="str">
        <f ca="1">IFERROR(__xludf.DUMMYFUNCTION("IMPORTXML(E4554,""/html/body/main/div[3]/div[3]/div[2]/ul/li[8]/span[2]/span"")"),"Loading...")</f>
        <v>Loading...</v>
      </c>
      <c r="T4554" s="4">
        <v>34.6</v>
      </c>
      <c r="U4554" s="4">
        <v>22.7</v>
      </c>
      <c r="V4554" s="4">
        <v>2.6</v>
      </c>
      <c r="W4554" s="4">
        <v>5.7</v>
      </c>
      <c r="X4554" s="4">
        <v>519.92999999999995</v>
      </c>
      <c r="Y4554" s="7" t="e">
        <f t="shared" ca="1" si="94"/>
        <v>#VALUE!</v>
      </c>
    </row>
    <row r="4555" spans="1:25" ht="15" x14ac:dyDescent="0.25">
      <c r="A4555" s="4">
        <v>4554</v>
      </c>
      <c r="C4555" s="41" t="s">
        <v>6932</v>
      </c>
      <c r="D4555" s="42"/>
      <c r="E4555" s="5" t="str">
        <f t="shared" si="90"/>
        <v>https://www.screener.in/company//consolidated/</v>
      </c>
      <c r="F4555" s="4">
        <v>443059</v>
      </c>
      <c r="G4555" s="4">
        <v>3832241897</v>
      </c>
      <c r="H4555" s="6" t="e">
        <f t="shared" ca="1" si="91"/>
        <v>#VALUE!</v>
      </c>
      <c r="I4555" s="7" t="str">
        <f ca="1">IFERROR(__xludf.DUMMYFUNCTION("IMPORTXML(E4555,""/html/body/main/div[3]/div[3]/div[2]/ul/li[5]/span[2]/span"")"),"Loading...")</f>
        <v>Loading...</v>
      </c>
      <c r="J4555" s="7" t="str">
        <f ca="1">IFERROR(__xludf.DUMMYFUNCTION("GOOGLEFINANCE(""NSE:""&amp;D4555,""marketcap"")"),"#N/A")</f>
        <v>#N/A</v>
      </c>
      <c r="K4555" s="7">
        <v>992.8</v>
      </c>
      <c r="L4555" s="8" t="str">
        <f ca="1">IFERROR(__xludf.DUMMYFUNCTION("GOOGLEFINANCE(""NSE:""&amp;D4555,""price"")"),"#N/A")</f>
        <v>#N/A</v>
      </c>
      <c r="M4555" s="9" t="e">
        <f t="shared" ca="1" si="92"/>
        <v>#VALUE!</v>
      </c>
      <c r="N4555" s="10" t="e">
        <f t="shared" ca="1" si="93"/>
        <v>#VALUE!</v>
      </c>
      <c r="O4555" s="7" t="str">
        <f ca="1">IFERROR(__xludf.DUMMYFUNCTION("GOOGLEFINANCE(""NSE:""&amp;D4555,""pe"")"),"#N/A")</f>
        <v>#N/A</v>
      </c>
      <c r="P4555" s="7" t="str">
        <f ca="1">IFERROR(__xludf.DUMMYFUNCTION("GOOGLEFINANCE(""NSE:""&amp;D4555,""EPS"")"),"#N/A")</f>
        <v>#N/A</v>
      </c>
      <c r="Q4555" s="7">
        <v>13.5</v>
      </c>
      <c r="R4555" s="7" t="str">
        <f ca="1">IFERROR(__xludf.DUMMYFUNCTION("IMPORTXML(E4555,""/html/body/main/div[3]/div[3]/div[2]/ul/li[7]/span[2]/span"")"),"Loading...")</f>
        <v>Loading...</v>
      </c>
      <c r="S4555" s="7" t="str">
        <f ca="1">IFERROR(__xludf.DUMMYFUNCTION("IMPORTXML(E4555,""/html/body/main/div[3]/div[3]/div[2]/ul/li[8]/span[2]/span"")"),"Loading...")</f>
        <v>Loading...</v>
      </c>
      <c r="T4555" s="4">
        <v>34.6</v>
      </c>
      <c r="U4555" s="4">
        <v>22.7</v>
      </c>
      <c r="V4555" s="4">
        <v>2.6</v>
      </c>
      <c r="W4555" s="4">
        <v>5.7</v>
      </c>
      <c r="X4555" s="4">
        <v>519.92999999999995</v>
      </c>
      <c r="Y4555" s="7" t="e">
        <f t="shared" ca="1" si="94"/>
        <v>#VALUE!</v>
      </c>
    </row>
    <row r="4556" spans="1:25" ht="15" x14ac:dyDescent="0.25">
      <c r="A4556" s="4">
        <v>4555</v>
      </c>
      <c r="C4556" s="41" t="s">
        <v>6933</v>
      </c>
      <c r="D4556" s="42"/>
      <c r="E4556" s="5" t="str">
        <f t="shared" si="90"/>
        <v>https://www.screener.in/company//consolidated/</v>
      </c>
      <c r="F4556" s="4">
        <v>443059</v>
      </c>
      <c r="G4556" s="4">
        <v>3832241897</v>
      </c>
      <c r="H4556" s="6" t="e">
        <f t="shared" ca="1" si="91"/>
        <v>#VALUE!</v>
      </c>
      <c r="I4556" s="7" t="str">
        <f ca="1">IFERROR(__xludf.DUMMYFUNCTION("IMPORTXML(E4556,""/html/body/main/div[3]/div[3]/div[2]/ul/li[5]/span[2]/span"")"),"Loading...")</f>
        <v>Loading...</v>
      </c>
      <c r="J4556" s="7" t="str">
        <f ca="1">IFERROR(__xludf.DUMMYFUNCTION("GOOGLEFINANCE(""NSE:""&amp;D4556,""marketcap"")"),"#N/A")</f>
        <v>#N/A</v>
      </c>
      <c r="K4556" s="7">
        <v>992.8</v>
      </c>
      <c r="L4556" s="8" t="str">
        <f ca="1">IFERROR(__xludf.DUMMYFUNCTION("GOOGLEFINANCE(""NSE:""&amp;D4556,""price"")"),"#N/A")</f>
        <v>#N/A</v>
      </c>
      <c r="M4556" s="9" t="e">
        <f t="shared" ca="1" si="92"/>
        <v>#VALUE!</v>
      </c>
      <c r="N4556" s="10" t="e">
        <f t="shared" ca="1" si="93"/>
        <v>#VALUE!</v>
      </c>
      <c r="O4556" s="7" t="str">
        <f ca="1">IFERROR(__xludf.DUMMYFUNCTION("GOOGLEFINANCE(""NSE:""&amp;D4556,""pe"")"),"#N/A")</f>
        <v>#N/A</v>
      </c>
      <c r="P4556" s="7" t="str">
        <f ca="1">IFERROR(__xludf.DUMMYFUNCTION("GOOGLEFINANCE(""NSE:""&amp;D4556,""EPS"")"),"#N/A")</f>
        <v>#N/A</v>
      </c>
      <c r="Q4556" s="7">
        <v>13.5</v>
      </c>
      <c r="R4556" s="7" t="str">
        <f ca="1">IFERROR(__xludf.DUMMYFUNCTION("IMPORTXML(E4556,""/html/body/main/div[3]/div[3]/div[2]/ul/li[7]/span[2]/span"")"),"Loading...")</f>
        <v>Loading...</v>
      </c>
      <c r="S4556" s="7" t="str">
        <f ca="1">IFERROR(__xludf.DUMMYFUNCTION("IMPORTXML(E4556,""/html/body/main/div[3]/div[3]/div[2]/ul/li[8]/span[2]/span"")"),"Loading...")</f>
        <v>Loading...</v>
      </c>
      <c r="T4556" s="4">
        <v>34.6</v>
      </c>
      <c r="U4556" s="4">
        <v>22.7</v>
      </c>
      <c r="V4556" s="4">
        <v>2.6</v>
      </c>
      <c r="W4556" s="4">
        <v>5.7</v>
      </c>
      <c r="X4556" s="4">
        <v>519.92999999999995</v>
      </c>
      <c r="Y4556" s="7" t="e">
        <f t="shared" ca="1" si="94"/>
        <v>#VALUE!</v>
      </c>
    </row>
    <row r="4557" spans="1:25" ht="15" x14ac:dyDescent="0.25">
      <c r="A4557" s="4">
        <v>4556</v>
      </c>
      <c r="C4557" s="41" t="s">
        <v>6934</v>
      </c>
      <c r="D4557" s="42"/>
      <c r="E4557" s="5" t="str">
        <f t="shared" si="90"/>
        <v>https://www.screener.in/company//consolidated/</v>
      </c>
      <c r="F4557" s="4">
        <v>443059</v>
      </c>
      <c r="G4557" s="4">
        <v>3832241897</v>
      </c>
      <c r="H4557" s="6" t="e">
        <f t="shared" ca="1" si="91"/>
        <v>#VALUE!</v>
      </c>
      <c r="I4557" s="7" t="str">
        <f ca="1">IFERROR(__xludf.DUMMYFUNCTION("IMPORTXML(E4557,""/html/body/main/div[3]/div[3]/div[2]/ul/li[5]/span[2]/span"")"),"Loading...")</f>
        <v>Loading...</v>
      </c>
      <c r="J4557" s="7" t="str">
        <f ca="1">IFERROR(__xludf.DUMMYFUNCTION("GOOGLEFINANCE(""NSE:""&amp;D4557,""marketcap"")"),"#N/A")</f>
        <v>#N/A</v>
      </c>
      <c r="K4557" s="7">
        <v>992.8</v>
      </c>
      <c r="L4557" s="8" t="str">
        <f ca="1">IFERROR(__xludf.DUMMYFUNCTION("GOOGLEFINANCE(""NSE:""&amp;D4557,""price"")"),"#N/A")</f>
        <v>#N/A</v>
      </c>
      <c r="M4557" s="9" t="e">
        <f t="shared" ca="1" si="92"/>
        <v>#VALUE!</v>
      </c>
      <c r="N4557" s="10" t="e">
        <f t="shared" ca="1" si="93"/>
        <v>#VALUE!</v>
      </c>
      <c r="O4557" s="7" t="str">
        <f ca="1">IFERROR(__xludf.DUMMYFUNCTION("GOOGLEFINANCE(""NSE:""&amp;D4557,""pe"")"),"#N/A")</f>
        <v>#N/A</v>
      </c>
      <c r="P4557" s="7" t="str">
        <f ca="1">IFERROR(__xludf.DUMMYFUNCTION("GOOGLEFINANCE(""NSE:""&amp;D4557,""EPS"")"),"#N/A")</f>
        <v>#N/A</v>
      </c>
      <c r="Q4557" s="7">
        <v>13.5</v>
      </c>
      <c r="R4557" s="7" t="str">
        <f ca="1">IFERROR(__xludf.DUMMYFUNCTION("IMPORTXML(E4557,""/html/body/main/div[3]/div[3]/div[2]/ul/li[7]/span[2]/span"")"),"Loading...")</f>
        <v>Loading...</v>
      </c>
      <c r="S4557" s="7" t="str">
        <f ca="1">IFERROR(__xludf.DUMMYFUNCTION("IMPORTXML(E4557,""/html/body/main/div[3]/div[3]/div[2]/ul/li[8]/span[2]/span"")"),"Loading...")</f>
        <v>Loading...</v>
      </c>
      <c r="T4557" s="4">
        <v>34.6</v>
      </c>
      <c r="U4557" s="4">
        <v>22.7</v>
      </c>
      <c r="V4557" s="4">
        <v>2.6</v>
      </c>
      <c r="W4557" s="4">
        <v>5.7</v>
      </c>
      <c r="X4557" s="4">
        <v>519.92999999999995</v>
      </c>
      <c r="Y4557" s="7" t="e">
        <f t="shared" ca="1" si="94"/>
        <v>#VALUE!</v>
      </c>
    </row>
    <row r="4558" spans="1:25" ht="15" x14ac:dyDescent="0.25">
      <c r="A4558" s="4">
        <v>4557</v>
      </c>
      <c r="C4558" s="41" t="s">
        <v>6935</v>
      </c>
      <c r="D4558" s="42"/>
      <c r="E4558" s="5" t="str">
        <f t="shared" si="90"/>
        <v>https://www.screener.in/company//consolidated/</v>
      </c>
      <c r="F4558" s="4">
        <v>443059</v>
      </c>
      <c r="G4558" s="4">
        <v>3832241897</v>
      </c>
      <c r="H4558" s="6" t="e">
        <f t="shared" ca="1" si="91"/>
        <v>#VALUE!</v>
      </c>
      <c r="I4558" s="7" t="str">
        <f ca="1">IFERROR(__xludf.DUMMYFUNCTION("IMPORTXML(E4558,""/html/body/main/div[3]/div[3]/div[2]/ul/li[5]/span[2]/span"")"),"Loading...")</f>
        <v>Loading...</v>
      </c>
      <c r="J4558" s="7" t="str">
        <f ca="1">IFERROR(__xludf.DUMMYFUNCTION("GOOGLEFINANCE(""NSE:""&amp;D4558,""marketcap"")"),"#N/A")</f>
        <v>#N/A</v>
      </c>
      <c r="K4558" s="7">
        <v>992.8</v>
      </c>
      <c r="L4558" s="8" t="str">
        <f ca="1">IFERROR(__xludf.DUMMYFUNCTION("GOOGLEFINANCE(""NSE:""&amp;D4558,""price"")"),"#N/A")</f>
        <v>#N/A</v>
      </c>
      <c r="M4558" s="9" t="e">
        <f t="shared" ca="1" si="92"/>
        <v>#VALUE!</v>
      </c>
      <c r="N4558" s="10" t="e">
        <f t="shared" ca="1" si="93"/>
        <v>#VALUE!</v>
      </c>
      <c r="O4558" s="7" t="str">
        <f ca="1">IFERROR(__xludf.DUMMYFUNCTION("GOOGLEFINANCE(""NSE:""&amp;D4558,""pe"")"),"#N/A")</f>
        <v>#N/A</v>
      </c>
      <c r="P4558" s="7" t="str">
        <f ca="1">IFERROR(__xludf.DUMMYFUNCTION("GOOGLEFINANCE(""NSE:""&amp;D4558,""EPS"")"),"#N/A")</f>
        <v>#N/A</v>
      </c>
      <c r="Q4558" s="7">
        <v>13.5</v>
      </c>
      <c r="R4558" s="7" t="str">
        <f ca="1">IFERROR(__xludf.DUMMYFUNCTION("IMPORTXML(E4558,""/html/body/main/div[3]/div[3]/div[2]/ul/li[7]/span[2]/span"")"),"Loading...")</f>
        <v>Loading...</v>
      </c>
      <c r="S4558" s="7" t="str">
        <f ca="1">IFERROR(__xludf.DUMMYFUNCTION("IMPORTXML(E4558,""/html/body/main/div[3]/div[3]/div[2]/ul/li[8]/span[2]/span"")"),"Loading...")</f>
        <v>Loading...</v>
      </c>
      <c r="T4558" s="4">
        <v>34.6</v>
      </c>
      <c r="U4558" s="4">
        <v>22.7</v>
      </c>
      <c r="V4558" s="4">
        <v>2.6</v>
      </c>
      <c r="W4558" s="4">
        <v>5.7</v>
      </c>
      <c r="X4558" s="4">
        <v>519.92999999999995</v>
      </c>
      <c r="Y4558" s="7" t="e">
        <f t="shared" ca="1" si="94"/>
        <v>#VALUE!</v>
      </c>
    </row>
    <row r="4559" spans="1:25" ht="15" x14ac:dyDescent="0.25">
      <c r="A4559" s="4">
        <v>4558</v>
      </c>
      <c r="C4559" s="41" t="s">
        <v>6936</v>
      </c>
      <c r="D4559" s="42"/>
      <c r="E4559" s="5" t="str">
        <f t="shared" si="90"/>
        <v>https://www.screener.in/company//consolidated/</v>
      </c>
      <c r="F4559" s="4">
        <v>443059</v>
      </c>
      <c r="G4559" s="4">
        <v>3832241897</v>
      </c>
      <c r="H4559" s="6" t="e">
        <f t="shared" ca="1" si="91"/>
        <v>#VALUE!</v>
      </c>
      <c r="I4559" s="7" t="str">
        <f ca="1">IFERROR(__xludf.DUMMYFUNCTION("IMPORTXML(E4559,""/html/body/main/div[3]/div[3]/div[2]/ul/li[5]/span[2]/span"")"),"Loading...")</f>
        <v>Loading...</v>
      </c>
      <c r="J4559" s="7" t="str">
        <f ca="1">IFERROR(__xludf.DUMMYFUNCTION("GOOGLEFINANCE(""NSE:""&amp;D4559,""marketcap"")"),"#N/A")</f>
        <v>#N/A</v>
      </c>
      <c r="K4559" s="7">
        <v>992.8</v>
      </c>
      <c r="L4559" s="8" t="str">
        <f ca="1">IFERROR(__xludf.DUMMYFUNCTION("GOOGLEFINANCE(""NSE:""&amp;D4559,""price"")"),"#N/A")</f>
        <v>#N/A</v>
      </c>
      <c r="M4559" s="9" t="e">
        <f t="shared" ca="1" si="92"/>
        <v>#VALUE!</v>
      </c>
      <c r="N4559" s="10" t="e">
        <f t="shared" ca="1" si="93"/>
        <v>#VALUE!</v>
      </c>
      <c r="O4559" s="7" t="str">
        <f ca="1">IFERROR(__xludf.DUMMYFUNCTION("GOOGLEFINANCE(""NSE:""&amp;D4559,""pe"")"),"#N/A")</f>
        <v>#N/A</v>
      </c>
      <c r="P4559" s="7" t="str">
        <f ca="1">IFERROR(__xludf.DUMMYFUNCTION("GOOGLEFINANCE(""NSE:""&amp;D4559,""EPS"")"),"#N/A")</f>
        <v>#N/A</v>
      </c>
      <c r="Q4559" s="7">
        <v>13.5</v>
      </c>
      <c r="R4559" s="7" t="str">
        <f ca="1">IFERROR(__xludf.DUMMYFUNCTION("IMPORTXML(E4559,""/html/body/main/div[3]/div[3]/div[2]/ul/li[7]/span[2]/span"")"),"Loading...")</f>
        <v>Loading...</v>
      </c>
      <c r="S4559" s="7" t="str">
        <f ca="1">IFERROR(__xludf.DUMMYFUNCTION("IMPORTXML(E4559,""/html/body/main/div[3]/div[3]/div[2]/ul/li[8]/span[2]/span"")"),"Loading...")</f>
        <v>Loading...</v>
      </c>
      <c r="T4559" s="4">
        <v>34.6</v>
      </c>
      <c r="U4559" s="4">
        <v>22.7</v>
      </c>
      <c r="V4559" s="4">
        <v>2.6</v>
      </c>
      <c r="W4559" s="4">
        <v>5.7</v>
      </c>
      <c r="X4559" s="4">
        <v>519.92999999999995</v>
      </c>
      <c r="Y4559" s="7" t="e">
        <f t="shared" ca="1" si="94"/>
        <v>#VALUE!</v>
      </c>
    </row>
    <row r="4560" spans="1:25" ht="15" x14ac:dyDescent="0.25">
      <c r="A4560" s="4">
        <v>4559</v>
      </c>
      <c r="C4560" s="12" t="s">
        <v>6937</v>
      </c>
      <c r="D4560" s="37"/>
      <c r="E4560" s="5" t="str">
        <f t="shared" si="90"/>
        <v>https://www.screener.in/company//consolidated/</v>
      </c>
      <c r="F4560" s="4">
        <v>443059</v>
      </c>
      <c r="G4560" s="4">
        <v>3832241897</v>
      </c>
      <c r="H4560" s="6" t="e">
        <f t="shared" ca="1" si="91"/>
        <v>#VALUE!</v>
      </c>
      <c r="I4560" s="7" t="str">
        <f ca="1">IFERROR(__xludf.DUMMYFUNCTION("IMPORTXML(E4560,""/html/body/main/div[3]/div[3]/div[2]/ul/li[5]/span[2]/span"")"),"Loading...")</f>
        <v>Loading...</v>
      </c>
      <c r="J4560" s="7" t="str">
        <f ca="1">IFERROR(__xludf.DUMMYFUNCTION("GOOGLEFINANCE(""NSE:""&amp;D4560,""marketcap"")"),"#N/A")</f>
        <v>#N/A</v>
      </c>
      <c r="K4560" s="7">
        <v>992.8</v>
      </c>
      <c r="L4560" s="8" t="str">
        <f ca="1">IFERROR(__xludf.DUMMYFUNCTION("GOOGLEFINANCE(""NSE:""&amp;D4560,""price"")"),"#N/A")</f>
        <v>#N/A</v>
      </c>
      <c r="M4560" s="9" t="e">
        <f t="shared" ca="1" si="92"/>
        <v>#VALUE!</v>
      </c>
      <c r="N4560" s="10" t="e">
        <f t="shared" ca="1" si="93"/>
        <v>#VALUE!</v>
      </c>
      <c r="O4560" s="7" t="str">
        <f ca="1">IFERROR(__xludf.DUMMYFUNCTION("GOOGLEFINANCE(""NSE:""&amp;D4560,""pe"")"),"#N/A")</f>
        <v>#N/A</v>
      </c>
      <c r="P4560" s="7" t="str">
        <f ca="1">IFERROR(__xludf.DUMMYFUNCTION("GOOGLEFINANCE(""NSE:""&amp;D4560,""EPS"")"),"#N/A")</f>
        <v>#N/A</v>
      </c>
      <c r="Q4560" s="7">
        <v>13.5</v>
      </c>
      <c r="R4560" s="7" t="str">
        <f ca="1">IFERROR(__xludf.DUMMYFUNCTION("IMPORTXML(E4560,""/html/body/main/div[3]/div[3]/div[2]/ul/li[7]/span[2]/span"")"),"Loading...")</f>
        <v>Loading...</v>
      </c>
      <c r="S4560" s="7" t="str">
        <f ca="1">IFERROR(__xludf.DUMMYFUNCTION("IMPORTXML(E4560,""/html/body/main/div[3]/div[3]/div[2]/ul/li[8]/span[2]/span"")"),"Loading...")</f>
        <v>Loading...</v>
      </c>
      <c r="T4560" s="4">
        <v>34.6</v>
      </c>
      <c r="U4560" s="4">
        <v>22.7</v>
      </c>
      <c r="V4560" s="4">
        <v>2.6</v>
      </c>
      <c r="W4560" s="4">
        <v>5.7</v>
      </c>
      <c r="X4560" s="4">
        <v>519.92999999999995</v>
      </c>
      <c r="Y4560" s="7" t="e">
        <f t="shared" ca="1" si="94"/>
        <v>#VALUE!</v>
      </c>
    </row>
    <row r="4561" spans="1:25" ht="15" x14ac:dyDescent="0.25">
      <c r="A4561" s="4">
        <v>4560</v>
      </c>
      <c r="C4561" s="41" t="s">
        <v>6938</v>
      </c>
      <c r="D4561" s="42"/>
      <c r="E4561" s="5" t="str">
        <f t="shared" si="90"/>
        <v>https://www.screener.in/company//consolidated/</v>
      </c>
      <c r="F4561" s="4">
        <v>443059</v>
      </c>
      <c r="G4561" s="4">
        <v>3832241897</v>
      </c>
      <c r="H4561" s="6" t="e">
        <f t="shared" ca="1" si="91"/>
        <v>#VALUE!</v>
      </c>
      <c r="I4561" s="7" t="str">
        <f ca="1">IFERROR(__xludf.DUMMYFUNCTION("IMPORTXML(E4561,""/html/body/main/div[3]/div[3]/div[2]/ul/li[5]/span[2]/span"")"),"Loading...")</f>
        <v>Loading...</v>
      </c>
      <c r="J4561" s="7" t="str">
        <f ca="1">IFERROR(__xludf.DUMMYFUNCTION("GOOGLEFINANCE(""NSE:""&amp;D4561,""marketcap"")"),"#N/A")</f>
        <v>#N/A</v>
      </c>
      <c r="K4561" s="7">
        <v>992.8</v>
      </c>
      <c r="L4561" s="8" t="str">
        <f ca="1">IFERROR(__xludf.DUMMYFUNCTION("GOOGLEFINANCE(""NSE:""&amp;D4561,""price"")"),"#N/A")</f>
        <v>#N/A</v>
      </c>
      <c r="M4561" s="9" t="e">
        <f t="shared" ca="1" si="92"/>
        <v>#VALUE!</v>
      </c>
      <c r="N4561" s="10" t="e">
        <f t="shared" ca="1" si="93"/>
        <v>#VALUE!</v>
      </c>
      <c r="O4561" s="7" t="str">
        <f ca="1">IFERROR(__xludf.DUMMYFUNCTION("GOOGLEFINANCE(""NSE:""&amp;D4561,""pe"")"),"#N/A")</f>
        <v>#N/A</v>
      </c>
      <c r="P4561" s="7" t="str">
        <f ca="1">IFERROR(__xludf.DUMMYFUNCTION("GOOGLEFINANCE(""NSE:""&amp;D4561,""EPS"")"),"#N/A")</f>
        <v>#N/A</v>
      </c>
      <c r="Q4561" s="7">
        <v>13.5</v>
      </c>
      <c r="R4561" s="7" t="str">
        <f ca="1">IFERROR(__xludf.DUMMYFUNCTION("IMPORTXML(E4561,""/html/body/main/div[3]/div[3]/div[2]/ul/li[7]/span[2]/span"")"),"Loading...")</f>
        <v>Loading...</v>
      </c>
      <c r="S4561" s="7" t="str">
        <f ca="1">IFERROR(__xludf.DUMMYFUNCTION("IMPORTXML(E4561,""/html/body/main/div[3]/div[3]/div[2]/ul/li[8]/span[2]/span"")"),"Loading...")</f>
        <v>Loading...</v>
      </c>
      <c r="T4561" s="4">
        <v>34.6</v>
      </c>
      <c r="U4561" s="4">
        <v>22.7</v>
      </c>
      <c r="V4561" s="4">
        <v>2.6</v>
      </c>
      <c r="W4561" s="4">
        <v>5.7</v>
      </c>
      <c r="X4561" s="4">
        <v>519.92999999999995</v>
      </c>
      <c r="Y4561" s="7" t="e">
        <f t="shared" ca="1" si="94"/>
        <v>#VALUE!</v>
      </c>
    </row>
    <row r="4562" spans="1:25" ht="15" x14ac:dyDescent="0.25">
      <c r="A4562" s="4">
        <v>4561</v>
      </c>
      <c r="C4562" s="41" t="s">
        <v>6939</v>
      </c>
      <c r="D4562" s="42"/>
      <c r="E4562" s="5" t="str">
        <f t="shared" si="90"/>
        <v>https://www.screener.in/company//consolidated/</v>
      </c>
      <c r="F4562" s="4">
        <v>443059</v>
      </c>
      <c r="G4562" s="4">
        <v>3832241897</v>
      </c>
      <c r="H4562" s="6" t="e">
        <f t="shared" ca="1" si="91"/>
        <v>#VALUE!</v>
      </c>
      <c r="I4562" s="7" t="str">
        <f ca="1">IFERROR(__xludf.DUMMYFUNCTION("IMPORTXML(E4562,""/html/body/main/div[3]/div[3]/div[2]/ul/li[5]/span[2]/span"")"),"Loading...")</f>
        <v>Loading...</v>
      </c>
      <c r="J4562" s="7" t="str">
        <f ca="1">IFERROR(__xludf.DUMMYFUNCTION("GOOGLEFINANCE(""NSE:""&amp;D4562,""marketcap"")"),"#N/A")</f>
        <v>#N/A</v>
      </c>
      <c r="K4562" s="7">
        <v>992.8</v>
      </c>
      <c r="L4562" s="8" t="str">
        <f ca="1">IFERROR(__xludf.DUMMYFUNCTION("GOOGLEFINANCE(""NSE:""&amp;D4562,""price"")"),"#N/A")</f>
        <v>#N/A</v>
      </c>
      <c r="M4562" s="9" t="e">
        <f t="shared" ca="1" si="92"/>
        <v>#VALUE!</v>
      </c>
      <c r="N4562" s="10" t="e">
        <f t="shared" ca="1" si="93"/>
        <v>#VALUE!</v>
      </c>
      <c r="O4562" s="7" t="str">
        <f ca="1">IFERROR(__xludf.DUMMYFUNCTION("GOOGLEFINANCE(""NSE:""&amp;D4562,""pe"")"),"#N/A")</f>
        <v>#N/A</v>
      </c>
      <c r="P4562" s="7" t="str">
        <f ca="1">IFERROR(__xludf.DUMMYFUNCTION("GOOGLEFINANCE(""NSE:""&amp;D4562,""EPS"")"),"#N/A")</f>
        <v>#N/A</v>
      </c>
      <c r="Q4562" s="7">
        <v>13.5</v>
      </c>
      <c r="R4562" s="7" t="str">
        <f ca="1">IFERROR(__xludf.DUMMYFUNCTION("IMPORTXML(E4562,""/html/body/main/div[3]/div[3]/div[2]/ul/li[7]/span[2]/span"")"),"Loading...")</f>
        <v>Loading...</v>
      </c>
      <c r="S4562" s="7" t="str">
        <f ca="1">IFERROR(__xludf.DUMMYFUNCTION("IMPORTXML(E4562,""/html/body/main/div[3]/div[3]/div[2]/ul/li[8]/span[2]/span"")"),"Loading...")</f>
        <v>Loading...</v>
      </c>
      <c r="T4562" s="4">
        <v>34.6</v>
      </c>
      <c r="U4562" s="4">
        <v>22.7</v>
      </c>
      <c r="V4562" s="4">
        <v>2.6</v>
      </c>
      <c r="W4562" s="4">
        <v>5.7</v>
      </c>
      <c r="X4562" s="4">
        <v>519.92999999999995</v>
      </c>
      <c r="Y4562" s="7" t="e">
        <f t="shared" ca="1" si="94"/>
        <v>#VALUE!</v>
      </c>
    </row>
    <row r="4563" spans="1:25" ht="15" x14ac:dyDescent="0.25">
      <c r="A4563" s="4">
        <v>4562</v>
      </c>
      <c r="C4563" s="41" t="s">
        <v>6940</v>
      </c>
      <c r="D4563" s="42"/>
      <c r="E4563" s="5" t="str">
        <f t="shared" si="90"/>
        <v>https://www.screener.in/company//consolidated/</v>
      </c>
      <c r="F4563" s="4">
        <v>443059</v>
      </c>
      <c r="G4563" s="4">
        <v>3832241897</v>
      </c>
      <c r="H4563" s="6" t="e">
        <f t="shared" ca="1" si="91"/>
        <v>#VALUE!</v>
      </c>
      <c r="I4563" s="7" t="str">
        <f ca="1">IFERROR(__xludf.DUMMYFUNCTION("IMPORTXML(E4563,""/html/body/main/div[3]/div[3]/div[2]/ul/li[5]/span[2]/span"")"),"Loading...")</f>
        <v>Loading...</v>
      </c>
      <c r="J4563" s="7" t="str">
        <f ca="1">IFERROR(__xludf.DUMMYFUNCTION("GOOGLEFINANCE(""NSE:""&amp;D4563,""marketcap"")"),"#N/A")</f>
        <v>#N/A</v>
      </c>
      <c r="K4563" s="7">
        <v>992.8</v>
      </c>
      <c r="L4563" s="8" t="str">
        <f ca="1">IFERROR(__xludf.DUMMYFUNCTION("GOOGLEFINANCE(""NSE:""&amp;D4563,""price"")"),"#N/A")</f>
        <v>#N/A</v>
      </c>
      <c r="M4563" s="9" t="e">
        <f t="shared" ca="1" si="92"/>
        <v>#VALUE!</v>
      </c>
      <c r="N4563" s="10" t="e">
        <f t="shared" ca="1" si="93"/>
        <v>#VALUE!</v>
      </c>
      <c r="O4563" s="7" t="str">
        <f ca="1">IFERROR(__xludf.DUMMYFUNCTION("GOOGLEFINANCE(""NSE:""&amp;D4563,""pe"")"),"#N/A")</f>
        <v>#N/A</v>
      </c>
      <c r="P4563" s="7" t="str">
        <f ca="1">IFERROR(__xludf.DUMMYFUNCTION("GOOGLEFINANCE(""NSE:""&amp;D4563,""EPS"")"),"#N/A")</f>
        <v>#N/A</v>
      </c>
      <c r="Q4563" s="7">
        <v>13.5</v>
      </c>
      <c r="R4563" s="7" t="str">
        <f ca="1">IFERROR(__xludf.DUMMYFUNCTION("IMPORTXML(E4563,""/html/body/main/div[3]/div[3]/div[2]/ul/li[7]/span[2]/span"")"),"Loading...")</f>
        <v>Loading...</v>
      </c>
      <c r="S4563" s="7" t="str">
        <f ca="1">IFERROR(__xludf.DUMMYFUNCTION("IMPORTXML(E4563,""/html/body/main/div[3]/div[3]/div[2]/ul/li[8]/span[2]/span"")"),"Loading...")</f>
        <v>Loading...</v>
      </c>
      <c r="T4563" s="4">
        <v>34.6</v>
      </c>
      <c r="U4563" s="4">
        <v>22.7</v>
      </c>
      <c r="V4563" s="4">
        <v>2.6</v>
      </c>
      <c r="W4563" s="4">
        <v>5.7</v>
      </c>
      <c r="X4563" s="4">
        <v>519.92999999999995</v>
      </c>
      <c r="Y4563" s="7" t="e">
        <f t="shared" ca="1" si="94"/>
        <v>#VALUE!</v>
      </c>
    </row>
    <row r="4564" spans="1:25" ht="15" x14ac:dyDescent="0.25">
      <c r="A4564" s="4">
        <v>4563</v>
      </c>
      <c r="C4564" s="41" t="s">
        <v>6941</v>
      </c>
      <c r="D4564" s="42"/>
      <c r="E4564" s="5" t="str">
        <f t="shared" si="90"/>
        <v>https://www.screener.in/company//consolidated/</v>
      </c>
      <c r="F4564" s="4">
        <v>443059</v>
      </c>
      <c r="G4564" s="4">
        <v>3832241897</v>
      </c>
      <c r="H4564" s="6" t="e">
        <f t="shared" ca="1" si="91"/>
        <v>#VALUE!</v>
      </c>
      <c r="I4564" s="7" t="str">
        <f ca="1">IFERROR(__xludf.DUMMYFUNCTION("IMPORTXML(E4564,""/html/body/main/div[3]/div[3]/div[2]/ul/li[5]/span[2]/span"")"),"Loading...")</f>
        <v>Loading...</v>
      </c>
      <c r="J4564" s="7" t="str">
        <f ca="1">IFERROR(__xludf.DUMMYFUNCTION("GOOGLEFINANCE(""NSE:""&amp;D4564,""marketcap"")"),"#N/A")</f>
        <v>#N/A</v>
      </c>
      <c r="K4564" s="7">
        <v>992.8</v>
      </c>
      <c r="L4564" s="8" t="str">
        <f ca="1">IFERROR(__xludf.DUMMYFUNCTION("GOOGLEFINANCE(""NSE:""&amp;D4564,""price"")"),"#N/A")</f>
        <v>#N/A</v>
      </c>
      <c r="M4564" s="9" t="e">
        <f t="shared" ca="1" si="92"/>
        <v>#VALUE!</v>
      </c>
      <c r="N4564" s="10" t="e">
        <f t="shared" ca="1" si="93"/>
        <v>#VALUE!</v>
      </c>
      <c r="O4564" s="7" t="str">
        <f ca="1">IFERROR(__xludf.DUMMYFUNCTION("GOOGLEFINANCE(""NSE:""&amp;D4564,""pe"")"),"#N/A")</f>
        <v>#N/A</v>
      </c>
      <c r="P4564" s="7" t="str">
        <f ca="1">IFERROR(__xludf.DUMMYFUNCTION("GOOGLEFINANCE(""NSE:""&amp;D4564,""EPS"")"),"#N/A")</f>
        <v>#N/A</v>
      </c>
      <c r="Q4564" s="7">
        <v>13.5</v>
      </c>
      <c r="R4564" s="7" t="str">
        <f ca="1">IFERROR(__xludf.DUMMYFUNCTION("IMPORTXML(E4564,""/html/body/main/div[3]/div[3]/div[2]/ul/li[7]/span[2]/span"")"),"Loading...")</f>
        <v>Loading...</v>
      </c>
      <c r="S4564" s="7" t="str">
        <f ca="1">IFERROR(__xludf.DUMMYFUNCTION("IMPORTXML(E4564,""/html/body/main/div[3]/div[3]/div[2]/ul/li[8]/span[2]/span"")"),"Loading...")</f>
        <v>Loading...</v>
      </c>
      <c r="T4564" s="4">
        <v>34.6</v>
      </c>
      <c r="U4564" s="4">
        <v>22.7</v>
      </c>
      <c r="V4564" s="4">
        <v>2.6</v>
      </c>
      <c r="W4564" s="4">
        <v>5.7</v>
      </c>
      <c r="X4564" s="4">
        <v>519.92999999999995</v>
      </c>
      <c r="Y4564" s="7" t="e">
        <f t="shared" ca="1" si="94"/>
        <v>#VALUE!</v>
      </c>
    </row>
    <row r="4565" spans="1:25" ht="15" x14ac:dyDescent="0.25">
      <c r="A4565" s="4">
        <v>4564</v>
      </c>
      <c r="C4565" s="41" t="s">
        <v>6942</v>
      </c>
      <c r="D4565" s="42"/>
      <c r="E4565" s="5" t="str">
        <f t="shared" si="90"/>
        <v>https://www.screener.in/company//consolidated/</v>
      </c>
      <c r="F4565" s="4">
        <v>443059</v>
      </c>
      <c r="G4565" s="4">
        <v>3832241897</v>
      </c>
      <c r="H4565" s="6" t="e">
        <f t="shared" ca="1" si="91"/>
        <v>#VALUE!</v>
      </c>
      <c r="I4565" s="7" t="str">
        <f ca="1">IFERROR(__xludf.DUMMYFUNCTION("IMPORTXML(E4565,""/html/body/main/div[3]/div[3]/div[2]/ul/li[5]/span[2]/span"")"),"Loading...")</f>
        <v>Loading...</v>
      </c>
      <c r="J4565" s="7" t="str">
        <f ca="1">IFERROR(__xludf.DUMMYFUNCTION("GOOGLEFINANCE(""NSE:""&amp;D4565,""marketcap"")"),"#N/A")</f>
        <v>#N/A</v>
      </c>
      <c r="K4565" s="7">
        <v>992.8</v>
      </c>
      <c r="L4565" s="8" t="str">
        <f ca="1">IFERROR(__xludf.DUMMYFUNCTION("GOOGLEFINANCE(""NSE:""&amp;D4565,""price"")"),"#N/A")</f>
        <v>#N/A</v>
      </c>
      <c r="M4565" s="9" t="e">
        <f t="shared" ca="1" si="92"/>
        <v>#VALUE!</v>
      </c>
      <c r="N4565" s="10" t="e">
        <f t="shared" ca="1" si="93"/>
        <v>#VALUE!</v>
      </c>
      <c r="O4565" s="7" t="str">
        <f ca="1">IFERROR(__xludf.DUMMYFUNCTION("GOOGLEFINANCE(""NSE:""&amp;D4565,""pe"")"),"#N/A")</f>
        <v>#N/A</v>
      </c>
      <c r="P4565" s="7" t="str">
        <f ca="1">IFERROR(__xludf.DUMMYFUNCTION("GOOGLEFINANCE(""NSE:""&amp;D4565,""EPS"")"),"#N/A")</f>
        <v>#N/A</v>
      </c>
      <c r="Q4565" s="7">
        <v>13.5</v>
      </c>
      <c r="R4565" s="7" t="str">
        <f ca="1">IFERROR(__xludf.DUMMYFUNCTION("IMPORTXML(E4565,""/html/body/main/div[3]/div[3]/div[2]/ul/li[7]/span[2]/span"")"),"Loading...")</f>
        <v>Loading...</v>
      </c>
      <c r="S4565" s="7" t="str">
        <f ca="1">IFERROR(__xludf.DUMMYFUNCTION("IMPORTXML(E4565,""/html/body/main/div[3]/div[3]/div[2]/ul/li[8]/span[2]/span"")"),"Loading...")</f>
        <v>Loading...</v>
      </c>
      <c r="T4565" s="4">
        <v>34.6</v>
      </c>
      <c r="U4565" s="4">
        <v>22.7</v>
      </c>
      <c r="V4565" s="4">
        <v>2.6</v>
      </c>
      <c r="W4565" s="4">
        <v>5.7</v>
      </c>
      <c r="X4565" s="4">
        <v>519.92999999999995</v>
      </c>
      <c r="Y4565" s="7" t="e">
        <f t="shared" ca="1" si="94"/>
        <v>#VALUE!</v>
      </c>
    </row>
    <row r="4566" spans="1:25" ht="15" x14ac:dyDescent="0.25">
      <c r="A4566" s="4">
        <v>4565</v>
      </c>
      <c r="C4566" s="41" t="s">
        <v>6943</v>
      </c>
      <c r="D4566" s="42"/>
      <c r="E4566" s="5" t="str">
        <f t="shared" si="90"/>
        <v>https://www.screener.in/company//consolidated/</v>
      </c>
      <c r="F4566" s="4">
        <v>443059</v>
      </c>
      <c r="G4566" s="4">
        <v>3832241897</v>
      </c>
      <c r="H4566" s="6" t="e">
        <f t="shared" ca="1" si="91"/>
        <v>#VALUE!</v>
      </c>
      <c r="I4566" s="7" t="str">
        <f ca="1">IFERROR(__xludf.DUMMYFUNCTION("IMPORTXML(E4566,""/html/body/main/div[3]/div[3]/div[2]/ul/li[5]/span[2]/span"")"),"Loading...")</f>
        <v>Loading...</v>
      </c>
      <c r="J4566" s="7" t="str">
        <f ca="1">IFERROR(__xludf.DUMMYFUNCTION("GOOGLEFINANCE(""NSE:""&amp;D4566,""marketcap"")"),"#N/A")</f>
        <v>#N/A</v>
      </c>
      <c r="K4566" s="7">
        <v>992.8</v>
      </c>
      <c r="L4566" s="8" t="str">
        <f ca="1">IFERROR(__xludf.DUMMYFUNCTION("GOOGLEFINANCE(""NSE:""&amp;D4566,""price"")"),"#N/A")</f>
        <v>#N/A</v>
      </c>
      <c r="M4566" s="9" t="e">
        <f t="shared" ca="1" si="92"/>
        <v>#VALUE!</v>
      </c>
      <c r="N4566" s="10" t="e">
        <f t="shared" ca="1" si="93"/>
        <v>#VALUE!</v>
      </c>
      <c r="O4566" s="7" t="str">
        <f ca="1">IFERROR(__xludf.DUMMYFUNCTION("GOOGLEFINANCE(""NSE:""&amp;D4566,""pe"")"),"#N/A")</f>
        <v>#N/A</v>
      </c>
      <c r="P4566" s="7" t="str">
        <f ca="1">IFERROR(__xludf.DUMMYFUNCTION("GOOGLEFINANCE(""NSE:""&amp;D4566,""EPS"")"),"#N/A")</f>
        <v>#N/A</v>
      </c>
      <c r="Q4566" s="7">
        <v>13.5</v>
      </c>
      <c r="R4566" s="7" t="str">
        <f ca="1">IFERROR(__xludf.DUMMYFUNCTION("IMPORTXML(E4566,""/html/body/main/div[3]/div[3]/div[2]/ul/li[7]/span[2]/span"")"),"Loading...")</f>
        <v>Loading...</v>
      </c>
      <c r="S4566" s="7" t="str">
        <f ca="1">IFERROR(__xludf.DUMMYFUNCTION("IMPORTXML(E4566,""/html/body/main/div[3]/div[3]/div[2]/ul/li[8]/span[2]/span"")"),"Loading...")</f>
        <v>Loading...</v>
      </c>
      <c r="T4566" s="4">
        <v>34.6</v>
      </c>
      <c r="U4566" s="4">
        <v>22.7</v>
      </c>
      <c r="V4566" s="4">
        <v>2.6</v>
      </c>
      <c r="W4566" s="4">
        <v>5.7</v>
      </c>
      <c r="X4566" s="4">
        <v>519.92999999999995</v>
      </c>
      <c r="Y4566" s="7" t="e">
        <f t="shared" ca="1" si="94"/>
        <v>#VALUE!</v>
      </c>
    </row>
    <row r="4567" spans="1:25" ht="15" x14ac:dyDescent="0.25">
      <c r="A4567" s="4">
        <v>4566</v>
      </c>
      <c r="C4567" s="41" t="s">
        <v>6944</v>
      </c>
      <c r="D4567" s="42"/>
      <c r="E4567" s="5" t="str">
        <f t="shared" si="90"/>
        <v>https://www.screener.in/company//consolidated/</v>
      </c>
      <c r="F4567" s="4">
        <v>443059</v>
      </c>
      <c r="G4567" s="4">
        <v>3832241897</v>
      </c>
      <c r="H4567" s="6" t="e">
        <f t="shared" ca="1" si="91"/>
        <v>#VALUE!</v>
      </c>
      <c r="I4567" s="7" t="str">
        <f ca="1">IFERROR(__xludf.DUMMYFUNCTION("IMPORTXML(E4567,""/html/body/main/div[3]/div[3]/div[2]/ul/li[5]/span[2]/span"")"),"Loading...")</f>
        <v>Loading...</v>
      </c>
      <c r="J4567" s="7" t="str">
        <f ca="1">IFERROR(__xludf.DUMMYFUNCTION("GOOGLEFINANCE(""NSE:""&amp;D4567,""marketcap"")"),"#N/A")</f>
        <v>#N/A</v>
      </c>
      <c r="K4567" s="7">
        <v>992.8</v>
      </c>
      <c r="L4567" s="8" t="str">
        <f ca="1">IFERROR(__xludf.DUMMYFUNCTION("GOOGLEFINANCE(""NSE:""&amp;D4567,""price"")"),"#N/A")</f>
        <v>#N/A</v>
      </c>
      <c r="M4567" s="9" t="e">
        <f t="shared" ca="1" si="92"/>
        <v>#VALUE!</v>
      </c>
      <c r="N4567" s="10" t="e">
        <f t="shared" ca="1" si="93"/>
        <v>#VALUE!</v>
      </c>
      <c r="O4567" s="7" t="str">
        <f ca="1">IFERROR(__xludf.DUMMYFUNCTION("GOOGLEFINANCE(""NSE:""&amp;D4567,""pe"")"),"#N/A")</f>
        <v>#N/A</v>
      </c>
      <c r="P4567" s="7" t="str">
        <f ca="1">IFERROR(__xludf.DUMMYFUNCTION("GOOGLEFINANCE(""NSE:""&amp;D4567,""EPS"")"),"#N/A")</f>
        <v>#N/A</v>
      </c>
      <c r="Q4567" s="7">
        <v>13.5</v>
      </c>
      <c r="R4567" s="7" t="str">
        <f ca="1">IFERROR(__xludf.DUMMYFUNCTION("IMPORTXML(E4567,""/html/body/main/div[3]/div[3]/div[2]/ul/li[7]/span[2]/span"")"),"Loading...")</f>
        <v>Loading...</v>
      </c>
      <c r="S4567" s="7" t="str">
        <f ca="1">IFERROR(__xludf.DUMMYFUNCTION("IMPORTXML(E4567,""/html/body/main/div[3]/div[3]/div[2]/ul/li[8]/span[2]/span"")"),"Loading...")</f>
        <v>Loading...</v>
      </c>
      <c r="T4567" s="4">
        <v>34.6</v>
      </c>
      <c r="U4567" s="4">
        <v>22.7</v>
      </c>
      <c r="V4567" s="4">
        <v>2.6</v>
      </c>
      <c r="W4567" s="4">
        <v>5.7</v>
      </c>
      <c r="X4567" s="4">
        <v>519.92999999999995</v>
      </c>
      <c r="Y4567" s="7" t="e">
        <f t="shared" ca="1" si="94"/>
        <v>#VALUE!</v>
      </c>
    </row>
    <row r="4568" spans="1:25" ht="15" x14ac:dyDescent="0.25">
      <c r="A4568" s="4">
        <v>4567</v>
      </c>
      <c r="C4568" s="41" t="s">
        <v>6945</v>
      </c>
      <c r="D4568" s="42"/>
      <c r="E4568" s="5" t="str">
        <f t="shared" si="90"/>
        <v>https://www.screener.in/company//consolidated/</v>
      </c>
      <c r="F4568" s="4">
        <v>443059</v>
      </c>
      <c r="G4568" s="4">
        <v>3832241897</v>
      </c>
      <c r="H4568" s="6" t="e">
        <f t="shared" ca="1" si="91"/>
        <v>#VALUE!</v>
      </c>
      <c r="I4568" s="7" t="str">
        <f ca="1">IFERROR(__xludf.DUMMYFUNCTION("IMPORTXML(E4568,""/html/body/main/div[3]/div[3]/div[2]/ul/li[5]/span[2]/span"")"),"Loading...")</f>
        <v>Loading...</v>
      </c>
      <c r="J4568" s="7" t="str">
        <f ca="1">IFERROR(__xludf.DUMMYFUNCTION("GOOGLEFINANCE(""NSE:""&amp;D4568,""marketcap"")"),"#N/A")</f>
        <v>#N/A</v>
      </c>
      <c r="K4568" s="7">
        <v>992.8</v>
      </c>
      <c r="L4568" s="8" t="str">
        <f ca="1">IFERROR(__xludf.DUMMYFUNCTION("GOOGLEFINANCE(""NSE:""&amp;D4568,""price"")"),"#N/A")</f>
        <v>#N/A</v>
      </c>
      <c r="M4568" s="9" t="e">
        <f t="shared" ca="1" si="92"/>
        <v>#VALUE!</v>
      </c>
      <c r="N4568" s="10" t="e">
        <f t="shared" ca="1" si="93"/>
        <v>#VALUE!</v>
      </c>
      <c r="O4568" s="7" t="str">
        <f ca="1">IFERROR(__xludf.DUMMYFUNCTION("GOOGLEFINANCE(""NSE:""&amp;D4568,""pe"")"),"#N/A")</f>
        <v>#N/A</v>
      </c>
      <c r="P4568" s="7" t="str">
        <f ca="1">IFERROR(__xludf.DUMMYFUNCTION("GOOGLEFINANCE(""NSE:""&amp;D4568,""EPS"")"),"#N/A")</f>
        <v>#N/A</v>
      </c>
      <c r="Q4568" s="7">
        <v>13.5</v>
      </c>
      <c r="R4568" s="7" t="str">
        <f ca="1">IFERROR(__xludf.DUMMYFUNCTION("IMPORTXML(E4568,""/html/body/main/div[3]/div[3]/div[2]/ul/li[7]/span[2]/span"")"),"Loading...")</f>
        <v>Loading...</v>
      </c>
      <c r="S4568" s="7" t="str">
        <f ca="1">IFERROR(__xludf.DUMMYFUNCTION("IMPORTXML(E4568,""/html/body/main/div[3]/div[3]/div[2]/ul/li[8]/span[2]/span"")"),"Loading...")</f>
        <v>Loading...</v>
      </c>
      <c r="T4568" s="4">
        <v>34.6</v>
      </c>
      <c r="U4568" s="4">
        <v>22.7</v>
      </c>
      <c r="V4568" s="4">
        <v>2.6</v>
      </c>
      <c r="W4568" s="4">
        <v>5.7</v>
      </c>
      <c r="X4568" s="4">
        <v>519.92999999999995</v>
      </c>
      <c r="Y4568" s="7" t="e">
        <f t="shared" ca="1" si="94"/>
        <v>#VALUE!</v>
      </c>
    </row>
    <row r="4569" spans="1:25" ht="15" x14ac:dyDescent="0.25">
      <c r="A4569" s="4">
        <v>4568</v>
      </c>
      <c r="C4569" s="41" t="s">
        <v>6946</v>
      </c>
      <c r="D4569" s="42"/>
      <c r="E4569" s="5" t="str">
        <f t="shared" si="90"/>
        <v>https://www.screener.in/company//consolidated/</v>
      </c>
      <c r="F4569" s="4">
        <v>443059</v>
      </c>
      <c r="G4569" s="4">
        <v>3832241897</v>
      </c>
      <c r="H4569" s="6" t="e">
        <f t="shared" ca="1" si="91"/>
        <v>#VALUE!</v>
      </c>
      <c r="I4569" s="7" t="str">
        <f ca="1">IFERROR(__xludf.DUMMYFUNCTION("IMPORTXML(E4569,""/html/body/main/div[3]/div[3]/div[2]/ul/li[5]/span[2]/span"")"),"Loading...")</f>
        <v>Loading...</v>
      </c>
      <c r="J4569" s="7" t="str">
        <f ca="1">IFERROR(__xludf.DUMMYFUNCTION("GOOGLEFINANCE(""NSE:""&amp;D4569,""marketcap"")"),"#N/A")</f>
        <v>#N/A</v>
      </c>
      <c r="K4569" s="7">
        <v>992.8</v>
      </c>
      <c r="L4569" s="8" t="str">
        <f ca="1">IFERROR(__xludf.DUMMYFUNCTION("GOOGLEFINANCE(""NSE:""&amp;D4569,""price"")"),"#N/A")</f>
        <v>#N/A</v>
      </c>
      <c r="M4569" s="9" t="e">
        <f t="shared" ca="1" si="92"/>
        <v>#VALUE!</v>
      </c>
      <c r="N4569" s="10" t="e">
        <f t="shared" ca="1" si="93"/>
        <v>#VALUE!</v>
      </c>
      <c r="O4569" s="7" t="str">
        <f ca="1">IFERROR(__xludf.DUMMYFUNCTION("GOOGLEFINANCE(""NSE:""&amp;D4569,""pe"")"),"#N/A")</f>
        <v>#N/A</v>
      </c>
      <c r="P4569" s="7" t="str">
        <f ca="1">IFERROR(__xludf.DUMMYFUNCTION("GOOGLEFINANCE(""NSE:""&amp;D4569,""EPS"")"),"#N/A")</f>
        <v>#N/A</v>
      </c>
      <c r="Q4569" s="7">
        <v>13.5</v>
      </c>
      <c r="R4569" s="7" t="str">
        <f ca="1">IFERROR(__xludf.DUMMYFUNCTION("IMPORTXML(E4569,""/html/body/main/div[3]/div[3]/div[2]/ul/li[7]/span[2]/span"")"),"Loading...")</f>
        <v>Loading...</v>
      </c>
      <c r="S4569" s="7" t="str">
        <f ca="1">IFERROR(__xludf.DUMMYFUNCTION("IMPORTXML(E4569,""/html/body/main/div[3]/div[3]/div[2]/ul/li[8]/span[2]/span"")"),"Loading...")</f>
        <v>Loading...</v>
      </c>
      <c r="T4569" s="4">
        <v>34.6</v>
      </c>
      <c r="U4569" s="4">
        <v>22.7</v>
      </c>
      <c r="V4569" s="4">
        <v>2.6</v>
      </c>
      <c r="W4569" s="4">
        <v>5.7</v>
      </c>
      <c r="X4569" s="4">
        <v>519.92999999999995</v>
      </c>
      <c r="Y4569" s="7" t="e">
        <f t="shared" ca="1" si="94"/>
        <v>#VALUE!</v>
      </c>
    </row>
    <row r="4570" spans="1:25" ht="15" x14ac:dyDescent="0.25">
      <c r="A4570" s="4">
        <v>4569</v>
      </c>
      <c r="C4570" s="41" t="s">
        <v>6947</v>
      </c>
      <c r="D4570" s="42"/>
      <c r="E4570" s="5" t="str">
        <f t="shared" si="90"/>
        <v>https://www.screener.in/company//consolidated/</v>
      </c>
      <c r="F4570" s="4">
        <v>443059</v>
      </c>
      <c r="G4570" s="4">
        <v>3832241897</v>
      </c>
      <c r="H4570" s="6" t="e">
        <f t="shared" ca="1" si="91"/>
        <v>#VALUE!</v>
      </c>
      <c r="I4570" s="7" t="str">
        <f ca="1">IFERROR(__xludf.DUMMYFUNCTION("IMPORTXML(E4570,""/html/body/main/div[3]/div[3]/div[2]/ul/li[5]/span[2]/span"")"),"Loading...")</f>
        <v>Loading...</v>
      </c>
      <c r="J4570" s="7" t="str">
        <f ca="1">IFERROR(__xludf.DUMMYFUNCTION("GOOGLEFINANCE(""NSE:""&amp;D4570,""marketcap"")"),"#N/A")</f>
        <v>#N/A</v>
      </c>
      <c r="K4570" s="7">
        <v>992.8</v>
      </c>
      <c r="L4570" s="8" t="str">
        <f ca="1">IFERROR(__xludf.DUMMYFUNCTION("GOOGLEFINANCE(""NSE:""&amp;D4570,""price"")"),"#N/A")</f>
        <v>#N/A</v>
      </c>
      <c r="M4570" s="9" t="e">
        <f t="shared" ca="1" si="92"/>
        <v>#VALUE!</v>
      </c>
      <c r="N4570" s="10" t="e">
        <f t="shared" ca="1" si="93"/>
        <v>#VALUE!</v>
      </c>
      <c r="O4570" s="7" t="str">
        <f ca="1">IFERROR(__xludf.DUMMYFUNCTION("GOOGLEFINANCE(""NSE:""&amp;D4570,""pe"")"),"#N/A")</f>
        <v>#N/A</v>
      </c>
      <c r="P4570" s="7" t="str">
        <f ca="1">IFERROR(__xludf.DUMMYFUNCTION("GOOGLEFINANCE(""NSE:""&amp;D4570,""EPS"")"),"#N/A")</f>
        <v>#N/A</v>
      </c>
      <c r="Q4570" s="7">
        <v>13.5</v>
      </c>
      <c r="R4570" s="7" t="str">
        <f ca="1">IFERROR(__xludf.DUMMYFUNCTION("IMPORTXML(E4570,""/html/body/main/div[3]/div[3]/div[2]/ul/li[7]/span[2]/span"")"),"Loading...")</f>
        <v>Loading...</v>
      </c>
      <c r="S4570" s="7" t="str">
        <f ca="1">IFERROR(__xludf.DUMMYFUNCTION("IMPORTXML(E4570,""/html/body/main/div[3]/div[3]/div[2]/ul/li[8]/span[2]/span"")"),"Loading...")</f>
        <v>Loading...</v>
      </c>
      <c r="T4570" s="4">
        <v>34.6</v>
      </c>
      <c r="U4570" s="4">
        <v>22.7</v>
      </c>
      <c r="V4570" s="4">
        <v>2.6</v>
      </c>
      <c r="W4570" s="4">
        <v>5.7</v>
      </c>
      <c r="X4570" s="4">
        <v>519.92999999999995</v>
      </c>
      <c r="Y4570" s="7" t="e">
        <f t="shared" ca="1" si="94"/>
        <v>#VALUE!</v>
      </c>
    </row>
    <row r="4571" spans="1:25" ht="15" x14ac:dyDescent="0.25">
      <c r="A4571" s="4">
        <v>4570</v>
      </c>
      <c r="C4571" s="41" t="s">
        <v>6948</v>
      </c>
      <c r="D4571" s="42"/>
      <c r="E4571" s="5" t="str">
        <f t="shared" si="90"/>
        <v>https://www.screener.in/company//consolidated/</v>
      </c>
      <c r="F4571" s="4">
        <v>443059</v>
      </c>
      <c r="G4571" s="4">
        <v>3832241897</v>
      </c>
      <c r="H4571" s="6" t="e">
        <f t="shared" ca="1" si="91"/>
        <v>#VALUE!</v>
      </c>
      <c r="I4571" s="7" t="str">
        <f ca="1">IFERROR(__xludf.DUMMYFUNCTION("IMPORTXML(E4571,""/html/body/main/div[3]/div[3]/div[2]/ul/li[5]/span[2]/span"")"),"Loading...")</f>
        <v>Loading...</v>
      </c>
      <c r="J4571" s="7" t="str">
        <f ca="1">IFERROR(__xludf.DUMMYFUNCTION("GOOGLEFINANCE(""NSE:""&amp;D4571,""marketcap"")"),"#N/A")</f>
        <v>#N/A</v>
      </c>
      <c r="K4571" s="7">
        <v>992.8</v>
      </c>
      <c r="L4571" s="8" t="str">
        <f ca="1">IFERROR(__xludf.DUMMYFUNCTION("GOOGLEFINANCE(""NSE:""&amp;D4571,""price"")"),"#N/A")</f>
        <v>#N/A</v>
      </c>
      <c r="M4571" s="9" t="e">
        <f t="shared" ca="1" si="92"/>
        <v>#VALUE!</v>
      </c>
      <c r="N4571" s="10" t="e">
        <f t="shared" ca="1" si="93"/>
        <v>#VALUE!</v>
      </c>
      <c r="O4571" s="7" t="str">
        <f ca="1">IFERROR(__xludf.DUMMYFUNCTION("GOOGLEFINANCE(""NSE:""&amp;D4571,""pe"")"),"#N/A")</f>
        <v>#N/A</v>
      </c>
      <c r="P4571" s="7" t="str">
        <f ca="1">IFERROR(__xludf.DUMMYFUNCTION("GOOGLEFINANCE(""NSE:""&amp;D4571,""EPS"")"),"#N/A")</f>
        <v>#N/A</v>
      </c>
      <c r="Q4571" s="7">
        <v>13.5</v>
      </c>
      <c r="R4571" s="7" t="str">
        <f ca="1">IFERROR(__xludf.DUMMYFUNCTION("IMPORTXML(E4571,""/html/body/main/div[3]/div[3]/div[2]/ul/li[7]/span[2]/span"")"),"Loading...")</f>
        <v>Loading...</v>
      </c>
      <c r="S4571" s="7" t="str">
        <f ca="1">IFERROR(__xludf.DUMMYFUNCTION("IMPORTXML(E4571,""/html/body/main/div[3]/div[3]/div[2]/ul/li[8]/span[2]/span"")"),"Loading...")</f>
        <v>Loading...</v>
      </c>
      <c r="T4571" s="4">
        <v>34.6</v>
      </c>
      <c r="U4571" s="4">
        <v>22.7</v>
      </c>
      <c r="V4571" s="4">
        <v>2.6</v>
      </c>
      <c r="W4571" s="4">
        <v>5.7</v>
      </c>
      <c r="X4571" s="4">
        <v>519.92999999999995</v>
      </c>
      <c r="Y4571" s="7" t="e">
        <f t="shared" ca="1" si="94"/>
        <v>#VALUE!</v>
      </c>
    </row>
    <row r="4572" spans="1:25" ht="15" x14ac:dyDescent="0.25">
      <c r="A4572" s="4">
        <v>4571</v>
      </c>
      <c r="C4572" s="41" t="s">
        <v>6949</v>
      </c>
      <c r="D4572" s="42"/>
      <c r="E4572" s="5" t="str">
        <f t="shared" si="90"/>
        <v>https://www.screener.in/company//consolidated/</v>
      </c>
      <c r="F4572" s="4">
        <v>443059</v>
      </c>
      <c r="G4572" s="4">
        <v>3832241897</v>
      </c>
      <c r="H4572" s="6" t="e">
        <f t="shared" ca="1" si="91"/>
        <v>#VALUE!</v>
      </c>
      <c r="I4572" s="7" t="str">
        <f ca="1">IFERROR(__xludf.DUMMYFUNCTION("IMPORTXML(E4572,""/html/body/main/div[3]/div[3]/div[2]/ul/li[5]/span[2]/span"")"),"Loading...")</f>
        <v>Loading...</v>
      </c>
      <c r="J4572" s="7" t="str">
        <f ca="1">IFERROR(__xludf.DUMMYFUNCTION("GOOGLEFINANCE(""NSE:""&amp;D4572,""marketcap"")"),"#N/A")</f>
        <v>#N/A</v>
      </c>
      <c r="K4572" s="7">
        <v>992.8</v>
      </c>
      <c r="L4572" s="8" t="str">
        <f ca="1">IFERROR(__xludf.DUMMYFUNCTION("GOOGLEFINANCE(""NSE:""&amp;D4572,""price"")"),"#N/A")</f>
        <v>#N/A</v>
      </c>
      <c r="M4572" s="9" t="e">
        <f t="shared" ca="1" si="92"/>
        <v>#VALUE!</v>
      </c>
      <c r="N4572" s="10" t="e">
        <f t="shared" ca="1" si="93"/>
        <v>#VALUE!</v>
      </c>
      <c r="O4572" s="7" t="str">
        <f ca="1">IFERROR(__xludf.DUMMYFUNCTION("GOOGLEFINANCE(""NSE:""&amp;D4572,""pe"")"),"#N/A")</f>
        <v>#N/A</v>
      </c>
      <c r="P4572" s="7" t="str">
        <f ca="1">IFERROR(__xludf.DUMMYFUNCTION("GOOGLEFINANCE(""NSE:""&amp;D4572,""EPS"")"),"#N/A")</f>
        <v>#N/A</v>
      </c>
      <c r="Q4572" s="7">
        <v>13.5</v>
      </c>
      <c r="R4572" s="7" t="str">
        <f ca="1">IFERROR(__xludf.DUMMYFUNCTION("IMPORTXML(E4572,""/html/body/main/div[3]/div[3]/div[2]/ul/li[7]/span[2]/span"")"),"Loading...")</f>
        <v>Loading...</v>
      </c>
      <c r="S4572" s="7" t="str">
        <f ca="1">IFERROR(__xludf.DUMMYFUNCTION("IMPORTXML(E4572,""/html/body/main/div[3]/div[3]/div[2]/ul/li[8]/span[2]/span"")"),"Loading...")</f>
        <v>Loading...</v>
      </c>
      <c r="T4572" s="4">
        <v>34.6</v>
      </c>
      <c r="U4572" s="4">
        <v>22.7</v>
      </c>
      <c r="V4572" s="4">
        <v>2.6</v>
      </c>
      <c r="W4572" s="4">
        <v>5.7</v>
      </c>
      <c r="X4572" s="4">
        <v>519.92999999999995</v>
      </c>
      <c r="Y4572" s="7" t="e">
        <f t="shared" ca="1" si="94"/>
        <v>#VALUE!</v>
      </c>
    </row>
    <row r="4573" spans="1:25" ht="15" x14ac:dyDescent="0.25">
      <c r="A4573" s="4">
        <v>4572</v>
      </c>
      <c r="C4573" s="41" t="s">
        <v>6950</v>
      </c>
      <c r="D4573" s="42"/>
      <c r="E4573" s="5" t="str">
        <f t="shared" si="90"/>
        <v>https://www.screener.in/company//consolidated/</v>
      </c>
      <c r="F4573" s="4">
        <v>443059</v>
      </c>
      <c r="G4573" s="4">
        <v>3832241897</v>
      </c>
      <c r="H4573" s="6" t="e">
        <f t="shared" ca="1" si="91"/>
        <v>#VALUE!</v>
      </c>
      <c r="I4573" s="7" t="str">
        <f ca="1">IFERROR(__xludf.DUMMYFUNCTION("IMPORTXML(E4573,""/html/body/main/div[3]/div[3]/div[2]/ul/li[5]/span[2]/span"")"),"Loading...")</f>
        <v>Loading...</v>
      </c>
      <c r="J4573" s="7" t="str">
        <f ca="1">IFERROR(__xludf.DUMMYFUNCTION("GOOGLEFINANCE(""NSE:""&amp;D4573,""marketcap"")"),"#N/A")</f>
        <v>#N/A</v>
      </c>
      <c r="K4573" s="7">
        <v>992.8</v>
      </c>
      <c r="L4573" s="8" t="str">
        <f ca="1">IFERROR(__xludf.DUMMYFUNCTION("GOOGLEFINANCE(""NSE:""&amp;D4573,""price"")"),"#N/A")</f>
        <v>#N/A</v>
      </c>
      <c r="M4573" s="9" t="e">
        <f t="shared" ca="1" si="92"/>
        <v>#VALUE!</v>
      </c>
      <c r="N4573" s="10" t="e">
        <f t="shared" ca="1" si="93"/>
        <v>#VALUE!</v>
      </c>
      <c r="O4573" s="7" t="str">
        <f ca="1">IFERROR(__xludf.DUMMYFUNCTION("GOOGLEFINANCE(""NSE:""&amp;D4573,""pe"")"),"#N/A")</f>
        <v>#N/A</v>
      </c>
      <c r="P4573" s="7" t="str">
        <f ca="1">IFERROR(__xludf.DUMMYFUNCTION("GOOGLEFINANCE(""NSE:""&amp;D4573,""EPS"")"),"#N/A")</f>
        <v>#N/A</v>
      </c>
      <c r="Q4573" s="7">
        <v>13.5</v>
      </c>
      <c r="R4573" s="7" t="str">
        <f ca="1">IFERROR(__xludf.DUMMYFUNCTION("IMPORTXML(E4573,""/html/body/main/div[3]/div[3]/div[2]/ul/li[7]/span[2]/span"")"),"Loading...")</f>
        <v>Loading...</v>
      </c>
      <c r="S4573" s="7" t="str">
        <f ca="1">IFERROR(__xludf.DUMMYFUNCTION("IMPORTXML(E4573,""/html/body/main/div[3]/div[3]/div[2]/ul/li[8]/span[2]/span"")"),"Loading...")</f>
        <v>Loading...</v>
      </c>
      <c r="T4573" s="4">
        <v>34.6</v>
      </c>
      <c r="U4573" s="4">
        <v>22.7</v>
      </c>
      <c r="V4573" s="4">
        <v>2.6</v>
      </c>
      <c r="W4573" s="4">
        <v>5.7</v>
      </c>
      <c r="X4573" s="4">
        <v>519.92999999999995</v>
      </c>
      <c r="Y4573" s="7" t="e">
        <f t="shared" ca="1" si="94"/>
        <v>#VALUE!</v>
      </c>
    </row>
    <row r="4574" spans="1:25" ht="15" x14ac:dyDescent="0.25">
      <c r="A4574" s="4">
        <v>4573</v>
      </c>
      <c r="C4574" s="41" t="s">
        <v>6951</v>
      </c>
      <c r="D4574" s="42"/>
      <c r="E4574" s="5" t="str">
        <f t="shared" si="90"/>
        <v>https://www.screener.in/company//consolidated/</v>
      </c>
      <c r="F4574" s="4">
        <v>443059</v>
      </c>
      <c r="G4574" s="4">
        <v>3832241897</v>
      </c>
      <c r="H4574" s="6" t="e">
        <f t="shared" ca="1" si="91"/>
        <v>#VALUE!</v>
      </c>
      <c r="I4574" s="7" t="str">
        <f ca="1">IFERROR(__xludf.DUMMYFUNCTION("IMPORTXML(E4574,""/html/body/main/div[3]/div[3]/div[2]/ul/li[5]/span[2]/span"")"),"Loading...")</f>
        <v>Loading...</v>
      </c>
      <c r="J4574" s="7" t="str">
        <f ca="1">IFERROR(__xludf.DUMMYFUNCTION("GOOGLEFINANCE(""NSE:""&amp;D4574,""marketcap"")"),"#N/A")</f>
        <v>#N/A</v>
      </c>
      <c r="K4574" s="7">
        <v>992.8</v>
      </c>
      <c r="L4574" s="8" t="str">
        <f ca="1">IFERROR(__xludf.DUMMYFUNCTION("GOOGLEFINANCE(""NSE:""&amp;D4574,""price"")"),"#N/A")</f>
        <v>#N/A</v>
      </c>
      <c r="M4574" s="9" t="e">
        <f t="shared" ca="1" si="92"/>
        <v>#VALUE!</v>
      </c>
      <c r="N4574" s="10" t="e">
        <f t="shared" ca="1" si="93"/>
        <v>#VALUE!</v>
      </c>
      <c r="O4574" s="7" t="str">
        <f ca="1">IFERROR(__xludf.DUMMYFUNCTION("GOOGLEFINANCE(""NSE:""&amp;D4574,""pe"")"),"#N/A")</f>
        <v>#N/A</v>
      </c>
      <c r="P4574" s="7" t="str">
        <f ca="1">IFERROR(__xludf.DUMMYFUNCTION("GOOGLEFINANCE(""NSE:""&amp;D4574,""EPS"")"),"#N/A")</f>
        <v>#N/A</v>
      </c>
      <c r="Q4574" s="7">
        <v>13.5</v>
      </c>
      <c r="R4574" s="7" t="str">
        <f ca="1">IFERROR(__xludf.DUMMYFUNCTION("IMPORTXML(E4574,""/html/body/main/div[3]/div[3]/div[2]/ul/li[7]/span[2]/span"")"),"Loading...")</f>
        <v>Loading...</v>
      </c>
      <c r="S4574" s="7" t="str">
        <f ca="1">IFERROR(__xludf.DUMMYFUNCTION("IMPORTXML(E4574,""/html/body/main/div[3]/div[3]/div[2]/ul/li[8]/span[2]/span"")"),"Loading...")</f>
        <v>Loading...</v>
      </c>
      <c r="T4574" s="4">
        <v>34.6</v>
      </c>
      <c r="U4574" s="4">
        <v>22.7</v>
      </c>
      <c r="V4574" s="4">
        <v>2.6</v>
      </c>
      <c r="W4574" s="4">
        <v>5.7</v>
      </c>
      <c r="X4574" s="4">
        <v>519.92999999999995</v>
      </c>
      <c r="Y4574" s="7" t="e">
        <f t="shared" ca="1" si="94"/>
        <v>#VALUE!</v>
      </c>
    </row>
    <row r="4575" spans="1:25" ht="15" x14ac:dyDescent="0.25">
      <c r="A4575" s="4">
        <v>4574</v>
      </c>
      <c r="C4575" s="41" t="s">
        <v>6952</v>
      </c>
      <c r="D4575" s="42"/>
      <c r="E4575" s="5" t="str">
        <f t="shared" si="90"/>
        <v>https://www.screener.in/company//consolidated/</v>
      </c>
      <c r="F4575" s="4">
        <v>443059</v>
      </c>
      <c r="G4575" s="4">
        <v>3832241897</v>
      </c>
      <c r="H4575" s="6" t="e">
        <f t="shared" ca="1" si="91"/>
        <v>#VALUE!</v>
      </c>
      <c r="I4575" s="7" t="str">
        <f ca="1">IFERROR(__xludf.DUMMYFUNCTION("IMPORTXML(E4575,""/html/body/main/div[3]/div[3]/div[2]/ul/li[5]/span[2]/span"")"),"Loading...")</f>
        <v>Loading...</v>
      </c>
      <c r="J4575" s="7" t="str">
        <f ca="1">IFERROR(__xludf.DUMMYFUNCTION("GOOGLEFINANCE(""NSE:""&amp;D4575,""marketcap"")"),"#N/A")</f>
        <v>#N/A</v>
      </c>
      <c r="K4575" s="7">
        <v>992.8</v>
      </c>
      <c r="L4575" s="8" t="str">
        <f ca="1">IFERROR(__xludf.DUMMYFUNCTION("GOOGLEFINANCE(""NSE:""&amp;D4575,""price"")"),"#N/A")</f>
        <v>#N/A</v>
      </c>
      <c r="M4575" s="9" t="e">
        <f t="shared" ca="1" si="92"/>
        <v>#VALUE!</v>
      </c>
      <c r="N4575" s="10" t="e">
        <f t="shared" ca="1" si="93"/>
        <v>#VALUE!</v>
      </c>
      <c r="O4575" s="7" t="str">
        <f ca="1">IFERROR(__xludf.DUMMYFUNCTION("GOOGLEFINANCE(""NSE:""&amp;D4575,""pe"")"),"#N/A")</f>
        <v>#N/A</v>
      </c>
      <c r="P4575" s="7" t="str">
        <f ca="1">IFERROR(__xludf.DUMMYFUNCTION("GOOGLEFINANCE(""NSE:""&amp;D4575,""EPS"")"),"#N/A")</f>
        <v>#N/A</v>
      </c>
      <c r="Q4575" s="7">
        <v>13.5</v>
      </c>
      <c r="R4575" s="7" t="str">
        <f ca="1">IFERROR(__xludf.DUMMYFUNCTION("IMPORTXML(E4575,""/html/body/main/div[3]/div[3]/div[2]/ul/li[7]/span[2]/span"")"),"Loading...")</f>
        <v>Loading...</v>
      </c>
      <c r="S4575" s="7" t="str">
        <f ca="1">IFERROR(__xludf.DUMMYFUNCTION("IMPORTXML(E4575,""/html/body/main/div[3]/div[3]/div[2]/ul/li[8]/span[2]/span"")"),"Loading...")</f>
        <v>Loading...</v>
      </c>
      <c r="T4575" s="4">
        <v>34.6</v>
      </c>
      <c r="U4575" s="4">
        <v>22.7</v>
      </c>
      <c r="V4575" s="4">
        <v>2.6</v>
      </c>
      <c r="W4575" s="4">
        <v>5.7</v>
      </c>
      <c r="X4575" s="4">
        <v>519.92999999999995</v>
      </c>
      <c r="Y4575" s="7" t="e">
        <f t="shared" ca="1" si="94"/>
        <v>#VALUE!</v>
      </c>
    </row>
    <row r="4576" spans="1:25" ht="15" x14ac:dyDescent="0.25">
      <c r="A4576" s="4">
        <v>4575</v>
      </c>
      <c r="C4576" s="41" t="s">
        <v>6953</v>
      </c>
      <c r="D4576" s="42"/>
      <c r="E4576" s="5" t="str">
        <f t="shared" si="90"/>
        <v>https://www.screener.in/company//consolidated/</v>
      </c>
      <c r="F4576" s="4">
        <v>443059</v>
      </c>
      <c r="G4576" s="4">
        <v>3832241897</v>
      </c>
      <c r="H4576" s="6" t="e">
        <f t="shared" ca="1" si="91"/>
        <v>#VALUE!</v>
      </c>
      <c r="I4576" s="7" t="str">
        <f ca="1">IFERROR(__xludf.DUMMYFUNCTION("IMPORTXML(E4576,""/html/body/main/div[3]/div[3]/div[2]/ul/li[5]/span[2]/span"")"),"Loading...")</f>
        <v>Loading...</v>
      </c>
      <c r="J4576" s="7" t="str">
        <f ca="1">IFERROR(__xludf.DUMMYFUNCTION("GOOGLEFINANCE(""NSE:""&amp;D4576,""marketcap"")"),"#N/A")</f>
        <v>#N/A</v>
      </c>
      <c r="K4576" s="7">
        <v>992.8</v>
      </c>
      <c r="L4576" s="8" t="str">
        <f ca="1">IFERROR(__xludf.DUMMYFUNCTION("GOOGLEFINANCE(""NSE:""&amp;D4576,""price"")"),"#N/A")</f>
        <v>#N/A</v>
      </c>
      <c r="M4576" s="9" t="e">
        <f t="shared" ca="1" si="92"/>
        <v>#VALUE!</v>
      </c>
      <c r="N4576" s="10" t="e">
        <f t="shared" ca="1" si="93"/>
        <v>#VALUE!</v>
      </c>
      <c r="O4576" s="7" t="str">
        <f ca="1">IFERROR(__xludf.DUMMYFUNCTION("GOOGLEFINANCE(""NSE:""&amp;D4576,""pe"")"),"#N/A")</f>
        <v>#N/A</v>
      </c>
      <c r="P4576" s="7" t="str">
        <f ca="1">IFERROR(__xludf.DUMMYFUNCTION("GOOGLEFINANCE(""NSE:""&amp;D4576,""EPS"")"),"#N/A")</f>
        <v>#N/A</v>
      </c>
      <c r="Q4576" s="7">
        <v>13.5</v>
      </c>
      <c r="R4576" s="7" t="str">
        <f ca="1">IFERROR(__xludf.DUMMYFUNCTION("IMPORTXML(E4576,""/html/body/main/div[3]/div[3]/div[2]/ul/li[7]/span[2]/span"")"),"Loading...")</f>
        <v>Loading...</v>
      </c>
      <c r="S4576" s="7" t="str">
        <f ca="1">IFERROR(__xludf.DUMMYFUNCTION("IMPORTXML(E4576,""/html/body/main/div[3]/div[3]/div[2]/ul/li[8]/span[2]/span"")"),"Loading...")</f>
        <v>Loading...</v>
      </c>
      <c r="T4576" s="4">
        <v>34.6</v>
      </c>
      <c r="U4576" s="4">
        <v>22.7</v>
      </c>
      <c r="V4576" s="4">
        <v>2.6</v>
      </c>
      <c r="W4576" s="4">
        <v>5.7</v>
      </c>
      <c r="X4576" s="4">
        <v>519.92999999999995</v>
      </c>
      <c r="Y4576" s="7" t="e">
        <f t="shared" ca="1" si="94"/>
        <v>#VALUE!</v>
      </c>
    </row>
    <row r="4577" spans="1:25" ht="15" x14ac:dyDescent="0.25">
      <c r="A4577" s="4">
        <v>4576</v>
      </c>
      <c r="C4577" s="41" t="s">
        <v>6954</v>
      </c>
      <c r="D4577" s="42"/>
      <c r="E4577" s="5" t="str">
        <f t="shared" si="90"/>
        <v>https://www.screener.in/company//consolidated/</v>
      </c>
      <c r="F4577" s="4">
        <v>443059</v>
      </c>
      <c r="G4577" s="4">
        <v>3832241897</v>
      </c>
      <c r="H4577" s="6" t="e">
        <f t="shared" ca="1" si="91"/>
        <v>#VALUE!</v>
      </c>
      <c r="I4577" s="7" t="str">
        <f ca="1">IFERROR(__xludf.DUMMYFUNCTION("IMPORTXML(E4577,""/html/body/main/div[3]/div[3]/div[2]/ul/li[5]/span[2]/span"")"),"Loading...")</f>
        <v>Loading...</v>
      </c>
      <c r="J4577" s="7" t="str">
        <f ca="1">IFERROR(__xludf.DUMMYFUNCTION("GOOGLEFINANCE(""NSE:""&amp;D4577,""marketcap"")"),"#N/A")</f>
        <v>#N/A</v>
      </c>
      <c r="K4577" s="7">
        <v>992.8</v>
      </c>
      <c r="L4577" s="8" t="str">
        <f ca="1">IFERROR(__xludf.DUMMYFUNCTION("GOOGLEFINANCE(""NSE:""&amp;D4577,""price"")"),"#N/A")</f>
        <v>#N/A</v>
      </c>
      <c r="M4577" s="9" t="e">
        <f t="shared" ca="1" si="92"/>
        <v>#VALUE!</v>
      </c>
      <c r="N4577" s="10" t="e">
        <f t="shared" ca="1" si="93"/>
        <v>#VALUE!</v>
      </c>
      <c r="O4577" s="7" t="str">
        <f ca="1">IFERROR(__xludf.DUMMYFUNCTION("GOOGLEFINANCE(""NSE:""&amp;D4577,""pe"")"),"#N/A")</f>
        <v>#N/A</v>
      </c>
      <c r="P4577" s="7" t="str">
        <f ca="1">IFERROR(__xludf.DUMMYFUNCTION("GOOGLEFINANCE(""NSE:""&amp;D4577,""EPS"")"),"#N/A")</f>
        <v>#N/A</v>
      </c>
      <c r="Q4577" s="7">
        <v>13.5</v>
      </c>
      <c r="R4577" s="7" t="str">
        <f ca="1">IFERROR(__xludf.DUMMYFUNCTION("IMPORTXML(E4577,""/html/body/main/div[3]/div[3]/div[2]/ul/li[7]/span[2]/span"")"),"Loading...")</f>
        <v>Loading...</v>
      </c>
      <c r="S4577" s="7" t="str">
        <f ca="1">IFERROR(__xludf.DUMMYFUNCTION("IMPORTXML(E4577,""/html/body/main/div[3]/div[3]/div[2]/ul/li[8]/span[2]/span"")"),"Loading...")</f>
        <v>Loading...</v>
      </c>
      <c r="T4577" s="4">
        <v>34.6</v>
      </c>
      <c r="U4577" s="4">
        <v>22.7</v>
      </c>
      <c r="V4577" s="4">
        <v>2.6</v>
      </c>
      <c r="W4577" s="4">
        <v>5.7</v>
      </c>
      <c r="X4577" s="4">
        <v>519.92999999999995</v>
      </c>
      <c r="Y4577" s="7" t="e">
        <f t="shared" ca="1" si="94"/>
        <v>#VALUE!</v>
      </c>
    </row>
    <row r="4578" spans="1:25" ht="15" x14ac:dyDescent="0.25">
      <c r="A4578" s="4">
        <v>4577</v>
      </c>
      <c r="C4578" s="41" t="s">
        <v>6955</v>
      </c>
      <c r="D4578" s="42"/>
      <c r="E4578" s="5" t="str">
        <f t="shared" si="90"/>
        <v>https://www.screener.in/company//consolidated/</v>
      </c>
      <c r="F4578" s="4">
        <v>443059</v>
      </c>
      <c r="G4578" s="4">
        <v>3832241897</v>
      </c>
      <c r="H4578" s="6" t="e">
        <f t="shared" ca="1" si="91"/>
        <v>#VALUE!</v>
      </c>
      <c r="I4578" s="7" t="str">
        <f ca="1">IFERROR(__xludf.DUMMYFUNCTION("IMPORTXML(E4578,""/html/body/main/div[3]/div[3]/div[2]/ul/li[5]/span[2]/span"")"),"Loading...")</f>
        <v>Loading...</v>
      </c>
      <c r="J4578" s="7" t="str">
        <f ca="1">IFERROR(__xludf.DUMMYFUNCTION("GOOGLEFINANCE(""NSE:""&amp;D4578,""marketcap"")"),"#N/A")</f>
        <v>#N/A</v>
      </c>
      <c r="K4578" s="7">
        <v>992.8</v>
      </c>
      <c r="L4578" s="8" t="str">
        <f ca="1">IFERROR(__xludf.DUMMYFUNCTION("GOOGLEFINANCE(""NSE:""&amp;D4578,""price"")"),"#N/A")</f>
        <v>#N/A</v>
      </c>
      <c r="M4578" s="9" t="e">
        <f t="shared" ca="1" si="92"/>
        <v>#VALUE!</v>
      </c>
      <c r="N4578" s="10" t="e">
        <f t="shared" ca="1" si="93"/>
        <v>#VALUE!</v>
      </c>
      <c r="O4578" s="7" t="str">
        <f ca="1">IFERROR(__xludf.DUMMYFUNCTION("GOOGLEFINANCE(""NSE:""&amp;D4578,""pe"")"),"#N/A")</f>
        <v>#N/A</v>
      </c>
      <c r="P4578" s="7" t="str">
        <f ca="1">IFERROR(__xludf.DUMMYFUNCTION("GOOGLEFINANCE(""NSE:""&amp;D4578,""EPS"")"),"#N/A")</f>
        <v>#N/A</v>
      </c>
      <c r="Q4578" s="7">
        <v>13.5</v>
      </c>
      <c r="R4578" s="7" t="str">
        <f ca="1">IFERROR(__xludf.DUMMYFUNCTION("IMPORTXML(E4578,""/html/body/main/div[3]/div[3]/div[2]/ul/li[7]/span[2]/span"")"),"Loading...")</f>
        <v>Loading...</v>
      </c>
      <c r="S4578" s="7" t="str">
        <f ca="1">IFERROR(__xludf.DUMMYFUNCTION("IMPORTXML(E4578,""/html/body/main/div[3]/div[3]/div[2]/ul/li[8]/span[2]/span"")"),"Loading...")</f>
        <v>Loading...</v>
      </c>
      <c r="T4578" s="4">
        <v>34.6</v>
      </c>
      <c r="U4578" s="4">
        <v>22.7</v>
      </c>
      <c r="V4578" s="4">
        <v>2.6</v>
      </c>
      <c r="W4578" s="4">
        <v>5.7</v>
      </c>
      <c r="X4578" s="4">
        <v>519.92999999999995</v>
      </c>
      <c r="Y4578" s="7" t="e">
        <f t="shared" ca="1" si="94"/>
        <v>#VALUE!</v>
      </c>
    </row>
    <row r="4579" spans="1:25" ht="15" x14ac:dyDescent="0.25">
      <c r="A4579" s="4">
        <v>4578</v>
      </c>
      <c r="C4579" s="41" t="s">
        <v>6956</v>
      </c>
      <c r="D4579" s="42"/>
      <c r="E4579" s="5" t="str">
        <f t="shared" si="90"/>
        <v>https://www.screener.in/company//consolidated/</v>
      </c>
      <c r="F4579" s="4">
        <v>443059</v>
      </c>
      <c r="G4579" s="4">
        <v>3832241897</v>
      </c>
      <c r="H4579" s="6" t="e">
        <f t="shared" ca="1" si="91"/>
        <v>#VALUE!</v>
      </c>
      <c r="I4579" s="7" t="str">
        <f ca="1">IFERROR(__xludf.DUMMYFUNCTION("IMPORTXML(E4579,""/html/body/main/div[3]/div[3]/div[2]/ul/li[5]/span[2]/span"")"),"Loading...")</f>
        <v>Loading...</v>
      </c>
      <c r="J4579" s="7" t="str">
        <f ca="1">IFERROR(__xludf.DUMMYFUNCTION("GOOGLEFINANCE(""NSE:""&amp;D4579,""marketcap"")"),"#N/A")</f>
        <v>#N/A</v>
      </c>
      <c r="K4579" s="7">
        <v>992.8</v>
      </c>
      <c r="L4579" s="8" t="str">
        <f ca="1">IFERROR(__xludf.DUMMYFUNCTION("GOOGLEFINANCE(""NSE:""&amp;D4579,""price"")"),"#N/A")</f>
        <v>#N/A</v>
      </c>
      <c r="M4579" s="9" t="e">
        <f t="shared" ca="1" si="92"/>
        <v>#VALUE!</v>
      </c>
      <c r="N4579" s="10" t="e">
        <f t="shared" ca="1" si="93"/>
        <v>#VALUE!</v>
      </c>
      <c r="O4579" s="7" t="str">
        <f ca="1">IFERROR(__xludf.DUMMYFUNCTION("GOOGLEFINANCE(""NSE:""&amp;D4579,""pe"")"),"#N/A")</f>
        <v>#N/A</v>
      </c>
      <c r="P4579" s="7" t="str">
        <f ca="1">IFERROR(__xludf.DUMMYFUNCTION("GOOGLEFINANCE(""NSE:""&amp;D4579,""EPS"")"),"#N/A")</f>
        <v>#N/A</v>
      </c>
      <c r="Q4579" s="7">
        <v>13.5</v>
      </c>
      <c r="R4579" s="7" t="str">
        <f ca="1">IFERROR(__xludf.DUMMYFUNCTION("IMPORTXML(E4579,""/html/body/main/div[3]/div[3]/div[2]/ul/li[7]/span[2]/span"")"),"Loading...")</f>
        <v>Loading...</v>
      </c>
      <c r="S4579" s="7" t="str">
        <f ca="1">IFERROR(__xludf.DUMMYFUNCTION("IMPORTXML(E4579,""/html/body/main/div[3]/div[3]/div[2]/ul/li[8]/span[2]/span"")"),"Loading...")</f>
        <v>Loading...</v>
      </c>
      <c r="T4579" s="4">
        <v>34.6</v>
      </c>
      <c r="U4579" s="4">
        <v>22.7</v>
      </c>
      <c r="V4579" s="4">
        <v>2.6</v>
      </c>
      <c r="W4579" s="4">
        <v>5.7</v>
      </c>
      <c r="X4579" s="4">
        <v>519.92999999999995</v>
      </c>
      <c r="Y4579" s="7" t="e">
        <f t="shared" ca="1" si="94"/>
        <v>#VALUE!</v>
      </c>
    </row>
    <row r="4580" spans="1:25" ht="15" x14ac:dyDescent="0.25">
      <c r="A4580" s="4">
        <v>4579</v>
      </c>
      <c r="C4580" s="41" t="s">
        <v>6957</v>
      </c>
      <c r="D4580" s="42"/>
      <c r="E4580" s="5" t="str">
        <f t="shared" si="90"/>
        <v>https://www.screener.in/company//consolidated/</v>
      </c>
      <c r="F4580" s="4">
        <v>443059</v>
      </c>
      <c r="G4580" s="4">
        <v>3832241897</v>
      </c>
      <c r="H4580" s="6" t="e">
        <f t="shared" ca="1" si="91"/>
        <v>#VALUE!</v>
      </c>
      <c r="I4580" s="7" t="str">
        <f ca="1">IFERROR(__xludf.DUMMYFUNCTION("IMPORTXML(E4580,""/html/body/main/div[3]/div[3]/div[2]/ul/li[5]/span[2]/span"")"),"Loading...")</f>
        <v>Loading...</v>
      </c>
      <c r="J4580" s="7" t="str">
        <f ca="1">IFERROR(__xludf.DUMMYFUNCTION("GOOGLEFINANCE(""NSE:""&amp;D4580,""marketcap"")"),"#N/A")</f>
        <v>#N/A</v>
      </c>
      <c r="K4580" s="7">
        <v>992.8</v>
      </c>
      <c r="L4580" s="8" t="str">
        <f ca="1">IFERROR(__xludf.DUMMYFUNCTION("GOOGLEFINANCE(""NSE:""&amp;D4580,""price"")"),"#N/A")</f>
        <v>#N/A</v>
      </c>
      <c r="M4580" s="9" t="e">
        <f t="shared" ca="1" si="92"/>
        <v>#VALUE!</v>
      </c>
      <c r="N4580" s="10" t="e">
        <f t="shared" ca="1" si="93"/>
        <v>#VALUE!</v>
      </c>
      <c r="O4580" s="7" t="str">
        <f ca="1">IFERROR(__xludf.DUMMYFUNCTION("GOOGLEFINANCE(""NSE:""&amp;D4580,""pe"")"),"#N/A")</f>
        <v>#N/A</v>
      </c>
      <c r="P4580" s="7" t="str">
        <f ca="1">IFERROR(__xludf.DUMMYFUNCTION("GOOGLEFINANCE(""NSE:""&amp;D4580,""EPS"")"),"#N/A")</f>
        <v>#N/A</v>
      </c>
      <c r="Q4580" s="7">
        <v>13.5</v>
      </c>
      <c r="R4580" s="7" t="str">
        <f ca="1">IFERROR(__xludf.DUMMYFUNCTION("IMPORTXML(E4580,""/html/body/main/div[3]/div[3]/div[2]/ul/li[7]/span[2]/span"")"),"Loading...")</f>
        <v>Loading...</v>
      </c>
      <c r="S4580" s="7" t="str">
        <f ca="1">IFERROR(__xludf.DUMMYFUNCTION("IMPORTXML(E4580,""/html/body/main/div[3]/div[3]/div[2]/ul/li[8]/span[2]/span"")"),"Loading...")</f>
        <v>Loading...</v>
      </c>
      <c r="T4580" s="4">
        <v>34.6</v>
      </c>
      <c r="U4580" s="4">
        <v>22.7</v>
      </c>
      <c r="V4580" s="4">
        <v>2.6</v>
      </c>
      <c r="W4580" s="4">
        <v>5.7</v>
      </c>
      <c r="X4580" s="4">
        <v>519.92999999999995</v>
      </c>
      <c r="Y4580" s="7" t="e">
        <f t="shared" ca="1" si="94"/>
        <v>#VALUE!</v>
      </c>
    </row>
    <row r="4581" spans="1:25" ht="15" x14ac:dyDescent="0.25">
      <c r="A4581" s="4">
        <v>4580</v>
      </c>
      <c r="C4581" s="41" t="s">
        <v>6958</v>
      </c>
      <c r="D4581" s="42"/>
      <c r="E4581" s="5" t="str">
        <f t="shared" si="90"/>
        <v>https://www.screener.in/company//consolidated/</v>
      </c>
      <c r="F4581" s="4">
        <v>443059</v>
      </c>
      <c r="G4581" s="4">
        <v>3832241897</v>
      </c>
      <c r="H4581" s="6" t="e">
        <f t="shared" ca="1" si="91"/>
        <v>#VALUE!</v>
      </c>
      <c r="I4581" s="7" t="str">
        <f ca="1">IFERROR(__xludf.DUMMYFUNCTION("IMPORTXML(E4581,""/html/body/main/div[3]/div[3]/div[2]/ul/li[5]/span[2]/span"")"),"Loading...")</f>
        <v>Loading...</v>
      </c>
      <c r="J4581" s="7" t="str">
        <f ca="1">IFERROR(__xludf.DUMMYFUNCTION("GOOGLEFINANCE(""NSE:""&amp;D4581,""marketcap"")"),"#N/A")</f>
        <v>#N/A</v>
      </c>
      <c r="K4581" s="7">
        <v>992.8</v>
      </c>
      <c r="L4581" s="8" t="str">
        <f ca="1">IFERROR(__xludf.DUMMYFUNCTION("GOOGLEFINANCE(""NSE:""&amp;D4581,""price"")"),"#N/A")</f>
        <v>#N/A</v>
      </c>
      <c r="M4581" s="9" t="e">
        <f t="shared" ca="1" si="92"/>
        <v>#VALUE!</v>
      </c>
      <c r="N4581" s="10" t="e">
        <f t="shared" ca="1" si="93"/>
        <v>#VALUE!</v>
      </c>
      <c r="O4581" s="7" t="str">
        <f ca="1">IFERROR(__xludf.DUMMYFUNCTION("GOOGLEFINANCE(""NSE:""&amp;D4581,""pe"")"),"#N/A")</f>
        <v>#N/A</v>
      </c>
      <c r="P4581" s="7" t="str">
        <f ca="1">IFERROR(__xludf.DUMMYFUNCTION("GOOGLEFINANCE(""NSE:""&amp;D4581,""EPS"")"),"#N/A")</f>
        <v>#N/A</v>
      </c>
      <c r="Q4581" s="7">
        <v>13.5</v>
      </c>
      <c r="R4581" s="7" t="str">
        <f ca="1">IFERROR(__xludf.DUMMYFUNCTION("IMPORTXML(E4581,""/html/body/main/div[3]/div[3]/div[2]/ul/li[7]/span[2]/span"")"),"Loading...")</f>
        <v>Loading...</v>
      </c>
      <c r="S4581" s="7" t="str">
        <f ca="1">IFERROR(__xludf.DUMMYFUNCTION("IMPORTXML(E4581,""/html/body/main/div[3]/div[3]/div[2]/ul/li[8]/span[2]/span"")"),"Loading...")</f>
        <v>Loading...</v>
      </c>
      <c r="T4581" s="4">
        <v>34.6</v>
      </c>
      <c r="U4581" s="4">
        <v>22.7</v>
      </c>
      <c r="V4581" s="4">
        <v>2.6</v>
      </c>
      <c r="W4581" s="4">
        <v>5.7</v>
      </c>
      <c r="X4581" s="4">
        <v>519.92999999999995</v>
      </c>
      <c r="Y4581" s="7" t="e">
        <f t="shared" ca="1" si="94"/>
        <v>#VALUE!</v>
      </c>
    </row>
    <row r="4582" spans="1:25" ht="15" x14ac:dyDescent="0.25">
      <c r="A4582" s="4">
        <v>4581</v>
      </c>
      <c r="C4582" s="41" t="s">
        <v>6959</v>
      </c>
      <c r="D4582" s="42"/>
      <c r="E4582" s="5" t="str">
        <f t="shared" si="90"/>
        <v>https://www.screener.in/company//consolidated/</v>
      </c>
      <c r="F4582" s="4">
        <v>443059</v>
      </c>
      <c r="G4582" s="4">
        <v>3832241897</v>
      </c>
      <c r="H4582" s="6" t="e">
        <f t="shared" ca="1" si="91"/>
        <v>#VALUE!</v>
      </c>
      <c r="I4582" s="7" t="str">
        <f ca="1">IFERROR(__xludf.DUMMYFUNCTION("IMPORTXML(E4582,""/html/body/main/div[3]/div[3]/div[2]/ul/li[5]/span[2]/span"")"),"Loading...")</f>
        <v>Loading...</v>
      </c>
      <c r="J4582" s="7" t="str">
        <f ca="1">IFERROR(__xludf.DUMMYFUNCTION("GOOGLEFINANCE(""NSE:""&amp;D4582,""marketcap"")"),"#N/A")</f>
        <v>#N/A</v>
      </c>
      <c r="K4582" s="7">
        <v>992.8</v>
      </c>
      <c r="L4582" s="8" t="str">
        <f ca="1">IFERROR(__xludf.DUMMYFUNCTION("GOOGLEFINANCE(""NSE:""&amp;D4582,""price"")"),"#N/A")</f>
        <v>#N/A</v>
      </c>
      <c r="M4582" s="9" t="e">
        <f t="shared" ca="1" si="92"/>
        <v>#VALUE!</v>
      </c>
      <c r="N4582" s="10" t="e">
        <f t="shared" ca="1" si="93"/>
        <v>#VALUE!</v>
      </c>
      <c r="O4582" s="7" t="str">
        <f ca="1">IFERROR(__xludf.DUMMYFUNCTION("GOOGLEFINANCE(""NSE:""&amp;D4582,""pe"")"),"#N/A")</f>
        <v>#N/A</v>
      </c>
      <c r="P4582" s="7" t="str">
        <f ca="1">IFERROR(__xludf.DUMMYFUNCTION("GOOGLEFINANCE(""NSE:""&amp;D4582,""EPS"")"),"#N/A")</f>
        <v>#N/A</v>
      </c>
      <c r="Q4582" s="7">
        <v>13.5</v>
      </c>
      <c r="R4582" s="7" t="str">
        <f ca="1">IFERROR(__xludf.DUMMYFUNCTION("IMPORTXML(E4582,""/html/body/main/div[3]/div[3]/div[2]/ul/li[7]/span[2]/span"")"),"Loading...")</f>
        <v>Loading...</v>
      </c>
      <c r="S4582" s="7" t="str">
        <f ca="1">IFERROR(__xludf.DUMMYFUNCTION("IMPORTXML(E4582,""/html/body/main/div[3]/div[3]/div[2]/ul/li[8]/span[2]/span"")"),"Loading...")</f>
        <v>Loading...</v>
      </c>
      <c r="T4582" s="4">
        <v>34.6</v>
      </c>
      <c r="U4582" s="4">
        <v>22.7</v>
      </c>
      <c r="V4582" s="4">
        <v>2.6</v>
      </c>
      <c r="W4582" s="4">
        <v>5.7</v>
      </c>
      <c r="X4582" s="4">
        <v>519.92999999999995</v>
      </c>
      <c r="Y4582" s="7" t="e">
        <f t="shared" ca="1" si="94"/>
        <v>#VALUE!</v>
      </c>
    </row>
    <row r="4583" spans="1:25" ht="15" x14ac:dyDescent="0.25">
      <c r="A4583" s="4">
        <v>4582</v>
      </c>
      <c r="C4583" s="41" t="s">
        <v>6960</v>
      </c>
      <c r="D4583" s="42"/>
      <c r="E4583" s="5" t="str">
        <f t="shared" si="90"/>
        <v>https://www.screener.in/company//consolidated/</v>
      </c>
      <c r="F4583" s="4">
        <v>443059</v>
      </c>
      <c r="G4583" s="4">
        <v>3832241897</v>
      </c>
      <c r="H4583" s="6" t="e">
        <f t="shared" ca="1" si="91"/>
        <v>#VALUE!</v>
      </c>
      <c r="I4583" s="7" t="str">
        <f ca="1">IFERROR(__xludf.DUMMYFUNCTION("IMPORTXML(E4583,""/html/body/main/div[3]/div[3]/div[2]/ul/li[5]/span[2]/span"")"),"Loading...")</f>
        <v>Loading...</v>
      </c>
      <c r="J4583" s="7" t="str">
        <f ca="1">IFERROR(__xludf.DUMMYFUNCTION("GOOGLEFINANCE(""NSE:""&amp;D4583,""marketcap"")"),"#N/A")</f>
        <v>#N/A</v>
      </c>
      <c r="K4583" s="7">
        <v>992.8</v>
      </c>
      <c r="L4583" s="8" t="str">
        <f ca="1">IFERROR(__xludf.DUMMYFUNCTION("GOOGLEFINANCE(""NSE:""&amp;D4583,""price"")"),"#N/A")</f>
        <v>#N/A</v>
      </c>
      <c r="M4583" s="9" t="e">
        <f t="shared" ca="1" si="92"/>
        <v>#VALUE!</v>
      </c>
      <c r="N4583" s="10" t="e">
        <f t="shared" ca="1" si="93"/>
        <v>#VALUE!</v>
      </c>
      <c r="O4583" s="7" t="str">
        <f ca="1">IFERROR(__xludf.DUMMYFUNCTION("GOOGLEFINANCE(""NSE:""&amp;D4583,""pe"")"),"#N/A")</f>
        <v>#N/A</v>
      </c>
      <c r="P4583" s="7" t="str">
        <f ca="1">IFERROR(__xludf.DUMMYFUNCTION("GOOGLEFINANCE(""NSE:""&amp;D4583,""EPS"")"),"#N/A")</f>
        <v>#N/A</v>
      </c>
      <c r="Q4583" s="7">
        <v>13.5</v>
      </c>
      <c r="R4583" s="7" t="str">
        <f ca="1">IFERROR(__xludf.DUMMYFUNCTION("IMPORTXML(E4583,""/html/body/main/div[3]/div[3]/div[2]/ul/li[7]/span[2]/span"")"),"Loading...")</f>
        <v>Loading...</v>
      </c>
      <c r="S4583" s="7" t="str">
        <f ca="1">IFERROR(__xludf.DUMMYFUNCTION("IMPORTXML(E4583,""/html/body/main/div[3]/div[3]/div[2]/ul/li[8]/span[2]/span"")"),"Loading...")</f>
        <v>Loading...</v>
      </c>
      <c r="T4583" s="4">
        <v>34.6</v>
      </c>
      <c r="U4583" s="4">
        <v>22.7</v>
      </c>
      <c r="V4583" s="4">
        <v>2.6</v>
      </c>
      <c r="W4583" s="4">
        <v>5.7</v>
      </c>
      <c r="X4583" s="4">
        <v>519.92999999999995</v>
      </c>
      <c r="Y4583" s="7" t="e">
        <f t="shared" ca="1" si="94"/>
        <v>#VALUE!</v>
      </c>
    </row>
    <row r="4584" spans="1:25" ht="15" x14ac:dyDescent="0.25">
      <c r="A4584" s="4">
        <v>4583</v>
      </c>
      <c r="C4584" s="41" t="s">
        <v>6961</v>
      </c>
      <c r="D4584" s="42"/>
      <c r="E4584" s="5" t="str">
        <f t="shared" si="90"/>
        <v>https://www.screener.in/company//consolidated/</v>
      </c>
      <c r="F4584" s="4">
        <v>443059</v>
      </c>
      <c r="G4584" s="4">
        <v>3832241897</v>
      </c>
      <c r="H4584" s="6" t="e">
        <f t="shared" ca="1" si="91"/>
        <v>#VALUE!</v>
      </c>
      <c r="I4584" s="7" t="str">
        <f ca="1">IFERROR(__xludf.DUMMYFUNCTION("IMPORTXML(E4584,""/html/body/main/div[3]/div[3]/div[2]/ul/li[5]/span[2]/span"")"),"Loading...")</f>
        <v>Loading...</v>
      </c>
      <c r="J4584" s="7" t="str">
        <f ca="1">IFERROR(__xludf.DUMMYFUNCTION("GOOGLEFINANCE(""NSE:""&amp;D4584,""marketcap"")"),"#N/A")</f>
        <v>#N/A</v>
      </c>
      <c r="K4584" s="7">
        <v>992.8</v>
      </c>
      <c r="L4584" s="8" t="str">
        <f ca="1">IFERROR(__xludf.DUMMYFUNCTION("GOOGLEFINANCE(""NSE:""&amp;D4584,""price"")"),"#N/A")</f>
        <v>#N/A</v>
      </c>
      <c r="M4584" s="9" t="e">
        <f t="shared" ca="1" si="92"/>
        <v>#VALUE!</v>
      </c>
      <c r="N4584" s="10" t="e">
        <f t="shared" ca="1" si="93"/>
        <v>#VALUE!</v>
      </c>
      <c r="O4584" s="7" t="str">
        <f ca="1">IFERROR(__xludf.DUMMYFUNCTION("GOOGLEFINANCE(""NSE:""&amp;D4584,""pe"")"),"#N/A")</f>
        <v>#N/A</v>
      </c>
      <c r="P4584" s="7" t="str">
        <f ca="1">IFERROR(__xludf.DUMMYFUNCTION("GOOGLEFINANCE(""NSE:""&amp;D4584,""EPS"")"),"#N/A")</f>
        <v>#N/A</v>
      </c>
      <c r="Q4584" s="7">
        <v>13.5</v>
      </c>
      <c r="R4584" s="7" t="str">
        <f ca="1">IFERROR(__xludf.DUMMYFUNCTION("IMPORTXML(E4584,""/html/body/main/div[3]/div[3]/div[2]/ul/li[7]/span[2]/span"")"),"Loading...")</f>
        <v>Loading...</v>
      </c>
      <c r="S4584" s="7" t="str">
        <f ca="1">IFERROR(__xludf.DUMMYFUNCTION("IMPORTXML(E4584,""/html/body/main/div[3]/div[3]/div[2]/ul/li[8]/span[2]/span"")"),"Loading...")</f>
        <v>Loading...</v>
      </c>
      <c r="T4584" s="4">
        <v>34.6</v>
      </c>
      <c r="U4584" s="4">
        <v>22.7</v>
      </c>
      <c r="V4584" s="4">
        <v>2.6</v>
      </c>
      <c r="W4584" s="4">
        <v>5.7</v>
      </c>
      <c r="X4584" s="4">
        <v>519.92999999999995</v>
      </c>
      <c r="Y4584" s="7" t="e">
        <f t="shared" ca="1" si="94"/>
        <v>#VALUE!</v>
      </c>
    </row>
    <row r="4585" spans="1:25" ht="15" x14ac:dyDescent="0.25">
      <c r="A4585" s="4">
        <v>4584</v>
      </c>
      <c r="C4585" s="41" t="s">
        <v>6962</v>
      </c>
      <c r="D4585" s="42"/>
      <c r="E4585" s="5" t="str">
        <f t="shared" si="90"/>
        <v>https://www.screener.in/company//consolidated/</v>
      </c>
      <c r="F4585" s="4">
        <v>443059</v>
      </c>
      <c r="G4585" s="4">
        <v>3832241897</v>
      </c>
      <c r="H4585" s="6" t="e">
        <f t="shared" ca="1" si="91"/>
        <v>#VALUE!</v>
      </c>
      <c r="I4585" s="7" t="str">
        <f ca="1">IFERROR(__xludf.DUMMYFUNCTION("IMPORTXML(E4585,""/html/body/main/div[3]/div[3]/div[2]/ul/li[5]/span[2]/span"")"),"Loading...")</f>
        <v>Loading...</v>
      </c>
      <c r="J4585" s="7" t="str">
        <f ca="1">IFERROR(__xludf.DUMMYFUNCTION("GOOGLEFINANCE(""NSE:""&amp;D4585,""marketcap"")"),"#N/A")</f>
        <v>#N/A</v>
      </c>
      <c r="K4585" s="7">
        <v>992.8</v>
      </c>
      <c r="L4585" s="8" t="str">
        <f ca="1">IFERROR(__xludf.DUMMYFUNCTION("GOOGLEFINANCE(""NSE:""&amp;D4585,""price"")"),"#N/A")</f>
        <v>#N/A</v>
      </c>
      <c r="M4585" s="9" t="e">
        <f t="shared" ca="1" si="92"/>
        <v>#VALUE!</v>
      </c>
      <c r="N4585" s="10" t="e">
        <f t="shared" ca="1" si="93"/>
        <v>#VALUE!</v>
      </c>
      <c r="O4585" s="7" t="str">
        <f ca="1">IFERROR(__xludf.DUMMYFUNCTION("GOOGLEFINANCE(""NSE:""&amp;D4585,""pe"")"),"#N/A")</f>
        <v>#N/A</v>
      </c>
      <c r="P4585" s="7" t="str">
        <f ca="1">IFERROR(__xludf.DUMMYFUNCTION("GOOGLEFINANCE(""NSE:""&amp;D4585,""EPS"")"),"#N/A")</f>
        <v>#N/A</v>
      </c>
      <c r="Q4585" s="7">
        <v>13.5</v>
      </c>
      <c r="R4585" s="7" t="str">
        <f ca="1">IFERROR(__xludf.DUMMYFUNCTION("IMPORTXML(E4585,""/html/body/main/div[3]/div[3]/div[2]/ul/li[7]/span[2]/span"")"),"Loading...")</f>
        <v>Loading...</v>
      </c>
      <c r="S4585" s="7" t="str">
        <f ca="1">IFERROR(__xludf.DUMMYFUNCTION("IMPORTXML(E4585,""/html/body/main/div[3]/div[3]/div[2]/ul/li[8]/span[2]/span"")"),"Loading...")</f>
        <v>Loading...</v>
      </c>
      <c r="T4585" s="4">
        <v>34.6</v>
      </c>
      <c r="U4585" s="4">
        <v>22.7</v>
      </c>
      <c r="V4585" s="4">
        <v>2.6</v>
      </c>
      <c r="W4585" s="4">
        <v>5.7</v>
      </c>
      <c r="X4585" s="4">
        <v>519.92999999999995</v>
      </c>
      <c r="Y4585" s="7" t="e">
        <f t="shared" ca="1" si="94"/>
        <v>#VALUE!</v>
      </c>
    </row>
    <row r="4586" spans="1:25" ht="15" x14ac:dyDescent="0.25">
      <c r="A4586" s="4">
        <v>4585</v>
      </c>
      <c r="C4586" s="41" t="s">
        <v>6963</v>
      </c>
      <c r="D4586" s="42"/>
      <c r="E4586" s="5" t="str">
        <f t="shared" si="90"/>
        <v>https://www.screener.in/company//consolidated/</v>
      </c>
      <c r="F4586" s="4">
        <v>443059</v>
      </c>
      <c r="G4586" s="4">
        <v>3832241897</v>
      </c>
      <c r="H4586" s="6" t="e">
        <f t="shared" ca="1" si="91"/>
        <v>#VALUE!</v>
      </c>
      <c r="I4586" s="7" t="str">
        <f ca="1">IFERROR(__xludf.DUMMYFUNCTION("IMPORTXML(E4586,""/html/body/main/div[3]/div[3]/div[2]/ul/li[5]/span[2]/span"")"),"Loading...")</f>
        <v>Loading...</v>
      </c>
      <c r="J4586" s="7" t="str">
        <f ca="1">IFERROR(__xludf.DUMMYFUNCTION("GOOGLEFINANCE(""NSE:""&amp;D4586,""marketcap"")"),"#N/A")</f>
        <v>#N/A</v>
      </c>
      <c r="K4586" s="7">
        <v>992.8</v>
      </c>
      <c r="L4586" s="8" t="str">
        <f ca="1">IFERROR(__xludf.DUMMYFUNCTION("GOOGLEFINANCE(""NSE:""&amp;D4586,""price"")"),"#N/A")</f>
        <v>#N/A</v>
      </c>
      <c r="M4586" s="9" t="e">
        <f t="shared" ca="1" si="92"/>
        <v>#VALUE!</v>
      </c>
      <c r="N4586" s="10" t="e">
        <f t="shared" ca="1" si="93"/>
        <v>#VALUE!</v>
      </c>
      <c r="O4586" s="7" t="str">
        <f ca="1">IFERROR(__xludf.DUMMYFUNCTION("GOOGLEFINANCE(""NSE:""&amp;D4586,""pe"")"),"#N/A")</f>
        <v>#N/A</v>
      </c>
      <c r="P4586" s="7" t="str">
        <f ca="1">IFERROR(__xludf.DUMMYFUNCTION("GOOGLEFINANCE(""NSE:""&amp;D4586,""EPS"")"),"#N/A")</f>
        <v>#N/A</v>
      </c>
      <c r="Q4586" s="7">
        <v>13.5</v>
      </c>
      <c r="R4586" s="7" t="str">
        <f ca="1">IFERROR(__xludf.DUMMYFUNCTION("IMPORTXML(E4586,""/html/body/main/div[3]/div[3]/div[2]/ul/li[7]/span[2]/span"")"),"Loading...")</f>
        <v>Loading...</v>
      </c>
      <c r="S4586" s="7" t="str">
        <f ca="1">IFERROR(__xludf.DUMMYFUNCTION("IMPORTXML(E4586,""/html/body/main/div[3]/div[3]/div[2]/ul/li[8]/span[2]/span"")"),"Loading...")</f>
        <v>Loading...</v>
      </c>
      <c r="T4586" s="4">
        <v>34.6</v>
      </c>
      <c r="U4586" s="4">
        <v>22.7</v>
      </c>
      <c r="V4586" s="4">
        <v>2.6</v>
      </c>
      <c r="W4586" s="4">
        <v>5.7</v>
      </c>
      <c r="X4586" s="4">
        <v>519.92999999999995</v>
      </c>
      <c r="Y4586" s="7" t="e">
        <f t="shared" ca="1" si="94"/>
        <v>#VALUE!</v>
      </c>
    </row>
    <row r="4587" spans="1:25" ht="15" x14ac:dyDescent="0.25">
      <c r="A4587" s="4">
        <v>4586</v>
      </c>
      <c r="C4587" s="41" t="s">
        <v>6964</v>
      </c>
      <c r="D4587" s="42"/>
      <c r="E4587" s="5" t="str">
        <f t="shared" si="90"/>
        <v>https://www.screener.in/company//consolidated/</v>
      </c>
      <c r="F4587" s="4">
        <v>443059</v>
      </c>
      <c r="G4587" s="4">
        <v>3832241897</v>
      </c>
      <c r="H4587" s="6" t="e">
        <f t="shared" ca="1" si="91"/>
        <v>#VALUE!</v>
      </c>
      <c r="I4587" s="7" t="str">
        <f ca="1">IFERROR(__xludf.DUMMYFUNCTION("IMPORTXML(E4587,""/html/body/main/div[3]/div[3]/div[2]/ul/li[5]/span[2]/span"")"),"Loading...")</f>
        <v>Loading...</v>
      </c>
      <c r="J4587" s="7" t="str">
        <f ca="1">IFERROR(__xludf.DUMMYFUNCTION("GOOGLEFINANCE(""NSE:""&amp;D4587,""marketcap"")"),"#N/A")</f>
        <v>#N/A</v>
      </c>
      <c r="K4587" s="7">
        <v>992.8</v>
      </c>
      <c r="L4587" s="8" t="str">
        <f ca="1">IFERROR(__xludf.DUMMYFUNCTION("GOOGLEFINANCE(""NSE:""&amp;D4587,""price"")"),"#N/A")</f>
        <v>#N/A</v>
      </c>
      <c r="M4587" s="9" t="e">
        <f t="shared" ca="1" si="92"/>
        <v>#VALUE!</v>
      </c>
      <c r="N4587" s="10" t="e">
        <f t="shared" ca="1" si="93"/>
        <v>#VALUE!</v>
      </c>
      <c r="O4587" s="7" t="str">
        <f ca="1">IFERROR(__xludf.DUMMYFUNCTION("GOOGLEFINANCE(""NSE:""&amp;D4587,""pe"")"),"#N/A")</f>
        <v>#N/A</v>
      </c>
      <c r="P4587" s="7" t="str">
        <f ca="1">IFERROR(__xludf.DUMMYFUNCTION("GOOGLEFINANCE(""NSE:""&amp;D4587,""EPS"")"),"#N/A")</f>
        <v>#N/A</v>
      </c>
      <c r="Q4587" s="7">
        <v>13.5</v>
      </c>
      <c r="R4587" s="7" t="str">
        <f ca="1">IFERROR(__xludf.DUMMYFUNCTION("IMPORTXML(E4587,""/html/body/main/div[3]/div[3]/div[2]/ul/li[7]/span[2]/span"")"),"Loading...")</f>
        <v>Loading...</v>
      </c>
      <c r="S4587" s="7" t="str">
        <f ca="1">IFERROR(__xludf.DUMMYFUNCTION("IMPORTXML(E4587,""/html/body/main/div[3]/div[3]/div[2]/ul/li[8]/span[2]/span"")"),"Loading...")</f>
        <v>Loading...</v>
      </c>
      <c r="T4587" s="4">
        <v>34.6</v>
      </c>
      <c r="U4587" s="4">
        <v>22.7</v>
      </c>
      <c r="V4587" s="4">
        <v>2.6</v>
      </c>
      <c r="W4587" s="4">
        <v>5.7</v>
      </c>
      <c r="X4587" s="4">
        <v>519.92999999999995</v>
      </c>
      <c r="Y4587" s="7" t="e">
        <f t="shared" ca="1" si="94"/>
        <v>#VALUE!</v>
      </c>
    </row>
    <row r="4588" spans="1:25" ht="15" x14ac:dyDescent="0.25">
      <c r="A4588" s="4">
        <v>4587</v>
      </c>
      <c r="C4588" s="41" t="s">
        <v>6965</v>
      </c>
      <c r="D4588" s="42"/>
      <c r="E4588" s="5" t="str">
        <f t="shared" si="90"/>
        <v>https://www.screener.in/company//consolidated/</v>
      </c>
      <c r="F4588" s="4">
        <v>443059</v>
      </c>
      <c r="G4588" s="4">
        <v>3832241897</v>
      </c>
      <c r="H4588" s="6" t="e">
        <f t="shared" ca="1" si="91"/>
        <v>#VALUE!</v>
      </c>
      <c r="I4588" s="7" t="str">
        <f ca="1">IFERROR(__xludf.DUMMYFUNCTION("IMPORTXML(E4588,""/html/body/main/div[3]/div[3]/div[2]/ul/li[5]/span[2]/span"")"),"Loading...")</f>
        <v>Loading...</v>
      </c>
      <c r="J4588" s="7" t="str">
        <f ca="1">IFERROR(__xludf.DUMMYFUNCTION("GOOGLEFINANCE(""NSE:""&amp;D4588,""marketcap"")"),"#N/A")</f>
        <v>#N/A</v>
      </c>
      <c r="K4588" s="7">
        <v>992.8</v>
      </c>
      <c r="L4588" s="8" t="str">
        <f ca="1">IFERROR(__xludf.DUMMYFUNCTION("GOOGLEFINANCE(""NSE:""&amp;D4588,""price"")"),"#N/A")</f>
        <v>#N/A</v>
      </c>
      <c r="M4588" s="9" t="e">
        <f t="shared" ca="1" si="92"/>
        <v>#VALUE!</v>
      </c>
      <c r="N4588" s="10" t="e">
        <f t="shared" ca="1" si="93"/>
        <v>#VALUE!</v>
      </c>
      <c r="O4588" s="7" t="str">
        <f ca="1">IFERROR(__xludf.DUMMYFUNCTION("GOOGLEFINANCE(""NSE:""&amp;D4588,""pe"")"),"#N/A")</f>
        <v>#N/A</v>
      </c>
      <c r="P4588" s="7" t="str">
        <f ca="1">IFERROR(__xludf.DUMMYFUNCTION("GOOGLEFINANCE(""NSE:""&amp;D4588,""EPS"")"),"#N/A")</f>
        <v>#N/A</v>
      </c>
      <c r="Q4588" s="7">
        <v>13.5</v>
      </c>
      <c r="R4588" s="7" t="str">
        <f ca="1">IFERROR(__xludf.DUMMYFUNCTION("IMPORTXML(E4588,""/html/body/main/div[3]/div[3]/div[2]/ul/li[7]/span[2]/span"")"),"Loading...")</f>
        <v>Loading...</v>
      </c>
      <c r="S4588" s="7" t="str">
        <f ca="1">IFERROR(__xludf.DUMMYFUNCTION("IMPORTXML(E4588,""/html/body/main/div[3]/div[3]/div[2]/ul/li[8]/span[2]/span"")"),"Loading...")</f>
        <v>Loading...</v>
      </c>
      <c r="T4588" s="4">
        <v>34.6</v>
      </c>
      <c r="U4588" s="4">
        <v>22.7</v>
      </c>
      <c r="V4588" s="4">
        <v>2.6</v>
      </c>
      <c r="W4588" s="4">
        <v>5.7</v>
      </c>
      <c r="X4588" s="4">
        <v>519.92999999999995</v>
      </c>
      <c r="Y4588" s="7" t="e">
        <f t="shared" ca="1" si="94"/>
        <v>#VALUE!</v>
      </c>
    </row>
    <row r="4589" spans="1:25" ht="15" x14ac:dyDescent="0.25">
      <c r="A4589" s="4">
        <v>4588</v>
      </c>
      <c r="C4589" s="41" t="s">
        <v>6966</v>
      </c>
      <c r="D4589" s="42"/>
      <c r="E4589" s="5" t="str">
        <f t="shared" si="90"/>
        <v>https://www.screener.in/company//consolidated/</v>
      </c>
      <c r="F4589" s="4">
        <v>443059</v>
      </c>
      <c r="G4589" s="4">
        <v>3832241897</v>
      </c>
      <c r="H4589" s="6" t="e">
        <f t="shared" ca="1" si="91"/>
        <v>#VALUE!</v>
      </c>
      <c r="I4589" s="7" t="str">
        <f ca="1">IFERROR(__xludf.DUMMYFUNCTION("IMPORTXML(E4589,""/html/body/main/div[3]/div[3]/div[2]/ul/li[5]/span[2]/span"")"),"Loading...")</f>
        <v>Loading...</v>
      </c>
      <c r="J4589" s="7" t="str">
        <f ca="1">IFERROR(__xludf.DUMMYFUNCTION("GOOGLEFINANCE(""NSE:""&amp;D4589,""marketcap"")"),"#N/A")</f>
        <v>#N/A</v>
      </c>
      <c r="K4589" s="7">
        <v>992.8</v>
      </c>
      <c r="L4589" s="8" t="str">
        <f ca="1">IFERROR(__xludf.DUMMYFUNCTION("GOOGLEFINANCE(""NSE:""&amp;D4589,""price"")"),"#N/A")</f>
        <v>#N/A</v>
      </c>
      <c r="M4589" s="9" t="e">
        <f t="shared" ca="1" si="92"/>
        <v>#VALUE!</v>
      </c>
      <c r="N4589" s="10" t="e">
        <f t="shared" ca="1" si="93"/>
        <v>#VALUE!</v>
      </c>
      <c r="O4589" s="7" t="str">
        <f ca="1">IFERROR(__xludf.DUMMYFUNCTION("GOOGLEFINANCE(""NSE:""&amp;D4589,""pe"")"),"#N/A")</f>
        <v>#N/A</v>
      </c>
      <c r="P4589" s="7" t="str">
        <f ca="1">IFERROR(__xludf.DUMMYFUNCTION("GOOGLEFINANCE(""NSE:""&amp;D4589,""EPS"")"),"#N/A")</f>
        <v>#N/A</v>
      </c>
      <c r="Q4589" s="7">
        <v>13.5</v>
      </c>
      <c r="R4589" s="7" t="str">
        <f ca="1">IFERROR(__xludf.DUMMYFUNCTION("IMPORTXML(E4589,""/html/body/main/div[3]/div[3]/div[2]/ul/li[7]/span[2]/span"")"),"Loading...")</f>
        <v>Loading...</v>
      </c>
      <c r="S4589" s="7" t="str">
        <f ca="1">IFERROR(__xludf.DUMMYFUNCTION("IMPORTXML(E4589,""/html/body/main/div[3]/div[3]/div[2]/ul/li[8]/span[2]/span"")"),"Loading...")</f>
        <v>Loading...</v>
      </c>
      <c r="T4589" s="4">
        <v>34.6</v>
      </c>
      <c r="U4589" s="4">
        <v>22.7</v>
      </c>
      <c r="V4589" s="4">
        <v>2.6</v>
      </c>
      <c r="W4589" s="4">
        <v>5.7</v>
      </c>
      <c r="X4589" s="4">
        <v>519.92999999999995</v>
      </c>
      <c r="Y4589" s="7" t="e">
        <f t="shared" ca="1" si="94"/>
        <v>#VALUE!</v>
      </c>
    </row>
    <row r="4590" spans="1:25" ht="15" x14ac:dyDescent="0.25">
      <c r="A4590" s="4">
        <v>4589</v>
      </c>
      <c r="C4590" s="12" t="s">
        <v>6967</v>
      </c>
      <c r="D4590" s="37"/>
      <c r="E4590" s="5" t="str">
        <f t="shared" si="90"/>
        <v>https://www.screener.in/company//consolidated/</v>
      </c>
      <c r="F4590" s="4">
        <v>443059</v>
      </c>
      <c r="G4590" s="4">
        <v>3832241897</v>
      </c>
      <c r="H4590" s="6" t="e">
        <f t="shared" ca="1" si="91"/>
        <v>#VALUE!</v>
      </c>
      <c r="I4590" s="7" t="str">
        <f ca="1">IFERROR(__xludf.DUMMYFUNCTION("IMPORTXML(E4590,""/html/body/main/div[3]/div[3]/div[2]/ul/li[5]/span[2]/span"")"),"Loading...")</f>
        <v>Loading...</v>
      </c>
      <c r="J4590" s="7" t="str">
        <f ca="1">IFERROR(__xludf.DUMMYFUNCTION("GOOGLEFINANCE(""NSE:""&amp;D4590,""marketcap"")"),"#N/A")</f>
        <v>#N/A</v>
      </c>
      <c r="K4590" s="7">
        <v>992.8</v>
      </c>
      <c r="L4590" s="8" t="str">
        <f ca="1">IFERROR(__xludf.DUMMYFUNCTION("GOOGLEFINANCE(""NSE:""&amp;D4590,""price"")"),"#N/A")</f>
        <v>#N/A</v>
      </c>
      <c r="M4590" s="9" t="e">
        <f t="shared" ca="1" si="92"/>
        <v>#VALUE!</v>
      </c>
      <c r="N4590" s="10" t="e">
        <f t="shared" ca="1" si="93"/>
        <v>#VALUE!</v>
      </c>
      <c r="O4590" s="7" t="str">
        <f ca="1">IFERROR(__xludf.DUMMYFUNCTION("GOOGLEFINANCE(""NSE:""&amp;D4590,""pe"")"),"#N/A")</f>
        <v>#N/A</v>
      </c>
      <c r="P4590" s="7" t="str">
        <f ca="1">IFERROR(__xludf.DUMMYFUNCTION("GOOGLEFINANCE(""NSE:""&amp;D4590,""EPS"")"),"#N/A")</f>
        <v>#N/A</v>
      </c>
      <c r="Q4590" s="7">
        <v>13.5</v>
      </c>
      <c r="R4590" s="7" t="str">
        <f ca="1">IFERROR(__xludf.DUMMYFUNCTION("IMPORTXML(E4590,""/html/body/main/div[3]/div[3]/div[2]/ul/li[7]/span[2]/span"")"),"Loading...")</f>
        <v>Loading...</v>
      </c>
      <c r="S4590" s="7" t="str">
        <f ca="1">IFERROR(__xludf.DUMMYFUNCTION("IMPORTXML(E4590,""/html/body/main/div[3]/div[3]/div[2]/ul/li[8]/span[2]/span"")"),"Loading...")</f>
        <v>Loading...</v>
      </c>
      <c r="T4590" s="4">
        <v>34.6</v>
      </c>
      <c r="U4590" s="4">
        <v>22.7</v>
      </c>
      <c r="V4590" s="4">
        <v>2.6</v>
      </c>
      <c r="W4590" s="4">
        <v>5.7</v>
      </c>
      <c r="X4590" s="4">
        <v>519.92999999999995</v>
      </c>
      <c r="Y4590" s="7" t="e">
        <f t="shared" ca="1" si="94"/>
        <v>#VALUE!</v>
      </c>
    </row>
    <row r="4591" spans="1:25" ht="15" x14ac:dyDescent="0.25">
      <c r="A4591" s="4">
        <v>4590</v>
      </c>
      <c r="C4591" s="41" t="s">
        <v>6968</v>
      </c>
      <c r="D4591" s="42"/>
      <c r="E4591" s="5" t="str">
        <f t="shared" si="90"/>
        <v>https://www.screener.in/company//consolidated/</v>
      </c>
      <c r="F4591" s="4">
        <v>443059</v>
      </c>
      <c r="G4591" s="4">
        <v>3832241897</v>
      </c>
      <c r="H4591" s="6" t="e">
        <f t="shared" ca="1" si="91"/>
        <v>#VALUE!</v>
      </c>
      <c r="I4591" s="7" t="str">
        <f ca="1">IFERROR(__xludf.DUMMYFUNCTION("IMPORTXML(E4591,""/html/body/main/div[3]/div[3]/div[2]/ul/li[5]/span[2]/span"")"),"Loading...")</f>
        <v>Loading...</v>
      </c>
      <c r="J4591" s="7" t="str">
        <f ca="1">IFERROR(__xludf.DUMMYFUNCTION("GOOGLEFINANCE(""NSE:""&amp;D4591,""marketcap"")"),"#N/A")</f>
        <v>#N/A</v>
      </c>
      <c r="K4591" s="7">
        <v>992.8</v>
      </c>
      <c r="L4591" s="8" t="str">
        <f ca="1">IFERROR(__xludf.DUMMYFUNCTION("GOOGLEFINANCE(""NSE:""&amp;D4591,""price"")"),"#N/A")</f>
        <v>#N/A</v>
      </c>
      <c r="M4591" s="9" t="e">
        <f t="shared" ca="1" si="92"/>
        <v>#VALUE!</v>
      </c>
      <c r="N4591" s="10" t="e">
        <f t="shared" ca="1" si="93"/>
        <v>#VALUE!</v>
      </c>
      <c r="O4591" s="7" t="str">
        <f ca="1">IFERROR(__xludf.DUMMYFUNCTION("GOOGLEFINANCE(""NSE:""&amp;D4591,""pe"")"),"#N/A")</f>
        <v>#N/A</v>
      </c>
      <c r="P4591" s="7" t="str">
        <f ca="1">IFERROR(__xludf.DUMMYFUNCTION("GOOGLEFINANCE(""NSE:""&amp;D4591,""EPS"")"),"#N/A")</f>
        <v>#N/A</v>
      </c>
      <c r="Q4591" s="7">
        <v>13.5</v>
      </c>
      <c r="R4591" s="7" t="str">
        <f ca="1">IFERROR(__xludf.DUMMYFUNCTION("IMPORTXML(E4591,""/html/body/main/div[3]/div[3]/div[2]/ul/li[7]/span[2]/span"")"),"Loading...")</f>
        <v>Loading...</v>
      </c>
      <c r="S4591" s="7" t="str">
        <f ca="1">IFERROR(__xludf.DUMMYFUNCTION("IMPORTXML(E4591,""/html/body/main/div[3]/div[3]/div[2]/ul/li[8]/span[2]/span"")"),"Loading...")</f>
        <v>Loading...</v>
      </c>
      <c r="T4591" s="4">
        <v>34.6</v>
      </c>
      <c r="U4591" s="4">
        <v>22.7</v>
      </c>
      <c r="V4591" s="4">
        <v>2.6</v>
      </c>
      <c r="W4591" s="4">
        <v>5.7</v>
      </c>
      <c r="X4591" s="4">
        <v>519.92999999999995</v>
      </c>
      <c r="Y4591" s="7" t="e">
        <f t="shared" ca="1" si="94"/>
        <v>#VALUE!</v>
      </c>
    </row>
    <row r="4592" spans="1:25" ht="15" x14ac:dyDescent="0.25">
      <c r="A4592" s="4">
        <v>4591</v>
      </c>
      <c r="C4592" s="41" t="s">
        <v>6969</v>
      </c>
      <c r="D4592" s="42"/>
      <c r="E4592" s="5" t="str">
        <f t="shared" si="90"/>
        <v>https://www.screener.in/company//consolidated/</v>
      </c>
      <c r="F4592" s="4">
        <v>443059</v>
      </c>
      <c r="G4592" s="4">
        <v>3832241897</v>
      </c>
      <c r="H4592" s="6" t="e">
        <f t="shared" ca="1" si="91"/>
        <v>#VALUE!</v>
      </c>
      <c r="I4592" s="7" t="str">
        <f ca="1">IFERROR(__xludf.DUMMYFUNCTION("IMPORTXML(E4592,""/html/body/main/div[3]/div[3]/div[2]/ul/li[5]/span[2]/span"")"),"Loading...")</f>
        <v>Loading...</v>
      </c>
      <c r="J4592" s="7" t="str">
        <f ca="1">IFERROR(__xludf.DUMMYFUNCTION("GOOGLEFINANCE(""NSE:""&amp;D4592,""marketcap"")"),"#N/A")</f>
        <v>#N/A</v>
      </c>
      <c r="K4592" s="7">
        <v>992.8</v>
      </c>
      <c r="L4592" s="8" t="str">
        <f ca="1">IFERROR(__xludf.DUMMYFUNCTION("GOOGLEFINANCE(""NSE:""&amp;D4592,""price"")"),"#N/A")</f>
        <v>#N/A</v>
      </c>
      <c r="M4592" s="9" t="e">
        <f t="shared" ca="1" si="92"/>
        <v>#VALUE!</v>
      </c>
      <c r="N4592" s="10" t="e">
        <f t="shared" ca="1" si="93"/>
        <v>#VALUE!</v>
      </c>
      <c r="O4592" s="7" t="str">
        <f ca="1">IFERROR(__xludf.DUMMYFUNCTION("GOOGLEFINANCE(""NSE:""&amp;D4592,""pe"")"),"#N/A")</f>
        <v>#N/A</v>
      </c>
      <c r="P4592" s="7" t="str">
        <f ca="1">IFERROR(__xludf.DUMMYFUNCTION("GOOGLEFINANCE(""NSE:""&amp;D4592,""EPS"")"),"#N/A")</f>
        <v>#N/A</v>
      </c>
      <c r="Q4592" s="7">
        <v>13.5</v>
      </c>
      <c r="R4592" s="7" t="str">
        <f ca="1">IFERROR(__xludf.DUMMYFUNCTION("IMPORTXML(E4592,""/html/body/main/div[3]/div[3]/div[2]/ul/li[7]/span[2]/span"")"),"Loading...")</f>
        <v>Loading...</v>
      </c>
      <c r="S4592" s="7" t="str">
        <f ca="1">IFERROR(__xludf.DUMMYFUNCTION("IMPORTXML(E4592,""/html/body/main/div[3]/div[3]/div[2]/ul/li[8]/span[2]/span"")"),"Loading...")</f>
        <v>Loading...</v>
      </c>
      <c r="T4592" s="4">
        <v>34.6</v>
      </c>
      <c r="U4592" s="4">
        <v>22.7</v>
      </c>
      <c r="V4592" s="4">
        <v>2.6</v>
      </c>
      <c r="W4592" s="4">
        <v>5.7</v>
      </c>
      <c r="X4592" s="4">
        <v>519.92999999999995</v>
      </c>
      <c r="Y4592" s="7" t="e">
        <f t="shared" ca="1" si="94"/>
        <v>#VALUE!</v>
      </c>
    </row>
    <row r="4593" spans="1:25" ht="15" x14ac:dyDescent="0.25">
      <c r="A4593" s="4">
        <v>4592</v>
      </c>
      <c r="C4593" s="41" t="s">
        <v>6970</v>
      </c>
      <c r="D4593" s="42"/>
      <c r="E4593" s="5" t="str">
        <f t="shared" si="90"/>
        <v>https://www.screener.in/company//consolidated/</v>
      </c>
      <c r="F4593" s="4">
        <v>443059</v>
      </c>
      <c r="G4593" s="4">
        <v>3832241897</v>
      </c>
      <c r="H4593" s="6" t="e">
        <f t="shared" ca="1" si="91"/>
        <v>#VALUE!</v>
      </c>
      <c r="I4593" s="7" t="str">
        <f ca="1">IFERROR(__xludf.DUMMYFUNCTION("IMPORTXML(E4593,""/html/body/main/div[3]/div[3]/div[2]/ul/li[5]/span[2]/span"")"),"Loading...")</f>
        <v>Loading...</v>
      </c>
      <c r="J4593" s="7" t="str">
        <f ca="1">IFERROR(__xludf.DUMMYFUNCTION("GOOGLEFINANCE(""NSE:""&amp;D4593,""marketcap"")"),"#N/A")</f>
        <v>#N/A</v>
      </c>
      <c r="K4593" s="7">
        <v>992.8</v>
      </c>
      <c r="L4593" s="8" t="str">
        <f ca="1">IFERROR(__xludf.DUMMYFUNCTION("GOOGLEFINANCE(""NSE:""&amp;D4593,""price"")"),"#N/A")</f>
        <v>#N/A</v>
      </c>
      <c r="M4593" s="9" t="e">
        <f t="shared" ca="1" si="92"/>
        <v>#VALUE!</v>
      </c>
      <c r="N4593" s="10" t="e">
        <f t="shared" ca="1" si="93"/>
        <v>#VALUE!</v>
      </c>
      <c r="O4593" s="7" t="str">
        <f ca="1">IFERROR(__xludf.DUMMYFUNCTION("GOOGLEFINANCE(""NSE:""&amp;D4593,""pe"")"),"#N/A")</f>
        <v>#N/A</v>
      </c>
      <c r="P4593" s="7" t="str">
        <f ca="1">IFERROR(__xludf.DUMMYFUNCTION("GOOGLEFINANCE(""NSE:""&amp;D4593,""EPS"")"),"#N/A")</f>
        <v>#N/A</v>
      </c>
      <c r="Q4593" s="7">
        <v>13.5</v>
      </c>
      <c r="R4593" s="7" t="str">
        <f ca="1">IFERROR(__xludf.DUMMYFUNCTION("IMPORTXML(E4593,""/html/body/main/div[3]/div[3]/div[2]/ul/li[7]/span[2]/span"")"),"Loading...")</f>
        <v>Loading...</v>
      </c>
      <c r="S4593" s="7" t="str">
        <f ca="1">IFERROR(__xludf.DUMMYFUNCTION("IMPORTXML(E4593,""/html/body/main/div[3]/div[3]/div[2]/ul/li[8]/span[2]/span"")"),"Loading...")</f>
        <v>Loading...</v>
      </c>
      <c r="T4593" s="4">
        <v>34.6</v>
      </c>
      <c r="U4593" s="4">
        <v>22.7</v>
      </c>
      <c r="V4593" s="4">
        <v>2.6</v>
      </c>
      <c r="W4593" s="4">
        <v>5.7</v>
      </c>
      <c r="X4593" s="4">
        <v>519.92999999999995</v>
      </c>
      <c r="Y4593" s="7" t="e">
        <f t="shared" ca="1" si="94"/>
        <v>#VALUE!</v>
      </c>
    </row>
    <row r="4594" spans="1:25" ht="15" x14ac:dyDescent="0.25">
      <c r="A4594" s="4">
        <v>4593</v>
      </c>
      <c r="C4594" s="41" t="s">
        <v>6971</v>
      </c>
      <c r="D4594" s="42"/>
      <c r="E4594" s="5" t="str">
        <f t="shared" si="90"/>
        <v>https://www.screener.in/company//consolidated/</v>
      </c>
      <c r="F4594" s="4">
        <v>443059</v>
      </c>
      <c r="G4594" s="4">
        <v>3832241897</v>
      </c>
      <c r="H4594" s="6" t="e">
        <f t="shared" ca="1" si="91"/>
        <v>#VALUE!</v>
      </c>
      <c r="I4594" s="7" t="str">
        <f ca="1">IFERROR(__xludf.DUMMYFUNCTION("IMPORTXML(E4594,""/html/body/main/div[3]/div[3]/div[2]/ul/li[5]/span[2]/span"")"),"Loading...")</f>
        <v>Loading...</v>
      </c>
      <c r="J4594" s="7" t="str">
        <f ca="1">IFERROR(__xludf.DUMMYFUNCTION("GOOGLEFINANCE(""NSE:""&amp;D4594,""marketcap"")"),"#N/A")</f>
        <v>#N/A</v>
      </c>
      <c r="K4594" s="7">
        <v>992.8</v>
      </c>
      <c r="L4594" s="8" t="str">
        <f ca="1">IFERROR(__xludf.DUMMYFUNCTION("GOOGLEFINANCE(""NSE:""&amp;D4594,""price"")"),"#N/A")</f>
        <v>#N/A</v>
      </c>
      <c r="M4594" s="9" t="e">
        <f t="shared" ca="1" si="92"/>
        <v>#VALUE!</v>
      </c>
      <c r="N4594" s="10" t="e">
        <f t="shared" ca="1" si="93"/>
        <v>#VALUE!</v>
      </c>
      <c r="O4594" s="7" t="str">
        <f ca="1">IFERROR(__xludf.DUMMYFUNCTION("GOOGLEFINANCE(""NSE:""&amp;D4594,""pe"")"),"#N/A")</f>
        <v>#N/A</v>
      </c>
      <c r="P4594" s="7" t="str">
        <f ca="1">IFERROR(__xludf.DUMMYFUNCTION("GOOGLEFINANCE(""NSE:""&amp;D4594,""EPS"")"),"#N/A")</f>
        <v>#N/A</v>
      </c>
      <c r="Q4594" s="7">
        <v>13.5</v>
      </c>
      <c r="R4594" s="7" t="str">
        <f ca="1">IFERROR(__xludf.DUMMYFUNCTION("IMPORTXML(E4594,""/html/body/main/div[3]/div[3]/div[2]/ul/li[7]/span[2]/span"")"),"Loading...")</f>
        <v>Loading...</v>
      </c>
      <c r="S4594" s="7" t="str">
        <f ca="1">IFERROR(__xludf.DUMMYFUNCTION("IMPORTXML(E4594,""/html/body/main/div[3]/div[3]/div[2]/ul/li[8]/span[2]/span"")"),"Loading...")</f>
        <v>Loading...</v>
      </c>
      <c r="T4594" s="4">
        <v>34.6</v>
      </c>
      <c r="U4594" s="4">
        <v>22.7</v>
      </c>
      <c r="V4594" s="4">
        <v>2.6</v>
      </c>
      <c r="W4594" s="4">
        <v>5.7</v>
      </c>
      <c r="X4594" s="4">
        <v>519.92999999999995</v>
      </c>
      <c r="Y4594" s="7" t="e">
        <f t="shared" ca="1" si="94"/>
        <v>#VALUE!</v>
      </c>
    </row>
    <row r="4595" spans="1:25" ht="15" x14ac:dyDescent="0.25">
      <c r="A4595" s="4">
        <v>4594</v>
      </c>
      <c r="C4595" s="41" t="s">
        <v>6972</v>
      </c>
      <c r="D4595" s="42"/>
      <c r="E4595" s="5" t="str">
        <f t="shared" si="90"/>
        <v>https://www.screener.in/company//consolidated/</v>
      </c>
      <c r="F4595" s="4">
        <v>443059</v>
      </c>
      <c r="G4595" s="4">
        <v>3832241897</v>
      </c>
      <c r="H4595" s="6" t="e">
        <f t="shared" ca="1" si="91"/>
        <v>#VALUE!</v>
      </c>
      <c r="I4595" s="7" t="str">
        <f ca="1">IFERROR(__xludf.DUMMYFUNCTION("IMPORTXML(E4595,""/html/body/main/div[3]/div[3]/div[2]/ul/li[5]/span[2]/span"")"),"Loading...")</f>
        <v>Loading...</v>
      </c>
      <c r="J4595" s="7" t="str">
        <f ca="1">IFERROR(__xludf.DUMMYFUNCTION("GOOGLEFINANCE(""NSE:""&amp;D4595,""marketcap"")"),"#N/A")</f>
        <v>#N/A</v>
      </c>
      <c r="K4595" s="7">
        <v>992.8</v>
      </c>
      <c r="L4595" s="8" t="str">
        <f ca="1">IFERROR(__xludf.DUMMYFUNCTION("GOOGLEFINANCE(""NSE:""&amp;D4595,""price"")"),"#N/A")</f>
        <v>#N/A</v>
      </c>
      <c r="M4595" s="9" t="e">
        <f t="shared" ca="1" si="92"/>
        <v>#VALUE!</v>
      </c>
      <c r="N4595" s="10" t="e">
        <f t="shared" ca="1" si="93"/>
        <v>#VALUE!</v>
      </c>
      <c r="O4595" s="7" t="str">
        <f ca="1">IFERROR(__xludf.DUMMYFUNCTION("GOOGLEFINANCE(""NSE:""&amp;D4595,""pe"")"),"#N/A")</f>
        <v>#N/A</v>
      </c>
      <c r="P4595" s="7" t="str">
        <f ca="1">IFERROR(__xludf.DUMMYFUNCTION("GOOGLEFINANCE(""NSE:""&amp;D4595,""EPS"")"),"#N/A")</f>
        <v>#N/A</v>
      </c>
      <c r="Q4595" s="7">
        <v>13.5</v>
      </c>
      <c r="R4595" s="7" t="str">
        <f ca="1">IFERROR(__xludf.DUMMYFUNCTION("IMPORTXML(E4595,""/html/body/main/div[3]/div[3]/div[2]/ul/li[7]/span[2]/span"")"),"Loading...")</f>
        <v>Loading...</v>
      </c>
      <c r="S4595" s="7" t="str">
        <f ca="1">IFERROR(__xludf.DUMMYFUNCTION("IMPORTXML(E4595,""/html/body/main/div[3]/div[3]/div[2]/ul/li[8]/span[2]/span"")"),"Loading...")</f>
        <v>Loading...</v>
      </c>
      <c r="T4595" s="4">
        <v>34.6</v>
      </c>
      <c r="U4595" s="4">
        <v>22.7</v>
      </c>
      <c r="V4595" s="4">
        <v>2.6</v>
      </c>
      <c r="W4595" s="4">
        <v>5.7</v>
      </c>
      <c r="X4595" s="4">
        <v>519.92999999999995</v>
      </c>
      <c r="Y4595" s="7" t="e">
        <f t="shared" ca="1" si="94"/>
        <v>#VALUE!</v>
      </c>
    </row>
    <row r="4596" spans="1:25" ht="15" x14ac:dyDescent="0.25">
      <c r="A4596" s="4">
        <v>4595</v>
      </c>
      <c r="C4596" s="41" t="s">
        <v>6973</v>
      </c>
      <c r="D4596" s="42"/>
      <c r="E4596" s="5" t="str">
        <f t="shared" si="90"/>
        <v>https://www.screener.in/company//consolidated/</v>
      </c>
      <c r="F4596" s="4">
        <v>443059</v>
      </c>
      <c r="G4596" s="4">
        <v>3832241897</v>
      </c>
      <c r="H4596" s="6" t="e">
        <f t="shared" ca="1" si="91"/>
        <v>#VALUE!</v>
      </c>
      <c r="I4596" s="7" t="str">
        <f ca="1">IFERROR(__xludf.DUMMYFUNCTION("IMPORTXML(E4596,""/html/body/main/div[3]/div[3]/div[2]/ul/li[5]/span[2]/span"")"),"Loading...")</f>
        <v>Loading...</v>
      </c>
      <c r="J4596" s="7" t="str">
        <f ca="1">IFERROR(__xludf.DUMMYFUNCTION("GOOGLEFINANCE(""NSE:""&amp;D4596,""marketcap"")"),"#N/A")</f>
        <v>#N/A</v>
      </c>
      <c r="K4596" s="7">
        <v>992.8</v>
      </c>
      <c r="L4596" s="8" t="str">
        <f ca="1">IFERROR(__xludf.DUMMYFUNCTION("GOOGLEFINANCE(""NSE:""&amp;D4596,""price"")"),"#N/A")</f>
        <v>#N/A</v>
      </c>
      <c r="M4596" s="9" t="e">
        <f t="shared" ca="1" si="92"/>
        <v>#VALUE!</v>
      </c>
      <c r="N4596" s="10" t="e">
        <f t="shared" ca="1" si="93"/>
        <v>#VALUE!</v>
      </c>
      <c r="O4596" s="7" t="str">
        <f ca="1">IFERROR(__xludf.DUMMYFUNCTION("GOOGLEFINANCE(""NSE:""&amp;D4596,""pe"")"),"#N/A")</f>
        <v>#N/A</v>
      </c>
      <c r="P4596" s="7" t="str">
        <f ca="1">IFERROR(__xludf.DUMMYFUNCTION("GOOGLEFINANCE(""NSE:""&amp;D4596,""EPS"")"),"#N/A")</f>
        <v>#N/A</v>
      </c>
      <c r="Q4596" s="7">
        <v>13.5</v>
      </c>
      <c r="R4596" s="7" t="str">
        <f ca="1">IFERROR(__xludf.DUMMYFUNCTION("IMPORTXML(E4596,""/html/body/main/div[3]/div[3]/div[2]/ul/li[7]/span[2]/span"")"),"Loading...")</f>
        <v>Loading...</v>
      </c>
      <c r="S4596" s="7" t="str">
        <f ca="1">IFERROR(__xludf.DUMMYFUNCTION("IMPORTXML(E4596,""/html/body/main/div[3]/div[3]/div[2]/ul/li[8]/span[2]/span"")"),"Loading...")</f>
        <v>Loading...</v>
      </c>
      <c r="T4596" s="4">
        <v>34.6</v>
      </c>
      <c r="U4596" s="4">
        <v>22.7</v>
      </c>
      <c r="V4596" s="4">
        <v>2.6</v>
      </c>
      <c r="W4596" s="4">
        <v>5.7</v>
      </c>
      <c r="X4596" s="4">
        <v>519.92999999999995</v>
      </c>
      <c r="Y4596" s="7" t="e">
        <f t="shared" ca="1" si="94"/>
        <v>#VALUE!</v>
      </c>
    </row>
    <row r="4597" spans="1:25" ht="15" x14ac:dyDescent="0.25">
      <c r="A4597" s="4">
        <v>4596</v>
      </c>
      <c r="C4597" s="41" t="s">
        <v>6974</v>
      </c>
      <c r="D4597" s="42"/>
      <c r="E4597" s="5" t="str">
        <f t="shared" si="90"/>
        <v>https://www.screener.in/company//consolidated/</v>
      </c>
      <c r="F4597" s="4">
        <v>443059</v>
      </c>
      <c r="G4597" s="4">
        <v>3832241897</v>
      </c>
      <c r="H4597" s="6" t="e">
        <f t="shared" ca="1" si="91"/>
        <v>#VALUE!</v>
      </c>
      <c r="I4597" s="7" t="str">
        <f ca="1">IFERROR(__xludf.DUMMYFUNCTION("IMPORTXML(E4597,""/html/body/main/div[3]/div[3]/div[2]/ul/li[5]/span[2]/span"")"),"Loading...")</f>
        <v>Loading...</v>
      </c>
      <c r="J4597" s="7" t="str">
        <f ca="1">IFERROR(__xludf.DUMMYFUNCTION("GOOGLEFINANCE(""NSE:""&amp;D4597,""marketcap"")"),"#N/A")</f>
        <v>#N/A</v>
      </c>
      <c r="K4597" s="7">
        <v>992.8</v>
      </c>
      <c r="L4597" s="8" t="str">
        <f ca="1">IFERROR(__xludf.DUMMYFUNCTION("GOOGLEFINANCE(""NSE:""&amp;D4597,""price"")"),"#N/A")</f>
        <v>#N/A</v>
      </c>
      <c r="M4597" s="9" t="e">
        <f t="shared" ca="1" si="92"/>
        <v>#VALUE!</v>
      </c>
      <c r="N4597" s="10" t="e">
        <f t="shared" ca="1" si="93"/>
        <v>#VALUE!</v>
      </c>
      <c r="O4597" s="7" t="str">
        <f ca="1">IFERROR(__xludf.DUMMYFUNCTION("GOOGLEFINANCE(""NSE:""&amp;D4597,""pe"")"),"#N/A")</f>
        <v>#N/A</v>
      </c>
      <c r="P4597" s="7" t="str">
        <f ca="1">IFERROR(__xludf.DUMMYFUNCTION("GOOGLEFINANCE(""NSE:""&amp;D4597,""EPS"")"),"#N/A")</f>
        <v>#N/A</v>
      </c>
      <c r="Q4597" s="7">
        <v>13.5</v>
      </c>
      <c r="R4597" s="7" t="str">
        <f ca="1">IFERROR(__xludf.DUMMYFUNCTION("IMPORTXML(E4597,""/html/body/main/div[3]/div[3]/div[2]/ul/li[7]/span[2]/span"")"),"Loading...")</f>
        <v>Loading...</v>
      </c>
      <c r="S4597" s="7" t="str">
        <f ca="1">IFERROR(__xludf.DUMMYFUNCTION("IMPORTXML(E4597,""/html/body/main/div[3]/div[3]/div[2]/ul/li[8]/span[2]/span"")"),"Loading...")</f>
        <v>Loading...</v>
      </c>
      <c r="T4597" s="4">
        <v>34.6</v>
      </c>
      <c r="U4597" s="4">
        <v>22.7</v>
      </c>
      <c r="V4597" s="4">
        <v>2.6</v>
      </c>
      <c r="W4597" s="4">
        <v>5.7</v>
      </c>
      <c r="X4597" s="4">
        <v>519.92999999999995</v>
      </c>
      <c r="Y4597" s="7" t="e">
        <f t="shared" ca="1" si="94"/>
        <v>#VALUE!</v>
      </c>
    </row>
    <row r="4598" spans="1:25" ht="15" x14ac:dyDescent="0.25">
      <c r="A4598" s="4">
        <v>4597</v>
      </c>
      <c r="C4598" s="41" t="s">
        <v>6975</v>
      </c>
      <c r="D4598" s="42"/>
      <c r="E4598" s="5" t="str">
        <f t="shared" si="90"/>
        <v>https://www.screener.in/company//consolidated/</v>
      </c>
      <c r="F4598" s="4">
        <v>443059</v>
      </c>
      <c r="G4598" s="4">
        <v>3832241897</v>
      </c>
      <c r="H4598" s="6" t="e">
        <f t="shared" ca="1" si="91"/>
        <v>#VALUE!</v>
      </c>
      <c r="I4598" s="7" t="str">
        <f ca="1">IFERROR(__xludf.DUMMYFUNCTION("IMPORTXML(E4598,""/html/body/main/div[3]/div[3]/div[2]/ul/li[5]/span[2]/span"")"),"Loading...")</f>
        <v>Loading...</v>
      </c>
      <c r="J4598" s="7" t="str">
        <f ca="1">IFERROR(__xludf.DUMMYFUNCTION("GOOGLEFINANCE(""NSE:""&amp;D4598,""marketcap"")"),"#N/A")</f>
        <v>#N/A</v>
      </c>
      <c r="K4598" s="7">
        <v>992.8</v>
      </c>
      <c r="L4598" s="8" t="str">
        <f ca="1">IFERROR(__xludf.DUMMYFUNCTION("GOOGLEFINANCE(""NSE:""&amp;D4598,""price"")"),"#N/A")</f>
        <v>#N/A</v>
      </c>
      <c r="M4598" s="9" t="e">
        <f t="shared" ca="1" si="92"/>
        <v>#VALUE!</v>
      </c>
      <c r="N4598" s="10" t="e">
        <f t="shared" ca="1" si="93"/>
        <v>#VALUE!</v>
      </c>
      <c r="O4598" s="7" t="str">
        <f ca="1">IFERROR(__xludf.DUMMYFUNCTION("GOOGLEFINANCE(""NSE:""&amp;D4598,""pe"")"),"#N/A")</f>
        <v>#N/A</v>
      </c>
      <c r="P4598" s="7" t="str">
        <f ca="1">IFERROR(__xludf.DUMMYFUNCTION("GOOGLEFINANCE(""NSE:""&amp;D4598,""EPS"")"),"#N/A")</f>
        <v>#N/A</v>
      </c>
      <c r="Q4598" s="7">
        <v>13.5</v>
      </c>
      <c r="R4598" s="7" t="str">
        <f ca="1">IFERROR(__xludf.DUMMYFUNCTION("IMPORTXML(E4598,""/html/body/main/div[3]/div[3]/div[2]/ul/li[7]/span[2]/span"")"),"Loading...")</f>
        <v>Loading...</v>
      </c>
      <c r="S4598" s="7" t="str">
        <f ca="1">IFERROR(__xludf.DUMMYFUNCTION("IMPORTXML(E4598,""/html/body/main/div[3]/div[3]/div[2]/ul/li[8]/span[2]/span"")"),"Loading...")</f>
        <v>Loading...</v>
      </c>
      <c r="T4598" s="4">
        <v>34.6</v>
      </c>
      <c r="U4598" s="4">
        <v>22.7</v>
      </c>
      <c r="V4598" s="4">
        <v>2.6</v>
      </c>
      <c r="W4598" s="4">
        <v>5.7</v>
      </c>
      <c r="X4598" s="4">
        <v>519.92999999999995</v>
      </c>
      <c r="Y4598" s="7" t="e">
        <f t="shared" ca="1" si="94"/>
        <v>#VALUE!</v>
      </c>
    </row>
    <row r="4599" spans="1:25" ht="15" x14ac:dyDescent="0.25">
      <c r="A4599" s="4">
        <v>4598</v>
      </c>
      <c r="C4599" s="41" t="s">
        <v>6976</v>
      </c>
      <c r="D4599" s="42"/>
      <c r="E4599" s="5" t="str">
        <f t="shared" si="90"/>
        <v>https://www.screener.in/company//consolidated/</v>
      </c>
      <c r="F4599" s="4">
        <v>443059</v>
      </c>
      <c r="G4599" s="4">
        <v>3832241897</v>
      </c>
      <c r="H4599" s="6" t="e">
        <f t="shared" ca="1" si="91"/>
        <v>#VALUE!</v>
      </c>
      <c r="I4599" s="7" t="str">
        <f ca="1">IFERROR(__xludf.DUMMYFUNCTION("IMPORTXML(E4599,""/html/body/main/div[3]/div[3]/div[2]/ul/li[5]/span[2]/span"")"),"Loading...")</f>
        <v>Loading...</v>
      </c>
      <c r="J4599" s="7" t="str">
        <f ca="1">IFERROR(__xludf.DUMMYFUNCTION("GOOGLEFINANCE(""NSE:""&amp;D4599,""marketcap"")"),"#N/A")</f>
        <v>#N/A</v>
      </c>
      <c r="K4599" s="7">
        <v>992.8</v>
      </c>
      <c r="L4599" s="8" t="str">
        <f ca="1">IFERROR(__xludf.DUMMYFUNCTION("GOOGLEFINANCE(""NSE:""&amp;D4599,""price"")"),"#N/A")</f>
        <v>#N/A</v>
      </c>
      <c r="M4599" s="9" t="e">
        <f t="shared" ca="1" si="92"/>
        <v>#VALUE!</v>
      </c>
      <c r="N4599" s="10" t="e">
        <f t="shared" ca="1" si="93"/>
        <v>#VALUE!</v>
      </c>
      <c r="O4599" s="7" t="str">
        <f ca="1">IFERROR(__xludf.DUMMYFUNCTION("GOOGLEFINANCE(""NSE:""&amp;D4599,""pe"")"),"#N/A")</f>
        <v>#N/A</v>
      </c>
      <c r="P4599" s="7" t="str">
        <f ca="1">IFERROR(__xludf.DUMMYFUNCTION("GOOGLEFINANCE(""NSE:""&amp;D4599,""EPS"")"),"#N/A")</f>
        <v>#N/A</v>
      </c>
      <c r="Q4599" s="7">
        <v>13.5</v>
      </c>
      <c r="R4599" s="7" t="str">
        <f ca="1">IFERROR(__xludf.DUMMYFUNCTION("IMPORTXML(E4599,""/html/body/main/div[3]/div[3]/div[2]/ul/li[7]/span[2]/span"")"),"Loading...")</f>
        <v>Loading...</v>
      </c>
      <c r="S4599" s="7" t="str">
        <f ca="1">IFERROR(__xludf.DUMMYFUNCTION("IMPORTXML(E4599,""/html/body/main/div[3]/div[3]/div[2]/ul/li[8]/span[2]/span"")"),"Loading...")</f>
        <v>Loading...</v>
      </c>
      <c r="T4599" s="4">
        <v>34.6</v>
      </c>
      <c r="U4599" s="4">
        <v>22.7</v>
      </c>
      <c r="V4599" s="4">
        <v>2.6</v>
      </c>
      <c r="W4599" s="4">
        <v>5.7</v>
      </c>
      <c r="X4599" s="4">
        <v>519.92999999999995</v>
      </c>
      <c r="Y4599" s="7" t="e">
        <f t="shared" ca="1" si="94"/>
        <v>#VALUE!</v>
      </c>
    </row>
    <row r="4600" spans="1:25" ht="15" x14ac:dyDescent="0.25">
      <c r="A4600" s="4">
        <v>4599</v>
      </c>
      <c r="C4600" s="41" t="s">
        <v>6977</v>
      </c>
      <c r="D4600" s="42"/>
      <c r="E4600" s="5" t="str">
        <f t="shared" si="90"/>
        <v>https://www.screener.in/company//consolidated/</v>
      </c>
      <c r="F4600" s="4">
        <v>443059</v>
      </c>
      <c r="G4600" s="4">
        <v>3832241897</v>
      </c>
      <c r="H4600" s="6" t="e">
        <f t="shared" ca="1" si="91"/>
        <v>#VALUE!</v>
      </c>
      <c r="I4600" s="7" t="str">
        <f ca="1">IFERROR(__xludf.DUMMYFUNCTION("IMPORTXML(E4600,""/html/body/main/div[3]/div[3]/div[2]/ul/li[5]/span[2]/span"")"),"Loading...")</f>
        <v>Loading...</v>
      </c>
      <c r="J4600" s="7" t="str">
        <f ca="1">IFERROR(__xludf.DUMMYFUNCTION("GOOGLEFINANCE(""NSE:""&amp;D4600,""marketcap"")"),"#N/A")</f>
        <v>#N/A</v>
      </c>
      <c r="K4600" s="7">
        <v>992.8</v>
      </c>
      <c r="L4600" s="8" t="str">
        <f ca="1">IFERROR(__xludf.DUMMYFUNCTION("GOOGLEFINANCE(""NSE:""&amp;D4600,""price"")"),"#N/A")</f>
        <v>#N/A</v>
      </c>
      <c r="M4600" s="9" t="e">
        <f t="shared" ca="1" si="92"/>
        <v>#VALUE!</v>
      </c>
      <c r="N4600" s="10" t="e">
        <f t="shared" ca="1" si="93"/>
        <v>#VALUE!</v>
      </c>
      <c r="O4600" s="7" t="str">
        <f ca="1">IFERROR(__xludf.DUMMYFUNCTION("GOOGLEFINANCE(""NSE:""&amp;D4600,""pe"")"),"#N/A")</f>
        <v>#N/A</v>
      </c>
      <c r="P4600" s="7" t="str">
        <f ca="1">IFERROR(__xludf.DUMMYFUNCTION("GOOGLEFINANCE(""NSE:""&amp;D4600,""EPS"")"),"#N/A")</f>
        <v>#N/A</v>
      </c>
      <c r="Q4600" s="7">
        <v>13.5</v>
      </c>
      <c r="R4600" s="7" t="str">
        <f ca="1">IFERROR(__xludf.DUMMYFUNCTION("IMPORTXML(E4600,""/html/body/main/div[3]/div[3]/div[2]/ul/li[7]/span[2]/span"")"),"Loading...")</f>
        <v>Loading...</v>
      </c>
      <c r="S4600" s="7" t="str">
        <f ca="1">IFERROR(__xludf.DUMMYFUNCTION("IMPORTXML(E4600,""/html/body/main/div[3]/div[3]/div[2]/ul/li[8]/span[2]/span"")"),"Loading...")</f>
        <v>Loading...</v>
      </c>
      <c r="T4600" s="4">
        <v>34.6</v>
      </c>
      <c r="U4600" s="4">
        <v>22.7</v>
      </c>
      <c r="V4600" s="4">
        <v>2.6</v>
      </c>
      <c r="W4600" s="4">
        <v>5.7</v>
      </c>
      <c r="X4600" s="4">
        <v>519.92999999999995</v>
      </c>
      <c r="Y4600" s="7" t="e">
        <f t="shared" ca="1" si="94"/>
        <v>#VALUE!</v>
      </c>
    </row>
    <row r="4601" spans="1:25" ht="15" x14ac:dyDescent="0.25">
      <c r="A4601" s="4">
        <v>4600</v>
      </c>
      <c r="C4601" s="41" t="s">
        <v>6978</v>
      </c>
      <c r="D4601" s="42"/>
      <c r="E4601" s="5" t="str">
        <f t="shared" si="90"/>
        <v>https://www.screener.in/company//consolidated/</v>
      </c>
      <c r="F4601" s="4">
        <v>443059</v>
      </c>
      <c r="G4601" s="4">
        <v>3832241897</v>
      </c>
      <c r="H4601" s="6" t="e">
        <f t="shared" ca="1" si="91"/>
        <v>#VALUE!</v>
      </c>
      <c r="I4601" s="7" t="str">
        <f ca="1">IFERROR(__xludf.DUMMYFUNCTION("IMPORTXML(E4601,""/html/body/main/div[3]/div[3]/div[2]/ul/li[5]/span[2]/span"")"),"Loading...")</f>
        <v>Loading...</v>
      </c>
      <c r="J4601" s="7" t="str">
        <f ca="1">IFERROR(__xludf.DUMMYFUNCTION("GOOGLEFINANCE(""NSE:""&amp;D4601,""marketcap"")"),"#N/A")</f>
        <v>#N/A</v>
      </c>
      <c r="K4601" s="7">
        <v>992.8</v>
      </c>
      <c r="L4601" s="8" t="str">
        <f ca="1">IFERROR(__xludf.DUMMYFUNCTION("GOOGLEFINANCE(""NSE:""&amp;D4601,""price"")"),"#N/A")</f>
        <v>#N/A</v>
      </c>
      <c r="M4601" s="9" t="e">
        <f t="shared" ca="1" si="92"/>
        <v>#VALUE!</v>
      </c>
      <c r="N4601" s="10" t="e">
        <f t="shared" ca="1" si="93"/>
        <v>#VALUE!</v>
      </c>
      <c r="O4601" s="7" t="str">
        <f ca="1">IFERROR(__xludf.DUMMYFUNCTION("GOOGLEFINANCE(""NSE:""&amp;D4601,""pe"")"),"#N/A")</f>
        <v>#N/A</v>
      </c>
      <c r="P4601" s="7" t="str">
        <f ca="1">IFERROR(__xludf.DUMMYFUNCTION("GOOGLEFINANCE(""NSE:""&amp;D4601,""EPS"")"),"#N/A")</f>
        <v>#N/A</v>
      </c>
      <c r="Q4601" s="7">
        <v>13.5</v>
      </c>
      <c r="R4601" s="7" t="str">
        <f ca="1">IFERROR(__xludf.DUMMYFUNCTION("IMPORTXML(E4601,""/html/body/main/div[3]/div[3]/div[2]/ul/li[7]/span[2]/span"")"),"Loading...")</f>
        <v>Loading...</v>
      </c>
      <c r="S4601" s="7" t="str">
        <f ca="1">IFERROR(__xludf.DUMMYFUNCTION("IMPORTXML(E4601,""/html/body/main/div[3]/div[3]/div[2]/ul/li[8]/span[2]/span"")"),"Loading...")</f>
        <v>Loading...</v>
      </c>
      <c r="T4601" s="4">
        <v>34.6</v>
      </c>
      <c r="U4601" s="4">
        <v>22.7</v>
      </c>
      <c r="V4601" s="4">
        <v>2.6</v>
      </c>
      <c r="W4601" s="4">
        <v>5.7</v>
      </c>
      <c r="X4601" s="4">
        <v>519.92999999999995</v>
      </c>
      <c r="Y4601" s="7" t="e">
        <f t="shared" ca="1" si="94"/>
        <v>#VALUE!</v>
      </c>
    </row>
    <row r="4602" spans="1:25" ht="15" x14ac:dyDescent="0.25">
      <c r="A4602" s="4">
        <v>4601</v>
      </c>
      <c r="C4602" s="41" t="s">
        <v>6979</v>
      </c>
      <c r="D4602" s="42"/>
      <c r="E4602" s="5" t="str">
        <f t="shared" si="90"/>
        <v>https://www.screener.in/company//consolidated/</v>
      </c>
      <c r="F4602" s="4">
        <v>443059</v>
      </c>
      <c r="G4602" s="4">
        <v>3832241897</v>
      </c>
      <c r="H4602" s="6" t="e">
        <f t="shared" ca="1" si="91"/>
        <v>#VALUE!</v>
      </c>
      <c r="I4602" s="7" t="str">
        <f ca="1">IFERROR(__xludf.DUMMYFUNCTION("IMPORTXML(E4602,""/html/body/main/div[3]/div[3]/div[2]/ul/li[5]/span[2]/span"")"),"Loading...")</f>
        <v>Loading...</v>
      </c>
      <c r="J4602" s="7" t="str">
        <f ca="1">IFERROR(__xludf.DUMMYFUNCTION("GOOGLEFINANCE(""NSE:""&amp;D4602,""marketcap"")"),"#N/A")</f>
        <v>#N/A</v>
      </c>
      <c r="K4602" s="7">
        <v>992.8</v>
      </c>
      <c r="L4602" s="8" t="str">
        <f ca="1">IFERROR(__xludf.DUMMYFUNCTION("GOOGLEFINANCE(""NSE:""&amp;D4602,""price"")"),"#N/A")</f>
        <v>#N/A</v>
      </c>
      <c r="M4602" s="9" t="e">
        <f t="shared" ca="1" si="92"/>
        <v>#VALUE!</v>
      </c>
      <c r="N4602" s="10" t="e">
        <f t="shared" ca="1" si="93"/>
        <v>#VALUE!</v>
      </c>
      <c r="O4602" s="7" t="str">
        <f ca="1">IFERROR(__xludf.DUMMYFUNCTION("GOOGLEFINANCE(""NSE:""&amp;D4602,""pe"")"),"#N/A")</f>
        <v>#N/A</v>
      </c>
      <c r="P4602" s="7" t="str">
        <f ca="1">IFERROR(__xludf.DUMMYFUNCTION("GOOGLEFINANCE(""NSE:""&amp;D4602,""EPS"")"),"#N/A")</f>
        <v>#N/A</v>
      </c>
      <c r="Q4602" s="7">
        <v>13.5</v>
      </c>
      <c r="R4602" s="7" t="str">
        <f ca="1">IFERROR(__xludf.DUMMYFUNCTION("IMPORTXML(E4602,""/html/body/main/div[3]/div[3]/div[2]/ul/li[7]/span[2]/span"")"),"Loading...")</f>
        <v>Loading...</v>
      </c>
      <c r="S4602" s="7" t="str">
        <f ca="1">IFERROR(__xludf.DUMMYFUNCTION("IMPORTXML(E4602,""/html/body/main/div[3]/div[3]/div[2]/ul/li[8]/span[2]/span"")"),"Loading...")</f>
        <v>Loading...</v>
      </c>
      <c r="T4602" s="4">
        <v>34.6</v>
      </c>
      <c r="U4602" s="4">
        <v>22.7</v>
      </c>
      <c r="V4602" s="4">
        <v>2.6</v>
      </c>
      <c r="W4602" s="4">
        <v>5.7</v>
      </c>
      <c r="X4602" s="4">
        <v>519.92999999999995</v>
      </c>
      <c r="Y4602" s="7" t="e">
        <f t="shared" ca="1" si="94"/>
        <v>#VALUE!</v>
      </c>
    </row>
    <row r="4603" spans="1:25" ht="15" x14ac:dyDescent="0.25">
      <c r="A4603" s="4">
        <v>4602</v>
      </c>
      <c r="C4603" s="41" t="s">
        <v>6980</v>
      </c>
      <c r="D4603" s="42"/>
      <c r="E4603" s="5" t="str">
        <f t="shared" si="90"/>
        <v>https://www.screener.in/company//consolidated/</v>
      </c>
      <c r="F4603" s="4">
        <v>443059</v>
      </c>
      <c r="G4603" s="4">
        <v>3832241897</v>
      </c>
      <c r="H4603" s="6" t="e">
        <f t="shared" ca="1" si="91"/>
        <v>#VALUE!</v>
      </c>
      <c r="I4603" s="7" t="str">
        <f ca="1">IFERROR(__xludf.DUMMYFUNCTION("IMPORTXML(E4603,""/html/body/main/div[3]/div[3]/div[2]/ul/li[5]/span[2]/span"")"),"Loading...")</f>
        <v>Loading...</v>
      </c>
      <c r="J4603" s="7" t="str">
        <f ca="1">IFERROR(__xludf.DUMMYFUNCTION("GOOGLEFINANCE(""NSE:""&amp;D4603,""marketcap"")"),"#N/A")</f>
        <v>#N/A</v>
      </c>
      <c r="K4603" s="7">
        <v>992.8</v>
      </c>
      <c r="L4603" s="8" t="str">
        <f ca="1">IFERROR(__xludf.DUMMYFUNCTION("GOOGLEFINANCE(""NSE:""&amp;D4603,""price"")"),"#N/A")</f>
        <v>#N/A</v>
      </c>
      <c r="M4603" s="9" t="e">
        <f t="shared" ca="1" si="92"/>
        <v>#VALUE!</v>
      </c>
      <c r="N4603" s="10" t="e">
        <f t="shared" ca="1" si="93"/>
        <v>#VALUE!</v>
      </c>
      <c r="O4603" s="7" t="str">
        <f ca="1">IFERROR(__xludf.DUMMYFUNCTION("GOOGLEFINANCE(""NSE:""&amp;D4603,""pe"")"),"#N/A")</f>
        <v>#N/A</v>
      </c>
      <c r="P4603" s="7" t="str">
        <f ca="1">IFERROR(__xludf.DUMMYFUNCTION("GOOGLEFINANCE(""NSE:""&amp;D4603,""EPS"")"),"#N/A")</f>
        <v>#N/A</v>
      </c>
      <c r="Q4603" s="7">
        <v>13.5</v>
      </c>
      <c r="R4603" s="7" t="str">
        <f ca="1">IFERROR(__xludf.DUMMYFUNCTION("IMPORTXML(E4603,""/html/body/main/div[3]/div[3]/div[2]/ul/li[7]/span[2]/span"")"),"Loading...")</f>
        <v>Loading...</v>
      </c>
      <c r="S4603" s="7" t="str">
        <f ca="1">IFERROR(__xludf.DUMMYFUNCTION("IMPORTXML(E4603,""/html/body/main/div[3]/div[3]/div[2]/ul/li[8]/span[2]/span"")"),"Loading...")</f>
        <v>Loading...</v>
      </c>
      <c r="T4603" s="4">
        <v>34.6</v>
      </c>
      <c r="U4603" s="4">
        <v>22.7</v>
      </c>
      <c r="V4603" s="4">
        <v>2.6</v>
      </c>
      <c r="W4603" s="4">
        <v>5.7</v>
      </c>
      <c r="X4603" s="4">
        <v>519.92999999999995</v>
      </c>
      <c r="Y4603" s="7" t="e">
        <f t="shared" ca="1" si="94"/>
        <v>#VALUE!</v>
      </c>
    </row>
    <row r="4604" spans="1:25" ht="15" x14ac:dyDescent="0.25">
      <c r="A4604" s="4">
        <v>4603</v>
      </c>
      <c r="C4604" s="41" t="s">
        <v>6981</v>
      </c>
      <c r="D4604" s="42"/>
      <c r="E4604" s="5" t="str">
        <f t="shared" si="90"/>
        <v>https://www.screener.in/company//consolidated/</v>
      </c>
      <c r="F4604" s="4">
        <v>443059</v>
      </c>
      <c r="G4604" s="4">
        <v>3832241897</v>
      </c>
      <c r="H4604" s="6" t="e">
        <f t="shared" ca="1" si="91"/>
        <v>#VALUE!</v>
      </c>
      <c r="I4604" s="7" t="str">
        <f ca="1">IFERROR(__xludf.DUMMYFUNCTION("IMPORTXML(E4604,""/html/body/main/div[3]/div[3]/div[2]/ul/li[5]/span[2]/span"")"),"Loading...")</f>
        <v>Loading...</v>
      </c>
      <c r="J4604" s="7" t="str">
        <f ca="1">IFERROR(__xludf.DUMMYFUNCTION("GOOGLEFINANCE(""NSE:""&amp;D4604,""marketcap"")"),"#N/A")</f>
        <v>#N/A</v>
      </c>
      <c r="K4604" s="7">
        <v>992.8</v>
      </c>
      <c r="L4604" s="8" t="str">
        <f ca="1">IFERROR(__xludf.DUMMYFUNCTION("GOOGLEFINANCE(""NSE:""&amp;D4604,""price"")"),"#N/A")</f>
        <v>#N/A</v>
      </c>
      <c r="M4604" s="9" t="e">
        <f t="shared" ca="1" si="92"/>
        <v>#VALUE!</v>
      </c>
      <c r="N4604" s="10" t="e">
        <f t="shared" ca="1" si="93"/>
        <v>#VALUE!</v>
      </c>
      <c r="O4604" s="7" t="str">
        <f ca="1">IFERROR(__xludf.DUMMYFUNCTION("GOOGLEFINANCE(""NSE:""&amp;D4604,""pe"")"),"#N/A")</f>
        <v>#N/A</v>
      </c>
      <c r="P4604" s="7" t="str">
        <f ca="1">IFERROR(__xludf.DUMMYFUNCTION("GOOGLEFINANCE(""NSE:""&amp;D4604,""EPS"")"),"#N/A")</f>
        <v>#N/A</v>
      </c>
      <c r="Q4604" s="7">
        <v>13.5</v>
      </c>
      <c r="R4604" s="7" t="str">
        <f ca="1">IFERROR(__xludf.DUMMYFUNCTION("IMPORTXML(E4604,""/html/body/main/div[3]/div[3]/div[2]/ul/li[7]/span[2]/span"")"),"Loading...")</f>
        <v>Loading...</v>
      </c>
      <c r="S4604" s="7" t="str">
        <f ca="1">IFERROR(__xludf.DUMMYFUNCTION("IMPORTXML(E4604,""/html/body/main/div[3]/div[3]/div[2]/ul/li[8]/span[2]/span"")"),"Loading...")</f>
        <v>Loading...</v>
      </c>
      <c r="T4604" s="4">
        <v>34.6</v>
      </c>
      <c r="U4604" s="4">
        <v>22.7</v>
      </c>
      <c r="V4604" s="4">
        <v>2.6</v>
      </c>
      <c r="W4604" s="4">
        <v>5.7</v>
      </c>
      <c r="X4604" s="4">
        <v>519.92999999999995</v>
      </c>
      <c r="Y4604" s="7" t="e">
        <f t="shared" ca="1" si="94"/>
        <v>#VALUE!</v>
      </c>
    </row>
    <row r="4605" spans="1:25" ht="15" x14ac:dyDescent="0.25">
      <c r="A4605" s="4">
        <v>4604</v>
      </c>
      <c r="C4605" s="41" t="s">
        <v>6982</v>
      </c>
      <c r="D4605" s="42"/>
      <c r="E4605" s="5" t="str">
        <f t="shared" si="90"/>
        <v>https://www.screener.in/company//consolidated/</v>
      </c>
      <c r="F4605" s="4">
        <v>443059</v>
      </c>
      <c r="G4605" s="4">
        <v>3832241897</v>
      </c>
      <c r="H4605" s="6" t="e">
        <f t="shared" ca="1" si="91"/>
        <v>#VALUE!</v>
      </c>
      <c r="I4605" s="7" t="str">
        <f ca="1">IFERROR(__xludf.DUMMYFUNCTION("IMPORTXML(E4605,""/html/body/main/div[3]/div[3]/div[2]/ul/li[5]/span[2]/span"")"),"Loading...")</f>
        <v>Loading...</v>
      </c>
      <c r="J4605" s="7" t="str">
        <f ca="1">IFERROR(__xludf.DUMMYFUNCTION("GOOGLEFINANCE(""NSE:""&amp;D4605,""marketcap"")"),"#N/A")</f>
        <v>#N/A</v>
      </c>
      <c r="K4605" s="7">
        <v>992.8</v>
      </c>
      <c r="L4605" s="8" t="str">
        <f ca="1">IFERROR(__xludf.DUMMYFUNCTION("GOOGLEFINANCE(""NSE:""&amp;D4605,""price"")"),"#N/A")</f>
        <v>#N/A</v>
      </c>
      <c r="M4605" s="9" t="e">
        <f t="shared" ca="1" si="92"/>
        <v>#VALUE!</v>
      </c>
      <c r="N4605" s="10" t="e">
        <f t="shared" ca="1" si="93"/>
        <v>#VALUE!</v>
      </c>
      <c r="O4605" s="7" t="str">
        <f ca="1">IFERROR(__xludf.DUMMYFUNCTION("GOOGLEFINANCE(""NSE:""&amp;D4605,""pe"")"),"#N/A")</f>
        <v>#N/A</v>
      </c>
      <c r="P4605" s="7" t="str">
        <f ca="1">IFERROR(__xludf.DUMMYFUNCTION("GOOGLEFINANCE(""NSE:""&amp;D4605,""EPS"")"),"#N/A")</f>
        <v>#N/A</v>
      </c>
      <c r="Q4605" s="7">
        <v>13.5</v>
      </c>
      <c r="R4605" s="7" t="str">
        <f ca="1">IFERROR(__xludf.DUMMYFUNCTION("IMPORTXML(E4605,""/html/body/main/div[3]/div[3]/div[2]/ul/li[7]/span[2]/span"")"),"Loading...")</f>
        <v>Loading...</v>
      </c>
      <c r="S4605" s="7" t="str">
        <f ca="1">IFERROR(__xludf.DUMMYFUNCTION("IMPORTXML(E4605,""/html/body/main/div[3]/div[3]/div[2]/ul/li[8]/span[2]/span"")"),"Loading...")</f>
        <v>Loading...</v>
      </c>
      <c r="T4605" s="4">
        <v>34.6</v>
      </c>
      <c r="U4605" s="4">
        <v>22.7</v>
      </c>
      <c r="V4605" s="4">
        <v>2.6</v>
      </c>
      <c r="W4605" s="4">
        <v>5.7</v>
      </c>
      <c r="X4605" s="4">
        <v>519.92999999999995</v>
      </c>
      <c r="Y4605" s="7" t="e">
        <f t="shared" ca="1" si="94"/>
        <v>#VALUE!</v>
      </c>
    </row>
    <row r="4606" spans="1:25" ht="15" x14ac:dyDescent="0.25">
      <c r="A4606" s="4">
        <v>4605</v>
      </c>
      <c r="C4606" s="41" t="s">
        <v>6983</v>
      </c>
      <c r="D4606" s="42"/>
      <c r="E4606" s="5" t="str">
        <f t="shared" si="90"/>
        <v>https://www.screener.in/company//consolidated/</v>
      </c>
      <c r="F4606" s="4">
        <v>443059</v>
      </c>
      <c r="G4606" s="4">
        <v>3832241897</v>
      </c>
      <c r="H4606" s="6" t="e">
        <f t="shared" ca="1" si="91"/>
        <v>#VALUE!</v>
      </c>
      <c r="I4606" s="7" t="str">
        <f ca="1">IFERROR(__xludf.DUMMYFUNCTION("IMPORTXML(E4606,""/html/body/main/div[3]/div[3]/div[2]/ul/li[5]/span[2]/span"")"),"Loading...")</f>
        <v>Loading...</v>
      </c>
      <c r="J4606" s="7" t="str">
        <f ca="1">IFERROR(__xludf.DUMMYFUNCTION("GOOGLEFINANCE(""NSE:""&amp;D4606,""marketcap"")"),"#N/A")</f>
        <v>#N/A</v>
      </c>
      <c r="K4606" s="7">
        <v>992.8</v>
      </c>
      <c r="L4606" s="8" t="str">
        <f ca="1">IFERROR(__xludf.DUMMYFUNCTION("GOOGLEFINANCE(""NSE:""&amp;D4606,""price"")"),"#N/A")</f>
        <v>#N/A</v>
      </c>
      <c r="M4606" s="9" t="e">
        <f t="shared" ca="1" si="92"/>
        <v>#VALUE!</v>
      </c>
      <c r="N4606" s="10" t="e">
        <f t="shared" ca="1" si="93"/>
        <v>#VALUE!</v>
      </c>
      <c r="O4606" s="7" t="str">
        <f ca="1">IFERROR(__xludf.DUMMYFUNCTION("GOOGLEFINANCE(""NSE:""&amp;D4606,""pe"")"),"#N/A")</f>
        <v>#N/A</v>
      </c>
      <c r="P4606" s="7" t="str">
        <f ca="1">IFERROR(__xludf.DUMMYFUNCTION("GOOGLEFINANCE(""NSE:""&amp;D4606,""EPS"")"),"#N/A")</f>
        <v>#N/A</v>
      </c>
      <c r="Q4606" s="7">
        <v>13.5</v>
      </c>
      <c r="R4606" s="7" t="str">
        <f ca="1">IFERROR(__xludf.DUMMYFUNCTION("IMPORTXML(E4606,""/html/body/main/div[3]/div[3]/div[2]/ul/li[7]/span[2]/span"")"),"Loading...")</f>
        <v>Loading...</v>
      </c>
      <c r="S4606" s="7" t="str">
        <f ca="1">IFERROR(__xludf.DUMMYFUNCTION("IMPORTXML(E4606,""/html/body/main/div[3]/div[3]/div[2]/ul/li[8]/span[2]/span"")"),"Loading...")</f>
        <v>Loading...</v>
      </c>
      <c r="T4606" s="4">
        <v>34.6</v>
      </c>
      <c r="U4606" s="4">
        <v>22.7</v>
      </c>
      <c r="V4606" s="4">
        <v>2.6</v>
      </c>
      <c r="W4606" s="4">
        <v>5.7</v>
      </c>
      <c r="X4606" s="4">
        <v>519.92999999999995</v>
      </c>
      <c r="Y4606" s="7" t="e">
        <f t="shared" ca="1" si="94"/>
        <v>#VALUE!</v>
      </c>
    </row>
    <row r="4607" spans="1:25" ht="15" x14ac:dyDescent="0.25">
      <c r="A4607" s="4">
        <v>4606</v>
      </c>
      <c r="C4607" s="41" t="s">
        <v>6984</v>
      </c>
      <c r="D4607" s="42"/>
      <c r="E4607" s="5" t="str">
        <f t="shared" si="90"/>
        <v>https://www.screener.in/company//consolidated/</v>
      </c>
      <c r="F4607" s="4">
        <v>443059</v>
      </c>
      <c r="G4607" s="4">
        <v>3832241897</v>
      </c>
      <c r="H4607" s="6" t="e">
        <f t="shared" ca="1" si="91"/>
        <v>#VALUE!</v>
      </c>
      <c r="I4607" s="7" t="str">
        <f ca="1">IFERROR(__xludf.DUMMYFUNCTION("IMPORTXML(E4607,""/html/body/main/div[3]/div[3]/div[2]/ul/li[5]/span[2]/span"")"),"Loading...")</f>
        <v>Loading...</v>
      </c>
      <c r="J4607" s="7" t="str">
        <f ca="1">IFERROR(__xludf.DUMMYFUNCTION("GOOGLEFINANCE(""NSE:""&amp;D4607,""marketcap"")"),"#N/A")</f>
        <v>#N/A</v>
      </c>
      <c r="K4607" s="7">
        <v>992.8</v>
      </c>
      <c r="L4607" s="8" t="str">
        <f ca="1">IFERROR(__xludf.DUMMYFUNCTION("GOOGLEFINANCE(""NSE:""&amp;D4607,""price"")"),"#N/A")</f>
        <v>#N/A</v>
      </c>
      <c r="M4607" s="9" t="e">
        <f t="shared" ca="1" si="92"/>
        <v>#VALUE!</v>
      </c>
      <c r="N4607" s="10" t="e">
        <f t="shared" ca="1" si="93"/>
        <v>#VALUE!</v>
      </c>
      <c r="O4607" s="7" t="str">
        <f ca="1">IFERROR(__xludf.DUMMYFUNCTION("GOOGLEFINANCE(""NSE:""&amp;D4607,""pe"")"),"#N/A")</f>
        <v>#N/A</v>
      </c>
      <c r="P4607" s="7" t="str">
        <f ca="1">IFERROR(__xludf.DUMMYFUNCTION("GOOGLEFINANCE(""NSE:""&amp;D4607,""EPS"")"),"#N/A")</f>
        <v>#N/A</v>
      </c>
      <c r="Q4607" s="7">
        <v>13.5</v>
      </c>
      <c r="R4607" s="7" t="str">
        <f ca="1">IFERROR(__xludf.DUMMYFUNCTION("IMPORTXML(E4607,""/html/body/main/div[3]/div[3]/div[2]/ul/li[7]/span[2]/span"")"),"Loading...")</f>
        <v>Loading...</v>
      </c>
      <c r="S4607" s="7" t="str">
        <f ca="1">IFERROR(__xludf.DUMMYFUNCTION("IMPORTXML(E4607,""/html/body/main/div[3]/div[3]/div[2]/ul/li[8]/span[2]/span"")"),"Loading...")</f>
        <v>Loading...</v>
      </c>
      <c r="T4607" s="4">
        <v>34.6</v>
      </c>
      <c r="U4607" s="4">
        <v>22.7</v>
      </c>
      <c r="V4607" s="4">
        <v>2.6</v>
      </c>
      <c r="W4607" s="4">
        <v>5.7</v>
      </c>
      <c r="X4607" s="4">
        <v>519.92999999999995</v>
      </c>
      <c r="Y4607" s="7" t="e">
        <f t="shared" ca="1" si="94"/>
        <v>#VALUE!</v>
      </c>
    </row>
    <row r="4608" spans="1:25" ht="15" x14ac:dyDescent="0.25">
      <c r="A4608" s="4">
        <v>4607</v>
      </c>
      <c r="C4608" s="41" t="s">
        <v>6985</v>
      </c>
      <c r="D4608" s="42"/>
      <c r="E4608" s="5" t="str">
        <f t="shared" si="90"/>
        <v>https://www.screener.in/company//consolidated/</v>
      </c>
      <c r="F4608" s="4">
        <v>443059</v>
      </c>
      <c r="G4608" s="4">
        <v>3832241897</v>
      </c>
      <c r="H4608" s="6" t="e">
        <f t="shared" ca="1" si="91"/>
        <v>#VALUE!</v>
      </c>
      <c r="I4608" s="7" t="str">
        <f ca="1">IFERROR(__xludf.DUMMYFUNCTION("IMPORTXML(E4608,""/html/body/main/div[3]/div[3]/div[2]/ul/li[5]/span[2]/span"")"),"Loading...")</f>
        <v>Loading...</v>
      </c>
      <c r="J4608" s="7" t="str">
        <f ca="1">IFERROR(__xludf.DUMMYFUNCTION("GOOGLEFINANCE(""NSE:""&amp;D4608,""marketcap"")"),"#N/A")</f>
        <v>#N/A</v>
      </c>
      <c r="K4608" s="7">
        <v>992.8</v>
      </c>
      <c r="L4608" s="8" t="str">
        <f ca="1">IFERROR(__xludf.DUMMYFUNCTION("GOOGLEFINANCE(""NSE:""&amp;D4608,""price"")"),"#N/A")</f>
        <v>#N/A</v>
      </c>
      <c r="M4608" s="9" t="e">
        <f t="shared" ca="1" si="92"/>
        <v>#VALUE!</v>
      </c>
      <c r="N4608" s="10" t="e">
        <f t="shared" ca="1" si="93"/>
        <v>#VALUE!</v>
      </c>
      <c r="O4608" s="7" t="str">
        <f ca="1">IFERROR(__xludf.DUMMYFUNCTION("GOOGLEFINANCE(""NSE:""&amp;D4608,""pe"")"),"#N/A")</f>
        <v>#N/A</v>
      </c>
      <c r="P4608" s="7" t="str">
        <f ca="1">IFERROR(__xludf.DUMMYFUNCTION("GOOGLEFINANCE(""NSE:""&amp;D4608,""EPS"")"),"#N/A")</f>
        <v>#N/A</v>
      </c>
      <c r="Q4608" s="7">
        <v>13.5</v>
      </c>
      <c r="R4608" s="7" t="str">
        <f ca="1">IFERROR(__xludf.DUMMYFUNCTION("IMPORTXML(E4608,""/html/body/main/div[3]/div[3]/div[2]/ul/li[7]/span[2]/span"")"),"Loading...")</f>
        <v>Loading...</v>
      </c>
      <c r="S4608" s="7" t="str">
        <f ca="1">IFERROR(__xludf.DUMMYFUNCTION("IMPORTXML(E4608,""/html/body/main/div[3]/div[3]/div[2]/ul/li[8]/span[2]/span"")"),"Loading...")</f>
        <v>Loading...</v>
      </c>
      <c r="T4608" s="4">
        <v>34.6</v>
      </c>
      <c r="U4608" s="4">
        <v>22.7</v>
      </c>
      <c r="V4608" s="4">
        <v>2.6</v>
      </c>
      <c r="W4608" s="4">
        <v>5.7</v>
      </c>
      <c r="X4608" s="4">
        <v>519.92999999999995</v>
      </c>
      <c r="Y4608" s="7" t="e">
        <f t="shared" ca="1" si="94"/>
        <v>#VALUE!</v>
      </c>
    </row>
    <row r="4609" spans="1:25" ht="15" x14ac:dyDescent="0.25">
      <c r="A4609" s="4">
        <v>4608</v>
      </c>
      <c r="C4609" s="41" t="s">
        <v>6986</v>
      </c>
      <c r="D4609" s="42"/>
      <c r="E4609" s="5" t="str">
        <f t="shared" si="90"/>
        <v>https://www.screener.in/company//consolidated/</v>
      </c>
      <c r="F4609" s="4">
        <v>443059</v>
      </c>
      <c r="G4609" s="4">
        <v>3832241897</v>
      </c>
      <c r="H4609" s="6" t="e">
        <f t="shared" ca="1" si="91"/>
        <v>#VALUE!</v>
      </c>
      <c r="I4609" s="7" t="str">
        <f ca="1">IFERROR(__xludf.DUMMYFUNCTION("IMPORTXML(E4609,""/html/body/main/div[3]/div[3]/div[2]/ul/li[5]/span[2]/span"")"),"Loading...")</f>
        <v>Loading...</v>
      </c>
      <c r="J4609" s="7" t="str">
        <f ca="1">IFERROR(__xludf.DUMMYFUNCTION("GOOGLEFINANCE(""NSE:""&amp;D4609,""marketcap"")"),"#N/A")</f>
        <v>#N/A</v>
      </c>
      <c r="K4609" s="7">
        <v>992.8</v>
      </c>
      <c r="L4609" s="8" t="str">
        <f ca="1">IFERROR(__xludf.DUMMYFUNCTION("GOOGLEFINANCE(""NSE:""&amp;D4609,""price"")"),"#N/A")</f>
        <v>#N/A</v>
      </c>
      <c r="M4609" s="9" t="e">
        <f t="shared" ca="1" si="92"/>
        <v>#VALUE!</v>
      </c>
      <c r="N4609" s="10" t="e">
        <f t="shared" ca="1" si="93"/>
        <v>#VALUE!</v>
      </c>
      <c r="O4609" s="7" t="str">
        <f ca="1">IFERROR(__xludf.DUMMYFUNCTION("GOOGLEFINANCE(""NSE:""&amp;D4609,""pe"")"),"#N/A")</f>
        <v>#N/A</v>
      </c>
      <c r="P4609" s="7" t="str">
        <f ca="1">IFERROR(__xludf.DUMMYFUNCTION("GOOGLEFINANCE(""NSE:""&amp;D4609,""EPS"")"),"#N/A")</f>
        <v>#N/A</v>
      </c>
      <c r="Q4609" s="7">
        <v>13.5</v>
      </c>
      <c r="R4609" s="7" t="str">
        <f ca="1">IFERROR(__xludf.DUMMYFUNCTION("IMPORTXML(E4609,""/html/body/main/div[3]/div[3]/div[2]/ul/li[7]/span[2]/span"")"),"Loading...")</f>
        <v>Loading...</v>
      </c>
      <c r="S4609" s="7" t="str">
        <f ca="1">IFERROR(__xludf.DUMMYFUNCTION("IMPORTXML(E4609,""/html/body/main/div[3]/div[3]/div[2]/ul/li[8]/span[2]/span"")"),"Loading...")</f>
        <v>Loading...</v>
      </c>
      <c r="T4609" s="4">
        <v>34.6</v>
      </c>
      <c r="U4609" s="4">
        <v>22.7</v>
      </c>
      <c r="V4609" s="4">
        <v>2.6</v>
      </c>
      <c r="W4609" s="4">
        <v>5.7</v>
      </c>
      <c r="X4609" s="4">
        <v>519.92999999999995</v>
      </c>
      <c r="Y4609" s="7" t="e">
        <f t="shared" ca="1" si="94"/>
        <v>#VALUE!</v>
      </c>
    </row>
    <row r="4610" spans="1:25" ht="15" x14ac:dyDescent="0.25">
      <c r="A4610" s="4">
        <v>4609</v>
      </c>
      <c r="C4610" s="41" t="s">
        <v>6987</v>
      </c>
      <c r="D4610" s="42"/>
      <c r="E4610" s="5" t="str">
        <f t="shared" si="90"/>
        <v>https://www.screener.in/company//consolidated/</v>
      </c>
      <c r="F4610" s="4">
        <v>443059</v>
      </c>
      <c r="G4610" s="4">
        <v>3832241897</v>
      </c>
      <c r="H4610" s="6" t="e">
        <f t="shared" ca="1" si="91"/>
        <v>#VALUE!</v>
      </c>
      <c r="I4610" s="7" t="str">
        <f ca="1">IFERROR(__xludf.DUMMYFUNCTION("IMPORTXML(E4610,""/html/body/main/div[3]/div[3]/div[2]/ul/li[5]/span[2]/span"")"),"Loading...")</f>
        <v>Loading...</v>
      </c>
      <c r="J4610" s="7" t="str">
        <f ca="1">IFERROR(__xludf.DUMMYFUNCTION("GOOGLEFINANCE(""NSE:""&amp;D4610,""marketcap"")"),"#N/A")</f>
        <v>#N/A</v>
      </c>
      <c r="K4610" s="7">
        <v>992.8</v>
      </c>
      <c r="L4610" s="8" t="str">
        <f ca="1">IFERROR(__xludf.DUMMYFUNCTION("GOOGLEFINANCE(""NSE:""&amp;D4610,""price"")"),"#N/A")</f>
        <v>#N/A</v>
      </c>
      <c r="M4610" s="9" t="e">
        <f t="shared" ca="1" si="92"/>
        <v>#VALUE!</v>
      </c>
      <c r="N4610" s="10" t="e">
        <f t="shared" ca="1" si="93"/>
        <v>#VALUE!</v>
      </c>
      <c r="O4610" s="7" t="str">
        <f ca="1">IFERROR(__xludf.DUMMYFUNCTION("GOOGLEFINANCE(""NSE:""&amp;D4610,""pe"")"),"#N/A")</f>
        <v>#N/A</v>
      </c>
      <c r="P4610" s="7" t="str">
        <f ca="1">IFERROR(__xludf.DUMMYFUNCTION("GOOGLEFINANCE(""NSE:""&amp;D4610,""EPS"")"),"#N/A")</f>
        <v>#N/A</v>
      </c>
      <c r="Q4610" s="7">
        <v>13.5</v>
      </c>
      <c r="R4610" s="7" t="str">
        <f ca="1">IFERROR(__xludf.DUMMYFUNCTION("IMPORTXML(E4610,""/html/body/main/div[3]/div[3]/div[2]/ul/li[7]/span[2]/span"")"),"Loading...")</f>
        <v>Loading...</v>
      </c>
      <c r="S4610" s="7" t="str">
        <f ca="1">IFERROR(__xludf.DUMMYFUNCTION("IMPORTXML(E4610,""/html/body/main/div[3]/div[3]/div[2]/ul/li[8]/span[2]/span"")"),"Loading...")</f>
        <v>Loading...</v>
      </c>
      <c r="T4610" s="4">
        <v>34.6</v>
      </c>
      <c r="U4610" s="4">
        <v>22.7</v>
      </c>
      <c r="V4610" s="4">
        <v>2.6</v>
      </c>
      <c r="W4610" s="4">
        <v>5.7</v>
      </c>
      <c r="X4610" s="4">
        <v>519.92999999999995</v>
      </c>
      <c r="Y4610" s="7" t="e">
        <f t="shared" ca="1" si="94"/>
        <v>#VALUE!</v>
      </c>
    </row>
    <row r="4611" spans="1:25" ht="15" x14ac:dyDescent="0.25">
      <c r="A4611" s="4">
        <v>4610</v>
      </c>
      <c r="C4611" s="41" t="s">
        <v>6988</v>
      </c>
      <c r="D4611" s="42"/>
      <c r="E4611" s="5" t="str">
        <f t="shared" si="90"/>
        <v>https://www.screener.in/company//consolidated/</v>
      </c>
      <c r="F4611" s="4">
        <v>443059</v>
      </c>
      <c r="G4611" s="4">
        <v>3832241897</v>
      </c>
      <c r="H4611" s="6" t="e">
        <f t="shared" ca="1" si="91"/>
        <v>#VALUE!</v>
      </c>
      <c r="I4611" s="7" t="str">
        <f ca="1">IFERROR(__xludf.DUMMYFUNCTION("IMPORTXML(E4611,""/html/body/main/div[3]/div[3]/div[2]/ul/li[5]/span[2]/span"")"),"Loading...")</f>
        <v>Loading...</v>
      </c>
      <c r="J4611" s="7" t="str">
        <f ca="1">IFERROR(__xludf.DUMMYFUNCTION("GOOGLEFINANCE(""NSE:""&amp;D4611,""marketcap"")"),"#N/A")</f>
        <v>#N/A</v>
      </c>
      <c r="K4611" s="7">
        <v>992.8</v>
      </c>
      <c r="L4611" s="8" t="str">
        <f ca="1">IFERROR(__xludf.DUMMYFUNCTION("GOOGLEFINANCE(""NSE:""&amp;D4611,""price"")"),"#N/A")</f>
        <v>#N/A</v>
      </c>
      <c r="M4611" s="9" t="e">
        <f t="shared" ca="1" si="92"/>
        <v>#VALUE!</v>
      </c>
      <c r="N4611" s="10" t="e">
        <f t="shared" ca="1" si="93"/>
        <v>#VALUE!</v>
      </c>
      <c r="O4611" s="7" t="str">
        <f ca="1">IFERROR(__xludf.DUMMYFUNCTION("GOOGLEFINANCE(""NSE:""&amp;D4611,""pe"")"),"#N/A")</f>
        <v>#N/A</v>
      </c>
      <c r="P4611" s="7" t="str">
        <f ca="1">IFERROR(__xludf.DUMMYFUNCTION("GOOGLEFINANCE(""NSE:""&amp;D4611,""EPS"")"),"#N/A")</f>
        <v>#N/A</v>
      </c>
      <c r="Q4611" s="7">
        <v>13.5</v>
      </c>
      <c r="R4611" s="7" t="str">
        <f ca="1">IFERROR(__xludf.DUMMYFUNCTION("IMPORTXML(E4611,""/html/body/main/div[3]/div[3]/div[2]/ul/li[7]/span[2]/span"")"),"Loading...")</f>
        <v>Loading...</v>
      </c>
      <c r="S4611" s="7" t="str">
        <f ca="1">IFERROR(__xludf.DUMMYFUNCTION("IMPORTXML(E4611,""/html/body/main/div[3]/div[3]/div[2]/ul/li[8]/span[2]/span"")"),"Loading...")</f>
        <v>Loading...</v>
      </c>
      <c r="T4611" s="4">
        <v>34.6</v>
      </c>
      <c r="U4611" s="4">
        <v>22.7</v>
      </c>
      <c r="V4611" s="4">
        <v>2.6</v>
      </c>
      <c r="W4611" s="4">
        <v>5.7</v>
      </c>
      <c r="X4611" s="4">
        <v>519.92999999999995</v>
      </c>
      <c r="Y4611" s="7" t="e">
        <f t="shared" ca="1" si="94"/>
        <v>#VALUE!</v>
      </c>
    </row>
    <row r="4612" spans="1:25" ht="15" x14ac:dyDescent="0.25">
      <c r="A4612" s="4">
        <v>4611</v>
      </c>
      <c r="C4612" s="41" t="s">
        <v>6989</v>
      </c>
      <c r="D4612" s="42"/>
      <c r="E4612" s="5" t="str">
        <f t="shared" si="90"/>
        <v>https://www.screener.in/company//consolidated/</v>
      </c>
      <c r="F4612" s="4">
        <v>443059</v>
      </c>
      <c r="G4612" s="4">
        <v>3832241897</v>
      </c>
      <c r="H4612" s="6" t="e">
        <f t="shared" ca="1" si="91"/>
        <v>#VALUE!</v>
      </c>
      <c r="I4612" s="7" t="str">
        <f ca="1">IFERROR(__xludf.DUMMYFUNCTION("IMPORTXML(E4612,""/html/body/main/div[3]/div[3]/div[2]/ul/li[5]/span[2]/span"")"),"Loading...")</f>
        <v>Loading...</v>
      </c>
      <c r="J4612" s="7" t="str">
        <f ca="1">IFERROR(__xludf.DUMMYFUNCTION("GOOGLEFINANCE(""NSE:""&amp;D4612,""marketcap"")"),"#N/A")</f>
        <v>#N/A</v>
      </c>
      <c r="K4612" s="7">
        <v>992.8</v>
      </c>
      <c r="L4612" s="8" t="str">
        <f ca="1">IFERROR(__xludf.DUMMYFUNCTION("GOOGLEFINANCE(""NSE:""&amp;D4612,""price"")"),"#N/A")</f>
        <v>#N/A</v>
      </c>
      <c r="M4612" s="9" t="e">
        <f t="shared" ca="1" si="92"/>
        <v>#VALUE!</v>
      </c>
      <c r="N4612" s="10" t="e">
        <f t="shared" ca="1" si="93"/>
        <v>#VALUE!</v>
      </c>
      <c r="O4612" s="7" t="str">
        <f ca="1">IFERROR(__xludf.DUMMYFUNCTION("GOOGLEFINANCE(""NSE:""&amp;D4612,""pe"")"),"#N/A")</f>
        <v>#N/A</v>
      </c>
      <c r="P4612" s="7" t="str">
        <f ca="1">IFERROR(__xludf.DUMMYFUNCTION("GOOGLEFINANCE(""NSE:""&amp;D4612,""EPS"")"),"#N/A")</f>
        <v>#N/A</v>
      </c>
      <c r="Q4612" s="7">
        <v>13.5</v>
      </c>
      <c r="R4612" s="7" t="str">
        <f ca="1">IFERROR(__xludf.DUMMYFUNCTION("IMPORTXML(E4612,""/html/body/main/div[3]/div[3]/div[2]/ul/li[7]/span[2]/span"")"),"Loading...")</f>
        <v>Loading...</v>
      </c>
      <c r="S4612" s="7" t="str">
        <f ca="1">IFERROR(__xludf.DUMMYFUNCTION("IMPORTXML(E4612,""/html/body/main/div[3]/div[3]/div[2]/ul/li[8]/span[2]/span"")"),"Loading...")</f>
        <v>Loading...</v>
      </c>
      <c r="T4612" s="4">
        <v>34.6</v>
      </c>
      <c r="U4612" s="4">
        <v>22.7</v>
      </c>
      <c r="V4612" s="4">
        <v>2.6</v>
      </c>
      <c r="W4612" s="4">
        <v>5.7</v>
      </c>
      <c r="X4612" s="4">
        <v>519.92999999999995</v>
      </c>
      <c r="Y4612" s="7" t="e">
        <f t="shared" ca="1" si="94"/>
        <v>#VALUE!</v>
      </c>
    </row>
    <row r="4613" spans="1:25" ht="15" x14ac:dyDescent="0.25">
      <c r="A4613" s="4">
        <v>4612</v>
      </c>
      <c r="C4613" s="41" t="s">
        <v>6990</v>
      </c>
      <c r="D4613" s="42"/>
      <c r="E4613" s="5" t="str">
        <f t="shared" si="90"/>
        <v>https://www.screener.in/company//consolidated/</v>
      </c>
      <c r="F4613" s="4">
        <v>443059</v>
      </c>
      <c r="G4613" s="4">
        <v>3832241897</v>
      </c>
      <c r="H4613" s="6" t="e">
        <f t="shared" ca="1" si="91"/>
        <v>#VALUE!</v>
      </c>
      <c r="I4613" s="7" t="str">
        <f ca="1">IFERROR(__xludf.DUMMYFUNCTION("IMPORTXML(E4613,""/html/body/main/div[3]/div[3]/div[2]/ul/li[5]/span[2]/span"")"),"Loading...")</f>
        <v>Loading...</v>
      </c>
      <c r="J4613" s="7" t="str">
        <f ca="1">IFERROR(__xludf.DUMMYFUNCTION("GOOGLEFINANCE(""NSE:""&amp;D4613,""marketcap"")"),"#N/A")</f>
        <v>#N/A</v>
      </c>
      <c r="K4613" s="7">
        <v>992.8</v>
      </c>
      <c r="L4613" s="8" t="str">
        <f ca="1">IFERROR(__xludf.DUMMYFUNCTION("GOOGLEFINANCE(""NSE:""&amp;D4613,""price"")"),"#N/A")</f>
        <v>#N/A</v>
      </c>
      <c r="M4613" s="9" t="e">
        <f t="shared" ca="1" si="92"/>
        <v>#VALUE!</v>
      </c>
      <c r="N4613" s="10" t="e">
        <f t="shared" ca="1" si="93"/>
        <v>#VALUE!</v>
      </c>
      <c r="O4613" s="7" t="str">
        <f ca="1">IFERROR(__xludf.DUMMYFUNCTION("GOOGLEFINANCE(""NSE:""&amp;D4613,""pe"")"),"#N/A")</f>
        <v>#N/A</v>
      </c>
      <c r="P4613" s="7" t="str">
        <f ca="1">IFERROR(__xludf.DUMMYFUNCTION("GOOGLEFINANCE(""NSE:""&amp;D4613,""EPS"")"),"#N/A")</f>
        <v>#N/A</v>
      </c>
      <c r="Q4613" s="7">
        <v>13.5</v>
      </c>
      <c r="R4613" s="7" t="str">
        <f ca="1">IFERROR(__xludf.DUMMYFUNCTION("IMPORTXML(E4613,""/html/body/main/div[3]/div[3]/div[2]/ul/li[7]/span[2]/span"")"),"Loading...")</f>
        <v>Loading...</v>
      </c>
      <c r="S4613" s="7" t="str">
        <f ca="1">IFERROR(__xludf.DUMMYFUNCTION("IMPORTXML(E4613,""/html/body/main/div[3]/div[3]/div[2]/ul/li[8]/span[2]/span"")"),"Loading...")</f>
        <v>Loading...</v>
      </c>
      <c r="T4613" s="4">
        <v>34.6</v>
      </c>
      <c r="U4613" s="4">
        <v>22.7</v>
      </c>
      <c r="V4613" s="4">
        <v>2.6</v>
      </c>
      <c r="W4613" s="4">
        <v>5.7</v>
      </c>
      <c r="X4613" s="4">
        <v>519.92999999999995</v>
      </c>
      <c r="Y4613" s="7" t="e">
        <f t="shared" ca="1" si="94"/>
        <v>#VALUE!</v>
      </c>
    </row>
    <row r="4614" spans="1:25" ht="15" x14ac:dyDescent="0.25">
      <c r="A4614" s="4">
        <v>4613</v>
      </c>
      <c r="C4614" s="41" t="s">
        <v>6991</v>
      </c>
      <c r="D4614" s="42"/>
      <c r="E4614" s="5" t="str">
        <f t="shared" si="90"/>
        <v>https://www.screener.in/company//consolidated/</v>
      </c>
      <c r="F4614" s="4">
        <v>443059</v>
      </c>
      <c r="G4614" s="4">
        <v>3832241897</v>
      </c>
      <c r="H4614" s="6" t="e">
        <f t="shared" ca="1" si="91"/>
        <v>#VALUE!</v>
      </c>
      <c r="I4614" s="7" t="str">
        <f ca="1">IFERROR(__xludf.DUMMYFUNCTION("IMPORTXML(E4614,""/html/body/main/div[3]/div[3]/div[2]/ul/li[5]/span[2]/span"")"),"Loading...")</f>
        <v>Loading...</v>
      </c>
      <c r="J4614" s="7" t="str">
        <f ca="1">IFERROR(__xludf.DUMMYFUNCTION("GOOGLEFINANCE(""NSE:""&amp;D4614,""marketcap"")"),"#N/A")</f>
        <v>#N/A</v>
      </c>
      <c r="K4614" s="7">
        <v>992.8</v>
      </c>
      <c r="L4614" s="8" t="str">
        <f ca="1">IFERROR(__xludf.DUMMYFUNCTION("GOOGLEFINANCE(""NSE:""&amp;D4614,""price"")"),"#N/A")</f>
        <v>#N/A</v>
      </c>
      <c r="M4614" s="9" t="e">
        <f t="shared" ca="1" si="92"/>
        <v>#VALUE!</v>
      </c>
      <c r="N4614" s="10" t="e">
        <f t="shared" ca="1" si="93"/>
        <v>#VALUE!</v>
      </c>
      <c r="O4614" s="7" t="str">
        <f ca="1">IFERROR(__xludf.DUMMYFUNCTION("GOOGLEFINANCE(""NSE:""&amp;D4614,""pe"")"),"#N/A")</f>
        <v>#N/A</v>
      </c>
      <c r="P4614" s="7" t="str">
        <f ca="1">IFERROR(__xludf.DUMMYFUNCTION("GOOGLEFINANCE(""NSE:""&amp;D4614,""EPS"")"),"#N/A")</f>
        <v>#N/A</v>
      </c>
      <c r="Q4614" s="7">
        <v>13.5</v>
      </c>
      <c r="R4614" s="7" t="str">
        <f ca="1">IFERROR(__xludf.DUMMYFUNCTION("IMPORTXML(E4614,""/html/body/main/div[3]/div[3]/div[2]/ul/li[7]/span[2]/span"")"),"Loading...")</f>
        <v>Loading...</v>
      </c>
      <c r="S4614" s="7" t="str">
        <f ca="1">IFERROR(__xludf.DUMMYFUNCTION("IMPORTXML(E4614,""/html/body/main/div[3]/div[3]/div[2]/ul/li[8]/span[2]/span"")"),"Loading...")</f>
        <v>Loading...</v>
      </c>
      <c r="T4614" s="4">
        <v>34.6</v>
      </c>
      <c r="U4614" s="4">
        <v>22.7</v>
      </c>
      <c r="V4614" s="4">
        <v>2.6</v>
      </c>
      <c r="W4614" s="4">
        <v>5.7</v>
      </c>
      <c r="X4614" s="4">
        <v>519.92999999999995</v>
      </c>
      <c r="Y4614" s="7" t="e">
        <f t="shared" ca="1" si="94"/>
        <v>#VALUE!</v>
      </c>
    </row>
    <row r="4615" spans="1:25" ht="15" x14ac:dyDescent="0.25">
      <c r="A4615" s="4">
        <v>4614</v>
      </c>
      <c r="C4615" s="41" t="s">
        <v>6992</v>
      </c>
      <c r="D4615" s="42"/>
      <c r="E4615" s="5" t="str">
        <f t="shared" si="90"/>
        <v>https://www.screener.in/company//consolidated/</v>
      </c>
      <c r="F4615" s="4">
        <v>443059</v>
      </c>
      <c r="G4615" s="4">
        <v>3832241897</v>
      </c>
      <c r="H4615" s="6" t="e">
        <f t="shared" ca="1" si="91"/>
        <v>#VALUE!</v>
      </c>
      <c r="I4615" s="7" t="str">
        <f ca="1">IFERROR(__xludf.DUMMYFUNCTION("IMPORTXML(E4615,""/html/body/main/div[3]/div[3]/div[2]/ul/li[5]/span[2]/span"")"),"Loading...")</f>
        <v>Loading...</v>
      </c>
      <c r="J4615" s="7" t="str">
        <f ca="1">IFERROR(__xludf.DUMMYFUNCTION("GOOGLEFINANCE(""NSE:""&amp;D4615,""marketcap"")"),"#N/A")</f>
        <v>#N/A</v>
      </c>
      <c r="K4615" s="7">
        <v>992.8</v>
      </c>
      <c r="L4615" s="8" t="str">
        <f ca="1">IFERROR(__xludf.DUMMYFUNCTION("GOOGLEFINANCE(""NSE:""&amp;D4615,""price"")"),"#N/A")</f>
        <v>#N/A</v>
      </c>
      <c r="M4615" s="9" t="e">
        <f t="shared" ca="1" si="92"/>
        <v>#VALUE!</v>
      </c>
      <c r="N4615" s="10" t="e">
        <f t="shared" ca="1" si="93"/>
        <v>#VALUE!</v>
      </c>
      <c r="O4615" s="7" t="str">
        <f ca="1">IFERROR(__xludf.DUMMYFUNCTION("GOOGLEFINANCE(""NSE:""&amp;D4615,""pe"")"),"#N/A")</f>
        <v>#N/A</v>
      </c>
      <c r="P4615" s="7" t="str">
        <f ca="1">IFERROR(__xludf.DUMMYFUNCTION("GOOGLEFINANCE(""NSE:""&amp;D4615,""EPS"")"),"#N/A")</f>
        <v>#N/A</v>
      </c>
      <c r="Q4615" s="7">
        <v>13.5</v>
      </c>
      <c r="R4615" s="7" t="str">
        <f ca="1">IFERROR(__xludf.DUMMYFUNCTION("IMPORTXML(E4615,""/html/body/main/div[3]/div[3]/div[2]/ul/li[7]/span[2]/span"")"),"Loading...")</f>
        <v>Loading...</v>
      </c>
      <c r="S4615" s="7" t="str">
        <f ca="1">IFERROR(__xludf.DUMMYFUNCTION("IMPORTXML(E4615,""/html/body/main/div[3]/div[3]/div[2]/ul/li[8]/span[2]/span"")"),"Loading...")</f>
        <v>Loading...</v>
      </c>
      <c r="T4615" s="4">
        <v>34.6</v>
      </c>
      <c r="U4615" s="4">
        <v>22.7</v>
      </c>
      <c r="V4615" s="4">
        <v>2.6</v>
      </c>
      <c r="W4615" s="4">
        <v>5.7</v>
      </c>
      <c r="X4615" s="4">
        <v>519.92999999999995</v>
      </c>
      <c r="Y4615" s="7" t="e">
        <f t="shared" ca="1" si="94"/>
        <v>#VALUE!</v>
      </c>
    </row>
    <row r="4616" spans="1:25" ht="15" x14ac:dyDescent="0.25">
      <c r="A4616" s="4">
        <v>4615</v>
      </c>
      <c r="C4616" s="41" t="s">
        <v>6993</v>
      </c>
      <c r="D4616" s="42"/>
      <c r="E4616" s="5" t="str">
        <f t="shared" si="90"/>
        <v>https://www.screener.in/company//consolidated/</v>
      </c>
      <c r="F4616" s="4">
        <v>443059</v>
      </c>
      <c r="G4616" s="4">
        <v>3832241897</v>
      </c>
      <c r="H4616" s="6" t="e">
        <f t="shared" ca="1" si="91"/>
        <v>#VALUE!</v>
      </c>
      <c r="I4616" s="7" t="str">
        <f ca="1">IFERROR(__xludf.DUMMYFUNCTION("IMPORTXML(E4616,""/html/body/main/div[3]/div[3]/div[2]/ul/li[5]/span[2]/span"")"),"Loading...")</f>
        <v>Loading...</v>
      </c>
      <c r="J4616" s="7" t="str">
        <f ca="1">IFERROR(__xludf.DUMMYFUNCTION("GOOGLEFINANCE(""NSE:""&amp;D4616,""marketcap"")"),"#N/A")</f>
        <v>#N/A</v>
      </c>
      <c r="K4616" s="7">
        <v>992.8</v>
      </c>
      <c r="L4616" s="8" t="str">
        <f ca="1">IFERROR(__xludf.DUMMYFUNCTION("GOOGLEFINANCE(""NSE:""&amp;D4616,""price"")"),"#N/A")</f>
        <v>#N/A</v>
      </c>
      <c r="M4616" s="9" t="e">
        <f t="shared" ca="1" si="92"/>
        <v>#VALUE!</v>
      </c>
      <c r="N4616" s="10" t="e">
        <f t="shared" ca="1" si="93"/>
        <v>#VALUE!</v>
      </c>
      <c r="O4616" s="7" t="str">
        <f ca="1">IFERROR(__xludf.DUMMYFUNCTION("GOOGLEFINANCE(""NSE:""&amp;D4616,""pe"")"),"#N/A")</f>
        <v>#N/A</v>
      </c>
      <c r="P4616" s="7" t="str">
        <f ca="1">IFERROR(__xludf.DUMMYFUNCTION("GOOGLEFINANCE(""NSE:""&amp;D4616,""EPS"")"),"#N/A")</f>
        <v>#N/A</v>
      </c>
      <c r="Q4616" s="7">
        <v>13.5</v>
      </c>
      <c r="R4616" s="7" t="str">
        <f ca="1">IFERROR(__xludf.DUMMYFUNCTION("IMPORTXML(E4616,""/html/body/main/div[3]/div[3]/div[2]/ul/li[7]/span[2]/span"")"),"Loading...")</f>
        <v>Loading...</v>
      </c>
      <c r="S4616" s="7" t="str">
        <f ca="1">IFERROR(__xludf.DUMMYFUNCTION("IMPORTXML(E4616,""/html/body/main/div[3]/div[3]/div[2]/ul/li[8]/span[2]/span"")"),"Loading...")</f>
        <v>Loading...</v>
      </c>
      <c r="T4616" s="4">
        <v>34.6</v>
      </c>
      <c r="U4616" s="4">
        <v>22.7</v>
      </c>
      <c r="V4616" s="4">
        <v>2.6</v>
      </c>
      <c r="W4616" s="4">
        <v>5.7</v>
      </c>
      <c r="X4616" s="4">
        <v>519.92999999999995</v>
      </c>
      <c r="Y4616" s="7" t="e">
        <f t="shared" ca="1" si="94"/>
        <v>#VALUE!</v>
      </c>
    </row>
    <row r="4617" spans="1:25" ht="15" x14ac:dyDescent="0.25">
      <c r="A4617" s="4">
        <v>4616</v>
      </c>
      <c r="C4617" s="41" t="s">
        <v>6994</v>
      </c>
      <c r="D4617" s="42"/>
      <c r="E4617" s="5" t="str">
        <f t="shared" si="90"/>
        <v>https://www.screener.in/company//consolidated/</v>
      </c>
      <c r="F4617" s="4">
        <v>443059</v>
      </c>
      <c r="G4617" s="4">
        <v>3832241897</v>
      </c>
      <c r="H4617" s="6" t="e">
        <f t="shared" ca="1" si="91"/>
        <v>#VALUE!</v>
      </c>
      <c r="I4617" s="7" t="str">
        <f ca="1">IFERROR(__xludf.DUMMYFUNCTION("IMPORTXML(E4617,""/html/body/main/div[3]/div[3]/div[2]/ul/li[5]/span[2]/span"")"),"Loading...")</f>
        <v>Loading...</v>
      </c>
      <c r="J4617" s="7" t="str">
        <f ca="1">IFERROR(__xludf.DUMMYFUNCTION("GOOGLEFINANCE(""NSE:""&amp;D4617,""marketcap"")"),"#N/A")</f>
        <v>#N/A</v>
      </c>
      <c r="K4617" s="7">
        <v>992.8</v>
      </c>
      <c r="L4617" s="8" t="str">
        <f ca="1">IFERROR(__xludf.DUMMYFUNCTION("GOOGLEFINANCE(""NSE:""&amp;D4617,""price"")"),"#N/A")</f>
        <v>#N/A</v>
      </c>
      <c r="M4617" s="9" t="e">
        <f t="shared" ca="1" si="92"/>
        <v>#VALUE!</v>
      </c>
      <c r="N4617" s="10" t="e">
        <f t="shared" ca="1" si="93"/>
        <v>#VALUE!</v>
      </c>
      <c r="O4617" s="7" t="str">
        <f ca="1">IFERROR(__xludf.DUMMYFUNCTION("GOOGLEFINANCE(""NSE:""&amp;D4617,""pe"")"),"#N/A")</f>
        <v>#N/A</v>
      </c>
      <c r="P4617" s="7" t="str">
        <f ca="1">IFERROR(__xludf.DUMMYFUNCTION("GOOGLEFINANCE(""NSE:""&amp;D4617,""EPS"")"),"#N/A")</f>
        <v>#N/A</v>
      </c>
      <c r="Q4617" s="7">
        <v>13.5</v>
      </c>
      <c r="R4617" s="7" t="str">
        <f ca="1">IFERROR(__xludf.DUMMYFUNCTION("IMPORTXML(E4617,""/html/body/main/div[3]/div[3]/div[2]/ul/li[7]/span[2]/span"")"),"Loading...")</f>
        <v>Loading...</v>
      </c>
      <c r="S4617" s="7" t="str">
        <f ca="1">IFERROR(__xludf.DUMMYFUNCTION("IMPORTXML(E4617,""/html/body/main/div[3]/div[3]/div[2]/ul/li[8]/span[2]/span"")"),"Loading...")</f>
        <v>Loading...</v>
      </c>
      <c r="T4617" s="4">
        <v>34.6</v>
      </c>
      <c r="U4617" s="4">
        <v>22.7</v>
      </c>
      <c r="V4617" s="4">
        <v>2.6</v>
      </c>
      <c r="W4617" s="4">
        <v>5.7</v>
      </c>
      <c r="X4617" s="4">
        <v>519.92999999999995</v>
      </c>
      <c r="Y4617" s="7" t="e">
        <f t="shared" ca="1" si="94"/>
        <v>#VALUE!</v>
      </c>
    </row>
    <row r="4618" spans="1:25" ht="15" x14ac:dyDescent="0.25">
      <c r="A4618" s="4">
        <v>4617</v>
      </c>
      <c r="C4618" s="41" t="s">
        <v>6995</v>
      </c>
      <c r="D4618" s="42"/>
      <c r="E4618" s="5" t="str">
        <f t="shared" si="90"/>
        <v>https://www.screener.in/company//consolidated/</v>
      </c>
      <c r="F4618" s="4">
        <v>443059</v>
      </c>
      <c r="G4618" s="4">
        <v>3832241897</v>
      </c>
      <c r="H4618" s="6" t="e">
        <f t="shared" ca="1" si="91"/>
        <v>#VALUE!</v>
      </c>
      <c r="I4618" s="7" t="str">
        <f ca="1">IFERROR(__xludf.DUMMYFUNCTION("IMPORTXML(E4618,""/html/body/main/div[3]/div[3]/div[2]/ul/li[5]/span[2]/span"")"),"Loading...")</f>
        <v>Loading...</v>
      </c>
      <c r="J4618" s="7" t="str">
        <f ca="1">IFERROR(__xludf.DUMMYFUNCTION("GOOGLEFINANCE(""NSE:""&amp;D4618,""marketcap"")"),"#N/A")</f>
        <v>#N/A</v>
      </c>
      <c r="K4618" s="7">
        <v>992.8</v>
      </c>
      <c r="L4618" s="8" t="str">
        <f ca="1">IFERROR(__xludf.DUMMYFUNCTION("GOOGLEFINANCE(""NSE:""&amp;D4618,""price"")"),"#N/A")</f>
        <v>#N/A</v>
      </c>
      <c r="M4618" s="9" t="e">
        <f t="shared" ca="1" si="92"/>
        <v>#VALUE!</v>
      </c>
      <c r="N4618" s="10" t="e">
        <f t="shared" ca="1" si="93"/>
        <v>#VALUE!</v>
      </c>
      <c r="O4618" s="7" t="str">
        <f ca="1">IFERROR(__xludf.DUMMYFUNCTION("GOOGLEFINANCE(""NSE:""&amp;D4618,""pe"")"),"#N/A")</f>
        <v>#N/A</v>
      </c>
      <c r="P4618" s="7" t="str">
        <f ca="1">IFERROR(__xludf.DUMMYFUNCTION("GOOGLEFINANCE(""NSE:""&amp;D4618,""EPS"")"),"#N/A")</f>
        <v>#N/A</v>
      </c>
      <c r="Q4618" s="7">
        <v>13.5</v>
      </c>
      <c r="R4618" s="7" t="str">
        <f ca="1">IFERROR(__xludf.DUMMYFUNCTION("IMPORTXML(E4618,""/html/body/main/div[3]/div[3]/div[2]/ul/li[7]/span[2]/span"")"),"Loading...")</f>
        <v>Loading...</v>
      </c>
      <c r="S4618" s="7" t="str">
        <f ca="1">IFERROR(__xludf.DUMMYFUNCTION("IMPORTXML(E4618,""/html/body/main/div[3]/div[3]/div[2]/ul/li[8]/span[2]/span"")"),"Loading...")</f>
        <v>Loading...</v>
      </c>
      <c r="T4618" s="4">
        <v>34.6</v>
      </c>
      <c r="U4618" s="4">
        <v>22.7</v>
      </c>
      <c r="V4618" s="4">
        <v>2.6</v>
      </c>
      <c r="W4618" s="4">
        <v>5.7</v>
      </c>
      <c r="X4618" s="4">
        <v>519.92999999999995</v>
      </c>
      <c r="Y4618" s="7" t="e">
        <f t="shared" ca="1" si="94"/>
        <v>#VALUE!</v>
      </c>
    </row>
    <row r="4619" spans="1:25" ht="15" x14ac:dyDescent="0.25">
      <c r="A4619" s="4">
        <v>4618</v>
      </c>
      <c r="C4619" s="41" t="s">
        <v>6996</v>
      </c>
      <c r="D4619" s="42"/>
      <c r="E4619" s="5" t="str">
        <f t="shared" si="90"/>
        <v>https://www.screener.in/company//consolidated/</v>
      </c>
      <c r="F4619" s="4">
        <v>443059</v>
      </c>
      <c r="G4619" s="4">
        <v>3832241897</v>
      </c>
      <c r="H4619" s="6" t="e">
        <f t="shared" ca="1" si="91"/>
        <v>#VALUE!</v>
      </c>
      <c r="I4619" s="7" t="str">
        <f ca="1">IFERROR(__xludf.DUMMYFUNCTION("IMPORTXML(E4619,""/html/body/main/div[3]/div[3]/div[2]/ul/li[5]/span[2]/span"")"),"Loading...")</f>
        <v>Loading...</v>
      </c>
      <c r="J4619" s="7" t="str">
        <f ca="1">IFERROR(__xludf.DUMMYFUNCTION("GOOGLEFINANCE(""NSE:""&amp;D4619,""marketcap"")"),"#N/A")</f>
        <v>#N/A</v>
      </c>
      <c r="K4619" s="7">
        <v>992.8</v>
      </c>
      <c r="L4619" s="8" t="str">
        <f ca="1">IFERROR(__xludf.DUMMYFUNCTION("GOOGLEFINANCE(""NSE:""&amp;D4619,""price"")"),"#N/A")</f>
        <v>#N/A</v>
      </c>
      <c r="M4619" s="9" t="e">
        <f t="shared" ca="1" si="92"/>
        <v>#VALUE!</v>
      </c>
      <c r="N4619" s="10" t="e">
        <f t="shared" ca="1" si="93"/>
        <v>#VALUE!</v>
      </c>
      <c r="O4619" s="7" t="str">
        <f ca="1">IFERROR(__xludf.DUMMYFUNCTION("GOOGLEFINANCE(""NSE:""&amp;D4619,""pe"")"),"#N/A")</f>
        <v>#N/A</v>
      </c>
      <c r="P4619" s="7" t="str">
        <f ca="1">IFERROR(__xludf.DUMMYFUNCTION("GOOGLEFINANCE(""NSE:""&amp;D4619,""EPS"")"),"#N/A")</f>
        <v>#N/A</v>
      </c>
      <c r="Q4619" s="7">
        <v>13.5</v>
      </c>
      <c r="R4619" s="7" t="str">
        <f ca="1">IFERROR(__xludf.DUMMYFUNCTION("IMPORTXML(E4619,""/html/body/main/div[3]/div[3]/div[2]/ul/li[7]/span[2]/span"")"),"Loading...")</f>
        <v>Loading...</v>
      </c>
      <c r="S4619" s="7" t="str">
        <f ca="1">IFERROR(__xludf.DUMMYFUNCTION("IMPORTXML(E4619,""/html/body/main/div[3]/div[3]/div[2]/ul/li[8]/span[2]/span"")"),"Loading...")</f>
        <v>Loading...</v>
      </c>
      <c r="T4619" s="4">
        <v>34.6</v>
      </c>
      <c r="U4619" s="4">
        <v>22.7</v>
      </c>
      <c r="V4619" s="4">
        <v>2.6</v>
      </c>
      <c r="W4619" s="4">
        <v>5.7</v>
      </c>
      <c r="X4619" s="4">
        <v>519.92999999999995</v>
      </c>
      <c r="Y4619" s="7" t="e">
        <f t="shared" ca="1" si="94"/>
        <v>#VALUE!</v>
      </c>
    </row>
    <row r="4620" spans="1:25" ht="15" x14ac:dyDescent="0.25">
      <c r="A4620" s="4">
        <v>4619</v>
      </c>
      <c r="C4620" s="41" t="s">
        <v>6997</v>
      </c>
      <c r="D4620" s="42"/>
      <c r="E4620" s="5" t="str">
        <f t="shared" si="90"/>
        <v>https://www.screener.in/company//consolidated/</v>
      </c>
      <c r="F4620" s="4">
        <v>443059</v>
      </c>
      <c r="G4620" s="4">
        <v>3832241897</v>
      </c>
      <c r="H4620" s="6" t="e">
        <f t="shared" ca="1" si="91"/>
        <v>#VALUE!</v>
      </c>
      <c r="I4620" s="7" t="str">
        <f ca="1">IFERROR(__xludf.DUMMYFUNCTION("IMPORTXML(E4620,""/html/body/main/div[3]/div[3]/div[2]/ul/li[5]/span[2]/span"")"),"Loading...")</f>
        <v>Loading...</v>
      </c>
      <c r="J4620" s="7" t="str">
        <f ca="1">IFERROR(__xludf.DUMMYFUNCTION("GOOGLEFINANCE(""NSE:""&amp;D4620,""marketcap"")"),"#N/A")</f>
        <v>#N/A</v>
      </c>
      <c r="K4620" s="7">
        <v>992.8</v>
      </c>
      <c r="L4620" s="8" t="str">
        <f ca="1">IFERROR(__xludf.DUMMYFUNCTION("GOOGLEFINANCE(""NSE:""&amp;D4620,""price"")"),"#N/A")</f>
        <v>#N/A</v>
      </c>
      <c r="M4620" s="9" t="e">
        <f t="shared" ca="1" si="92"/>
        <v>#VALUE!</v>
      </c>
      <c r="N4620" s="10" t="e">
        <f t="shared" ca="1" si="93"/>
        <v>#VALUE!</v>
      </c>
      <c r="O4620" s="7" t="str">
        <f ca="1">IFERROR(__xludf.DUMMYFUNCTION("GOOGLEFINANCE(""NSE:""&amp;D4620,""pe"")"),"#N/A")</f>
        <v>#N/A</v>
      </c>
      <c r="P4620" s="7" t="str">
        <f ca="1">IFERROR(__xludf.DUMMYFUNCTION("GOOGLEFINANCE(""NSE:""&amp;D4620,""EPS"")"),"#N/A")</f>
        <v>#N/A</v>
      </c>
      <c r="Q4620" s="7">
        <v>13.5</v>
      </c>
      <c r="R4620" s="7" t="str">
        <f ca="1">IFERROR(__xludf.DUMMYFUNCTION("IMPORTXML(E4620,""/html/body/main/div[3]/div[3]/div[2]/ul/li[7]/span[2]/span"")"),"Loading...")</f>
        <v>Loading...</v>
      </c>
      <c r="S4620" s="7" t="str">
        <f ca="1">IFERROR(__xludf.DUMMYFUNCTION("IMPORTXML(E4620,""/html/body/main/div[3]/div[3]/div[2]/ul/li[8]/span[2]/span"")"),"Loading...")</f>
        <v>Loading...</v>
      </c>
      <c r="T4620" s="4">
        <v>34.6</v>
      </c>
      <c r="U4620" s="4">
        <v>22.7</v>
      </c>
      <c r="V4620" s="4">
        <v>2.6</v>
      </c>
      <c r="W4620" s="4">
        <v>5.7</v>
      </c>
      <c r="X4620" s="4">
        <v>519.92999999999995</v>
      </c>
      <c r="Y4620" s="7" t="e">
        <f t="shared" ca="1" si="94"/>
        <v>#VALUE!</v>
      </c>
    </row>
    <row r="4621" spans="1:25" ht="15" x14ac:dyDescent="0.25">
      <c r="A4621" s="4">
        <v>4620</v>
      </c>
      <c r="C4621" s="41" t="s">
        <v>6998</v>
      </c>
      <c r="D4621" s="42"/>
      <c r="E4621" s="5" t="str">
        <f t="shared" si="90"/>
        <v>https://www.screener.in/company//consolidated/</v>
      </c>
      <c r="F4621" s="4">
        <v>443059</v>
      </c>
      <c r="G4621" s="4">
        <v>3832241897</v>
      </c>
      <c r="H4621" s="6" t="e">
        <f t="shared" ca="1" si="91"/>
        <v>#VALUE!</v>
      </c>
      <c r="I4621" s="7" t="str">
        <f ca="1">IFERROR(__xludf.DUMMYFUNCTION("IMPORTXML(E4621,""/html/body/main/div[3]/div[3]/div[2]/ul/li[5]/span[2]/span"")"),"Loading...")</f>
        <v>Loading...</v>
      </c>
      <c r="J4621" s="7" t="str">
        <f ca="1">IFERROR(__xludf.DUMMYFUNCTION("GOOGLEFINANCE(""NSE:""&amp;D4621,""marketcap"")"),"#N/A")</f>
        <v>#N/A</v>
      </c>
      <c r="K4621" s="7">
        <v>992.8</v>
      </c>
      <c r="L4621" s="8" t="str">
        <f ca="1">IFERROR(__xludf.DUMMYFUNCTION("GOOGLEFINANCE(""NSE:""&amp;D4621,""price"")"),"#N/A")</f>
        <v>#N/A</v>
      </c>
      <c r="M4621" s="9" t="e">
        <f t="shared" ca="1" si="92"/>
        <v>#VALUE!</v>
      </c>
      <c r="N4621" s="10" t="e">
        <f t="shared" ca="1" si="93"/>
        <v>#VALUE!</v>
      </c>
      <c r="O4621" s="7" t="str">
        <f ca="1">IFERROR(__xludf.DUMMYFUNCTION("GOOGLEFINANCE(""NSE:""&amp;D4621,""pe"")"),"#N/A")</f>
        <v>#N/A</v>
      </c>
      <c r="P4621" s="7" t="str">
        <f ca="1">IFERROR(__xludf.DUMMYFUNCTION("GOOGLEFINANCE(""NSE:""&amp;D4621,""EPS"")"),"#N/A")</f>
        <v>#N/A</v>
      </c>
      <c r="Q4621" s="7">
        <v>13.5</v>
      </c>
      <c r="R4621" s="7" t="str">
        <f ca="1">IFERROR(__xludf.DUMMYFUNCTION("IMPORTXML(E4621,""/html/body/main/div[3]/div[3]/div[2]/ul/li[7]/span[2]/span"")"),"Loading...")</f>
        <v>Loading...</v>
      </c>
      <c r="S4621" s="7" t="str">
        <f ca="1">IFERROR(__xludf.DUMMYFUNCTION("IMPORTXML(E4621,""/html/body/main/div[3]/div[3]/div[2]/ul/li[8]/span[2]/span"")"),"Loading...")</f>
        <v>Loading...</v>
      </c>
      <c r="T4621" s="4">
        <v>34.6</v>
      </c>
      <c r="U4621" s="4">
        <v>22.7</v>
      </c>
      <c r="V4621" s="4">
        <v>2.6</v>
      </c>
      <c r="W4621" s="4">
        <v>5.7</v>
      </c>
      <c r="X4621" s="4">
        <v>519.92999999999995</v>
      </c>
      <c r="Y4621" s="7" t="e">
        <f t="shared" ca="1" si="94"/>
        <v>#VALUE!</v>
      </c>
    </row>
    <row r="4622" spans="1:25" ht="15" x14ac:dyDescent="0.25">
      <c r="A4622" s="4">
        <v>4621</v>
      </c>
      <c r="C4622" s="41" t="s">
        <v>6999</v>
      </c>
      <c r="D4622" s="42"/>
      <c r="E4622" s="5" t="str">
        <f t="shared" si="90"/>
        <v>https://www.screener.in/company//consolidated/</v>
      </c>
      <c r="F4622" s="4">
        <v>443059</v>
      </c>
      <c r="G4622" s="4">
        <v>3832241897</v>
      </c>
      <c r="H4622" s="6" t="e">
        <f t="shared" ca="1" si="91"/>
        <v>#VALUE!</v>
      </c>
      <c r="I4622" s="7" t="str">
        <f ca="1">IFERROR(__xludf.DUMMYFUNCTION("IMPORTXML(E4622,""/html/body/main/div[3]/div[3]/div[2]/ul/li[5]/span[2]/span"")"),"Loading...")</f>
        <v>Loading...</v>
      </c>
      <c r="J4622" s="7" t="str">
        <f ca="1">IFERROR(__xludf.DUMMYFUNCTION("GOOGLEFINANCE(""NSE:""&amp;D4622,""marketcap"")"),"#N/A")</f>
        <v>#N/A</v>
      </c>
      <c r="K4622" s="7">
        <v>992.8</v>
      </c>
      <c r="L4622" s="8" t="str">
        <f ca="1">IFERROR(__xludf.DUMMYFUNCTION("GOOGLEFINANCE(""NSE:""&amp;D4622,""price"")"),"#N/A")</f>
        <v>#N/A</v>
      </c>
      <c r="M4622" s="9" t="e">
        <f t="shared" ca="1" si="92"/>
        <v>#VALUE!</v>
      </c>
      <c r="N4622" s="10" t="e">
        <f t="shared" ca="1" si="93"/>
        <v>#VALUE!</v>
      </c>
      <c r="O4622" s="7" t="str">
        <f ca="1">IFERROR(__xludf.DUMMYFUNCTION("GOOGLEFINANCE(""NSE:""&amp;D4622,""pe"")"),"#N/A")</f>
        <v>#N/A</v>
      </c>
      <c r="P4622" s="7" t="str">
        <f ca="1">IFERROR(__xludf.DUMMYFUNCTION("GOOGLEFINANCE(""NSE:""&amp;D4622,""EPS"")"),"#N/A")</f>
        <v>#N/A</v>
      </c>
      <c r="Q4622" s="7">
        <v>13.5</v>
      </c>
      <c r="R4622" s="7" t="str">
        <f ca="1">IFERROR(__xludf.DUMMYFUNCTION("IMPORTXML(E4622,""/html/body/main/div[3]/div[3]/div[2]/ul/li[7]/span[2]/span"")"),"Loading...")</f>
        <v>Loading...</v>
      </c>
      <c r="S4622" s="7" t="str">
        <f ca="1">IFERROR(__xludf.DUMMYFUNCTION("IMPORTXML(E4622,""/html/body/main/div[3]/div[3]/div[2]/ul/li[8]/span[2]/span"")"),"Loading...")</f>
        <v>Loading...</v>
      </c>
      <c r="T4622" s="4">
        <v>34.6</v>
      </c>
      <c r="U4622" s="4">
        <v>22.7</v>
      </c>
      <c r="V4622" s="4">
        <v>2.6</v>
      </c>
      <c r="W4622" s="4">
        <v>5.7</v>
      </c>
      <c r="X4622" s="4">
        <v>519.92999999999995</v>
      </c>
      <c r="Y4622" s="7" t="e">
        <f t="shared" ca="1" si="94"/>
        <v>#VALUE!</v>
      </c>
    </row>
    <row r="4623" spans="1:25" ht="15" x14ac:dyDescent="0.25">
      <c r="A4623" s="4">
        <v>4622</v>
      </c>
      <c r="C4623" s="41" t="s">
        <v>7000</v>
      </c>
      <c r="D4623" s="42"/>
      <c r="E4623" s="5" t="str">
        <f t="shared" si="90"/>
        <v>https://www.screener.in/company//consolidated/</v>
      </c>
      <c r="F4623" s="4">
        <v>443059</v>
      </c>
      <c r="G4623" s="4">
        <v>3832241897</v>
      </c>
      <c r="H4623" s="6" t="e">
        <f t="shared" ca="1" si="91"/>
        <v>#VALUE!</v>
      </c>
      <c r="I4623" s="7" t="str">
        <f ca="1">IFERROR(__xludf.DUMMYFUNCTION("IMPORTXML(E4623,""/html/body/main/div[3]/div[3]/div[2]/ul/li[5]/span[2]/span"")"),"Loading...")</f>
        <v>Loading...</v>
      </c>
      <c r="J4623" s="7" t="str">
        <f ca="1">IFERROR(__xludf.DUMMYFUNCTION("GOOGLEFINANCE(""NSE:""&amp;D4623,""marketcap"")"),"#N/A")</f>
        <v>#N/A</v>
      </c>
      <c r="K4623" s="7">
        <v>992.8</v>
      </c>
      <c r="L4623" s="8" t="str">
        <f ca="1">IFERROR(__xludf.DUMMYFUNCTION("GOOGLEFINANCE(""NSE:""&amp;D4623,""price"")"),"#N/A")</f>
        <v>#N/A</v>
      </c>
      <c r="M4623" s="9" t="e">
        <f t="shared" ca="1" si="92"/>
        <v>#VALUE!</v>
      </c>
      <c r="N4623" s="10" t="e">
        <f t="shared" ca="1" si="93"/>
        <v>#VALUE!</v>
      </c>
      <c r="O4623" s="7" t="str">
        <f ca="1">IFERROR(__xludf.DUMMYFUNCTION("GOOGLEFINANCE(""NSE:""&amp;D4623,""pe"")"),"#N/A")</f>
        <v>#N/A</v>
      </c>
      <c r="P4623" s="7" t="str">
        <f ca="1">IFERROR(__xludf.DUMMYFUNCTION("GOOGLEFINANCE(""NSE:""&amp;D4623,""EPS"")"),"#N/A")</f>
        <v>#N/A</v>
      </c>
      <c r="Q4623" s="7">
        <v>13.5</v>
      </c>
      <c r="R4623" s="7" t="str">
        <f ca="1">IFERROR(__xludf.DUMMYFUNCTION("IMPORTXML(E4623,""/html/body/main/div[3]/div[3]/div[2]/ul/li[7]/span[2]/span"")"),"Loading...")</f>
        <v>Loading...</v>
      </c>
      <c r="S4623" s="7" t="str">
        <f ca="1">IFERROR(__xludf.DUMMYFUNCTION("IMPORTXML(E4623,""/html/body/main/div[3]/div[3]/div[2]/ul/li[8]/span[2]/span"")"),"Loading...")</f>
        <v>Loading...</v>
      </c>
      <c r="T4623" s="4">
        <v>34.6</v>
      </c>
      <c r="U4623" s="4">
        <v>22.7</v>
      </c>
      <c r="V4623" s="4">
        <v>2.6</v>
      </c>
      <c r="W4623" s="4">
        <v>5.7</v>
      </c>
      <c r="X4623" s="4">
        <v>519.92999999999995</v>
      </c>
      <c r="Y4623" s="7" t="e">
        <f t="shared" ca="1" si="94"/>
        <v>#VALUE!</v>
      </c>
    </row>
    <row r="4624" spans="1:25" ht="15" x14ac:dyDescent="0.25">
      <c r="A4624" s="4">
        <v>4623</v>
      </c>
      <c r="C4624" s="41" t="s">
        <v>7001</v>
      </c>
      <c r="D4624" s="42"/>
      <c r="E4624" s="5" t="str">
        <f t="shared" si="90"/>
        <v>https://www.screener.in/company//consolidated/</v>
      </c>
      <c r="F4624" s="4">
        <v>443059</v>
      </c>
      <c r="G4624" s="4">
        <v>3832241897</v>
      </c>
      <c r="H4624" s="6" t="e">
        <f t="shared" ca="1" si="91"/>
        <v>#VALUE!</v>
      </c>
      <c r="I4624" s="7" t="str">
        <f ca="1">IFERROR(__xludf.DUMMYFUNCTION("IMPORTXML(E4624,""/html/body/main/div[3]/div[3]/div[2]/ul/li[5]/span[2]/span"")"),"Loading...")</f>
        <v>Loading...</v>
      </c>
      <c r="J4624" s="7" t="str">
        <f ca="1">IFERROR(__xludf.DUMMYFUNCTION("GOOGLEFINANCE(""NSE:""&amp;D4624,""marketcap"")"),"#N/A")</f>
        <v>#N/A</v>
      </c>
      <c r="K4624" s="7">
        <v>992.8</v>
      </c>
      <c r="L4624" s="8" t="str">
        <f ca="1">IFERROR(__xludf.DUMMYFUNCTION("GOOGLEFINANCE(""NSE:""&amp;D4624,""price"")"),"#N/A")</f>
        <v>#N/A</v>
      </c>
      <c r="M4624" s="9" t="e">
        <f t="shared" ca="1" si="92"/>
        <v>#VALUE!</v>
      </c>
      <c r="N4624" s="10" t="e">
        <f t="shared" ca="1" si="93"/>
        <v>#VALUE!</v>
      </c>
      <c r="O4624" s="7" t="str">
        <f ca="1">IFERROR(__xludf.DUMMYFUNCTION("GOOGLEFINANCE(""NSE:""&amp;D4624,""pe"")"),"#N/A")</f>
        <v>#N/A</v>
      </c>
      <c r="P4624" s="7" t="str">
        <f ca="1">IFERROR(__xludf.DUMMYFUNCTION("GOOGLEFINANCE(""NSE:""&amp;D4624,""EPS"")"),"#N/A")</f>
        <v>#N/A</v>
      </c>
      <c r="Q4624" s="7">
        <v>13.5</v>
      </c>
      <c r="R4624" s="7" t="str">
        <f ca="1">IFERROR(__xludf.DUMMYFUNCTION("IMPORTXML(E4624,""/html/body/main/div[3]/div[3]/div[2]/ul/li[7]/span[2]/span"")"),"Loading...")</f>
        <v>Loading...</v>
      </c>
      <c r="S4624" s="7" t="str">
        <f ca="1">IFERROR(__xludf.DUMMYFUNCTION("IMPORTXML(E4624,""/html/body/main/div[3]/div[3]/div[2]/ul/li[8]/span[2]/span"")"),"Loading...")</f>
        <v>Loading...</v>
      </c>
      <c r="T4624" s="4">
        <v>34.6</v>
      </c>
      <c r="U4624" s="4">
        <v>22.7</v>
      </c>
      <c r="V4624" s="4">
        <v>2.6</v>
      </c>
      <c r="W4624" s="4">
        <v>5.7</v>
      </c>
      <c r="X4624" s="4">
        <v>519.92999999999995</v>
      </c>
      <c r="Y4624" s="7" t="e">
        <f t="shared" ca="1" si="94"/>
        <v>#VALUE!</v>
      </c>
    </row>
    <row r="4625" spans="1:25" ht="15" x14ac:dyDescent="0.25">
      <c r="A4625" s="4">
        <v>4624</v>
      </c>
      <c r="C4625" s="41" t="s">
        <v>7002</v>
      </c>
      <c r="D4625" s="42"/>
      <c r="E4625" s="5" t="str">
        <f t="shared" si="90"/>
        <v>https://www.screener.in/company//consolidated/</v>
      </c>
      <c r="F4625" s="4">
        <v>443059</v>
      </c>
      <c r="G4625" s="4">
        <v>3832241897</v>
      </c>
      <c r="H4625" s="6" t="e">
        <f t="shared" ca="1" si="91"/>
        <v>#VALUE!</v>
      </c>
      <c r="I4625" s="7" t="str">
        <f ca="1">IFERROR(__xludf.DUMMYFUNCTION("IMPORTXML(E4625,""/html/body/main/div[3]/div[3]/div[2]/ul/li[5]/span[2]/span"")"),"Loading...")</f>
        <v>Loading...</v>
      </c>
      <c r="J4625" s="7" t="str">
        <f ca="1">IFERROR(__xludf.DUMMYFUNCTION("GOOGLEFINANCE(""NSE:""&amp;D4625,""marketcap"")"),"#N/A")</f>
        <v>#N/A</v>
      </c>
      <c r="K4625" s="7">
        <v>992.8</v>
      </c>
      <c r="L4625" s="8" t="str">
        <f ca="1">IFERROR(__xludf.DUMMYFUNCTION("GOOGLEFINANCE(""NSE:""&amp;D4625,""price"")"),"#N/A")</f>
        <v>#N/A</v>
      </c>
      <c r="M4625" s="9" t="e">
        <f t="shared" ca="1" si="92"/>
        <v>#VALUE!</v>
      </c>
      <c r="N4625" s="10" t="e">
        <f t="shared" ca="1" si="93"/>
        <v>#VALUE!</v>
      </c>
      <c r="O4625" s="7" t="str">
        <f ca="1">IFERROR(__xludf.DUMMYFUNCTION("GOOGLEFINANCE(""NSE:""&amp;D4625,""pe"")"),"#N/A")</f>
        <v>#N/A</v>
      </c>
      <c r="P4625" s="7" t="str">
        <f ca="1">IFERROR(__xludf.DUMMYFUNCTION("GOOGLEFINANCE(""NSE:""&amp;D4625,""EPS"")"),"#N/A")</f>
        <v>#N/A</v>
      </c>
      <c r="Q4625" s="7">
        <v>13.5</v>
      </c>
      <c r="R4625" s="7" t="str">
        <f ca="1">IFERROR(__xludf.DUMMYFUNCTION("IMPORTXML(E4625,""/html/body/main/div[3]/div[3]/div[2]/ul/li[7]/span[2]/span"")"),"Loading...")</f>
        <v>Loading...</v>
      </c>
      <c r="S4625" s="7" t="str">
        <f ca="1">IFERROR(__xludf.DUMMYFUNCTION("IMPORTXML(E4625,""/html/body/main/div[3]/div[3]/div[2]/ul/li[8]/span[2]/span"")"),"Loading...")</f>
        <v>Loading...</v>
      </c>
      <c r="T4625" s="4">
        <v>34.6</v>
      </c>
      <c r="U4625" s="4">
        <v>22.7</v>
      </c>
      <c r="V4625" s="4">
        <v>2.6</v>
      </c>
      <c r="W4625" s="4">
        <v>5.7</v>
      </c>
      <c r="X4625" s="4">
        <v>519.92999999999995</v>
      </c>
      <c r="Y4625" s="7" t="e">
        <f t="shared" ca="1" si="94"/>
        <v>#VALUE!</v>
      </c>
    </row>
    <row r="4626" spans="1:25" ht="15" x14ac:dyDescent="0.25">
      <c r="A4626" s="4">
        <v>4625</v>
      </c>
      <c r="C4626" s="41" t="s">
        <v>7003</v>
      </c>
      <c r="D4626" s="42"/>
      <c r="E4626" s="5" t="str">
        <f t="shared" si="90"/>
        <v>https://www.screener.in/company//consolidated/</v>
      </c>
      <c r="F4626" s="4">
        <v>443059</v>
      </c>
      <c r="G4626" s="4">
        <v>3832241897</v>
      </c>
      <c r="H4626" s="6" t="e">
        <f t="shared" ca="1" si="91"/>
        <v>#VALUE!</v>
      </c>
      <c r="I4626" s="7" t="str">
        <f ca="1">IFERROR(__xludf.DUMMYFUNCTION("IMPORTXML(E4626,""/html/body/main/div[3]/div[3]/div[2]/ul/li[5]/span[2]/span"")"),"Loading...")</f>
        <v>Loading...</v>
      </c>
      <c r="J4626" s="7" t="str">
        <f ca="1">IFERROR(__xludf.DUMMYFUNCTION("GOOGLEFINANCE(""NSE:""&amp;D4626,""marketcap"")"),"#N/A")</f>
        <v>#N/A</v>
      </c>
      <c r="K4626" s="7">
        <v>992.8</v>
      </c>
      <c r="L4626" s="8" t="str">
        <f ca="1">IFERROR(__xludf.DUMMYFUNCTION("GOOGLEFINANCE(""NSE:""&amp;D4626,""price"")"),"#N/A")</f>
        <v>#N/A</v>
      </c>
      <c r="M4626" s="9" t="e">
        <f t="shared" ca="1" si="92"/>
        <v>#VALUE!</v>
      </c>
      <c r="N4626" s="10" t="e">
        <f t="shared" ca="1" si="93"/>
        <v>#VALUE!</v>
      </c>
      <c r="O4626" s="7" t="str">
        <f ca="1">IFERROR(__xludf.DUMMYFUNCTION("GOOGLEFINANCE(""NSE:""&amp;D4626,""pe"")"),"#N/A")</f>
        <v>#N/A</v>
      </c>
      <c r="P4626" s="7" t="str">
        <f ca="1">IFERROR(__xludf.DUMMYFUNCTION("GOOGLEFINANCE(""NSE:""&amp;D4626,""EPS"")"),"#N/A")</f>
        <v>#N/A</v>
      </c>
      <c r="Q4626" s="7">
        <v>13.5</v>
      </c>
      <c r="R4626" s="7" t="str">
        <f ca="1">IFERROR(__xludf.DUMMYFUNCTION("IMPORTXML(E4626,""/html/body/main/div[3]/div[3]/div[2]/ul/li[7]/span[2]/span"")"),"Loading...")</f>
        <v>Loading...</v>
      </c>
      <c r="S4626" s="7" t="str">
        <f ca="1">IFERROR(__xludf.DUMMYFUNCTION("IMPORTXML(E4626,""/html/body/main/div[3]/div[3]/div[2]/ul/li[8]/span[2]/span"")"),"Loading...")</f>
        <v>Loading...</v>
      </c>
      <c r="T4626" s="4">
        <v>34.6</v>
      </c>
      <c r="U4626" s="4">
        <v>22.7</v>
      </c>
      <c r="V4626" s="4">
        <v>2.6</v>
      </c>
      <c r="W4626" s="4">
        <v>5.7</v>
      </c>
      <c r="X4626" s="4">
        <v>519.92999999999995</v>
      </c>
      <c r="Y4626" s="7" t="e">
        <f t="shared" ca="1" si="94"/>
        <v>#VALUE!</v>
      </c>
    </row>
    <row r="4627" spans="1:25" ht="15" x14ac:dyDescent="0.25">
      <c r="A4627" s="4">
        <v>4626</v>
      </c>
      <c r="C4627" s="41" t="s">
        <v>7004</v>
      </c>
      <c r="D4627" s="42"/>
      <c r="E4627" s="5" t="str">
        <f t="shared" si="90"/>
        <v>https://www.screener.in/company//consolidated/</v>
      </c>
      <c r="F4627" s="4">
        <v>443059</v>
      </c>
      <c r="G4627" s="4">
        <v>3832241897</v>
      </c>
      <c r="H4627" s="6" t="e">
        <f t="shared" ca="1" si="91"/>
        <v>#VALUE!</v>
      </c>
      <c r="I4627" s="7" t="str">
        <f ca="1">IFERROR(__xludf.DUMMYFUNCTION("IMPORTXML(E4627,""/html/body/main/div[3]/div[3]/div[2]/ul/li[5]/span[2]/span"")"),"Loading...")</f>
        <v>Loading...</v>
      </c>
      <c r="J4627" s="7" t="str">
        <f ca="1">IFERROR(__xludf.DUMMYFUNCTION("GOOGLEFINANCE(""NSE:""&amp;D4627,""marketcap"")"),"#N/A")</f>
        <v>#N/A</v>
      </c>
      <c r="K4627" s="7">
        <v>992.8</v>
      </c>
      <c r="L4627" s="8" t="str">
        <f ca="1">IFERROR(__xludf.DUMMYFUNCTION("GOOGLEFINANCE(""NSE:""&amp;D4627,""price"")"),"#N/A")</f>
        <v>#N/A</v>
      </c>
      <c r="M4627" s="9" t="e">
        <f t="shared" ca="1" si="92"/>
        <v>#VALUE!</v>
      </c>
      <c r="N4627" s="10" t="e">
        <f t="shared" ca="1" si="93"/>
        <v>#VALUE!</v>
      </c>
      <c r="O4627" s="7" t="str">
        <f ca="1">IFERROR(__xludf.DUMMYFUNCTION("GOOGLEFINANCE(""NSE:""&amp;D4627,""pe"")"),"#N/A")</f>
        <v>#N/A</v>
      </c>
      <c r="P4627" s="7" t="str">
        <f ca="1">IFERROR(__xludf.DUMMYFUNCTION("GOOGLEFINANCE(""NSE:""&amp;D4627,""EPS"")"),"#N/A")</f>
        <v>#N/A</v>
      </c>
      <c r="Q4627" s="7">
        <v>13.5</v>
      </c>
      <c r="R4627" s="7" t="str">
        <f ca="1">IFERROR(__xludf.DUMMYFUNCTION("IMPORTXML(E4627,""/html/body/main/div[3]/div[3]/div[2]/ul/li[7]/span[2]/span"")"),"Loading...")</f>
        <v>Loading...</v>
      </c>
      <c r="S4627" s="7" t="str">
        <f ca="1">IFERROR(__xludf.DUMMYFUNCTION("IMPORTXML(E4627,""/html/body/main/div[3]/div[3]/div[2]/ul/li[8]/span[2]/span"")"),"Loading...")</f>
        <v>Loading...</v>
      </c>
      <c r="T4627" s="4">
        <v>34.6</v>
      </c>
      <c r="U4627" s="4">
        <v>22.7</v>
      </c>
      <c r="V4627" s="4">
        <v>2.6</v>
      </c>
      <c r="W4627" s="4">
        <v>5.7</v>
      </c>
      <c r="X4627" s="4">
        <v>519.92999999999995</v>
      </c>
      <c r="Y4627" s="7" t="e">
        <f t="shared" ca="1" si="94"/>
        <v>#VALUE!</v>
      </c>
    </row>
    <row r="4628" spans="1:25" ht="15" x14ac:dyDescent="0.25">
      <c r="A4628" s="4">
        <v>4627</v>
      </c>
      <c r="C4628" s="41" t="s">
        <v>7005</v>
      </c>
      <c r="D4628" s="42"/>
      <c r="E4628" s="5" t="str">
        <f t="shared" si="90"/>
        <v>https://www.screener.in/company//consolidated/</v>
      </c>
      <c r="F4628" s="4">
        <v>443059</v>
      </c>
      <c r="G4628" s="4">
        <v>3832241897</v>
      </c>
      <c r="H4628" s="6" t="e">
        <f t="shared" ca="1" si="91"/>
        <v>#VALUE!</v>
      </c>
      <c r="I4628" s="7" t="str">
        <f ca="1">IFERROR(__xludf.DUMMYFUNCTION("IMPORTXML(E4628,""/html/body/main/div[3]/div[3]/div[2]/ul/li[5]/span[2]/span"")"),"Loading...")</f>
        <v>Loading...</v>
      </c>
      <c r="J4628" s="7" t="str">
        <f ca="1">IFERROR(__xludf.DUMMYFUNCTION("GOOGLEFINANCE(""NSE:""&amp;D4628,""marketcap"")"),"#N/A")</f>
        <v>#N/A</v>
      </c>
      <c r="K4628" s="7">
        <v>992.8</v>
      </c>
      <c r="L4628" s="8" t="str">
        <f ca="1">IFERROR(__xludf.DUMMYFUNCTION("GOOGLEFINANCE(""NSE:""&amp;D4628,""price"")"),"#N/A")</f>
        <v>#N/A</v>
      </c>
      <c r="M4628" s="9" t="e">
        <f t="shared" ca="1" si="92"/>
        <v>#VALUE!</v>
      </c>
      <c r="N4628" s="10" t="e">
        <f t="shared" ca="1" si="93"/>
        <v>#VALUE!</v>
      </c>
      <c r="O4628" s="7" t="str">
        <f ca="1">IFERROR(__xludf.DUMMYFUNCTION("GOOGLEFINANCE(""NSE:""&amp;D4628,""pe"")"),"#N/A")</f>
        <v>#N/A</v>
      </c>
      <c r="P4628" s="7" t="str">
        <f ca="1">IFERROR(__xludf.DUMMYFUNCTION("GOOGLEFINANCE(""NSE:""&amp;D4628,""EPS"")"),"#N/A")</f>
        <v>#N/A</v>
      </c>
      <c r="Q4628" s="7">
        <v>13.5</v>
      </c>
      <c r="R4628" s="7" t="str">
        <f ca="1">IFERROR(__xludf.DUMMYFUNCTION("IMPORTXML(E4628,""/html/body/main/div[3]/div[3]/div[2]/ul/li[7]/span[2]/span"")"),"Loading...")</f>
        <v>Loading...</v>
      </c>
      <c r="S4628" s="7" t="str">
        <f ca="1">IFERROR(__xludf.DUMMYFUNCTION("IMPORTXML(E4628,""/html/body/main/div[3]/div[3]/div[2]/ul/li[8]/span[2]/span"")"),"Loading...")</f>
        <v>Loading...</v>
      </c>
      <c r="T4628" s="4">
        <v>34.6</v>
      </c>
      <c r="U4628" s="4">
        <v>22.7</v>
      </c>
      <c r="V4628" s="4">
        <v>2.6</v>
      </c>
      <c r="W4628" s="4">
        <v>5.7</v>
      </c>
      <c r="X4628" s="4">
        <v>519.92999999999995</v>
      </c>
      <c r="Y4628" s="7" t="e">
        <f t="shared" ca="1" si="94"/>
        <v>#VALUE!</v>
      </c>
    </row>
    <row r="4629" spans="1:25" ht="15" x14ac:dyDescent="0.25">
      <c r="A4629" s="4">
        <v>4628</v>
      </c>
      <c r="C4629" s="41" t="s">
        <v>7006</v>
      </c>
      <c r="D4629" s="42"/>
      <c r="E4629" s="5" t="str">
        <f t="shared" si="90"/>
        <v>https://www.screener.in/company//consolidated/</v>
      </c>
      <c r="F4629" s="4">
        <v>443059</v>
      </c>
      <c r="G4629" s="4">
        <v>3832241897</v>
      </c>
      <c r="H4629" s="6" t="e">
        <f t="shared" ca="1" si="91"/>
        <v>#VALUE!</v>
      </c>
      <c r="I4629" s="7" t="str">
        <f ca="1">IFERROR(__xludf.DUMMYFUNCTION("IMPORTXML(E4629,""/html/body/main/div[3]/div[3]/div[2]/ul/li[5]/span[2]/span"")"),"Loading...")</f>
        <v>Loading...</v>
      </c>
      <c r="J4629" s="7" t="str">
        <f ca="1">IFERROR(__xludf.DUMMYFUNCTION("GOOGLEFINANCE(""NSE:""&amp;D4629,""marketcap"")"),"#N/A")</f>
        <v>#N/A</v>
      </c>
      <c r="K4629" s="7">
        <v>992.8</v>
      </c>
      <c r="L4629" s="8" t="str">
        <f ca="1">IFERROR(__xludf.DUMMYFUNCTION("GOOGLEFINANCE(""NSE:""&amp;D4629,""price"")"),"#N/A")</f>
        <v>#N/A</v>
      </c>
      <c r="M4629" s="9" t="e">
        <f t="shared" ca="1" si="92"/>
        <v>#VALUE!</v>
      </c>
      <c r="N4629" s="10" t="e">
        <f t="shared" ca="1" si="93"/>
        <v>#VALUE!</v>
      </c>
      <c r="O4629" s="7" t="str">
        <f ca="1">IFERROR(__xludf.DUMMYFUNCTION("GOOGLEFINANCE(""NSE:""&amp;D4629,""pe"")"),"#N/A")</f>
        <v>#N/A</v>
      </c>
      <c r="P4629" s="7" t="str">
        <f ca="1">IFERROR(__xludf.DUMMYFUNCTION("GOOGLEFINANCE(""NSE:""&amp;D4629,""EPS"")"),"#N/A")</f>
        <v>#N/A</v>
      </c>
      <c r="Q4629" s="7">
        <v>13.5</v>
      </c>
      <c r="R4629" s="7" t="str">
        <f ca="1">IFERROR(__xludf.DUMMYFUNCTION("IMPORTXML(E4629,""/html/body/main/div[3]/div[3]/div[2]/ul/li[7]/span[2]/span"")"),"Loading...")</f>
        <v>Loading...</v>
      </c>
      <c r="S4629" s="7" t="str">
        <f ca="1">IFERROR(__xludf.DUMMYFUNCTION("IMPORTXML(E4629,""/html/body/main/div[3]/div[3]/div[2]/ul/li[8]/span[2]/span"")"),"Loading...")</f>
        <v>Loading...</v>
      </c>
      <c r="T4629" s="4">
        <v>34.6</v>
      </c>
      <c r="U4629" s="4">
        <v>22.7</v>
      </c>
      <c r="V4629" s="4">
        <v>2.6</v>
      </c>
      <c r="W4629" s="4">
        <v>5.7</v>
      </c>
      <c r="X4629" s="4">
        <v>519.92999999999995</v>
      </c>
      <c r="Y4629" s="7" t="e">
        <f t="shared" ca="1" si="94"/>
        <v>#VALUE!</v>
      </c>
    </row>
    <row r="4630" spans="1:25" ht="15" x14ac:dyDescent="0.25">
      <c r="A4630" s="4">
        <v>4629</v>
      </c>
      <c r="C4630" s="41" t="s">
        <v>7007</v>
      </c>
      <c r="D4630" s="42"/>
      <c r="E4630" s="5" t="str">
        <f t="shared" si="90"/>
        <v>https://www.screener.in/company//consolidated/</v>
      </c>
      <c r="F4630" s="4">
        <v>443059</v>
      </c>
      <c r="G4630" s="4">
        <v>3832241897</v>
      </c>
      <c r="H4630" s="6" t="e">
        <f t="shared" ca="1" si="91"/>
        <v>#VALUE!</v>
      </c>
      <c r="I4630" s="7" t="str">
        <f ca="1">IFERROR(__xludf.DUMMYFUNCTION("IMPORTXML(E4630,""/html/body/main/div[3]/div[3]/div[2]/ul/li[5]/span[2]/span"")"),"Loading...")</f>
        <v>Loading...</v>
      </c>
      <c r="J4630" s="7" t="str">
        <f ca="1">IFERROR(__xludf.DUMMYFUNCTION("GOOGLEFINANCE(""NSE:""&amp;D4630,""marketcap"")"),"#N/A")</f>
        <v>#N/A</v>
      </c>
      <c r="K4630" s="7">
        <v>992.8</v>
      </c>
      <c r="L4630" s="8" t="str">
        <f ca="1">IFERROR(__xludf.DUMMYFUNCTION("GOOGLEFINANCE(""NSE:""&amp;D4630,""price"")"),"#N/A")</f>
        <v>#N/A</v>
      </c>
      <c r="M4630" s="9" t="e">
        <f t="shared" ca="1" si="92"/>
        <v>#VALUE!</v>
      </c>
      <c r="N4630" s="10" t="e">
        <f t="shared" ca="1" si="93"/>
        <v>#VALUE!</v>
      </c>
      <c r="O4630" s="7" t="str">
        <f ca="1">IFERROR(__xludf.DUMMYFUNCTION("GOOGLEFINANCE(""NSE:""&amp;D4630,""pe"")"),"#N/A")</f>
        <v>#N/A</v>
      </c>
      <c r="P4630" s="7" t="str">
        <f ca="1">IFERROR(__xludf.DUMMYFUNCTION("GOOGLEFINANCE(""NSE:""&amp;D4630,""EPS"")"),"#N/A")</f>
        <v>#N/A</v>
      </c>
      <c r="Q4630" s="7">
        <v>13.5</v>
      </c>
      <c r="R4630" s="7" t="str">
        <f ca="1">IFERROR(__xludf.DUMMYFUNCTION("IMPORTXML(E4630,""/html/body/main/div[3]/div[3]/div[2]/ul/li[7]/span[2]/span"")"),"Loading...")</f>
        <v>Loading...</v>
      </c>
      <c r="S4630" s="7" t="str">
        <f ca="1">IFERROR(__xludf.DUMMYFUNCTION("IMPORTXML(E4630,""/html/body/main/div[3]/div[3]/div[2]/ul/li[8]/span[2]/span"")"),"Loading...")</f>
        <v>Loading...</v>
      </c>
      <c r="T4630" s="4">
        <v>34.6</v>
      </c>
      <c r="U4630" s="4">
        <v>22.7</v>
      </c>
      <c r="V4630" s="4">
        <v>2.6</v>
      </c>
      <c r="W4630" s="4">
        <v>5.7</v>
      </c>
      <c r="X4630" s="4">
        <v>519.92999999999995</v>
      </c>
      <c r="Y4630" s="7" t="e">
        <f t="shared" ca="1" si="94"/>
        <v>#VALUE!</v>
      </c>
    </row>
    <row r="4631" spans="1:25" ht="15" x14ac:dyDescent="0.25">
      <c r="A4631" s="4">
        <v>4630</v>
      </c>
      <c r="C4631" s="41" t="s">
        <v>7008</v>
      </c>
      <c r="D4631" s="42"/>
      <c r="E4631" s="5" t="str">
        <f t="shared" si="90"/>
        <v>https://www.screener.in/company//consolidated/</v>
      </c>
      <c r="F4631" s="4">
        <v>443059</v>
      </c>
      <c r="G4631" s="4">
        <v>3832241897</v>
      </c>
      <c r="H4631" s="6" t="e">
        <f t="shared" ca="1" si="91"/>
        <v>#VALUE!</v>
      </c>
      <c r="I4631" s="7" t="str">
        <f ca="1">IFERROR(__xludf.DUMMYFUNCTION("IMPORTXML(E4631,""/html/body/main/div[3]/div[3]/div[2]/ul/li[5]/span[2]/span"")"),"Loading...")</f>
        <v>Loading...</v>
      </c>
      <c r="J4631" s="7" t="str">
        <f ca="1">IFERROR(__xludf.DUMMYFUNCTION("GOOGLEFINANCE(""NSE:""&amp;D4631,""marketcap"")"),"#N/A")</f>
        <v>#N/A</v>
      </c>
      <c r="K4631" s="7">
        <v>992.8</v>
      </c>
      <c r="L4631" s="8" t="str">
        <f ca="1">IFERROR(__xludf.DUMMYFUNCTION("GOOGLEFINANCE(""NSE:""&amp;D4631,""price"")"),"#N/A")</f>
        <v>#N/A</v>
      </c>
      <c r="M4631" s="9" t="e">
        <f t="shared" ca="1" si="92"/>
        <v>#VALUE!</v>
      </c>
      <c r="N4631" s="10" t="e">
        <f t="shared" ca="1" si="93"/>
        <v>#VALUE!</v>
      </c>
      <c r="O4631" s="7" t="str">
        <f ca="1">IFERROR(__xludf.DUMMYFUNCTION("GOOGLEFINANCE(""NSE:""&amp;D4631,""pe"")"),"#N/A")</f>
        <v>#N/A</v>
      </c>
      <c r="P4631" s="7" t="str">
        <f ca="1">IFERROR(__xludf.DUMMYFUNCTION("GOOGLEFINANCE(""NSE:""&amp;D4631,""EPS"")"),"#N/A")</f>
        <v>#N/A</v>
      </c>
      <c r="Q4631" s="7">
        <v>13.5</v>
      </c>
      <c r="R4631" s="7" t="str">
        <f ca="1">IFERROR(__xludf.DUMMYFUNCTION("IMPORTXML(E4631,""/html/body/main/div[3]/div[3]/div[2]/ul/li[7]/span[2]/span"")"),"Loading...")</f>
        <v>Loading...</v>
      </c>
      <c r="S4631" s="7" t="str">
        <f ca="1">IFERROR(__xludf.DUMMYFUNCTION("IMPORTXML(E4631,""/html/body/main/div[3]/div[3]/div[2]/ul/li[8]/span[2]/span"")"),"Loading...")</f>
        <v>Loading...</v>
      </c>
      <c r="T4631" s="4">
        <v>34.6</v>
      </c>
      <c r="U4631" s="4">
        <v>22.7</v>
      </c>
      <c r="V4631" s="4">
        <v>2.6</v>
      </c>
      <c r="W4631" s="4">
        <v>5.7</v>
      </c>
      <c r="X4631" s="4">
        <v>519.92999999999995</v>
      </c>
      <c r="Y4631" s="7" t="e">
        <f t="shared" ca="1" si="94"/>
        <v>#VALUE!</v>
      </c>
    </row>
    <row r="4632" spans="1:25" ht="15" x14ac:dyDescent="0.25">
      <c r="A4632" s="4">
        <v>4631</v>
      </c>
      <c r="C4632" s="41" t="s">
        <v>7009</v>
      </c>
      <c r="D4632" s="42"/>
      <c r="E4632" s="5" t="str">
        <f t="shared" si="90"/>
        <v>https://www.screener.in/company//consolidated/</v>
      </c>
      <c r="F4632" s="4">
        <v>443059</v>
      </c>
      <c r="G4632" s="4">
        <v>3832241897</v>
      </c>
      <c r="H4632" s="6" t="e">
        <f t="shared" ca="1" si="91"/>
        <v>#VALUE!</v>
      </c>
      <c r="I4632" s="7" t="str">
        <f ca="1">IFERROR(__xludf.DUMMYFUNCTION("IMPORTXML(E4632,""/html/body/main/div[3]/div[3]/div[2]/ul/li[5]/span[2]/span"")"),"Loading...")</f>
        <v>Loading...</v>
      </c>
      <c r="J4632" s="7" t="str">
        <f ca="1">IFERROR(__xludf.DUMMYFUNCTION("GOOGLEFINANCE(""NSE:""&amp;D4632,""marketcap"")"),"#N/A")</f>
        <v>#N/A</v>
      </c>
      <c r="K4632" s="7">
        <v>992.8</v>
      </c>
      <c r="L4632" s="8" t="str">
        <f ca="1">IFERROR(__xludf.DUMMYFUNCTION("GOOGLEFINANCE(""NSE:""&amp;D4632,""price"")"),"#N/A")</f>
        <v>#N/A</v>
      </c>
      <c r="M4632" s="9" t="e">
        <f t="shared" ca="1" si="92"/>
        <v>#VALUE!</v>
      </c>
      <c r="N4632" s="10" t="e">
        <f t="shared" ca="1" si="93"/>
        <v>#VALUE!</v>
      </c>
      <c r="O4632" s="7" t="str">
        <f ca="1">IFERROR(__xludf.DUMMYFUNCTION("GOOGLEFINANCE(""NSE:""&amp;D4632,""pe"")"),"#N/A")</f>
        <v>#N/A</v>
      </c>
      <c r="P4632" s="7" t="str">
        <f ca="1">IFERROR(__xludf.DUMMYFUNCTION("GOOGLEFINANCE(""NSE:""&amp;D4632,""EPS"")"),"#N/A")</f>
        <v>#N/A</v>
      </c>
      <c r="Q4632" s="7">
        <v>13.5</v>
      </c>
      <c r="R4632" s="7" t="str">
        <f ca="1">IFERROR(__xludf.DUMMYFUNCTION("IMPORTXML(E4632,""/html/body/main/div[3]/div[3]/div[2]/ul/li[7]/span[2]/span"")"),"Loading...")</f>
        <v>Loading...</v>
      </c>
      <c r="S4632" s="7" t="str">
        <f ca="1">IFERROR(__xludf.DUMMYFUNCTION("IMPORTXML(E4632,""/html/body/main/div[3]/div[3]/div[2]/ul/li[8]/span[2]/span"")"),"Loading...")</f>
        <v>Loading...</v>
      </c>
      <c r="T4632" s="4">
        <v>34.6</v>
      </c>
      <c r="U4632" s="4">
        <v>22.7</v>
      </c>
      <c r="V4632" s="4">
        <v>2.6</v>
      </c>
      <c r="W4632" s="4">
        <v>5.7</v>
      </c>
      <c r="X4632" s="4">
        <v>519.92999999999995</v>
      </c>
      <c r="Y4632" s="7" t="e">
        <f t="shared" ca="1" si="94"/>
        <v>#VALUE!</v>
      </c>
    </row>
    <row r="4633" spans="1:25" ht="15" x14ac:dyDescent="0.25">
      <c r="A4633" s="4">
        <v>4632</v>
      </c>
      <c r="C4633" s="41" t="s">
        <v>7010</v>
      </c>
      <c r="D4633" s="42"/>
      <c r="E4633" s="5" t="str">
        <f t="shared" si="90"/>
        <v>https://www.screener.in/company//consolidated/</v>
      </c>
      <c r="F4633" s="4">
        <v>443059</v>
      </c>
      <c r="G4633" s="4">
        <v>3832241897</v>
      </c>
      <c r="H4633" s="6" t="e">
        <f t="shared" ca="1" si="91"/>
        <v>#VALUE!</v>
      </c>
      <c r="I4633" s="7" t="str">
        <f ca="1">IFERROR(__xludf.DUMMYFUNCTION("IMPORTXML(E4633,""/html/body/main/div[3]/div[3]/div[2]/ul/li[5]/span[2]/span"")"),"Loading...")</f>
        <v>Loading...</v>
      </c>
      <c r="J4633" s="7" t="str">
        <f ca="1">IFERROR(__xludf.DUMMYFUNCTION("GOOGLEFINANCE(""NSE:""&amp;D4633,""marketcap"")"),"#N/A")</f>
        <v>#N/A</v>
      </c>
      <c r="K4633" s="7">
        <v>992.8</v>
      </c>
      <c r="L4633" s="8" t="str">
        <f ca="1">IFERROR(__xludf.DUMMYFUNCTION("GOOGLEFINANCE(""NSE:""&amp;D4633,""price"")"),"#N/A")</f>
        <v>#N/A</v>
      </c>
      <c r="M4633" s="9" t="e">
        <f t="shared" ca="1" si="92"/>
        <v>#VALUE!</v>
      </c>
      <c r="N4633" s="10" t="e">
        <f t="shared" ca="1" si="93"/>
        <v>#VALUE!</v>
      </c>
      <c r="O4633" s="7" t="str">
        <f ca="1">IFERROR(__xludf.DUMMYFUNCTION("GOOGLEFINANCE(""NSE:""&amp;D4633,""pe"")"),"#N/A")</f>
        <v>#N/A</v>
      </c>
      <c r="P4633" s="7" t="str">
        <f ca="1">IFERROR(__xludf.DUMMYFUNCTION("GOOGLEFINANCE(""NSE:""&amp;D4633,""EPS"")"),"#N/A")</f>
        <v>#N/A</v>
      </c>
      <c r="Q4633" s="7">
        <v>13.5</v>
      </c>
      <c r="R4633" s="7" t="str">
        <f ca="1">IFERROR(__xludf.DUMMYFUNCTION("IMPORTXML(E4633,""/html/body/main/div[3]/div[3]/div[2]/ul/li[7]/span[2]/span"")"),"Loading...")</f>
        <v>Loading...</v>
      </c>
      <c r="S4633" s="7" t="str">
        <f ca="1">IFERROR(__xludf.DUMMYFUNCTION("IMPORTXML(E4633,""/html/body/main/div[3]/div[3]/div[2]/ul/li[8]/span[2]/span"")"),"Loading...")</f>
        <v>Loading...</v>
      </c>
      <c r="T4633" s="4">
        <v>34.6</v>
      </c>
      <c r="U4633" s="4">
        <v>22.7</v>
      </c>
      <c r="V4633" s="4">
        <v>2.6</v>
      </c>
      <c r="W4633" s="4">
        <v>5.7</v>
      </c>
      <c r="X4633" s="4">
        <v>519.92999999999995</v>
      </c>
      <c r="Y4633" s="7" t="e">
        <f t="shared" ca="1" si="94"/>
        <v>#VALUE!</v>
      </c>
    </row>
    <row r="4634" spans="1:25" ht="15" x14ac:dyDescent="0.25">
      <c r="A4634" s="4">
        <v>4633</v>
      </c>
      <c r="C4634" s="41" t="s">
        <v>7011</v>
      </c>
      <c r="D4634" s="42"/>
      <c r="E4634" s="5" t="str">
        <f t="shared" si="90"/>
        <v>https://www.screener.in/company//consolidated/</v>
      </c>
      <c r="F4634" s="4">
        <v>443059</v>
      </c>
      <c r="G4634" s="4">
        <v>3832241897</v>
      </c>
      <c r="H4634" s="6" t="e">
        <f t="shared" ca="1" si="91"/>
        <v>#VALUE!</v>
      </c>
      <c r="I4634" s="7" t="str">
        <f ca="1">IFERROR(__xludf.DUMMYFUNCTION("IMPORTXML(E4634,""/html/body/main/div[3]/div[3]/div[2]/ul/li[5]/span[2]/span"")"),"Loading...")</f>
        <v>Loading...</v>
      </c>
      <c r="J4634" s="7" t="str">
        <f ca="1">IFERROR(__xludf.DUMMYFUNCTION("GOOGLEFINANCE(""NSE:""&amp;D4634,""marketcap"")"),"#N/A")</f>
        <v>#N/A</v>
      </c>
      <c r="K4634" s="7">
        <v>992.8</v>
      </c>
      <c r="L4634" s="8" t="str">
        <f ca="1">IFERROR(__xludf.DUMMYFUNCTION("GOOGLEFINANCE(""NSE:""&amp;D4634,""price"")"),"#N/A")</f>
        <v>#N/A</v>
      </c>
      <c r="M4634" s="9" t="e">
        <f t="shared" ca="1" si="92"/>
        <v>#VALUE!</v>
      </c>
      <c r="N4634" s="10" t="e">
        <f t="shared" ca="1" si="93"/>
        <v>#VALUE!</v>
      </c>
      <c r="O4634" s="7" t="str">
        <f ca="1">IFERROR(__xludf.DUMMYFUNCTION("GOOGLEFINANCE(""NSE:""&amp;D4634,""pe"")"),"#N/A")</f>
        <v>#N/A</v>
      </c>
      <c r="P4634" s="7" t="str">
        <f ca="1">IFERROR(__xludf.DUMMYFUNCTION("GOOGLEFINANCE(""NSE:""&amp;D4634,""EPS"")"),"#N/A")</f>
        <v>#N/A</v>
      </c>
      <c r="Q4634" s="7">
        <v>13.5</v>
      </c>
      <c r="R4634" s="7" t="str">
        <f ca="1">IFERROR(__xludf.DUMMYFUNCTION("IMPORTXML(E4634,""/html/body/main/div[3]/div[3]/div[2]/ul/li[7]/span[2]/span"")"),"Loading...")</f>
        <v>Loading...</v>
      </c>
      <c r="S4634" s="7" t="str">
        <f ca="1">IFERROR(__xludf.DUMMYFUNCTION("IMPORTXML(E4634,""/html/body/main/div[3]/div[3]/div[2]/ul/li[8]/span[2]/span"")"),"Loading...")</f>
        <v>Loading...</v>
      </c>
      <c r="T4634" s="4">
        <v>34.6</v>
      </c>
      <c r="U4634" s="4">
        <v>22.7</v>
      </c>
      <c r="V4634" s="4">
        <v>2.6</v>
      </c>
      <c r="W4634" s="4">
        <v>5.7</v>
      </c>
      <c r="X4634" s="4">
        <v>519.92999999999995</v>
      </c>
      <c r="Y4634" s="7" t="e">
        <f t="shared" ca="1" si="94"/>
        <v>#VALUE!</v>
      </c>
    </row>
    <row r="4635" spans="1:25" ht="15" x14ac:dyDescent="0.25">
      <c r="A4635" s="4">
        <v>4634</v>
      </c>
      <c r="C4635" s="41" t="s">
        <v>7012</v>
      </c>
      <c r="D4635" s="42"/>
      <c r="E4635" s="5" t="str">
        <f t="shared" si="90"/>
        <v>https://www.screener.in/company//consolidated/</v>
      </c>
      <c r="F4635" s="4">
        <v>443059</v>
      </c>
      <c r="G4635" s="4">
        <v>3832241897</v>
      </c>
      <c r="H4635" s="6" t="e">
        <f t="shared" ca="1" si="91"/>
        <v>#VALUE!</v>
      </c>
      <c r="I4635" s="7" t="str">
        <f ca="1">IFERROR(__xludf.DUMMYFUNCTION("IMPORTXML(E4635,""/html/body/main/div[3]/div[3]/div[2]/ul/li[5]/span[2]/span"")"),"Loading...")</f>
        <v>Loading...</v>
      </c>
      <c r="J4635" s="7" t="str">
        <f ca="1">IFERROR(__xludf.DUMMYFUNCTION("GOOGLEFINANCE(""NSE:""&amp;D4635,""marketcap"")"),"#N/A")</f>
        <v>#N/A</v>
      </c>
      <c r="K4635" s="7">
        <v>992.8</v>
      </c>
      <c r="L4635" s="8" t="str">
        <f ca="1">IFERROR(__xludf.DUMMYFUNCTION("GOOGLEFINANCE(""NSE:""&amp;D4635,""price"")"),"#N/A")</f>
        <v>#N/A</v>
      </c>
      <c r="M4635" s="9" t="e">
        <f t="shared" ca="1" si="92"/>
        <v>#VALUE!</v>
      </c>
      <c r="N4635" s="10" t="e">
        <f t="shared" ca="1" si="93"/>
        <v>#VALUE!</v>
      </c>
      <c r="O4635" s="7" t="str">
        <f ca="1">IFERROR(__xludf.DUMMYFUNCTION("GOOGLEFINANCE(""NSE:""&amp;D4635,""pe"")"),"#N/A")</f>
        <v>#N/A</v>
      </c>
      <c r="P4635" s="7" t="str">
        <f ca="1">IFERROR(__xludf.DUMMYFUNCTION("GOOGLEFINANCE(""NSE:""&amp;D4635,""EPS"")"),"#N/A")</f>
        <v>#N/A</v>
      </c>
      <c r="Q4635" s="7">
        <v>13.5</v>
      </c>
      <c r="R4635" s="7" t="str">
        <f ca="1">IFERROR(__xludf.DUMMYFUNCTION("IMPORTXML(E4635,""/html/body/main/div[3]/div[3]/div[2]/ul/li[7]/span[2]/span"")"),"Loading...")</f>
        <v>Loading...</v>
      </c>
      <c r="S4635" s="7" t="str">
        <f ca="1">IFERROR(__xludf.DUMMYFUNCTION("IMPORTXML(E4635,""/html/body/main/div[3]/div[3]/div[2]/ul/li[8]/span[2]/span"")"),"Loading...")</f>
        <v>Loading...</v>
      </c>
      <c r="T4635" s="4">
        <v>34.6</v>
      </c>
      <c r="U4635" s="4">
        <v>22.7</v>
      </c>
      <c r="V4635" s="4">
        <v>2.6</v>
      </c>
      <c r="W4635" s="4">
        <v>5.7</v>
      </c>
      <c r="X4635" s="4">
        <v>519.92999999999995</v>
      </c>
      <c r="Y4635" s="7" t="e">
        <f t="shared" ca="1" si="94"/>
        <v>#VALUE!</v>
      </c>
    </row>
    <row r="4636" spans="1:25" ht="15" x14ac:dyDescent="0.25">
      <c r="A4636" s="4">
        <v>4635</v>
      </c>
      <c r="C4636" s="41" t="s">
        <v>7013</v>
      </c>
      <c r="D4636" s="42"/>
      <c r="E4636" s="5" t="str">
        <f t="shared" si="90"/>
        <v>https://www.screener.in/company//consolidated/</v>
      </c>
      <c r="F4636" s="4">
        <v>443059</v>
      </c>
      <c r="G4636" s="4">
        <v>3832241897</v>
      </c>
      <c r="H4636" s="6" t="e">
        <f t="shared" ca="1" si="91"/>
        <v>#VALUE!</v>
      </c>
      <c r="I4636" s="7" t="str">
        <f ca="1">IFERROR(__xludf.DUMMYFUNCTION("IMPORTXML(E4636,""/html/body/main/div[3]/div[3]/div[2]/ul/li[5]/span[2]/span"")"),"Loading...")</f>
        <v>Loading...</v>
      </c>
      <c r="J4636" s="7" t="str">
        <f ca="1">IFERROR(__xludf.DUMMYFUNCTION("GOOGLEFINANCE(""NSE:""&amp;D4636,""marketcap"")"),"#N/A")</f>
        <v>#N/A</v>
      </c>
      <c r="K4636" s="7">
        <v>992.8</v>
      </c>
      <c r="L4636" s="8" t="str">
        <f ca="1">IFERROR(__xludf.DUMMYFUNCTION("GOOGLEFINANCE(""NSE:""&amp;D4636,""price"")"),"#N/A")</f>
        <v>#N/A</v>
      </c>
      <c r="M4636" s="9" t="e">
        <f t="shared" ca="1" si="92"/>
        <v>#VALUE!</v>
      </c>
      <c r="N4636" s="10" t="e">
        <f t="shared" ca="1" si="93"/>
        <v>#VALUE!</v>
      </c>
      <c r="O4636" s="7" t="str">
        <f ca="1">IFERROR(__xludf.DUMMYFUNCTION("GOOGLEFINANCE(""NSE:""&amp;D4636,""pe"")"),"#N/A")</f>
        <v>#N/A</v>
      </c>
      <c r="P4636" s="7" t="str">
        <f ca="1">IFERROR(__xludf.DUMMYFUNCTION("GOOGLEFINANCE(""NSE:""&amp;D4636,""EPS"")"),"#N/A")</f>
        <v>#N/A</v>
      </c>
      <c r="Q4636" s="7">
        <v>13.5</v>
      </c>
      <c r="R4636" s="7" t="str">
        <f ca="1">IFERROR(__xludf.DUMMYFUNCTION("IMPORTXML(E4636,""/html/body/main/div[3]/div[3]/div[2]/ul/li[7]/span[2]/span"")"),"Loading...")</f>
        <v>Loading...</v>
      </c>
      <c r="S4636" s="7" t="str">
        <f ca="1">IFERROR(__xludf.DUMMYFUNCTION("IMPORTXML(E4636,""/html/body/main/div[3]/div[3]/div[2]/ul/li[8]/span[2]/span"")"),"Loading...")</f>
        <v>Loading...</v>
      </c>
      <c r="T4636" s="4">
        <v>34.6</v>
      </c>
      <c r="U4636" s="4">
        <v>22.7</v>
      </c>
      <c r="V4636" s="4">
        <v>2.6</v>
      </c>
      <c r="W4636" s="4">
        <v>5.7</v>
      </c>
      <c r="X4636" s="4">
        <v>519.92999999999995</v>
      </c>
      <c r="Y4636" s="7" t="e">
        <f t="shared" ca="1" si="94"/>
        <v>#VALUE!</v>
      </c>
    </row>
    <row r="4637" spans="1:25" ht="15" x14ac:dyDescent="0.25">
      <c r="A4637" s="4">
        <v>4636</v>
      </c>
      <c r="C4637" s="41" t="s">
        <v>7014</v>
      </c>
      <c r="D4637" s="42"/>
      <c r="E4637" s="5" t="str">
        <f t="shared" si="90"/>
        <v>https://www.screener.in/company//consolidated/</v>
      </c>
      <c r="F4637" s="4">
        <v>443059</v>
      </c>
      <c r="G4637" s="4">
        <v>3832241897</v>
      </c>
      <c r="H4637" s="6" t="e">
        <f t="shared" ca="1" si="91"/>
        <v>#VALUE!</v>
      </c>
      <c r="I4637" s="7" t="str">
        <f ca="1">IFERROR(__xludf.DUMMYFUNCTION("IMPORTXML(E4637,""/html/body/main/div[3]/div[3]/div[2]/ul/li[5]/span[2]/span"")"),"Loading...")</f>
        <v>Loading...</v>
      </c>
      <c r="J4637" s="7" t="str">
        <f ca="1">IFERROR(__xludf.DUMMYFUNCTION("GOOGLEFINANCE(""NSE:""&amp;D4637,""marketcap"")"),"#N/A")</f>
        <v>#N/A</v>
      </c>
      <c r="K4637" s="7">
        <v>992.8</v>
      </c>
      <c r="L4637" s="8" t="str">
        <f ca="1">IFERROR(__xludf.DUMMYFUNCTION("GOOGLEFINANCE(""NSE:""&amp;D4637,""price"")"),"#N/A")</f>
        <v>#N/A</v>
      </c>
      <c r="M4637" s="9" t="e">
        <f t="shared" ca="1" si="92"/>
        <v>#VALUE!</v>
      </c>
      <c r="N4637" s="10" t="e">
        <f t="shared" ca="1" si="93"/>
        <v>#VALUE!</v>
      </c>
      <c r="O4637" s="7" t="str">
        <f ca="1">IFERROR(__xludf.DUMMYFUNCTION("GOOGLEFINANCE(""NSE:""&amp;D4637,""pe"")"),"#N/A")</f>
        <v>#N/A</v>
      </c>
      <c r="P4637" s="7" t="str">
        <f ca="1">IFERROR(__xludf.DUMMYFUNCTION("GOOGLEFINANCE(""NSE:""&amp;D4637,""EPS"")"),"#N/A")</f>
        <v>#N/A</v>
      </c>
      <c r="Q4637" s="7">
        <v>13.5</v>
      </c>
      <c r="R4637" s="7" t="str">
        <f ca="1">IFERROR(__xludf.DUMMYFUNCTION("IMPORTXML(E4637,""/html/body/main/div[3]/div[3]/div[2]/ul/li[7]/span[2]/span"")"),"Loading...")</f>
        <v>Loading...</v>
      </c>
      <c r="S4637" s="7" t="str">
        <f ca="1">IFERROR(__xludf.DUMMYFUNCTION("IMPORTXML(E4637,""/html/body/main/div[3]/div[3]/div[2]/ul/li[8]/span[2]/span"")"),"Loading...")</f>
        <v>Loading...</v>
      </c>
      <c r="T4637" s="4">
        <v>34.6</v>
      </c>
      <c r="U4637" s="4">
        <v>22.7</v>
      </c>
      <c r="V4637" s="4">
        <v>2.6</v>
      </c>
      <c r="W4637" s="4">
        <v>5.7</v>
      </c>
      <c r="X4637" s="4">
        <v>519.92999999999995</v>
      </c>
      <c r="Y4637" s="7" t="e">
        <f t="shared" ca="1" si="94"/>
        <v>#VALUE!</v>
      </c>
    </row>
    <row r="4638" spans="1:25" ht="15" x14ac:dyDescent="0.25">
      <c r="A4638" s="4">
        <v>4637</v>
      </c>
      <c r="C4638" s="41" t="s">
        <v>7015</v>
      </c>
      <c r="D4638" s="42"/>
      <c r="E4638" s="5" t="str">
        <f t="shared" si="90"/>
        <v>https://www.screener.in/company//consolidated/</v>
      </c>
      <c r="F4638" s="4">
        <v>443059</v>
      </c>
      <c r="G4638" s="4">
        <v>3832241897</v>
      </c>
      <c r="H4638" s="6" t="e">
        <f t="shared" ca="1" si="91"/>
        <v>#VALUE!</v>
      </c>
      <c r="I4638" s="7" t="str">
        <f ca="1">IFERROR(__xludf.DUMMYFUNCTION("IMPORTXML(E4638,""/html/body/main/div[3]/div[3]/div[2]/ul/li[5]/span[2]/span"")"),"Loading...")</f>
        <v>Loading...</v>
      </c>
      <c r="J4638" s="7" t="str">
        <f ca="1">IFERROR(__xludf.DUMMYFUNCTION("GOOGLEFINANCE(""NSE:""&amp;D4638,""marketcap"")"),"#N/A")</f>
        <v>#N/A</v>
      </c>
      <c r="K4638" s="7">
        <v>992.8</v>
      </c>
      <c r="L4638" s="8" t="str">
        <f ca="1">IFERROR(__xludf.DUMMYFUNCTION("GOOGLEFINANCE(""NSE:""&amp;D4638,""price"")"),"#N/A")</f>
        <v>#N/A</v>
      </c>
      <c r="M4638" s="9" t="e">
        <f t="shared" ca="1" si="92"/>
        <v>#VALUE!</v>
      </c>
      <c r="N4638" s="10" t="e">
        <f t="shared" ca="1" si="93"/>
        <v>#VALUE!</v>
      </c>
      <c r="O4638" s="7" t="str">
        <f ca="1">IFERROR(__xludf.DUMMYFUNCTION("GOOGLEFINANCE(""NSE:""&amp;D4638,""pe"")"),"#N/A")</f>
        <v>#N/A</v>
      </c>
      <c r="P4638" s="7" t="str">
        <f ca="1">IFERROR(__xludf.DUMMYFUNCTION("GOOGLEFINANCE(""NSE:""&amp;D4638,""EPS"")"),"#N/A")</f>
        <v>#N/A</v>
      </c>
      <c r="Q4638" s="7">
        <v>13.5</v>
      </c>
      <c r="R4638" s="7" t="str">
        <f ca="1">IFERROR(__xludf.DUMMYFUNCTION("IMPORTXML(E4638,""/html/body/main/div[3]/div[3]/div[2]/ul/li[7]/span[2]/span"")"),"Loading...")</f>
        <v>Loading...</v>
      </c>
      <c r="S4638" s="7" t="str">
        <f ca="1">IFERROR(__xludf.DUMMYFUNCTION("IMPORTXML(E4638,""/html/body/main/div[3]/div[3]/div[2]/ul/li[8]/span[2]/span"")"),"Loading...")</f>
        <v>Loading...</v>
      </c>
      <c r="T4638" s="4">
        <v>34.6</v>
      </c>
      <c r="U4638" s="4">
        <v>22.7</v>
      </c>
      <c r="V4638" s="4">
        <v>2.6</v>
      </c>
      <c r="W4638" s="4">
        <v>5.7</v>
      </c>
      <c r="X4638" s="4">
        <v>519.92999999999995</v>
      </c>
      <c r="Y4638" s="7" t="e">
        <f t="shared" ca="1" si="94"/>
        <v>#VALUE!</v>
      </c>
    </row>
    <row r="4639" spans="1:25" ht="15" x14ac:dyDescent="0.25">
      <c r="A4639" s="4">
        <v>4638</v>
      </c>
      <c r="C4639" s="41" t="s">
        <v>7016</v>
      </c>
      <c r="D4639" s="42"/>
      <c r="E4639" s="5" t="str">
        <f t="shared" si="90"/>
        <v>https://www.screener.in/company//consolidated/</v>
      </c>
      <c r="F4639" s="4">
        <v>443059</v>
      </c>
      <c r="G4639" s="4">
        <v>3832241897</v>
      </c>
      <c r="H4639" s="6" t="e">
        <f t="shared" ca="1" si="91"/>
        <v>#VALUE!</v>
      </c>
      <c r="I4639" s="7" t="str">
        <f ca="1">IFERROR(__xludf.DUMMYFUNCTION("IMPORTXML(E4639,""/html/body/main/div[3]/div[3]/div[2]/ul/li[5]/span[2]/span"")"),"Loading...")</f>
        <v>Loading...</v>
      </c>
      <c r="J4639" s="7" t="str">
        <f ca="1">IFERROR(__xludf.DUMMYFUNCTION("GOOGLEFINANCE(""NSE:""&amp;D4639,""marketcap"")"),"#N/A")</f>
        <v>#N/A</v>
      </c>
      <c r="K4639" s="7">
        <v>992.8</v>
      </c>
      <c r="L4639" s="8" t="str">
        <f ca="1">IFERROR(__xludf.DUMMYFUNCTION("GOOGLEFINANCE(""NSE:""&amp;D4639,""price"")"),"#N/A")</f>
        <v>#N/A</v>
      </c>
      <c r="M4639" s="9" t="e">
        <f t="shared" ca="1" si="92"/>
        <v>#VALUE!</v>
      </c>
      <c r="N4639" s="10" t="e">
        <f t="shared" ca="1" si="93"/>
        <v>#VALUE!</v>
      </c>
      <c r="O4639" s="7" t="str">
        <f ca="1">IFERROR(__xludf.DUMMYFUNCTION("GOOGLEFINANCE(""NSE:""&amp;D4639,""pe"")"),"#N/A")</f>
        <v>#N/A</v>
      </c>
      <c r="P4639" s="7" t="str">
        <f ca="1">IFERROR(__xludf.DUMMYFUNCTION("GOOGLEFINANCE(""NSE:""&amp;D4639,""EPS"")"),"#N/A")</f>
        <v>#N/A</v>
      </c>
      <c r="Q4639" s="7">
        <v>13.5</v>
      </c>
      <c r="R4639" s="7" t="str">
        <f ca="1">IFERROR(__xludf.DUMMYFUNCTION("IMPORTXML(E4639,""/html/body/main/div[3]/div[3]/div[2]/ul/li[7]/span[2]/span"")"),"Loading...")</f>
        <v>Loading...</v>
      </c>
      <c r="S4639" s="7" t="str">
        <f ca="1">IFERROR(__xludf.DUMMYFUNCTION("IMPORTXML(E4639,""/html/body/main/div[3]/div[3]/div[2]/ul/li[8]/span[2]/span"")"),"Loading...")</f>
        <v>Loading...</v>
      </c>
      <c r="T4639" s="4">
        <v>34.6</v>
      </c>
      <c r="U4639" s="4">
        <v>22.7</v>
      </c>
      <c r="V4639" s="4">
        <v>2.6</v>
      </c>
      <c r="W4639" s="4">
        <v>5.7</v>
      </c>
      <c r="X4639" s="4">
        <v>519.92999999999995</v>
      </c>
      <c r="Y4639" s="7" t="e">
        <f t="shared" ca="1" si="94"/>
        <v>#VALUE!</v>
      </c>
    </row>
    <row r="4640" spans="1:25" ht="15" x14ac:dyDescent="0.25">
      <c r="A4640" s="4">
        <v>4639</v>
      </c>
      <c r="C4640" s="41" t="s">
        <v>7017</v>
      </c>
      <c r="D4640" s="42"/>
      <c r="E4640" s="5" t="str">
        <f t="shared" si="90"/>
        <v>https://www.screener.in/company//consolidated/</v>
      </c>
      <c r="F4640" s="4">
        <v>443059</v>
      </c>
      <c r="G4640" s="4">
        <v>3832241897</v>
      </c>
      <c r="H4640" s="6" t="e">
        <f t="shared" ca="1" si="91"/>
        <v>#VALUE!</v>
      </c>
      <c r="I4640" s="7" t="str">
        <f ca="1">IFERROR(__xludf.DUMMYFUNCTION("IMPORTXML(E4640,""/html/body/main/div[3]/div[3]/div[2]/ul/li[5]/span[2]/span"")"),"Loading...")</f>
        <v>Loading...</v>
      </c>
      <c r="J4640" s="7" t="str">
        <f ca="1">IFERROR(__xludf.DUMMYFUNCTION("GOOGLEFINANCE(""NSE:""&amp;D4640,""marketcap"")"),"#N/A")</f>
        <v>#N/A</v>
      </c>
      <c r="K4640" s="7">
        <v>992.8</v>
      </c>
      <c r="L4640" s="8" t="str">
        <f ca="1">IFERROR(__xludf.DUMMYFUNCTION("GOOGLEFINANCE(""NSE:""&amp;D4640,""price"")"),"#N/A")</f>
        <v>#N/A</v>
      </c>
      <c r="M4640" s="9" t="e">
        <f t="shared" ca="1" si="92"/>
        <v>#VALUE!</v>
      </c>
      <c r="N4640" s="10" t="e">
        <f t="shared" ca="1" si="93"/>
        <v>#VALUE!</v>
      </c>
      <c r="O4640" s="7" t="str">
        <f ca="1">IFERROR(__xludf.DUMMYFUNCTION("GOOGLEFINANCE(""NSE:""&amp;D4640,""pe"")"),"#N/A")</f>
        <v>#N/A</v>
      </c>
      <c r="P4640" s="7" t="str">
        <f ca="1">IFERROR(__xludf.DUMMYFUNCTION("GOOGLEFINANCE(""NSE:""&amp;D4640,""EPS"")"),"#N/A")</f>
        <v>#N/A</v>
      </c>
      <c r="Q4640" s="7">
        <v>13.5</v>
      </c>
      <c r="R4640" s="7" t="str">
        <f ca="1">IFERROR(__xludf.DUMMYFUNCTION("IMPORTXML(E4640,""/html/body/main/div[3]/div[3]/div[2]/ul/li[7]/span[2]/span"")"),"Loading...")</f>
        <v>Loading...</v>
      </c>
      <c r="S4640" s="7" t="str">
        <f ca="1">IFERROR(__xludf.DUMMYFUNCTION("IMPORTXML(E4640,""/html/body/main/div[3]/div[3]/div[2]/ul/li[8]/span[2]/span"")"),"Loading...")</f>
        <v>Loading...</v>
      </c>
      <c r="T4640" s="4">
        <v>34.6</v>
      </c>
      <c r="U4640" s="4">
        <v>22.7</v>
      </c>
      <c r="V4640" s="4">
        <v>2.6</v>
      </c>
      <c r="W4640" s="4">
        <v>5.7</v>
      </c>
      <c r="X4640" s="4">
        <v>519.92999999999995</v>
      </c>
      <c r="Y4640" s="7" t="e">
        <f t="shared" ca="1" si="94"/>
        <v>#VALUE!</v>
      </c>
    </row>
    <row r="4641" spans="1:25" ht="15" x14ac:dyDescent="0.25">
      <c r="A4641" s="4">
        <v>4640</v>
      </c>
      <c r="C4641" s="41" t="s">
        <v>7018</v>
      </c>
      <c r="D4641" s="42"/>
      <c r="E4641" s="5" t="str">
        <f t="shared" si="90"/>
        <v>https://www.screener.in/company//consolidated/</v>
      </c>
      <c r="F4641" s="4">
        <v>443059</v>
      </c>
      <c r="G4641" s="4">
        <v>3832241897</v>
      </c>
      <c r="H4641" s="6" t="e">
        <f t="shared" ca="1" si="91"/>
        <v>#VALUE!</v>
      </c>
      <c r="I4641" s="7" t="str">
        <f ca="1">IFERROR(__xludf.DUMMYFUNCTION("IMPORTXML(E4641,""/html/body/main/div[3]/div[3]/div[2]/ul/li[5]/span[2]/span"")"),"Loading...")</f>
        <v>Loading...</v>
      </c>
      <c r="J4641" s="7" t="str">
        <f ca="1">IFERROR(__xludf.DUMMYFUNCTION("GOOGLEFINANCE(""NSE:""&amp;D4641,""marketcap"")"),"#N/A")</f>
        <v>#N/A</v>
      </c>
      <c r="K4641" s="7">
        <v>992.8</v>
      </c>
      <c r="L4641" s="8" t="str">
        <f ca="1">IFERROR(__xludf.DUMMYFUNCTION("GOOGLEFINANCE(""NSE:""&amp;D4641,""price"")"),"#N/A")</f>
        <v>#N/A</v>
      </c>
      <c r="M4641" s="9" t="e">
        <f t="shared" ca="1" si="92"/>
        <v>#VALUE!</v>
      </c>
      <c r="N4641" s="10" t="e">
        <f t="shared" ca="1" si="93"/>
        <v>#VALUE!</v>
      </c>
      <c r="O4641" s="7" t="str">
        <f ca="1">IFERROR(__xludf.DUMMYFUNCTION("GOOGLEFINANCE(""NSE:""&amp;D4641,""pe"")"),"#N/A")</f>
        <v>#N/A</v>
      </c>
      <c r="P4641" s="7" t="str">
        <f ca="1">IFERROR(__xludf.DUMMYFUNCTION("GOOGLEFINANCE(""NSE:""&amp;D4641,""EPS"")"),"#N/A")</f>
        <v>#N/A</v>
      </c>
      <c r="Q4641" s="7">
        <v>13.5</v>
      </c>
      <c r="R4641" s="7" t="str">
        <f ca="1">IFERROR(__xludf.DUMMYFUNCTION("IMPORTXML(E4641,""/html/body/main/div[3]/div[3]/div[2]/ul/li[7]/span[2]/span"")"),"Loading...")</f>
        <v>Loading...</v>
      </c>
      <c r="S4641" s="7" t="str">
        <f ca="1">IFERROR(__xludf.DUMMYFUNCTION("IMPORTXML(E4641,""/html/body/main/div[3]/div[3]/div[2]/ul/li[8]/span[2]/span"")"),"Loading...")</f>
        <v>Loading...</v>
      </c>
      <c r="T4641" s="4">
        <v>34.6</v>
      </c>
      <c r="U4641" s="4">
        <v>22.7</v>
      </c>
      <c r="V4641" s="4">
        <v>2.6</v>
      </c>
      <c r="W4641" s="4">
        <v>5.7</v>
      </c>
      <c r="X4641" s="4">
        <v>519.92999999999995</v>
      </c>
      <c r="Y4641" s="7" t="e">
        <f t="shared" ca="1" si="94"/>
        <v>#VALUE!</v>
      </c>
    </row>
    <row r="4642" spans="1:25" ht="15" x14ac:dyDescent="0.25">
      <c r="A4642" s="4">
        <v>4641</v>
      </c>
      <c r="C4642" s="41" t="s">
        <v>7019</v>
      </c>
      <c r="D4642" s="42"/>
      <c r="E4642" s="5" t="str">
        <f t="shared" si="90"/>
        <v>https://www.screener.in/company//consolidated/</v>
      </c>
      <c r="F4642" s="4">
        <v>443059</v>
      </c>
      <c r="G4642" s="4">
        <v>3832241897</v>
      </c>
      <c r="H4642" s="6" t="e">
        <f t="shared" ca="1" si="91"/>
        <v>#VALUE!</v>
      </c>
      <c r="I4642" s="7" t="str">
        <f ca="1">IFERROR(__xludf.DUMMYFUNCTION("IMPORTXML(E4642,""/html/body/main/div[3]/div[3]/div[2]/ul/li[5]/span[2]/span"")"),"Loading...")</f>
        <v>Loading...</v>
      </c>
      <c r="J4642" s="7" t="str">
        <f ca="1">IFERROR(__xludf.DUMMYFUNCTION("GOOGLEFINANCE(""NSE:""&amp;D4642,""marketcap"")"),"#N/A")</f>
        <v>#N/A</v>
      </c>
      <c r="K4642" s="7">
        <v>992.8</v>
      </c>
      <c r="L4642" s="8" t="str">
        <f ca="1">IFERROR(__xludf.DUMMYFUNCTION("GOOGLEFINANCE(""NSE:""&amp;D4642,""price"")"),"#N/A")</f>
        <v>#N/A</v>
      </c>
      <c r="M4642" s="9" t="e">
        <f t="shared" ca="1" si="92"/>
        <v>#VALUE!</v>
      </c>
      <c r="N4642" s="10" t="e">
        <f t="shared" ca="1" si="93"/>
        <v>#VALUE!</v>
      </c>
      <c r="O4642" s="7" t="str">
        <f ca="1">IFERROR(__xludf.DUMMYFUNCTION("GOOGLEFINANCE(""NSE:""&amp;D4642,""pe"")"),"#N/A")</f>
        <v>#N/A</v>
      </c>
      <c r="P4642" s="7" t="str">
        <f ca="1">IFERROR(__xludf.DUMMYFUNCTION("GOOGLEFINANCE(""NSE:""&amp;D4642,""EPS"")"),"#N/A")</f>
        <v>#N/A</v>
      </c>
      <c r="Q4642" s="7">
        <v>13.5</v>
      </c>
      <c r="R4642" s="7" t="str">
        <f ca="1">IFERROR(__xludf.DUMMYFUNCTION("IMPORTXML(E4642,""/html/body/main/div[3]/div[3]/div[2]/ul/li[7]/span[2]/span"")"),"Loading...")</f>
        <v>Loading...</v>
      </c>
      <c r="S4642" s="7" t="str">
        <f ca="1">IFERROR(__xludf.DUMMYFUNCTION("IMPORTXML(E4642,""/html/body/main/div[3]/div[3]/div[2]/ul/li[8]/span[2]/span"")"),"Loading...")</f>
        <v>Loading...</v>
      </c>
      <c r="T4642" s="4">
        <v>34.6</v>
      </c>
      <c r="U4642" s="4">
        <v>22.7</v>
      </c>
      <c r="V4642" s="4">
        <v>2.6</v>
      </c>
      <c r="W4642" s="4">
        <v>5.7</v>
      </c>
      <c r="X4642" s="4">
        <v>519.92999999999995</v>
      </c>
      <c r="Y4642" s="7" t="e">
        <f t="shared" ca="1" si="94"/>
        <v>#VALUE!</v>
      </c>
    </row>
    <row r="4643" spans="1:25" ht="15" x14ac:dyDescent="0.25">
      <c r="A4643" s="4">
        <v>4642</v>
      </c>
      <c r="C4643" s="41" t="s">
        <v>7020</v>
      </c>
      <c r="D4643" s="42"/>
      <c r="E4643" s="5" t="str">
        <f t="shared" si="90"/>
        <v>https://www.screener.in/company//consolidated/</v>
      </c>
      <c r="F4643" s="4">
        <v>443059</v>
      </c>
      <c r="G4643" s="4">
        <v>3832241897</v>
      </c>
      <c r="H4643" s="6" t="e">
        <f t="shared" ca="1" si="91"/>
        <v>#VALUE!</v>
      </c>
      <c r="I4643" s="7" t="str">
        <f ca="1">IFERROR(__xludf.DUMMYFUNCTION("IMPORTXML(E4643,""/html/body/main/div[3]/div[3]/div[2]/ul/li[5]/span[2]/span"")"),"Loading...")</f>
        <v>Loading...</v>
      </c>
      <c r="J4643" s="7" t="str">
        <f ca="1">IFERROR(__xludf.DUMMYFUNCTION("GOOGLEFINANCE(""NSE:""&amp;D4643,""marketcap"")"),"#N/A")</f>
        <v>#N/A</v>
      </c>
      <c r="K4643" s="7">
        <v>992.8</v>
      </c>
      <c r="L4643" s="8" t="str">
        <f ca="1">IFERROR(__xludf.DUMMYFUNCTION("GOOGLEFINANCE(""NSE:""&amp;D4643,""price"")"),"#N/A")</f>
        <v>#N/A</v>
      </c>
      <c r="M4643" s="9" t="e">
        <f t="shared" ca="1" si="92"/>
        <v>#VALUE!</v>
      </c>
      <c r="N4643" s="10" t="e">
        <f t="shared" ca="1" si="93"/>
        <v>#VALUE!</v>
      </c>
      <c r="O4643" s="7" t="str">
        <f ca="1">IFERROR(__xludf.DUMMYFUNCTION("GOOGLEFINANCE(""NSE:""&amp;D4643,""pe"")"),"#N/A")</f>
        <v>#N/A</v>
      </c>
      <c r="P4643" s="7" t="str">
        <f ca="1">IFERROR(__xludf.DUMMYFUNCTION("GOOGLEFINANCE(""NSE:""&amp;D4643,""EPS"")"),"#N/A")</f>
        <v>#N/A</v>
      </c>
      <c r="Q4643" s="7">
        <v>13.5</v>
      </c>
      <c r="R4643" s="7" t="str">
        <f ca="1">IFERROR(__xludf.DUMMYFUNCTION("IMPORTXML(E4643,""/html/body/main/div[3]/div[3]/div[2]/ul/li[7]/span[2]/span"")"),"Loading...")</f>
        <v>Loading...</v>
      </c>
      <c r="S4643" s="7" t="str">
        <f ca="1">IFERROR(__xludf.DUMMYFUNCTION("IMPORTXML(E4643,""/html/body/main/div[3]/div[3]/div[2]/ul/li[8]/span[2]/span"")"),"Loading...")</f>
        <v>Loading...</v>
      </c>
      <c r="T4643" s="4">
        <v>34.6</v>
      </c>
      <c r="U4643" s="4">
        <v>22.7</v>
      </c>
      <c r="V4643" s="4">
        <v>2.6</v>
      </c>
      <c r="W4643" s="4">
        <v>5.7</v>
      </c>
      <c r="X4643" s="4">
        <v>519.92999999999995</v>
      </c>
      <c r="Y4643" s="7" t="e">
        <f t="shared" ca="1" si="94"/>
        <v>#VALUE!</v>
      </c>
    </row>
    <row r="4644" spans="1:25" ht="15" x14ac:dyDescent="0.25">
      <c r="A4644" s="4">
        <v>4643</v>
      </c>
      <c r="C4644" s="41" t="s">
        <v>7021</v>
      </c>
      <c r="D4644" s="42"/>
      <c r="E4644" s="5" t="str">
        <f t="shared" si="90"/>
        <v>https://www.screener.in/company//consolidated/</v>
      </c>
      <c r="F4644" s="4">
        <v>443059</v>
      </c>
      <c r="G4644" s="4">
        <v>3832241897</v>
      </c>
      <c r="H4644" s="6" t="e">
        <f t="shared" ca="1" si="91"/>
        <v>#VALUE!</v>
      </c>
      <c r="I4644" s="7" t="str">
        <f ca="1">IFERROR(__xludf.DUMMYFUNCTION("IMPORTXML(E4644,""/html/body/main/div[3]/div[3]/div[2]/ul/li[5]/span[2]/span"")"),"Loading...")</f>
        <v>Loading...</v>
      </c>
      <c r="J4644" s="7" t="str">
        <f ca="1">IFERROR(__xludf.DUMMYFUNCTION("GOOGLEFINANCE(""NSE:""&amp;D4644,""marketcap"")"),"#N/A")</f>
        <v>#N/A</v>
      </c>
      <c r="K4644" s="7">
        <v>992.8</v>
      </c>
      <c r="L4644" s="8" t="str">
        <f ca="1">IFERROR(__xludf.DUMMYFUNCTION("GOOGLEFINANCE(""NSE:""&amp;D4644,""price"")"),"#N/A")</f>
        <v>#N/A</v>
      </c>
      <c r="M4644" s="9" t="e">
        <f t="shared" ca="1" si="92"/>
        <v>#VALUE!</v>
      </c>
      <c r="N4644" s="10" t="e">
        <f t="shared" ca="1" si="93"/>
        <v>#VALUE!</v>
      </c>
      <c r="O4644" s="7" t="str">
        <f ca="1">IFERROR(__xludf.DUMMYFUNCTION("GOOGLEFINANCE(""NSE:""&amp;D4644,""pe"")"),"#N/A")</f>
        <v>#N/A</v>
      </c>
      <c r="P4644" s="7" t="str">
        <f ca="1">IFERROR(__xludf.DUMMYFUNCTION("GOOGLEFINANCE(""NSE:""&amp;D4644,""EPS"")"),"#N/A")</f>
        <v>#N/A</v>
      </c>
      <c r="Q4644" s="7">
        <v>13.5</v>
      </c>
      <c r="R4644" s="7" t="str">
        <f ca="1">IFERROR(__xludf.DUMMYFUNCTION("IMPORTXML(E4644,""/html/body/main/div[3]/div[3]/div[2]/ul/li[7]/span[2]/span"")"),"Loading...")</f>
        <v>Loading...</v>
      </c>
      <c r="S4644" s="7" t="str">
        <f ca="1">IFERROR(__xludf.DUMMYFUNCTION("IMPORTXML(E4644,""/html/body/main/div[3]/div[3]/div[2]/ul/li[8]/span[2]/span"")"),"Loading...")</f>
        <v>Loading...</v>
      </c>
      <c r="T4644" s="4">
        <v>34.6</v>
      </c>
      <c r="U4644" s="4">
        <v>22.7</v>
      </c>
      <c r="V4644" s="4">
        <v>2.6</v>
      </c>
      <c r="W4644" s="4">
        <v>5.7</v>
      </c>
      <c r="X4644" s="4">
        <v>519.92999999999995</v>
      </c>
      <c r="Y4644" s="7" t="e">
        <f t="shared" ca="1" si="94"/>
        <v>#VALUE!</v>
      </c>
    </row>
    <row r="4645" spans="1:25" ht="15" x14ac:dyDescent="0.25">
      <c r="A4645" s="4">
        <v>4644</v>
      </c>
      <c r="C4645" s="41" t="s">
        <v>7022</v>
      </c>
      <c r="D4645" s="42"/>
      <c r="E4645" s="5" t="str">
        <f t="shared" si="90"/>
        <v>https://www.screener.in/company//consolidated/</v>
      </c>
      <c r="F4645" s="4">
        <v>443059</v>
      </c>
      <c r="G4645" s="4">
        <v>3832241897</v>
      </c>
      <c r="H4645" s="6" t="e">
        <f t="shared" ca="1" si="91"/>
        <v>#VALUE!</v>
      </c>
      <c r="I4645" s="7" t="str">
        <f ca="1">IFERROR(__xludf.DUMMYFUNCTION("IMPORTXML(E4645,""/html/body/main/div[3]/div[3]/div[2]/ul/li[5]/span[2]/span"")"),"Loading...")</f>
        <v>Loading...</v>
      </c>
      <c r="J4645" s="7" t="str">
        <f ca="1">IFERROR(__xludf.DUMMYFUNCTION("GOOGLEFINANCE(""NSE:""&amp;D4645,""marketcap"")"),"#N/A")</f>
        <v>#N/A</v>
      </c>
      <c r="K4645" s="7">
        <v>992.8</v>
      </c>
      <c r="L4645" s="8" t="str">
        <f ca="1">IFERROR(__xludf.DUMMYFUNCTION("GOOGLEFINANCE(""NSE:""&amp;D4645,""price"")"),"#N/A")</f>
        <v>#N/A</v>
      </c>
      <c r="M4645" s="9" t="e">
        <f t="shared" ca="1" si="92"/>
        <v>#VALUE!</v>
      </c>
      <c r="N4645" s="10" t="e">
        <f t="shared" ca="1" si="93"/>
        <v>#VALUE!</v>
      </c>
      <c r="O4645" s="7" t="str">
        <f ca="1">IFERROR(__xludf.DUMMYFUNCTION("GOOGLEFINANCE(""NSE:""&amp;D4645,""pe"")"),"#N/A")</f>
        <v>#N/A</v>
      </c>
      <c r="P4645" s="7" t="str">
        <f ca="1">IFERROR(__xludf.DUMMYFUNCTION("GOOGLEFINANCE(""NSE:""&amp;D4645,""EPS"")"),"#N/A")</f>
        <v>#N/A</v>
      </c>
      <c r="Q4645" s="7">
        <v>13.5</v>
      </c>
      <c r="R4645" s="7" t="str">
        <f ca="1">IFERROR(__xludf.DUMMYFUNCTION("IMPORTXML(E4645,""/html/body/main/div[3]/div[3]/div[2]/ul/li[7]/span[2]/span"")"),"Loading...")</f>
        <v>Loading...</v>
      </c>
      <c r="S4645" s="7" t="str">
        <f ca="1">IFERROR(__xludf.DUMMYFUNCTION("IMPORTXML(E4645,""/html/body/main/div[3]/div[3]/div[2]/ul/li[8]/span[2]/span"")"),"Loading...")</f>
        <v>Loading...</v>
      </c>
      <c r="T4645" s="4">
        <v>34.6</v>
      </c>
      <c r="U4645" s="4">
        <v>22.7</v>
      </c>
      <c r="V4645" s="4">
        <v>2.6</v>
      </c>
      <c r="W4645" s="4">
        <v>5.7</v>
      </c>
      <c r="X4645" s="4">
        <v>519.92999999999995</v>
      </c>
      <c r="Y4645" s="7" t="e">
        <f t="shared" ca="1" si="94"/>
        <v>#VALUE!</v>
      </c>
    </row>
    <row r="4646" spans="1:25" ht="15" x14ac:dyDescent="0.25">
      <c r="A4646" s="4">
        <v>4645</v>
      </c>
      <c r="C4646" s="41" t="s">
        <v>7023</v>
      </c>
      <c r="D4646" s="42"/>
      <c r="E4646" s="5" t="str">
        <f t="shared" si="90"/>
        <v>https://www.screener.in/company//consolidated/</v>
      </c>
      <c r="F4646" s="4">
        <v>443059</v>
      </c>
      <c r="G4646" s="4">
        <v>3832241897</v>
      </c>
      <c r="H4646" s="6" t="e">
        <f t="shared" ca="1" si="91"/>
        <v>#VALUE!</v>
      </c>
      <c r="I4646" s="7" t="str">
        <f ca="1">IFERROR(__xludf.DUMMYFUNCTION("IMPORTXML(E4646,""/html/body/main/div[3]/div[3]/div[2]/ul/li[5]/span[2]/span"")"),"Loading...")</f>
        <v>Loading...</v>
      </c>
      <c r="J4646" s="7" t="str">
        <f ca="1">IFERROR(__xludf.DUMMYFUNCTION("GOOGLEFINANCE(""NSE:""&amp;D4646,""marketcap"")"),"#N/A")</f>
        <v>#N/A</v>
      </c>
      <c r="K4646" s="7">
        <v>992.8</v>
      </c>
      <c r="L4646" s="8" t="str">
        <f ca="1">IFERROR(__xludf.DUMMYFUNCTION("GOOGLEFINANCE(""NSE:""&amp;D4646,""price"")"),"#N/A")</f>
        <v>#N/A</v>
      </c>
      <c r="M4646" s="9" t="e">
        <f t="shared" ca="1" si="92"/>
        <v>#VALUE!</v>
      </c>
      <c r="N4646" s="10" t="e">
        <f t="shared" ca="1" si="93"/>
        <v>#VALUE!</v>
      </c>
      <c r="O4646" s="7" t="str">
        <f ca="1">IFERROR(__xludf.DUMMYFUNCTION("GOOGLEFINANCE(""NSE:""&amp;D4646,""pe"")"),"#N/A")</f>
        <v>#N/A</v>
      </c>
      <c r="P4646" s="7" t="str">
        <f ca="1">IFERROR(__xludf.DUMMYFUNCTION("GOOGLEFINANCE(""NSE:""&amp;D4646,""EPS"")"),"#N/A")</f>
        <v>#N/A</v>
      </c>
      <c r="Q4646" s="7">
        <v>13.5</v>
      </c>
      <c r="R4646" s="7" t="str">
        <f ca="1">IFERROR(__xludf.DUMMYFUNCTION("IMPORTXML(E4646,""/html/body/main/div[3]/div[3]/div[2]/ul/li[7]/span[2]/span"")"),"Loading...")</f>
        <v>Loading...</v>
      </c>
      <c r="S4646" s="7" t="str">
        <f ca="1">IFERROR(__xludf.DUMMYFUNCTION("IMPORTXML(E4646,""/html/body/main/div[3]/div[3]/div[2]/ul/li[8]/span[2]/span"")"),"Loading...")</f>
        <v>Loading...</v>
      </c>
      <c r="T4646" s="4">
        <v>34.6</v>
      </c>
      <c r="U4646" s="4">
        <v>22.7</v>
      </c>
      <c r="V4646" s="4">
        <v>2.6</v>
      </c>
      <c r="W4646" s="4">
        <v>5.7</v>
      </c>
      <c r="X4646" s="4">
        <v>519.92999999999995</v>
      </c>
      <c r="Y4646" s="7" t="e">
        <f t="shared" ca="1" si="94"/>
        <v>#VALUE!</v>
      </c>
    </row>
    <row r="4647" spans="1:25" ht="15" x14ac:dyDescent="0.25">
      <c r="A4647" s="4">
        <v>4646</v>
      </c>
      <c r="C4647" s="41" t="s">
        <v>7024</v>
      </c>
      <c r="D4647" s="42"/>
      <c r="E4647" s="5" t="str">
        <f t="shared" si="90"/>
        <v>https://www.screener.in/company//consolidated/</v>
      </c>
      <c r="F4647" s="4">
        <v>443059</v>
      </c>
      <c r="G4647" s="4">
        <v>3832241897</v>
      </c>
      <c r="H4647" s="6" t="e">
        <f t="shared" ca="1" si="91"/>
        <v>#VALUE!</v>
      </c>
      <c r="I4647" s="7" t="str">
        <f ca="1">IFERROR(__xludf.DUMMYFUNCTION("IMPORTXML(E4647,""/html/body/main/div[3]/div[3]/div[2]/ul/li[5]/span[2]/span"")"),"Loading...")</f>
        <v>Loading...</v>
      </c>
      <c r="J4647" s="7" t="str">
        <f ca="1">IFERROR(__xludf.DUMMYFUNCTION("GOOGLEFINANCE(""NSE:""&amp;D4647,""marketcap"")"),"#N/A")</f>
        <v>#N/A</v>
      </c>
      <c r="K4647" s="7">
        <v>992.8</v>
      </c>
      <c r="L4647" s="8" t="str">
        <f ca="1">IFERROR(__xludf.DUMMYFUNCTION("GOOGLEFINANCE(""NSE:""&amp;D4647,""price"")"),"#N/A")</f>
        <v>#N/A</v>
      </c>
      <c r="M4647" s="9" t="e">
        <f t="shared" ca="1" si="92"/>
        <v>#VALUE!</v>
      </c>
      <c r="N4647" s="10" t="e">
        <f t="shared" ca="1" si="93"/>
        <v>#VALUE!</v>
      </c>
      <c r="O4647" s="7" t="str">
        <f ca="1">IFERROR(__xludf.DUMMYFUNCTION("GOOGLEFINANCE(""NSE:""&amp;D4647,""pe"")"),"#N/A")</f>
        <v>#N/A</v>
      </c>
      <c r="P4647" s="7" t="str">
        <f ca="1">IFERROR(__xludf.DUMMYFUNCTION("GOOGLEFINANCE(""NSE:""&amp;D4647,""EPS"")"),"#N/A")</f>
        <v>#N/A</v>
      </c>
      <c r="Q4647" s="7">
        <v>13.5</v>
      </c>
      <c r="R4647" s="7" t="str">
        <f ca="1">IFERROR(__xludf.DUMMYFUNCTION("IMPORTXML(E4647,""/html/body/main/div[3]/div[3]/div[2]/ul/li[7]/span[2]/span"")"),"Loading...")</f>
        <v>Loading...</v>
      </c>
      <c r="S4647" s="7" t="str">
        <f ca="1">IFERROR(__xludf.DUMMYFUNCTION("IMPORTXML(E4647,""/html/body/main/div[3]/div[3]/div[2]/ul/li[8]/span[2]/span"")"),"Loading...")</f>
        <v>Loading...</v>
      </c>
      <c r="T4647" s="4">
        <v>34.6</v>
      </c>
      <c r="U4647" s="4">
        <v>22.7</v>
      </c>
      <c r="V4647" s="4">
        <v>2.6</v>
      </c>
      <c r="W4647" s="4">
        <v>5.7</v>
      </c>
      <c r="X4647" s="4">
        <v>519.92999999999995</v>
      </c>
      <c r="Y4647" s="7" t="e">
        <f t="shared" ca="1" si="94"/>
        <v>#VALUE!</v>
      </c>
    </row>
    <row r="4648" spans="1:25" ht="15" x14ac:dyDescent="0.25">
      <c r="A4648" s="4">
        <v>4647</v>
      </c>
      <c r="C4648" s="41" t="s">
        <v>7025</v>
      </c>
      <c r="D4648" s="42"/>
      <c r="E4648" s="5" t="str">
        <f t="shared" si="90"/>
        <v>https://www.screener.in/company//consolidated/</v>
      </c>
      <c r="F4648" s="4">
        <v>443059</v>
      </c>
      <c r="G4648" s="4">
        <v>3832241897</v>
      </c>
      <c r="H4648" s="6" t="e">
        <f t="shared" ca="1" si="91"/>
        <v>#VALUE!</v>
      </c>
      <c r="I4648" s="7" t="str">
        <f ca="1">IFERROR(__xludf.DUMMYFUNCTION("IMPORTXML(E4648,""/html/body/main/div[3]/div[3]/div[2]/ul/li[5]/span[2]/span"")"),"Loading...")</f>
        <v>Loading...</v>
      </c>
      <c r="J4648" s="7" t="str">
        <f ca="1">IFERROR(__xludf.DUMMYFUNCTION("GOOGLEFINANCE(""NSE:""&amp;D4648,""marketcap"")"),"#N/A")</f>
        <v>#N/A</v>
      </c>
      <c r="K4648" s="7">
        <v>992.8</v>
      </c>
      <c r="L4648" s="8" t="str">
        <f ca="1">IFERROR(__xludf.DUMMYFUNCTION("GOOGLEFINANCE(""NSE:""&amp;D4648,""price"")"),"#N/A")</f>
        <v>#N/A</v>
      </c>
      <c r="M4648" s="9" t="e">
        <f t="shared" ca="1" si="92"/>
        <v>#VALUE!</v>
      </c>
      <c r="N4648" s="10" t="e">
        <f t="shared" ca="1" si="93"/>
        <v>#VALUE!</v>
      </c>
      <c r="O4648" s="7" t="str">
        <f ca="1">IFERROR(__xludf.DUMMYFUNCTION("GOOGLEFINANCE(""NSE:""&amp;D4648,""pe"")"),"#N/A")</f>
        <v>#N/A</v>
      </c>
      <c r="P4648" s="7" t="str">
        <f ca="1">IFERROR(__xludf.DUMMYFUNCTION("GOOGLEFINANCE(""NSE:""&amp;D4648,""EPS"")"),"#N/A")</f>
        <v>#N/A</v>
      </c>
      <c r="Q4648" s="7">
        <v>13.5</v>
      </c>
      <c r="R4648" s="7" t="str">
        <f ca="1">IFERROR(__xludf.DUMMYFUNCTION("IMPORTXML(E4648,""/html/body/main/div[3]/div[3]/div[2]/ul/li[7]/span[2]/span"")"),"Loading...")</f>
        <v>Loading...</v>
      </c>
      <c r="S4648" s="7" t="str">
        <f ca="1">IFERROR(__xludf.DUMMYFUNCTION("IMPORTXML(E4648,""/html/body/main/div[3]/div[3]/div[2]/ul/li[8]/span[2]/span"")"),"Loading...")</f>
        <v>Loading...</v>
      </c>
      <c r="T4648" s="4">
        <v>34.6</v>
      </c>
      <c r="U4648" s="4">
        <v>22.7</v>
      </c>
      <c r="V4648" s="4">
        <v>2.6</v>
      </c>
      <c r="W4648" s="4">
        <v>5.7</v>
      </c>
      <c r="X4648" s="4">
        <v>519.92999999999995</v>
      </c>
      <c r="Y4648" s="7" t="e">
        <f t="shared" ca="1" si="94"/>
        <v>#VALUE!</v>
      </c>
    </row>
    <row r="4649" spans="1:25" ht="15" x14ac:dyDescent="0.25">
      <c r="A4649" s="4">
        <v>4648</v>
      </c>
      <c r="C4649" s="41" t="s">
        <v>7026</v>
      </c>
      <c r="D4649" s="42"/>
      <c r="E4649" s="5" t="str">
        <f t="shared" si="90"/>
        <v>https://www.screener.in/company//consolidated/</v>
      </c>
      <c r="F4649" s="4">
        <v>443059</v>
      </c>
      <c r="G4649" s="4">
        <v>3832241897</v>
      </c>
      <c r="H4649" s="6" t="e">
        <f t="shared" ca="1" si="91"/>
        <v>#VALUE!</v>
      </c>
      <c r="I4649" s="7" t="str">
        <f ca="1">IFERROR(__xludf.DUMMYFUNCTION("IMPORTXML(E4649,""/html/body/main/div[3]/div[3]/div[2]/ul/li[5]/span[2]/span"")"),"Loading...")</f>
        <v>Loading...</v>
      </c>
      <c r="J4649" s="7" t="str">
        <f ca="1">IFERROR(__xludf.DUMMYFUNCTION("GOOGLEFINANCE(""NSE:""&amp;D4649,""marketcap"")"),"#N/A")</f>
        <v>#N/A</v>
      </c>
      <c r="K4649" s="7">
        <v>992.8</v>
      </c>
      <c r="L4649" s="8" t="str">
        <f ca="1">IFERROR(__xludf.DUMMYFUNCTION("GOOGLEFINANCE(""NSE:""&amp;D4649,""price"")"),"#N/A")</f>
        <v>#N/A</v>
      </c>
      <c r="M4649" s="9" t="e">
        <f t="shared" ca="1" si="92"/>
        <v>#VALUE!</v>
      </c>
      <c r="N4649" s="10" t="e">
        <f t="shared" ca="1" si="93"/>
        <v>#VALUE!</v>
      </c>
      <c r="O4649" s="7" t="str">
        <f ca="1">IFERROR(__xludf.DUMMYFUNCTION("GOOGLEFINANCE(""NSE:""&amp;D4649,""pe"")"),"#N/A")</f>
        <v>#N/A</v>
      </c>
      <c r="P4649" s="7" t="str">
        <f ca="1">IFERROR(__xludf.DUMMYFUNCTION("GOOGLEFINANCE(""NSE:""&amp;D4649,""EPS"")"),"#N/A")</f>
        <v>#N/A</v>
      </c>
      <c r="Q4649" s="7">
        <v>13.5</v>
      </c>
      <c r="R4649" s="7" t="str">
        <f ca="1">IFERROR(__xludf.DUMMYFUNCTION("IMPORTXML(E4649,""/html/body/main/div[3]/div[3]/div[2]/ul/li[7]/span[2]/span"")"),"Loading...")</f>
        <v>Loading...</v>
      </c>
      <c r="S4649" s="7" t="str">
        <f ca="1">IFERROR(__xludf.DUMMYFUNCTION("IMPORTXML(E4649,""/html/body/main/div[3]/div[3]/div[2]/ul/li[8]/span[2]/span"")"),"Loading...")</f>
        <v>Loading...</v>
      </c>
      <c r="T4649" s="4">
        <v>34.6</v>
      </c>
      <c r="U4649" s="4">
        <v>22.7</v>
      </c>
      <c r="V4649" s="4">
        <v>2.6</v>
      </c>
      <c r="W4649" s="4">
        <v>5.7</v>
      </c>
      <c r="X4649" s="4">
        <v>519.92999999999995</v>
      </c>
      <c r="Y4649" s="7" t="e">
        <f t="shared" ca="1" si="94"/>
        <v>#VALUE!</v>
      </c>
    </row>
    <row r="4650" spans="1:25" ht="15" x14ac:dyDescent="0.25">
      <c r="A4650" s="4">
        <v>4649</v>
      </c>
      <c r="C4650" s="41" t="s">
        <v>7027</v>
      </c>
      <c r="D4650" s="42"/>
      <c r="E4650" s="5" t="str">
        <f t="shared" si="90"/>
        <v>https://www.screener.in/company//consolidated/</v>
      </c>
      <c r="F4650" s="4">
        <v>443059</v>
      </c>
      <c r="G4650" s="4">
        <v>3832241897</v>
      </c>
      <c r="H4650" s="6" t="e">
        <f t="shared" ca="1" si="91"/>
        <v>#VALUE!</v>
      </c>
      <c r="I4650" s="7" t="str">
        <f ca="1">IFERROR(__xludf.DUMMYFUNCTION("IMPORTXML(E4650,""/html/body/main/div[3]/div[3]/div[2]/ul/li[5]/span[2]/span"")"),"Loading...")</f>
        <v>Loading...</v>
      </c>
      <c r="J4650" s="7" t="str">
        <f ca="1">IFERROR(__xludf.DUMMYFUNCTION("GOOGLEFINANCE(""NSE:""&amp;D4650,""marketcap"")"),"#N/A")</f>
        <v>#N/A</v>
      </c>
      <c r="K4650" s="7">
        <v>992.8</v>
      </c>
      <c r="L4650" s="8" t="str">
        <f ca="1">IFERROR(__xludf.DUMMYFUNCTION("GOOGLEFINANCE(""NSE:""&amp;D4650,""price"")"),"#N/A")</f>
        <v>#N/A</v>
      </c>
      <c r="M4650" s="9" t="e">
        <f t="shared" ca="1" si="92"/>
        <v>#VALUE!</v>
      </c>
      <c r="N4650" s="10" t="e">
        <f t="shared" ca="1" si="93"/>
        <v>#VALUE!</v>
      </c>
      <c r="O4650" s="7" t="str">
        <f ca="1">IFERROR(__xludf.DUMMYFUNCTION("GOOGLEFINANCE(""NSE:""&amp;D4650,""pe"")"),"#N/A")</f>
        <v>#N/A</v>
      </c>
      <c r="P4650" s="7" t="str">
        <f ca="1">IFERROR(__xludf.DUMMYFUNCTION("GOOGLEFINANCE(""NSE:""&amp;D4650,""EPS"")"),"#N/A")</f>
        <v>#N/A</v>
      </c>
      <c r="Q4650" s="7">
        <v>13.5</v>
      </c>
      <c r="R4650" s="7" t="str">
        <f ca="1">IFERROR(__xludf.DUMMYFUNCTION("IMPORTXML(E4650,""/html/body/main/div[3]/div[3]/div[2]/ul/li[7]/span[2]/span"")"),"Loading...")</f>
        <v>Loading...</v>
      </c>
      <c r="S4650" s="7" t="str">
        <f ca="1">IFERROR(__xludf.DUMMYFUNCTION("IMPORTXML(E4650,""/html/body/main/div[3]/div[3]/div[2]/ul/li[8]/span[2]/span"")"),"Loading...")</f>
        <v>Loading...</v>
      </c>
      <c r="T4650" s="4">
        <v>34.6</v>
      </c>
      <c r="U4650" s="4">
        <v>22.7</v>
      </c>
      <c r="V4650" s="4">
        <v>2.6</v>
      </c>
      <c r="W4650" s="4">
        <v>5.7</v>
      </c>
      <c r="X4650" s="4">
        <v>519.92999999999995</v>
      </c>
      <c r="Y4650" s="7" t="e">
        <f t="shared" ca="1" si="94"/>
        <v>#VALUE!</v>
      </c>
    </row>
    <row r="4651" spans="1:25" ht="15" x14ac:dyDescent="0.25">
      <c r="A4651" s="4">
        <v>4650</v>
      </c>
      <c r="C4651" s="41" t="s">
        <v>7028</v>
      </c>
      <c r="D4651" s="42"/>
      <c r="E4651" s="5" t="str">
        <f t="shared" si="90"/>
        <v>https://www.screener.in/company//consolidated/</v>
      </c>
      <c r="F4651" s="4">
        <v>443059</v>
      </c>
      <c r="G4651" s="4">
        <v>3832241897</v>
      </c>
      <c r="H4651" s="6" t="e">
        <f t="shared" ca="1" si="91"/>
        <v>#VALUE!</v>
      </c>
      <c r="I4651" s="7" t="str">
        <f ca="1">IFERROR(__xludf.DUMMYFUNCTION("IMPORTXML(E4651,""/html/body/main/div[3]/div[3]/div[2]/ul/li[5]/span[2]/span"")"),"Loading...")</f>
        <v>Loading...</v>
      </c>
      <c r="J4651" s="7" t="str">
        <f ca="1">IFERROR(__xludf.DUMMYFUNCTION("GOOGLEFINANCE(""NSE:""&amp;D4651,""marketcap"")"),"#N/A")</f>
        <v>#N/A</v>
      </c>
      <c r="K4651" s="7">
        <v>992.8</v>
      </c>
      <c r="L4651" s="8" t="str">
        <f ca="1">IFERROR(__xludf.DUMMYFUNCTION("GOOGLEFINANCE(""NSE:""&amp;D4651,""price"")"),"#N/A")</f>
        <v>#N/A</v>
      </c>
      <c r="M4651" s="9" t="e">
        <f t="shared" ca="1" si="92"/>
        <v>#VALUE!</v>
      </c>
      <c r="N4651" s="10" t="e">
        <f t="shared" ca="1" si="93"/>
        <v>#VALUE!</v>
      </c>
      <c r="O4651" s="7" t="str">
        <f ca="1">IFERROR(__xludf.DUMMYFUNCTION("GOOGLEFINANCE(""NSE:""&amp;D4651,""pe"")"),"#N/A")</f>
        <v>#N/A</v>
      </c>
      <c r="P4651" s="7" t="str">
        <f ca="1">IFERROR(__xludf.DUMMYFUNCTION("GOOGLEFINANCE(""NSE:""&amp;D4651,""EPS"")"),"#N/A")</f>
        <v>#N/A</v>
      </c>
      <c r="Q4651" s="7">
        <v>13.5</v>
      </c>
      <c r="R4651" s="7" t="str">
        <f ca="1">IFERROR(__xludf.DUMMYFUNCTION("IMPORTXML(E4651,""/html/body/main/div[3]/div[3]/div[2]/ul/li[7]/span[2]/span"")"),"Loading...")</f>
        <v>Loading...</v>
      </c>
      <c r="S4651" s="7" t="str">
        <f ca="1">IFERROR(__xludf.DUMMYFUNCTION("IMPORTXML(E4651,""/html/body/main/div[3]/div[3]/div[2]/ul/li[8]/span[2]/span"")"),"Loading...")</f>
        <v>Loading...</v>
      </c>
      <c r="T4651" s="4">
        <v>34.6</v>
      </c>
      <c r="U4651" s="4">
        <v>22.7</v>
      </c>
      <c r="V4651" s="4">
        <v>2.6</v>
      </c>
      <c r="W4651" s="4">
        <v>5.7</v>
      </c>
      <c r="X4651" s="4">
        <v>519.92999999999995</v>
      </c>
      <c r="Y4651" s="7" t="e">
        <f t="shared" ca="1" si="94"/>
        <v>#VALUE!</v>
      </c>
    </row>
    <row r="4652" spans="1:25" ht="15" x14ac:dyDescent="0.25">
      <c r="A4652" s="4">
        <v>4651</v>
      </c>
      <c r="C4652" s="41" t="s">
        <v>7029</v>
      </c>
      <c r="D4652" s="42"/>
      <c r="E4652" s="5" t="str">
        <f t="shared" si="90"/>
        <v>https://www.screener.in/company//consolidated/</v>
      </c>
      <c r="F4652" s="4">
        <v>443059</v>
      </c>
      <c r="G4652" s="4">
        <v>3832241897</v>
      </c>
      <c r="H4652" s="6" t="e">
        <f t="shared" ca="1" si="91"/>
        <v>#VALUE!</v>
      </c>
      <c r="I4652" s="7" t="str">
        <f ca="1">IFERROR(__xludf.DUMMYFUNCTION("IMPORTXML(E4652,""/html/body/main/div[3]/div[3]/div[2]/ul/li[5]/span[2]/span"")"),"Loading...")</f>
        <v>Loading...</v>
      </c>
      <c r="J4652" s="7" t="str">
        <f ca="1">IFERROR(__xludf.DUMMYFUNCTION("GOOGLEFINANCE(""NSE:""&amp;D4652,""marketcap"")"),"#N/A")</f>
        <v>#N/A</v>
      </c>
      <c r="K4652" s="7">
        <v>992.8</v>
      </c>
      <c r="L4652" s="8" t="str">
        <f ca="1">IFERROR(__xludf.DUMMYFUNCTION("GOOGLEFINANCE(""NSE:""&amp;D4652,""price"")"),"#N/A")</f>
        <v>#N/A</v>
      </c>
      <c r="M4652" s="9" t="e">
        <f t="shared" ca="1" si="92"/>
        <v>#VALUE!</v>
      </c>
      <c r="N4652" s="10" t="e">
        <f t="shared" ca="1" si="93"/>
        <v>#VALUE!</v>
      </c>
      <c r="O4652" s="7" t="str">
        <f ca="1">IFERROR(__xludf.DUMMYFUNCTION("GOOGLEFINANCE(""NSE:""&amp;D4652,""pe"")"),"#N/A")</f>
        <v>#N/A</v>
      </c>
      <c r="P4652" s="7" t="str">
        <f ca="1">IFERROR(__xludf.DUMMYFUNCTION("GOOGLEFINANCE(""NSE:""&amp;D4652,""EPS"")"),"#N/A")</f>
        <v>#N/A</v>
      </c>
      <c r="Q4652" s="7">
        <v>13.5</v>
      </c>
      <c r="R4652" s="7" t="str">
        <f ca="1">IFERROR(__xludf.DUMMYFUNCTION("IMPORTXML(E4652,""/html/body/main/div[3]/div[3]/div[2]/ul/li[7]/span[2]/span"")"),"Loading...")</f>
        <v>Loading...</v>
      </c>
      <c r="S4652" s="7" t="str">
        <f ca="1">IFERROR(__xludf.DUMMYFUNCTION("IMPORTXML(E4652,""/html/body/main/div[3]/div[3]/div[2]/ul/li[8]/span[2]/span"")"),"Loading...")</f>
        <v>Loading...</v>
      </c>
      <c r="T4652" s="4">
        <v>34.6</v>
      </c>
      <c r="U4652" s="4">
        <v>22.7</v>
      </c>
      <c r="V4652" s="4">
        <v>2.6</v>
      </c>
      <c r="W4652" s="4">
        <v>5.7</v>
      </c>
      <c r="X4652" s="4">
        <v>519.92999999999995</v>
      </c>
      <c r="Y4652" s="7" t="e">
        <f t="shared" ca="1" si="94"/>
        <v>#VALUE!</v>
      </c>
    </row>
    <row r="4653" spans="1:25" ht="15" x14ac:dyDescent="0.25">
      <c r="A4653" s="4">
        <v>4652</v>
      </c>
      <c r="C4653" s="41" t="s">
        <v>7030</v>
      </c>
      <c r="D4653" s="42"/>
      <c r="E4653" s="5" t="str">
        <f t="shared" si="90"/>
        <v>https://www.screener.in/company//consolidated/</v>
      </c>
      <c r="F4653" s="4">
        <v>443059</v>
      </c>
      <c r="G4653" s="4">
        <v>3832241897</v>
      </c>
      <c r="H4653" s="6" t="e">
        <f t="shared" ca="1" si="91"/>
        <v>#VALUE!</v>
      </c>
      <c r="I4653" s="7" t="str">
        <f ca="1">IFERROR(__xludf.DUMMYFUNCTION("IMPORTXML(E4653,""/html/body/main/div[3]/div[3]/div[2]/ul/li[5]/span[2]/span"")"),"Loading...")</f>
        <v>Loading...</v>
      </c>
      <c r="J4653" s="7" t="str">
        <f ca="1">IFERROR(__xludf.DUMMYFUNCTION("GOOGLEFINANCE(""NSE:""&amp;D4653,""marketcap"")"),"#N/A")</f>
        <v>#N/A</v>
      </c>
      <c r="K4653" s="7">
        <v>992.8</v>
      </c>
      <c r="L4653" s="8" t="str">
        <f ca="1">IFERROR(__xludf.DUMMYFUNCTION("GOOGLEFINANCE(""NSE:""&amp;D4653,""price"")"),"#N/A")</f>
        <v>#N/A</v>
      </c>
      <c r="M4653" s="9" t="e">
        <f t="shared" ca="1" si="92"/>
        <v>#VALUE!</v>
      </c>
      <c r="N4653" s="10" t="e">
        <f t="shared" ca="1" si="93"/>
        <v>#VALUE!</v>
      </c>
      <c r="O4653" s="7" t="str">
        <f ca="1">IFERROR(__xludf.DUMMYFUNCTION("GOOGLEFINANCE(""NSE:""&amp;D4653,""pe"")"),"#N/A")</f>
        <v>#N/A</v>
      </c>
      <c r="P4653" s="7" t="str">
        <f ca="1">IFERROR(__xludf.DUMMYFUNCTION("GOOGLEFINANCE(""NSE:""&amp;D4653,""EPS"")"),"#N/A")</f>
        <v>#N/A</v>
      </c>
      <c r="Q4653" s="7">
        <v>13.5</v>
      </c>
      <c r="R4653" s="7" t="str">
        <f ca="1">IFERROR(__xludf.DUMMYFUNCTION("IMPORTXML(E4653,""/html/body/main/div[3]/div[3]/div[2]/ul/li[7]/span[2]/span"")"),"Loading...")</f>
        <v>Loading...</v>
      </c>
      <c r="S4653" s="7" t="str">
        <f ca="1">IFERROR(__xludf.DUMMYFUNCTION("IMPORTXML(E4653,""/html/body/main/div[3]/div[3]/div[2]/ul/li[8]/span[2]/span"")"),"Loading...")</f>
        <v>Loading...</v>
      </c>
      <c r="T4653" s="4">
        <v>34.6</v>
      </c>
      <c r="U4653" s="4">
        <v>22.7</v>
      </c>
      <c r="V4653" s="4">
        <v>2.6</v>
      </c>
      <c r="W4653" s="4">
        <v>5.7</v>
      </c>
      <c r="X4653" s="4">
        <v>519.92999999999995</v>
      </c>
      <c r="Y4653" s="7" t="e">
        <f t="shared" ca="1" si="94"/>
        <v>#VALUE!</v>
      </c>
    </row>
    <row r="4654" spans="1:25" ht="15" x14ac:dyDescent="0.25">
      <c r="A4654" s="4">
        <v>4653</v>
      </c>
      <c r="C4654" s="41" t="s">
        <v>7031</v>
      </c>
      <c r="D4654" s="42"/>
      <c r="E4654" s="5" t="str">
        <f t="shared" si="90"/>
        <v>https://www.screener.in/company//consolidated/</v>
      </c>
      <c r="F4654" s="4">
        <v>443059</v>
      </c>
      <c r="G4654" s="4">
        <v>3832241897</v>
      </c>
      <c r="H4654" s="6" t="e">
        <f t="shared" ca="1" si="91"/>
        <v>#VALUE!</v>
      </c>
      <c r="I4654" s="7" t="str">
        <f ca="1">IFERROR(__xludf.DUMMYFUNCTION("IMPORTXML(E4654,""/html/body/main/div[3]/div[3]/div[2]/ul/li[5]/span[2]/span"")"),"Loading...")</f>
        <v>Loading...</v>
      </c>
      <c r="J4654" s="7" t="str">
        <f ca="1">IFERROR(__xludf.DUMMYFUNCTION("GOOGLEFINANCE(""NSE:""&amp;D4654,""marketcap"")"),"#N/A")</f>
        <v>#N/A</v>
      </c>
      <c r="K4654" s="7">
        <v>992.8</v>
      </c>
      <c r="L4654" s="8" t="str">
        <f ca="1">IFERROR(__xludf.DUMMYFUNCTION("GOOGLEFINANCE(""NSE:""&amp;D4654,""price"")"),"#N/A")</f>
        <v>#N/A</v>
      </c>
      <c r="M4654" s="9" t="e">
        <f t="shared" ca="1" si="92"/>
        <v>#VALUE!</v>
      </c>
      <c r="N4654" s="10" t="e">
        <f t="shared" ca="1" si="93"/>
        <v>#VALUE!</v>
      </c>
      <c r="O4654" s="7" t="str">
        <f ca="1">IFERROR(__xludf.DUMMYFUNCTION("GOOGLEFINANCE(""NSE:""&amp;D4654,""pe"")"),"#N/A")</f>
        <v>#N/A</v>
      </c>
      <c r="P4654" s="7" t="str">
        <f ca="1">IFERROR(__xludf.DUMMYFUNCTION("GOOGLEFINANCE(""NSE:""&amp;D4654,""EPS"")"),"#N/A")</f>
        <v>#N/A</v>
      </c>
      <c r="Q4654" s="7">
        <v>13.5</v>
      </c>
      <c r="R4654" s="7" t="str">
        <f ca="1">IFERROR(__xludf.DUMMYFUNCTION("IMPORTXML(E4654,""/html/body/main/div[3]/div[3]/div[2]/ul/li[7]/span[2]/span"")"),"Loading...")</f>
        <v>Loading...</v>
      </c>
      <c r="S4654" s="7" t="str">
        <f ca="1">IFERROR(__xludf.DUMMYFUNCTION("IMPORTXML(E4654,""/html/body/main/div[3]/div[3]/div[2]/ul/li[8]/span[2]/span"")"),"Loading...")</f>
        <v>Loading...</v>
      </c>
      <c r="T4654" s="4">
        <v>34.6</v>
      </c>
      <c r="U4654" s="4">
        <v>22.7</v>
      </c>
      <c r="V4654" s="4">
        <v>2.6</v>
      </c>
      <c r="W4654" s="4">
        <v>5.7</v>
      </c>
      <c r="X4654" s="4">
        <v>519.92999999999995</v>
      </c>
      <c r="Y4654" s="7" t="e">
        <f t="shared" ca="1" si="94"/>
        <v>#VALUE!</v>
      </c>
    </row>
    <row r="4655" spans="1:25" ht="15" x14ac:dyDescent="0.25">
      <c r="A4655" s="4">
        <v>4654</v>
      </c>
      <c r="C4655" s="41" t="s">
        <v>7032</v>
      </c>
      <c r="D4655" s="42"/>
      <c r="E4655" s="5" t="str">
        <f t="shared" si="90"/>
        <v>https://www.screener.in/company//consolidated/</v>
      </c>
      <c r="F4655" s="4">
        <v>443059</v>
      </c>
      <c r="G4655" s="4">
        <v>3832241897</v>
      </c>
      <c r="H4655" s="6" t="e">
        <f t="shared" ca="1" si="91"/>
        <v>#VALUE!</v>
      </c>
      <c r="I4655" s="7" t="str">
        <f ca="1">IFERROR(__xludf.DUMMYFUNCTION("IMPORTXML(E4655,""/html/body/main/div[3]/div[3]/div[2]/ul/li[5]/span[2]/span"")"),"Loading...")</f>
        <v>Loading...</v>
      </c>
      <c r="J4655" s="7" t="str">
        <f ca="1">IFERROR(__xludf.DUMMYFUNCTION("GOOGLEFINANCE(""NSE:""&amp;D4655,""marketcap"")"),"#N/A")</f>
        <v>#N/A</v>
      </c>
      <c r="K4655" s="7">
        <v>992.8</v>
      </c>
      <c r="L4655" s="8" t="str">
        <f ca="1">IFERROR(__xludf.DUMMYFUNCTION("GOOGLEFINANCE(""NSE:""&amp;D4655,""price"")"),"#N/A")</f>
        <v>#N/A</v>
      </c>
      <c r="M4655" s="9" t="e">
        <f t="shared" ca="1" si="92"/>
        <v>#VALUE!</v>
      </c>
      <c r="N4655" s="10" t="e">
        <f t="shared" ca="1" si="93"/>
        <v>#VALUE!</v>
      </c>
      <c r="O4655" s="7" t="str">
        <f ca="1">IFERROR(__xludf.DUMMYFUNCTION("GOOGLEFINANCE(""NSE:""&amp;D4655,""pe"")"),"#N/A")</f>
        <v>#N/A</v>
      </c>
      <c r="P4655" s="7" t="str">
        <f ca="1">IFERROR(__xludf.DUMMYFUNCTION("GOOGLEFINANCE(""NSE:""&amp;D4655,""EPS"")"),"#N/A")</f>
        <v>#N/A</v>
      </c>
      <c r="Q4655" s="7">
        <v>13.5</v>
      </c>
      <c r="R4655" s="7" t="str">
        <f ca="1">IFERROR(__xludf.DUMMYFUNCTION("IMPORTXML(E4655,""/html/body/main/div[3]/div[3]/div[2]/ul/li[7]/span[2]/span"")"),"Loading...")</f>
        <v>Loading...</v>
      </c>
      <c r="S4655" s="7" t="str">
        <f ca="1">IFERROR(__xludf.DUMMYFUNCTION("IMPORTXML(E4655,""/html/body/main/div[3]/div[3]/div[2]/ul/li[8]/span[2]/span"")"),"Loading...")</f>
        <v>Loading...</v>
      </c>
      <c r="T4655" s="4">
        <v>34.6</v>
      </c>
      <c r="U4655" s="4">
        <v>22.7</v>
      </c>
      <c r="V4655" s="4">
        <v>2.6</v>
      </c>
      <c r="W4655" s="4">
        <v>5.7</v>
      </c>
      <c r="X4655" s="4">
        <v>519.92999999999995</v>
      </c>
      <c r="Y4655" s="7" t="e">
        <f t="shared" ca="1" si="94"/>
        <v>#VALUE!</v>
      </c>
    </row>
    <row r="4656" spans="1:25" ht="15" x14ac:dyDescent="0.25">
      <c r="A4656" s="4">
        <v>4655</v>
      </c>
      <c r="C4656" s="41" t="s">
        <v>7033</v>
      </c>
      <c r="D4656" s="42"/>
      <c r="E4656" s="5" t="str">
        <f t="shared" si="90"/>
        <v>https://www.screener.in/company//consolidated/</v>
      </c>
      <c r="F4656" s="4">
        <v>443059</v>
      </c>
      <c r="G4656" s="4">
        <v>3832241897</v>
      </c>
      <c r="H4656" s="6" t="e">
        <f t="shared" ca="1" si="91"/>
        <v>#VALUE!</v>
      </c>
      <c r="I4656" s="7" t="str">
        <f ca="1">IFERROR(__xludf.DUMMYFUNCTION("IMPORTXML(E4656,""/html/body/main/div[3]/div[3]/div[2]/ul/li[5]/span[2]/span"")"),"Loading...")</f>
        <v>Loading...</v>
      </c>
      <c r="J4656" s="7" t="str">
        <f ca="1">IFERROR(__xludf.DUMMYFUNCTION("GOOGLEFINANCE(""NSE:""&amp;D4656,""marketcap"")"),"#N/A")</f>
        <v>#N/A</v>
      </c>
      <c r="K4656" s="7">
        <v>992.8</v>
      </c>
      <c r="L4656" s="8" t="str">
        <f ca="1">IFERROR(__xludf.DUMMYFUNCTION("GOOGLEFINANCE(""NSE:""&amp;D4656,""price"")"),"#N/A")</f>
        <v>#N/A</v>
      </c>
      <c r="M4656" s="9" t="e">
        <f t="shared" ca="1" si="92"/>
        <v>#VALUE!</v>
      </c>
      <c r="N4656" s="10" t="e">
        <f t="shared" ca="1" si="93"/>
        <v>#VALUE!</v>
      </c>
      <c r="O4656" s="7" t="str">
        <f ca="1">IFERROR(__xludf.DUMMYFUNCTION("GOOGLEFINANCE(""NSE:""&amp;D4656,""pe"")"),"#N/A")</f>
        <v>#N/A</v>
      </c>
      <c r="P4656" s="7" t="str">
        <f ca="1">IFERROR(__xludf.DUMMYFUNCTION("GOOGLEFINANCE(""NSE:""&amp;D4656,""EPS"")"),"#N/A")</f>
        <v>#N/A</v>
      </c>
      <c r="Q4656" s="7">
        <v>13.5</v>
      </c>
      <c r="R4656" s="7" t="str">
        <f ca="1">IFERROR(__xludf.DUMMYFUNCTION("IMPORTXML(E4656,""/html/body/main/div[3]/div[3]/div[2]/ul/li[7]/span[2]/span"")"),"Loading...")</f>
        <v>Loading...</v>
      </c>
      <c r="S4656" s="7" t="str">
        <f ca="1">IFERROR(__xludf.DUMMYFUNCTION("IMPORTXML(E4656,""/html/body/main/div[3]/div[3]/div[2]/ul/li[8]/span[2]/span"")"),"Loading...")</f>
        <v>Loading...</v>
      </c>
      <c r="T4656" s="4">
        <v>34.6</v>
      </c>
      <c r="U4656" s="4">
        <v>22.7</v>
      </c>
      <c r="V4656" s="4">
        <v>2.6</v>
      </c>
      <c r="W4656" s="4">
        <v>5.7</v>
      </c>
      <c r="X4656" s="4">
        <v>519.92999999999995</v>
      </c>
      <c r="Y4656" s="7" t="e">
        <f t="shared" ca="1" si="94"/>
        <v>#VALUE!</v>
      </c>
    </row>
    <row r="4657" spans="1:25" ht="15" x14ac:dyDescent="0.25">
      <c r="A4657" s="4">
        <v>4656</v>
      </c>
      <c r="C4657" s="41" t="s">
        <v>7034</v>
      </c>
      <c r="D4657" s="42"/>
      <c r="E4657" s="5" t="str">
        <f t="shared" si="90"/>
        <v>https://www.screener.in/company//consolidated/</v>
      </c>
      <c r="F4657" s="4">
        <v>443059</v>
      </c>
      <c r="G4657" s="4">
        <v>3832241897</v>
      </c>
      <c r="H4657" s="6" t="e">
        <f t="shared" ca="1" si="91"/>
        <v>#VALUE!</v>
      </c>
      <c r="I4657" s="7" t="str">
        <f ca="1">IFERROR(__xludf.DUMMYFUNCTION("IMPORTXML(E4657,""/html/body/main/div[3]/div[3]/div[2]/ul/li[5]/span[2]/span"")"),"Loading...")</f>
        <v>Loading...</v>
      </c>
      <c r="J4657" s="7" t="str">
        <f ca="1">IFERROR(__xludf.DUMMYFUNCTION("GOOGLEFINANCE(""NSE:""&amp;D4657,""marketcap"")"),"#N/A")</f>
        <v>#N/A</v>
      </c>
      <c r="K4657" s="7">
        <v>992.8</v>
      </c>
      <c r="L4657" s="8" t="str">
        <f ca="1">IFERROR(__xludf.DUMMYFUNCTION("GOOGLEFINANCE(""NSE:""&amp;D4657,""price"")"),"#N/A")</f>
        <v>#N/A</v>
      </c>
      <c r="M4657" s="9" t="e">
        <f t="shared" ca="1" si="92"/>
        <v>#VALUE!</v>
      </c>
      <c r="N4657" s="10" t="e">
        <f t="shared" ca="1" si="93"/>
        <v>#VALUE!</v>
      </c>
      <c r="O4657" s="7" t="str">
        <f ca="1">IFERROR(__xludf.DUMMYFUNCTION("GOOGLEFINANCE(""NSE:""&amp;D4657,""pe"")"),"#N/A")</f>
        <v>#N/A</v>
      </c>
      <c r="P4657" s="7" t="str">
        <f ca="1">IFERROR(__xludf.DUMMYFUNCTION("GOOGLEFINANCE(""NSE:""&amp;D4657,""EPS"")"),"#N/A")</f>
        <v>#N/A</v>
      </c>
      <c r="Q4657" s="7">
        <v>13.5</v>
      </c>
      <c r="R4657" s="7" t="str">
        <f ca="1">IFERROR(__xludf.DUMMYFUNCTION("IMPORTXML(E4657,""/html/body/main/div[3]/div[3]/div[2]/ul/li[7]/span[2]/span"")"),"Loading...")</f>
        <v>Loading...</v>
      </c>
      <c r="S4657" s="7" t="str">
        <f ca="1">IFERROR(__xludf.DUMMYFUNCTION("IMPORTXML(E4657,""/html/body/main/div[3]/div[3]/div[2]/ul/li[8]/span[2]/span"")"),"Loading...")</f>
        <v>Loading...</v>
      </c>
      <c r="T4657" s="4">
        <v>34.6</v>
      </c>
      <c r="U4657" s="4">
        <v>22.7</v>
      </c>
      <c r="V4657" s="4">
        <v>2.6</v>
      </c>
      <c r="W4657" s="4">
        <v>5.7</v>
      </c>
      <c r="X4657" s="4">
        <v>519.92999999999995</v>
      </c>
      <c r="Y4657" s="7" t="e">
        <f t="shared" ca="1" si="94"/>
        <v>#VALUE!</v>
      </c>
    </row>
    <row r="4658" spans="1:25" ht="15" x14ac:dyDescent="0.25">
      <c r="A4658" s="4">
        <v>4657</v>
      </c>
      <c r="C4658" s="41" t="s">
        <v>7035</v>
      </c>
      <c r="D4658" s="42"/>
      <c r="E4658" s="5" t="str">
        <f t="shared" si="90"/>
        <v>https://www.screener.in/company//consolidated/</v>
      </c>
      <c r="F4658" s="4">
        <v>443059</v>
      </c>
      <c r="G4658" s="4">
        <v>3832241897</v>
      </c>
      <c r="H4658" s="6" t="e">
        <f t="shared" ca="1" si="91"/>
        <v>#VALUE!</v>
      </c>
      <c r="I4658" s="7" t="str">
        <f ca="1">IFERROR(__xludf.DUMMYFUNCTION("IMPORTXML(E4658,""/html/body/main/div[3]/div[3]/div[2]/ul/li[5]/span[2]/span"")"),"Loading...")</f>
        <v>Loading...</v>
      </c>
      <c r="J4658" s="7" t="str">
        <f ca="1">IFERROR(__xludf.DUMMYFUNCTION("GOOGLEFINANCE(""NSE:""&amp;D4658,""marketcap"")"),"#N/A")</f>
        <v>#N/A</v>
      </c>
      <c r="K4658" s="7">
        <v>992.8</v>
      </c>
      <c r="L4658" s="8" t="str">
        <f ca="1">IFERROR(__xludf.DUMMYFUNCTION("GOOGLEFINANCE(""NSE:""&amp;D4658,""price"")"),"#N/A")</f>
        <v>#N/A</v>
      </c>
      <c r="M4658" s="9" t="e">
        <f t="shared" ca="1" si="92"/>
        <v>#VALUE!</v>
      </c>
      <c r="N4658" s="10" t="e">
        <f t="shared" ca="1" si="93"/>
        <v>#VALUE!</v>
      </c>
      <c r="O4658" s="7" t="str">
        <f ca="1">IFERROR(__xludf.DUMMYFUNCTION("GOOGLEFINANCE(""NSE:""&amp;D4658,""pe"")"),"#N/A")</f>
        <v>#N/A</v>
      </c>
      <c r="P4658" s="7" t="str">
        <f ca="1">IFERROR(__xludf.DUMMYFUNCTION("GOOGLEFINANCE(""NSE:""&amp;D4658,""EPS"")"),"#N/A")</f>
        <v>#N/A</v>
      </c>
      <c r="Q4658" s="7">
        <v>13.5</v>
      </c>
      <c r="R4658" s="7" t="str">
        <f ca="1">IFERROR(__xludf.DUMMYFUNCTION("IMPORTXML(E4658,""/html/body/main/div[3]/div[3]/div[2]/ul/li[7]/span[2]/span"")"),"Loading...")</f>
        <v>Loading...</v>
      </c>
      <c r="S4658" s="7" t="str">
        <f ca="1">IFERROR(__xludf.DUMMYFUNCTION("IMPORTXML(E4658,""/html/body/main/div[3]/div[3]/div[2]/ul/li[8]/span[2]/span"")"),"Loading...")</f>
        <v>Loading...</v>
      </c>
      <c r="T4658" s="4">
        <v>34.6</v>
      </c>
      <c r="U4658" s="4">
        <v>22.7</v>
      </c>
      <c r="V4658" s="4">
        <v>2.6</v>
      </c>
      <c r="W4658" s="4">
        <v>5.7</v>
      </c>
      <c r="X4658" s="4">
        <v>519.92999999999995</v>
      </c>
      <c r="Y4658" s="7" t="e">
        <f t="shared" ca="1" si="94"/>
        <v>#VALUE!</v>
      </c>
    </row>
    <row r="4659" spans="1:25" ht="15" x14ac:dyDescent="0.25">
      <c r="A4659" s="4">
        <v>4658</v>
      </c>
      <c r="C4659" s="41" t="s">
        <v>7036</v>
      </c>
      <c r="D4659" s="42"/>
      <c r="E4659" s="5" t="str">
        <f t="shared" si="90"/>
        <v>https://www.screener.in/company//consolidated/</v>
      </c>
      <c r="F4659" s="4">
        <v>443059</v>
      </c>
      <c r="G4659" s="4">
        <v>3832241897</v>
      </c>
      <c r="H4659" s="6" t="e">
        <f t="shared" ca="1" si="91"/>
        <v>#VALUE!</v>
      </c>
      <c r="I4659" s="7" t="str">
        <f ca="1">IFERROR(__xludf.DUMMYFUNCTION("IMPORTXML(E4659,""/html/body/main/div[3]/div[3]/div[2]/ul/li[5]/span[2]/span"")"),"Loading...")</f>
        <v>Loading...</v>
      </c>
      <c r="J4659" s="7" t="str">
        <f ca="1">IFERROR(__xludf.DUMMYFUNCTION("GOOGLEFINANCE(""NSE:""&amp;D4659,""marketcap"")"),"#N/A")</f>
        <v>#N/A</v>
      </c>
      <c r="K4659" s="7">
        <v>992.8</v>
      </c>
      <c r="L4659" s="8" t="str">
        <f ca="1">IFERROR(__xludf.DUMMYFUNCTION("GOOGLEFINANCE(""NSE:""&amp;D4659,""price"")"),"#N/A")</f>
        <v>#N/A</v>
      </c>
      <c r="M4659" s="9" t="e">
        <f t="shared" ca="1" si="92"/>
        <v>#VALUE!</v>
      </c>
      <c r="N4659" s="10" t="e">
        <f t="shared" ca="1" si="93"/>
        <v>#VALUE!</v>
      </c>
      <c r="O4659" s="7" t="str">
        <f ca="1">IFERROR(__xludf.DUMMYFUNCTION("GOOGLEFINANCE(""NSE:""&amp;D4659,""pe"")"),"#N/A")</f>
        <v>#N/A</v>
      </c>
      <c r="P4659" s="7" t="str">
        <f ca="1">IFERROR(__xludf.DUMMYFUNCTION("GOOGLEFINANCE(""NSE:""&amp;D4659,""EPS"")"),"#N/A")</f>
        <v>#N/A</v>
      </c>
      <c r="Q4659" s="7">
        <v>13.5</v>
      </c>
      <c r="R4659" s="7" t="str">
        <f ca="1">IFERROR(__xludf.DUMMYFUNCTION("IMPORTXML(E4659,""/html/body/main/div[3]/div[3]/div[2]/ul/li[7]/span[2]/span"")"),"Loading...")</f>
        <v>Loading...</v>
      </c>
      <c r="S4659" s="7" t="str">
        <f ca="1">IFERROR(__xludf.DUMMYFUNCTION("IMPORTXML(E4659,""/html/body/main/div[3]/div[3]/div[2]/ul/li[8]/span[2]/span"")"),"Loading...")</f>
        <v>Loading...</v>
      </c>
      <c r="T4659" s="4">
        <v>34.6</v>
      </c>
      <c r="U4659" s="4">
        <v>22.7</v>
      </c>
      <c r="V4659" s="4">
        <v>2.6</v>
      </c>
      <c r="W4659" s="4">
        <v>5.7</v>
      </c>
      <c r="X4659" s="4">
        <v>519.92999999999995</v>
      </c>
      <c r="Y4659" s="7" t="e">
        <f t="shared" ca="1" si="94"/>
        <v>#VALUE!</v>
      </c>
    </row>
    <row r="4660" spans="1:25" ht="15" x14ac:dyDescent="0.25">
      <c r="A4660" s="4">
        <v>4659</v>
      </c>
      <c r="C4660" s="41" t="s">
        <v>7037</v>
      </c>
      <c r="D4660" s="42"/>
      <c r="E4660" s="5" t="str">
        <f t="shared" si="90"/>
        <v>https://www.screener.in/company//consolidated/</v>
      </c>
      <c r="F4660" s="4">
        <v>443059</v>
      </c>
      <c r="G4660" s="4">
        <v>3832241897</v>
      </c>
      <c r="H4660" s="6" t="e">
        <f t="shared" ca="1" si="91"/>
        <v>#VALUE!</v>
      </c>
      <c r="I4660" s="7" t="str">
        <f ca="1">IFERROR(__xludf.DUMMYFUNCTION("IMPORTXML(E4660,""/html/body/main/div[3]/div[3]/div[2]/ul/li[5]/span[2]/span"")"),"Loading...")</f>
        <v>Loading...</v>
      </c>
      <c r="J4660" s="7" t="str">
        <f ca="1">IFERROR(__xludf.DUMMYFUNCTION("GOOGLEFINANCE(""NSE:""&amp;D4660,""marketcap"")"),"#N/A")</f>
        <v>#N/A</v>
      </c>
      <c r="K4660" s="7">
        <v>992.8</v>
      </c>
      <c r="L4660" s="8" t="str">
        <f ca="1">IFERROR(__xludf.DUMMYFUNCTION("GOOGLEFINANCE(""NSE:""&amp;D4660,""price"")"),"#N/A")</f>
        <v>#N/A</v>
      </c>
      <c r="M4660" s="9" t="e">
        <f t="shared" ca="1" si="92"/>
        <v>#VALUE!</v>
      </c>
      <c r="N4660" s="10" t="e">
        <f t="shared" ca="1" si="93"/>
        <v>#VALUE!</v>
      </c>
      <c r="O4660" s="7" t="str">
        <f ca="1">IFERROR(__xludf.DUMMYFUNCTION("GOOGLEFINANCE(""NSE:""&amp;D4660,""pe"")"),"#N/A")</f>
        <v>#N/A</v>
      </c>
      <c r="P4660" s="7" t="str">
        <f ca="1">IFERROR(__xludf.DUMMYFUNCTION("GOOGLEFINANCE(""NSE:""&amp;D4660,""EPS"")"),"#N/A")</f>
        <v>#N/A</v>
      </c>
      <c r="Q4660" s="7">
        <v>13.5</v>
      </c>
      <c r="R4660" s="7" t="str">
        <f ca="1">IFERROR(__xludf.DUMMYFUNCTION("IMPORTXML(E4660,""/html/body/main/div[3]/div[3]/div[2]/ul/li[7]/span[2]/span"")"),"Loading...")</f>
        <v>Loading...</v>
      </c>
      <c r="S4660" s="7" t="str">
        <f ca="1">IFERROR(__xludf.DUMMYFUNCTION("IMPORTXML(E4660,""/html/body/main/div[3]/div[3]/div[2]/ul/li[8]/span[2]/span"")"),"Loading...")</f>
        <v>Loading...</v>
      </c>
      <c r="T4660" s="4">
        <v>34.6</v>
      </c>
      <c r="U4660" s="4">
        <v>22.7</v>
      </c>
      <c r="V4660" s="4">
        <v>2.6</v>
      </c>
      <c r="W4660" s="4">
        <v>5.7</v>
      </c>
      <c r="X4660" s="4">
        <v>519.92999999999995</v>
      </c>
      <c r="Y4660" s="7" t="e">
        <f t="shared" ca="1" si="94"/>
        <v>#VALUE!</v>
      </c>
    </row>
    <row r="4661" spans="1:25" ht="15" x14ac:dyDescent="0.25">
      <c r="A4661" s="4">
        <v>4660</v>
      </c>
      <c r="C4661" s="41" t="s">
        <v>7038</v>
      </c>
      <c r="D4661" s="42"/>
      <c r="E4661" s="5" t="str">
        <f t="shared" si="90"/>
        <v>https://www.screener.in/company//consolidated/</v>
      </c>
      <c r="F4661" s="4">
        <v>443059</v>
      </c>
      <c r="G4661" s="4">
        <v>3832241897</v>
      </c>
      <c r="H4661" s="6" t="e">
        <f t="shared" ca="1" si="91"/>
        <v>#VALUE!</v>
      </c>
      <c r="I4661" s="7" t="str">
        <f ca="1">IFERROR(__xludf.DUMMYFUNCTION("IMPORTXML(E4661,""/html/body/main/div[3]/div[3]/div[2]/ul/li[5]/span[2]/span"")"),"Loading...")</f>
        <v>Loading...</v>
      </c>
      <c r="J4661" s="7" t="str">
        <f ca="1">IFERROR(__xludf.DUMMYFUNCTION("GOOGLEFINANCE(""NSE:""&amp;D4661,""marketcap"")"),"#N/A")</f>
        <v>#N/A</v>
      </c>
      <c r="K4661" s="7">
        <v>992.8</v>
      </c>
      <c r="L4661" s="8" t="str">
        <f ca="1">IFERROR(__xludf.DUMMYFUNCTION("GOOGLEFINANCE(""NSE:""&amp;D4661,""price"")"),"#N/A")</f>
        <v>#N/A</v>
      </c>
      <c r="M4661" s="9" t="e">
        <f t="shared" ca="1" si="92"/>
        <v>#VALUE!</v>
      </c>
      <c r="N4661" s="10" t="e">
        <f t="shared" ca="1" si="93"/>
        <v>#VALUE!</v>
      </c>
      <c r="O4661" s="7" t="str">
        <f ca="1">IFERROR(__xludf.DUMMYFUNCTION("GOOGLEFINANCE(""NSE:""&amp;D4661,""pe"")"),"#N/A")</f>
        <v>#N/A</v>
      </c>
      <c r="P4661" s="7" t="str">
        <f ca="1">IFERROR(__xludf.DUMMYFUNCTION("GOOGLEFINANCE(""NSE:""&amp;D4661,""EPS"")"),"#N/A")</f>
        <v>#N/A</v>
      </c>
      <c r="Q4661" s="7">
        <v>13.5</v>
      </c>
      <c r="R4661" s="7" t="str">
        <f ca="1">IFERROR(__xludf.DUMMYFUNCTION("IMPORTXML(E4661,""/html/body/main/div[3]/div[3]/div[2]/ul/li[7]/span[2]/span"")"),"Loading...")</f>
        <v>Loading...</v>
      </c>
      <c r="S4661" s="7" t="str">
        <f ca="1">IFERROR(__xludf.DUMMYFUNCTION("IMPORTXML(E4661,""/html/body/main/div[3]/div[3]/div[2]/ul/li[8]/span[2]/span"")"),"Loading...")</f>
        <v>Loading...</v>
      </c>
      <c r="T4661" s="4">
        <v>34.6</v>
      </c>
      <c r="U4661" s="4">
        <v>22.7</v>
      </c>
      <c r="V4661" s="4">
        <v>2.6</v>
      </c>
      <c r="W4661" s="4">
        <v>5.7</v>
      </c>
      <c r="X4661" s="4">
        <v>519.92999999999995</v>
      </c>
      <c r="Y4661" s="7" t="e">
        <f t="shared" ca="1" si="94"/>
        <v>#VALUE!</v>
      </c>
    </row>
    <row r="4662" spans="1:25" ht="15" x14ac:dyDescent="0.25">
      <c r="A4662" s="4">
        <v>4661</v>
      </c>
      <c r="C4662" s="41" t="s">
        <v>7039</v>
      </c>
      <c r="D4662" s="42"/>
      <c r="E4662" s="5" t="str">
        <f t="shared" si="90"/>
        <v>https://www.screener.in/company//consolidated/</v>
      </c>
      <c r="F4662" s="4">
        <v>443059</v>
      </c>
      <c r="G4662" s="4">
        <v>3832241897</v>
      </c>
      <c r="H4662" s="6" t="e">
        <f t="shared" ca="1" si="91"/>
        <v>#VALUE!</v>
      </c>
      <c r="I4662" s="7" t="str">
        <f ca="1">IFERROR(__xludf.DUMMYFUNCTION("IMPORTXML(E4662,""/html/body/main/div[3]/div[3]/div[2]/ul/li[5]/span[2]/span"")"),"Loading...")</f>
        <v>Loading...</v>
      </c>
      <c r="J4662" s="7" t="str">
        <f ca="1">IFERROR(__xludf.DUMMYFUNCTION("GOOGLEFINANCE(""NSE:""&amp;D4662,""marketcap"")"),"#N/A")</f>
        <v>#N/A</v>
      </c>
      <c r="K4662" s="7">
        <v>992.8</v>
      </c>
      <c r="L4662" s="8" t="str">
        <f ca="1">IFERROR(__xludf.DUMMYFUNCTION("GOOGLEFINANCE(""NSE:""&amp;D4662,""price"")"),"#N/A")</f>
        <v>#N/A</v>
      </c>
      <c r="M4662" s="9" t="e">
        <f t="shared" ca="1" si="92"/>
        <v>#VALUE!</v>
      </c>
      <c r="N4662" s="10" t="e">
        <f t="shared" ca="1" si="93"/>
        <v>#VALUE!</v>
      </c>
      <c r="O4662" s="7" t="str">
        <f ca="1">IFERROR(__xludf.DUMMYFUNCTION("GOOGLEFINANCE(""NSE:""&amp;D4662,""pe"")"),"#N/A")</f>
        <v>#N/A</v>
      </c>
      <c r="P4662" s="7" t="str">
        <f ca="1">IFERROR(__xludf.DUMMYFUNCTION("GOOGLEFINANCE(""NSE:""&amp;D4662,""EPS"")"),"#N/A")</f>
        <v>#N/A</v>
      </c>
      <c r="Q4662" s="7">
        <v>13.5</v>
      </c>
      <c r="R4662" s="7" t="str">
        <f ca="1">IFERROR(__xludf.DUMMYFUNCTION("IMPORTXML(E4662,""/html/body/main/div[3]/div[3]/div[2]/ul/li[7]/span[2]/span"")"),"Loading...")</f>
        <v>Loading...</v>
      </c>
      <c r="S4662" s="7" t="str">
        <f ca="1">IFERROR(__xludf.DUMMYFUNCTION("IMPORTXML(E4662,""/html/body/main/div[3]/div[3]/div[2]/ul/li[8]/span[2]/span"")"),"Loading...")</f>
        <v>Loading...</v>
      </c>
      <c r="T4662" s="4">
        <v>34.6</v>
      </c>
      <c r="U4662" s="4">
        <v>22.7</v>
      </c>
      <c r="V4662" s="4">
        <v>2.6</v>
      </c>
      <c r="W4662" s="4">
        <v>5.7</v>
      </c>
      <c r="X4662" s="4">
        <v>519.92999999999995</v>
      </c>
      <c r="Y4662" s="7" t="e">
        <f t="shared" ca="1" si="94"/>
        <v>#VALUE!</v>
      </c>
    </row>
    <row r="4663" spans="1:25" ht="15" x14ac:dyDescent="0.25">
      <c r="A4663" s="4">
        <v>4662</v>
      </c>
      <c r="C4663" s="41" t="s">
        <v>7040</v>
      </c>
      <c r="D4663" s="42"/>
      <c r="E4663" s="5" t="str">
        <f t="shared" si="90"/>
        <v>https://www.screener.in/company//consolidated/</v>
      </c>
      <c r="F4663" s="4">
        <v>443059</v>
      </c>
      <c r="G4663" s="4">
        <v>3832241897</v>
      </c>
      <c r="H4663" s="6" t="e">
        <f t="shared" ca="1" si="91"/>
        <v>#VALUE!</v>
      </c>
      <c r="I4663" s="7" t="str">
        <f ca="1">IFERROR(__xludf.DUMMYFUNCTION("IMPORTXML(E4663,""/html/body/main/div[3]/div[3]/div[2]/ul/li[5]/span[2]/span"")"),"Loading...")</f>
        <v>Loading...</v>
      </c>
      <c r="J4663" s="7" t="str">
        <f ca="1">IFERROR(__xludf.DUMMYFUNCTION("GOOGLEFINANCE(""NSE:""&amp;D4663,""marketcap"")"),"#N/A")</f>
        <v>#N/A</v>
      </c>
      <c r="K4663" s="7">
        <v>992.8</v>
      </c>
      <c r="L4663" s="8" t="str">
        <f ca="1">IFERROR(__xludf.DUMMYFUNCTION("GOOGLEFINANCE(""NSE:""&amp;D4663,""price"")"),"#N/A")</f>
        <v>#N/A</v>
      </c>
      <c r="M4663" s="9" t="e">
        <f t="shared" ca="1" si="92"/>
        <v>#VALUE!</v>
      </c>
      <c r="N4663" s="10" t="e">
        <f t="shared" ca="1" si="93"/>
        <v>#VALUE!</v>
      </c>
      <c r="O4663" s="7" t="str">
        <f ca="1">IFERROR(__xludf.DUMMYFUNCTION("GOOGLEFINANCE(""NSE:""&amp;D4663,""pe"")"),"#N/A")</f>
        <v>#N/A</v>
      </c>
      <c r="P4663" s="7" t="str">
        <f ca="1">IFERROR(__xludf.DUMMYFUNCTION("GOOGLEFINANCE(""NSE:""&amp;D4663,""EPS"")"),"#N/A")</f>
        <v>#N/A</v>
      </c>
      <c r="Q4663" s="7">
        <v>13.5</v>
      </c>
      <c r="R4663" s="7" t="str">
        <f ca="1">IFERROR(__xludf.DUMMYFUNCTION("IMPORTXML(E4663,""/html/body/main/div[3]/div[3]/div[2]/ul/li[7]/span[2]/span"")"),"Loading...")</f>
        <v>Loading...</v>
      </c>
      <c r="S4663" s="7" t="str">
        <f ca="1">IFERROR(__xludf.DUMMYFUNCTION("IMPORTXML(E4663,""/html/body/main/div[3]/div[3]/div[2]/ul/li[8]/span[2]/span"")"),"Loading...")</f>
        <v>Loading...</v>
      </c>
      <c r="T4663" s="4">
        <v>34.6</v>
      </c>
      <c r="U4663" s="4">
        <v>22.7</v>
      </c>
      <c r="V4663" s="4">
        <v>2.6</v>
      </c>
      <c r="W4663" s="4">
        <v>5.7</v>
      </c>
      <c r="X4663" s="4">
        <v>519.92999999999995</v>
      </c>
      <c r="Y4663" s="7" t="e">
        <f t="shared" ca="1" si="94"/>
        <v>#VALUE!</v>
      </c>
    </row>
    <row r="4664" spans="1:25" ht="15" x14ac:dyDescent="0.25">
      <c r="A4664" s="4">
        <v>4663</v>
      </c>
      <c r="C4664" s="41" t="s">
        <v>7041</v>
      </c>
      <c r="D4664" s="42"/>
      <c r="E4664" s="5" t="str">
        <f t="shared" si="90"/>
        <v>https://www.screener.in/company//consolidated/</v>
      </c>
      <c r="F4664" s="4">
        <v>443059</v>
      </c>
      <c r="G4664" s="4">
        <v>3832241897</v>
      </c>
      <c r="H4664" s="6" t="e">
        <f t="shared" ca="1" si="91"/>
        <v>#VALUE!</v>
      </c>
      <c r="I4664" s="7" t="str">
        <f ca="1">IFERROR(__xludf.DUMMYFUNCTION("IMPORTXML(E4664,""/html/body/main/div[3]/div[3]/div[2]/ul/li[5]/span[2]/span"")"),"Loading...")</f>
        <v>Loading...</v>
      </c>
      <c r="J4664" s="7" t="str">
        <f ca="1">IFERROR(__xludf.DUMMYFUNCTION("GOOGLEFINANCE(""NSE:""&amp;D4664,""marketcap"")"),"#N/A")</f>
        <v>#N/A</v>
      </c>
      <c r="K4664" s="7">
        <v>992.8</v>
      </c>
      <c r="L4664" s="8" t="str">
        <f ca="1">IFERROR(__xludf.DUMMYFUNCTION("GOOGLEFINANCE(""NSE:""&amp;D4664,""price"")"),"#N/A")</f>
        <v>#N/A</v>
      </c>
      <c r="M4664" s="9" t="e">
        <f t="shared" ca="1" si="92"/>
        <v>#VALUE!</v>
      </c>
      <c r="N4664" s="10" t="e">
        <f t="shared" ca="1" si="93"/>
        <v>#VALUE!</v>
      </c>
      <c r="O4664" s="7" t="str">
        <f ca="1">IFERROR(__xludf.DUMMYFUNCTION("GOOGLEFINANCE(""NSE:""&amp;D4664,""pe"")"),"#N/A")</f>
        <v>#N/A</v>
      </c>
      <c r="P4664" s="7" t="str">
        <f ca="1">IFERROR(__xludf.DUMMYFUNCTION("GOOGLEFINANCE(""NSE:""&amp;D4664,""EPS"")"),"#N/A")</f>
        <v>#N/A</v>
      </c>
      <c r="Q4664" s="7">
        <v>13.5</v>
      </c>
      <c r="R4664" s="7" t="str">
        <f ca="1">IFERROR(__xludf.DUMMYFUNCTION("IMPORTXML(E4664,""/html/body/main/div[3]/div[3]/div[2]/ul/li[7]/span[2]/span"")"),"Loading...")</f>
        <v>Loading...</v>
      </c>
      <c r="S4664" s="7" t="str">
        <f ca="1">IFERROR(__xludf.DUMMYFUNCTION("IMPORTXML(E4664,""/html/body/main/div[3]/div[3]/div[2]/ul/li[8]/span[2]/span"")"),"Loading...")</f>
        <v>Loading...</v>
      </c>
      <c r="T4664" s="4">
        <v>34.6</v>
      </c>
      <c r="U4664" s="4">
        <v>22.7</v>
      </c>
      <c r="V4664" s="4">
        <v>2.6</v>
      </c>
      <c r="W4664" s="4">
        <v>5.7</v>
      </c>
      <c r="X4664" s="4">
        <v>519.92999999999995</v>
      </c>
      <c r="Y4664" s="7" t="e">
        <f t="shared" ca="1" si="94"/>
        <v>#VALUE!</v>
      </c>
    </row>
    <row r="4665" spans="1:25" ht="15" x14ac:dyDescent="0.25">
      <c r="A4665" s="4">
        <v>4664</v>
      </c>
      <c r="C4665" s="41" t="s">
        <v>7042</v>
      </c>
      <c r="D4665" s="42"/>
      <c r="E4665" s="5" t="str">
        <f t="shared" si="90"/>
        <v>https://www.screener.in/company//consolidated/</v>
      </c>
      <c r="F4665" s="4">
        <v>443059</v>
      </c>
      <c r="G4665" s="4">
        <v>3832241897</v>
      </c>
      <c r="H4665" s="6" t="e">
        <f t="shared" ca="1" si="91"/>
        <v>#VALUE!</v>
      </c>
      <c r="I4665" s="7" t="str">
        <f ca="1">IFERROR(__xludf.DUMMYFUNCTION("IMPORTXML(E4665,""/html/body/main/div[3]/div[3]/div[2]/ul/li[5]/span[2]/span"")"),"Loading...")</f>
        <v>Loading...</v>
      </c>
      <c r="J4665" s="7" t="str">
        <f ca="1">IFERROR(__xludf.DUMMYFUNCTION("GOOGLEFINANCE(""NSE:""&amp;D4665,""marketcap"")"),"#N/A")</f>
        <v>#N/A</v>
      </c>
      <c r="K4665" s="7">
        <v>992.8</v>
      </c>
      <c r="L4665" s="8" t="str">
        <f ca="1">IFERROR(__xludf.DUMMYFUNCTION("GOOGLEFINANCE(""NSE:""&amp;D4665,""price"")"),"#N/A")</f>
        <v>#N/A</v>
      </c>
      <c r="M4665" s="9" t="e">
        <f t="shared" ca="1" si="92"/>
        <v>#VALUE!</v>
      </c>
      <c r="N4665" s="10" t="e">
        <f t="shared" ca="1" si="93"/>
        <v>#VALUE!</v>
      </c>
      <c r="O4665" s="7" t="str">
        <f ca="1">IFERROR(__xludf.DUMMYFUNCTION("GOOGLEFINANCE(""NSE:""&amp;D4665,""pe"")"),"#N/A")</f>
        <v>#N/A</v>
      </c>
      <c r="P4665" s="7" t="str">
        <f ca="1">IFERROR(__xludf.DUMMYFUNCTION("GOOGLEFINANCE(""NSE:""&amp;D4665,""EPS"")"),"#N/A")</f>
        <v>#N/A</v>
      </c>
      <c r="Q4665" s="7">
        <v>13.5</v>
      </c>
      <c r="R4665" s="7" t="str">
        <f ca="1">IFERROR(__xludf.DUMMYFUNCTION("IMPORTXML(E4665,""/html/body/main/div[3]/div[3]/div[2]/ul/li[7]/span[2]/span"")"),"Loading...")</f>
        <v>Loading...</v>
      </c>
      <c r="S4665" s="7" t="str">
        <f ca="1">IFERROR(__xludf.DUMMYFUNCTION("IMPORTXML(E4665,""/html/body/main/div[3]/div[3]/div[2]/ul/li[8]/span[2]/span"")"),"Loading...")</f>
        <v>Loading...</v>
      </c>
      <c r="T4665" s="4">
        <v>34.6</v>
      </c>
      <c r="U4665" s="4">
        <v>22.7</v>
      </c>
      <c r="V4665" s="4">
        <v>2.6</v>
      </c>
      <c r="W4665" s="4">
        <v>5.7</v>
      </c>
      <c r="X4665" s="4">
        <v>519.92999999999995</v>
      </c>
      <c r="Y4665" s="7" t="e">
        <f t="shared" ca="1" si="94"/>
        <v>#VALUE!</v>
      </c>
    </row>
    <row r="4666" spans="1:25" ht="15" x14ac:dyDescent="0.25">
      <c r="A4666" s="4">
        <v>4665</v>
      </c>
      <c r="C4666" s="41" t="s">
        <v>7043</v>
      </c>
      <c r="D4666" s="42"/>
      <c r="E4666" s="5" t="str">
        <f t="shared" si="90"/>
        <v>https://www.screener.in/company//consolidated/</v>
      </c>
      <c r="F4666" s="4">
        <v>443059</v>
      </c>
      <c r="G4666" s="4">
        <v>3832241897</v>
      </c>
      <c r="H4666" s="6" t="e">
        <f t="shared" ca="1" si="91"/>
        <v>#VALUE!</v>
      </c>
      <c r="I4666" s="7" t="str">
        <f ca="1">IFERROR(__xludf.DUMMYFUNCTION("IMPORTXML(E4666,""/html/body/main/div[3]/div[3]/div[2]/ul/li[5]/span[2]/span"")"),"Loading...")</f>
        <v>Loading...</v>
      </c>
      <c r="J4666" s="7" t="str">
        <f ca="1">IFERROR(__xludf.DUMMYFUNCTION("GOOGLEFINANCE(""NSE:""&amp;D4666,""marketcap"")"),"#N/A")</f>
        <v>#N/A</v>
      </c>
      <c r="K4666" s="7">
        <v>992.8</v>
      </c>
      <c r="L4666" s="8" t="str">
        <f ca="1">IFERROR(__xludf.DUMMYFUNCTION("GOOGLEFINANCE(""NSE:""&amp;D4666,""price"")"),"#N/A")</f>
        <v>#N/A</v>
      </c>
      <c r="M4666" s="9" t="e">
        <f t="shared" ca="1" si="92"/>
        <v>#VALUE!</v>
      </c>
      <c r="N4666" s="10" t="e">
        <f t="shared" ca="1" si="93"/>
        <v>#VALUE!</v>
      </c>
      <c r="O4666" s="7" t="str">
        <f ca="1">IFERROR(__xludf.DUMMYFUNCTION("GOOGLEFINANCE(""NSE:""&amp;D4666,""pe"")"),"#N/A")</f>
        <v>#N/A</v>
      </c>
      <c r="P4666" s="7" t="str">
        <f ca="1">IFERROR(__xludf.DUMMYFUNCTION("GOOGLEFINANCE(""NSE:""&amp;D4666,""EPS"")"),"#N/A")</f>
        <v>#N/A</v>
      </c>
      <c r="Q4666" s="7">
        <v>13.5</v>
      </c>
      <c r="R4666" s="7" t="str">
        <f ca="1">IFERROR(__xludf.DUMMYFUNCTION("IMPORTXML(E4666,""/html/body/main/div[3]/div[3]/div[2]/ul/li[7]/span[2]/span"")"),"Loading...")</f>
        <v>Loading...</v>
      </c>
      <c r="S4666" s="7" t="str">
        <f ca="1">IFERROR(__xludf.DUMMYFUNCTION("IMPORTXML(E4666,""/html/body/main/div[3]/div[3]/div[2]/ul/li[8]/span[2]/span"")"),"Loading...")</f>
        <v>Loading...</v>
      </c>
      <c r="T4666" s="4">
        <v>34.6</v>
      </c>
      <c r="U4666" s="4">
        <v>22.7</v>
      </c>
      <c r="V4666" s="4">
        <v>2.6</v>
      </c>
      <c r="W4666" s="4">
        <v>5.7</v>
      </c>
      <c r="X4666" s="4">
        <v>519.92999999999995</v>
      </c>
      <c r="Y4666" s="7" t="e">
        <f t="shared" ca="1" si="94"/>
        <v>#VALUE!</v>
      </c>
    </row>
    <row r="4667" spans="1:25" ht="15" x14ac:dyDescent="0.25">
      <c r="A4667" s="4">
        <v>4666</v>
      </c>
      <c r="C4667" s="41" t="s">
        <v>7044</v>
      </c>
      <c r="D4667" s="42"/>
      <c r="E4667" s="5" t="str">
        <f t="shared" si="90"/>
        <v>https://www.screener.in/company//consolidated/</v>
      </c>
      <c r="F4667" s="4">
        <v>443059</v>
      </c>
      <c r="G4667" s="4">
        <v>3832241897</v>
      </c>
      <c r="H4667" s="6" t="e">
        <f t="shared" ca="1" si="91"/>
        <v>#VALUE!</v>
      </c>
      <c r="I4667" s="7" t="str">
        <f ca="1">IFERROR(__xludf.DUMMYFUNCTION("IMPORTXML(E4667,""/html/body/main/div[3]/div[3]/div[2]/ul/li[5]/span[2]/span"")"),"Loading...")</f>
        <v>Loading...</v>
      </c>
      <c r="J4667" s="7" t="str">
        <f ca="1">IFERROR(__xludf.DUMMYFUNCTION("GOOGLEFINANCE(""NSE:""&amp;D4667,""marketcap"")"),"#N/A")</f>
        <v>#N/A</v>
      </c>
      <c r="K4667" s="7">
        <v>992.8</v>
      </c>
      <c r="L4667" s="8" t="str">
        <f ca="1">IFERROR(__xludf.DUMMYFUNCTION("GOOGLEFINANCE(""NSE:""&amp;D4667,""price"")"),"#N/A")</f>
        <v>#N/A</v>
      </c>
      <c r="M4667" s="9" t="e">
        <f t="shared" ca="1" si="92"/>
        <v>#VALUE!</v>
      </c>
      <c r="N4667" s="10" t="e">
        <f t="shared" ca="1" si="93"/>
        <v>#VALUE!</v>
      </c>
      <c r="O4667" s="7" t="str">
        <f ca="1">IFERROR(__xludf.DUMMYFUNCTION("GOOGLEFINANCE(""NSE:""&amp;D4667,""pe"")"),"#N/A")</f>
        <v>#N/A</v>
      </c>
      <c r="P4667" s="7" t="str">
        <f ca="1">IFERROR(__xludf.DUMMYFUNCTION("GOOGLEFINANCE(""NSE:""&amp;D4667,""EPS"")"),"#N/A")</f>
        <v>#N/A</v>
      </c>
      <c r="Q4667" s="7">
        <v>13.5</v>
      </c>
      <c r="R4667" s="7" t="str">
        <f ca="1">IFERROR(__xludf.DUMMYFUNCTION("IMPORTXML(E4667,""/html/body/main/div[3]/div[3]/div[2]/ul/li[7]/span[2]/span"")"),"Loading...")</f>
        <v>Loading...</v>
      </c>
      <c r="S4667" s="7" t="str">
        <f ca="1">IFERROR(__xludf.DUMMYFUNCTION("IMPORTXML(E4667,""/html/body/main/div[3]/div[3]/div[2]/ul/li[8]/span[2]/span"")"),"Loading...")</f>
        <v>Loading...</v>
      </c>
      <c r="T4667" s="4">
        <v>34.6</v>
      </c>
      <c r="U4667" s="4">
        <v>22.7</v>
      </c>
      <c r="V4667" s="4">
        <v>2.6</v>
      </c>
      <c r="W4667" s="4">
        <v>5.7</v>
      </c>
      <c r="X4667" s="4">
        <v>519.92999999999995</v>
      </c>
      <c r="Y4667" s="7" t="e">
        <f t="shared" ca="1" si="94"/>
        <v>#VALUE!</v>
      </c>
    </row>
    <row r="4668" spans="1:25" ht="15" x14ac:dyDescent="0.25">
      <c r="A4668" s="4">
        <v>4667</v>
      </c>
      <c r="C4668" s="41" t="s">
        <v>7045</v>
      </c>
      <c r="D4668" s="42"/>
      <c r="E4668" s="5" t="str">
        <f t="shared" si="90"/>
        <v>https://www.screener.in/company//consolidated/</v>
      </c>
      <c r="F4668" s="4">
        <v>443059</v>
      </c>
      <c r="G4668" s="4">
        <v>3832241897</v>
      </c>
      <c r="H4668" s="6" t="e">
        <f t="shared" ca="1" si="91"/>
        <v>#VALUE!</v>
      </c>
      <c r="I4668" s="7" t="str">
        <f ca="1">IFERROR(__xludf.DUMMYFUNCTION("IMPORTXML(E4668,""/html/body/main/div[3]/div[3]/div[2]/ul/li[5]/span[2]/span"")"),"Loading...")</f>
        <v>Loading...</v>
      </c>
      <c r="J4668" s="7" t="str">
        <f ca="1">IFERROR(__xludf.DUMMYFUNCTION("GOOGLEFINANCE(""NSE:""&amp;D4668,""marketcap"")"),"#N/A")</f>
        <v>#N/A</v>
      </c>
      <c r="K4668" s="7">
        <v>992.8</v>
      </c>
      <c r="L4668" s="8" t="str">
        <f ca="1">IFERROR(__xludf.DUMMYFUNCTION("GOOGLEFINANCE(""NSE:""&amp;D4668,""price"")"),"#N/A")</f>
        <v>#N/A</v>
      </c>
      <c r="M4668" s="9" t="e">
        <f t="shared" ca="1" si="92"/>
        <v>#VALUE!</v>
      </c>
      <c r="N4668" s="10" t="e">
        <f t="shared" ca="1" si="93"/>
        <v>#VALUE!</v>
      </c>
      <c r="O4668" s="7" t="str">
        <f ca="1">IFERROR(__xludf.DUMMYFUNCTION("GOOGLEFINANCE(""NSE:""&amp;D4668,""pe"")"),"#N/A")</f>
        <v>#N/A</v>
      </c>
      <c r="P4668" s="7" t="str">
        <f ca="1">IFERROR(__xludf.DUMMYFUNCTION("GOOGLEFINANCE(""NSE:""&amp;D4668,""EPS"")"),"#N/A")</f>
        <v>#N/A</v>
      </c>
      <c r="Q4668" s="7">
        <v>13.5</v>
      </c>
      <c r="R4668" s="7" t="str">
        <f ca="1">IFERROR(__xludf.DUMMYFUNCTION("IMPORTXML(E4668,""/html/body/main/div[3]/div[3]/div[2]/ul/li[7]/span[2]/span"")"),"Loading...")</f>
        <v>Loading...</v>
      </c>
      <c r="S4668" s="7" t="str">
        <f ca="1">IFERROR(__xludf.DUMMYFUNCTION("IMPORTXML(E4668,""/html/body/main/div[3]/div[3]/div[2]/ul/li[8]/span[2]/span"")"),"Loading...")</f>
        <v>Loading...</v>
      </c>
      <c r="T4668" s="4">
        <v>34.6</v>
      </c>
      <c r="U4668" s="4">
        <v>22.7</v>
      </c>
      <c r="V4668" s="4">
        <v>2.6</v>
      </c>
      <c r="W4668" s="4">
        <v>5.7</v>
      </c>
      <c r="X4668" s="4">
        <v>519.92999999999995</v>
      </c>
      <c r="Y4668" s="7" t="e">
        <f t="shared" ca="1" si="94"/>
        <v>#VALUE!</v>
      </c>
    </row>
    <row r="4669" spans="1:25" ht="15" x14ac:dyDescent="0.25">
      <c r="A4669" s="4">
        <v>4668</v>
      </c>
      <c r="C4669" s="41" t="s">
        <v>7046</v>
      </c>
      <c r="D4669" s="42"/>
      <c r="E4669" s="5" t="str">
        <f t="shared" si="90"/>
        <v>https://www.screener.in/company//consolidated/</v>
      </c>
      <c r="F4669" s="4">
        <v>443059</v>
      </c>
      <c r="G4669" s="4">
        <v>3832241897</v>
      </c>
      <c r="H4669" s="6" t="e">
        <f t="shared" ca="1" si="91"/>
        <v>#VALUE!</v>
      </c>
      <c r="I4669" s="7" t="str">
        <f ca="1">IFERROR(__xludf.DUMMYFUNCTION("IMPORTXML(E4669,""/html/body/main/div[3]/div[3]/div[2]/ul/li[5]/span[2]/span"")"),"Loading...")</f>
        <v>Loading...</v>
      </c>
      <c r="J4669" s="7" t="str">
        <f ca="1">IFERROR(__xludf.DUMMYFUNCTION("GOOGLEFINANCE(""NSE:""&amp;D4669,""marketcap"")"),"#N/A")</f>
        <v>#N/A</v>
      </c>
      <c r="K4669" s="7">
        <v>992.8</v>
      </c>
      <c r="L4669" s="8" t="str">
        <f ca="1">IFERROR(__xludf.DUMMYFUNCTION("GOOGLEFINANCE(""NSE:""&amp;D4669,""price"")"),"#N/A")</f>
        <v>#N/A</v>
      </c>
      <c r="M4669" s="9" t="e">
        <f t="shared" ca="1" si="92"/>
        <v>#VALUE!</v>
      </c>
      <c r="N4669" s="10" t="e">
        <f t="shared" ca="1" si="93"/>
        <v>#VALUE!</v>
      </c>
      <c r="O4669" s="7" t="str">
        <f ca="1">IFERROR(__xludf.DUMMYFUNCTION("GOOGLEFINANCE(""NSE:""&amp;D4669,""pe"")"),"#N/A")</f>
        <v>#N/A</v>
      </c>
      <c r="P4669" s="7" t="str">
        <f ca="1">IFERROR(__xludf.DUMMYFUNCTION("GOOGLEFINANCE(""NSE:""&amp;D4669,""EPS"")"),"#N/A")</f>
        <v>#N/A</v>
      </c>
      <c r="Q4669" s="7">
        <v>13.5</v>
      </c>
      <c r="R4669" s="7" t="str">
        <f ca="1">IFERROR(__xludf.DUMMYFUNCTION("IMPORTXML(E4669,""/html/body/main/div[3]/div[3]/div[2]/ul/li[7]/span[2]/span"")"),"Loading...")</f>
        <v>Loading...</v>
      </c>
      <c r="S4669" s="7" t="str">
        <f ca="1">IFERROR(__xludf.DUMMYFUNCTION("IMPORTXML(E4669,""/html/body/main/div[3]/div[3]/div[2]/ul/li[8]/span[2]/span"")"),"Loading...")</f>
        <v>Loading...</v>
      </c>
      <c r="T4669" s="4">
        <v>34.6</v>
      </c>
      <c r="U4669" s="4">
        <v>22.7</v>
      </c>
      <c r="V4669" s="4">
        <v>2.6</v>
      </c>
      <c r="W4669" s="4">
        <v>5.7</v>
      </c>
      <c r="X4669" s="4">
        <v>519.92999999999995</v>
      </c>
      <c r="Y4669" s="7" t="e">
        <f t="shared" ca="1" si="94"/>
        <v>#VALUE!</v>
      </c>
    </row>
    <row r="4670" spans="1:25" ht="15" x14ac:dyDescent="0.25">
      <c r="A4670" s="4">
        <v>4669</v>
      </c>
      <c r="C4670" s="41" t="s">
        <v>7047</v>
      </c>
      <c r="D4670" s="42"/>
      <c r="E4670" s="5" t="str">
        <f t="shared" si="90"/>
        <v>https://www.screener.in/company//consolidated/</v>
      </c>
      <c r="F4670" s="4">
        <v>443059</v>
      </c>
      <c r="G4670" s="4">
        <v>3832241897</v>
      </c>
      <c r="H4670" s="6" t="e">
        <f t="shared" ca="1" si="91"/>
        <v>#VALUE!</v>
      </c>
      <c r="I4670" s="7" t="str">
        <f ca="1">IFERROR(__xludf.DUMMYFUNCTION("IMPORTXML(E4670,""/html/body/main/div[3]/div[3]/div[2]/ul/li[5]/span[2]/span"")"),"Loading...")</f>
        <v>Loading...</v>
      </c>
      <c r="J4670" s="7" t="str">
        <f ca="1">IFERROR(__xludf.DUMMYFUNCTION("GOOGLEFINANCE(""NSE:""&amp;D4670,""marketcap"")"),"#N/A")</f>
        <v>#N/A</v>
      </c>
      <c r="K4670" s="7">
        <v>992.8</v>
      </c>
      <c r="L4670" s="8" t="str">
        <f ca="1">IFERROR(__xludf.DUMMYFUNCTION("GOOGLEFINANCE(""NSE:""&amp;D4670,""price"")"),"#N/A")</f>
        <v>#N/A</v>
      </c>
      <c r="M4670" s="9" t="e">
        <f t="shared" ca="1" si="92"/>
        <v>#VALUE!</v>
      </c>
      <c r="N4670" s="10" t="e">
        <f t="shared" ca="1" si="93"/>
        <v>#VALUE!</v>
      </c>
      <c r="O4670" s="7" t="str">
        <f ca="1">IFERROR(__xludf.DUMMYFUNCTION("GOOGLEFINANCE(""NSE:""&amp;D4670,""pe"")"),"#N/A")</f>
        <v>#N/A</v>
      </c>
      <c r="P4670" s="7" t="str">
        <f ca="1">IFERROR(__xludf.DUMMYFUNCTION("GOOGLEFINANCE(""NSE:""&amp;D4670,""EPS"")"),"#N/A")</f>
        <v>#N/A</v>
      </c>
      <c r="Q4670" s="7">
        <v>13.5</v>
      </c>
      <c r="R4670" s="7" t="str">
        <f ca="1">IFERROR(__xludf.DUMMYFUNCTION("IMPORTXML(E4670,""/html/body/main/div[3]/div[3]/div[2]/ul/li[7]/span[2]/span"")"),"Loading...")</f>
        <v>Loading...</v>
      </c>
      <c r="S4670" s="7" t="str">
        <f ca="1">IFERROR(__xludf.DUMMYFUNCTION("IMPORTXML(E4670,""/html/body/main/div[3]/div[3]/div[2]/ul/li[8]/span[2]/span"")"),"Loading...")</f>
        <v>Loading...</v>
      </c>
      <c r="T4670" s="4">
        <v>34.6</v>
      </c>
      <c r="U4670" s="4">
        <v>22.7</v>
      </c>
      <c r="V4670" s="4">
        <v>2.6</v>
      </c>
      <c r="W4670" s="4">
        <v>5.7</v>
      </c>
      <c r="X4670" s="4">
        <v>519.92999999999995</v>
      </c>
      <c r="Y4670" s="7" t="e">
        <f t="shared" ca="1" si="94"/>
        <v>#VALUE!</v>
      </c>
    </row>
    <row r="4671" spans="1:25" ht="15" x14ac:dyDescent="0.25">
      <c r="A4671" s="4">
        <v>4670</v>
      </c>
      <c r="C4671" s="41" t="s">
        <v>7048</v>
      </c>
      <c r="D4671" s="42"/>
      <c r="E4671" s="5" t="str">
        <f t="shared" si="90"/>
        <v>https://www.screener.in/company//consolidated/</v>
      </c>
      <c r="F4671" s="4">
        <v>443059</v>
      </c>
      <c r="G4671" s="4">
        <v>3832241897</v>
      </c>
      <c r="H4671" s="6" t="e">
        <f t="shared" ca="1" si="91"/>
        <v>#VALUE!</v>
      </c>
      <c r="I4671" s="7" t="str">
        <f ca="1">IFERROR(__xludf.DUMMYFUNCTION("IMPORTXML(E4671,""/html/body/main/div[3]/div[3]/div[2]/ul/li[5]/span[2]/span"")"),"Loading...")</f>
        <v>Loading...</v>
      </c>
      <c r="J4671" s="7" t="str">
        <f ca="1">IFERROR(__xludf.DUMMYFUNCTION("GOOGLEFINANCE(""NSE:""&amp;D4671,""marketcap"")"),"#N/A")</f>
        <v>#N/A</v>
      </c>
      <c r="K4671" s="7">
        <v>992.8</v>
      </c>
      <c r="L4671" s="8" t="str">
        <f ca="1">IFERROR(__xludf.DUMMYFUNCTION("GOOGLEFINANCE(""NSE:""&amp;D4671,""price"")"),"#N/A")</f>
        <v>#N/A</v>
      </c>
      <c r="M4671" s="9" t="e">
        <f t="shared" ca="1" si="92"/>
        <v>#VALUE!</v>
      </c>
      <c r="N4671" s="10" t="e">
        <f t="shared" ca="1" si="93"/>
        <v>#VALUE!</v>
      </c>
      <c r="O4671" s="7" t="str">
        <f ca="1">IFERROR(__xludf.DUMMYFUNCTION("GOOGLEFINANCE(""NSE:""&amp;D4671,""pe"")"),"#N/A")</f>
        <v>#N/A</v>
      </c>
      <c r="P4671" s="7" t="str">
        <f ca="1">IFERROR(__xludf.DUMMYFUNCTION("GOOGLEFINANCE(""NSE:""&amp;D4671,""EPS"")"),"#N/A")</f>
        <v>#N/A</v>
      </c>
      <c r="Q4671" s="7">
        <v>13.5</v>
      </c>
      <c r="R4671" s="7" t="str">
        <f ca="1">IFERROR(__xludf.DUMMYFUNCTION("IMPORTXML(E4671,""/html/body/main/div[3]/div[3]/div[2]/ul/li[7]/span[2]/span"")"),"Loading...")</f>
        <v>Loading...</v>
      </c>
      <c r="S4671" s="7" t="str">
        <f ca="1">IFERROR(__xludf.DUMMYFUNCTION("IMPORTXML(E4671,""/html/body/main/div[3]/div[3]/div[2]/ul/li[8]/span[2]/span"")"),"Loading...")</f>
        <v>Loading...</v>
      </c>
      <c r="T4671" s="4">
        <v>34.6</v>
      </c>
      <c r="U4671" s="4">
        <v>22.7</v>
      </c>
      <c r="V4671" s="4">
        <v>2.6</v>
      </c>
      <c r="W4671" s="4">
        <v>5.7</v>
      </c>
      <c r="X4671" s="4">
        <v>519.92999999999995</v>
      </c>
      <c r="Y4671" s="7" t="e">
        <f t="shared" ca="1" si="94"/>
        <v>#VALUE!</v>
      </c>
    </row>
    <row r="4672" spans="1:25" ht="15" x14ac:dyDescent="0.25">
      <c r="A4672" s="4">
        <v>4671</v>
      </c>
      <c r="C4672" s="41" t="s">
        <v>7049</v>
      </c>
      <c r="D4672" s="42"/>
      <c r="E4672" s="5" t="str">
        <f t="shared" si="90"/>
        <v>https://www.screener.in/company//consolidated/</v>
      </c>
      <c r="F4672" s="4">
        <v>443059</v>
      </c>
      <c r="G4672" s="4">
        <v>3832241897</v>
      </c>
      <c r="H4672" s="6" t="e">
        <f t="shared" ca="1" si="91"/>
        <v>#VALUE!</v>
      </c>
      <c r="I4672" s="7" t="str">
        <f ca="1">IFERROR(__xludf.DUMMYFUNCTION("IMPORTXML(E4672,""/html/body/main/div[3]/div[3]/div[2]/ul/li[5]/span[2]/span"")"),"Loading...")</f>
        <v>Loading...</v>
      </c>
      <c r="J4672" s="7" t="str">
        <f ca="1">IFERROR(__xludf.DUMMYFUNCTION("GOOGLEFINANCE(""NSE:""&amp;D4672,""marketcap"")"),"#N/A")</f>
        <v>#N/A</v>
      </c>
      <c r="K4672" s="7">
        <v>992.8</v>
      </c>
      <c r="L4672" s="8" t="str">
        <f ca="1">IFERROR(__xludf.DUMMYFUNCTION("GOOGLEFINANCE(""NSE:""&amp;D4672,""price"")"),"#N/A")</f>
        <v>#N/A</v>
      </c>
      <c r="M4672" s="9" t="e">
        <f t="shared" ca="1" si="92"/>
        <v>#VALUE!</v>
      </c>
      <c r="N4672" s="10" t="e">
        <f t="shared" ca="1" si="93"/>
        <v>#VALUE!</v>
      </c>
      <c r="O4672" s="7" t="str">
        <f ca="1">IFERROR(__xludf.DUMMYFUNCTION("GOOGLEFINANCE(""NSE:""&amp;D4672,""pe"")"),"#N/A")</f>
        <v>#N/A</v>
      </c>
      <c r="P4672" s="7" t="str">
        <f ca="1">IFERROR(__xludf.DUMMYFUNCTION("GOOGLEFINANCE(""NSE:""&amp;D4672,""EPS"")"),"#N/A")</f>
        <v>#N/A</v>
      </c>
      <c r="Q4672" s="7">
        <v>13.5</v>
      </c>
      <c r="R4672" s="7" t="str">
        <f ca="1">IFERROR(__xludf.DUMMYFUNCTION("IMPORTXML(E4672,""/html/body/main/div[3]/div[3]/div[2]/ul/li[7]/span[2]/span"")"),"Loading...")</f>
        <v>Loading...</v>
      </c>
      <c r="S4672" s="7" t="str">
        <f ca="1">IFERROR(__xludf.DUMMYFUNCTION("IMPORTXML(E4672,""/html/body/main/div[3]/div[3]/div[2]/ul/li[8]/span[2]/span"")"),"Loading...")</f>
        <v>Loading...</v>
      </c>
      <c r="T4672" s="4">
        <v>34.6</v>
      </c>
      <c r="U4672" s="4">
        <v>22.7</v>
      </c>
      <c r="V4672" s="4">
        <v>2.6</v>
      </c>
      <c r="W4672" s="4">
        <v>5.7</v>
      </c>
      <c r="X4672" s="4">
        <v>519.92999999999995</v>
      </c>
      <c r="Y4672" s="7" t="e">
        <f t="shared" ca="1" si="94"/>
        <v>#VALUE!</v>
      </c>
    </row>
    <row r="4673" spans="1:25" ht="15" x14ac:dyDescent="0.25">
      <c r="A4673" s="4">
        <v>4672</v>
      </c>
      <c r="C4673" s="41" t="s">
        <v>7050</v>
      </c>
      <c r="D4673" s="42"/>
      <c r="E4673" s="5" t="str">
        <f t="shared" si="90"/>
        <v>https://www.screener.in/company//consolidated/</v>
      </c>
      <c r="F4673" s="4">
        <v>443059</v>
      </c>
      <c r="G4673" s="4">
        <v>3832241897</v>
      </c>
      <c r="H4673" s="6" t="e">
        <f t="shared" ca="1" si="91"/>
        <v>#VALUE!</v>
      </c>
      <c r="I4673" s="7" t="str">
        <f ca="1">IFERROR(__xludf.DUMMYFUNCTION("IMPORTXML(E4673,""/html/body/main/div[3]/div[3]/div[2]/ul/li[5]/span[2]/span"")"),"Loading...")</f>
        <v>Loading...</v>
      </c>
      <c r="J4673" s="7" t="str">
        <f ca="1">IFERROR(__xludf.DUMMYFUNCTION("GOOGLEFINANCE(""NSE:""&amp;D4673,""marketcap"")"),"#N/A")</f>
        <v>#N/A</v>
      </c>
      <c r="K4673" s="7">
        <v>992.8</v>
      </c>
      <c r="L4673" s="8" t="str">
        <f ca="1">IFERROR(__xludf.DUMMYFUNCTION("GOOGLEFINANCE(""NSE:""&amp;D4673,""price"")"),"#N/A")</f>
        <v>#N/A</v>
      </c>
      <c r="M4673" s="9" t="e">
        <f t="shared" ca="1" si="92"/>
        <v>#VALUE!</v>
      </c>
      <c r="N4673" s="10" t="e">
        <f t="shared" ca="1" si="93"/>
        <v>#VALUE!</v>
      </c>
      <c r="O4673" s="7" t="str">
        <f ca="1">IFERROR(__xludf.DUMMYFUNCTION("GOOGLEFINANCE(""NSE:""&amp;D4673,""pe"")"),"#N/A")</f>
        <v>#N/A</v>
      </c>
      <c r="P4673" s="7" t="str">
        <f ca="1">IFERROR(__xludf.DUMMYFUNCTION("GOOGLEFINANCE(""NSE:""&amp;D4673,""EPS"")"),"#N/A")</f>
        <v>#N/A</v>
      </c>
      <c r="Q4673" s="7">
        <v>13.5</v>
      </c>
      <c r="R4673" s="7" t="str">
        <f ca="1">IFERROR(__xludf.DUMMYFUNCTION("IMPORTXML(E4673,""/html/body/main/div[3]/div[3]/div[2]/ul/li[7]/span[2]/span"")"),"Loading...")</f>
        <v>Loading...</v>
      </c>
      <c r="S4673" s="7" t="str">
        <f ca="1">IFERROR(__xludf.DUMMYFUNCTION("IMPORTXML(E4673,""/html/body/main/div[3]/div[3]/div[2]/ul/li[8]/span[2]/span"")"),"Loading...")</f>
        <v>Loading...</v>
      </c>
      <c r="T4673" s="4">
        <v>34.6</v>
      </c>
      <c r="U4673" s="4">
        <v>22.7</v>
      </c>
      <c r="V4673" s="4">
        <v>2.6</v>
      </c>
      <c r="W4673" s="4">
        <v>5.7</v>
      </c>
      <c r="X4673" s="4">
        <v>519.92999999999995</v>
      </c>
      <c r="Y4673" s="7" t="e">
        <f t="shared" ca="1" si="94"/>
        <v>#VALUE!</v>
      </c>
    </row>
    <row r="4674" spans="1:25" ht="15" x14ac:dyDescent="0.25">
      <c r="A4674" s="4">
        <v>4673</v>
      </c>
      <c r="C4674" s="41" t="s">
        <v>7051</v>
      </c>
      <c r="D4674" s="42"/>
      <c r="E4674" s="5" t="str">
        <f t="shared" si="90"/>
        <v>https://www.screener.in/company//consolidated/</v>
      </c>
      <c r="F4674" s="4">
        <v>443059</v>
      </c>
      <c r="G4674" s="4">
        <v>3832241897</v>
      </c>
      <c r="H4674" s="6" t="e">
        <f t="shared" ca="1" si="91"/>
        <v>#VALUE!</v>
      </c>
      <c r="I4674" s="7" t="str">
        <f ca="1">IFERROR(__xludf.DUMMYFUNCTION("IMPORTXML(E4674,""/html/body/main/div[3]/div[3]/div[2]/ul/li[5]/span[2]/span"")"),"Loading...")</f>
        <v>Loading...</v>
      </c>
      <c r="J4674" s="7" t="str">
        <f ca="1">IFERROR(__xludf.DUMMYFUNCTION("GOOGLEFINANCE(""NSE:""&amp;D4674,""marketcap"")"),"#N/A")</f>
        <v>#N/A</v>
      </c>
      <c r="K4674" s="7">
        <v>992.8</v>
      </c>
      <c r="L4674" s="8" t="str">
        <f ca="1">IFERROR(__xludf.DUMMYFUNCTION("GOOGLEFINANCE(""NSE:""&amp;D4674,""price"")"),"#N/A")</f>
        <v>#N/A</v>
      </c>
      <c r="M4674" s="9" t="e">
        <f t="shared" ca="1" si="92"/>
        <v>#VALUE!</v>
      </c>
      <c r="N4674" s="10" t="e">
        <f t="shared" ca="1" si="93"/>
        <v>#VALUE!</v>
      </c>
      <c r="O4674" s="7" t="str">
        <f ca="1">IFERROR(__xludf.DUMMYFUNCTION("GOOGLEFINANCE(""NSE:""&amp;D4674,""pe"")"),"#N/A")</f>
        <v>#N/A</v>
      </c>
      <c r="P4674" s="7" t="str">
        <f ca="1">IFERROR(__xludf.DUMMYFUNCTION("GOOGLEFINANCE(""NSE:""&amp;D4674,""EPS"")"),"#N/A")</f>
        <v>#N/A</v>
      </c>
      <c r="Q4674" s="7">
        <v>13.5</v>
      </c>
      <c r="R4674" s="7" t="str">
        <f ca="1">IFERROR(__xludf.DUMMYFUNCTION("IMPORTXML(E4674,""/html/body/main/div[3]/div[3]/div[2]/ul/li[7]/span[2]/span"")"),"Loading...")</f>
        <v>Loading...</v>
      </c>
      <c r="S4674" s="7" t="str">
        <f ca="1">IFERROR(__xludf.DUMMYFUNCTION("IMPORTXML(E4674,""/html/body/main/div[3]/div[3]/div[2]/ul/li[8]/span[2]/span"")"),"Loading...")</f>
        <v>Loading...</v>
      </c>
      <c r="T4674" s="4">
        <v>34.6</v>
      </c>
      <c r="U4674" s="4">
        <v>22.7</v>
      </c>
      <c r="V4674" s="4">
        <v>2.6</v>
      </c>
      <c r="W4674" s="4">
        <v>5.7</v>
      </c>
      <c r="X4674" s="4">
        <v>519.92999999999995</v>
      </c>
      <c r="Y4674" s="7" t="e">
        <f t="shared" ca="1" si="94"/>
        <v>#VALUE!</v>
      </c>
    </row>
    <row r="4675" spans="1:25" ht="15" x14ac:dyDescent="0.25">
      <c r="A4675" s="4">
        <v>4674</v>
      </c>
      <c r="C4675" s="41" t="s">
        <v>7052</v>
      </c>
      <c r="D4675" s="42"/>
      <c r="E4675" s="5" t="str">
        <f t="shared" si="90"/>
        <v>https://www.screener.in/company//consolidated/</v>
      </c>
      <c r="F4675" s="4">
        <v>443059</v>
      </c>
      <c r="G4675" s="4">
        <v>3832241897</v>
      </c>
      <c r="H4675" s="6" t="e">
        <f t="shared" ca="1" si="91"/>
        <v>#VALUE!</v>
      </c>
      <c r="I4675" s="7" t="str">
        <f ca="1">IFERROR(__xludf.DUMMYFUNCTION("IMPORTXML(E4675,""/html/body/main/div[3]/div[3]/div[2]/ul/li[5]/span[2]/span"")"),"Loading...")</f>
        <v>Loading...</v>
      </c>
      <c r="J4675" s="7" t="str">
        <f ca="1">IFERROR(__xludf.DUMMYFUNCTION("GOOGLEFINANCE(""NSE:""&amp;D4675,""marketcap"")"),"#N/A")</f>
        <v>#N/A</v>
      </c>
      <c r="K4675" s="7">
        <v>992.8</v>
      </c>
      <c r="L4675" s="8" t="str">
        <f ca="1">IFERROR(__xludf.DUMMYFUNCTION("GOOGLEFINANCE(""NSE:""&amp;D4675,""price"")"),"#N/A")</f>
        <v>#N/A</v>
      </c>
      <c r="M4675" s="9" t="e">
        <f t="shared" ca="1" si="92"/>
        <v>#VALUE!</v>
      </c>
      <c r="N4675" s="10" t="e">
        <f t="shared" ca="1" si="93"/>
        <v>#VALUE!</v>
      </c>
      <c r="O4675" s="7" t="str">
        <f ca="1">IFERROR(__xludf.DUMMYFUNCTION("GOOGLEFINANCE(""NSE:""&amp;D4675,""pe"")"),"#N/A")</f>
        <v>#N/A</v>
      </c>
      <c r="P4675" s="7" t="str">
        <f ca="1">IFERROR(__xludf.DUMMYFUNCTION("GOOGLEFINANCE(""NSE:""&amp;D4675,""EPS"")"),"#N/A")</f>
        <v>#N/A</v>
      </c>
      <c r="Q4675" s="7">
        <v>13.5</v>
      </c>
      <c r="R4675" s="7" t="str">
        <f ca="1">IFERROR(__xludf.DUMMYFUNCTION("IMPORTXML(E4675,""/html/body/main/div[3]/div[3]/div[2]/ul/li[7]/span[2]/span"")"),"Loading...")</f>
        <v>Loading...</v>
      </c>
      <c r="S4675" s="7" t="str">
        <f ca="1">IFERROR(__xludf.DUMMYFUNCTION("IMPORTXML(E4675,""/html/body/main/div[3]/div[3]/div[2]/ul/li[8]/span[2]/span"")"),"Loading...")</f>
        <v>Loading...</v>
      </c>
      <c r="T4675" s="4">
        <v>34.6</v>
      </c>
      <c r="U4675" s="4">
        <v>22.7</v>
      </c>
      <c r="V4675" s="4">
        <v>2.6</v>
      </c>
      <c r="W4675" s="4">
        <v>5.7</v>
      </c>
      <c r="X4675" s="4">
        <v>519.92999999999995</v>
      </c>
      <c r="Y4675" s="7" t="e">
        <f t="shared" ca="1" si="94"/>
        <v>#VALUE!</v>
      </c>
    </row>
    <row r="4676" spans="1:25" ht="15" x14ac:dyDescent="0.25">
      <c r="A4676" s="4">
        <v>4675</v>
      </c>
      <c r="C4676" s="12" t="s">
        <v>7053</v>
      </c>
      <c r="D4676" s="37"/>
      <c r="E4676" s="5" t="str">
        <f t="shared" si="90"/>
        <v>https://www.screener.in/company//consolidated/</v>
      </c>
      <c r="F4676" s="4">
        <v>443059</v>
      </c>
      <c r="G4676" s="4">
        <v>3832241897</v>
      </c>
      <c r="H4676" s="6" t="e">
        <f t="shared" ca="1" si="91"/>
        <v>#VALUE!</v>
      </c>
      <c r="I4676" s="7" t="str">
        <f ca="1">IFERROR(__xludf.DUMMYFUNCTION("IMPORTXML(E4676,""/html/body/main/div[3]/div[3]/div[2]/ul/li[5]/span[2]/span"")"),"Loading...")</f>
        <v>Loading...</v>
      </c>
      <c r="J4676" s="7" t="str">
        <f ca="1">IFERROR(__xludf.DUMMYFUNCTION("GOOGLEFINANCE(""NSE:""&amp;D4676,""marketcap"")"),"#N/A")</f>
        <v>#N/A</v>
      </c>
      <c r="K4676" s="7">
        <v>992.8</v>
      </c>
      <c r="L4676" s="8" t="str">
        <f ca="1">IFERROR(__xludf.DUMMYFUNCTION("GOOGLEFINANCE(""NSE:""&amp;D4676,""price"")"),"#N/A")</f>
        <v>#N/A</v>
      </c>
      <c r="M4676" s="9" t="e">
        <f t="shared" ca="1" si="92"/>
        <v>#VALUE!</v>
      </c>
      <c r="N4676" s="10" t="e">
        <f t="shared" ca="1" si="93"/>
        <v>#VALUE!</v>
      </c>
      <c r="O4676" s="7" t="str">
        <f ca="1">IFERROR(__xludf.DUMMYFUNCTION("GOOGLEFINANCE(""NSE:""&amp;D4676,""pe"")"),"#N/A")</f>
        <v>#N/A</v>
      </c>
      <c r="P4676" s="7" t="str">
        <f ca="1">IFERROR(__xludf.DUMMYFUNCTION("GOOGLEFINANCE(""NSE:""&amp;D4676,""EPS"")"),"#N/A")</f>
        <v>#N/A</v>
      </c>
      <c r="Q4676" s="7">
        <v>13.5</v>
      </c>
      <c r="R4676" s="7" t="str">
        <f ca="1">IFERROR(__xludf.DUMMYFUNCTION("IMPORTXML(E4676,""/html/body/main/div[3]/div[3]/div[2]/ul/li[7]/span[2]/span"")"),"Loading...")</f>
        <v>Loading...</v>
      </c>
      <c r="S4676" s="7" t="str">
        <f ca="1">IFERROR(__xludf.DUMMYFUNCTION("IMPORTXML(E4676,""/html/body/main/div[3]/div[3]/div[2]/ul/li[8]/span[2]/span"")"),"Loading...")</f>
        <v>Loading...</v>
      </c>
      <c r="T4676" s="4">
        <v>34.6</v>
      </c>
      <c r="U4676" s="4">
        <v>22.7</v>
      </c>
      <c r="V4676" s="4">
        <v>2.6</v>
      </c>
      <c r="W4676" s="4">
        <v>5.7</v>
      </c>
      <c r="X4676" s="4">
        <v>519.92999999999995</v>
      </c>
      <c r="Y4676" s="7" t="e">
        <f t="shared" ca="1" si="94"/>
        <v>#VALUE!</v>
      </c>
    </row>
    <row r="4677" spans="1:25" ht="15" x14ac:dyDescent="0.25">
      <c r="A4677" s="4">
        <v>4676</v>
      </c>
      <c r="C4677" s="41" t="s">
        <v>7054</v>
      </c>
      <c r="D4677" s="42"/>
      <c r="E4677" s="5" t="str">
        <f t="shared" si="90"/>
        <v>https://www.screener.in/company//consolidated/</v>
      </c>
      <c r="F4677" s="4">
        <v>443059</v>
      </c>
      <c r="G4677" s="4">
        <v>3832241897</v>
      </c>
      <c r="H4677" s="6" t="e">
        <f t="shared" ca="1" si="91"/>
        <v>#VALUE!</v>
      </c>
      <c r="I4677" s="7" t="str">
        <f ca="1">IFERROR(__xludf.DUMMYFUNCTION("IMPORTXML(E4677,""/html/body/main/div[3]/div[3]/div[2]/ul/li[5]/span[2]/span"")"),"Loading...")</f>
        <v>Loading...</v>
      </c>
      <c r="J4677" s="7" t="str">
        <f ca="1">IFERROR(__xludf.DUMMYFUNCTION("GOOGLEFINANCE(""NSE:""&amp;D4677,""marketcap"")"),"#N/A")</f>
        <v>#N/A</v>
      </c>
      <c r="K4677" s="7">
        <v>992.8</v>
      </c>
      <c r="L4677" s="8" t="str">
        <f ca="1">IFERROR(__xludf.DUMMYFUNCTION("GOOGLEFINANCE(""NSE:""&amp;D4677,""price"")"),"#N/A")</f>
        <v>#N/A</v>
      </c>
      <c r="M4677" s="9" t="e">
        <f t="shared" ca="1" si="92"/>
        <v>#VALUE!</v>
      </c>
      <c r="N4677" s="10" t="e">
        <f t="shared" ca="1" si="93"/>
        <v>#VALUE!</v>
      </c>
      <c r="O4677" s="7" t="str">
        <f ca="1">IFERROR(__xludf.DUMMYFUNCTION("GOOGLEFINANCE(""NSE:""&amp;D4677,""pe"")"),"#N/A")</f>
        <v>#N/A</v>
      </c>
      <c r="P4677" s="7" t="str">
        <f ca="1">IFERROR(__xludf.DUMMYFUNCTION("GOOGLEFINANCE(""NSE:""&amp;D4677,""EPS"")"),"#N/A")</f>
        <v>#N/A</v>
      </c>
      <c r="Q4677" s="7">
        <v>13.5</v>
      </c>
      <c r="R4677" s="7" t="str">
        <f ca="1">IFERROR(__xludf.DUMMYFUNCTION("IMPORTXML(E4677,""/html/body/main/div[3]/div[3]/div[2]/ul/li[7]/span[2]/span"")"),"Loading...")</f>
        <v>Loading...</v>
      </c>
      <c r="S4677" s="7" t="str">
        <f ca="1">IFERROR(__xludf.DUMMYFUNCTION("IMPORTXML(E4677,""/html/body/main/div[3]/div[3]/div[2]/ul/li[8]/span[2]/span"")"),"Loading...")</f>
        <v>Loading...</v>
      </c>
      <c r="T4677" s="4">
        <v>34.6</v>
      </c>
      <c r="U4677" s="4">
        <v>22.7</v>
      </c>
      <c r="V4677" s="4">
        <v>2.6</v>
      </c>
      <c r="W4677" s="4">
        <v>5.7</v>
      </c>
      <c r="X4677" s="4">
        <v>519.92999999999995</v>
      </c>
      <c r="Y4677" s="7" t="e">
        <f t="shared" ca="1" si="94"/>
        <v>#VALUE!</v>
      </c>
    </row>
    <row r="4678" spans="1:25" ht="15" x14ac:dyDescent="0.25">
      <c r="A4678" s="4">
        <v>4677</v>
      </c>
      <c r="C4678" s="41" t="s">
        <v>7055</v>
      </c>
      <c r="D4678" s="42"/>
      <c r="E4678" s="5" t="str">
        <f t="shared" si="90"/>
        <v>https://www.screener.in/company//consolidated/</v>
      </c>
      <c r="F4678" s="4">
        <v>443059</v>
      </c>
      <c r="G4678" s="4">
        <v>3832241897</v>
      </c>
      <c r="H4678" s="6" t="e">
        <f t="shared" ca="1" si="91"/>
        <v>#VALUE!</v>
      </c>
      <c r="I4678" s="7" t="str">
        <f ca="1">IFERROR(__xludf.DUMMYFUNCTION("IMPORTXML(E4678,""/html/body/main/div[3]/div[3]/div[2]/ul/li[5]/span[2]/span"")"),"Loading...")</f>
        <v>Loading...</v>
      </c>
      <c r="J4678" s="7" t="str">
        <f ca="1">IFERROR(__xludf.DUMMYFUNCTION("GOOGLEFINANCE(""NSE:""&amp;D4678,""marketcap"")"),"#N/A")</f>
        <v>#N/A</v>
      </c>
      <c r="K4678" s="7">
        <v>992.8</v>
      </c>
      <c r="L4678" s="8" t="str">
        <f ca="1">IFERROR(__xludf.DUMMYFUNCTION("GOOGLEFINANCE(""NSE:""&amp;D4678,""price"")"),"#N/A")</f>
        <v>#N/A</v>
      </c>
      <c r="M4678" s="9" t="e">
        <f t="shared" ca="1" si="92"/>
        <v>#VALUE!</v>
      </c>
      <c r="N4678" s="10" t="e">
        <f t="shared" ca="1" si="93"/>
        <v>#VALUE!</v>
      </c>
      <c r="O4678" s="7" t="str">
        <f ca="1">IFERROR(__xludf.DUMMYFUNCTION("GOOGLEFINANCE(""NSE:""&amp;D4678,""pe"")"),"#N/A")</f>
        <v>#N/A</v>
      </c>
      <c r="P4678" s="7" t="str">
        <f ca="1">IFERROR(__xludf.DUMMYFUNCTION("GOOGLEFINANCE(""NSE:""&amp;D4678,""EPS"")"),"#N/A")</f>
        <v>#N/A</v>
      </c>
      <c r="Q4678" s="7">
        <v>13.5</v>
      </c>
      <c r="R4678" s="7" t="str">
        <f ca="1">IFERROR(__xludf.DUMMYFUNCTION("IMPORTXML(E4678,""/html/body/main/div[3]/div[3]/div[2]/ul/li[7]/span[2]/span"")"),"Loading...")</f>
        <v>Loading...</v>
      </c>
      <c r="S4678" s="7" t="str">
        <f ca="1">IFERROR(__xludf.DUMMYFUNCTION("IMPORTXML(E4678,""/html/body/main/div[3]/div[3]/div[2]/ul/li[8]/span[2]/span"")"),"Loading...")</f>
        <v>Loading...</v>
      </c>
      <c r="T4678" s="4">
        <v>34.6</v>
      </c>
      <c r="U4678" s="4">
        <v>22.7</v>
      </c>
      <c r="V4678" s="4">
        <v>2.6</v>
      </c>
      <c r="W4678" s="4">
        <v>5.7</v>
      </c>
      <c r="X4678" s="4">
        <v>519.92999999999995</v>
      </c>
      <c r="Y4678" s="7" t="e">
        <f t="shared" ca="1" si="94"/>
        <v>#VALUE!</v>
      </c>
    </row>
    <row r="4679" spans="1:25" ht="15" x14ac:dyDescent="0.25">
      <c r="A4679" s="4">
        <v>4678</v>
      </c>
      <c r="C4679" s="41" t="s">
        <v>7056</v>
      </c>
      <c r="D4679" s="42"/>
      <c r="E4679" s="5" t="str">
        <f t="shared" si="90"/>
        <v>https://www.screener.in/company//consolidated/</v>
      </c>
      <c r="F4679" s="4">
        <v>443059</v>
      </c>
      <c r="G4679" s="4">
        <v>3832241897</v>
      </c>
      <c r="H4679" s="6" t="e">
        <f t="shared" ca="1" si="91"/>
        <v>#VALUE!</v>
      </c>
      <c r="I4679" s="7" t="str">
        <f ca="1">IFERROR(__xludf.DUMMYFUNCTION("IMPORTXML(E4679,""/html/body/main/div[3]/div[3]/div[2]/ul/li[5]/span[2]/span"")"),"Loading...")</f>
        <v>Loading...</v>
      </c>
      <c r="J4679" s="7" t="str">
        <f ca="1">IFERROR(__xludf.DUMMYFUNCTION("GOOGLEFINANCE(""NSE:""&amp;D4679,""marketcap"")"),"#N/A")</f>
        <v>#N/A</v>
      </c>
      <c r="K4679" s="7">
        <v>992.8</v>
      </c>
      <c r="L4679" s="8" t="str">
        <f ca="1">IFERROR(__xludf.DUMMYFUNCTION("GOOGLEFINANCE(""NSE:""&amp;D4679,""price"")"),"#N/A")</f>
        <v>#N/A</v>
      </c>
      <c r="M4679" s="9" t="e">
        <f t="shared" ca="1" si="92"/>
        <v>#VALUE!</v>
      </c>
      <c r="N4679" s="10" t="e">
        <f t="shared" ca="1" si="93"/>
        <v>#VALUE!</v>
      </c>
      <c r="O4679" s="7" t="str">
        <f ca="1">IFERROR(__xludf.DUMMYFUNCTION("GOOGLEFINANCE(""NSE:""&amp;D4679,""pe"")"),"#N/A")</f>
        <v>#N/A</v>
      </c>
      <c r="P4679" s="7" t="str">
        <f ca="1">IFERROR(__xludf.DUMMYFUNCTION("GOOGLEFINANCE(""NSE:""&amp;D4679,""EPS"")"),"#N/A")</f>
        <v>#N/A</v>
      </c>
      <c r="Q4679" s="7">
        <v>13.5</v>
      </c>
      <c r="R4679" s="7" t="str">
        <f ca="1">IFERROR(__xludf.DUMMYFUNCTION("IMPORTXML(E4679,""/html/body/main/div[3]/div[3]/div[2]/ul/li[7]/span[2]/span"")"),"Loading...")</f>
        <v>Loading...</v>
      </c>
      <c r="S4679" s="7" t="str">
        <f ca="1">IFERROR(__xludf.DUMMYFUNCTION("IMPORTXML(E4679,""/html/body/main/div[3]/div[3]/div[2]/ul/li[8]/span[2]/span"")"),"Loading...")</f>
        <v>Loading...</v>
      </c>
      <c r="T4679" s="4">
        <v>34.6</v>
      </c>
      <c r="U4679" s="4">
        <v>22.7</v>
      </c>
      <c r="V4679" s="4">
        <v>2.6</v>
      </c>
      <c r="W4679" s="4">
        <v>5.7</v>
      </c>
      <c r="X4679" s="4">
        <v>519.92999999999995</v>
      </c>
      <c r="Y4679" s="7" t="e">
        <f t="shared" ca="1" si="94"/>
        <v>#VALUE!</v>
      </c>
    </row>
    <row r="4680" spans="1:25" ht="15" x14ac:dyDescent="0.25">
      <c r="A4680" s="4">
        <v>4679</v>
      </c>
      <c r="C4680" s="41" t="s">
        <v>7057</v>
      </c>
      <c r="D4680" s="42"/>
      <c r="E4680" s="5" t="str">
        <f t="shared" si="90"/>
        <v>https://www.screener.in/company//consolidated/</v>
      </c>
      <c r="F4680" s="4">
        <v>443059</v>
      </c>
      <c r="G4680" s="4">
        <v>3832241897</v>
      </c>
      <c r="H4680" s="6" t="e">
        <f t="shared" ca="1" si="91"/>
        <v>#VALUE!</v>
      </c>
      <c r="I4680" s="7" t="str">
        <f ca="1">IFERROR(__xludf.DUMMYFUNCTION("IMPORTXML(E4680,""/html/body/main/div[3]/div[3]/div[2]/ul/li[5]/span[2]/span"")"),"Loading...")</f>
        <v>Loading...</v>
      </c>
      <c r="J4680" s="7" t="str">
        <f ca="1">IFERROR(__xludf.DUMMYFUNCTION("GOOGLEFINANCE(""NSE:""&amp;D4680,""marketcap"")"),"#N/A")</f>
        <v>#N/A</v>
      </c>
      <c r="K4680" s="7">
        <v>992.8</v>
      </c>
      <c r="L4680" s="8" t="str">
        <f ca="1">IFERROR(__xludf.DUMMYFUNCTION("GOOGLEFINANCE(""NSE:""&amp;D4680,""price"")"),"#N/A")</f>
        <v>#N/A</v>
      </c>
      <c r="M4680" s="9" t="e">
        <f t="shared" ca="1" si="92"/>
        <v>#VALUE!</v>
      </c>
      <c r="N4680" s="10" t="e">
        <f t="shared" ca="1" si="93"/>
        <v>#VALUE!</v>
      </c>
      <c r="O4680" s="7" t="str">
        <f ca="1">IFERROR(__xludf.DUMMYFUNCTION("GOOGLEFINANCE(""NSE:""&amp;D4680,""pe"")"),"#N/A")</f>
        <v>#N/A</v>
      </c>
      <c r="P4680" s="7" t="str">
        <f ca="1">IFERROR(__xludf.DUMMYFUNCTION("GOOGLEFINANCE(""NSE:""&amp;D4680,""EPS"")"),"#N/A")</f>
        <v>#N/A</v>
      </c>
      <c r="Q4680" s="7">
        <v>13.5</v>
      </c>
      <c r="R4680" s="7" t="str">
        <f ca="1">IFERROR(__xludf.DUMMYFUNCTION("IMPORTXML(E4680,""/html/body/main/div[3]/div[3]/div[2]/ul/li[7]/span[2]/span"")"),"Loading...")</f>
        <v>Loading...</v>
      </c>
      <c r="S4680" s="7" t="str">
        <f ca="1">IFERROR(__xludf.DUMMYFUNCTION("IMPORTXML(E4680,""/html/body/main/div[3]/div[3]/div[2]/ul/li[8]/span[2]/span"")"),"Loading...")</f>
        <v>Loading...</v>
      </c>
      <c r="T4680" s="4">
        <v>34.6</v>
      </c>
      <c r="U4680" s="4">
        <v>22.7</v>
      </c>
      <c r="V4680" s="4">
        <v>2.6</v>
      </c>
      <c r="W4680" s="4">
        <v>5.7</v>
      </c>
      <c r="X4680" s="4">
        <v>519.92999999999995</v>
      </c>
      <c r="Y4680" s="7" t="e">
        <f t="shared" ca="1" si="94"/>
        <v>#VALUE!</v>
      </c>
    </row>
    <row r="4681" spans="1:25" ht="15" x14ac:dyDescent="0.25">
      <c r="A4681" s="4">
        <v>4680</v>
      </c>
      <c r="C4681" s="41" t="s">
        <v>7058</v>
      </c>
      <c r="D4681" s="42"/>
      <c r="E4681" s="5" t="str">
        <f t="shared" si="90"/>
        <v>https://www.screener.in/company//consolidated/</v>
      </c>
      <c r="F4681" s="4">
        <v>443059</v>
      </c>
      <c r="G4681" s="4">
        <v>3832241897</v>
      </c>
      <c r="H4681" s="6" t="e">
        <f t="shared" ca="1" si="91"/>
        <v>#VALUE!</v>
      </c>
      <c r="I4681" s="7" t="str">
        <f ca="1">IFERROR(__xludf.DUMMYFUNCTION("IMPORTXML(E4681,""/html/body/main/div[3]/div[3]/div[2]/ul/li[5]/span[2]/span"")"),"Loading...")</f>
        <v>Loading...</v>
      </c>
      <c r="J4681" s="7" t="str">
        <f ca="1">IFERROR(__xludf.DUMMYFUNCTION("GOOGLEFINANCE(""NSE:""&amp;D4681,""marketcap"")"),"#N/A")</f>
        <v>#N/A</v>
      </c>
      <c r="K4681" s="7">
        <v>992.8</v>
      </c>
      <c r="L4681" s="8" t="str">
        <f ca="1">IFERROR(__xludf.DUMMYFUNCTION("GOOGLEFINANCE(""NSE:""&amp;D4681,""price"")"),"#N/A")</f>
        <v>#N/A</v>
      </c>
      <c r="M4681" s="9" t="e">
        <f t="shared" ca="1" si="92"/>
        <v>#VALUE!</v>
      </c>
      <c r="N4681" s="10" t="e">
        <f t="shared" ca="1" si="93"/>
        <v>#VALUE!</v>
      </c>
      <c r="O4681" s="7" t="str">
        <f ca="1">IFERROR(__xludf.DUMMYFUNCTION("GOOGLEFINANCE(""NSE:""&amp;D4681,""pe"")"),"#N/A")</f>
        <v>#N/A</v>
      </c>
      <c r="P4681" s="7" t="str">
        <f ca="1">IFERROR(__xludf.DUMMYFUNCTION("GOOGLEFINANCE(""NSE:""&amp;D4681,""EPS"")"),"#N/A")</f>
        <v>#N/A</v>
      </c>
      <c r="Q4681" s="7">
        <v>13.5</v>
      </c>
      <c r="R4681" s="7" t="str">
        <f ca="1">IFERROR(__xludf.DUMMYFUNCTION("IMPORTXML(E4681,""/html/body/main/div[3]/div[3]/div[2]/ul/li[7]/span[2]/span"")"),"Loading...")</f>
        <v>Loading...</v>
      </c>
      <c r="S4681" s="7" t="str">
        <f ca="1">IFERROR(__xludf.DUMMYFUNCTION("IMPORTXML(E4681,""/html/body/main/div[3]/div[3]/div[2]/ul/li[8]/span[2]/span"")"),"Loading...")</f>
        <v>Loading...</v>
      </c>
      <c r="T4681" s="4">
        <v>34.6</v>
      </c>
      <c r="U4681" s="4">
        <v>22.7</v>
      </c>
      <c r="V4681" s="4">
        <v>2.6</v>
      </c>
      <c r="W4681" s="4">
        <v>5.7</v>
      </c>
      <c r="X4681" s="4">
        <v>519.92999999999995</v>
      </c>
      <c r="Y4681" s="7" t="e">
        <f t="shared" ca="1" si="94"/>
        <v>#VALUE!</v>
      </c>
    </row>
    <row r="4682" spans="1:25" ht="15" x14ac:dyDescent="0.25">
      <c r="A4682" s="4">
        <v>4681</v>
      </c>
      <c r="C4682" s="41" t="s">
        <v>7059</v>
      </c>
      <c r="D4682" s="42"/>
      <c r="E4682" s="5" t="str">
        <f t="shared" si="90"/>
        <v>https://www.screener.in/company//consolidated/</v>
      </c>
      <c r="F4682" s="4">
        <v>443059</v>
      </c>
      <c r="G4682" s="4">
        <v>3832241897</v>
      </c>
      <c r="H4682" s="6" t="e">
        <f t="shared" ca="1" si="91"/>
        <v>#VALUE!</v>
      </c>
      <c r="I4682" s="7" t="str">
        <f ca="1">IFERROR(__xludf.DUMMYFUNCTION("IMPORTXML(E4682,""/html/body/main/div[3]/div[3]/div[2]/ul/li[5]/span[2]/span"")"),"Loading...")</f>
        <v>Loading...</v>
      </c>
      <c r="J4682" s="7" t="str">
        <f ca="1">IFERROR(__xludf.DUMMYFUNCTION("GOOGLEFINANCE(""NSE:""&amp;D4682,""marketcap"")"),"#N/A")</f>
        <v>#N/A</v>
      </c>
      <c r="K4682" s="7">
        <v>992.8</v>
      </c>
      <c r="L4682" s="8" t="str">
        <f ca="1">IFERROR(__xludf.DUMMYFUNCTION("GOOGLEFINANCE(""NSE:""&amp;D4682,""price"")"),"#N/A")</f>
        <v>#N/A</v>
      </c>
      <c r="M4682" s="9" t="e">
        <f t="shared" ca="1" si="92"/>
        <v>#VALUE!</v>
      </c>
      <c r="N4682" s="10" t="e">
        <f t="shared" ca="1" si="93"/>
        <v>#VALUE!</v>
      </c>
      <c r="O4682" s="7" t="str">
        <f ca="1">IFERROR(__xludf.DUMMYFUNCTION("GOOGLEFINANCE(""NSE:""&amp;D4682,""pe"")"),"#N/A")</f>
        <v>#N/A</v>
      </c>
      <c r="P4682" s="7" t="str">
        <f ca="1">IFERROR(__xludf.DUMMYFUNCTION("GOOGLEFINANCE(""NSE:""&amp;D4682,""EPS"")"),"#N/A")</f>
        <v>#N/A</v>
      </c>
      <c r="Q4682" s="7">
        <v>13.5</v>
      </c>
      <c r="R4682" s="7" t="str">
        <f ca="1">IFERROR(__xludf.DUMMYFUNCTION("IMPORTXML(E4682,""/html/body/main/div[3]/div[3]/div[2]/ul/li[7]/span[2]/span"")"),"Loading...")</f>
        <v>Loading...</v>
      </c>
      <c r="S4682" s="7" t="str">
        <f ca="1">IFERROR(__xludf.DUMMYFUNCTION("IMPORTXML(E4682,""/html/body/main/div[3]/div[3]/div[2]/ul/li[8]/span[2]/span"")"),"Loading...")</f>
        <v>Loading...</v>
      </c>
      <c r="T4682" s="4">
        <v>34.6</v>
      </c>
      <c r="U4682" s="4">
        <v>22.7</v>
      </c>
      <c r="V4682" s="4">
        <v>2.6</v>
      </c>
      <c r="W4682" s="4">
        <v>5.7</v>
      </c>
      <c r="X4682" s="4">
        <v>519.92999999999995</v>
      </c>
      <c r="Y4682" s="7" t="e">
        <f t="shared" ca="1" si="94"/>
        <v>#VALUE!</v>
      </c>
    </row>
    <row r="4683" spans="1:25" ht="15" x14ac:dyDescent="0.25">
      <c r="A4683" s="4">
        <v>4682</v>
      </c>
      <c r="C4683" s="41" t="s">
        <v>7060</v>
      </c>
      <c r="D4683" s="42"/>
      <c r="E4683" s="5" t="str">
        <f t="shared" si="90"/>
        <v>https://www.screener.in/company//consolidated/</v>
      </c>
      <c r="F4683" s="4">
        <v>443059</v>
      </c>
      <c r="G4683" s="4">
        <v>3832241897</v>
      </c>
      <c r="H4683" s="6" t="e">
        <f t="shared" ca="1" si="91"/>
        <v>#VALUE!</v>
      </c>
      <c r="I4683" s="7" t="str">
        <f ca="1">IFERROR(__xludf.DUMMYFUNCTION("IMPORTXML(E4683,""/html/body/main/div[3]/div[3]/div[2]/ul/li[5]/span[2]/span"")"),"Loading...")</f>
        <v>Loading...</v>
      </c>
      <c r="J4683" s="7" t="str">
        <f ca="1">IFERROR(__xludf.DUMMYFUNCTION("GOOGLEFINANCE(""NSE:""&amp;D4683,""marketcap"")"),"#N/A")</f>
        <v>#N/A</v>
      </c>
      <c r="K4683" s="7">
        <v>992.8</v>
      </c>
      <c r="L4683" s="8" t="str">
        <f ca="1">IFERROR(__xludf.DUMMYFUNCTION("GOOGLEFINANCE(""NSE:""&amp;D4683,""price"")"),"#N/A")</f>
        <v>#N/A</v>
      </c>
      <c r="M4683" s="9" t="e">
        <f t="shared" ca="1" si="92"/>
        <v>#VALUE!</v>
      </c>
      <c r="N4683" s="10" t="e">
        <f t="shared" ca="1" si="93"/>
        <v>#VALUE!</v>
      </c>
      <c r="O4683" s="7" t="str">
        <f ca="1">IFERROR(__xludf.DUMMYFUNCTION("GOOGLEFINANCE(""NSE:""&amp;D4683,""pe"")"),"#N/A")</f>
        <v>#N/A</v>
      </c>
      <c r="P4683" s="7" t="str">
        <f ca="1">IFERROR(__xludf.DUMMYFUNCTION("GOOGLEFINANCE(""NSE:""&amp;D4683,""EPS"")"),"#N/A")</f>
        <v>#N/A</v>
      </c>
      <c r="Q4683" s="7">
        <v>13.5</v>
      </c>
      <c r="R4683" s="7" t="str">
        <f ca="1">IFERROR(__xludf.DUMMYFUNCTION("IMPORTXML(E4683,""/html/body/main/div[3]/div[3]/div[2]/ul/li[7]/span[2]/span"")"),"Loading...")</f>
        <v>Loading...</v>
      </c>
      <c r="S4683" s="7" t="str">
        <f ca="1">IFERROR(__xludf.DUMMYFUNCTION("IMPORTXML(E4683,""/html/body/main/div[3]/div[3]/div[2]/ul/li[8]/span[2]/span"")"),"Loading...")</f>
        <v>Loading...</v>
      </c>
      <c r="T4683" s="4">
        <v>34.6</v>
      </c>
      <c r="U4683" s="4">
        <v>22.7</v>
      </c>
      <c r="V4683" s="4">
        <v>2.6</v>
      </c>
      <c r="W4683" s="4">
        <v>5.7</v>
      </c>
      <c r="X4683" s="4">
        <v>519.92999999999995</v>
      </c>
      <c r="Y4683" s="7" t="e">
        <f t="shared" ca="1" si="94"/>
        <v>#VALUE!</v>
      </c>
    </row>
    <row r="4684" spans="1:25" ht="15" x14ac:dyDescent="0.25">
      <c r="A4684" s="4">
        <v>4683</v>
      </c>
      <c r="C4684" s="41" t="s">
        <v>7061</v>
      </c>
      <c r="D4684" s="42"/>
      <c r="E4684" s="5" t="str">
        <f t="shared" si="90"/>
        <v>https://www.screener.in/company//consolidated/</v>
      </c>
      <c r="F4684" s="4">
        <v>443059</v>
      </c>
      <c r="G4684" s="4">
        <v>3832241897</v>
      </c>
      <c r="H4684" s="6" t="e">
        <f t="shared" ca="1" si="91"/>
        <v>#VALUE!</v>
      </c>
      <c r="I4684" s="7" t="str">
        <f ca="1">IFERROR(__xludf.DUMMYFUNCTION("IMPORTXML(E4684,""/html/body/main/div[3]/div[3]/div[2]/ul/li[5]/span[2]/span"")"),"Loading...")</f>
        <v>Loading...</v>
      </c>
      <c r="J4684" s="7" t="str">
        <f ca="1">IFERROR(__xludf.DUMMYFUNCTION("GOOGLEFINANCE(""NSE:""&amp;D4684,""marketcap"")"),"#N/A")</f>
        <v>#N/A</v>
      </c>
      <c r="K4684" s="7">
        <v>992.8</v>
      </c>
      <c r="L4684" s="8" t="str">
        <f ca="1">IFERROR(__xludf.DUMMYFUNCTION("GOOGLEFINANCE(""NSE:""&amp;D4684,""price"")"),"#N/A")</f>
        <v>#N/A</v>
      </c>
      <c r="M4684" s="9" t="e">
        <f t="shared" ca="1" si="92"/>
        <v>#VALUE!</v>
      </c>
      <c r="N4684" s="10" t="e">
        <f t="shared" ca="1" si="93"/>
        <v>#VALUE!</v>
      </c>
      <c r="O4684" s="7" t="str">
        <f ca="1">IFERROR(__xludf.DUMMYFUNCTION("GOOGLEFINANCE(""NSE:""&amp;D4684,""pe"")"),"#N/A")</f>
        <v>#N/A</v>
      </c>
      <c r="P4684" s="7" t="str">
        <f ca="1">IFERROR(__xludf.DUMMYFUNCTION("GOOGLEFINANCE(""NSE:""&amp;D4684,""EPS"")"),"#N/A")</f>
        <v>#N/A</v>
      </c>
      <c r="Q4684" s="7">
        <v>13.5</v>
      </c>
      <c r="R4684" s="7" t="str">
        <f ca="1">IFERROR(__xludf.DUMMYFUNCTION("IMPORTXML(E4684,""/html/body/main/div[3]/div[3]/div[2]/ul/li[7]/span[2]/span"")"),"Loading...")</f>
        <v>Loading...</v>
      </c>
      <c r="S4684" s="7" t="str">
        <f ca="1">IFERROR(__xludf.DUMMYFUNCTION("IMPORTXML(E4684,""/html/body/main/div[3]/div[3]/div[2]/ul/li[8]/span[2]/span"")"),"Loading...")</f>
        <v>Loading...</v>
      </c>
      <c r="T4684" s="4">
        <v>34.6</v>
      </c>
      <c r="U4684" s="4">
        <v>22.7</v>
      </c>
      <c r="V4684" s="4">
        <v>2.6</v>
      </c>
      <c r="W4684" s="4">
        <v>5.7</v>
      </c>
      <c r="X4684" s="4">
        <v>519.92999999999995</v>
      </c>
      <c r="Y4684" s="7" t="e">
        <f t="shared" ca="1" si="94"/>
        <v>#VALUE!</v>
      </c>
    </row>
    <row r="4685" spans="1:25" ht="15" x14ac:dyDescent="0.25">
      <c r="A4685" s="4">
        <v>4684</v>
      </c>
      <c r="C4685" s="41" t="s">
        <v>7062</v>
      </c>
      <c r="D4685" s="42"/>
      <c r="E4685" s="5" t="str">
        <f t="shared" si="90"/>
        <v>https://www.screener.in/company//consolidated/</v>
      </c>
      <c r="F4685" s="4">
        <v>443059</v>
      </c>
      <c r="G4685" s="4">
        <v>3832241897</v>
      </c>
      <c r="H4685" s="6" t="e">
        <f t="shared" ca="1" si="91"/>
        <v>#VALUE!</v>
      </c>
      <c r="I4685" s="7" t="str">
        <f ca="1">IFERROR(__xludf.DUMMYFUNCTION("IMPORTXML(E4685,""/html/body/main/div[3]/div[3]/div[2]/ul/li[5]/span[2]/span"")"),"Loading...")</f>
        <v>Loading...</v>
      </c>
      <c r="J4685" s="7" t="str">
        <f ca="1">IFERROR(__xludf.DUMMYFUNCTION("GOOGLEFINANCE(""NSE:""&amp;D4685,""marketcap"")"),"#N/A")</f>
        <v>#N/A</v>
      </c>
      <c r="K4685" s="7">
        <v>992.8</v>
      </c>
      <c r="L4685" s="8" t="str">
        <f ca="1">IFERROR(__xludf.DUMMYFUNCTION("GOOGLEFINANCE(""NSE:""&amp;D4685,""price"")"),"#N/A")</f>
        <v>#N/A</v>
      </c>
      <c r="M4685" s="9" t="e">
        <f t="shared" ca="1" si="92"/>
        <v>#VALUE!</v>
      </c>
      <c r="N4685" s="10" t="e">
        <f t="shared" ca="1" si="93"/>
        <v>#VALUE!</v>
      </c>
      <c r="O4685" s="7" t="str">
        <f ca="1">IFERROR(__xludf.DUMMYFUNCTION("GOOGLEFINANCE(""NSE:""&amp;D4685,""pe"")"),"#N/A")</f>
        <v>#N/A</v>
      </c>
      <c r="P4685" s="7" t="str">
        <f ca="1">IFERROR(__xludf.DUMMYFUNCTION("GOOGLEFINANCE(""NSE:""&amp;D4685,""EPS"")"),"#N/A")</f>
        <v>#N/A</v>
      </c>
      <c r="Q4685" s="7">
        <v>13.5</v>
      </c>
      <c r="R4685" s="7" t="str">
        <f ca="1">IFERROR(__xludf.DUMMYFUNCTION("IMPORTXML(E4685,""/html/body/main/div[3]/div[3]/div[2]/ul/li[7]/span[2]/span"")"),"Loading...")</f>
        <v>Loading...</v>
      </c>
      <c r="S4685" s="7" t="str">
        <f ca="1">IFERROR(__xludf.DUMMYFUNCTION("IMPORTXML(E4685,""/html/body/main/div[3]/div[3]/div[2]/ul/li[8]/span[2]/span"")"),"Loading...")</f>
        <v>Loading...</v>
      </c>
      <c r="T4685" s="4">
        <v>34.6</v>
      </c>
      <c r="U4685" s="4">
        <v>22.7</v>
      </c>
      <c r="V4685" s="4">
        <v>2.6</v>
      </c>
      <c r="W4685" s="4">
        <v>5.7</v>
      </c>
      <c r="X4685" s="4">
        <v>519.92999999999995</v>
      </c>
      <c r="Y4685" s="7" t="e">
        <f t="shared" ca="1" si="94"/>
        <v>#VALUE!</v>
      </c>
    </row>
    <row r="4686" spans="1:25" ht="15" x14ac:dyDescent="0.25">
      <c r="A4686" s="4">
        <v>4685</v>
      </c>
      <c r="C4686" s="41" t="s">
        <v>7063</v>
      </c>
      <c r="D4686" s="42"/>
      <c r="E4686" s="5" t="str">
        <f t="shared" si="90"/>
        <v>https://www.screener.in/company//consolidated/</v>
      </c>
      <c r="F4686" s="4">
        <v>443059</v>
      </c>
      <c r="G4686" s="4">
        <v>3832241897</v>
      </c>
      <c r="H4686" s="6" t="e">
        <f t="shared" ca="1" si="91"/>
        <v>#VALUE!</v>
      </c>
      <c r="I4686" s="7" t="str">
        <f ca="1">IFERROR(__xludf.DUMMYFUNCTION("IMPORTXML(E4686,""/html/body/main/div[3]/div[3]/div[2]/ul/li[5]/span[2]/span"")"),"Loading...")</f>
        <v>Loading...</v>
      </c>
      <c r="J4686" s="7" t="str">
        <f ca="1">IFERROR(__xludf.DUMMYFUNCTION("GOOGLEFINANCE(""NSE:""&amp;D4686,""marketcap"")"),"#N/A")</f>
        <v>#N/A</v>
      </c>
      <c r="K4686" s="7">
        <v>992.8</v>
      </c>
      <c r="L4686" s="8" t="str">
        <f ca="1">IFERROR(__xludf.DUMMYFUNCTION("GOOGLEFINANCE(""NSE:""&amp;D4686,""price"")"),"#N/A")</f>
        <v>#N/A</v>
      </c>
      <c r="M4686" s="9" t="e">
        <f t="shared" ca="1" si="92"/>
        <v>#VALUE!</v>
      </c>
      <c r="N4686" s="10" t="e">
        <f t="shared" ca="1" si="93"/>
        <v>#VALUE!</v>
      </c>
      <c r="O4686" s="7" t="str">
        <f ca="1">IFERROR(__xludf.DUMMYFUNCTION("GOOGLEFINANCE(""NSE:""&amp;D4686,""pe"")"),"#N/A")</f>
        <v>#N/A</v>
      </c>
      <c r="P4686" s="7" t="str">
        <f ca="1">IFERROR(__xludf.DUMMYFUNCTION("GOOGLEFINANCE(""NSE:""&amp;D4686,""EPS"")"),"#N/A")</f>
        <v>#N/A</v>
      </c>
      <c r="Q4686" s="7">
        <v>13.5</v>
      </c>
      <c r="R4686" s="7" t="str">
        <f ca="1">IFERROR(__xludf.DUMMYFUNCTION("IMPORTXML(E4686,""/html/body/main/div[3]/div[3]/div[2]/ul/li[7]/span[2]/span"")"),"Loading...")</f>
        <v>Loading...</v>
      </c>
      <c r="S4686" s="7" t="str">
        <f ca="1">IFERROR(__xludf.DUMMYFUNCTION("IMPORTXML(E4686,""/html/body/main/div[3]/div[3]/div[2]/ul/li[8]/span[2]/span"")"),"Loading...")</f>
        <v>Loading...</v>
      </c>
      <c r="T4686" s="4">
        <v>34.6</v>
      </c>
      <c r="U4686" s="4">
        <v>22.7</v>
      </c>
      <c r="V4686" s="4">
        <v>2.6</v>
      </c>
      <c r="W4686" s="4">
        <v>5.7</v>
      </c>
      <c r="X4686" s="4">
        <v>519.92999999999995</v>
      </c>
      <c r="Y4686" s="7" t="e">
        <f t="shared" ca="1" si="94"/>
        <v>#VALUE!</v>
      </c>
    </row>
    <row r="4687" spans="1:25" ht="15" x14ac:dyDescent="0.25">
      <c r="A4687" s="4">
        <v>4686</v>
      </c>
      <c r="C4687" s="41" t="s">
        <v>7064</v>
      </c>
      <c r="D4687" s="42"/>
      <c r="E4687" s="5" t="str">
        <f t="shared" si="90"/>
        <v>https://www.screener.in/company//consolidated/</v>
      </c>
      <c r="F4687" s="4">
        <v>443059</v>
      </c>
      <c r="G4687" s="4">
        <v>3832241897</v>
      </c>
      <c r="H4687" s="6" t="e">
        <f t="shared" ca="1" si="91"/>
        <v>#VALUE!</v>
      </c>
      <c r="I4687" s="7" t="str">
        <f ca="1">IFERROR(__xludf.DUMMYFUNCTION("IMPORTXML(E4687,""/html/body/main/div[3]/div[3]/div[2]/ul/li[5]/span[2]/span"")"),"Loading...")</f>
        <v>Loading...</v>
      </c>
      <c r="J4687" s="7" t="str">
        <f ca="1">IFERROR(__xludf.DUMMYFUNCTION("GOOGLEFINANCE(""NSE:""&amp;D4687,""marketcap"")"),"#N/A")</f>
        <v>#N/A</v>
      </c>
      <c r="K4687" s="7">
        <v>992.8</v>
      </c>
      <c r="L4687" s="8" t="str">
        <f ca="1">IFERROR(__xludf.DUMMYFUNCTION("GOOGLEFINANCE(""NSE:""&amp;D4687,""price"")"),"#N/A")</f>
        <v>#N/A</v>
      </c>
      <c r="M4687" s="9" t="e">
        <f t="shared" ca="1" si="92"/>
        <v>#VALUE!</v>
      </c>
      <c r="N4687" s="10" t="e">
        <f t="shared" ca="1" si="93"/>
        <v>#VALUE!</v>
      </c>
      <c r="O4687" s="7" t="str">
        <f ca="1">IFERROR(__xludf.DUMMYFUNCTION("GOOGLEFINANCE(""NSE:""&amp;D4687,""pe"")"),"#N/A")</f>
        <v>#N/A</v>
      </c>
      <c r="P4687" s="7" t="str">
        <f ca="1">IFERROR(__xludf.DUMMYFUNCTION("GOOGLEFINANCE(""NSE:""&amp;D4687,""EPS"")"),"#N/A")</f>
        <v>#N/A</v>
      </c>
      <c r="Q4687" s="7">
        <v>13.5</v>
      </c>
      <c r="R4687" s="7" t="str">
        <f ca="1">IFERROR(__xludf.DUMMYFUNCTION("IMPORTXML(E4687,""/html/body/main/div[3]/div[3]/div[2]/ul/li[7]/span[2]/span"")"),"Loading...")</f>
        <v>Loading...</v>
      </c>
      <c r="S4687" s="7" t="str">
        <f ca="1">IFERROR(__xludf.DUMMYFUNCTION("IMPORTXML(E4687,""/html/body/main/div[3]/div[3]/div[2]/ul/li[8]/span[2]/span"")"),"Loading...")</f>
        <v>Loading...</v>
      </c>
      <c r="T4687" s="4">
        <v>34.6</v>
      </c>
      <c r="U4687" s="4">
        <v>22.7</v>
      </c>
      <c r="V4687" s="4">
        <v>2.6</v>
      </c>
      <c r="W4687" s="4">
        <v>5.7</v>
      </c>
      <c r="X4687" s="4">
        <v>519.92999999999995</v>
      </c>
      <c r="Y4687" s="7" t="e">
        <f t="shared" ca="1" si="94"/>
        <v>#VALUE!</v>
      </c>
    </row>
    <row r="4688" spans="1:25" ht="15" x14ac:dyDescent="0.25">
      <c r="A4688" s="4">
        <v>4687</v>
      </c>
      <c r="C4688" s="41" t="s">
        <v>7065</v>
      </c>
      <c r="D4688" s="42"/>
      <c r="E4688" s="5" t="str">
        <f t="shared" si="90"/>
        <v>https://www.screener.in/company//consolidated/</v>
      </c>
      <c r="F4688" s="4">
        <v>443059</v>
      </c>
      <c r="G4688" s="4">
        <v>3832241897</v>
      </c>
      <c r="H4688" s="6" t="e">
        <f t="shared" ca="1" si="91"/>
        <v>#VALUE!</v>
      </c>
      <c r="I4688" s="7" t="str">
        <f ca="1">IFERROR(__xludf.DUMMYFUNCTION("IMPORTXML(E4688,""/html/body/main/div[3]/div[3]/div[2]/ul/li[5]/span[2]/span"")"),"Loading...")</f>
        <v>Loading...</v>
      </c>
      <c r="J4688" s="7" t="str">
        <f ca="1">IFERROR(__xludf.DUMMYFUNCTION("GOOGLEFINANCE(""NSE:""&amp;D4688,""marketcap"")"),"#N/A")</f>
        <v>#N/A</v>
      </c>
      <c r="K4688" s="7">
        <v>992.8</v>
      </c>
      <c r="L4688" s="8" t="str">
        <f ca="1">IFERROR(__xludf.DUMMYFUNCTION("GOOGLEFINANCE(""NSE:""&amp;D4688,""price"")"),"#N/A")</f>
        <v>#N/A</v>
      </c>
      <c r="M4688" s="9" t="e">
        <f t="shared" ca="1" si="92"/>
        <v>#VALUE!</v>
      </c>
      <c r="N4688" s="10" t="e">
        <f t="shared" ca="1" si="93"/>
        <v>#VALUE!</v>
      </c>
      <c r="O4688" s="7" t="str">
        <f ca="1">IFERROR(__xludf.DUMMYFUNCTION("GOOGLEFINANCE(""NSE:""&amp;D4688,""pe"")"),"#N/A")</f>
        <v>#N/A</v>
      </c>
      <c r="P4688" s="7" t="str">
        <f ca="1">IFERROR(__xludf.DUMMYFUNCTION("GOOGLEFINANCE(""NSE:""&amp;D4688,""EPS"")"),"#N/A")</f>
        <v>#N/A</v>
      </c>
      <c r="Q4688" s="7">
        <v>13.5</v>
      </c>
      <c r="R4688" s="7" t="str">
        <f ca="1">IFERROR(__xludf.DUMMYFUNCTION("IMPORTXML(E4688,""/html/body/main/div[3]/div[3]/div[2]/ul/li[7]/span[2]/span"")"),"Loading...")</f>
        <v>Loading...</v>
      </c>
      <c r="S4688" s="7" t="str">
        <f ca="1">IFERROR(__xludf.DUMMYFUNCTION("IMPORTXML(E4688,""/html/body/main/div[3]/div[3]/div[2]/ul/li[8]/span[2]/span"")"),"Loading...")</f>
        <v>Loading...</v>
      </c>
      <c r="T4688" s="4">
        <v>34.6</v>
      </c>
      <c r="U4688" s="4">
        <v>22.7</v>
      </c>
      <c r="V4688" s="4">
        <v>2.6</v>
      </c>
      <c r="W4688" s="4">
        <v>5.7</v>
      </c>
      <c r="X4688" s="4">
        <v>519.92999999999995</v>
      </c>
      <c r="Y4688" s="7" t="e">
        <f t="shared" ca="1" si="94"/>
        <v>#VALUE!</v>
      </c>
    </row>
    <row r="4689" spans="1:25" ht="15" x14ac:dyDescent="0.25">
      <c r="A4689" s="4">
        <v>4688</v>
      </c>
      <c r="C4689" s="41" t="s">
        <v>7066</v>
      </c>
      <c r="D4689" s="42"/>
      <c r="E4689" s="5" t="str">
        <f t="shared" si="90"/>
        <v>https://www.screener.in/company//consolidated/</v>
      </c>
      <c r="F4689" s="4">
        <v>443059</v>
      </c>
      <c r="G4689" s="4">
        <v>3832241897</v>
      </c>
      <c r="H4689" s="6" t="e">
        <f t="shared" ca="1" si="91"/>
        <v>#VALUE!</v>
      </c>
      <c r="I4689" s="7" t="str">
        <f ca="1">IFERROR(__xludf.DUMMYFUNCTION("IMPORTXML(E4689,""/html/body/main/div[3]/div[3]/div[2]/ul/li[5]/span[2]/span"")"),"Loading...")</f>
        <v>Loading...</v>
      </c>
      <c r="J4689" s="7" t="str">
        <f ca="1">IFERROR(__xludf.DUMMYFUNCTION("GOOGLEFINANCE(""NSE:""&amp;D4689,""marketcap"")"),"#N/A")</f>
        <v>#N/A</v>
      </c>
      <c r="K4689" s="7">
        <v>992.8</v>
      </c>
      <c r="L4689" s="8" t="str">
        <f ca="1">IFERROR(__xludf.DUMMYFUNCTION("GOOGLEFINANCE(""NSE:""&amp;D4689,""price"")"),"#N/A")</f>
        <v>#N/A</v>
      </c>
      <c r="M4689" s="9" t="e">
        <f t="shared" ca="1" si="92"/>
        <v>#VALUE!</v>
      </c>
      <c r="N4689" s="10" t="e">
        <f t="shared" ca="1" si="93"/>
        <v>#VALUE!</v>
      </c>
      <c r="O4689" s="7" t="str">
        <f ca="1">IFERROR(__xludf.DUMMYFUNCTION("GOOGLEFINANCE(""NSE:""&amp;D4689,""pe"")"),"#N/A")</f>
        <v>#N/A</v>
      </c>
      <c r="P4689" s="7" t="str">
        <f ca="1">IFERROR(__xludf.DUMMYFUNCTION("GOOGLEFINANCE(""NSE:""&amp;D4689,""EPS"")"),"#N/A")</f>
        <v>#N/A</v>
      </c>
      <c r="Q4689" s="7">
        <v>13.5</v>
      </c>
      <c r="R4689" s="7" t="str">
        <f ca="1">IFERROR(__xludf.DUMMYFUNCTION("IMPORTXML(E4689,""/html/body/main/div[3]/div[3]/div[2]/ul/li[7]/span[2]/span"")"),"Loading...")</f>
        <v>Loading...</v>
      </c>
      <c r="S4689" s="7" t="str">
        <f ca="1">IFERROR(__xludf.DUMMYFUNCTION("IMPORTXML(E4689,""/html/body/main/div[3]/div[3]/div[2]/ul/li[8]/span[2]/span"")"),"Loading...")</f>
        <v>Loading...</v>
      </c>
      <c r="T4689" s="4">
        <v>34.6</v>
      </c>
      <c r="U4689" s="4">
        <v>22.7</v>
      </c>
      <c r="V4689" s="4">
        <v>2.6</v>
      </c>
      <c r="W4689" s="4">
        <v>5.7</v>
      </c>
      <c r="X4689" s="4">
        <v>519.92999999999995</v>
      </c>
      <c r="Y4689" s="7" t="e">
        <f t="shared" ca="1" si="94"/>
        <v>#VALUE!</v>
      </c>
    </row>
    <row r="4690" spans="1:25" ht="15" x14ac:dyDescent="0.25">
      <c r="A4690" s="4">
        <v>4689</v>
      </c>
      <c r="C4690" s="41" t="s">
        <v>7067</v>
      </c>
      <c r="D4690" s="42"/>
      <c r="E4690" s="5" t="str">
        <f t="shared" si="90"/>
        <v>https://www.screener.in/company//consolidated/</v>
      </c>
      <c r="F4690" s="4">
        <v>443059</v>
      </c>
      <c r="G4690" s="4">
        <v>3832241897</v>
      </c>
      <c r="H4690" s="6" t="e">
        <f t="shared" ca="1" si="91"/>
        <v>#VALUE!</v>
      </c>
      <c r="I4690" s="7" t="str">
        <f ca="1">IFERROR(__xludf.DUMMYFUNCTION("IMPORTXML(E4690,""/html/body/main/div[3]/div[3]/div[2]/ul/li[5]/span[2]/span"")"),"Loading...")</f>
        <v>Loading...</v>
      </c>
      <c r="J4690" s="7" t="str">
        <f ca="1">IFERROR(__xludf.DUMMYFUNCTION("GOOGLEFINANCE(""NSE:""&amp;D4690,""marketcap"")"),"#N/A")</f>
        <v>#N/A</v>
      </c>
      <c r="K4690" s="7">
        <v>992.8</v>
      </c>
      <c r="L4690" s="8" t="str">
        <f ca="1">IFERROR(__xludf.DUMMYFUNCTION("GOOGLEFINANCE(""NSE:""&amp;D4690,""price"")"),"#N/A")</f>
        <v>#N/A</v>
      </c>
      <c r="M4690" s="9" t="e">
        <f t="shared" ca="1" si="92"/>
        <v>#VALUE!</v>
      </c>
      <c r="N4690" s="10" t="e">
        <f t="shared" ca="1" si="93"/>
        <v>#VALUE!</v>
      </c>
      <c r="O4690" s="7" t="str">
        <f ca="1">IFERROR(__xludf.DUMMYFUNCTION("GOOGLEFINANCE(""NSE:""&amp;D4690,""pe"")"),"#N/A")</f>
        <v>#N/A</v>
      </c>
      <c r="P4690" s="7" t="str">
        <f ca="1">IFERROR(__xludf.DUMMYFUNCTION("GOOGLEFINANCE(""NSE:""&amp;D4690,""EPS"")"),"#N/A")</f>
        <v>#N/A</v>
      </c>
      <c r="Q4690" s="7">
        <v>13.5</v>
      </c>
      <c r="R4690" s="7" t="str">
        <f ca="1">IFERROR(__xludf.DUMMYFUNCTION("IMPORTXML(E4690,""/html/body/main/div[3]/div[3]/div[2]/ul/li[7]/span[2]/span"")"),"Loading...")</f>
        <v>Loading...</v>
      </c>
      <c r="S4690" s="7" t="str">
        <f ca="1">IFERROR(__xludf.DUMMYFUNCTION("IMPORTXML(E4690,""/html/body/main/div[3]/div[3]/div[2]/ul/li[8]/span[2]/span"")"),"Loading...")</f>
        <v>Loading...</v>
      </c>
      <c r="T4690" s="4">
        <v>34.6</v>
      </c>
      <c r="U4690" s="4">
        <v>22.7</v>
      </c>
      <c r="V4690" s="4">
        <v>2.6</v>
      </c>
      <c r="W4690" s="4">
        <v>5.7</v>
      </c>
      <c r="X4690" s="4">
        <v>519.92999999999995</v>
      </c>
      <c r="Y4690" s="7" t="e">
        <f t="shared" ca="1" si="94"/>
        <v>#VALUE!</v>
      </c>
    </row>
    <row r="4691" spans="1:25" ht="15" x14ac:dyDescent="0.25">
      <c r="A4691" s="4">
        <v>4690</v>
      </c>
      <c r="C4691" s="41" t="s">
        <v>7068</v>
      </c>
      <c r="D4691" s="42"/>
      <c r="E4691" s="5" t="str">
        <f t="shared" si="90"/>
        <v>https://www.screener.in/company//consolidated/</v>
      </c>
      <c r="F4691" s="4">
        <v>443059</v>
      </c>
      <c r="G4691" s="4">
        <v>3832241897</v>
      </c>
      <c r="H4691" s="6" t="e">
        <f t="shared" ca="1" si="91"/>
        <v>#VALUE!</v>
      </c>
      <c r="I4691" s="7" t="str">
        <f ca="1">IFERROR(__xludf.DUMMYFUNCTION("IMPORTXML(E4691,""/html/body/main/div[3]/div[3]/div[2]/ul/li[5]/span[2]/span"")"),"Loading...")</f>
        <v>Loading...</v>
      </c>
      <c r="J4691" s="7" t="str">
        <f ca="1">IFERROR(__xludf.DUMMYFUNCTION("GOOGLEFINANCE(""NSE:""&amp;D4691,""marketcap"")"),"#N/A")</f>
        <v>#N/A</v>
      </c>
      <c r="K4691" s="7">
        <v>992.8</v>
      </c>
      <c r="L4691" s="8" t="str">
        <f ca="1">IFERROR(__xludf.DUMMYFUNCTION("GOOGLEFINANCE(""NSE:""&amp;D4691,""price"")"),"#N/A")</f>
        <v>#N/A</v>
      </c>
      <c r="M4691" s="9" t="e">
        <f t="shared" ca="1" si="92"/>
        <v>#VALUE!</v>
      </c>
      <c r="N4691" s="10" t="e">
        <f t="shared" ca="1" si="93"/>
        <v>#VALUE!</v>
      </c>
      <c r="O4691" s="7" t="str">
        <f ca="1">IFERROR(__xludf.DUMMYFUNCTION("GOOGLEFINANCE(""NSE:""&amp;D4691,""pe"")"),"#N/A")</f>
        <v>#N/A</v>
      </c>
      <c r="P4691" s="7" t="str">
        <f ca="1">IFERROR(__xludf.DUMMYFUNCTION("GOOGLEFINANCE(""NSE:""&amp;D4691,""EPS"")"),"#N/A")</f>
        <v>#N/A</v>
      </c>
      <c r="Q4691" s="7">
        <v>13.5</v>
      </c>
      <c r="R4691" s="7" t="str">
        <f ca="1">IFERROR(__xludf.DUMMYFUNCTION("IMPORTXML(E4691,""/html/body/main/div[3]/div[3]/div[2]/ul/li[7]/span[2]/span"")"),"Loading...")</f>
        <v>Loading...</v>
      </c>
      <c r="S4691" s="7" t="str">
        <f ca="1">IFERROR(__xludf.DUMMYFUNCTION("IMPORTXML(E4691,""/html/body/main/div[3]/div[3]/div[2]/ul/li[8]/span[2]/span"")"),"Loading...")</f>
        <v>Loading...</v>
      </c>
      <c r="T4691" s="4">
        <v>34.6</v>
      </c>
      <c r="U4691" s="4">
        <v>22.7</v>
      </c>
      <c r="V4691" s="4">
        <v>2.6</v>
      </c>
      <c r="W4691" s="4">
        <v>5.7</v>
      </c>
      <c r="X4691" s="4">
        <v>519.92999999999995</v>
      </c>
      <c r="Y4691" s="7" t="e">
        <f t="shared" ca="1" si="94"/>
        <v>#VALUE!</v>
      </c>
    </row>
    <row r="4692" spans="1:25" ht="15" x14ac:dyDescent="0.25">
      <c r="A4692" s="4">
        <v>4691</v>
      </c>
      <c r="C4692" s="41" t="s">
        <v>7069</v>
      </c>
      <c r="D4692" s="42"/>
      <c r="E4692" s="5" t="str">
        <f t="shared" si="90"/>
        <v>https://www.screener.in/company//consolidated/</v>
      </c>
      <c r="F4692" s="4">
        <v>443059</v>
      </c>
      <c r="G4692" s="4">
        <v>3832241897</v>
      </c>
      <c r="H4692" s="6" t="e">
        <f t="shared" ca="1" si="91"/>
        <v>#VALUE!</v>
      </c>
      <c r="I4692" s="7" t="str">
        <f ca="1">IFERROR(__xludf.DUMMYFUNCTION("IMPORTXML(E4692,""/html/body/main/div[3]/div[3]/div[2]/ul/li[5]/span[2]/span"")"),"Loading...")</f>
        <v>Loading...</v>
      </c>
      <c r="J4692" s="7" t="str">
        <f ca="1">IFERROR(__xludf.DUMMYFUNCTION("GOOGLEFINANCE(""NSE:""&amp;D4692,""marketcap"")"),"#N/A")</f>
        <v>#N/A</v>
      </c>
      <c r="K4692" s="7">
        <v>992.8</v>
      </c>
      <c r="L4692" s="8" t="str">
        <f ca="1">IFERROR(__xludf.DUMMYFUNCTION("GOOGLEFINANCE(""NSE:""&amp;D4692,""price"")"),"#N/A")</f>
        <v>#N/A</v>
      </c>
      <c r="M4692" s="9" t="e">
        <f t="shared" ca="1" si="92"/>
        <v>#VALUE!</v>
      </c>
      <c r="N4692" s="10" t="e">
        <f t="shared" ca="1" si="93"/>
        <v>#VALUE!</v>
      </c>
      <c r="O4692" s="7" t="str">
        <f ca="1">IFERROR(__xludf.DUMMYFUNCTION("GOOGLEFINANCE(""NSE:""&amp;D4692,""pe"")"),"#N/A")</f>
        <v>#N/A</v>
      </c>
      <c r="P4692" s="7" t="str">
        <f ca="1">IFERROR(__xludf.DUMMYFUNCTION("GOOGLEFINANCE(""NSE:""&amp;D4692,""EPS"")"),"#N/A")</f>
        <v>#N/A</v>
      </c>
      <c r="Q4692" s="7">
        <v>13.5</v>
      </c>
      <c r="R4692" s="7" t="str">
        <f ca="1">IFERROR(__xludf.DUMMYFUNCTION("IMPORTXML(E4692,""/html/body/main/div[3]/div[3]/div[2]/ul/li[7]/span[2]/span"")"),"Loading...")</f>
        <v>Loading...</v>
      </c>
      <c r="S4692" s="7" t="str">
        <f ca="1">IFERROR(__xludf.DUMMYFUNCTION("IMPORTXML(E4692,""/html/body/main/div[3]/div[3]/div[2]/ul/li[8]/span[2]/span"")"),"Loading...")</f>
        <v>Loading...</v>
      </c>
      <c r="T4692" s="4">
        <v>34.6</v>
      </c>
      <c r="U4692" s="4">
        <v>22.7</v>
      </c>
      <c r="V4692" s="4">
        <v>2.6</v>
      </c>
      <c r="W4692" s="4">
        <v>5.7</v>
      </c>
      <c r="X4692" s="4">
        <v>519.92999999999995</v>
      </c>
      <c r="Y4692" s="7" t="e">
        <f t="shared" ca="1" si="94"/>
        <v>#VALUE!</v>
      </c>
    </row>
    <row r="4693" spans="1:25" ht="15" x14ac:dyDescent="0.25">
      <c r="A4693" s="4">
        <v>4692</v>
      </c>
      <c r="C4693" s="41" t="s">
        <v>7070</v>
      </c>
      <c r="D4693" s="42"/>
      <c r="E4693" s="5" t="str">
        <f t="shared" si="90"/>
        <v>https://www.screener.in/company//consolidated/</v>
      </c>
      <c r="F4693" s="4">
        <v>443059</v>
      </c>
      <c r="G4693" s="4">
        <v>3832241897</v>
      </c>
      <c r="H4693" s="6" t="e">
        <f t="shared" ca="1" si="91"/>
        <v>#VALUE!</v>
      </c>
      <c r="I4693" s="7" t="str">
        <f ca="1">IFERROR(__xludf.DUMMYFUNCTION("IMPORTXML(E4693,""/html/body/main/div[3]/div[3]/div[2]/ul/li[5]/span[2]/span"")"),"Loading...")</f>
        <v>Loading...</v>
      </c>
      <c r="J4693" s="7" t="str">
        <f ca="1">IFERROR(__xludf.DUMMYFUNCTION("GOOGLEFINANCE(""NSE:""&amp;D4693,""marketcap"")"),"#N/A")</f>
        <v>#N/A</v>
      </c>
      <c r="K4693" s="7">
        <v>992.8</v>
      </c>
      <c r="L4693" s="8" t="str">
        <f ca="1">IFERROR(__xludf.DUMMYFUNCTION("GOOGLEFINANCE(""NSE:""&amp;D4693,""price"")"),"#N/A")</f>
        <v>#N/A</v>
      </c>
      <c r="M4693" s="9" t="e">
        <f t="shared" ca="1" si="92"/>
        <v>#VALUE!</v>
      </c>
      <c r="N4693" s="10" t="e">
        <f t="shared" ca="1" si="93"/>
        <v>#VALUE!</v>
      </c>
      <c r="O4693" s="7" t="str">
        <f ca="1">IFERROR(__xludf.DUMMYFUNCTION("GOOGLEFINANCE(""NSE:""&amp;D4693,""pe"")"),"#N/A")</f>
        <v>#N/A</v>
      </c>
      <c r="P4693" s="7" t="str">
        <f ca="1">IFERROR(__xludf.DUMMYFUNCTION("GOOGLEFINANCE(""NSE:""&amp;D4693,""EPS"")"),"#N/A")</f>
        <v>#N/A</v>
      </c>
      <c r="Q4693" s="7">
        <v>13.5</v>
      </c>
      <c r="R4693" s="7" t="str">
        <f ca="1">IFERROR(__xludf.DUMMYFUNCTION("IMPORTXML(E4693,""/html/body/main/div[3]/div[3]/div[2]/ul/li[7]/span[2]/span"")"),"Loading...")</f>
        <v>Loading...</v>
      </c>
      <c r="S4693" s="7" t="str">
        <f ca="1">IFERROR(__xludf.DUMMYFUNCTION("IMPORTXML(E4693,""/html/body/main/div[3]/div[3]/div[2]/ul/li[8]/span[2]/span"")"),"Loading...")</f>
        <v>Loading...</v>
      </c>
      <c r="T4693" s="4">
        <v>34.6</v>
      </c>
      <c r="U4693" s="4">
        <v>22.7</v>
      </c>
      <c r="V4693" s="4">
        <v>2.6</v>
      </c>
      <c r="W4693" s="4">
        <v>5.7</v>
      </c>
      <c r="X4693" s="4">
        <v>519.92999999999995</v>
      </c>
      <c r="Y4693" s="7" t="e">
        <f t="shared" ca="1" si="94"/>
        <v>#VALUE!</v>
      </c>
    </row>
    <row r="4694" spans="1:25" ht="15" x14ac:dyDescent="0.25">
      <c r="A4694" s="4">
        <v>4693</v>
      </c>
      <c r="C4694" s="41" t="s">
        <v>7071</v>
      </c>
      <c r="D4694" s="42"/>
      <c r="E4694" s="5" t="str">
        <f t="shared" si="90"/>
        <v>https://www.screener.in/company//consolidated/</v>
      </c>
      <c r="F4694" s="4">
        <v>443059</v>
      </c>
      <c r="G4694" s="4">
        <v>3832241897</v>
      </c>
      <c r="H4694" s="6" t="e">
        <f t="shared" ca="1" si="91"/>
        <v>#VALUE!</v>
      </c>
      <c r="I4694" s="7" t="str">
        <f ca="1">IFERROR(__xludf.DUMMYFUNCTION("IMPORTXML(E4694,""/html/body/main/div[3]/div[3]/div[2]/ul/li[5]/span[2]/span"")"),"Loading...")</f>
        <v>Loading...</v>
      </c>
      <c r="J4694" s="7" t="str">
        <f ca="1">IFERROR(__xludf.DUMMYFUNCTION("GOOGLEFINANCE(""NSE:""&amp;D4694,""marketcap"")"),"#N/A")</f>
        <v>#N/A</v>
      </c>
      <c r="K4694" s="7">
        <v>992.8</v>
      </c>
      <c r="L4694" s="8" t="str">
        <f ca="1">IFERROR(__xludf.DUMMYFUNCTION("GOOGLEFINANCE(""NSE:""&amp;D4694,""price"")"),"#N/A")</f>
        <v>#N/A</v>
      </c>
      <c r="M4694" s="9" t="e">
        <f t="shared" ca="1" si="92"/>
        <v>#VALUE!</v>
      </c>
      <c r="N4694" s="10" t="e">
        <f t="shared" ca="1" si="93"/>
        <v>#VALUE!</v>
      </c>
      <c r="O4694" s="7" t="str">
        <f ca="1">IFERROR(__xludf.DUMMYFUNCTION("GOOGLEFINANCE(""NSE:""&amp;D4694,""pe"")"),"#N/A")</f>
        <v>#N/A</v>
      </c>
      <c r="P4694" s="7" t="str">
        <f ca="1">IFERROR(__xludf.DUMMYFUNCTION("GOOGLEFINANCE(""NSE:""&amp;D4694,""EPS"")"),"#N/A")</f>
        <v>#N/A</v>
      </c>
      <c r="Q4694" s="7">
        <v>13.5</v>
      </c>
      <c r="R4694" s="7" t="str">
        <f ca="1">IFERROR(__xludf.DUMMYFUNCTION("IMPORTXML(E4694,""/html/body/main/div[3]/div[3]/div[2]/ul/li[7]/span[2]/span"")"),"Loading...")</f>
        <v>Loading...</v>
      </c>
      <c r="S4694" s="7" t="str">
        <f ca="1">IFERROR(__xludf.DUMMYFUNCTION("IMPORTXML(E4694,""/html/body/main/div[3]/div[3]/div[2]/ul/li[8]/span[2]/span"")"),"Loading...")</f>
        <v>Loading...</v>
      </c>
      <c r="T4694" s="4">
        <v>34.6</v>
      </c>
      <c r="U4694" s="4">
        <v>22.7</v>
      </c>
      <c r="V4694" s="4">
        <v>2.6</v>
      </c>
      <c r="W4694" s="4">
        <v>5.7</v>
      </c>
      <c r="X4694" s="4">
        <v>519.92999999999995</v>
      </c>
      <c r="Y4694" s="7" t="e">
        <f t="shared" ca="1" si="94"/>
        <v>#VALUE!</v>
      </c>
    </row>
    <row r="4695" spans="1:25" ht="15" x14ac:dyDescent="0.25">
      <c r="A4695" s="4">
        <v>4694</v>
      </c>
      <c r="C4695" s="41" t="s">
        <v>7072</v>
      </c>
      <c r="D4695" s="42"/>
      <c r="E4695" s="5" t="str">
        <f t="shared" si="90"/>
        <v>https://www.screener.in/company//consolidated/</v>
      </c>
      <c r="F4695" s="4">
        <v>443059</v>
      </c>
      <c r="G4695" s="4">
        <v>3832241897</v>
      </c>
      <c r="H4695" s="6" t="e">
        <f t="shared" ca="1" si="91"/>
        <v>#VALUE!</v>
      </c>
      <c r="I4695" s="7" t="str">
        <f ca="1">IFERROR(__xludf.DUMMYFUNCTION("IMPORTXML(E4695,""/html/body/main/div[3]/div[3]/div[2]/ul/li[5]/span[2]/span"")"),"Loading...")</f>
        <v>Loading...</v>
      </c>
      <c r="J4695" s="7" t="str">
        <f ca="1">IFERROR(__xludf.DUMMYFUNCTION("GOOGLEFINANCE(""NSE:""&amp;D4695,""marketcap"")"),"#N/A")</f>
        <v>#N/A</v>
      </c>
      <c r="K4695" s="7">
        <v>992.8</v>
      </c>
      <c r="L4695" s="8" t="str">
        <f ca="1">IFERROR(__xludf.DUMMYFUNCTION("GOOGLEFINANCE(""NSE:""&amp;D4695,""price"")"),"#N/A")</f>
        <v>#N/A</v>
      </c>
      <c r="M4695" s="9" t="e">
        <f t="shared" ca="1" si="92"/>
        <v>#VALUE!</v>
      </c>
      <c r="N4695" s="10" t="e">
        <f t="shared" ca="1" si="93"/>
        <v>#VALUE!</v>
      </c>
      <c r="O4695" s="7" t="str">
        <f ca="1">IFERROR(__xludf.DUMMYFUNCTION("GOOGLEFINANCE(""NSE:""&amp;D4695,""pe"")"),"#N/A")</f>
        <v>#N/A</v>
      </c>
      <c r="P4695" s="7" t="str">
        <f ca="1">IFERROR(__xludf.DUMMYFUNCTION("GOOGLEFINANCE(""NSE:""&amp;D4695,""EPS"")"),"#N/A")</f>
        <v>#N/A</v>
      </c>
      <c r="Q4695" s="7">
        <v>13.5</v>
      </c>
      <c r="R4695" s="7" t="str">
        <f ca="1">IFERROR(__xludf.DUMMYFUNCTION("IMPORTXML(E4695,""/html/body/main/div[3]/div[3]/div[2]/ul/li[7]/span[2]/span"")"),"Loading...")</f>
        <v>Loading...</v>
      </c>
      <c r="S4695" s="7" t="str">
        <f ca="1">IFERROR(__xludf.DUMMYFUNCTION("IMPORTXML(E4695,""/html/body/main/div[3]/div[3]/div[2]/ul/li[8]/span[2]/span"")"),"Loading...")</f>
        <v>Loading...</v>
      </c>
      <c r="T4695" s="4">
        <v>34.6</v>
      </c>
      <c r="U4695" s="4">
        <v>22.7</v>
      </c>
      <c r="V4695" s="4">
        <v>2.6</v>
      </c>
      <c r="W4695" s="4">
        <v>5.7</v>
      </c>
      <c r="X4695" s="4">
        <v>519.92999999999995</v>
      </c>
      <c r="Y4695" s="7" t="e">
        <f t="shared" ca="1" si="94"/>
        <v>#VALUE!</v>
      </c>
    </row>
    <row r="4696" spans="1:25" ht="15" x14ac:dyDescent="0.25">
      <c r="A4696" s="4">
        <v>4695</v>
      </c>
      <c r="C4696" s="41" t="s">
        <v>7073</v>
      </c>
      <c r="D4696" s="42"/>
      <c r="E4696" s="5" t="str">
        <f t="shared" si="90"/>
        <v>https://www.screener.in/company//consolidated/</v>
      </c>
      <c r="F4696" s="4">
        <v>443059</v>
      </c>
      <c r="G4696" s="4">
        <v>3832241897</v>
      </c>
      <c r="H4696" s="6" t="e">
        <f t="shared" ca="1" si="91"/>
        <v>#VALUE!</v>
      </c>
      <c r="I4696" s="7" t="str">
        <f ca="1">IFERROR(__xludf.DUMMYFUNCTION("IMPORTXML(E4696,""/html/body/main/div[3]/div[3]/div[2]/ul/li[5]/span[2]/span"")"),"Loading...")</f>
        <v>Loading...</v>
      </c>
      <c r="J4696" s="7" t="str">
        <f ca="1">IFERROR(__xludf.DUMMYFUNCTION("GOOGLEFINANCE(""NSE:""&amp;D4696,""marketcap"")"),"#N/A")</f>
        <v>#N/A</v>
      </c>
      <c r="K4696" s="7">
        <v>992.8</v>
      </c>
      <c r="L4696" s="8" t="str">
        <f ca="1">IFERROR(__xludf.DUMMYFUNCTION("GOOGLEFINANCE(""NSE:""&amp;D4696,""price"")"),"#N/A")</f>
        <v>#N/A</v>
      </c>
      <c r="M4696" s="9" t="e">
        <f t="shared" ca="1" si="92"/>
        <v>#VALUE!</v>
      </c>
      <c r="N4696" s="10" t="e">
        <f t="shared" ca="1" si="93"/>
        <v>#VALUE!</v>
      </c>
      <c r="O4696" s="7" t="str">
        <f ca="1">IFERROR(__xludf.DUMMYFUNCTION("GOOGLEFINANCE(""NSE:""&amp;D4696,""pe"")"),"#N/A")</f>
        <v>#N/A</v>
      </c>
      <c r="P4696" s="7" t="str">
        <f ca="1">IFERROR(__xludf.DUMMYFUNCTION("GOOGLEFINANCE(""NSE:""&amp;D4696,""EPS"")"),"#N/A")</f>
        <v>#N/A</v>
      </c>
      <c r="Q4696" s="7">
        <v>13.5</v>
      </c>
      <c r="R4696" s="7" t="str">
        <f ca="1">IFERROR(__xludf.DUMMYFUNCTION("IMPORTXML(E4696,""/html/body/main/div[3]/div[3]/div[2]/ul/li[7]/span[2]/span"")"),"Loading...")</f>
        <v>Loading...</v>
      </c>
      <c r="S4696" s="7" t="str">
        <f ca="1">IFERROR(__xludf.DUMMYFUNCTION("IMPORTXML(E4696,""/html/body/main/div[3]/div[3]/div[2]/ul/li[8]/span[2]/span"")"),"Loading...")</f>
        <v>Loading...</v>
      </c>
      <c r="T4696" s="4">
        <v>34.6</v>
      </c>
      <c r="U4696" s="4">
        <v>22.7</v>
      </c>
      <c r="V4696" s="4">
        <v>2.6</v>
      </c>
      <c r="W4696" s="4">
        <v>5.7</v>
      </c>
      <c r="X4696" s="4">
        <v>519.92999999999995</v>
      </c>
      <c r="Y4696" s="7" t="e">
        <f t="shared" ca="1" si="94"/>
        <v>#VALUE!</v>
      </c>
    </row>
    <row r="4697" spans="1:25" ht="15" x14ac:dyDescent="0.25">
      <c r="A4697" s="4">
        <v>4696</v>
      </c>
      <c r="C4697" s="41" t="s">
        <v>7074</v>
      </c>
      <c r="D4697" s="42"/>
      <c r="E4697" s="5" t="str">
        <f t="shared" si="90"/>
        <v>https://www.screener.in/company//consolidated/</v>
      </c>
      <c r="F4697" s="4">
        <v>443059</v>
      </c>
      <c r="G4697" s="4">
        <v>3832241897</v>
      </c>
      <c r="H4697" s="6" t="e">
        <f t="shared" ca="1" si="91"/>
        <v>#VALUE!</v>
      </c>
      <c r="I4697" s="7" t="str">
        <f ca="1">IFERROR(__xludf.DUMMYFUNCTION("IMPORTXML(E4697,""/html/body/main/div[3]/div[3]/div[2]/ul/li[5]/span[2]/span"")"),"Loading...")</f>
        <v>Loading...</v>
      </c>
      <c r="J4697" s="7" t="str">
        <f ca="1">IFERROR(__xludf.DUMMYFUNCTION("GOOGLEFINANCE(""NSE:""&amp;D4697,""marketcap"")"),"#N/A")</f>
        <v>#N/A</v>
      </c>
      <c r="K4697" s="7">
        <v>992.8</v>
      </c>
      <c r="L4697" s="8" t="str">
        <f ca="1">IFERROR(__xludf.DUMMYFUNCTION("GOOGLEFINANCE(""NSE:""&amp;D4697,""price"")"),"#N/A")</f>
        <v>#N/A</v>
      </c>
      <c r="M4697" s="9" t="e">
        <f t="shared" ca="1" si="92"/>
        <v>#VALUE!</v>
      </c>
      <c r="N4697" s="10" t="e">
        <f t="shared" ca="1" si="93"/>
        <v>#VALUE!</v>
      </c>
      <c r="O4697" s="7" t="str">
        <f ca="1">IFERROR(__xludf.DUMMYFUNCTION("GOOGLEFINANCE(""NSE:""&amp;D4697,""pe"")"),"#N/A")</f>
        <v>#N/A</v>
      </c>
      <c r="P4697" s="7" t="str">
        <f ca="1">IFERROR(__xludf.DUMMYFUNCTION("GOOGLEFINANCE(""NSE:""&amp;D4697,""EPS"")"),"#N/A")</f>
        <v>#N/A</v>
      </c>
      <c r="Q4697" s="7">
        <v>13.5</v>
      </c>
      <c r="R4697" s="7" t="str">
        <f ca="1">IFERROR(__xludf.DUMMYFUNCTION("IMPORTXML(E4697,""/html/body/main/div[3]/div[3]/div[2]/ul/li[7]/span[2]/span"")"),"Loading...")</f>
        <v>Loading...</v>
      </c>
      <c r="S4697" s="7" t="str">
        <f ca="1">IFERROR(__xludf.DUMMYFUNCTION("IMPORTXML(E4697,""/html/body/main/div[3]/div[3]/div[2]/ul/li[8]/span[2]/span"")"),"Loading...")</f>
        <v>Loading...</v>
      </c>
      <c r="T4697" s="4">
        <v>34.6</v>
      </c>
      <c r="U4697" s="4">
        <v>22.7</v>
      </c>
      <c r="V4697" s="4">
        <v>2.6</v>
      </c>
      <c r="W4697" s="4">
        <v>5.7</v>
      </c>
      <c r="X4697" s="4">
        <v>519.92999999999995</v>
      </c>
      <c r="Y4697" s="7" t="e">
        <f t="shared" ca="1" si="94"/>
        <v>#VALUE!</v>
      </c>
    </row>
    <row r="4698" spans="1:25" ht="15" x14ac:dyDescent="0.25">
      <c r="A4698" s="4">
        <v>4697</v>
      </c>
      <c r="C4698" s="41" t="s">
        <v>7075</v>
      </c>
      <c r="D4698" s="42"/>
      <c r="E4698" s="5" t="str">
        <f t="shared" si="90"/>
        <v>https://www.screener.in/company//consolidated/</v>
      </c>
      <c r="F4698" s="4">
        <v>443059</v>
      </c>
      <c r="G4698" s="4">
        <v>3832241897</v>
      </c>
      <c r="H4698" s="6" t="e">
        <f t="shared" ca="1" si="91"/>
        <v>#VALUE!</v>
      </c>
      <c r="I4698" s="7" t="str">
        <f ca="1">IFERROR(__xludf.DUMMYFUNCTION("IMPORTXML(E4698,""/html/body/main/div[3]/div[3]/div[2]/ul/li[5]/span[2]/span"")"),"Loading...")</f>
        <v>Loading...</v>
      </c>
      <c r="J4698" s="7" t="str">
        <f ca="1">IFERROR(__xludf.DUMMYFUNCTION("GOOGLEFINANCE(""NSE:""&amp;D4698,""marketcap"")"),"#N/A")</f>
        <v>#N/A</v>
      </c>
      <c r="K4698" s="7">
        <v>992.8</v>
      </c>
      <c r="L4698" s="8" t="str">
        <f ca="1">IFERROR(__xludf.DUMMYFUNCTION("GOOGLEFINANCE(""NSE:""&amp;D4698,""price"")"),"#N/A")</f>
        <v>#N/A</v>
      </c>
      <c r="M4698" s="9" t="e">
        <f t="shared" ca="1" si="92"/>
        <v>#VALUE!</v>
      </c>
      <c r="N4698" s="10" t="e">
        <f t="shared" ca="1" si="93"/>
        <v>#VALUE!</v>
      </c>
      <c r="O4698" s="7" t="str">
        <f ca="1">IFERROR(__xludf.DUMMYFUNCTION("GOOGLEFINANCE(""NSE:""&amp;D4698,""pe"")"),"#N/A")</f>
        <v>#N/A</v>
      </c>
      <c r="P4698" s="7" t="str">
        <f ca="1">IFERROR(__xludf.DUMMYFUNCTION("GOOGLEFINANCE(""NSE:""&amp;D4698,""EPS"")"),"#N/A")</f>
        <v>#N/A</v>
      </c>
      <c r="Q4698" s="7">
        <v>13.5</v>
      </c>
      <c r="R4698" s="7" t="str">
        <f ca="1">IFERROR(__xludf.DUMMYFUNCTION("IMPORTXML(E4698,""/html/body/main/div[3]/div[3]/div[2]/ul/li[7]/span[2]/span"")"),"Loading...")</f>
        <v>Loading...</v>
      </c>
      <c r="S4698" s="7" t="str">
        <f ca="1">IFERROR(__xludf.DUMMYFUNCTION("IMPORTXML(E4698,""/html/body/main/div[3]/div[3]/div[2]/ul/li[8]/span[2]/span"")"),"Loading...")</f>
        <v>Loading...</v>
      </c>
      <c r="T4698" s="4">
        <v>34.6</v>
      </c>
      <c r="U4698" s="4">
        <v>22.7</v>
      </c>
      <c r="V4698" s="4">
        <v>2.6</v>
      </c>
      <c r="W4698" s="4">
        <v>5.7</v>
      </c>
      <c r="X4698" s="4">
        <v>519.92999999999995</v>
      </c>
      <c r="Y4698" s="7" t="e">
        <f t="shared" ca="1" si="94"/>
        <v>#VALUE!</v>
      </c>
    </row>
    <row r="4699" spans="1:25" ht="15" x14ac:dyDescent="0.25">
      <c r="A4699" s="4">
        <v>4698</v>
      </c>
      <c r="C4699" s="41" t="s">
        <v>7076</v>
      </c>
      <c r="D4699" s="42"/>
      <c r="E4699" s="5" t="str">
        <f t="shared" si="90"/>
        <v>https://www.screener.in/company//consolidated/</v>
      </c>
      <c r="F4699" s="4">
        <v>443059</v>
      </c>
      <c r="G4699" s="4">
        <v>3832241897</v>
      </c>
      <c r="H4699" s="6" t="e">
        <f t="shared" ca="1" si="91"/>
        <v>#VALUE!</v>
      </c>
      <c r="I4699" s="7" t="str">
        <f ca="1">IFERROR(__xludf.DUMMYFUNCTION("IMPORTXML(E4699,""/html/body/main/div[3]/div[3]/div[2]/ul/li[5]/span[2]/span"")"),"Loading...")</f>
        <v>Loading...</v>
      </c>
      <c r="J4699" s="7" t="str">
        <f ca="1">IFERROR(__xludf.DUMMYFUNCTION("GOOGLEFINANCE(""NSE:""&amp;D4699,""marketcap"")"),"#N/A")</f>
        <v>#N/A</v>
      </c>
      <c r="K4699" s="7">
        <v>992.8</v>
      </c>
      <c r="L4699" s="8" t="str">
        <f ca="1">IFERROR(__xludf.DUMMYFUNCTION("GOOGLEFINANCE(""NSE:""&amp;D4699,""price"")"),"#N/A")</f>
        <v>#N/A</v>
      </c>
      <c r="M4699" s="9" t="e">
        <f t="shared" ca="1" si="92"/>
        <v>#VALUE!</v>
      </c>
      <c r="N4699" s="10" t="e">
        <f t="shared" ca="1" si="93"/>
        <v>#VALUE!</v>
      </c>
      <c r="O4699" s="7" t="str">
        <f ca="1">IFERROR(__xludf.DUMMYFUNCTION("GOOGLEFINANCE(""NSE:""&amp;D4699,""pe"")"),"#N/A")</f>
        <v>#N/A</v>
      </c>
      <c r="P4699" s="7" t="str">
        <f ca="1">IFERROR(__xludf.DUMMYFUNCTION("GOOGLEFINANCE(""NSE:""&amp;D4699,""EPS"")"),"#N/A")</f>
        <v>#N/A</v>
      </c>
      <c r="Q4699" s="7">
        <v>13.5</v>
      </c>
      <c r="R4699" s="7" t="str">
        <f ca="1">IFERROR(__xludf.DUMMYFUNCTION("IMPORTXML(E4699,""/html/body/main/div[3]/div[3]/div[2]/ul/li[7]/span[2]/span"")"),"Loading...")</f>
        <v>Loading...</v>
      </c>
      <c r="S4699" s="7" t="str">
        <f ca="1">IFERROR(__xludf.DUMMYFUNCTION("IMPORTXML(E4699,""/html/body/main/div[3]/div[3]/div[2]/ul/li[8]/span[2]/span"")"),"Loading...")</f>
        <v>Loading...</v>
      </c>
      <c r="T4699" s="4">
        <v>34.6</v>
      </c>
      <c r="U4699" s="4">
        <v>22.7</v>
      </c>
      <c r="V4699" s="4">
        <v>2.6</v>
      </c>
      <c r="W4699" s="4">
        <v>5.7</v>
      </c>
      <c r="X4699" s="4">
        <v>519.92999999999995</v>
      </c>
      <c r="Y4699" s="7" t="e">
        <f t="shared" ca="1" si="94"/>
        <v>#VALUE!</v>
      </c>
    </row>
    <row r="4700" spans="1:25" ht="15" x14ac:dyDescent="0.25">
      <c r="A4700" s="4">
        <v>4699</v>
      </c>
      <c r="C4700" s="41" t="s">
        <v>7077</v>
      </c>
      <c r="D4700" s="42"/>
      <c r="E4700" s="5" t="str">
        <f t="shared" si="90"/>
        <v>https://www.screener.in/company//consolidated/</v>
      </c>
      <c r="F4700" s="4">
        <v>443059</v>
      </c>
      <c r="G4700" s="4">
        <v>3832241897</v>
      </c>
      <c r="H4700" s="6" t="e">
        <f t="shared" ca="1" si="91"/>
        <v>#VALUE!</v>
      </c>
      <c r="I4700" s="7" t="str">
        <f ca="1">IFERROR(__xludf.DUMMYFUNCTION("IMPORTXML(E4700,""/html/body/main/div[3]/div[3]/div[2]/ul/li[5]/span[2]/span"")"),"Loading...")</f>
        <v>Loading...</v>
      </c>
      <c r="J4700" s="7" t="str">
        <f ca="1">IFERROR(__xludf.DUMMYFUNCTION("GOOGLEFINANCE(""NSE:""&amp;D4700,""marketcap"")"),"#N/A")</f>
        <v>#N/A</v>
      </c>
      <c r="K4700" s="7">
        <v>992.8</v>
      </c>
      <c r="L4700" s="8" t="str">
        <f ca="1">IFERROR(__xludf.DUMMYFUNCTION("GOOGLEFINANCE(""NSE:""&amp;D4700,""price"")"),"#N/A")</f>
        <v>#N/A</v>
      </c>
      <c r="M4700" s="9" t="e">
        <f t="shared" ca="1" si="92"/>
        <v>#VALUE!</v>
      </c>
      <c r="N4700" s="10" t="e">
        <f t="shared" ca="1" si="93"/>
        <v>#VALUE!</v>
      </c>
      <c r="O4700" s="7" t="str">
        <f ca="1">IFERROR(__xludf.DUMMYFUNCTION("GOOGLEFINANCE(""NSE:""&amp;D4700,""pe"")"),"#N/A")</f>
        <v>#N/A</v>
      </c>
      <c r="P4700" s="7" t="str">
        <f ca="1">IFERROR(__xludf.DUMMYFUNCTION("GOOGLEFINANCE(""NSE:""&amp;D4700,""EPS"")"),"#N/A")</f>
        <v>#N/A</v>
      </c>
      <c r="Q4700" s="7">
        <v>13.5</v>
      </c>
      <c r="R4700" s="7" t="str">
        <f ca="1">IFERROR(__xludf.DUMMYFUNCTION("IMPORTXML(E4700,""/html/body/main/div[3]/div[3]/div[2]/ul/li[7]/span[2]/span"")"),"Loading...")</f>
        <v>Loading...</v>
      </c>
      <c r="S4700" s="7" t="str">
        <f ca="1">IFERROR(__xludf.DUMMYFUNCTION("IMPORTXML(E4700,""/html/body/main/div[3]/div[3]/div[2]/ul/li[8]/span[2]/span"")"),"Loading...")</f>
        <v>Loading...</v>
      </c>
      <c r="T4700" s="4">
        <v>34.6</v>
      </c>
      <c r="U4700" s="4">
        <v>22.7</v>
      </c>
      <c r="V4700" s="4">
        <v>2.6</v>
      </c>
      <c r="W4700" s="4">
        <v>5.7</v>
      </c>
      <c r="X4700" s="4">
        <v>519.92999999999995</v>
      </c>
      <c r="Y4700" s="7" t="e">
        <f t="shared" ca="1" si="94"/>
        <v>#VALUE!</v>
      </c>
    </row>
    <row r="4701" spans="1:25" ht="15" x14ac:dyDescent="0.25">
      <c r="A4701" s="4">
        <v>4700</v>
      </c>
      <c r="C4701" s="41" t="s">
        <v>7078</v>
      </c>
      <c r="D4701" s="42"/>
      <c r="E4701" s="5" t="str">
        <f t="shared" si="90"/>
        <v>https://www.screener.in/company//consolidated/</v>
      </c>
      <c r="F4701" s="4">
        <v>443059</v>
      </c>
      <c r="G4701" s="4">
        <v>3832241897</v>
      </c>
      <c r="H4701" s="6" t="e">
        <f t="shared" ca="1" si="91"/>
        <v>#VALUE!</v>
      </c>
      <c r="I4701" s="7" t="str">
        <f ca="1">IFERROR(__xludf.DUMMYFUNCTION("IMPORTXML(E4701,""/html/body/main/div[3]/div[3]/div[2]/ul/li[5]/span[2]/span"")"),"Loading...")</f>
        <v>Loading...</v>
      </c>
      <c r="J4701" s="7" t="str">
        <f ca="1">IFERROR(__xludf.DUMMYFUNCTION("GOOGLEFINANCE(""NSE:""&amp;D4701,""marketcap"")"),"#N/A")</f>
        <v>#N/A</v>
      </c>
      <c r="K4701" s="7">
        <v>992.8</v>
      </c>
      <c r="L4701" s="8" t="str">
        <f ca="1">IFERROR(__xludf.DUMMYFUNCTION("GOOGLEFINANCE(""NSE:""&amp;D4701,""price"")"),"#N/A")</f>
        <v>#N/A</v>
      </c>
      <c r="M4701" s="9" t="e">
        <f t="shared" ca="1" si="92"/>
        <v>#VALUE!</v>
      </c>
      <c r="N4701" s="10" t="e">
        <f t="shared" ca="1" si="93"/>
        <v>#VALUE!</v>
      </c>
      <c r="O4701" s="7" t="str">
        <f ca="1">IFERROR(__xludf.DUMMYFUNCTION("GOOGLEFINANCE(""NSE:""&amp;D4701,""pe"")"),"#N/A")</f>
        <v>#N/A</v>
      </c>
      <c r="P4701" s="7" t="str">
        <f ca="1">IFERROR(__xludf.DUMMYFUNCTION("GOOGLEFINANCE(""NSE:""&amp;D4701,""EPS"")"),"#N/A")</f>
        <v>#N/A</v>
      </c>
      <c r="Q4701" s="7">
        <v>13.5</v>
      </c>
      <c r="R4701" s="7" t="str">
        <f ca="1">IFERROR(__xludf.DUMMYFUNCTION("IMPORTXML(E4701,""/html/body/main/div[3]/div[3]/div[2]/ul/li[7]/span[2]/span"")"),"Loading...")</f>
        <v>Loading...</v>
      </c>
      <c r="S4701" s="7" t="str">
        <f ca="1">IFERROR(__xludf.DUMMYFUNCTION("IMPORTXML(E4701,""/html/body/main/div[3]/div[3]/div[2]/ul/li[8]/span[2]/span"")"),"Loading...")</f>
        <v>Loading...</v>
      </c>
      <c r="T4701" s="4">
        <v>34.6</v>
      </c>
      <c r="U4701" s="4">
        <v>22.7</v>
      </c>
      <c r="V4701" s="4">
        <v>2.6</v>
      </c>
      <c r="W4701" s="4">
        <v>5.7</v>
      </c>
      <c r="X4701" s="4">
        <v>519.92999999999995</v>
      </c>
      <c r="Y4701" s="7" t="e">
        <f t="shared" ca="1" si="94"/>
        <v>#VALUE!</v>
      </c>
    </row>
    <row r="4702" spans="1:25" ht="15" x14ac:dyDescent="0.25">
      <c r="A4702" s="4">
        <v>4701</v>
      </c>
      <c r="C4702" s="41" t="s">
        <v>7079</v>
      </c>
      <c r="D4702" s="42"/>
      <c r="E4702" s="5" t="str">
        <f t="shared" si="90"/>
        <v>https://www.screener.in/company//consolidated/</v>
      </c>
      <c r="F4702" s="4">
        <v>443059</v>
      </c>
      <c r="G4702" s="4">
        <v>3832241897</v>
      </c>
      <c r="H4702" s="6" t="e">
        <f t="shared" ca="1" si="91"/>
        <v>#VALUE!</v>
      </c>
      <c r="I4702" s="7" t="str">
        <f ca="1">IFERROR(__xludf.DUMMYFUNCTION("IMPORTXML(E4702,""/html/body/main/div[3]/div[3]/div[2]/ul/li[5]/span[2]/span"")"),"Loading...")</f>
        <v>Loading...</v>
      </c>
      <c r="J4702" s="7" t="str">
        <f ca="1">IFERROR(__xludf.DUMMYFUNCTION("GOOGLEFINANCE(""NSE:""&amp;D4702,""marketcap"")"),"#N/A")</f>
        <v>#N/A</v>
      </c>
      <c r="K4702" s="7">
        <v>992.8</v>
      </c>
      <c r="L4702" s="8" t="str">
        <f ca="1">IFERROR(__xludf.DUMMYFUNCTION("GOOGLEFINANCE(""NSE:""&amp;D4702,""price"")"),"#N/A")</f>
        <v>#N/A</v>
      </c>
      <c r="M4702" s="9" t="e">
        <f t="shared" ca="1" si="92"/>
        <v>#VALUE!</v>
      </c>
      <c r="N4702" s="10" t="e">
        <f t="shared" ca="1" si="93"/>
        <v>#VALUE!</v>
      </c>
      <c r="O4702" s="7" t="str">
        <f ca="1">IFERROR(__xludf.DUMMYFUNCTION("GOOGLEFINANCE(""NSE:""&amp;D4702,""pe"")"),"#N/A")</f>
        <v>#N/A</v>
      </c>
      <c r="P4702" s="7" t="str">
        <f ca="1">IFERROR(__xludf.DUMMYFUNCTION("GOOGLEFINANCE(""NSE:""&amp;D4702,""EPS"")"),"#N/A")</f>
        <v>#N/A</v>
      </c>
      <c r="Q4702" s="7">
        <v>13.5</v>
      </c>
      <c r="R4702" s="7" t="str">
        <f ca="1">IFERROR(__xludf.DUMMYFUNCTION("IMPORTXML(E4702,""/html/body/main/div[3]/div[3]/div[2]/ul/li[7]/span[2]/span"")"),"Loading...")</f>
        <v>Loading...</v>
      </c>
      <c r="S4702" s="7" t="str">
        <f ca="1">IFERROR(__xludf.DUMMYFUNCTION("IMPORTXML(E4702,""/html/body/main/div[3]/div[3]/div[2]/ul/li[8]/span[2]/span"")"),"Loading...")</f>
        <v>Loading...</v>
      </c>
      <c r="T4702" s="4">
        <v>34.6</v>
      </c>
      <c r="U4702" s="4">
        <v>22.7</v>
      </c>
      <c r="V4702" s="4">
        <v>2.6</v>
      </c>
      <c r="W4702" s="4">
        <v>5.7</v>
      </c>
      <c r="X4702" s="4">
        <v>519.92999999999995</v>
      </c>
      <c r="Y4702" s="7" t="e">
        <f t="shared" ca="1" si="94"/>
        <v>#VALUE!</v>
      </c>
    </row>
    <row r="4703" spans="1:25" ht="15" x14ac:dyDescent="0.25">
      <c r="A4703" s="4">
        <v>4702</v>
      </c>
      <c r="C4703" s="41" t="s">
        <v>7080</v>
      </c>
      <c r="D4703" s="42"/>
      <c r="E4703" s="5" t="str">
        <f t="shared" si="90"/>
        <v>https://www.screener.in/company//consolidated/</v>
      </c>
      <c r="F4703" s="4">
        <v>443059</v>
      </c>
      <c r="G4703" s="4">
        <v>3832241897</v>
      </c>
      <c r="H4703" s="6" t="e">
        <f t="shared" ca="1" si="91"/>
        <v>#VALUE!</v>
      </c>
      <c r="I4703" s="7" t="str">
        <f ca="1">IFERROR(__xludf.DUMMYFUNCTION("IMPORTXML(E4703,""/html/body/main/div[3]/div[3]/div[2]/ul/li[5]/span[2]/span"")"),"Loading...")</f>
        <v>Loading...</v>
      </c>
      <c r="J4703" s="7" t="str">
        <f ca="1">IFERROR(__xludf.DUMMYFUNCTION("GOOGLEFINANCE(""NSE:""&amp;D4703,""marketcap"")"),"#N/A")</f>
        <v>#N/A</v>
      </c>
      <c r="K4703" s="7">
        <v>992.8</v>
      </c>
      <c r="L4703" s="8" t="str">
        <f ca="1">IFERROR(__xludf.DUMMYFUNCTION("GOOGLEFINANCE(""NSE:""&amp;D4703,""price"")"),"#N/A")</f>
        <v>#N/A</v>
      </c>
      <c r="M4703" s="9" t="e">
        <f t="shared" ca="1" si="92"/>
        <v>#VALUE!</v>
      </c>
      <c r="N4703" s="10" t="e">
        <f t="shared" ca="1" si="93"/>
        <v>#VALUE!</v>
      </c>
      <c r="O4703" s="7" t="str">
        <f ca="1">IFERROR(__xludf.DUMMYFUNCTION("GOOGLEFINANCE(""NSE:""&amp;D4703,""pe"")"),"#N/A")</f>
        <v>#N/A</v>
      </c>
      <c r="P4703" s="7" t="str">
        <f ca="1">IFERROR(__xludf.DUMMYFUNCTION("GOOGLEFINANCE(""NSE:""&amp;D4703,""EPS"")"),"#N/A")</f>
        <v>#N/A</v>
      </c>
      <c r="Q4703" s="7">
        <v>13.5</v>
      </c>
      <c r="R4703" s="7" t="str">
        <f ca="1">IFERROR(__xludf.DUMMYFUNCTION("IMPORTXML(E4703,""/html/body/main/div[3]/div[3]/div[2]/ul/li[7]/span[2]/span"")"),"Loading...")</f>
        <v>Loading...</v>
      </c>
      <c r="S4703" s="7" t="str">
        <f ca="1">IFERROR(__xludf.DUMMYFUNCTION("IMPORTXML(E4703,""/html/body/main/div[3]/div[3]/div[2]/ul/li[8]/span[2]/span"")"),"Loading...")</f>
        <v>Loading...</v>
      </c>
      <c r="T4703" s="4">
        <v>34.6</v>
      </c>
      <c r="U4703" s="4">
        <v>22.7</v>
      </c>
      <c r="V4703" s="4">
        <v>2.6</v>
      </c>
      <c r="W4703" s="4">
        <v>5.7</v>
      </c>
      <c r="X4703" s="4">
        <v>519.92999999999995</v>
      </c>
      <c r="Y4703" s="7" t="e">
        <f t="shared" ca="1" si="94"/>
        <v>#VALUE!</v>
      </c>
    </row>
    <row r="4704" spans="1:25" ht="15" x14ac:dyDescent="0.25">
      <c r="A4704" s="4">
        <v>4703</v>
      </c>
      <c r="C4704" s="41" t="s">
        <v>7081</v>
      </c>
      <c r="D4704" s="42"/>
      <c r="E4704" s="5" t="str">
        <f t="shared" si="90"/>
        <v>https://www.screener.in/company//consolidated/</v>
      </c>
      <c r="F4704" s="4">
        <v>443059</v>
      </c>
      <c r="G4704" s="4">
        <v>3832241897</v>
      </c>
      <c r="H4704" s="6" t="e">
        <f t="shared" ca="1" si="91"/>
        <v>#VALUE!</v>
      </c>
      <c r="I4704" s="7" t="str">
        <f ca="1">IFERROR(__xludf.DUMMYFUNCTION("IMPORTXML(E4704,""/html/body/main/div[3]/div[3]/div[2]/ul/li[5]/span[2]/span"")"),"Loading...")</f>
        <v>Loading...</v>
      </c>
      <c r="J4704" s="7" t="str">
        <f ca="1">IFERROR(__xludf.DUMMYFUNCTION("GOOGLEFINANCE(""NSE:""&amp;D4704,""marketcap"")"),"#N/A")</f>
        <v>#N/A</v>
      </c>
      <c r="K4704" s="7">
        <v>992.8</v>
      </c>
      <c r="L4704" s="8" t="str">
        <f ca="1">IFERROR(__xludf.DUMMYFUNCTION("GOOGLEFINANCE(""NSE:""&amp;D4704,""price"")"),"#N/A")</f>
        <v>#N/A</v>
      </c>
      <c r="M4704" s="9" t="e">
        <f t="shared" ca="1" si="92"/>
        <v>#VALUE!</v>
      </c>
      <c r="N4704" s="10" t="e">
        <f t="shared" ca="1" si="93"/>
        <v>#VALUE!</v>
      </c>
      <c r="O4704" s="7" t="str">
        <f ca="1">IFERROR(__xludf.DUMMYFUNCTION("GOOGLEFINANCE(""NSE:""&amp;D4704,""pe"")"),"#N/A")</f>
        <v>#N/A</v>
      </c>
      <c r="P4704" s="7" t="str">
        <f ca="1">IFERROR(__xludf.DUMMYFUNCTION("GOOGLEFINANCE(""NSE:""&amp;D4704,""EPS"")"),"#N/A")</f>
        <v>#N/A</v>
      </c>
      <c r="Q4704" s="7">
        <v>13.5</v>
      </c>
      <c r="R4704" s="7" t="str">
        <f ca="1">IFERROR(__xludf.DUMMYFUNCTION("IMPORTXML(E4704,""/html/body/main/div[3]/div[3]/div[2]/ul/li[7]/span[2]/span"")"),"Loading...")</f>
        <v>Loading...</v>
      </c>
      <c r="S4704" s="7" t="str">
        <f ca="1">IFERROR(__xludf.DUMMYFUNCTION("IMPORTXML(E4704,""/html/body/main/div[3]/div[3]/div[2]/ul/li[8]/span[2]/span"")"),"Loading...")</f>
        <v>Loading...</v>
      </c>
      <c r="T4704" s="4">
        <v>34.6</v>
      </c>
      <c r="U4704" s="4">
        <v>22.7</v>
      </c>
      <c r="V4704" s="4">
        <v>2.6</v>
      </c>
      <c r="W4704" s="4">
        <v>5.7</v>
      </c>
      <c r="X4704" s="4">
        <v>519.92999999999995</v>
      </c>
      <c r="Y4704" s="7" t="e">
        <f t="shared" ca="1" si="94"/>
        <v>#VALUE!</v>
      </c>
    </row>
    <row r="4705" spans="1:25" ht="15" x14ac:dyDescent="0.25">
      <c r="A4705" s="4">
        <v>4704</v>
      </c>
      <c r="C4705" s="41" t="s">
        <v>7082</v>
      </c>
      <c r="D4705" s="42"/>
      <c r="E4705" s="5" t="str">
        <f t="shared" si="90"/>
        <v>https://www.screener.in/company//consolidated/</v>
      </c>
      <c r="F4705" s="4">
        <v>443059</v>
      </c>
      <c r="G4705" s="4">
        <v>3832241897</v>
      </c>
      <c r="H4705" s="6" t="e">
        <f t="shared" ca="1" si="91"/>
        <v>#VALUE!</v>
      </c>
      <c r="I4705" s="7" t="str">
        <f ca="1">IFERROR(__xludf.DUMMYFUNCTION("IMPORTXML(E4705,""/html/body/main/div[3]/div[3]/div[2]/ul/li[5]/span[2]/span"")"),"Loading...")</f>
        <v>Loading...</v>
      </c>
      <c r="J4705" s="7" t="str">
        <f ca="1">IFERROR(__xludf.DUMMYFUNCTION("GOOGLEFINANCE(""NSE:""&amp;D4705,""marketcap"")"),"#N/A")</f>
        <v>#N/A</v>
      </c>
      <c r="K4705" s="7">
        <v>992.8</v>
      </c>
      <c r="L4705" s="8" t="str">
        <f ca="1">IFERROR(__xludf.DUMMYFUNCTION("GOOGLEFINANCE(""NSE:""&amp;D4705,""price"")"),"#N/A")</f>
        <v>#N/A</v>
      </c>
      <c r="M4705" s="9" t="e">
        <f t="shared" ca="1" si="92"/>
        <v>#VALUE!</v>
      </c>
      <c r="N4705" s="10" t="e">
        <f t="shared" ca="1" si="93"/>
        <v>#VALUE!</v>
      </c>
      <c r="O4705" s="7" t="str">
        <f ca="1">IFERROR(__xludf.DUMMYFUNCTION("GOOGLEFINANCE(""NSE:""&amp;D4705,""pe"")"),"#N/A")</f>
        <v>#N/A</v>
      </c>
      <c r="P4705" s="7" t="str">
        <f ca="1">IFERROR(__xludf.DUMMYFUNCTION("GOOGLEFINANCE(""NSE:""&amp;D4705,""EPS"")"),"#N/A")</f>
        <v>#N/A</v>
      </c>
      <c r="Q4705" s="7">
        <v>13.5</v>
      </c>
      <c r="R4705" s="7" t="str">
        <f ca="1">IFERROR(__xludf.DUMMYFUNCTION("IMPORTXML(E4705,""/html/body/main/div[3]/div[3]/div[2]/ul/li[7]/span[2]/span"")"),"Loading...")</f>
        <v>Loading...</v>
      </c>
      <c r="S4705" s="7" t="str">
        <f ca="1">IFERROR(__xludf.DUMMYFUNCTION("IMPORTXML(E4705,""/html/body/main/div[3]/div[3]/div[2]/ul/li[8]/span[2]/span"")"),"Loading...")</f>
        <v>Loading...</v>
      </c>
      <c r="T4705" s="4">
        <v>34.6</v>
      </c>
      <c r="U4705" s="4">
        <v>22.7</v>
      </c>
      <c r="V4705" s="4">
        <v>2.6</v>
      </c>
      <c r="W4705" s="4">
        <v>5.7</v>
      </c>
      <c r="X4705" s="4">
        <v>519.92999999999995</v>
      </c>
      <c r="Y4705" s="7" t="e">
        <f t="shared" ca="1" si="94"/>
        <v>#VALUE!</v>
      </c>
    </row>
    <row r="4706" spans="1:25" ht="15" x14ac:dyDescent="0.25">
      <c r="A4706" s="4">
        <v>4705</v>
      </c>
      <c r="C4706" s="41" t="s">
        <v>7083</v>
      </c>
      <c r="D4706" s="42"/>
      <c r="E4706" s="5" t="str">
        <f t="shared" si="90"/>
        <v>https://www.screener.in/company//consolidated/</v>
      </c>
      <c r="F4706" s="4">
        <v>443059</v>
      </c>
      <c r="G4706" s="4">
        <v>3832241897</v>
      </c>
      <c r="H4706" s="6" t="e">
        <f t="shared" ca="1" si="91"/>
        <v>#VALUE!</v>
      </c>
      <c r="I4706" s="7" t="str">
        <f ca="1">IFERROR(__xludf.DUMMYFUNCTION("IMPORTXML(E4706,""/html/body/main/div[3]/div[3]/div[2]/ul/li[5]/span[2]/span"")"),"Loading...")</f>
        <v>Loading...</v>
      </c>
      <c r="J4706" s="7" t="str">
        <f ca="1">IFERROR(__xludf.DUMMYFUNCTION("GOOGLEFINANCE(""NSE:""&amp;D4706,""marketcap"")"),"#N/A")</f>
        <v>#N/A</v>
      </c>
      <c r="K4706" s="7">
        <v>992.8</v>
      </c>
      <c r="L4706" s="8" t="str">
        <f ca="1">IFERROR(__xludf.DUMMYFUNCTION("GOOGLEFINANCE(""NSE:""&amp;D4706,""price"")"),"#N/A")</f>
        <v>#N/A</v>
      </c>
      <c r="M4706" s="9" t="e">
        <f t="shared" ca="1" si="92"/>
        <v>#VALUE!</v>
      </c>
      <c r="N4706" s="10" t="e">
        <f t="shared" ca="1" si="93"/>
        <v>#VALUE!</v>
      </c>
      <c r="O4706" s="7" t="str">
        <f ca="1">IFERROR(__xludf.DUMMYFUNCTION("GOOGLEFINANCE(""NSE:""&amp;D4706,""pe"")"),"#N/A")</f>
        <v>#N/A</v>
      </c>
      <c r="P4706" s="7" t="str">
        <f ca="1">IFERROR(__xludf.DUMMYFUNCTION("GOOGLEFINANCE(""NSE:""&amp;D4706,""EPS"")"),"#N/A")</f>
        <v>#N/A</v>
      </c>
      <c r="Q4706" s="7">
        <v>13.5</v>
      </c>
      <c r="R4706" s="7" t="str">
        <f ca="1">IFERROR(__xludf.DUMMYFUNCTION("IMPORTXML(E4706,""/html/body/main/div[3]/div[3]/div[2]/ul/li[7]/span[2]/span"")"),"Loading...")</f>
        <v>Loading...</v>
      </c>
      <c r="S4706" s="7" t="str">
        <f ca="1">IFERROR(__xludf.DUMMYFUNCTION("IMPORTXML(E4706,""/html/body/main/div[3]/div[3]/div[2]/ul/li[8]/span[2]/span"")"),"Loading...")</f>
        <v>Loading...</v>
      </c>
      <c r="T4706" s="4">
        <v>34.6</v>
      </c>
      <c r="U4706" s="4">
        <v>22.7</v>
      </c>
      <c r="V4706" s="4">
        <v>2.6</v>
      </c>
      <c r="W4706" s="4">
        <v>5.7</v>
      </c>
      <c r="X4706" s="4">
        <v>519.92999999999995</v>
      </c>
      <c r="Y4706" s="7" t="e">
        <f t="shared" ca="1" si="94"/>
        <v>#VALUE!</v>
      </c>
    </row>
    <row r="4707" spans="1:25" ht="15" x14ac:dyDescent="0.25">
      <c r="A4707" s="4">
        <v>4706</v>
      </c>
      <c r="C4707" s="41" t="s">
        <v>7084</v>
      </c>
      <c r="D4707" s="42"/>
      <c r="E4707" s="5" t="str">
        <f t="shared" si="90"/>
        <v>https://www.screener.in/company//consolidated/</v>
      </c>
      <c r="F4707" s="4">
        <v>443059</v>
      </c>
      <c r="G4707" s="4">
        <v>3832241897</v>
      </c>
      <c r="H4707" s="6" t="e">
        <f t="shared" ca="1" si="91"/>
        <v>#VALUE!</v>
      </c>
      <c r="I4707" s="7" t="str">
        <f ca="1">IFERROR(__xludf.DUMMYFUNCTION("IMPORTXML(E4707,""/html/body/main/div[3]/div[3]/div[2]/ul/li[5]/span[2]/span"")"),"Loading...")</f>
        <v>Loading...</v>
      </c>
      <c r="J4707" s="7" t="str">
        <f ca="1">IFERROR(__xludf.DUMMYFUNCTION("GOOGLEFINANCE(""NSE:""&amp;D4707,""marketcap"")"),"#N/A")</f>
        <v>#N/A</v>
      </c>
      <c r="K4707" s="7">
        <v>992.8</v>
      </c>
      <c r="L4707" s="8" t="str">
        <f ca="1">IFERROR(__xludf.DUMMYFUNCTION("GOOGLEFINANCE(""NSE:""&amp;D4707,""price"")"),"#N/A")</f>
        <v>#N/A</v>
      </c>
      <c r="M4707" s="9" t="e">
        <f t="shared" ca="1" si="92"/>
        <v>#VALUE!</v>
      </c>
      <c r="N4707" s="10" t="e">
        <f t="shared" ca="1" si="93"/>
        <v>#VALUE!</v>
      </c>
      <c r="O4707" s="7" t="str">
        <f ca="1">IFERROR(__xludf.DUMMYFUNCTION("GOOGLEFINANCE(""NSE:""&amp;D4707,""pe"")"),"#N/A")</f>
        <v>#N/A</v>
      </c>
      <c r="P4707" s="7" t="str">
        <f ca="1">IFERROR(__xludf.DUMMYFUNCTION("GOOGLEFINANCE(""NSE:""&amp;D4707,""EPS"")"),"#N/A")</f>
        <v>#N/A</v>
      </c>
      <c r="Q4707" s="7">
        <v>13.5</v>
      </c>
      <c r="R4707" s="7" t="str">
        <f ca="1">IFERROR(__xludf.DUMMYFUNCTION("IMPORTXML(E4707,""/html/body/main/div[3]/div[3]/div[2]/ul/li[7]/span[2]/span"")"),"Loading...")</f>
        <v>Loading...</v>
      </c>
      <c r="S4707" s="7" t="str">
        <f ca="1">IFERROR(__xludf.DUMMYFUNCTION("IMPORTXML(E4707,""/html/body/main/div[3]/div[3]/div[2]/ul/li[8]/span[2]/span"")"),"Loading...")</f>
        <v>Loading...</v>
      </c>
      <c r="T4707" s="4">
        <v>34.6</v>
      </c>
      <c r="U4707" s="4">
        <v>22.7</v>
      </c>
      <c r="V4707" s="4">
        <v>2.6</v>
      </c>
      <c r="W4707" s="4">
        <v>5.7</v>
      </c>
      <c r="X4707" s="4">
        <v>519.92999999999995</v>
      </c>
      <c r="Y4707" s="7" t="e">
        <f t="shared" ca="1" si="94"/>
        <v>#VALUE!</v>
      </c>
    </row>
    <row r="4708" spans="1:25" ht="15" x14ac:dyDescent="0.25">
      <c r="A4708" s="4">
        <v>4707</v>
      </c>
      <c r="C4708" s="41" t="s">
        <v>7085</v>
      </c>
      <c r="D4708" s="42"/>
      <c r="E4708" s="5" t="str">
        <f t="shared" si="90"/>
        <v>https://www.screener.in/company//consolidated/</v>
      </c>
      <c r="F4708" s="4">
        <v>443059</v>
      </c>
      <c r="G4708" s="4">
        <v>3832241897</v>
      </c>
      <c r="H4708" s="6" t="e">
        <f t="shared" ca="1" si="91"/>
        <v>#VALUE!</v>
      </c>
      <c r="I4708" s="7" t="str">
        <f ca="1">IFERROR(__xludf.DUMMYFUNCTION("IMPORTXML(E4708,""/html/body/main/div[3]/div[3]/div[2]/ul/li[5]/span[2]/span"")"),"Loading...")</f>
        <v>Loading...</v>
      </c>
      <c r="J4708" s="7" t="str">
        <f ca="1">IFERROR(__xludf.DUMMYFUNCTION("GOOGLEFINANCE(""NSE:""&amp;D4708,""marketcap"")"),"#N/A")</f>
        <v>#N/A</v>
      </c>
      <c r="K4708" s="7">
        <v>992.8</v>
      </c>
      <c r="L4708" s="8" t="str">
        <f ca="1">IFERROR(__xludf.DUMMYFUNCTION("GOOGLEFINANCE(""NSE:""&amp;D4708,""price"")"),"#N/A")</f>
        <v>#N/A</v>
      </c>
      <c r="M4708" s="9" t="e">
        <f t="shared" ca="1" si="92"/>
        <v>#VALUE!</v>
      </c>
      <c r="N4708" s="10" t="e">
        <f t="shared" ca="1" si="93"/>
        <v>#VALUE!</v>
      </c>
      <c r="O4708" s="7" t="str">
        <f ca="1">IFERROR(__xludf.DUMMYFUNCTION("GOOGLEFINANCE(""NSE:""&amp;D4708,""pe"")"),"#N/A")</f>
        <v>#N/A</v>
      </c>
      <c r="P4708" s="7" t="str">
        <f ca="1">IFERROR(__xludf.DUMMYFUNCTION("GOOGLEFINANCE(""NSE:""&amp;D4708,""EPS"")"),"#N/A")</f>
        <v>#N/A</v>
      </c>
      <c r="Q4708" s="7">
        <v>13.5</v>
      </c>
      <c r="R4708" s="7" t="str">
        <f ca="1">IFERROR(__xludf.DUMMYFUNCTION("IMPORTXML(E4708,""/html/body/main/div[3]/div[3]/div[2]/ul/li[7]/span[2]/span"")"),"Loading...")</f>
        <v>Loading...</v>
      </c>
      <c r="S4708" s="7" t="str">
        <f ca="1">IFERROR(__xludf.DUMMYFUNCTION("IMPORTXML(E4708,""/html/body/main/div[3]/div[3]/div[2]/ul/li[8]/span[2]/span"")"),"Loading...")</f>
        <v>Loading...</v>
      </c>
      <c r="T4708" s="4">
        <v>34.6</v>
      </c>
      <c r="U4708" s="4">
        <v>22.7</v>
      </c>
      <c r="V4708" s="4">
        <v>2.6</v>
      </c>
      <c r="W4708" s="4">
        <v>5.7</v>
      </c>
      <c r="X4708" s="4">
        <v>519.92999999999995</v>
      </c>
      <c r="Y4708" s="7" t="e">
        <f t="shared" ca="1" si="94"/>
        <v>#VALUE!</v>
      </c>
    </row>
    <row r="4709" spans="1:25" ht="15" x14ac:dyDescent="0.25">
      <c r="A4709" s="4">
        <v>4708</v>
      </c>
      <c r="C4709" s="41" t="s">
        <v>7086</v>
      </c>
      <c r="D4709" s="42"/>
      <c r="E4709" s="5" t="str">
        <f t="shared" si="90"/>
        <v>https://www.screener.in/company//consolidated/</v>
      </c>
      <c r="F4709" s="4">
        <v>443059</v>
      </c>
      <c r="G4709" s="4">
        <v>3832241897</v>
      </c>
      <c r="H4709" s="6" t="e">
        <f t="shared" ca="1" si="91"/>
        <v>#VALUE!</v>
      </c>
      <c r="I4709" s="7" t="str">
        <f ca="1">IFERROR(__xludf.DUMMYFUNCTION("IMPORTXML(E4709,""/html/body/main/div[3]/div[3]/div[2]/ul/li[5]/span[2]/span"")"),"Loading...")</f>
        <v>Loading...</v>
      </c>
      <c r="J4709" s="7" t="str">
        <f ca="1">IFERROR(__xludf.DUMMYFUNCTION("GOOGLEFINANCE(""NSE:""&amp;D4709,""marketcap"")"),"#N/A")</f>
        <v>#N/A</v>
      </c>
      <c r="K4709" s="7">
        <v>992.8</v>
      </c>
      <c r="L4709" s="8" t="str">
        <f ca="1">IFERROR(__xludf.DUMMYFUNCTION("GOOGLEFINANCE(""NSE:""&amp;D4709,""price"")"),"#N/A")</f>
        <v>#N/A</v>
      </c>
      <c r="M4709" s="9" t="e">
        <f t="shared" ca="1" si="92"/>
        <v>#VALUE!</v>
      </c>
      <c r="N4709" s="10" t="e">
        <f t="shared" ca="1" si="93"/>
        <v>#VALUE!</v>
      </c>
      <c r="O4709" s="7" t="str">
        <f ca="1">IFERROR(__xludf.DUMMYFUNCTION("GOOGLEFINANCE(""NSE:""&amp;D4709,""pe"")"),"#N/A")</f>
        <v>#N/A</v>
      </c>
      <c r="P4709" s="7" t="str">
        <f ca="1">IFERROR(__xludf.DUMMYFUNCTION("GOOGLEFINANCE(""NSE:""&amp;D4709,""EPS"")"),"#N/A")</f>
        <v>#N/A</v>
      </c>
      <c r="Q4709" s="7">
        <v>13.5</v>
      </c>
      <c r="R4709" s="7" t="str">
        <f ca="1">IFERROR(__xludf.DUMMYFUNCTION("IMPORTXML(E4709,""/html/body/main/div[3]/div[3]/div[2]/ul/li[7]/span[2]/span"")"),"Loading...")</f>
        <v>Loading...</v>
      </c>
      <c r="S4709" s="7" t="str">
        <f ca="1">IFERROR(__xludf.DUMMYFUNCTION("IMPORTXML(E4709,""/html/body/main/div[3]/div[3]/div[2]/ul/li[8]/span[2]/span"")"),"Loading...")</f>
        <v>Loading...</v>
      </c>
      <c r="T4709" s="4">
        <v>34.6</v>
      </c>
      <c r="U4709" s="4">
        <v>22.7</v>
      </c>
      <c r="V4709" s="4">
        <v>2.6</v>
      </c>
      <c r="W4709" s="4">
        <v>5.7</v>
      </c>
      <c r="X4709" s="4">
        <v>519.92999999999995</v>
      </c>
      <c r="Y4709" s="7" t="e">
        <f t="shared" ca="1" si="94"/>
        <v>#VALUE!</v>
      </c>
    </row>
    <row r="4710" spans="1:25" ht="15" x14ac:dyDescent="0.25">
      <c r="A4710" s="4">
        <v>4709</v>
      </c>
      <c r="C4710" s="41" t="s">
        <v>7087</v>
      </c>
      <c r="D4710" s="42"/>
      <c r="E4710" s="5" t="str">
        <f t="shared" si="90"/>
        <v>https://www.screener.in/company//consolidated/</v>
      </c>
      <c r="F4710" s="4">
        <v>443059</v>
      </c>
      <c r="G4710" s="4">
        <v>3832241897</v>
      </c>
      <c r="H4710" s="6" t="e">
        <f t="shared" ca="1" si="91"/>
        <v>#VALUE!</v>
      </c>
      <c r="I4710" s="7" t="str">
        <f ca="1">IFERROR(__xludf.DUMMYFUNCTION("IMPORTXML(E4710,""/html/body/main/div[3]/div[3]/div[2]/ul/li[5]/span[2]/span"")"),"Loading...")</f>
        <v>Loading...</v>
      </c>
      <c r="J4710" s="7" t="str">
        <f ca="1">IFERROR(__xludf.DUMMYFUNCTION("GOOGLEFINANCE(""NSE:""&amp;D4710,""marketcap"")"),"#N/A")</f>
        <v>#N/A</v>
      </c>
      <c r="K4710" s="7">
        <v>992.8</v>
      </c>
      <c r="L4710" s="8" t="str">
        <f ca="1">IFERROR(__xludf.DUMMYFUNCTION("GOOGLEFINANCE(""NSE:""&amp;D4710,""price"")"),"#N/A")</f>
        <v>#N/A</v>
      </c>
      <c r="M4710" s="9" t="e">
        <f t="shared" ca="1" si="92"/>
        <v>#VALUE!</v>
      </c>
      <c r="N4710" s="10" t="e">
        <f t="shared" ca="1" si="93"/>
        <v>#VALUE!</v>
      </c>
      <c r="O4710" s="7" t="str">
        <f ca="1">IFERROR(__xludf.DUMMYFUNCTION("GOOGLEFINANCE(""NSE:""&amp;D4710,""pe"")"),"#N/A")</f>
        <v>#N/A</v>
      </c>
      <c r="P4710" s="7" t="str">
        <f ca="1">IFERROR(__xludf.DUMMYFUNCTION("GOOGLEFINANCE(""NSE:""&amp;D4710,""EPS"")"),"#N/A")</f>
        <v>#N/A</v>
      </c>
      <c r="Q4710" s="7">
        <v>13.5</v>
      </c>
      <c r="R4710" s="7" t="str">
        <f ca="1">IFERROR(__xludf.DUMMYFUNCTION("IMPORTXML(E4710,""/html/body/main/div[3]/div[3]/div[2]/ul/li[7]/span[2]/span"")"),"Loading...")</f>
        <v>Loading...</v>
      </c>
      <c r="S4710" s="7" t="str">
        <f ca="1">IFERROR(__xludf.DUMMYFUNCTION("IMPORTXML(E4710,""/html/body/main/div[3]/div[3]/div[2]/ul/li[8]/span[2]/span"")"),"Loading...")</f>
        <v>Loading...</v>
      </c>
      <c r="T4710" s="4">
        <v>34.6</v>
      </c>
      <c r="U4710" s="4">
        <v>22.7</v>
      </c>
      <c r="V4710" s="4">
        <v>2.6</v>
      </c>
      <c r="W4710" s="4">
        <v>5.7</v>
      </c>
      <c r="X4710" s="4">
        <v>519.92999999999995</v>
      </c>
      <c r="Y4710" s="7" t="e">
        <f t="shared" ca="1" si="94"/>
        <v>#VALUE!</v>
      </c>
    </row>
    <row r="4711" spans="1:25" ht="15" x14ac:dyDescent="0.25">
      <c r="A4711" s="4">
        <v>4710</v>
      </c>
      <c r="C4711" s="41" t="s">
        <v>7088</v>
      </c>
      <c r="D4711" s="42"/>
      <c r="E4711" s="5" t="str">
        <f t="shared" si="90"/>
        <v>https://www.screener.in/company//consolidated/</v>
      </c>
      <c r="F4711" s="4">
        <v>443059</v>
      </c>
      <c r="G4711" s="4">
        <v>3832241897</v>
      </c>
      <c r="H4711" s="6" t="e">
        <f t="shared" ca="1" si="91"/>
        <v>#VALUE!</v>
      </c>
      <c r="I4711" s="7" t="str">
        <f ca="1">IFERROR(__xludf.DUMMYFUNCTION("IMPORTXML(E4711,""/html/body/main/div[3]/div[3]/div[2]/ul/li[5]/span[2]/span"")"),"Loading...")</f>
        <v>Loading...</v>
      </c>
      <c r="J4711" s="7" t="str">
        <f ca="1">IFERROR(__xludf.DUMMYFUNCTION("GOOGLEFINANCE(""NSE:""&amp;D4711,""marketcap"")"),"#N/A")</f>
        <v>#N/A</v>
      </c>
      <c r="K4711" s="7">
        <v>992.8</v>
      </c>
      <c r="L4711" s="8" t="str">
        <f ca="1">IFERROR(__xludf.DUMMYFUNCTION("GOOGLEFINANCE(""NSE:""&amp;D4711,""price"")"),"#N/A")</f>
        <v>#N/A</v>
      </c>
      <c r="M4711" s="9" t="e">
        <f t="shared" ca="1" si="92"/>
        <v>#VALUE!</v>
      </c>
      <c r="N4711" s="10" t="e">
        <f t="shared" ca="1" si="93"/>
        <v>#VALUE!</v>
      </c>
      <c r="O4711" s="7" t="str">
        <f ca="1">IFERROR(__xludf.DUMMYFUNCTION("GOOGLEFINANCE(""NSE:""&amp;D4711,""pe"")"),"#N/A")</f>
        <v>#N/A</v>
      </c>
      <c r="P4711" s="7" t="str">
        <f ca="1">IFERROR(__xludf.DUMMYFUNCTION("GOOGLEFINANCE(""NSE:""&amp;D4711,""EPS"")"),"#N/A")</f>
        <v>#N/A</v>
      </c>
      <c r="Q4711" s="7">
        <v>13.5</v>
      </c>
      <c r="R4711" s="7" t="str">
        <f ca="1">IFERROR(__xludf.DUMMYFUNCTION("IMPORTXML(E4711,""/html/body/main/div[3]/div[3]/div[2]/ul/li[7]/span[2]/span"")"),"Loading...")</f>
        <v>Loading...</v>
      </c>
      <c r="S4711" s="7" t="str">
        <f ca="1">IFERROR(__xludf.DUMMYFUNCTION("IMPORTXML(E4711,""/html/body/main/div[3]/div[3]/div[2]/ul/li[8]/span[2]/span"")"),"Loading...")</f>
        <v>Loading...</v>
      </c>
      <c r="T4711" s="4">
        <v>34.6</v>
      </c>
      <c r="U4711" s="4">
        <v>22.7</v>
      </c>
      <c r="V4711" s="4">
        <v>2.6</v>
      </c>
      <c r="W4711" s="4">
        <v>5.7</v>
      </c>
      <c r="X4711" s="4">
        <v>519.92999999999995</v>
      </c>
      <c r="Y4711" s="7" t="e">
        <f t="shared" ca="1" si="94"/>
        <v>#VALUE!</v>
      </c>
    </row>
    <row r="4712" spans="1:25" ht="15" x14ac:dyDescent="0.25">
      <c r="A4712" s="4">
        <v>4711</v>
      </c>
      <c r="C4712" s="41" t="s">
        <v>7089</v>
      </c>
      <c r="D4712" s="42"/>
      <c r="E4712" s="5" t="str">
        <f t="shared" si="90"/>
        <v>https://www.screener.in/company//consolidated/</v>
      </c>
      <c r="F4712" s="4">
        <v>443059</v>
      </c>
      <c r="G4712" s="4">
        <v>3832241897</v>
      </c>
      <c r="H4712" s="6" t="e">
        <f t="shared" ca="1" si="91"/>
        <v>#VALUE!</v>
      </c>
      <c r="I4712" s="7" t="str">
        <f ca="1">IFERROR(__xludf.DUMMYFUNCTION("IMPORTXML(E4712,""/html/body/main/div[3]/div[3]/div[2]/ul/li[5]/span[2]/span"")"),"Loading...")</f>
        <v>Loading...</v>
      </c>
      <c r="J4712" s="7" t="str">
        <f ca="1">IFERROR(__xludf.DUMMYFUNCTION("GOOGLEFINANCE(""NSE:""&amp;D4712,""marketcap"")"),"#N/A")</f>
        <v>#N/A</v>
      </c>
      <c r="K4712" s="7">
        <v>992.8</v>
      </c>
      <c r="L4712" s="8" t="str">
        <f ca="1">IFERROR(__xludf.DUMMYFUNCTION("GOOGLEFINANCE(""NSE:""&amp;D4712,""price"")"),"#N/A")</f>
        <v>#N/A</v>
      </c>
      <c r="M4712" s="9" t="e">
        <f t="shared" ca="1" si="92"/>
        <v>#VALUE!</v>
      </c>
      <c r="N4712" s="10" t="e">
        <f t="shared" ca="1" si="93"/>
        <v>#VALUE!</v>
      </c>
      <c r="O4712" s="7" t="str">
        <f ca="1">IFERROR(__xludf.DUMMYFUNCTION("GOOGLEFINANCE(""NSE:""&amp;D4712,""pe"")"),"#N/A")</f>
        <v>#N/A</v>
      </c>
      <c r="P4712" s="7" t="str">
        <f ca="1">IFERROR(__xludf.DUMMYFUNCTION("GOOGLEFINANCE(""NSE:""&amp;D4712,""EPS"")"),"#N/A")</f>
        <v>#N/A</v>
      </c>
      <c r="Q4712" s="7">
        <v>13.5</v>
      </c>
      <c r="R4712" s="7" t="str">
        <f ca="1">IFERROR(__xludf.DUMMYFUNCTION("IMPORTXML(E4712,""/html/body/main/div[3]/div[3]/div[2]/ul/li[7]/span[2]/span"")"),"Loading...")</f>
        <v>Loading...</v>
      </c>
      <c r="S4712" s="7" t="str">
        <f ca="1">IFERROR(__xludf.DUMMYFUNCTION("IMPORTXML(E4712,""/html/body/main/div[3]/div[3]/div[2]/ul/li[8]/span[2]/span"")"),"Loading...")</f>
        <v>Loading...</v>
      </c>
      <c r="T4712" s="4">
        <v>34.6</v>
      </c>
      <c r="U4712" s="4">
        <v>22.7</v>
      </c>
      <c r="V4712" s="4">
        <v>2.6</v>
      </c>
      <c r="W4712" s="4">
        <v>5.7</v>
      </c>
      <c r="X4712" s="4">
        <v>519.92999999999995</v>
      </c>
      <c r="Y4712" s="7" t="e">
        <f t="shared" ca="1" si="94"/>
        <v>#VALUE!</v>
      </c>
    </row>
    <row r="4713" spans="1:25" ht="15" x14ac:dyDescent="0.25">
      <c r="A4713" s="4">
        <v>4712</v>
      </c>
      <c r="C4713" s="41" t="s">
        <v>7090</v>
      </c>
      <c r="D4713" s="42"/>
      <c r="E4713" s="5" t="str">
        <f t="shared" si="90"/>
        <v>https://www.screener.in/company//consolidated/</v>
      </c>
      <c r="F4713" s="4">
        <v>443059</v>
      </c>
      <c r="G4713" s="4">
        <v>3832241897</v>
      </c>
      <c r="H4713" s="6" t="e">
        <f t="shared" ca="1" si="91"/>
        <v>#VALUE!</v>
      </c>
      <c r="I4713" s="7" t="str">
        <f ca="1">IFERROR(__xludf.DUMMYFUNCTION("IMPORTXML(E4713,""/html/body/main/div[3]/div[3]/div[2]/ul/li[5]/span[2]/span"")"),"Loading...")</f>
        <v>Loading...</v>
      </c>
      <c r="J4713" s="7" t="str">
        <f ca="1">IFERROR(__xludf.DUMMYFUNCTION("GOOGLEFINANCE(""NSE:""&amp;D4713,""marketcap"")"),"#N/A")</f>
        <v>#N/A</v>
      </c>
      <c r="K4713" s="7">
        <v>992.8</v>
      </c>
      <c r="L4713" s="8" t="str">
        <f ca="1">IFERROR(__xludf.DUMMYFUNCTION("GOOGLEFINANCE(""NSE:""&amp;D4713,""price"")"),"#N/A")</f>
        <v>#N/A</v>
      </c>
      <c r="M4713" s="9" t="e">
        <f t="shared" ca="1" si="92"/>
        <v>#VALUE!</v>
      </c>
      <c r="N4713" s="10" t="e">
        <f t="shared" ca="1" si="93"/>
        <v>#VALUE!</v>
      </c>
      <c r="O4713" s="7" t="str">
        <f ca="1">IFERROR(__xludf.DUMMYFUNCTION("GOOGLEFINANCE(""NSE:""&amp;D4713,""pe"")"),"#N/A")</f>
        <v>#N/A</v>
      </c>
      <c r="P4713" s="7" t="str">
        <f ca="1">IFERROR(__xludf.DUMMYFUNCTION("GOOGLEFINANCE(""NSE:""&amp;D4713,""EPS"")"),"#N/A")</f>
        <v>#N/A</v>
      </c>
      <c r="Q4713" s="7">
        <v>13.5</v>
      </c>
      <c r="R4713" s="7" t="str">
        <f ca="1">IFERROR(__xludf.DUMMYFUNCTION("IMPORTXML(E4713,""/html/body/main/div[3]/div[3]/div[2]/ul/li[7]/span[2]/span"")"),"Loading...")</f>
        <v>Loading...</v>
      </c>
      <c r="S4713" s="7" t="str">
        <f ca="1">IFERROR(__xludf.DUMMYFUNCTION("IMPORTXML(E4713,""/html/body/main/div[3]/div[3]/div[2]/ul/li[8]/span[2]/span"")"),"Loading...")</f>
        <v>Loading...</v>
      </c>
      <c r="T4713" s="4">
        <v>34.6</v>
      </c>
      <c r="U4713" s="4">
        <v>22.7</v>
      </c>
      <c r="V4713" s="4">
        <v>2.6</v>
      </c>
      <c r="W4713" s="4">
        <v>5.7</v>
      </c>
      <c r="X4713" s="4">
        <v>519.92999999999995</v>
      </c>
      <c r="Y4713" s="7" t="e">
        <f t="shared" ca="1" si="94"/>
        <v>#VALUE!</v>
      </c>
    </row>
    <row r="4714" spans="1:25" ht="15" x14ac:dyDescent="0.25">
      <c r="A4714" s="4">
        <v>4713</v>
      </c>
      <c r="C4714" s="41" t="s">
        <v>7091</v>
      </c>
      <c r="D4714" s="42"/>
      <c r="E4714" s="5" t="str">
        <f t="shared" si="90"/>
        <v>https://www.screener.in/company//consolidated/</v>
      </c>
      <c r="F4714" s="4">
        <v>443059</v>
      </c>
      <c r="G4714" s="4">
        <v>3832241897</v>
      </c>
      <c r="H4714" s="6" t="e">
        <f t="shared" ca="1" si="91"/>
        <v>#VALUE!</v>
      </c>
      <c r="I4714" s="7" t="str">
        <f ca="1">IFERROR(__xludf.DUMMYFUNCTION("IMPORTXML(E4714,""/html/body/main/div[3]/div[3]/div[2]/ul/li[5]/span[2]/span"")"),"Loading...")</f>
        <v>Loading...</v>
      </c>
      <c r="J4714" s="7" t="str">
        <f ca="1">IFERROR(__xludf.DUMMYFUNCTION("GOOGLEFINANCE(""NSE:""&amp;D4714,""marketcap"")"),"#N/A")</f>
        <v>#N/A</v>
      </c>
      <c r="K4714" s="7">
        <v>992.8</v>
      </c>
      <c r="L4714" s="8" t="str">
        <f ca="1">IFERROR(__xludf.DUMMYFUNCTION("GOOGLEFINANCE(""NSE:""&amp;D4714,""price"")"),"#N/A")</f>
        <v>#N/A</v>
      </c>
      <c r="M4714" s="9" t="e">
        <f t="shared" ca="1" si="92"/>
        <v>#VALUE!</v>
      </c>
      <c r="N4714" s="10" t="e">
        <f t="shared" ca="1" si="93"/>
        <v>#VALUE!</v>
      </c>
      <c r="O4714" s="7" t="str">
        <f ca="1">IFERROR(__xludf.DUMMYFUNCTION("GOOGLEFINANCE(""NSE:""&amp;D4714,""pe"")"),"#N/A")</f>
        <v>#N/A</v>
      </c>
      <c r="P4714" s="7" t="str">
        <f ca="1">IFERROR(__xludf.DUMMYFUNCTION("GOOGLEFINANCE(""NSE:""&amp;D4714,""EPS"")"),"#N/A")</f>
        <v>#N/A</v>
      </c>
      <c r="Q4714" s="7">
        <v>13.5</v>
      </c>
      <c r="R4714" s="7" t="str">
        <f ca="1">IFERROR(__xludf.DUMMYFUNCTION("IMPORTXML(E4714,""/html/body/main/div[3]/div[3]/div[2]/ul/li[7]/span[2]/span"")"),"Loading...")</f>
        <v>Loading...</v>
      </c>
      <c r="S4714" s="7" t="str">
        <f ca="1">IFERROR(__xludf.DUMMYFUNCTION("IMPORTXML(E4714,""/html/body/main/div[3]/div[3]/div[2]/ul/li[8]/span[2]/span"")"),"Loading...")</f>
        <v>Loading...</v>
      </c>
      <c r="T4714" s="4">
        <v>34.6</v>
      </c>
      <c r="U4714" s="4">
        <v>22.7</v>
      </c>
      <c r="V4714" s="4">
        <v>2.6</v>
      </c>
      <c r="W4714" s="4">
        <v>5.7</v>
      </c>
      <c r="X4714" s="4">
        <v>519.92999999999995</v>
      </c>
      <c r="Y4714" s="7" t="e">
        <f t="shared" ca="1" si="94"/>
        <v>#VALUE!</v>
      </c>
    </row>
    <row r="4715" spans="1:25" ht="15" x14ac:dyDescent="0.25">
      <c r="A4715" s="4">
        <v>4714</v>
      </c>
      <c r="C4715" s="41" t="s">
        <v>7092</v>
      </c>
      <c r="D4715" s="42"/>
      <c r="E4715" s="5" t="str">
        <f t="shared" si="90"/>
        <v>https://www.screener.in/company//consolidated/</v>
      </c>
      <c r="F4715" s="4">
        <v>443059</v>
      </c>
      <c r="G4715" s="4">
        <v>3832241897</v>
      </c>
      <c r="H4715" s="6" t="e">
        <f t="shared" ca="1" si="91"/>
        <v>#VALUE!</v>
      </c>
      <c r="I4715" s="7" t="str">
        <f ca="1">IFERROR(__xludf.DUMMYFUNCTION("IMPORTXML(E4715,""/html/body/main/div[3]/div[3]/div[2]/ul/li[5]/span[2]/span"")"),"Loading...")</f>
        <v>Loading...</v>
      </c>
      <c r="J4715" s="7" t="str">
        <f ca="1">IFERROR(__xludf.DUMMYFUNCTION("GOOGLEFINANCE(""NSE:""&amp;D4715,""marketcap"")"),"#N/A")</f>
        <v>#N/A</v>
      </c>
      <c r="K4715" s="7">
        <v>992.8</v>
      </c>
      <c r="L4715" s="8" t="str">
        <f ca="1">IFERROR(__xludf.DUMMYFUNCTION("GOOGLEFINANCE(""NSE:""&amp;D4715,""price"")"),"#N/A")</f>
        <v>#N/A</v>
      </c>
      <c r="M4715" s="9" t="e">
        <f t="shared" ca="1" si="92"/>
        <v>#VALUE!</v>
      </c>
      <c r="N4715" s="10" t="e">
        <f t="shared" ca="1" si="93"/>
        <v>#VALUE!</v>
      </c>
      <c r="O4715" s="7" t="str">
        <f ca="1">IFERROR(__xludf.DUMMYFUNCTION("GOOGLEFINANCE(""NSE:""&amp;D4715,""pe"")"),"#N/A")</f>
        <v>#N/A</v>
      </c>
      <c r="P4715" s="7" t="str">
        <f ca="1">IFERROR(__xludf.DUMMYFUNCTION("GOOGLEFINANCE(""NSE:""&amp;D4715,""EPS"")"),"#N/A")</f>
        <v>#N/A</v>
      </c>
      <c r="Q4715" s="7">
        <v>13.5</v>
      </c>
      <c r="R4715" s="7" t="str">
        <f ca="1">IFERROR(__xludf.DUMMYFUNCTION("IMPORTXML(E4715,""/html/body/main/div[3]/div[3]/div[2]/ul/li[7]/span[2]/span"")"),"Loading...")</f>
        <v>Loading...</v>
      </c>
      <c r="S4715" s="7" t="str">
        <f ca="1">IFERROR(__xludf.DUMMYFUNCTION("IMPORTXML(E4715,""/html/body/main/div[3]/div[3]/div[2]/ul/li[8]/span[2]/span"")"),"Loading...")</f>
        <v>Loading...</v>
      </c>
      <c r="T4715" s="4">
        <v>34.6</v>
      </c>
      <c r="U4715" s="4">
        <v>22.7</v>
      </c>
      <c r="V4715" s="4">
        <v>2.6</v>
      </c>
      <c r="W4715" s="4">
        <v>5.7</v>
      </c>
      <c r="X4715" s="4">
        <v>519.92999999999995</v>
      </c>
      <c r="Y4715" s="7" t="e">
        <f t="shared" ca="1" si="94"/>
        <v>#VALUE!</v>
      </c>
    </row>
    <row r="4716" spans="1:25" ht="15" x14ac:dyDescent="0.25">
      <c r="A4716" s="4">
        <v>4715</v>
      </c>
      <c r="C4716" s="41" t="s">
        <v>7093</v>
      </c>
      <c r="D4716" s="42"/>
      <c r="E4716" s="5" t="str">
        <f t="shared" si="90"/>
        <v>https://www.screener.in/company//consolidated/</v>
      </c>
      <c r="F4716" s="4">
        <v>443059</v>
      </c>
      <c r="G4716" s="4">
        <v>3832241897</v>
      </c>
      <c r="H4716" s="6" t="e">
        <f t="shared" ca="1" si="91"/>
        <v>#VALUE!</v>
      </c>
      <c r="I4716" s="7" t="str">
        <f ca="1">IFERROR(__xludf.DUMMYFUNCTION("IMPORTXML(E4716,""/html/body/main/div[3]/div[3]/div[2]/ul/li[5]/span[2]/span"")"),"Loading...")</f>
        <v>Loading...</v>
      </c>
      <c r="J4716" s="7" t="str">
        <f ca="1">IFERROR(__xludf.DUMMYFUNCTION("GOOGLEFINANCE(""NSE:""&amp;D4716,""marketcap"")"),"#N/A")</f>
        <v>#N/A</v>
      </c>
      <c r="K4716" s="7">
        <v>992.8</v>
      </c>
      <c r="L4716" s="8" t="str">
        <f ca="1">IFERROR(__xludf.DUMMYFUNCTION("GOOGLEFINANCE(""NSE:""&amp;D4716,""price"")"),"#N/A")</f>
        <v>#N/A</v>
      </c>
      <c r="M4716" s="9" t="e">
        <f t="shared" ca="1" si="92"/>
        <v>#VALUE!</v>
      </c>
      <c r="N4716" s="10" t="e">
        <f t="shared" ca="1" si="93"/>
        <v>#VALUE!</v>
      </c>
      <c r="O4716" s="7" t="str">
        <f ca="1">IFERROR(__xludf.DUMMYFUNCTION("GOOGLEFINANCE(""NSE:""&amp;D4716,""pe"")"),"#N/A")</f>
        <v>#N/A</v>
      </c>
      <c r="P4716" s="7" t="str">
        <f ca="1">IFERROR(__xludf.DUMMYFUNCTION("GOOGLEFINANCE(""NSE:""&amp;D4716,""EPS"")"),"#N/A")</f>
        <v>#N/A</v>
      </c>
      <c r="Q4716" s="7">
        <v>13.5</v>
      </c>
      <c r="R4716" s="7" t="str">
        <f ca="1">IFERROR(__xludf.DUMMYFUNCTION("IMPORTXML(E4716,""/html/body/main/div[3]/div[3]/div[2]/ul/li[7]/span[2]/span"")"),"Loading...")</f>
        <v>Loading...</v>
      </c>
      <c r="S4716" s="7" t="str">
        <f ca="1">IFERROR(__xludf.DUMMYFUNCTION("IMPORTXML(E4716,""/html/body/main/div[3]/div[3]/div[2]/ul/li[8]/span[2]/span"")"),"Loading...")</f>
        <v>Loading...</v>
      </c>
      <c r="T4716" s="4">
        <v>34.6</v>
      </c>
      <c r="U4716" s="4">
        <v>22.7</v>
      </c>
      <c r="V4716" s="4">
        <v>2.6</v>
      </c>
      <c r="W4716" s="4">
        <v>5.7</v>
      </c>
      <c r="X4716" s="4">
        <v>519.92999999999995</v>
      </c>
      <c r="Y4716" s="7" t="e">
        <f t="shared" ca="1" si="94"/>
        <v>#VALUE!</v>
      </c>
    </row>
    <row r="4717" spans="1:25" ht="15" x14ac:dyDescent="0.25">
      <c r="A4717" s="4">
        <v>4716</v>
      </c>
      <c r="C4717" s="41" t="s">
        <v>7094</v>
      </c>
      <c r="D4717" s="42"/>
      <c r="E4717" s="5" t="str">
        <f t="shared" si="90"/>
        <v>https://www.screener.in/company//consolidated/</v>
      </c>
      <c r="F4717" s="4">
        <v>443059</v>
      </c>
      <c r="G4717" s="4">
        <v>3832241897</v>
      </c>
      <c r="H4717" s="6" t="e">
        <f t="shared" ca="1" si="91"/>
        <v>#VALUE!</v>
      </c>
      <c r="I4717" s="7" t="str">
        <f ca="1">IFERROR(__xludf.DUMMYFUNCTION("IMPORTXML(E4717,""/html/body/main/div[3]/div[3]/div[2]/ul/li[5]/span[2]/span"")"),"Loading...")</f>
        <v>Loading...</v>
      </c>
      <c r="J4717" s="7" t="str">
        <f ca="1">IFERROR(__xludf.DUMMYFUNCTION("GOOGLEFINANCE(""NSE:""&amp;D4717,""marketcap"")"),"#N/A")</f>
        <v>#N/A</v>
      </c>
      <c r="K4717" s="7">
        <v>992.8</v>
      </c>
      <c r="L4717" s="8" t="str">
        <f ca="1">IFERROR(__xludf.DUMMYFUNCTION("GOOGLEFINANCE(""NSE:""&amp;D4717,""price"")"),"#N/A")</f>
        <v>#N/A</v>
      </c>
      <c r="M4717" s="9" t="e">
        <f t="shared" ca="1" si="92"/>
        <v>#VALUE!</v>
      </c>
      <c r="N4717" s="10" t="e">
        <f t="shared" ca="1" si="93"/>
        <v>#VALUE!</v>
      </c>
      <c r="O4717" s="7" t="str">
        <f ca="1">IFERROR(__xludf.DUMMYFUNCTION("GOOGLEFINANCE(""NSE:""&amp;D4717,""pe"")"),"#N/A")</f>
        <v>#N/A</v>
      </c>
      <c r="P4717" s="7" t="str">
        <f ca="1">IFERROR(__xludf.DUMMYFUNCTION("GOOGLEFINANCE(""NSE:""&amp;D4717,""EPS"")"),"#N/A")</f>
        <v>#N/A</v>
      </c>
      <c r="Q4717" s="7">
        <v>13.5</v>
      </c>
      <c r="R4717" s="7" t="str">
        <f ca="1">IFERROR(__xludf.DUMMYFUNCTION("IMPORTXML(E4717,""/html/body/main/div[3]/div[3]/div[2]/ul/li[7]/span[2]/span"")"),"Loading...")</f>
        <v>Loading...</v>
      </c>
      <c r="S4717" s="7" t="str">
        <f ca="1">IFERROR(__xludf.DUMMYFUNCTION("IMPORTXML(E4717,""/html/body/main/div[3]/div[3]/div[2]/ul/li[8]/span[2]/span"")"),"Loading...")</f>
        <v>Loading...</v>
      </c>
      <c r="T4717" s="4">
        <v>34.6</v>
      </c>
      <c r="U4717" s="4">
        <v>22.7</v>
      </c>
      <c r="V4717" s="4">
        <v>2.6</v>
      </c>
      <c r="W4717" s="4">
        <v>5.7</v>
      </c>
      <c r="X4717" s="4">
        <v>519.92999999999995</v>
      </c>
      <c r="Y4717" s="7" t="e">
        <f t="shared" ca="1" si="94"/>
        <v>#VALUE!</v>
      </c>
    </row>
    <row r="4718" spans="1:25" ht="15" x14ac:dyDescent="0.25">
      <c r="A4718" s="4">
        <v>4717</v>
      </c>
      <c r="C4718" s="41" t="s">
        <v>7095</v>
      </c>
      <c r="D4718" s="42"/>
      <c r="E4718" s="5" t="str">
        <f t="shared" si="90"/>
        <v>https://www.screener.in/company//consolidated/</v>
      </c>
      <c r="F4718" s="4">
        <v>443059</v>
      </c>
      <c r="G4718" s="4">
        <v>3832241897</v>
      </c>
      <c r="H4718" s="6" t="e">
        <f t="shared" ca="1" si="91"/>
        <v>#VALUE!</v>
      </c>
      <c r="I4718" s="7" t="str">
        <f ca="1">IFERROR(__xludf.DUMMYFUNCTION("IMPORTXML(E4718,""/html/body/main/div[3]/div[3]/div[2]/ul/li[5]/span[2]/span"")"),"Loading...")</f>
        <v>Loading...</v>
      </c>
      <c r="J4718" s="7" t="str">
        <f ca="1">IFERROR(__xludf.DUMMYFUNCTION("GOOGLEFINANCE(""NSE:""&amp;D4718,""marketcap"")"),"#N/A")</f>
        <v>#N/A</v>
      </c>
      <c r="K4718" s="7">
        <v>992.8</v>
      </c>
      <c r="L4718" s="8" t="str">
        <f ca="1">IFERROR(__xludf.DUMMYFUNCTION("GOOGLEFINANCE(""NSE:""&amp;D4718,""price"")"),"#N/A")</f>
        <v>#N/A</v>
      </c>
      <c r="M4718" s="9" t="e">
        <f t="shared" ca="1" si="92"/>
        <v>#VALUE!</v>
      </c>
      <c r="N4718" s="10" t="e">
        <f t="shared" ca="1" si="93"/>
        <v>#VALUE!</v>
      </c>
      <c r="O4718" s="7" t="str">
        <f ca="1">IFERROR(__xludf.DUMMYFUNCTION("GOOGLEFINANCE(""NSE:""&amp;D4718,""pe"")"),"#N/A")</f>
        <v>#N/A</v>
      </c>
      <c r="P4718" s="7" t="str">
        <f ca="1">IFERROR(__xludf.DUMMYFUNCTION("GOOGLEFINANCE(""NSE:""&amp;D4718,""EPS"")"),"#N/A")</f>
        <v>#N/A</v>
      </c>
      <c r="Q4718" s="7">
        <v>13.5</v>
      </c>
      <c r="R4718" s="7" t="str">
        <f ca="1">IFERROR(__xludf.DUMMYFUNCTION("IMPORTXML(E4718,""/html/body/main/div[3]/div[3]/div[2]/ul/li[7]/span[2]/span"")"),"Loading...")</f>
        <v>Loading...</v>
      </c>
      <c r="S4718" s="7" t="str">
        <f ca="1">IFERROR(__xludf.DUMMYFUNCTION("IMPORTXML(E4718,""/html/body/main/div[3]/div[3]/div[2]/ul/li[8]/span[2]/span"")"),"Loading...")</f>
        <v>Loading...</v>
      </c>
      <c r="T4718" s="4">
        <v>34.6</v>
      </c>
      <c r="U4718" s="4">
        <v>22.7</v>
      </c>
      <c r="V4718" s="4">
        <v>2.6</v>
      </c>
      <c r="W4718" s="4">
        <v>5.7</v>
      </c>
      <c r="X4718" s="4">
        <v>519.92999999999995</v>
      </c>
      <c r="Y4718" s="7" t="e">
        <f t="shared" ca="1" si="94"/>
        <v>#VALUE!</v>
      </c>
    </row>
    <row r="4719" spans="1:25" ht="15" x14ac:dyDescent="0.25">
      <c r="A4719" s="4">
        <v>4718</v>
      </c>
      <c r="C4719" s="41" t="s">
        <v>7096</v>
      </c>
      <c r="D4719" s="42"/>
      <c r="E4719" s="5" t="str">
        <f t="shared" si="90"/>
        <v>https://www.screener.in/company//consolidated/</v>
      </c>
      <c r="F4719" s="4">
        <v>443059</v>
      </c>
      <c r="G4719" s="4">
        <v>3832241897</v>
      </c>
      <c r="H4719" s="6" t="e">
        <f t="shared" ca="1" si="91"/>
        <v>#VALUE!</v>
      </c>
      <c r="I4719" s="7" t="str">
        <f ca="1">IFERROR(__xludf.DUMMYFUNCTION("IMPORTXML(E4719,""/html/body/main/div[3]/div[3]/div[2]/ul/li[5]/span[2]/span"")"),"Loading...")</f>
        <v>Loading...</v>
      </c>
      <c r="J4719" s="7" t="str">
        <f ca="1">IFERROR(__xludf.DUMMYFUNCTION("GOOGLEFINANCE(""NSE:""&amp;D4719,""marketcap"")"),"#N/A")</f>
        <v>#N/A</v>
      </c>
      <c r="K4719" s="7">
        <v>992.8</v>
      </c>
      <c r="L4719" s="8" t="str">
        <f ca="1">IFERROR(__xludf.DUMMYFUNCTION("GOOGLEFINANCE(""NSE:""&amp;D4719,""price"")"),"#N/A")</f>
        <v>#N/A</v>
      </c>
      <c r="M4719" s="9" t="e">
        <f t="shared" ca="1" si="92"/>
        <v>#VALUE!</v>
      </c>
      <c r="N4719" s="10" t="e">
        <f t="shared" ca="1" si="93"/>
        <v>#VALUE!</v>
      </c>
      <c r="O4719" s="7" t="str">
        <f ca="1">IFERROR(__xludf.DUMMYFUNCTION("GOOGLEFINANCE(""NSE:""&amp;D4719,""pe"")"),"#N/A")</f>
        <v>#N/A</v>
      </c>
      <c r="P4719" s="7" t="str">
        <f ca="1">IFERROR(__xludf.DUMMYFUNCTION("GOOGLEFINANCE(""NSE:""&amp;D4719,""EPS"")"),"#N/A")</f>
        <v>#N/A</v>
      </c>
      <c r="Q4719" s="7">
        <v>13.5</v>
      </c>
      <c r="R4719" s="7" t="str">
        <f ca="1">IFERROR(__xludf.DUMMYFUNCTION("IMPORTXML(E4719,""/html/body/main/div[3]/div[3]/div[2]/ul/li[7]/span[2]/span"")"),"Loading...")</f>
        <v>Loading...</v>
      </c>
      <c r="S4719" s="7" t="str">
        <f ca="1">IFERROR(__xludf.DUMMYFUNCTION("IMPORTXML(E4719,""/html/body/main/div[3]/div[3]/div[2]/ul/li[8]/span[2]/span"")"),"Loading...")</f>
        <v>Loading...</v>
      </c>
      <c r="T4719" s="4">
        <v>34.6</v>
      </c>
      <c r="U4719" s="4">
        <v>22.7</v>
      </c>
      <c r="V4719" s="4">
        <v>2.6</v>
      </c>
      <c r="W4719" s="4">
        <v>5.7</v>
      </c>
      <c r="X4719" s="4">
        <v>519.92999999999995</v>
      </c>
      <c r="Y4719" s="7" t="e">
        <f t="shared" ca="1" si="94"/>
        <v>#VALUE!</v>
      </c>
    </row>
    <row r="4720" spans="1:25" ht="15" x14ac:dyDescent="0.25">
      <c r="A4720" s="4">
        <v>4719</v>
      </c>
      <c r="C4720" s="41" t="s">
        <v>7097</v>
      </c>
      <c r="D4720" s="42"/>
      <c r="E4720" s="5" t="str">
        <f t="shared" si="90"/>
        <v>https://www.screener.in/company//consolidated/</v>
      </c>
      <c r="F4720" s="4">
        <v>443059</v>
      </c>
      <c r="G4720" s="4">
        <v>3832241897</v>
      </c>
      <c r="H4720" s="6" t="e">
        <f t="shared" ca="1" si="91"/>
        <v>#VALUE!</v>
      </c>
      <c r="I4720" s="7" t="str">
        <f ca="1">IFERROR(__xludf.DUMMYFUNCTION("IMPORTXML(E4720,""/html/body/main/div[3]/div[3]/div[2]/ul/li[5]/span[2]/span"")"),"Loading...")</f>
        <v>Loading...</v>
      </c>
      <c r="J4720" s="7" t="str">
        <f ca="1">IFERROR(__xludf.DUMMYFUNCTION("GOOGLEFINANCE(""NSE:""&amp;D4720,""marketcap"")"),"#N/A")</f>
        <v>#N/A</v>
      </c>
      <c r="K4720" s="7">
        <v>992.8</v>
      </c>
      <c r="L4720" s="8" t="str">
        <f ca="1">IFERROR(__xludf.DUMMYFUNCTION("GOOGLEFINANCE(""NSE:""&amp;D4720,""price"")"),"#N/A")</f>
        <v>#N/A</v>
      </c>
      <c r="M4720" s="9" t="e">
        <f t="shared" ca="1" si="92"/>
        <v>#VALUE!</v>
      </c>
      <c r="N4720" s="10" t="e">
        <f t="shared" ca="1" si="93"/>
        <v>#VALUE!</v>
      </c>
      <c r="O4720" s="7" t="str">
        <f ca="1">IFERROR(__xludf.DUMMYFUNCTION("GOOGLEFINANCE(""NSE:""&amp;D4720,""pe"")"),"#N/A")</f>
        <v>#N/A</v>
      </c>
      <c r="P4720" s="7" t="str">
        <f ca="1">IFERROR(__xludf.DUMMYFUNCTION("GOOGLEFINANCE(""NSE:""&amp;D4720,""EPS"")"),"#N/A")</f>
        <v>#N/A</v>
      </c>
      <c r="Q4720" s="7">
        <v>13.5</v>
      </c>
      <c r="R4720" s="7" t="str">
        <f ca="1">IFERROR(__xludf.DUMMYFUNCTION("IMPORTXML(E4720,""/html/body/main/div[3]/div[3]/div[2]/ul/li[7]/span[2]/span"")"),"Loading...")</f>
        <v>Loading...</v>
      </c>
      <c r="S4720" s="7" t="str">
        <f ca="1">IFERROR(__xludf.DUMMYFUNCTION("IMPORTXML(E4720,""/html/body/main/div[3]/div[3]/div[2]/ul/li[8]/span[2]/span"")"),"Loading...")</f>
        <v>Loading...</v>
      </c>
      <c r="T4720" s="4">
        <v>34.6</v>
      </c>
      <c r="U4720" s="4">
        <v>22.7</v>
      </c>
      <c r="V4720" s="4">
        <v>2.6</v>
      </c>
      <c r="W4720" s="4">
        <v>5.7</v>
      </c>
      <c r="X4720" s="4">
        <v>519.92999999999995</v>
      </c>
      <c r="Y4720" s="7" t="e">
        <f t="shared" ca="1" si="94"/>
        <v>#VALUE!</v>
      </c>
    </row>
    <row r="4721" spans="1:25" ht="15" x14ac:dyDescent="0.25">
      <c r="A4721" s="4">
        <v>4720</v>
      </c>
      <c r="C4721" s="41" t="s">
        <v>7098</v>
      </c>
      <c r="D4721" s="42"/>
      <c r="E4721" s="5" t="str">
        <f t="shared" si="90"/>
        <v>https://www.screener.in/company//consolidated/</v>
      </c>
      <c r="F4721" s="4">
        <v>443059</v>
      </c>
      <c r="G4721" s="4">
        <v>3832241897</v>
      </c>
      <c r="H4721" s="6" t="e">
        <f t="shared" ca="1" si="91"/>
        <v>#VALUE!</v>
      </c>
      <c r="I4721" s="7" t="str">
        <f ca="1">IFERROR(__xludf.DUMMYFUNCTION("IMPORTXML(E4721,""/html/body/main/div[3]/div[3]/div[2]/ul/li[5]/span[2]/span"")"),"Loading...")</f>
        <v>Loading...</v>
      </c>
      <c r="J4721" s="7" t="str">
        <f ca="1">IFERROR(__xludf.DUMMYFUNCTION("GOOGLEFINANCE(""NSE:""&amp;D4721,""marketcap"")"),"#N/A")</f>
        <v>#N/A</v>
      </c>
      <c r="K4721" s="7">
        <v>992.8</v>
      </c>
      <c r="L4721" s="8" t="str">
        <f ca="1">IFERROR(__xludf.DUMMYFUNCTION("GOOGLEFINANCE(""NSE:""&amp;D4721,""price"")"),"#N/A")</f>
        <v>#N/A</v>
      </c>
      <c r="M4721" s="9" t="e">
        <f t="shared" ca="1" si="92"/>
        <v>#VALUE!</v>
      </c>
      <c r="N4721" s="10" t="e">
        <f t="shared" ca="1" si="93"/>
        <v>#VALUE!</v>
      </c>
      <c r="O4721" s="7" t="str">
        <f ca="1">IFERROR(__xludf.DUMMYFUNCTION("GOOGLEFINANCE(""NSE:""&amp;D4721,""pe"")"),"#N/A")</f>
        <v>#N/A</v>
      </c>
      <c r="P4721" s="7" t="str">
        <f ca="1">IFERROR(__xludf.DUMMYFUNCTION("GOOGLEFINANCE(""NSE:""&amp;D4721,""EPS"")"),"#N/A")</f>
        <v>#N/A</v>
      </c>
      <c r="Q4721" s="7">
        <v>13.5</v>
      </c>
      <c r="R4721" s="7" t="str">
        <f ca="1">IFERROR(__xludf.DUMMYFUNCTION("IMPORTXML(E4721,""/html/body/main/div[3]/div[3]/div[2]/ul/li[7]/span[2]/span"")"),"Loading...")</f>
        <v>Loading...</v>
      </c>
      <c r="S4721" s="7" t="str">
        <f ca="1">IFERROR(__xludf.DUMMYFUNCTION("IMPORTXML(E4721,""/html/body/main/div[3]/div[3]/div[2]/ul/li[8]/span[2]/span"")"),"Loading...")</f>
        <v>Loading...</v>
      </c>
      <c r="T4721" s="4">
        <v>34.6</v>
      </c>
      <c r="U4721" s="4">
        <v>22.7</v>
      </c>
      <c r="V4721" s="4">
        <v>2.6</v>
      </c>
      <c r="W4721" s="4">
        <v>5.7</v>
      </c>
      <c r="X4721" s="4">
        <v>519.92999999999995</v>
      </c>
      <c r="Y4721" s="7" t="e">
        <f t="shared" ca="1" si="94"/>
        <v>#VALUE!</v>
      </c>
    </row>
    <row r="4722" spans="1:25" ht="15" x14ac:dyDescent="0.25">
      <c r="A4722" s="4">
        <v>4721</v>
      </c>
      <c r="C4722" s="41" t="s">
        <v>7099</v>
      </c>
      <c r="D4722" s="42"/>
      <c r="E4722" s="5" t="str">
        <f t="shared" si="90"/>
        <v>https://www.screener.in/company//consolidated/</v>
      </c>
      <c r="F4722" s="4">
        <v>443059</v>
      </c>
      <c r="G4722" s="4">
        <v>3832241897</v>
      </c>
      <c r="H4722" s="6" t="e">
        <f t="shared" ca="1" si="91"/>
        <v>#VALUE!</v>
      </c>
      <c r="I4722" s="7" t="str">
        <f ca="1">IFERROR(__xludf.DUMMYFUNCTION("IMPORTXML(E4722,""/html/body/main/div[3]/div[3]/div[2]/ul/li[5]/span[2]/span"")"),"Loading...")</f>
        <v>Loading...</v>
      </c>
      <c r="J4722" s="7" t="str">
        <f ca="1">IFERROR(__xludf.DUMMYFUNCTION("GOOGLEFINANCE(""NSE:""&amp;D4722,""marketcap"")"),"#N/A")</f>
        <v>#N/A</v>
      </c>
      <c r="K4722" s="7">
        <v>992.8</v>
      </c>
      <c r="L4722" s="8" t="str">
        <f ca="1">IFERROR(__xludf.DUMMYFUNCTION("GOOGLEFINANCE(""NSE:""&amp;D4722,""price"")"),"#N/A")</f>
        <v>#N/A</v>
      </c>
      <c r="M4722" s="9" t="e">
        <f t="shared" ca="1" si="92"/>
        <v>#VALUE!</v>
      </c>
      <c r="N4722" s="10" t="e">
        <f t="shared" ca="1" si="93"/>
        <v>#VALUE!</v>
      </c>
      <c r="O4722" s="7" t="str">
        <f ca="1">IFERROR(__xludf.DUMMYFUNCTION("GOOGLEFINANCE(""NSE:""&amp;D4722,""pe"")"),"#N/A")</f>
        <v>#N/A</v>
      </c>
      <c r="P4722" s="7" t="str">
        <f ca="1">IFERROR(__xludf.DUMMYFUNCTION("GOOGLEFINANCE(""NSE:""&amp;D4722,""EPS"")"),"#N/A")</f>
        <v>#N/A</v>
      </c>
      <c r="Q4722" s="7">
        <v>13.5</v>
      </c>
      <c r="R4722" s="7" t="str">
        <f ca="1">IFERROR(__xludf.DUMMYFUNCTION("IMPORTXML(E4722,""/html/body/main/div[3]/div[3]/div[2]/ul/li[7]/span[2]/span"")"),"Loading...")</f>
        <v>Loading...</v>
      </c>
      <c r="S4722" s="7" t="str">
        <f ca="1">IFERROR(__xludf.DUMMYFUNCTION("IMPORTXML(E4722,""/html/body/main/div[3]/div[3]/div[2]/ul/li[8]/span[2]/span"")"),"Loading...")</f>
        <v>Loading...</v>
      </c>
      <c r="T4722" s="4">
        <v>34.6</v>
      </c>
      <c r="U4722" s="4">
        <v>22.7</v>
      </c>
      <c r="V4722" s="4">
        <v>2.6</v>
      </c>
      <c r="W4722" s="4">
        <v>5.7</v>
      </c>
      <c r="X4722" s="4">
        <v>519.92999999999995</v>
      </c>
      <c r="Y4722" s="7" t="e">
        <f t="shared" ca="1" si="94"/>
        <v>#VALUE!</v>
      </c>
    </row>
    <row r="4723" spans="1:25" ht="15" x14ac:dyDescent="0.25">
      <c r="A4723" s="4">
        <v>4722</v>
      </c>
      <c r="C4723" s="41" t="s">
        <v>7100</v>
      </c>
      <c r="D4723" s="42"/>
      <c r="E4723" s="5" t="str">
        <f t="shared" si="90"/>
        <v>https://www.screener.in/company//consolidated/</v>
      </c>
      <c r="F4723" s="4">
        <v>443059</v>
      </c>
      <c r="G4723" s="4">
        <v>3832241897</v>
      </c>
      <c r="H4723" s="6" t="e">
        <f t="shared" ca="1" si="91"/>
        <v>#VALUE!</v>
      </c>
      <c r="I4723" s="7" t="str">
        <f ca="1">IFERROR(__xludf.DUMMYFUNCTION("IMPORTXML(E4723,""/html/body/main/div[3]/div[3]/div[2]/ul/li[5]/span[2]/span"")"),"Loading...")</f>
        <v>Loading...</v>
      </c>
      <c r="J4723" s="7" t="str">
        <f ca="1">IFERROR(__xludf.DUMMYFUNCTION("GOOGLEFINANCE(""NSE:""&amp;D4723,""marketcap"")"),"#N/A")</f>
        <v>#N/A</v>
      </c>
      <c r="K4723" s="7">
        <v>992.8</v>
      </c>
      <c r="L4723" s="8" t="str">
        <f ca="1">IFERROR(__xludf.DUMMYFUNCTION("GOOGLEFINANCE(""NSE:""&amp;D4723,""price"")"),"#N/A")</f>
        <v>#N/A</v>
      </c>
      <c r="M4723" s="9" t="e">
        <f t="shared" ca="1" si="92"/>
        <v>#VALUE!</v>
      </c>
      <c r="N4723" s="10" t="e">
        <f t="shared" ca="1" si="93"/>
        <v>#VALUE!</v>
      </c>
      <c r="O4723" s="7" t="str">
        <f ca="1">IFERROR(__xludf.DUMMYFUNCTION("GOOGLEFINANCE(""NSE:""&amp;D4723,""pe"")"),"#N/A")</f>
        <v>#N/A</v>
      </c>
      <c r="P4723" s="7" t="str">
        <f ca="1">IFERROR(__xludf.DUMMYFUNCTION("GOOGLEFINANCE(""NSE:""&amp;D4723,""EPS"")"),"#N/A")</f>
        <v>#N/A</v>
      </c>
      <c r="Q4723" s="7">
        <v>13.5</v>
      </c>
      <c r="R4723" s="7" t="str">
        <f ca="1">IFERROR(__xludf.DUMMYFUNCTION("IMPORTXML(E4723,""/html/body/main/div[3]/div[3]/div[2]/ul/li[7]/span[2]/span"")"),"Loading...")</f>
        <v>Loading...</v>
      </c>
      <c r="S4723" s="7" t="str">
        <f ca="1">IFERROR(__xludf.DUMMYFUNCTION("IMPORTXML(E4723,""/html/body/main/div[3]/div[3]/div[2]/ul/li[8]/span[2]/span"")"),"Loading...")</f>
        <v>Loading...</v>
      </c>
      <c r="T4723" s="4">
        <v>34.6</v>
      </c>
      <c r="U4723" s="4">
        <v>22.7</v>
      </c>
      <c r="V4723" s="4">
        <v>2.6</v>
      </c>
      <c r="W4723" s="4">
        <v>5.7</v>
      </c>
      <c r="X4723" s="4">
        <v>519.92999999999995</v>
      </c>
      <c r="Y4723" s="7" t="e">
        <f t="shared" ca="1" si="94"/>
        <v>#VALUE!</v>
      </c>
    </row>
    <row r="4724" spans="1:25" ht="15" x14ac:dyDescent="0.25">
      <c r="A4724" s="4">
        <v>4723</v>
      </c>
      <c r="C4724" s="41" t="s">
        <v>7101</v>
      </c>
      <c r="D4724" s="42"/>
      <c r="E4724" s="5" t="str">
        <f t="shared" si="90"/>
        <v>https://www.screener.in/company//consolidated/</v>
      </c>
      <c r="F4724" s="4">
        <v>443059</v>
      </c>
      <c r="G4724" s="4">
        <v>3832241897</v>
      </c>
      <c r="H4724" s="6" t="e">
        <f t="shared" ca="1" si="91"/>
        <v>#VALUE!</v>
      </c>
      <c r="I4724" s="7" t="str">
        <f ca="1">IFERROR(__xludf.DUMMYFUNCTION("IMPORTXML(E4724,""/html/body/main/div[3]/div[3]/div[2]/ul/li[5]/span[2]/span"")"),"Loading...")</f>
        <v>Loading...</v>
      </c>
      <c r="J4724" s="7" t="str">
        <f ca="1">IFERROR(__xludf.DUMMYFUNCTION("GOOGLEFINANCE(""NSE:""&amp;D4724,""marketcap"")"),"#N/A")</f>
        <v>#N/A</v>
      </c>
      <c r="K4724" s="7">
        <v>992.8</v>
      </c>
      <c r="L4724" s="8" t="str">
        <f ca="1">IFERROR(__xludf.DUMMYFUNCTION("GOOGLEFINANCE(""NSE:""&amp;D4724,""price"")"),"#N/A")</f>
        <v>#N/A</v>
      </c>
      <c r="M4724" s="9" t="e">
        <f t="shared" ca="1" si="92"/>
        <v>#VALUE!</v>
      </c>
      <c r="N4724" s="10" t="e">
        <f t="shared" ca="1" si="93"/>
        <v>#VALUE!</v>
      </c>
      <c r="O4724" s="7" t="str">
        <f ca="1">IFERROR(__xludf.DUMMYFUNCTION("GOOGLEFINANCE(""NSE:""&amp;D4724,""pe"")"),"#N/A")</f>
        <v>#N/A</v>
      </c>
      <c r="P4724" s="7" t="str">
        <f ca="1">IFERROR(__xludf.DUMMYFUNCTION("GOOGLEFINANCE(""NSE:""&amp;D4724,""EPS"")"),"#N/A")</f>
        <v>#N/A</v>
      </c>
      <c r="Q4724" s="7">
        <v>13.5</v>
      </c>
      <c r="R4724" s="7" t="str">
        <f ca="1">IFERROR(__xludf.DUMMYFUNCTION("IMPORTXML(E4724,""/html/body/main/div[3]/div[3]/div[2]/ul/li[7]/span[2]/span"")"),"Loading...")</f>
        <v>Loading...</v>
      </c>
      <c r="S4724" s="7" t="str">
        <f ca="1">IFERROR(__xludf.DUMMYFUNCTION("IMPORTXML(E4724,""/html/body/main/div[3]/div[3]/div[2]/ul/li[8]/span[2]/span"")"),"Loading...")</f>
        <v>Loading...</v>
      </c>
      <c r="T4724" s="4">
        <v>34.6</v>
      </c>
      <c r="U4724" s="4">
        <v>22.7</v>
      </c>
      <c r="V4724" s="4">
        <v>2.6</v>
      </c>
      <c r="W4724" s="4">
        <v>5.7</v>
      </c>
      <c r="X4724" s="4">
        <v>519.92999999999995</v>
      </c>
      <c r="Y4724" s="7" t="e">
        <f t="shared" ca="1" si="94"/>
        <v>#VALUE!</v>
      </c>
    </row>
    <row r="4725" spans="1:25" ht="15" x14ac:dyDescent="0.25">
      <c r="A4725" s="4">
        <v>4724</v>
      </c>
      <c r="C4725" s="41" t="s">
        <v>7102</v>
      </c>
      <c r="D4725" s="42"/>
      <c r="E4725" s="5" t="str">
        <f t="shared" si="90"/>
        <v>https://www.screener.in/company//consolidated/</v>
      </c>
      <c r="F4725" s="4">
        <v>443059</v>
      </c>
      <c r="G4725" s="4">
        <v>3832241897</v>
      </c>
      <c r="H4725" s="6" t="e">
        <f t="shared" ca="1" si="91"/>
        <v>#VALUE!</v>
      </c>
      <c r="I4725" s="7" t="str">
        <f ca="1">IFERROR(__xludf.DUMMYFUNCTION("IMPORTXML(E4725,""/html/body/main/div[3]/div[3]/div[2]/ul/li[5]/span[2]/span"")"),"Loading...")</f>
        <v>Loading...</v>
      </c>
      <c r="J4725" s="7" t="str">
        <f ca="1">IFERROR(__xludf.DUMMYFUNCTION("GOOGLEFINANCE(""NSE:""&amp;D4725,""marketcap"")"),"#N/A")</f>
        <v>#N/A</v>
      </c>
      <c r="K4725" s="7">
        <v>992.8</v>
      </c>
      <c r="L4725" s="8" t="str">
        <f ca="1">IFERROR(__xludf.DUMMYFUNCTION("GOOGLEFINANCE(""NSE:""&amp;D4725,""price"")"),"#N/A")</f>
        <v>#N/A</v>
      </c>
      <c r="M4725" s="9" t="e">
        <f t="shared" ca="1" si="92"/>
        <v>#VALUE!</v>
      </c>
      <c r="N4725" s="10" t="e">
        <f t="shared" ca="1" si="93"/>
        <v>#VALUE!</v>
      </c>
      <c r="O4725" s="7" t="str">
        <f ca="1">IFERROR(__xludf.DUMMYFUNCTION("GOOGLEFINANCE(""NSE:""&amp;D4725,""pe"")"),"#N/A")</f>
        <v>#N/A</v>
      </c>
      <c r="P4725" s="7" t="str">
        <f ca="1">IFERROR(__xludf.DUMMYFUNCTION("GOOGLEFINANCE(""NSE:""&amp;D4725,""EPS"")"),"#N/A")</f>
        <v>#N/A</v>
      </c>
      <c r="Q4725" s="7">
        <v>13.5</v>
      </c>
      <c r="R4725" s="7" t="str">
        <f ca="1">IFERROR(__xludf.DUMMYFUNCTION("IMPORTXML(E4725,""/html/body/main/div[3]/div[3]/div[2]/ul/li[7]/span[2]/span"")"),"Loading...")</f>
        <v>Loading...</v>
      </c>
      <c r="S4725" s="7" t="str">
        <f ca="1">IFERROR(__xludf.DUMMYFUNCTION("IMPORTXML(E4725,""/html/body/main/div[3]/div[3]/div[2]/ul/li[8]/span[2]/span"")"),"Loading...")</f>
        <v>Loading...</v>
      </c>
      <c r="T4725" s="4">
        <v>34.6</v>
      </c>
      <c r="U4725" s="4">
        <v>22.7</v>
      </c>
      <c r="V4725" s="4">
        <v>2.6</v>
      </c>
      <c r="W4725" s="4">
        <v>5.7</v>
      </c>
      <c r="X4725" s="4">
        <v>519.92999999999995</v>
      </c>
      <c r="Y4725" s="7" t="e">
        <f t="shared" ca="1" si="94"/>
        <v>#VALUE!</v>
      </c>
    </row>
    <row r="4726" spans="1:25" ht="15" x14ac:dyDescent="0.25">
      <c r="A4726" s="4">
        <v>4725</v>
      </c>
      <c r="C4726" s="41" t="s">
        <v>7103</v>
      </c>
      <c r="D4726" s="42"/>
      <c r="E4726" s="5" t="str">
        <f t="shared" si="90"/>
        <v>https://www.screener.in/company//consolidated/</v>
      </c>
      <c r="F4726" s="4">
        <v>443059</v>
      </c>
      <c r="G4726" s="4">
        <v>3832241897</v>
      </c>
      <c r="H4726" s="6" t="e">
        <f t="shared" ca="1" si="91"/>
        <v>#VALUE!</v>
      </c>
      <c r="I4726" s="7" t="str">
        <f ca="1">IFERROR(__xludf.DUMMYFUNCTION("IMPORTXML(E4726,""/html/body/main/div[3]/div[3]/div[2]/ul/li[5]/span[2]/span"")"),"Loading...")</f>
        <v>Loading...</v>
      </c>
      <c r="J4726" s="7" t="str">
        <f ca="1">IFERROR(__xludf.DUMMYFUNCTION("GOOGLEFINANCE(""NSE:""&amp;D4726,""marketcap"")"),"#N/A")</f>
        <v>#N/A</v>
      </c>
      <c r="K4726" s="7">
        <v>992.8</v>
      </c>
      <c r="L4726" s="8" t="str">
        <f ca="1">IFERROR(__xludf.DUMMYFUNCTION("GOOGLEFINANCE(""NSE:""&amp;D4726,""price"")"),"#N/A")</f>
        <v>#N/A</v>
      </c>
      <c r="M4726" s="9" t="e">
        <f t="shared" ca="1" si="92"/>
        <v>#VALUE!</v>
      </c>
      <c r="N4726" s="10" t="e">
        <f t="shared" ca="1" si="93"/>
        <v>#VALUE!</v>
      </c>
      <c r="O4726" s="7" t="str">
        <f ca="1">IFERROR(__xludf.DUMMYFUNCTION("GOOGLEFINANCE(""NSE:""&amp;D4726,""pe"")"),"#N/A")</f>
        <v>#N/A</v>
      </c>
      <c r="P4726" s="7" t="str">
        <f ca="1">IFERROR(__xludf.DUMMYFUNCTION("GOOGLEFINANCE(""NSE:""&amp;D4726,""EPS"")"),"#N/A")</f>
        <v>#N/A</v>
      </c>
      <c r="Q4726" s="7">
        <v>13.5</v>
      </c>
      <c r="R4726" s="7" t="str">
        <f ca="1">IFERROR(__xludf.DUMMYFUNCTION("IMPORTXML(E4726,""/html/body/main/div[3]/div[3]/div[2]/ul/li[7]/span[2]/span"")"),"Loading...")</f>
        <v>Loading...</v>
      </c>
      <c r="S4726" s="7" t="str">
        <f ca="1">IFERROR(__xludf.DUMMYFUNCTION("IMPORTXML(E4726,""/html/body/main/div[3]/div[3]/div[2]/ul/li[8]/span[2]/span"")"),"Loading...")</f>
        <v>Loading...</v>
      </c>
      <c r="T4726" s="4">
        <v>34.6</v>
      </c>
      <c r="U4726" s="4">
        <v>22.7</v>
      </c>
      <c r="V4726" s="4">
        <v>2.6</v>
      </c>
      <c r="W4726" s="4">
        <v>5.7</v>
      </c>
      <c r="X4726" s="4">
        <v>519.92999999999995</v>
      </c>
      <c r="Y4726" s="7" t="e">
        <f t="shared" ca="1" si="94"/>
        <v>#VALUE!</v>
      </c>
    </row>
    <row r="4727" spans="1:25" ht="15" x14ac:dyDescent="0.25">
      <c r="A4727" s="4">
        <v>4726</v>
      </c>
      <c r="C4727" s="41" t="s">
        <v>7104</v>
      </c>
      <c r="D4727" s="42"/>
      <c r="E4727" s="5" t="str">
        <f t="shared" si="90"/>
        <v>https://www.screener.in/company//consolidated/</v>
      </c>
      <c r="F4727" s="4">
        <v>443059</v>
      </c>
      <c r="G4727" s="4">
        <v>3832241897</v>
      </c>
      <c r="H4727" s="6" t="e">
        <f t="shared" ca="1" si="91"/>
        <v>#VALUE!</v>
      </c>
      <c r="I4727" s="7" t="str">
        <f ca="1">IFERROR(__xludf.DUMMYFUNCTION("IMPORTXML(E4727,""/html/body/main/div[3]/div[3]/div[2]/ul/li[5]/span[2]/span"")"),"Loading...")</f>
        <v>Loading...</v>
      </c>
      <c r="J4727" s="7" t="str">
        <f ca="1">IFERROR(__xludf.DUMMYFUNCTION("GOOGLEFINANCE(""NSE:""&amp;D4727,""marketcap"")"),"#N/A")</f>
        <v>#N/A</v>
      </c>
      <c r="K4727" s="7">
        <v>992.8</v>
      </c>
      <c r="L4727" s="8" t="str">
        <f ca="1">IFERROR(__xludf.DUMMYFUNCTION("GOOGLEFINANCE(""NSE:""&amp;D4727,""price"")"),"#N/A")</f>
        <v>#N/A</v>
      </c>
      <c r="M4727" s="9" t="e">
        <f t="shared" ca="1" si="92"/>
        <v>#VALUE!</v>
      </c>
      <c r="N4727" s="10" t="e">
        <f t="shared" ca="1" si="93"/>
        <v>#VALUE!</v>
      </c>
      <c r="O4727" s="7" t="str">
        <f ca="1">IFERROR(__xludf.DUMMYFUNCTION("GOOGLEFINANCE(""NSE:""&amp;D4727,""pe"")"),"#N/A")</f>
        <v>#N/A</v>
      </c>
      <c r="P4727" s="7" t="str">
        <f ca="1">IFERROR(__xludf.DUMMYFUNCTION("GOOGLEFINANCE(""NSE:""&amp;D4727,""EPS"")"),"#N/A")</f>
        <v>#N/A</v>
      </c>
      <c r="Q4727" s="7">
        <v>13.5</v>
      </c>
      <c r="R4727" s="7" t="str">
        <f ca="1">IFERROR(__xludf.DUMMYFUNCTION("IMPORTXML(E4727,""/html/body/main/div[3]/div[3]/div[2]/ul/li[7]/span[2]/span"")"),"Loading...")</f>
        <v>Loading...</v>
      </c>
      <c r="S4727" s="7" t="str">
        <f ca="1">IFERROR(__xludf.DUMMYFUNCTION("IMPORTXML(E4727,""/html/body/main/div[3]/div[3]/div[2]/ul/li[8]/span[2]/span"")"),"Loading...")</f>
        <v>Loading...</v>
      </c>
      <c r="T4727" s="4">
        <v>34.6</v>
      </c>
      <c r="U4727" s="4">
        <v>22.7</v>
      </c>
      <c r="V4727" s="4">
        <v>2.6</v>
      </c>
      <c r="W4727" s="4">
        <v>5.7</v>
      </c>
      <c r="X4727" s="4">
        <v>519.92999999999995</v>
      </c>
      <c r="Y4727" s="7" t="e">
        <f t="shared" ca="1" si="94"/>
        <v>#VALUE!</v>
      </c>
    </row>
    <row r="4728" spans="1:25" ht="15" x14ac:dyDescent="0.25">
      <c r="A4728" s="4">
        <v>4727</v>
      </c>
      <c r="C4728" s="41" t="s">
        <v>7105</v>
      </c>
      <c r="D4728" s="42"/>
      <c r="E4728" s="5" t="str">
        <f t="shared" si="90"/>
        <v>https://www.screener.in/company//consolidated/</v>
      </c>
      <c r="F4728" s="4">
        <v>443059</v>
      </c>
      <c r="G4728" s="4">
        <v>3832241897</v>
      </c>
      <c r="H4728" s="6" t="e">
        <f t="shared" ca="1" si="91"/>
        <v>#VALUE!</v>
      </c>
      <c r="I4728" s="7" t="str">
        <f ca="1">IFERROR(__xludf.DUMMYFUNCTION("IMPORTXML(E4728,""/html/body/main/div[3]/div[3]/div[2]/ul/li[5]/span[2]/span"")"),"Loading...")</f>
        <v>Loading...</v>
      </c>
      <c r="J4728" s="7" t="str">
        <f ca="1">IFERROR(__xludf.DUMMYFUNCTION("GOOGLEFINANCE(""NSE:""&amp;D4728,""marketcap"")"),"#N/A")</f>
        <v>#N/A</v>
      </c>
      <c r="K4728" s="7">
        <v>992.8</v>
      </c>
      <c r="L4728" s="8" t="str">
        <f ca="1">IFERROR(__xludf.DUMMYFUNCTION("GOOGLEFINANCE(""NSE:""&amp;D4728,""price"")"),"#N/A")</f>
        <v>#N/A</v>
      </c>
      <c r="M4728" s="9" t="e">
        <f t="shared" ca="1" si="92"/>
        <v>#VALUE!</v>
      </c>
      <c r="N4728" s="10" t="e">
        <f t="shared" ca="1" si="93"/>
        <v>#VALUE!</v>
      </c>
      <c r="O4728" s="7" t="str">
        <f ca="1">IFERROR(__xludf.DUMMYFUNCTION("GOOGLEFINANCE(""NSE:""&amp;D4728,""pe"")"),"#N/A")</f>
        <v>#N/A</v>
      </c>
      <c r="P4728" s="7" t="str">
        <f ca="1">IFERROR(__xludf.DUMMYFUNCTION("GOOGLEFINANCE(""NSE:""&amp;D4728,""EPS"")"),"#N/A")</f>
        <v>#N/A</v>
      </c>
      <c r="Q4728" s="7">
        <v>13.5</v>
      </c>
      <c r="R4728" s="7" t="str">
        <f ca="1">IFERROR(__xludf.DUMMYFUNCTION("IMPORTXML(E4728,""/html/body/main/div[3]/div[3]/div[2]/ul/li[7]/span[2]/span"")"),"Loading...")</f>
        <v>Loading...</v>
      </c>
      <c r="S4728" s="7" t="str">
        <f ca="1">IFERROR(__xludf.DUMMYFUNCTION("IMPORTXML(E4728,""/html/body/main/div[3]/div[3]/div[2]/ul/li[8]/span[2]/span"")"),"Loading...")</f>
        <v>Loading...</v>
      </c>
      <c r="T4728" s="4">
        <v>34.6</v>
      </c>
      <c r="U4728" s="4">
        <v>22.7</v>
      </c>
      <c r="V4728" s="4">
        <v>2.6</v>
      </c>
      <c r="W4728" s="4">
        <v>5.7</v>
      </c>
      <c r="X4728" s="4">
        <v>519.92999999999995</v>
      </c>
      <c r="Y4728" s="7" t="e">
        <f t="shared" ca="1" si="94"/>
        <v>#VALUE!</v>
      </c>
    </row>
    <row r="4729" spans="1:25" ht="15" x14ac:dyDescent="0.25">
      <c r="A4729" s="4">
        <v>4728</v>
      </c>
      <c r="C4729" s="41" t="s">
        <v>7106</v>
      </c>
      <c r="D4729" s="42"/>
      <c r="E4729" s="5" t="str">
        <f t="shared" si="90"/>
        <v>https://www.screener.in/company//consolidated/</v>
      </c>
      <c r="F4729" s="4">
        <v>443059</v>
      </c>
      <c r="G4729" s="4">
        <v>3832241897</v>
      </c>
      <c r="H4729" s="6" t="e">
        <f t="shared" ca="1" si="91"/>
        <v>#VALUE!</v>
      </c>
      <c r="I4729" s="7" t="str">
        <f ca="1">IFERROR(__xludf.DUMMYFUNCTION("IMPORTXML(E4729,""/html/body/main/div[3]/div[3]/div[2]/ul/li[5]/span[2]/span"")"),"Loading...")</f>
        <v>Loading...</v>
      </c>
      <c r="J4729" s="7" t="str">
        <f ca="1">IFERROR(__xludf.DUMMYFUNCTION("GOOGLEFINANCE(""NSE:""&amp;D4729,""marketcap"")"),"#N/A")</f>
        <v>#N/A</v>
      </c>
      <c r="K4729" s="7">
        <v>992.8</v>
      </c>
      <c r="L4729" s="8" t="str">
        <f ca="1">IFERROR(__xludf.DUMMYFUNCTION("GOOGLEFINANCE(""NSE:""&amp;D4729,""price"")"),"#N/A")</f>
        <v>#N/A</v>
      </c>
      <c r="M4729" s="9" t="e">
        <f t="shared" ca="1" si="92"/>
        <v>#VALUE!</v>
      </c>
      <c r="N4729" s="10" t="e">
        <f t="shared" ca="1" si="93"/>
        <v>#VALUE!</v>
      </c>
      <c r="O4729" s="7" t="str">
        <f ca="1">IFERROR(__xludf.DUMMYFUNCTION("GOOGLEFINANCE(""NSE:""&amp;D4729,""pe"")"),"#N/A")</f>
        <v>#N/A</v>
      </c>
      <c r="P4729" s="7" t="str">
        <f ca="1">IFERROR(__xludf.DUMMYFUNCTION("GOOGLEFINANCE(""NSE:""&amp;D4729,""EPS"")"),"#N/A")</f>
        <v>#N/A</v>
      </c>
      <c r="Q4729" s="7">
        <v>13.5</v>
      </c>
      <c r="R4729" s="7" t="str">
        <f ca="1">IFERROR(__xludf.DUMMYFUNCTION("IMPORTXML(E4729,""/html/body/main/div[3]/div[3]/div[2]/ul/li[7]/span[2]/span"")"),"Loading...")</f>
        <v>Loading...</v>
      </c>
      <c r="S4729" s="7" t="str">
        <f ca="1">IFERROR(__xludf.DUMMYFUNCTION("IMPORTXML(E4729,""/html/body/main/div[3]/div[3]/div[2]/ul/li[8]/span[2]/span"")"),"Loading...")</f>
        <v>Loading...</v>
      </c>
      <c r="T4729" s="4">
        <v>34.6</v>
      </c>
      <c r="U4729" s="4">
        <v>22.7</v>
      </c>
      <c r="V4729" s="4">
        <v>2.6</v>
      </c>
      <c r="W4729" s="4">
        <v>5.7</v>
      </c>
      <c r="X4729" s="4">
        <v>519.92999999999995</v>
      </c>
      <c r="Y4729" s="7" t="e">
        <f t="shared" ca="1" si="94"/>
        <v>#VALUE!</v>
      </c>
    </row>
    <row r="4730" spans="1:25" ht="15" x14ac:dyDescent="0.25">
      <c r="A4730" s="4">
        <v>4729</v>
      </c>
      <c r="C4730" s="41" t="s">
        <v>7107</v>
      </c>
      <c r="D4730" s="42"/>
      <c r="E4730" s="5" t="str">
        <f t="shared" si="90"/>
        <v>https://www.screener.in/company//consolidated/</v>
      </c>
      <c r="F4730" s="4">
        <v>443059</v>
      </c>
      <c r="G4730" s="4">
        <v>3832241897</v>
      </c>
      <c r="H4730" s="6" t="e">
        <f t="shared" ca="1" si="91"/>
        <v>#VALUE!</v>
      </c>
      <c r="I4730" s="7" t="str">
        <f ca="1">IFERROR(__xludf.DUMMYFUNCTION("IMPORTXML(E4730,""/html/body/main/div[3]/div[3]/div[2]/ul/li[5]/span[2]/span"")"),"Loading...")</f>
        <v>Loading...</v>
      </c>
      <c r="J4730" s="7" t="str">
        <f ca="1">IFERROR(__xludf.DUMMYFUNCTION("GOOGLEFINANCE(""NSE:""&amp;D4730,""marketcap"")"),"#N/A")</f>
        <v>#N/A</v>
      </c>
      <c r="K4730" s="7">
        <v>992.8</v>
      </c>
      <c r="L4730" s="8" t="str">
        <f ca="1">IFERROR(__xludf.DUMMYFUNCTION("GOOGLEFINANCE(""NSE:""&amp;D4730,""price"")"),"#N/A")</f>
        <v>#N/A</v>
      </c>
      <c r="M4730" s="9" t="e">
        <f t="shared" ca="1" si="92"/>
        <v>#VALUE!</v>
      </c>
      <c r="N4730" s="10" t="e">
        <f t="shared" ca="1" si="93"/>
        <v>#VALUE!</v>
      </c>
      <c r="O4730" s="7" t="str">
        <f ca="1">IFERROR(__xludf.DUMMYFUNCTION("GOOGLEFINANCE(""NSE:""&amp;D4730,""pe"")"),"#N/A")</f>
        <v>#N/A</v>
      </c>
      <c r="P4730" s="7" t="str">
        <f ca="1">IFERROR(__xludf.DUMMYFUNCTION("GOOGLEFINANCE(""NSE:""&amp;D4730,""EPS"")"),"#N/A")</f>
        <v>#N/A</v>
      </c>
      <c r="Q4730" s="7">
        <v>13.5</v>
      </c>
      <c r="R4730" s="7" t="str">
        <f ca="1">IFERROR(__xludf.DUMMYFUNCTION("IMPORTXML(E4730,""/html/body/main/div[3]/div[3]/div[2]/ul/li[7]/span[2]/span"")"),"Loading...")</f>
        <v>Loading...</v>
      </c>
      <c r="S4730" s="7" t="str">
        <f ca="1">IFERROR(__xludf.DUMMYFUNCTION("IMPORTXML(E4730,""/html/body/main/div[3]/div[3]/div[2]/ul/li[8]/span[2]/span"")"),"Loading...")</f>
        <v>Loading...</v>
      </c>
      <c r="T4730" s="4">
        <v>34.6</v>
      </c>
      <c r="U4730" s="4">
        <v>22.7</v>
      </c>
      <c r="V4730" s="4">
        <v>2.6</v>
      </c>
      <c r="W4730" s="4">
        <v>5.7</v>
      </c>
      <c r="X4730" s="4">
        <v>519.92999999999995</v>
      </c>
      <c r="Y4730" s="7" t="e">
        <f t="shared" ca="1" si="94"/>
        <v>#VALUE!</v>
      </c>
    </row>
    <row r="4731" spans="1:25" ht="15" x14ac:dyDescent="0.25">
      <c r="A4731" s="4">
        <v>4730</v>
      </c>
      <c r="C4731" s="41" t="s">
        <v>7108</v>
      </c>
      <c r="D4731" s="42"/>
      <c r="E4731" s="5" t="str">
        <f t="shared" si="90"/>
        <v>https://www.screener.in/company//consolidated/</v>
      </c>
      <c r="F4731" s="4">
        <v>443059</v>
      </c>
      <c r="G4731" s="4">
        <v>3832241897</v>
      </c>
      <c r="H4731" s="6" t="e">
        <f t="shared" ca="1" si="91"/>
        <v>#VALUE!</v>
      </c>
      <c r="I4731" s="7" t="str">
        <f ca="1">IFERROR(__xludf.DUMMYFUNCTION("IMPORTXML(E4731,""/html/body/main/div[3]/div[3]/div[2]/ul/li[5]/span[2]/span"")"),"Loading...")</f>
        <v>Loading...</v>
      </c>
      <c r="J4731" s="7" t="str">
        <f ca="1">IFERROR(__xludf.DUMMYFUNCTION("GOOGLEFINANCE(""NSE:""&amp;D4731,""marketcap"")"),"#N/A")</f>
        <v>#N/A</v>
      </c>
      <c r="K4731" s="7">
        <v>992.8</v>
      </c>
      <c r="L4731" s="8" t="str">
        <f ca="1">IFERROR(__xludf.DUMMYFUNCTION("GOOGLEFINANCE(""NSE:""&amp;D4731,""price"")"),"#N/A")</f>
        <v>#N/A</v>
      </c>
      <c r="M4731" s="9" t="e">
        <f t="shared" ca="1" si="92"/>
        <v>#VALUE!</v>
      </c>
      <c r="N4731" s="10" t="e">
        <f t="shared" ca="1" si="93"/>
        <v>#VALUE!</v>
      </c>
      <c r="O4731" s="7" t="str">
        <f ca="1">IFERROR(__xludf.DUMMYFUNCTION("GOOGLEFINANCE(""NSE:""&amp;D4731,""pe"")"),"#N/A")</f>
        <v>#N/A</v>
      </c>
      <c r="P4731" s="7" t="str">
        <f ca="1">IFERROR(__xludf.DUMMYFUNCTION("GOOGLEFINANCE(""NSE:""&amp;D4731,""EPS"")"),"#N/A")</f>
        <v>#N/A</v>
      </c>
      <c r="Q4731" s="7">
        <v>13.5</v>
      </c>
      <c r="R4731" s="7" t="str">
        <f ca="1">IFERROR(__xludf.DUMMYFUNCTION("IMPORTXML(E4731,""/html/body/main/div[3]/div[3]/div[2]/ul/li[7]/span[2]/span"")"),"Loading...")</f>
        <v>Loading...</v>
      </c>
      <c r="S4731" s="7" t="str">
        <f ca="1">IFERROR(__xludf.DUMMYFUNCTION("IMPORTXML(E4731,""/html/body/main/div[3]/div[3]/div[2]/ul/li[8]/span[2]/span"")"),"Loading...")</f>
        <v>Loading...</v>
      </c>
      <c r="T4731" s="4">
        <v>34.6</v>
      </c>
      <c r="U4731" s="4">
        <v>22.7</v>
      </c>
      <c r="V4731" s="4">
        <v>2.6</v>
      </c>
      <c r="W4731" s="4">
        <v>5.7</v>
      </c>
      <c r="X4731" s="4">
        <v>519.92999999999995</v>
      </c>
      <c r="Y4731" s="7" t="e">
        <f t="shared" ca="1" si="94"/>
        <v>#VALUE!</v>
      </c>
    </row>
    <row r="4732" spans="1:25" ht="15" x14ac:dyDescent="0.25">
      <c r="A4732" s="4">
        <v>4731</v>
      </c>
      <c r="C4732" s="41" t="s">
        <v>7109</v>
      </c>
      <c r="D4732" s="42"/>
      <c r="E4732" s="5" t="str">
        <f t="shared" si="90"/>
        <v>https://www.screener.in/company//consolidated/</v>
      </c>
      <c r="F4732" s="4">
        <v>443059</v>
      </c>
      <c r="G4732" s="4">
        <v>3832241897</v>
      </c>
      <c r="H4732" s="6" t="e">
        <f t="shared" ca="1" si="91"/>
        <v>#VALUE!</v>
      </c>
      <c r="I4732" s="7" t="str">
        <f ca="1">IFERROR(__xludf.DUMMYFUNCTION("IMPORTXML(E4732,""/html/body/main/div[3]/div[3]/div[2]/ul/li[5]/span[2]/span"")"),"Loading...")</f>
        <v>Loading...</v>
      </c>
      <c r="J4732" s="7" t="str">
        <f ca="1">IFERROR(__xludf.DUMMYFUNCTION("GOOGLEFINANCE(""NSE:""&amp;D4732,""marketcap"")"),"#N/A")</f>
        <v>#N/A</v>
      </c>
      <c r="K4732" s="7">
        <v>992.8</v>
      </c>
      <c r="L4732" s="8" t="str">
        <f ca="1">IFERROR(__xludf.DUMMYFUNCTION("GOOGLEFINANCE(""NSE:""&amp;D4732,""price"")"),"#N/A")</f>
        <v>#N/A</v>
      </c>
      <c r="M4732" s="9" t="e">
        <f t="shared" ca="1" si="92"/>
        <v>#VALUE!</v>
      </c>
      <c r="N4732" s="10" t="e">
        <f t="shared" ca="1" si="93"/>
        <v>#VALUE!</v>
      </c>
      <c r="O4732" s="7" t="str">
        <f ca="1">IFERROR(__xludf.DUMMYFUNCTION("GOOGLEFINANCE(""NSE:""&amp;D4732,""pe"")"),"#N/A")</f>
        <v>#N/A</v>
      </c>
      <c r="P4732" s="7" t="str">
        <f ca="1">IFERROR(__xludf.DUMMYFUNCTION("GOOGLEFINANCE(""NSE:""&amp;D4732,""EPS"")"),"#N/A")</f>
        <v>#N/A</v>
      </c>
      <c r="Q4732" s="7">
        <v>13.5</v>
      </c>
      <c r="R4732" s="7" t="str">
        <f ca="1">IFERROR(__xludf.DUMMYFUNCTION("IMPORTXML(E4732,""/html/body/main/div[3]/div[3]/div[2]/ul/li[7]/span[2]/span"")"),"Loading...")</f>
        <v>Loading...</v>
      </c>
      <c r="S4732" s="7" t="str">
        <f ca="1">IFERROR(__xludf.DUMMYFUNCTION("IMPORTXML(E4732,""/html/body/main/div[3]/div[3]/div[2]/ul/li[8]/span[2]/span"")"),"Loading...")</f>
        <v>Loading...</v>
      </c>
      <c r="T4732" s="4">
        <v>34.6</v>
      </c>
      <c r="U4732" s="4">
        <v>22.7</v>
      </c>
      <c r="V4732" s="4">
        <v>2.6</v>
      </c>
      <c r="W4732" s="4">
        <v>5.7</v>
      </c>
      <c r="X4732" s="4">
        <v>519.92999999999995</v>
      </c>
      <c r="Y4732" s="7" t="e">
        <f t="shared" ca="1" si="94"/>
        <v>#VALUE!</v>
      </c>
    </row>
    <row r="4733" spans="1:25" ht="15" x14ac:dyDescent="0.25">
      <c r="A4733" s="4">
        <v>4732</v>
      </c>
      <c r="C4733" s="41" t="s">
        <v>7110</v>
      </c>
      <c r="D4733" s="42"/>
      <c r="E4733" s="5" t="str">
        <f t="shared" si="90"/>
        <v>https://www.screener.in/company//consolidated/</v>
      </c>
      <c r="F4733" s="4">
        <v>443059</v>
      </c>
      <c r="G4733" s="4">
        <v>3832241897</v>
      </c>
      <c r="H4733" s="6" t="e">
        <f t="shared" ca="1" si="91"/>
        <v>#VALUE!</v>
      </c>
      <c r="I4733" s="7" t="str">
        <f ca="1">IFERROR(__xludf.DUMMYFUNCTION("IMPORTXML(E4733,""/html/body/main/div[3]/div[3]/div[2]/ul/li[5]/span[2]/span"")"),"Loading...")</f>
        <v>Loading...</v>
      </c>
      <c r="J4733" s="7" t="str">
        <f ca="1">IFERROR(__xludf.DUMMYFUNCTION("GOOGLEFINANCE(""NSE:""&amp;D4733,""marketcap"")"),"#N/A")</f>
        <v>#N/A</v>
      </c>
      <c r="K4733" s="7">
        <v>992.8</v>
      </c>
      <c r="L4733" s="8" t="str">
        <f ca="1">IFERROR(__xludf.DUMMYFUNCTION("GOOGLEFINANCE(""NSE:""&amp;D4733,""price"")"),"#N/A")</f>
        <v>#N/A</v>
      </c>
      <c r="M4733" s="9" t="e">
        <f t="shared" ca="1" si="92"/>
        <v>#VALUE!</v>
      </c>
      <c r="N4733" s="10" t="e">
        <f t="shared" ca="1" si="93"/>
        <v>#VALUE!</v>
      </c>
      <c r="O4733" s="7" t="str">
        <f ca="1">IFERROR(__xludf.DUMMYFUNCTION("GOOGLEFINANCE(""NSE:""&amp;D4733,""pe"")"),"#N/A")</f>
        <v>#N/A</v>
      </c>
      <c r="P4733" s="7" t="str">
        <f ca="1">IFERROR(__xludf.DUMMYFUNCTION("GOOGLEFINANCE(""NSE:""&amp;D4733,""EPS"")"),"#N/A")</f>
        <v>#N/A</v>
      </c>
      <c r="Q4733" s="7">
        <v>13.5</v>
      </c>
      <c r="R4733" s="7" t="str">
        <f ca="1">IFERROR(__xludf.DUMMYFUNCTION("IMPORTXML(E4733,""/html/body/main/div[3]/div[3]/div[2]/ul/li[7]/span[2]/span"")"),"Loading...")</f>
        <v>Loading...</v>
      </c>
      <c r="S4733" s="7" t="str">
        <f ca="1">IFERROR(__xludf.DUMMYFUNCTION("IMPORTXML(E4733,""/html/body/main/div[3]/div[3]/div[2]/ul/li[8]/span[2]/span"")"),"Loading...")</f>
        <v>Loading...</v>
      </c>
      <c r="T4733" s="4">
        <v>34.6</v>
      </c>
      <c r="U4733" s="4">
        <v>22.7</v>
      </c>
      <c r="V4733" s="4">
        <v>2.6</v>
      </c>
      <c r="W4733" s="4">
        <v>5.7</v>
      </c>
      <c r="X4733" s="4">
        <v>519.92999999999995</v>
      </c>
      <c r="Y4733" s="7" t="e">
        <f t="shared" ca="1" si="94"/>
        <v>#VALUE!</v>
      </c>
    </row>
    <row r="4734" spans="1:25" ht="15" x14ac:dyDescent="0.25">
      <c r="A4734" s="4">
        <v>4733</v>
      </c>
      <c r="C4734" s="41" t="s">
        <v>7111</v>
      </c>
      <c r="D4734" s="42"/>
      <c r="E4734" s="5" t="str">
        <f t="shared" si="90"/>
        <v>https://www.screener.in/company//consolidated/</v>
      </c>
      <c r="F4734" s="4">
        <v>443059</v>
      </c>
      <c r="G4734" s="4">
        <v>3832241897</v>
      </c>
      <c r="H4734" s="6" t="e">
        <f t="shared" ca="1" si="91"/>
        <v>#VALUE!</v>
      </c>
      <c r="I4734" s="7" t="str">
        <f ca="1">IFERROR(__xludf.DUMMYFUNCTION("IMPORTXML(E4734,""/html/body/main/div[3]/div[3]/div[2]/ul/li[5]/span[2]/span"")"),"Loading...")</f>
        <v>Loading...</v>
      </c>
      <c r="J4734" s="7" t="str">
        <f ca="1">IFERROR(__xludf.DUMMYFUNCTION("GOOGLEFINANCE(""NSE:""&amp;D4734,""marketcap"")"),"#N/A")</f>
        <v>#N/A</v>
      </c>
      <c r="K4734" s="7">
        <v>992.8</v>
      </c>
      <c r="L4734" s="8" t="str">
        <f ca="1">IFERROR(__xludf.DUMMYFUNCTION("GOOGLEFINANCE(""NSE:""&amp;D4734,""price"")"),"#N/A")</f>
        <v>#N/A</v>
      </c>
      <c r="M4734" s="9" t="e">
        <f t="shared" ca="1" si="92"/>
        <v>#VALUE!</v>
      </c>
      <c r="N4734" s="10" t="e">
        <f t="shared" ca="1" si="93"/>
        <v>#VALUE!</v>
      </c>
      <c r="O4734" s="7" t="str">
        <f ca="1">IFERROR(__xludf.DUMMYFUNCTION("GOOGLEFINANCE(""NSE:""&amp;D4734,""pe"")"),"#N/A")</f>
        <v>#N/A</v>
      </c>
      <c r="P4734" s="7" t="str">
        <f ca="1">IFERROR(__xludf.DUMMYFUNCTION("GOOGLEFINANCE(""NSE:""&amp;D4734,""EPS"")"),"#N/A")</f>
        <v>#N/A</v>
      </c>
      <c r="Q4734" s="7">
        <v>13.5</v>
      </c>
      <c r="R4734" s="7" t="str">
        <f ca="1">IFERROR(__xludf.DUMMYFUNCTION("IMPORTXML(E4734,""/html/body/main/div[3]/div[3]/div[2]/ul/li[7]/span[2]/span"")"),"Loading...")</f>
        <v>Loading...</v>
      </c>
      <c r="S4734" s="7" t="str">
        <f ca="1">IFERROR(__xludf.DUMMYFUNCTION("IMPORTXML(E4734,""/html/body/main/div[3]/div[3]/div[2]/ul/li[8]/span[2]/span"")"),"Loading...")</f>
        <v>Loading...</v>
      </c>
      <c r="T4734" s="4">
        <v>34.6</v>
      </c>
      <c r="U4734" s="4">
        <v>22.7</v>
      </c>
      <c r="V4734" s="4">
        <v>2.6</v>
      </c>
      <c r="W4734" s="4">
        <v>5.7</v>
      </c>
      <c r="X4734" s="4">
        <v>519.92999999999995</v>
      </c>
      <c r="Y4734" s="7" t="e">
        <f t="shared" ca="1" si="94"/>
        <v>#VALUE!</v>
      </c>
    </row>
    <row r="4735" spans="1:25" ht="15" x14ac:dyDescent="0.25">
      <c r="A4735" s="4">
        <v>4734</v>
      </c>
      <c r="C4735" s="41" t="s">
        <v>7112</v>
      </c>
      <c r="D4735" s="42"/>
      <c r="E4735" s="5" t="str">
        <f t="shared" si="90"/>
        <v>https://www.screener.in/company//consolidated/</v>
      </c>
      <c r="F4735" s="4">
        <v>443059</v>
      </c>
      <c r="G4735" s="4">
        <v>3832241897</v>
      </c>
      <c r="H4735" s="6" t="e">
        <f t="shared" ca="1" si="91"/>
        <v>#VALUE!</v>
      </c>
      <c r="I4735" s="7" t="str">
        <f ca="1">IFERROR(__xludf.DUMMYFUNCTION("IMPORTXML(E4735,""/html/body/main/div[3]/div[3]/div[2]/ul/li[5]/span[2]/span"")"),"Loading...")</f>
        <v>Loading...</v>
      </c>
      <c r="J4735" s="7" t="str">
        <f ca="1">IFERROR(__xludf.DUMMYFUNCTION("GOOGLEFINANCE(""NSE:""&amp;D4735,""marketcap"")"),"#N/A")</f>
        <v>#N/A</v>
      </c>
      <c r="K4735" s="7">
        <v>992.8</v>
      </c>
      <c r="L4735" s="8" t="str">
        <f ca="1">IFERROR(__xludf.DUMMYFUNCTION("GOOGLEFINANCE(""NSE:""&amp;D4735,""price"")"),"#N/A")</f>
        <v>#N/A</v>
      </c>
      <c r="M4735" s="9" t="e">
        <f t="shared" ca="1" si="92"/>
        <v>#VALUE!</v>
      </c>
      <c r="N4735" s="10" t="e">
        <f t="shared" ca="1" si="93"/>
        <v>#VALUE!</v>
      </c>
      <c r="O4735" s="7" t="str">
        <f ca="1">IFERROR(__xludf.DUMMYFUNCTION("GOOGLEFINANCE(""NSE:""&amp;D4735,""pe"")"),"#N/A")</f>
        <v>#N/A</v>
      </c>
      <c r="P4735" s="7" t="str">
        <f ca="1">IFERROR(__xludf.DUMMYFUNCTION("GOOGLEFINANCE(""NSE:""&amp;D4735,""EPS"")"),"#N/A")</f>
        <v>#N/A</v>
      </c>
      <c r="Q4735" s="7">
        <v>13.5</v>
      </c>
      <c r="R4735" s="7" t="str">
        <f ca="1">IFERROR(__xludf.DUMMYFUNCTION("IMPORTXML(E4735,""/html/body/main/div[3]/div[3]/div[2]/ul/li[7]/span[2]/span"")"),"Loading...")</f>
        <v>Loading...</v>
      </c>
      <c r="S4735" s="7" t="str">
        <f ca="1">IFERROR(__xludf.DUMMYFUNCTION("IMPORTXML(E4735,""/html/body/main/div[3]/div[3]/div[2]/ul/li[8]/span[2]/span"")"),"Loading...")</f>
        <v>Loading...</v>
      </c>
      <c r="T4735" s="4">
        <v>34.6</v>
      </c>
      <c r="U4735" s="4">
        <v>22.7</v>
      </c>
      <c r="V4735" s="4">
        <v>2.6</v>
      </c>
      <c r="W4735" s="4">
        <v>5.7</v>
      </c>
      <c r="X4735" s="4">
        <v>519.92999999999995</v>
      </c>
      <c r="Y4735" s="7" t="e">
        <f t="shared" ca="1" si="94"/>
        <v>#VALUE!</v>
      </c>
    </row>
    <row r="4736" spans="1:25" ht="15" x14ac:dyDescent="0.25">
      <c r="A4736" s="4">
        <v>4735</v>
      </c>
      <c r="C4736" s="41" t="s">
        <v>7113</v>
      </c>
      <c r="D4736" s="42"/>
      <c r="E4736" s="5" t="str">
        <f t="shared" si="90"/>
        <v>https://www.screener.in/company//consolidated/</v>
      </c>
      <c r="F4736" s="4">
        <v>443059</v>
      </c>
      <c r="G4736" s="4">
        <v>3832241897</v>
      </c>
      <c r="H4736" s="6" t="e">
        <f t="shared" ca="1" si="91"/>
        <v>#VALUE!</v>
      </c>
      <c r="I4736" s="7" t="str">
        <f ca="1">IFERROR(__xludf.DUMMYFUNCTION("IMPORTXML(E4736,""/html/body/main/div[3]/div[3]/div[2]/ul/li[5]/span[2]/span"")"),"Loading...")</f>
        <v>Loading...</v>
      </c>
      <c r="J4736" s="7" t="str">
        <f ca="1">IFERROR(__xludf.DUMMYFUNCTION("GOOGLEFINANCE(""NSE:""&amp;D4736,""marketcap"")"),"#N/A")</f>
        <v>#N/A</v>
      </c>
      <c r="K4736" s="7">
        <v>992.8</v>
      </c>
      <c r="L4736" s="8" t="str">
        <f ca="1">IFERROR(__xludf.DUMMYFUNCTION("GOOGLEFINANCE(""NSE:""&amp;D4736,""price"")"),"#N/A")</f>
        <v>#N/A</v>
      </c>
      <c r="M4736" s="9" t="e">
        <f t="shared" ca="1" si="92"/>
        <v>#VALUE!</v>
      </c>
      <c r="N4736" s="10" t="e">
        <f t="shared" ca="1" si="93"/>
        <v>#VALUE!</v>
      </c>
      <c r="O4736" s="7" t="str">
        <f ca="1">IFERROR(__xludf.DUMMYFUNCTION("GOOGLEFINANCE(""NSE:""&amp;D4736,""pe"")"),"#N/A")</f>
        <v>#N/A</v>
      </c>
      <c r="P4736" s="7" t="str">
        <f ca="1">IFERROR(__xludf.DUMMYFUNCTION("GOOGLEFINANCE(""NSE:""&amp;D4736,""EPS"")"),"#N/A")</f>
        <v>#N/A</v>
      </c>
      <c r="Q4736" s="7">
        <v>13.5</v>
      </c>
      <c r="R4736" s="7" t="str">
        <f ca="1">IFERROR(__xludf.DUMMYFUNCTION("IMPORTXML(E4736,""/html/body/main/div[3]/div[3]/div[2]/ul/li[7]/span[2]/span"")"),"Loading...")</f>
        <v>Loading...</v>
      </c>
      <c r="S4736" s="7" t="str">
        <f ca="1">IFERROR(__xludf.DUMMYFUNCTION("IMPORTXML(E4736,""/html/body/main/div[3]/div[3]/div[2]/ul/li[8]/span[2]/span"")"),"Loading...")</f>
        <v>Loading...</v>
      </c>
      <c r="T4736" s="4">
        <v>34.6</v>
      </c>
      <c r="U4736" s="4">
        <v>22.7</v>
      </c>
      <c r="V4736" s="4">
        <v>2.6</v>
      </c>
      <c r="W4736" s="4">
        <v>5.7</v>
      </c>
      <c r="X4736" s="4">
        <v>519.92999999999995</v>
      </c>
      <c r="Y4736" s="7" t="e">
        <f t="shared" ca="1" si="94"/>
        <v>#VALUE!</v>
      </c>
    </row>
    <row r="4737" spans="1:25" ht="15" x14ac:dyDescent="0.25">
      <c r="A4737" s="4">
        <v>4736</v>
      </c>
      <c r="C4737" s="41" t="s">
        <v>7114</v>
      </c>
      <c r="D4737" s="42"/>
      <c r="E4737" s="5" t="str">
        <f t="shared" si="90"/>
        <v>https://www.screener.in/company//consolidated/</v>
      </c>
      <c r="F4737" s="4">
        <v>443059</v>
      </c>
      <c r="G4737" s="4">
        <v>3832241897</v>
      </c>
      <c r="H4737" s="6" t="e">
        <f t="shared" ca="1" si="91"/>
        <v>#VALUE!</v>
      </c>
      <c r="I4737" s="7" t="str">
        <f ca="1">IFERROR(__xludf.DUMMYFUNCTION("IMPORTXML(E4737,""/html/body/main/div[3]/div[3]/div[2]/ul/li[5]/span[2]/span"")"),"Loading...")</f>
        <v>Loading...</v>
      </c>
      <c r="J4737" s="7" t="str">
        <f ca="1">IFERROR(__xludf.DUMMYFUNCTION("GOOGLEFINANCE(""NSE:""&amp;D4737,""marketcap"")"),"#N/A")</f>
        <v>#N/A</v>
      </c>
      <c r="K4737" s="7">
        <v>992.8</v>
      </c>
      <c r="L4737" s="8" t="str">
        <f ca="1">IFERROR(__xludf.DUMMYFUNCTION("GOOGLEFINANCE(""NSE:""&amp;D4737,""price"")"),"#N/A")</f>
        <v>#N/A</v>
      </c>
      <c r="M4737" s="9" t="e">
        <f t="shared" ca="1" si="92"/>
        <v>#VALUE!</v>
      </c>
      <c r="N4737" s="10" t="e">
        <f t="shared" ca="1" si="93"/>
        <v>#VALUE!</v>
      </c>
      <c r="O4737" s="7" t="str">
        <f ca="1">IFERROR(__xludf.DUMMYFUNCTION("GOOGLEFINANCE(""NSE:""&amp;D4737,""pe"")"),"#N/A")</f>
        <v>#N/A</v>
      </c>
      <c r="P4737" s="7" t="str">
        <f ca="1">IFERROR(__xludf.DUMMYFUNCTION("GOOGLEFINANCE(""NSE:""&amp;D4737,""EPS"")"),"#N/A")</f>
        <v>#N/A</v>
      </c>
      <c r="Q4737" s="7">
        <v>13.5</v>
      </c>
      <c r="R4737" s="7" t="str">
        <f ca="1">IFERROR(__xludf.DUMMYFUNCTION("IMPORTXML(E4737,""/html/body/main/div[3]/div[3]/div[2]/ul/li[7]/span[2]/span"")"),"Loading...")</f>
        <v>Loading...</v>
      </c>
      <c r="S4737" s="7" t="str">
        <f ca="1">IFERROR(__xludf.DUMMYFUNCTION("IMPORTXML(E4737,""/html/body/main/div[3]/div[3]/div[2]/ul/li[8]/span[2]/span"")"),"Loading...")</f>
        <v>Loading...</v>
      </c>
      <c r="T4737" s="4">
        <v>34.6</v>
      </c>
      <c r="U4737" s="4">
        <v>22.7</v>
      </c>
      <c r="V4737" s="4">
        <v>2.6</v>
      </c>
      <c r="W4737" s="4">
        <v>5.7</v>
      </c>
      <c r="X4737" s="4">
        <v>519.92999999999995</v>
      </c>
      <c r="Y4737" s="7" t="e">
        <f t="shared" ca="1" si="94"/>
        <v>#VALUE!</v>
      </c>
    </row>
    <row r="4738" spans="1:25" ht="15" x14ac:dyDescent="0.25">
      <c r="A4738" s="4">
        <v>4737</v>
      </c>
      <c r="C4738" s="41" t="s">
        <v>7115</v>
      </c>
      <c r="D4738" s="42"/>
      <c r="E4738" s="5" t="str">
        <f t="shared" si="90"/>
        <v>https://www.screener.in/company//consolidated/</v>
      </c>
      <c r="F4738" s="4">
        <v>443059</v>
      </c>
      <c r="G4738" s="4">
        <v>3832241897</v>
      </c>
      <c r="H4738" s="6" t="e">
        <f t="shared" ca="1" si="91"/>
        <v>#VALUE!</v>
      </c>
      <c r="I4738" s="7" t="str">
        <f ca="1">IFERROR(__xludf.DUMMYFUNCTION("IMPORTXML(E4738,""/html/body/main/div[3]/div[3]/div[2]/ul/li[5]/span[2]/span"")"),"Loading...")</f>
        <v>Loading...</v>
      </c>
      <c r="J4738" s="7" t="str">
        <f ca="1">IFERROR(__xludf.DUMMYFUNCTION("GOOGLEFINANCE(""NSE:""&amp;D4738,""marketcap"")"),"#N/A")</f>
        <v>#N/A</v>
      </c>
      <c r="K4738" s="7">
        <v>992.8</v>
      </c>
      <c r="L4738" s="8" t="str">
        <f ca="1">IFERROR(__xludf.DUMMYFUNCTION("GOOGLEFINANCE(""NSE:""&amp;D4738,""price"")"),"#N/A")</f>
        <v>#N/A</v>
      </c>
      <c r="M4738" s="9" t="e">
        <f t="shared" ca="1" si="92"/>
        <v>#VALUE!</v>
      </c>
      <c r="N4738" s="10" t="e">
        <f t="shared" ca="1" si="93"/>
        <v>#VALUE!</v>
      </c>
      <c r="O4738" s="7" t="str">
        <f ca="1">IFERROR(__xludf.DUMMYFUNCTION("GOOGLEFINANCE(""NSE:""&amp;D4738,""pe"")"),"#N/A")</f>
        <v>#N/A</v>
      </c>
      <c r="P4738" s="7" t="str">
        <f ca="1">IFERROR(__xludf.DUMMYFUNCTION("GOOGLEFINANCE(""NSE:""&amp;D4738,""EPS"")"),"#N/A")</f>
        <v>#N/A</v>
      </c>
      <c r="Q4738" s="7">
        <v>13.5</v>
      </c>
      <c r="R4738" s="7" t="str">
        <f ca="1">IFERROR(__xludf.DUMMYFUNCTION("IMPORTXML(E4738,""/html/body/main/div[3]/div[3]/div[2]/ul/li[7]/span[2]/span"")"),"Loading...")</f>
        <v>Loading...</v>
      </c>
      <c r="S4738" s="7" t="str">
        <f ca="1">IFERROR(__xludf.DUMMYFUNCTION("IMPORTXML(E4738,""/html/body/main/div[3]/div[3]/div[2]/ul/li[8]/span[2]/span"")"),"Loading...")</f>
        <v>Loading...</v>
      </c>
      <c r="T4738" s="4">
        <v>34.6</v>
      </c>
      <c r="U4738" s="4">
        <v>22.7</v>
      </c>
      <c r="V4738" s="4">
        <v>2.6</v>
      </c>
      <c r="W4738" s="4">
        <v>5.7</v>
      </c>
      <c r="X4738" s="4">
        <v>519.92999999999995</v>
      </c>
      <c r="Y4738" s="7" t="e">
        <f t="shared" ca="1" si="94"/>
        <v>#VALUE!</v>
      </c>
    </row>
    <row r="4739" spans="1:25" ht="15" x14ac:dyDescent="0.25">
      <c r="A4739" s="4">
        <v>4738</v>
      </c>
      <c r="C4739" s="41" t="s">
        <v>7116</v>
      </c>
      <c r="D4739" s="42"/>
      <c r="E4739" s="5" t="str">
        <f t="shared" si="90"/>
        <v>https://www.screener.in/company//consolidated/</v>
      </c>
      <c r="F4739" s="4">
        <v>443059</v>
      </c>
      <c r="G4739" s="4">
        <v>3832241897</v>
      </c>
      <c r="H4739" s="6" t="e">
        <f t="shared" ca="1" si="91"/>
        <v>#VALUE!</v>
      </c>
      <c r="I4739" s="7" t="str">
        <f ca="1">IFERROR(__xludf.DUMMYFUNCTION("IMPORTXML(E4739,""/html/body/main/div[3]/div[3]/div[2]/ul/li[5]/span[2]/span"")"),"Loading...")</f>
        <v>Loading...</v>
      </c>
      <c r="J4739" s="7" t="str">
        <f ca="1">IFERROR(__xludf.DUMMYFUNCTION("GOOGLEFINANCE(""NSE:""&amp;D4739,""marketcap"")"),"#N/A")</f>
        <v>#N/A</v>
      </c>
      <c r="K4739" s="7">
        <v>992.8</v>
      </c>
      <c r="L4739" s="8" t="str">
        <f ca="1">IFERROR(__xludf.DUMMYFUNCTION("GOOGLEFINANCE(""NSE:""&amp;D4739,""price"")"),"#N/A")</f>
        <v>#N/A</v>
      </c>
      <c r="M4739" s="9" t="e">
        <f t="shared" ca="1" si="92"/>
        <v>#VALUE!</v>
      </c>
      <c r="N4739" s="10" t="e">
        <f t="shared" ca="1" si="93"/>
        <v>#VALUE!</v>
      </c>
      <c r="O4739" s="7" t="str">
        <f ca="1">IFERROR(__xludf.DUMMYFUNCTION("GOOGLEFINANCE(""NSE:""&amp;D4739,""pe"")"),"#N/A")</f>
        <v>#N/A</v>
      </c>
      <c r="P4739" s="7" t="str">
        <f ca="1">IFERROR(__xludf.DUMMYFUNCTION("GOOGLEFINANCE(""NSE:""&amp;D4739,""EPS"")"),"#N/A")</f>
        <v>#N/A</v>
      </c>
      <c r="Q4739" s="7">
        <v>13.5</v>
      </c>
      <c r="R4739" s="7" t="str">
        <f ca="1">IFERROR(__xludf.DUMMYFUNCTION("IMPORTXML(E4739,""/html/body/main/div[3]/div[3]/div[2]/ul/li[7]/span[2]/span"")"),"Loading...")</f>
        <v>Loading...</v>
      </c>
      <c r="S4739" s="7" t="str">
        <f ca="1">IFERROR(__xludf.DUMMYFUNCTION("IMPORTXML(E4739,""/html/body/main/div[3]/div[3]/div[2]/ul/li[8]/span[2]/span"")"),"Loading...")</f>
        <v>Loading...</v>
      </c>
      <c r="T4739" s="4">
        <v>34.6</v>
      </c>
      <c r="U4739" s="4">
        <v>22.7</v>
      </c>
      <c r="V4739" s="4">
        <v>2.6</v>
      </c>
      <c r="W4739" s="4">
        <v>5.7</v>
      </c>
      <c r="X4739" s="4">
        <v>519.92999999999995</v>
      </c>
      <c r="Y4739" s="7" t="e">
        <f t="shared" ca="1" si="94"/>
        <v>#VALUE!</v>
      </c>
    </row>
    <row r="4740" spans="1:25" ht="15" x14ac:dyDescent="0.25">
      <c r="A4740" s="4">
        <v>4739</v>
      </c>
      <c r="C4740" s="41" t="s">
        <v>7117</v>
      </c>
      <c r="D4740" s="42"/>
      <c r="E4740" s="5" t="str">
        <f t="shared" si="90"/>
        <v>https://www.screener.in/company//consolidated/</v>
      </c>
      <c r="F4740" s="4">
        <v>443059</v>
      </c>
      <c r="G4740" s="4">
        <v>3832241897</v>
      </c>
      <c r="H4740" s="6" t="e">
        <f t="shared" ca="1" si="91"/>
        <v>#VALUE!</v>
      </c>
      <c r="I4740" s="7" t="str">
        <f ca="1">IFERROR(__xludf.DUMMYFUNCTION("IMPORTXML(E4740,""/html/body/main/div[3]/div[3]/div[2]/ul/li[5]/span[2]/span"")"),"Loading...")</f>
        <v>Loading...</v>
      </c>
      <c r="J4740" s="7" t="str">
        <f ca="1">IFERROR(__xludf.DUMMYFUNCTION("GOOGLEFINANCE(""NSE:""&amp;D4740,""marketcap"")"),"#N/A")</f>
        <v>#N/A</v>
      </c>
      <c r="K4740" s="7">
        <v>992.8</v>
      </c>
      <c r="L4740" s="8" t="str">
        <f ca="1">IFERROR(__xludf.DUMMYFUNCTION("GOOGLEFINANCE(""NSE:""&amp;D4740,""price"")"),"#N/A")</f>
        <v>#N/A</v>
      </c>
      <c r="M4740" s="9" t="e">
        <f t="shared" ca="1" si="92"/>
        <v>#VALUE!</v>
      </c>
      <c r="N4740" s="10" t="e">
        <f t="shared" ca="1" si="93"/>
        <v>#VALUE!</v>
      </c>
      <c r="O4740" s="7" t="str">
        <f ca="1">IFERROR(__xludf.DUMMYFUNCTION("GOOGLEFINANCE(""NSE:""&amp;D4740,""pe"")"),"#N/A")</f>
        <v>#N/A</v>
      </c>
      <c r="P4740" s="7" t="str">
        <f ca="1">IFERROR(__xludf.DUMMYFUNCTION("GOOGLEFINANCE(""NSE:""&amp;D4740,""EPS"")"),"#N/A")</f>
        <v>#N/A</v>
      </c>
      <c r="Q4740" s="7">
        <v>13.5</v>
      </c>
      <c r="R4740" s="7" t="str">
        <f ca="1">IFERROR(__xludf.DUMMYFUNCTION("IMPORTXML(E4740,""/html/body/main/div[3]/div[3]/div[2]/ul/li[7]/span[2]/span"")"),"Loading...")</f>
        <v>Loading...</v>
      </c>
      <c r="S4740" s="7" t="str">
        <f ca="1">IFERROR(__xludf.DUMMYFUNCTION("IMPORTXML(E4740,""/html/body/main/div[3]/div[3]/div[2]/ul/li[8]/span[2]/span"")"),"Loading...")</f>
        <v>Loading...</v>
      </c>
      <c r="T4740" s="4">
        <v>34.6</v>
      </c>
      <c r="U4740" s="4">
        <v>22.7</v>
      </c>
      <c r="V4740" s="4">
        <v>2.6</v>
      </c>
      <c r="W4740" s="4">
        <v>5.7</v>
      </c>
      <c r="X4740" s="4">
        <v>519.92999999999995</v>
      </c>
      <c r="Y4740" s="7" t="e">
        <f t="shared" ca="1" si="94"/>
        <v>#VALUE!</v>
      </c>
    </row>
    <row r="4741" spans="1:25" ht="15" x14ac:dyDescent="0.25">
      <c r="A4741" s="4">
        <v>4740</v>
      </c>
      <c r="C4741" s="41" t="s">
        <v>7118</v>
      </c>
      <c r="D4741" s="42"/>
      <c r="E4741" s="5" t="str">
        <f t="shared" si="90"/>
        <v>https://www.screener.in/company//consolidated/</v>
      </c>
      <c r="F4741" s="4">
        <v>443059</v>
      </c>
      <c r="G4741" s="4">
        <v>3832241897</v>
      </c>
      <c r="H4741" s="6" t="e">
        <f t="shared" ca="1" si="91"/>
        <v>#VALUE!</v>
      </c>
      <c r="I4741" s="7" t="str">
        <f ca="1">IFERROR(__xludf.DUMMYFUNCTION("IMPORTXML(E4741,""/html/body/main/div[3]/div[3]/div[2]/ul/li[5]/span[2]/span"")"),"Loading...")</f>
        <v>Loading...</v>
      </c>
      <c r="J4741" s="7" t="str">
        <f ca="1">IFERROR(__xludf.DUMMYFUNCTION("GOOGLEFINANCE(""NSE:""&amp;D4741,""marketcap"")"),"#N/A")</f>
        <v>#N/A</v>
      </c>
      <c r="K4741" s="7">
        <v>992.8</v>
      </c>
      <c r="L4741" s="8" t="str">
        <f ca="1">IFERROR(__xludf.DUMMYFUNCTION("GOOGLEFINANCE(""NSE:""&amp;D4741,""price"")"),"#N/A")</f>
        <v>#N/A</v>
      </c>
      <c r="M4741" s="9" t="e">
        <f t="shared" ca="1" si="92"/>
        <v>#VALUE!</v>
      </c>
      <c r="N4741" s="10" t="e">
        <f t="shared" ca="1" si="93"/>
        <v>#VALUE!</v>
      </c>
      <c r="O4741" s="7" t="str">
        <f ca="1">IFERROR(__xludf.DUMMYFUNCTION("GOOGLEFINANCE(""NSE:""&amp;D4741,""pe"")"),"#N/A")</f>
        <v>#N/A</v>
      </c>
      <c r="P4741" s="7" t="str">
        <f ca="1">IFERROR(__xludf.DUMMYFUNCTION("GOOGLEFINANCE(""NSE:""&amp;D4741,""EPS"")"),"#N/A")</f>
        <v>#N/A</v>
      </c>
      <c r="Q4741" s="7">
        <v>13.5</v>
      </c>
      <c r="R4741" s="7" t="str">
        <f ca="1">IFERROR(__xludf.DUMMYFUNCTION("IMPORTXML(E4741,""/html/body/main/div[3]/div[3]/div[2]/ul/li[7]/span[2]/span"")"),"Loading...")</f>
        <v>Loading...</v>
      </c>
      <c r="S4741" s="7" t="str">
        <f ca="1">IFERROR(__xludf.DUMMYFUNCTION("IMPORTXML(E4741,""/html/body/main/div[3]/div[3]/div[2]/ul/li[8]/span[2]/span"")"),"Loading...")</f>
        <v>Loading...</v>
      </c>
      <c r="T4741" s="4">
        <v>34.6</v>
      </c>
      <c r="U4741" s="4">
        <v>22.7</v>
      </c>
      <c r="V4741" s="4">
        <v>2.6</v>
      </c>
      <c r="W4741" s="4">
        <v>5.7</v>
      </c>
      <c r="X4741" s="4">
        <v>519.92999999999995</v>
      </c>
      <c r="Y4741" s="7" t="e">
        <f t="shared" ca="1" si="94"/>
        <v>#VALUE!</v>
      </c>
    </row>
    <row r="4742" spans="1:25" ht="15" x14ac:dyDescent="0.25">
      <c r="A4742" s="4">
        <v>4741</v>
      </c>
      <c r="C4742" s="41" t="s">
        <v>7119</v>
      </c>
      <c r="D4742" s="42"/>
      <c r="E4742" s="5" t="str">
        <f t="shared" si="90"/>
        <v>https://www.screener.in/company//consolidated/</v>
      </c>
      <c r="F4742" s="4">
        <v>443059</v>
      </c>
      <c r="G4742" s="4">
        <v>3832241897</v>
      </c>
      <c r="H4742" s="6" t="e">
        <f t="shared" ca="1" si="91"/>
        <v>#VALUE!</v>
      </c>
      <c r="I4742" s="7" t="str">
        <f ca="1">IFERROR(__xludf.DUMMYFUNCTION("IMPORTXML(E4742,""/html/body/main/div[3]/div[3]/div[2]/ul/li[5]/span[2]/span"")"),"Loading...")</f>
        <v>Loading...</v>
      </c>
      <c r="J4742" s="7" t="str">
        <f ca="1">IFERROR(__xludf.DUMMYFUNCTION("GOOGLEFINANCE(""NSE:""&amp;D4742,""marketcap"")"),"#N/A")</f>
        <v>#N/A</v>
      </c>
      <c r="K4742" s="7">
        <v>992.8</v>
      </c>
      <c r="L4742" s="8" t="str">
        <f ca="1">IFERROR(__xludf.DUMMYFUNCTION("GOOGLEFINANCE(""NSE:""&amp;D4742,""price"")"),"#N/A")</f>
        <v>#N/A</v>
      </c>
      <c r="M4742" s="9" t="e">
        <f t="shared" ca="1" si="92"/>
        <v>#VALUE!</v>
      </c>
      <c r="N4742" s="10" t="e">
        <f t="shared" ca="1" si="93"/>
        <v>#VALUE!</v>
      </c>
      <c r="O4742" s="7" t="str">
        <f ca="1">IFERROR(__xludf.DUMMYFUNCTION("GOOGLEFINANCE(""NSE:""&amp;D4742,""pe"")"),"#N/A")</f>
        <v>#N/A</v>
      </c>
      <c r="P4742" s="7" t="str">
        <f ca="1">IFERROR(__xludf.DUMMYFUNCTION("GOOGLEFINANCE(""NSE:""&amp;D4742,""EPS"")"),"#N/A")</f>
        <v>#N/A</v>
      </c>
      <c r="Q4742" s="7">
        <v>13.5</v>
      </c>
      <c r="R4742" s="7" t="str">
        <f ca="1">IFERROR(__xludf.DUMMYFUNCTION("IMPORTXML(E4742,""/html/body/main/div[3]/div[3]/div[2]/ul/li[7]/span[2]/span"")"),"Loading...")</f>
        <v>Loading...</v>
      </c>
      <c r="S4742" s="7" t="str">
        <f ca="1">IFERROR(__xludf.DUMMYFUNCTION("IMPORTXML(E4742,""/html/body/main/div[3]/div[3]/div[2]/ul/li[8]/span[2]/span"")"),"Loading...")</f>
        <v>Loading...</v>
      </c>
      <c r="T4742" s="4">
        <v>34.6</v>
      </c>
      <c r="U4742" s="4">
        <v>22.7</v>
      </c>
      <c r="V4742" s="4">
        <v>2.6</v>
      </c>
      <c r="W4742" s="4">
        <v>5.7</v>
      </c>
      <c r="X4742" s="4">
        <v>519.92999999999995</v>
      </c>
      <c r="Y4742" s="7" t="e">
        <f t="shared" ca="1" si="94"/>
        <v>#VALUE!</v>
      </c>
    </row>
    <row r="4743" spans="1:25" ht="15" x14ac:dyDescent="0.25">
      <c r="A4743" s="4">
        <v>4742</v>
      </c>
      <c r="C4743" s="41" t="s">
        <v>7120</v>
      </c>
      <c r="D4743" s="42"/>
      <c r="E4743" s="5" t="str">
        <f t="shared" si="90"/>
        <v>https://www.screener.in/company//consolidated/</v>
      </c>
      <c r="F4743" s="4">
        <v>443059</v>
      </c>
      <c r="G4743" s="4">
        <v>3832241897</v>
      </c>
      <c r="H4743" s="6" t="e">
        <f t="shared" ca="1" si="91"/>
        <v>#VALUE!</v>
      </c>
      <c r="I4743" s="7" t="str">
        <f ca="1">IFERROR(__xludf.DUMMYFUNCTION("IMPORTXML(E4743,""/html/body/main/div[3]/div[3]/div[2]/ul/li[5]/span[2]/span"")"),"Loading...")</f>
        <v>Loading...</v>
      </c>
      <c r="J4743" s="7" t="str">
        <f ca="1">IFERROR(__xludf.DUMMYFUNCTION("GOOGLEFINANCE(""NSE:""&amp;D4743,""marketcap"")"),"#N/A")</f>
        <v>#N/A</v>
      </c>
      <c r="K4743" s="7">
        <v>992.8</v>
      </c>
      <c r="L4743" s="8" t="str">
        <f ca="1">IFERROR(__xludf.DUMMYFUNCTION("GOOGLEFINANCE(""NSE:""&amp;D4743,""price"")"),"#N/A")</f>
        <v>#N/A</v>
      </c>
      <c r="M4743" s="9" t="e">
        <f t="shared" ca="1" si="92"/>
        <v>#VALUE!</v>
      </c>
      <c r="N4743" s="10" t="e">
        <f t="shared" ca="1" si="93"/>
        <v>#VALUE!</v>
      </c>
      <c r="O4743" s="7" t="str">
        <f ca="1">IFERROR(__xludf.DUMMYFUNCTION("GOOGLEFINANCE(""NSE:""&amp;D4743,""pe"")"),"#N/A")</f>
        <v>#N/A</v>
      </c>
      <c r="P4743" s="7" t="str">
        <f ca="1">IFERROR(__xludf.DUMMYFUNCTION("GOOGLEFINANCE(""NSE:""&amp;D4743,""EPS"")"),"#N/A")</f>
        <v>#N/A</v>
      </c>
      <c r="Q4743" s="7">
        <v>13.5</v>
      </c>
      <c r="R4743" s="7" t="str">
        <f ca="1">IFERROR(__xludf.DUMMYFUNCTION("IMPORTXML(E4743,""/html/body/main/div[3]/div[3]/div[2]/ul/li[7]/span[2]/span"")"),"Loading...")</f>
        <v>Loading...</v>
      </c>
      <c r="S4743" s="7" t="str">
        <f ca="1">IFERROR(__xludf.DUMMYFUNCTION("IMPORTXML(E4743,""/html/body/main/div[3]/div[3]/div[2]/ul/li[8]/span[2]/span"")"),"Loading...")</f>
        <v>Loading...</v>
      </c>
      <c r="T4743" s="4">
        <v>34.6</v>
      </c>
      <c r="U4743" s="4">
        <v>22.7</v>
      </c>
      <c r="V4743" s="4">
        <v>2.6</v>
      </c>
      <c r="W4743" s="4">
        <v>5.7</v>
      </c>
      <c r="X4743" s="4">
        <v>519.92999999999995</v>
      </c>
      <c r="Y4743" s="7" t="e">
        <f t="shared" ca="1" si="94"/>
        <v>#VALUE!</v>
      </c>
    </row>
    <row r="4744" spans="1:25" ht="15" x14ac:dyDescent="0.25">
      <c r="A4744" s="4">
        <v>4743</v>
      </c>
      <c r="C4744" s="41" t="s">
        <v>7121</v>
      </c>
      <c r="D4744" s="42"/>
      <c r="E4744" s="5" t="str">
        <f t="shared" si="90"/>
        <v>https://www.screener.in/company//consolidated/</v>
      </c>
      <c r="F4744" s="4">
        <v>443059</v>
      </c>
      <c r="G4744" s="4">
        <v>3832241897</v>
      </c>
      <c r="H4744" s="6" t="e">
        <f t="shared" ca="1" si="91"/>
        <v>#VALUE!</v>
      </c>
      <c r="I4744" s="7" t="str">
        <f ca="1">IFERROR(__xludf.DUMMYFUNCTION("IMPORTXML(E4744,""/html/body/main/div[3]/div[3]/div[2]/ul/li[5]/span[2]/span"")"),"Loading...")</f>
        <v>Loading...</v>
      </c>
      <c r="J4744" s="7" t="str">
        <f ca="1">IFERROR(__xludf.DUMMYFUNCTION("GOOGLEFINANCE(""NSE:""&amp;D4744,""marketcap"")"),"#N/A")</f>
        <v>#N/A</v>
      </c>
      <c r="K4744" s="7">
        <v>992.8</v>
      </c>
      <c r="L4744" s="8" t="str">
        <f ca="1">IFERROR(__xludf.DUMMYFUNCTION("GOOGLEFINANCE(""NSE:""&amp;D4744,""price"")"),"#N/A")</f>
        <v>#N/A</v>
      </c>
      <c r="M4744" s="9" t="e">
        <f t="shared" ca="1" si="92"/>
        <v>#VALUE!</v>
      </c>
      <c r="N4744" s="10" t="e">
        <f t="shared" ca="1" si="93"/>
        <v>#VALUE!</v>
      </c>
      <c r="O4744" s="7" t="str">
        <f ca="1">IFERROR(__xludf.DUMMYFUNCTION("GOOGLEFINANCE(""NSE:""&amp;D4744,""pe"")"),"#N/A")</f>
        <v>#N/A</v>
      </c>
      <c r="P4744" s="7" t="str">
        <f ca="1">IFERROR(__xludf.DUMMYFUNCTION("GOOGLEFINANCE(""NSE:""&amp;D4744,""EPS"")"),"#N/A")</f>
        <v>#N/A</v>
      </c>
      <c r="Q4744" s="7">
        <v>13.5</v>
      </c>
      <c r="R4744" s="7" t="str">
        <f ca="1">IFERROR(__xludf.DUMMYFUNCTION("IMPORTXML(E4744,""/html/body/main/div[3]/div[3]/div[2]/ul/li[7]/span[2]/span"")"),"Loading...")</f>
        <v>Loading...</v>
      </c>
      <c r="S4744" s="7" t="str">
        <f ca="1">IFERROR(__xludf.DUMMYFUNCTION("IMPORTXML(E4744,""/html/body/main/div[3]/div[3]/div[2]/ul/li[8]/span[2]/span"")"),"Loading...")</f>
        <v>Loading...</v>
      </c>
      <c r="T4744" s="4">
        <v>34.6</v>
      </c>
      <c r="U4744" s="4">
        <v>22.7</v>
      </c>
      <c r="V4744" s="4">
        <v>2.6</v>
      </c>
      <c r="W4744" s="4">
        <v>5.7</v>
      </c>
      <c r="X4744" s="4">
        <v>519.92999999999995</v>
      </c>
      <c r="Y4744" s="7" t="e">
        <f t="shared" ca="1" si="94"/>
        <v>#VALUE!</v>
      </c>
    </row>
    <row r="4745" spans="1:25" ht="15" x14ac:dyDescent="0.25">
      <c r="A4745" s="4">
        <v>4744</v>
      </c>
      <c r="C4745" s="41" t="s">
        <v>7122</v>
      </c>
      <c r="D4745" s="42"/>
      <c r="E4745" s="5" t="str">
        <f t="shared" si="90"/>
        <v>https://www.screener.in/company//consolidated/</v>
      </c>
      <c r="F4745" s="4">
        <v>443059</v>
      </c>
      <c r="G4745" s="4">
        <v>3832241897</v>
      </c>
      <c r="H4745" s="6" t="e">
        <f t="shared" ca="1" si="91"/>
        <v>#VALUE!</v>
      </c>
      <c r="I4745" s="7" t="str">
        <f ca="1">IFERROR(__xludf.DUMMYFUNCTION("IMPORTXML(E4745,""/html/body/main/div[3]/div[3]/div[2]/ul/li[5]/span[2]/span"")"),"Loading...")</f>
        <v>Loading...</v>
      </c>
      <c r="J4745" s="7" t="str">
        <f ca="1">IFERROR(__xludf.DUMMYFUNCTION("GOOGLEFINANCE(""NSE:""&amp;D4745,""marketcap"")"),"#N/A")</f>
        <v>#N/A</v>
      </c>
      <c r="K4745" s="7">
        <v>992.8</v>
      </c>
      <c r="L4745" s="8" t="str">
        <f ca="1">IFERROR(__xludf.DUMMYFUNCTION("GOOGLEFINANCE(""NSE:""&amp;D4745,""price"")"),"#N/A")</f>
        <v>#N/A</v>
      </c>
      <c r="M4745" s="9" t="e">
        <f t="shared" ca="1" si="92"/>
        <v>#VALUE!</v>
      </c>
      <c r="N4745" s="10" t="e">
        <f t="shared" ca="1" si="93"/>
        <v>#VALUE!</v>
      </c>
      <c r="O4745" s="7" t="str">
        <f ca="1">IFERROR(__xludf.DUMMYFUNCTION("GOOGLEFINANCE(""NSE:""&amp;D4745,""pe"")"),"#N/A")</f>
        <v>#N/A</v>
      </c>
      <c r="P4745" s="7" t="str">
        <f ca="1">IFERROR(__xludf.DUMMYFUNCTION("GOOGLEFINANCE(""NSE:""&amp;D4745,""EPS"")"),"#N/A")</f>
        <v>#N/A</v>
      </c>
      <c r="Q4745" s="7">
        <v>13.5</v>
      </c>
      <c r="R4745" s="7" t="str">
        <f ca="1">IFERROR(__xludf.DUMMYFUNCTION("IMPORTXML(E4745,""/html/body/main/div[3]/div[3]/div[2]/ul/li[7]/span[2]/span"")"),"Loading...")</f>
        <v>Loading...</v>
      </c>
      <c r="S4745" s="7" t="str">
        <f ca="1">IFERROR(__xludf.DUMMYFUNCTION("IMPORTXML(E4745,""/html/body/main/div[3]/div[3]/div[2]/ul/li[8]/span[2]/span"")"),"Loading...")</f>
        <v>Loading...</v>
      </c>
      <c r="T4745" s="4">
        <v>34.6</v>
      </c>
      <c r="U4745" s="4">
        <v>22.7</v>
      </c>
      <c r="V4745" s="4">
        <v>2.6</v>
      </c>
      <c r="W4745" s="4">
        <v>5.7</v>
      </c>
      <c r="X4745" s="4">
        <v>519.92999999999995</v>
      </c>
      <c r="Y4745" s="7" t="e">
        <f t="shared" ca="1" si="94"/>
        <v>#VALUE!</v>
      </c>
    </row>
    <row r="4746" spans="1:25" ht="15" x14ac:dyDescent="0.25">
      <c r="A4746" s="4">
        <v>4745</v>
      </c>
      <c r="C4746" s="41" t="s">
        <v>7123</v>
      </c>
      <c r="D4746" s="42"/>
      <c r="E4746" s="5" t="str">
        <f t="shared" si="90"/>
        <v>https://www.screener.in/company//consolidated/</v>
      </c>
      <c r="F4746" s="4">
        <v>443059</v>
      </c>
      <c r="G4746" s="4">
        <v>3832241897</v>
      </c>
      <c r="H4746" s="6" t="e">
        <f t="shared" ca="1" si="91"/>
        <v>#VALUE!</v>
      </c>
      <c r="I4746" s="7" t="str">
        <f ca="1">IFERROR(__xludf.DUMMYFUNCTION("IMPORTXML(E4746,""/html/body/main/div[3]/div[3]/div[2]/ul/li[5]/span[2]/span"")"),"Loading...")</f>
        <v>Loading...</v>
      </c>
      <c r="J4746" s="7" t="str">
        <f ca="1">IFERROR(__xludf.DUMMYFUNCTION("GOOGLEFINANCE(""NSE:""&amp;D4746,""marketcap"")"),"#N/A")</f>
        <v>#N/A</v>
      </c>
      <c r="K4746" s="7">
        <v>992.8</v>
      </c>
      <c r="L4746" s="8" t="str">
        <f ca="1">IFERROR(__xludf.DUMMYFUNCTION("GOOGLEFINANCE(""NSE:""&amp;D4746,""price"")"),"#N/A")</f>
        <v>#N/A</v>
      </c>
      <c r="M4746" s="9" t="e">
        <f t="shared" ca="1" si="92"/>
        <v>#VALUE!</v>
      </c>
      <c r="N4746" s="10" t="e">
        <f t="shared" ca="1" si="93"/>
        <v>#VALUE!</v>
      </c>
      <c r="O4746" s="7" t="str">
        <f ca="1">IFERROR(__xludf.DUMMYFUNCTION("GOOGLEFINANCE(""NSE:""&amp;D4746,""pe"")"),"#N/A")</f>
        <v>#N/A</v>
      </c>
      <c r="P4746" s="7" t="str">
        <f ca="1">IFERROR(__xludf.DUMMYFUNCTION("GOOGLEFINANCE(""NSE:""&amp;D4746,""EPS"")"),"#N/A")</f>
        <v>#N/A</v>
      </c>
      <c r="Q4746" s="7">
        <v>13.5</v>
      </c>
      <c r="R4746" s="7" t="str">
        <f ca="1">IFERROR(__xludf.DUMMYFUNCTION("IMPORTXML(E4746,""/html/body/main/div[3]/div[3]/div[2]/ul/li[7]/span[2]/span"")"),"Loading...")</f>
        <v>Loading...</v>
      </c>
      <c r="S4746" s="7" t="str">
        <f ca="1">IFERROR(__xludf.DUMMYFUNCTION("IMPORTXML(E4746,""/html/body/main/div[3]/div[3]/div[2]/ul/li[8]/span[2]/span"")"),"Loading...")</f>
        <v>Loading...</v>
      </c>
      <c r="T4746" s="4">
        <v>34.6</v>
      </c>
      <c r="U4746" s="4">
        <v>22.7</v>
      </c>
      <c r="V4746" s="4">
        <v>2.6</v>
      </c>
      <c r="W4746" s="4">
        <v>5.7</v>
      </c>
      <c r="X4746" s="4">
        <v>519.92999999999995</v>
      </c>
      <c r="Y4746" s="7" t="e">
        <f t="shared" ca="1" si="94"/>
        <v>#VALUE!</v>
      </c>
    </row>
    <row r="4747" spans="1:25" ht="15" x14ac:dyDescent="0.25">
      <c r="A4747" s="4">
        <v>4746</v>
      </c>
      <c r="C4747" s="41" t="s">
        <v>7124</v>
      </c>
      <c r="D4747" s="42"/>
      <c r="E4747" s="5" t="str">
        <f t="shared" si="90"/>
        <v>https://www.screener.in/company//consolidated/</v>
      </c>
      <c r="F4747" s="4">
        <v>443059</v>
      </c>
      <c r="G4747" s="4">
        <v>3832241897</v>
      </c>
      <c r="H4747" s="6" t="e">
        <f t="shared" ca="1" si="91"/>
        <v>#VALUE!</v>
      </c>
      <c r="I4747" s="7" t="str">
        <f ca="1">IFERROR(__xludf.DUMMYFUNCTION("IMPORTXML(E4747,""/html/body/main/div[3]/div[3]/div[2]/ul/li[5]/span[2]/span"")"),"Loading...")</f>
        <v>Loading...</v>
      </c>
      <c r="J4747" s="7" t="str">
        <f ca="1">IFERROR(__xludf.DUMMYFUNCTION("GOOGLEFINANCE(""NSE:""&amp;D4747,""marketcap"")"),"#N/A")</f>
        <v>#N/A</v>
      </c>
      <c r="K4747" s="7">
        <v>992.8</v>
      </c>
      <c r="L4747" s="8" t="str">
        <f ca="1">IFERROR(__xludf.DUMMYFUNCTION("GOOGLEFINANCE(""NSE:""&amp;D4747,""price"")"),"#N/A")</f>
        <v>#N/A</v>
      </c>
      <c r="M4747" s="9" t="e">
        <f t="shared" ca="1" si="92"/>
        <v>#VALUE!</v>
      </c>
      <c r="N4747" s="10" t="e">
        <f t="shared" ca="1" si="93"/>
        <v>#VALUE!</v>
      </c>
      <c r="O4747" s="7" t="str">
        <f ca="1">IFERROR(__xludf.DUMMYFUNCTION("GOOGLEFINANCE(""NSE:""&amp;D4747,""pe"")"),"#N/A")</f>
        <v>#N/A</v>
      </c>
      <c r="P4747" s="7" t="str">
        <f ca="1">IFERROR(__xludf.DUMMYFUNCTION("GOOGLEFINANCE(""NSE:""&amp;D4747,""EPS"")"),"#N/A")</f>
        <v>#N/A</v>
      </c>
      <c r="Q4747" s="7">
        <v>13.5</v>
      </c>
      <c r="R4747" s="7" t="str">
        <f ca="1">IFERROR(__xludf.DUMMYFUNCTION("IMPORTXML(E4747,""/html/body/main/div[3]/div[3]/div[2]/ul/li[7]/span[2]/span"")"),"Loading...")</f>
        <v>Loading...</v>
      </c>
      <c r="S4747" s="7" t="str">
        <f ca="1">IFERROR(__xludf.DUMMYFUNCTION("IMPORTXML(E4747,""/html/body/main/div[3]/div[3]/div[2]/ul/li[8]/span[2]/span"")"),"Loading...")</f>
        <v>Loading...</v>
      </c>
      <c r="T4747" s="4">
        <v>34.6</v>
      </c>
      <c r="U4747" s="4">
        <v>22.7</v>
      </c>
      <c r="V4747" s="4">
        <v>2.6</v>
      </c>
      <c r="W4747" s="4">
        <v>5.7</v>
      </c>
      <c r="X4747" s="4">
        <v>519.92999999999995</v>
      </c>
      <c r="Y4747" s="7" t="e">
        <f t="shared" ca="1" si="94"/>
        <v>#VALUE!</v>
      </c>
    </row>
    <row r="4748" spans="1:25" ht="15" x14ac:dyDescent="0.25">
      <c r="A4748" s="4">
        <v>4747</v>
      </c>
      <c r="C4748" s="41" t="s">
        <v>7125</v>
      </c>
      <c r="D4748" s="42"/>
      <c r="E4748" s="5" t="str">
        <f t="shared" si="90"/>
        <v>https://www.screener.in/company//consolidated/</v>
      </c>
      <c r="F4748" s="4">
        <v>443059</v>
      </c>
      <c r="G4748" s="4">
        <v>3832241897</v>
      </c>
      <c r="H4748" s="6" t="e">
        <f t="shared" ca="1" si="91"/>
        <v>#VALUE!</v>
      </c>
      <c r="I4748" s="7" t="str">
        <f ca="1">IFERROR(__xludf.DUMMYFUNCTION("IMPORTXML(E4748,""/html/body/main/div[3]/div[3]/div[2]/ul/li[5]/span[2]/span"")"),"Loading...")</f>
        <v>Loading...</v>
      </c>
      <c r="J4748" s="7" t="str">
        <f ca="1">IFERROR(__xludf.DUMMYFUNCTION("GOOGLEFINANCE(""NSE:""&amp;D4748,""marketcap"")"),"#N/A")</f>
        <v>#N/A</v>
      </c>
      <c r="K4748" s="7">
        <v>992.8</v>
      </c>
      <c r="L4748" s="8" t="str">
        <f ca="1">IFERROR(__xludf.DUMMYFUNCTION("GOOGLEFINANCE(""NSE:""&amp;D4748,""price"")"),"#N/A")</f>
        <v>#N/A</v>
      </c>
      <c r="M4748" s="9" t="e">
        <f t="shared" ca="1" si="92"/>
        <v>#VALUE!</v>
      </c>
      <c r="N4748" s="10" t="e">
        <f t="shared" ca="1" si="93"/>
        <v>#VALUE!</v>
      </c>
      <c r="O4748" s="7" t="str">
        <f ca="1">IFERROR(__xludf.DUMMYFUNCTION("GOOGLEFINANCE(""NSE:""&amp;D4748,""pe"")"),"#N/A")</f>
        <v>#N/A</v>
      </c>
      <c r="P4748" s="7" t="str">
        <f ca="1">IFERROR(__xludf.DUMMYFUNCTION("GOOGLEFINANCE(""NSE:""&amp;D4748,""EPS"")"),"#N/A")</f>
        <v>#N/A</v>
      </c>
      <c r="Q4748" s="7">
        <v>13.5</v>
      </c>
      <c r="R4748" s="7" t="str">
        <f ca="1">IFERROR(__xludf.DUMMYFUNCTION("IMPORTXML(E4748,""/html/body/main/div[3]/div[3]/div[2]/ul/li[7]/span[2]/span"")"),"Loading...")</f>
        <v>Loading...</v>
      </c>
      <c r="S4748" s="7" t="str">
        <f ca="1">IFERROR(__xludf.DUMMYFUNCTION("IMPORTXML(E4748,""/html/body/main/div[3]/div[3]/div[2]/ul/li[8]/span[2]/span"")"),"Loading...")</f>
        <v>Loading...</v>
      </c>
      <c r="T4748" s="4">
        <v>34.6</v>
      </c>
      <c r="U4748" s="4">
        <v>22.7</v>
      </c>
      <c r="V4748" s="4">
        <v>2.6</v>
      </c>
      <c r="W4748" s="4">
        <v>5.7</v>
      </c>
      <c r="X4748" s="4">
        <v>519.92999999999995</v>
      </c>
      <c r="Y4748" s="7" t="e">
        <f t="shared" ca="1" si="94"/>
        <v>#VALUE!</v>
      </c>
    </row>
    <row r="4749" spans="1:25" ht="15" x14ac:dyDescent="0.25">
      <c r="A4749" s="4">
        <v>4748</v>
      </c>
      <c r="C4749" s="41" t="s">
        <v>7126</v>
      </c>
      <c r="D4749" s="42"/>
      <c r="E4749" s="5" t="str">
        <f t="shared" si="90"/>
        <v>https://www.screener.in/company//consolidated/</v>
      </c>
      <c r="F4749" s="4">
        <v>443059</v>
      </c>
      <c r="G4749" s="4">
        <v>3832241897</v>
      </c>
      <c r="H4749" s="6" t="e">
        <f t="shared" ca="1" si="91"/>
        <v>#VALUE!</v>
      </c>
      <c r="I4749" s="7" t="str">
        <f ca="1">IFERROR(__xludf.DUMMYFUNCTION("IMPORTXML(E4749,""/html/body/main/div[3]/div[3]/div[2]/ul/li[5]/span[2]/span"")"),"Loading...")</f>
        <v>Loading...</v>
      </c>
      <c r="J4749" s="7" t="str">
        <f ca="1">IFERROR(__xludf.DUMMYFUNCTION("GOOGLEFINANCE(""NSE:""&amp;D4749,""marketcap"")"),"#N/A")</f>
        <v>#N/A</v>
      </c>
      <c r="K4749" s="7">
        <v>992.8</v>
      </c>
      <c r="L4749" s="8" t="str">
        <f ca="1">IFERROR(__xludf.DUMMYFUNCTION("GOOGLEFINANCE(""NSE:""&amp;D4749,""price"")"),"#N/A")</f>
        <v>#N/A</v>
      </c>
      <c r="M4749" s="9" t="e">
        <f t="shared" ca="1" si="92"/>
        <v>#VALUE!</v>
      </c>
      <c r="N4749" s="10" t="e">
        <f t="shared" ca="1" si="93"/>
        <v>#VALUE!</v>
      </c>
      <c r="O4749" s="7" t="str">
        <f ca="1">IFERROR(__xludf.DUMMYFUNCTION("GOOGLEFINANCE(""NSE:""&amp;D4749,""pe"")"),"#N/A")</f>
        <v>#N/A</v>
      </c>
      <c r="P4749" s="7" t="str">
        <f ca="1">IFERROR(__xludf.DUMMYFUNCTION("GOOGLEFINANCE(""NSE:""&amp;D4749,""EPS"")"),"#N/A")</f>
        <v>#N/A</v>
      </c>
      <c r="Q4749" s="7">
        <v>13.5</v>
      </c>
      <c r="R4749" s="7" t="str">
        <f ca="1">IFERROR(__xludf.DUMMYFUNCTION("IMPORTXML(E4749,""/html/body/main/div[3]/div[3]/div[2]/ul/li[7]/span[2]/span"")"),"Loading...")</f>
        <v>Loading...</v>
      </c>
      <c r="S4749" s="7" t="str">
        <f ca="1">IFERROR(__xludf.DUMMYFUNCTION("IMPORTXML(E4749,""/html/body/main/div[3]/div[3]/div[2]/ul/li[8]/span[2]/span"")"),"Loading...")</f>
        <v>Loading...</v>
      </c>
      <c r="T4749" s="4">
        <v>34.6</v>
      </c>
      <c r="U4749" s="4">
        <v>22.7</v>
      </c>
      <c r="V4749" s="4">
        <v>2.6</v>
      </c>
      <c r="W4749" s="4">
        <v>5.7</v>
      </c>
      <c r="X4749" s="4">
        <v>519.92999999999995</v>
      </c>
      <c r="Y4749" s="7" t="e">
        <f t="shared" ca="1" si="94"/>
        <v>#VALUE!</v>
      </c>
    </row>
    <row r="4750" spans="1:25" ht="15" x14ac:dyDescent="0.25">
      <c r="A4750" s="4">
        <v>4749</v>
      </c>
      <c r="C4750" s="41" t="s">
        <v>7127</v>
      </c>
      <c r="D4750" s="42"/>
      <c r="E4750" s="5" t="str">
        <f t="shared" si="90"/>
        <v>https://www.screener.in/company//consolidated/</v>
      </c>
      <c r="F4750" s="4">
        <v>443059</v>
      </c>
      <c r="G4750" s="4">
        <v>3832241897</v>
      </c>
      <c r="H4750" s="6" t="e">
        <f t="shared" ca="1" si="91"/>
        <v>#VALUE!</v>
      </c>
      <c r="I4750" s="7" t="str">
        <f ca="1">IFERROR(__xludf.DUMMYFUNCTION("IMPORTXML(E4750,""/html/body/main/div[3]/div[3]/div[2]/ul/li[5]/span[2]/span"")"),"Loading...")</f>
        <v>Loading...</v>
      </c>
      <c r="J4750" s="7" t="str">
        <f ca="1">IFERROR(__xludf.DUMMYFUNCTION("GOOGLEFINANCE(""NSE:""&amp;D4750,""marketcap"")"),"#N/A")</f>
        <v>#N/A</v>
      </c>
      <c r="K4750" s="7">
        <v>992.8</v>
      </c>
      <c r="L4750" s="8" t="str">
        <f ca="1">IFERROR(__xludf.DUMMYFUNCTION("GOOGLEFINANCE(""NSE:""&amp;D4750,""price"")"),"#N/A")</f>
        <v>#N/A</v>
      </c>
      <c r="M4750" s="9" t="e">
        <f t="shared" ca="1" si="92"/>
        <v>#VALUE!</v>
      </c>
      <c r="N4750" s="10" t="e">
        <f t="shared" ca="1" si="93"/>
        <v>#VALUE!</v>
      </c>
      <c r="O4750" s="7" t="str">
        <f ca="1">IFERROR(__xludf.DUMMYFUNCTION("GOOGLEFINANCE(""NSE:""&amp;D4750,""pe"")"),"#N/A")</f>
        <v>#N/A</v>
      </c>
      <c r="P4750" s="7" t="str">
        <f ca="1">IFERROR(__xludf.DUMMYFUNCTION("GOOGLEFINANCE(""NSE:""&amp;D4750,""EPS"")"),"#N/A")</f>
        <v>#N/A</v>
      </c>
      <c r="Q4750" s="7">
        <v>13.5</v>
      </c>
      <c r="R4750" s="7" t="str">
        <f ca="1">IFERROR(__xludf.DUMMYFUNCTION("IMPORTXML(E4750,""/html/body/main/div[3]/div[3]/div[2]/ul/li[7]/span[2]/span"")"),"Loading...")</f>
        <v>Loading...</v>
      </c>
      <c r="S4750" s="7" t="str">
        <f ca="1">IFERROR(__xludf.DUMMYFUNCTION("IMPORTXML(E4750,""/html/body/main/div[3]/div[3]/div[2]/ul/li[8]/span[2]/span"")"),"Loading...")</f>
        <v>Loading...</v>
      </c>
      <c r="T4750" s="4">
        <v>34.6</v>
      </c>
      <c r="U4750" s="4">
        <v>22.7</v>
      </c>
      <c r="V4750" s="4">
        <v>2.6</v>
      </c>
      <c r="W4750" s="4">
        <v>5.7</v>
      </c>
      <c r="X4750" s="4">
        <v>519.92999999999995</v>
      </c>
      <c r="Y4750" s="7" t="e">
        <f t="shared" ca="1" si="94"/>
        <v>#VALUE!</v>
      </c>
    </row>
    <row r="4751" spans="1:25" ht="15" x14ac:dyDescent="0.25">
      <c r="A4751" s="4">
        <v>4750</v>
      </c>
      <c r="C4751" s="41" t="s">
        <v>7128</v>
      </c>
      <c r="D4751" s="42"/>
      <c r="E4751" s="5" t="str">
        <f t="shared" si="90"/>
        <v>https://www.screener.in/company//consolidated/</v>
      </c>
      <c r="F4751" s="4">
        <v>443059</v>
      </c>
      <c r="G4751" s="4">
        <v>3832241897</v>
      </c>
      <c r="H4751" s="6" t="e">
        <f t="shared" ca="1" si="91"/>
        <v>#VALUE!</v>
      </c>
      <c r="I4751" s="7" t="str">
        <f ca="1">IFERROR(__xludf.DUMMYFUNCTION("IMPORTXML(E4751,""/html/body/main/div[3]/div[3]/div[2]/ul/li[5]/span[2]/span"")"),"Loading...")</f>
        <v>Loading...</v>
      </c>
      <c r="J4751" s="7" t="str">
        <f ca="1">IFERROR(__xludf.DUMMYFUNCTION("GOOGLEFINANCE(""NSE:""&amp;D4751,""marketcap"")"),"#N/A")</f>
        <v>#N/A</v>
      </c>
      <c r="K4751" s="7">
        <v>992.8</v>
      </c>
      <c r="L4751" s="8" t="str">
        <f ca="1">IFERROR(__xludf.DUMMYFUNCTION("GOOGLEFINANCE(""NSE:""&amp;D4751,""price"")"),"#N/A")</f>
        <v>#N/A</v>
      </c>
      <c r="M4751" s="9" t="e">
        <f t="shared" ca="1" si="92"/>
        <v>#VALUE!</v>
      </c>
      <c r="N4751" s="10" t="e">
        <f t="shared" ca="1" si="93"/>
        <v>#VALUE!</v>
      </c>
      <c r="O4751" s="7" t="str">
        <f ca="1">IFERROR(__xludf.DUMMYFUNCTION("GOOGLEFINANCE(""NSE:""&amp;D4751,""pe"")"),"#N/A")</f>
        <v>#N/A</v>
      </c>
      <c r="P4751" s="7" t="str">
        <f ca="1">IFERROR(__xludf.DUMMYFUNCTION("GOOGLEFINANCE(""NSE:""&amp;D4751,""EPS"")"),"#N/A")</f>
        <v>#N/A</v>
      </c>
      <c r="Q4751" s="7">
        <v>13.5</v>
      </c>
      <c r="R4751" s="7" t="str">
        <f ca="1">IFERROR(__xludf.DUMMYFUNCTION("IMPORTXML(E4751,""/html/body/main/div[3]/div[3]/div[2]/ul/li[7]/span[2]/span"")"),"Loading...")</f>
        <v>Loading...</v>
      </c>
      <c r="S4751" s="7" t="str">
        <f ca="1">IFERROR(__xludf.DUMMYFUNCTION("IMPORTXML(E4751,""/html/body/main/div[3]/div[3]/div[2]/ul/li[8]/span[2]/span"")"),"Loading...")</f>
        <v>Loading...</v>
      </c>
      <c r="T4751" s="4">
        <v>34.6</v>
      </c>
      <c r="U4751" s="4">
        <v>22.7</v>
      </c>
      <c r="V4751" s="4">
        <v>2.6</v>
      </c>
      <c r="W4751" s="4">
        <v>5.7</v>
      </c>
      <c r="X4751" s="4">
        <v>519.92999999999995</v>
      </c>
      <c r="Y4751" s="7" t="e">
        <f t="shared" ca="1" si="94"/>
        <v>#VALUE!</v>
      </c>
    </row>
    <row r="4752" spans="1:25" ht="15" x14ac:dyDescent="0.25">
      <c r="A4752" s="4">
        <v>4751</v>
      </c>
      <c r="C4752" s="41" t="s">
        <v>7129</v>
      </c>
      <c r="D4752" s="42"/>
      <c r="E4752" s="5" t="str">
        <f t="shared" si="90"/>
        <v>https://www.screener.in/company//consolidated/</v>
      </c>
      <c r="F4752" s="4">
        <v>443059</v>
      </c>
      <c r="G4752" s="4">
        <v>3832241897</v>
      </c>
      <c r="H4752" s="6" t="e">
        <f t="shared" ca="1" si="91"/>
        <v>#VALUE!</v>
      </c>
      <c r="I4752" s="7" t="str">
        <f ca="1">IFERROR(__xludf.DUMMYFUNCTION("IMPORTXML(E4752,""/html/body/main/div[3]/div[3]/div[2]/ul/li[5]/span[2]/span"")"),"Loading...")</f>
        <v>Loading...</v>
      </c>
      <c r="J4752" s="7" t="str">
        <f ca="1">IFERROR(__xludf.DUMMYFUNCTION("GOOGLEFINANCE(""NSE:""&amp;D4752,""marketcap"")"),"#N/A")</f>
        <v>#N/A</v>
      </c>
      <c r="K4752" s="7">
        <v>992.8</v>
      </c>
      <c r="L4752" s="8" t="str">
        <f ca="1">IFERROR(__xludf.DUMMYFUNCTION("GOOGLEFINANCE(""NSE:""&amp;D4752,""price"")"),"#N/A")</f>
        <v>#N/A</v>
      </c>
      <c r="M4752" s="9" t="e">
        <f t="shared" ca="1" si="92"/>
        <v>#VALUE!</v>
      </c>
      <c r="N4752" s="10" t="e">
        <f t="shared" ca="1" si="93"/>
        <v>#VALUE!</v>
      </c>
      <c r="O4752" s="7" t="str">
        <f ca="1">IFERROR(__xludf.DUMMYFUNCTION("GOOGLEFINANCE(""NSE:""&amp;D4752,""pe"")"),"#N/A")</f>
        <v>#N/A</v>
      </c>
      <c r="P4752" s="7" t="str">
        <f ca="1">IFERROR(__xludf.DUMMYFUNCTION("GOOGLEFINANCE(""NSE:""&amp;D4752,""EPS"")"),"#N/A")</f>
        <v>#N/A</v>
      </c>
      <c r="Q4752" s="7">
        <v>13.5</v>
      </c>
      <c r="R4752" s="7" t="str">
        <f ca="1">IFERROR(__xludf.DUMMYFUNCTION("IMPORTXML(E4752,""/html/body/main/div[3]/div[3]/div[2]/ul/li[7]/span[2]/span"")"),"Loading...")</f>
        <v>Loading...</v>
      </c>
      <c r="S4752" s="7" t="str">
        <f ca="1">IFERROR(__xludf.DUMMYFUNCTION("IMPORTXML(E4752,""/html/body/main/div[3]/div[3]/div[2]/ul/li[8]/span[2]/span"")"),"Loading...")</f>
        <v>Loading...</v>
      </c>
      <c r="T4752" s="4">
        <v>34.6</v>
      </c>
      <c r="U4752" s="4">
        <v>22.7</v>
      </c>
      <c r="V4752" s="4">
        <v>2.6</v>
      </c>
      <c r="W4752" s="4">
        <v>5.7</v>
      </c>
      <c r="X4752" s="4">
        <v>519.92999999999995</v>
      </c>
      <c r="Y4752" s="7" t="e">
        <f t="shared" ca="1" si="94"/>
        <v>#VALUE!</v>
      </c>
    </row>
    <row r="4753" spans="1:25" ht="15" x14ac:dyDescent="0.25">
      <c r="A4753" s="4">
        <v>4752</v>
      </c>
      <c r="C4753" s="41" t="s">
        <v>7130</v>
      </c>
      <c r="D4753" s="42"/>
      <c r="E4753" s="5" t="str">
        <f t="shared" ref="E4753:E4786" si="95">"https://www.screener.in/company/"&amp; D4753&amp;"/consolidated/"</f>
        <v>https://www.screener.in/company//consolidated/</v>
      </c>
      <c r="F4753" s="4">
        <v>443059</v>
      </c>
      <c r="G4753" s="4">
        <v>3832241897</v>
      </c>
      <c r="H4753" s="6" t="e">
        <f t="shared" ref="H4753:H4786" ca="1" si="96">(G4753*L4753)/10^7</f>
        <v>#VALUE!</v>
      </c>
      <c r="I4753" s="7" t="str">
        <f ca="1">IFERROR(__xludf.DUMMYFUNCTION("IMPORTXML(E4753,""/html/body/main/div[3]/div[3]/div[2]/ul/li[5]/span[2]/span"")"),"Loading...")</f>
        <v>Loading...</v>
      </c>
      <c r="J4753" s="7" t="str">
        <f ca="1">IFERROR(__xludf.DUMMYFUNCTION("GOOGLEFINANCE(""NSE:""&amp;D4753,""marketcap"")"),"#N/A")</f>
        <v>#N/A</v>
      </c>
      <c r="K4753" s="7">
        <v>992.8</v>
      </c>
      <c r="L4753" s="8" t="str">
        <f ca="1">IFERROR(__xludf.DUMMYFUNCTION("GOOGLEFINANCE(""NSE:""&amp;D4753,""price"")"),"#N/A")</f>
        <v>#N/A</v>
      </c>
      <c r="M4753" s="9" t="e">
        <f t="shared" ref="M4753:M4786" ca="1" si="97">L4753-K4753</f>
        <v>#VALUE!</v>
      </c>
      <c r="N4753" s="10" t="e">
        <f t="shared" ref="N4753:N4786" ca="1" si="98">(M4753/K4753)*100</f>
        <v>#VALUE!</v>
      </c>
      <c r="O4753" s="7" t="str">
        <f ca="1">IFERROR(__xludf.DUMMYFUNCTION("GOOGLEFINANCE(""NSE:""&amp;D4753,""pe"")"),"#N/A")</f>
        <v>#N/A</v>
      </c>
      <c r="P4753" s="7" t="str">
        <f ca="1">IFERROR(__xludf.DUMMYFUNCTION("GOOGLEFINANCE(""NSE:""&amp;D4753,""EPS"")"),"#N/A")</f>
        <v>#N/A</v>
      </c>
      <c r="Q4753" s="7">
        <v>13.5</v>
      </c>
      <c r="R4753" s="7" t="str">
        <f ca="1">IFERROR(__xludf.DUMMYFUNCTION("IMPORTXML(E4753,""/html/body/main/div[3]/div[3]/div[2]/ul/li[7]/span[2]/span"")"),"Loading...")</f>
        <v>Loading...</v>
      </c>
      <c r="S4753" s="7" t="str">
        <f ca="1">IFERROR(__xludf.DUMMYFUNCTION("IMPORTXML(E4753,""/html/body/main/div[3]/div[3]/div[2]/ul/li[8]/span[2]/span"")"),"Loading...")</f>
        <v>Loading...</v>
      </c>
      <c r="T4753" s="4">
        <v>34.6</v>
      </c>
      <c r="U4753" s="4">
        <v>22.7</v>
      </c>
      <c r="V4753" s="4">
        <v>2.6</v>
      </c>
      <c r="W4753" s="4">
        <v>5.7</v>
      </c>
      <c r="X4753" s="4">
        <v>519.92999999999995</v>
      </c>
      <c r="Y4753" s="7" t="e">
        <f t="shared" ref="Y4753:Y4786" ca="1" si="99">L4753-X4753</f>
        <v>#VALUE!</v>
      </c>
    </row>
    <row r="4754" spans="1:25" ht="15" x14ac:dyDescent="0.25">
      <c r="A4754" s="4">
        <v>4753</v>
      </c>
      <c r="C4754" s="41" t="s">
        <v>7131</v>
      </c>
      <c r="D4754" s="42"/>
      <c r="E4754" s="5" t="str">
        <f t="shared" si="95"/>
        <v>https://www.screener.in/company//consolidated/</v>
      </c>
      <c r="F4754" s="4">
        <v>443059</v>
      </c>
      <c r="G4754" s="4">
        <v>3832241897</v>
      </c>
      <c r="H4754" s="6" t="e">
        <f t="shared" ca="1" si="96"/>
        <v>#VALUE!</v>
      </c>
      <c r="I4754" s="7" t="str">
        <f ca="1">IFERROR(__xludf.DUMMYFUNCTION("IMPORTXML(E4754,""/html/body/main/div[3]/div[3]/div[2]/ul/li[5]/span[2]/span"")"),"Loading...")</f>
        <v>Loading...</v>
      </c>
      <c r="J4754" s="7" t="str">
        <f ca="1">IFERROR(__xludf.DUMMYFUNCTION("GOOGLEFINANCE(""NSE:""&amp;D4754,""marketcap"")"),"#N/A")</f>
        <v>#N/A</v>
      </c>
      <c r="K4754" s="7">
        <v>992.8</v>
      </c>
      <c r="L4754" s="8" t="str">
        <f ca="1">IFERROR(__xludf.DUMMYFUNCTION("GOOGLEFINANCE(""NSE:""&amp;D4754,""price"")"),"#N/A")</f>
        <v>#N/A</v>
      </c>
      <c r="M4754" s="9" t="e">
        <f t="shared" ca="1" si="97"/>
        <v>#VALUE!</v>
      </c>
      <c r="N4754" s="10" t="e">
        <f t="shared" ca="1" si="98"/>
        <v>#VALUE!</v>
      </c>
      <c r="O4754" s="7" t="str">
        <f ca="1">IFERROR(__xludf.DUMMYFUNCTION("GOOGLEFINANCE(""NSE:""&amp;D4754,""pe"")"),"#N/A")</f>
        <v>#N/A</v>
      </c>
      <c r="P4754" s="7" t="str">
        <f ca="1">IFERROR(__xludf.DUMMYFUNCTION("GOOGLEFINANCE(""NSE:""&amp;D4754,""EPS"")"),"#N/A")</f>
        <v>#N/A</v>
      </c>
      <c r="Q4754" s="7">
        <v>13.5</v>
      </c>
      <c r="R4754" s="7" t="str">
        <f ca="1">IFERROR(__xludf.DUMMYFUNCTION("IMPORTXML(E4754,""/html/body/main/div[3]/div[3]/div[2]/ul/li[7]/span[2]/span"")"),"Loading...")</f>
        <v>Loading...</v>
      </c>
      <c r="S4754" s="7" t="str">
        <f ca="1">IFERROR(__xludf.DUMMYFUNCTION("IMPORTXML(E4754,""/html/body/main/div[3]/div[3]/div[2]/ul/li[8]/span[2]/span"")"),"Loading...")</f>
        <v>Loading...</v>
      </c>
      <c r="T4754" s="4">
        <v>34.6</v>
      </c>
      <c r="U4754" s="4">
        <v>22.7</v>
      </c>
      <c r="V4754" s="4">
        <v>2.6</v>
      </c>
      <c r="W4754" s="4">
        <v>5.7</v>
      </c>
      <c r="X4754" s="4">
        <v>519.92999999999995</v>
      </c>
      <c r="Y4754" s="7" t="e">
        <f t="shared" ca="1" si="99"/>
        <v>#VALUE!</v>
      </c>
    </row>
    <row r="4755" spans="1:25" ht="15" x14ac:dyDescent="0.25">
      <c r="A4755" s="4">
        <v>4754</v>
      </c>
      <c r="C4755" s="41" t="s">
        <v>7132</v>
      </c>
      <c r="D4755" s="42"/>
      <c r="E4755" s="5" t="str">
        <f t="shared" si="95"/>
        <v>https://www.screener.in/company//consolidated/</v>
      </c>
      <c r="F4755" s="4">
        <v>443059</v>
      </c>
      <c r="G4755" s="4">
        <v>3832241897</v>
      </c>
      <c r="H4755" s="6" t="e">
        <f t="shared" ca="1" si="96"/>
        <v>#VALUE!</v>
      </c>
      <c r="I4755" s="7" t="str">
        <f ca="1">IFERROR(__xludf.DUMMYFUNCTION("IMPORTXML(E4755,""/html/body/main/div[3]/div[3]/div[2]/ul/li[5]/span[2]/span"")"),"Loading...")</f>
        <v>Loading...</v>
      </c>
      <c r="J4755" s="7" t="str">
        <f ca="1">IFERROR(__xludf.DUMMYFUNCTION("GOOGLEFINANCE(""NSE:""&amp;D4755,""marketcap"")"),"#N/A")</f>
        <v>#N/A</v>
      </c>
      <c r="K4755" s="7">
        <v>992.8</v>
      </c>
      <c r="L4755" s="8" t="str">
        <f ca="1">IFERROR(__xludf.DUMMYFUNCTION("GOOGLEFINANCE(""NSE:""&amp;D4755,""price"")"),"#N/A")</f>
        <v>#N/A</v>
      </c>
      <c r="M4755" s="9" t="e">
        <f t="shared" ca="1" si="97"/>
        <v>#VALUE!</v>
      </c>
      <c r="N4755" s="10" t="e">
        <f t="shared" ca="1" si="98"/>
        <v>#VALUE!</v>
      </c>
      <c r="O4755" s="7" t="str">
        <f ca="1">IFERROR(__xludf.DUMMYFUNCTION("GOOGLEFINANCE(""NSE:""&amp;D4755,""pe"")"),"#N/A")</f>
        <v>#N/A</v>
      </c>
      <c r="P4755" s="7" t="str">
        <f ca="1">IFERROR(__xludf.DUMMYFUNCTION("GOOGLEFINANCE(""NSE:""&amp;D4755,""EPS"")"),"#N/A")</f>
        <v>#N/A</v>
      </c>
      <c r="Q4755" s="7">
        <v>13.5</v>
      </c>
      <c r="R4755" s="7" t="str">
        <f ca="1">IFERROR(__xludf.DUMMYFUNCTION("IMPORTXML(E4755,""/html/body/main/div[3]/div[3]/div[2]/ul/li[7]/span[2]/span"")"),"Loading...")</f>
        <v>Loading...</v>
      </c>
      <c r="S4755" s="7" t="str">
        <f ca="1">IFERROR(__xludf.DUMMYFUNCTION("IMPORTXML(E4755,""/html/body/main/div[3]/div[3]/div[2]/ul/li[8]/span[2]/span"")"),"Loading...")</f>
        <v>Loading...</v>
      </c>
      <c r="T4755" s="4">
        <v>34.6</v>
      </c>
      <c r="U4755" s="4">
        <v>22.7</v>
      </c>
      <c r="V4755" s="4">
        <v>2.6</v>
      </c>
      <c r="W4755" s="4">
        <v>5.7</v>
      </c>
      <c r="X4755" s="4">
        <v>519.92999999999995</v>
      </c>
      <c r="Y4755" s="7" t="e">
        <f t="shared" ca="1" si="99"/>
        <v>#VALUE!</v>
      </c>
    </row>
    <row r="4756" spans="1:25" ht="15" x14ac:dyDescent="0.25">
      <c r="A4756" s="4">
        <v>4755</v>
      </c>
      <c r="C4756" s="41" t="s">
        <v>7133</v>
      </c>
      <c r="D4756" s="42"/>
      <c r="E4756" s="5" t="str">
        <f t="shared" si="95"/>
        <v>https://www.screener.in/company//consolidated/</v>
      </c>
      <c r="F4756" s="4">
        <v>443059</v>
      </c>
      <c r="G4756" s="4">
        <v>3832241897</v>
      </c>
      <c r="H4756" s="6" t="e">
        <f t="shared" ca="1" si="96"/>
        <v>#VALUE!</v>
      </c>
      <c r="I4756" s="7" t="str">
        <f ca="1">IFERROR(__xludf.DUMMYFUNCTION("IMPORTXML(E4756,""/html/body/main/div[3]/div[3]/div[2]/ul/li[5]/span[2]/span"")"),"Loading...")</f>
        <v>Loading...</v>
      </c>
      <c r="J4756" s="7" t="str">
        <f ca="1">IFERROR(__xludf.DUMMYFUNCTION("GOOGLEFINANCE(""NSE:""&amp;D4756,""marketcap"")"),"#N/A")</f>
        <v>#N/A</v>
      </c>
      <c r="K4756" s="7">
        <v>992.8</v>
      </c>
      <c r="L4756" s="8" t="str">
        <f ca="1">IFERROR(__xludf.DUMMYFUNCTION("GOOGLEFINANCE(""NSE:""&amp;D4756,""price"")"),"#N/A")</f>
        <v>#N/A</v>
      </c>
      <c r="M4756" s="9" t="e">
        <f t="shared" ca="1" si="97"/>
        <v>#VALUE!</v>
      </c>
      <c r="N4756" s="10" t="e">
        <f t="shared" ca="1" si="98"/>
        <v>#VALUE!</v>
      </c>
      <c r="O4756" s="7" t="str">
        <f ca="1">IFERROR(__xludf.DUMMYFUNCTION("GOOGLEFINANCE(""NSE:""&amp;D4756,""pe"")"),"#N/A")</f>
        <v>#N/A</v>
      </c>
      <c r="P4756" s="7" t="str">
        <f ca="1">IFERROR(__xludf.DUMMYFUNCTION("GOOGLEFINANCE(""NSE:""&amp;D4756,""EPS"")"),"#N/A")</f>
        <v>#N/A</v>
      </c>
      <c r="Q4756" s="7">
        <v>13.5</v>
      </c>
      <c r="R4756" s="7" t="str">
        <f ca="1">IFERROR(__xludf.DUMMYFUNCTION("IMPORTXML(E4756,""/html/body/main/div[3]/div[3]/div[2]/ul/li[7]/span[2]/span"")"),"Loading...")</f>
        <v>Loading...</v>
      </c>
      <c r="S4756" s="7" t="str">
        <f ca="1">IFERROR(__xludf.DUMMYFUNCTION("IMPORTXML(E4756,""/html/body/main/div[3]/div[3]/div[2]/ul/li[8]/span[2]/span"")"),"Loading...")</f>
        <v>Loading...</v>
      </c>
      <c r="T4756" s="4">
        <v>34.6</v>
      </c>
      <c r="U4756" s="4">
        <v>22.7</v>
      </c>
      <c r="V4756" s="4">
        <v>2.6</v>
      </c>
      <c r="W4756" s="4">
        <v>5.7</v>
      </c>
      <c r="X4756" s="4">
        <v>519.92999999999995</v>
      </c>
      <c r="Y4756" s="7" t="e">
        <f t="shared" ca="1" si="99"/>
        <v>#VALUE!</v>
      </c>
    </row>
    <row r="4757" spans="1:25" ht="15" x14ac:dyDescent="0.25">
      <c r="A4757" s="4">
        <v>4756</v>
      </c>
      <c r="C4757" s="41" t="s">
        <v>7134</v>
      </c>
      <c r="D4757" s="42"/>
      <c r="E4757" s="5" t="str">
        <f t="shared" si="95"/>
        <v>https://www.screener.in/company//consolidated/</v>
      </c>
      <c r="F4757" s="4">
        <v>443059</v>
      </c>
      <c r="G4757" s="4">
        <v>3832241897</v>
      </c>
      <c r="H4757" s="6" t="e">
        <f t="shared" ca="1" si="96"/>
        <v>#VALUE!</v>
      </c>
      <c r="I4757" s="7" t="str">
        <f ca="1">IFERROR(__xludf.DUMMYFUNCTION("IMPORTXML(E4757,""/html/body/main/div[3]/div[3]/div[2]/ul/li[5]/span[2]/span"")"),"Loading...")</f>
        <v>Loading...</v>
      </c>
      <c r="J4757" s="7" t="str">
        <f ca="1">IFERROR(__xludf.DUMMYFUNCTION("GOOGLEFINANCE(""NSE:""&amp;D4757,""marketcap"")"),"#N/A")</f>
        <v>#N/A</v>
      </c>
      <c r="K4757" s="7">
        <v>992.8</v>
      </c>
      <c r="L4757" s="8" t="str">
        <f ca="1">IFERROR(__xludf.DUMMYFUNCTION("GOOGLEFINANCE(""NSE:""&amp;D4757,""price"")"),"#N/A")</f>
        <v>#N/A</v>
      </c>
      <c r="M4757" s="9" t="e">
        <f t="shared" ca="1" si="97"/>
        <v>#VALUE!</v>
      </c>
      <c r="N4757" s="10" t="e">
        <f t="shared" ca="1" si="98"/>
        <v>#VALUE!</v>
      </c>
      <c r="O4757" s="7" t="str">
        <f ca="1">IFERROR(__xludf.DUMMYFUNCTION("GOOGLEFINANCE(""NSE:""&amp;D4757,""pe"")"),"#N/A")</f>
        <v>#N/A</v>
      </c>
      <c r="P4757" s="7" t="str">
        <f ca="1">IFERROR(__xludf.DUMMYFUNCTION("GOOGLEFINANCE(""NSE:""&amp;D4757,""EPS"")"),"#N/A")</f>
        <v>#N/A</v>
      </c>
      <c r="Q4757" s="7">
        <v>13.5</v>
      </c>
      <c r="R4757" s="7" t="str">
        <f ca="1">IFERROR(__xludf.DUMMYFUNCTION("IMPORTXML(E4757,""/html/body/main/div[3]/div[3]/div[2]/ul/li[7]/span[2]/span"")"),"Loading...")</f>
        <v>Loading...</v>
      </c>
      <c r="S4757" s="7" t="str">
        <f ca="1">IFERROR(__xludf.DUMMYFUNCTION("IMPORTXML(E4757,""/html/body/main/div[3]/div[3]/div[2]/ul/li[8]/span[2]/span"")"),"Loading...")</f>
        <v>Loading...</v>
      </c>
      <c r="T4757" s="4">
        <v>34.6</v>
      </c>
      <c r="U4757" s="4">
        <v>22.7</v>
      </c>
      <c r="V4757" s="4">
        <v>2.6</v>
      </c>
      <c r="W4757" s="4">
        <v>5.7</v>
      </c>
      <c r="X4757" s="4">
        <v>519.92999999999995</v>
      </c>
      <c r="Y4757" s="7" t="e">
        <f t="shared" ca="1" si="99"/>
        <v>#VALUE!</v>
      </c>
    </row>
    <row r="4758" spans="1:25" ht="15" x14ac:dyDescent="0.25">
      <c r="A4758" s="4">
        <v>4757</v>
      </c>
      <c r="C4758" s="41" t="s">
        <v>7135</v>
      </c>
      <c r="D4758" s="42"/>
      <c r="E4758" s="5" t="str">
        <f t="shared" si="95"/>
        <v>https://www.screener.in/company//consolidated/</v>
      </c>
      <c r="F4758" s="4">
        <v>443059</v>
      </c>
      <c r="G4758" s="4">
        <v>3832241897</v>
      </c>
      <c r="H4758" s="6" t="e">
        <f t="shared" ca="1" si="96"/>
        <v>#VALUE!</v>
      </c>
      <c r="I4758" s="7" t="str">
        <f ca="1">IFERROR(__xludf.DUMMYFUNCTION("IMPORTXML(E4758,""/html/body/main/div[3]/div[3]/div[2]/ul/li[5]/span[2]/span"")"),"Loading...")</f>
        <v>Loading...</v>
      </c>
      <c r="J4758" s="7" t="str">
        <f ca="1">IFERROR(__xludf.DUMMYFUNCTION("GOOGLEFINANCE(""NSE:""&amp;D4758,""marketcap"")"),"#N/A")</f>
        <v>#N/A</v>
      </c>
      <c r="K4758" s="7">
        <v>992.8</v>
      </c>
      <c r="L4758" s="8" t="str">
        <f ca="1">IFERROR(__xludf.DUMMYFUNCTION("GOOGLEFINANCE(""NSE:""&amp;D4758,""price"")"),"#N/A")</f>
        <v>#N/A</v>
      </c>
      <c r="M4758" s="9" t="e">
        <f t="shared" ca="1" si="97"/>
        <v>#VALUE!</v>
      </c>
      <c r="N4758" s="10" t="e">
        <f t="shared" ca="1" si="98"/>
        <v>#VALUE!</v>
      </c>
      <c r="O4758" s="7" t="str">
        <f ca="1">IFERROR(__xludf.DUMMYFUNCTION("GOOGLEFINANCE(""NSE:""&amp;D4758,""pe"")"),"#N/A")</f>
        <v>#N/A</v>
      </c>
      <c r="P4758" s="7" t="str">
        <f ca="1">IFERROR(__xludf.DUMMYFUNCTION("GOOGLEFINANCE(""NSE:""&amp;D4758,""EPS"")"),"#N/A")</f>
        <v>#N/A</v>
      </c>
      <c r="Q4758" s="7">
        <v>13.5</v>
      </c>
      <c r="R4758" s="7" t="str">
        <f ca="1">IFERROR(__xludf.DUMMYFUNCTION("IMPORTXML(E4758,""/html/body/main/div[3]/div[3]/div[2]/ul/li[7]/span[2]/span"")"),"Loading...")</f>
        <v>Loading...</v>
      </c>
      <c r="S4758" s="7" t="str">
        <f ca="1">IFERROR(__xludf.DUMMYFUNCTION("IMPORTXML(E4758,""/html/body/main/div[3]/div[3]/div[2]/ul/li[8]/span[2]/span"")"),"Loading...")</f>
        <v>Loading...</v>
      </c>
      <c r="T4758" s="4">
        <v>34.6</v>
      </c>
      <c r="U4758" s="4">
        <v>22.7</v>
      </c>
      <c r="V4758" s="4">
        <v>2.6</v>
      </c>
      <c r="W4758" s="4">
        <v>5.7</v>
      </c>
      <c r="X4758" s="4">
        <v>519.92999999999995</v>
      </c>
      <c r="Y4758" s="7" t="e">
        <f t="shared" ca="1" si="99"/>
        <v>#VALUE!</v>
      </c>
    </row>
    <row r="4759" spans="1:25" ht="15" x14ac:dyDescent="0.25">
      <c r="A4759" s="4">
        <v>4758</v>
      </c>
      <c r="C4759" s="41" t="s">
        <v>7136</v>
      </c>
      <c r="D4759" s="42"/>
      <c r="E4759" s="5" t="str">
        <f t="shared" si="95"/>
        <v>https://www.screener.in/company//consolidated/</v>
      </c>
      <c r="F4759" s="4">
        <v>443059</v>
      </c>
      <c r="G4759" s="4">
        <v>3832241897</v>
      </c>
      <c r="H4759" s="6" t="e">
        <f t="shared" ca="1" si="96"/>
        <v>#VALUE!</v>
      </c>
      <c r="I4759" s="7" t="str">
        <f ca="1">IFERROR(__xludf.DUMMYFUNCTION("IMPORTXML(E4759,""/html/body/main/div[3]/div[3]/div[2]/ul/li[5]/span[2]/span"")"),"Loading...")</f>
        <v>Loading...</v>
      </c>
      <c r="J4759" s="7" t="str">
        <f ca="1">IFERROR(__xludf.DUMMYFUNCTION("GOOGLEFINANCE(""NSE:""&amp;D4759,""marketcap"")"),"#N/A")</f>
        <v>#N/A</v>
      </c>
      <c r="K4759" s="7">
        <v>992.8</v>
      </c>
      <c r="L4759" s="8" t="str">
        <f ca="1">IFERROR(__xludf.DUMMYFUNCTION("GOOGLEFINANCE(""NSE:""&amp;D4759,""price"")"),"#N/A")</f>
        <v>#N/A</v>
      </c>
      <c r="M4759" s="9" t="e">
        <f t="shared" ca="1" si="97"/>
        <v>#VALUE!</v>
      </c>
      <c r="N4759" s="10" t="e">
        <f t="shared" ca="1" si="98"/>
        <v>#VALUE!</v>
      </c>
      <c r="O4759" s="7" t="str">
        <f ca="1">IFERROR(__xludf.DUMMYFUNCTION("GOOGLEFINANCE(""NSE:""&amp;D4759,""pe"")"),"#N/A")</f>
        <v>#N/A</v>
      </c>
      <c r="P4759" s="7" t="str">
        <f ca="1">IFERROR(__xludf.DUMMYFUNCTION("GOOGLEFINANCE(""NSE:""&amp;D4759,""EPS"")"),"#N/A")</f>
        <v>#N/A</v>
      </c>
      <c r="Q4759" s="7">
        <v>13.5</v>
      </c>
      <c r="R4759" s="7" t="str">
        <f ca="1">IFERROR(__xludf.DUMMYFUNCTION("IMPORTXML(E4759,""/html/body/main/div[3]/div[3]/div[2]/ul/li[7]/span[2]/span"")"),"Loading...")</f>
        <v>Loading...</v>
      </c>
      <c r="S4759" s="7" t="str">
        <f ca="1">IFERROR(__xludf.DUMMYFUNCTION("IMPORTXML(E4759,""/html/body/main/div[3]/div[3]/div[2]/ul/li[8]/span[2]/span"")"),"Loading...")</f>
        <v>Loading...</v>
      </c>
      <c r="T4759" s="4">
        <v>34.6</v>
      </c>
      <c r="U4759" s="4">
        <v>22.7</v>
      </c>
      <c r="V4759" s="4">
        <v>2.6</v>
      </c>
      <c r="W4759" s="4">
        <v>5.7</v>
      </c>
      <c r="X4759" s="4">
        <v>519.92999999999995</v>
      </c>
      <c r="Y4759" s="7" t="e">
        <f t="shared" ca="1" si="99"/>
        <v>#VALUE!</v>
      </c>
    </row>
    <row r="4760" spans="1:25" ht="15" x14ac:dyDescent="0.25">
      <c r="A4760" s="4">
        <v>4759</v>
      </c>
      <c r="C4760" s="41" t="s">
        <v>7137</v>
      </c>
      <c r="D4760" s="42"/>
      <c r="E4760" s="5" t="str">
        <f t="shared" si="95"/>
        <v>https://www.screener.in/company//consolidated/</v>
      </c>
      <c r="F4760" s="4">
        <v>443059</v>
      </c>
      <c r="G4760" s="4">
        <v>3832241897</v>
      </c>
      <c r="H4760" s="6" t="e">
        <f t="shared" ca="1" si="96"/>
        <v>#VALUE!</v>
      </c>
      <c r="I4760" s="7" t="str">
        <f ca="1">IFERROR(__xludf.DUMMYFUNCTION("IMPORTXML(E4760,""/html/body/main/div[3]/div[3]/div[2]/ul/li[5]/span[2]/span"")"),"Loading...")</f>
        <v>Loading...</v>
      </c>
      <c r="J4760" s="7" t="str">
        <f ca="1">IFERROR(__xludf.DUMMYFUNCTION("GOOGLEFINANCE(""NSE:""&amp;D4760,""marketcap"")"),"#N/A")</f>
        <v>#N/A</v>
      </c>
      <c r="K4760" s="7">
        <v>992.8</v>
      </c>
      <c r="L4760" s="8" t="str">
        <f ca="1">IFERROR(__xludf.DUMMYFUNCTION("GOOGLEFINANCE(""NSE:""&amp;D4760,""price"")"),"#N/A")</f>
        <v>#N/A</v>
      </c>
      <c r="M4760" s="9" t="e">
        <f t="shared" ca="1" si="97"/>
        <v>#VALUE!</v>
      </c>
      <c r="N4760" s="10" t="e">
        <f t="shared" ca="1" si="98"/>
        <v>#VALUE!</v>
      </c>
      <c r="O4760" s="7" t="str">
        <f ca="1">IFERROR(__xludf.DUMMYFUNCTION("GOOGLEFINANCE(""NSE:""&amp;D4760,""pe"")"),"#N/A")</f>
        <v>#N/A</v>
      </c>
      <c r="P4760" s="7" t="str">
        <f ca="1">IFERROR(__xludf.DUMMYFUNCTION("GOOGLEFINANCE(""NSE:""&amp;D4760,""EPS"")"),"#N/A")</f>
        <v>#N/A</v>
      </c>
      <c r="Q4760" s="7">
        <v>13.5</v>
      </c>
      <c r="R4760" s="7" t="str">
        <f ca="1">IFERROR(__xludf.DUMMYFUNCTION("IMPORTXML(E4760,""/html/body/main/div[3]/div[3]/div[2]/ul/li[7]/span[2]/span"")"),"Loading...")</f>
        <v>Loading...</v>
      </c>
      <c r="S4760" s="7" t="str">
        <f ca="1">IFERROR(__xludf.DUMMYFUNCTION("IMPORTXML(E4760,""/html/body/main/div[3]/div[3]/div[2]/ul/li[8]/span[2]/span"")"),"Loading...")</f>
        <v>Loading...</v>
      </c>
      <c r="T4760" s="4">
        <v>34.6</v>
      </c>
      <c r="U4760" s="4">
        <v>22.7</v>
      </c>
      <c r="V4760" s="4">
        <v>2.6</v>
      </c>
      <c r="W4760" s="4">
        <v>5.7</v>
      </c>
      <c r="X4760" s="4">
        <v>519.92999999999995</v>
      </c>
      <c r="Y4760" s="7" t="e">
        <f t="shared" ca="1" si="99"/>
        <v>#VALUE!</v>
      </c>
    </row>
    <row r="4761" spans="1:25" ht="15" x14ac:dyDescent="0.25">
      <c r="A4761" s="4">
        <v>4760</v>
      </c>
      <c r="C4761" s="41" t="s">
        <v>7138</v>
      </c>
      <c r="D4761" s="42"/>
      <c r="E4761" s="5" t="str">
        <f t="shared" si="95"/>
        <v>https://www.screener.in/company//consolidated/</v>
      </c>
      <c r="F4761" s="4">
        <v>443059</v>
      </c>
      <c r="G4761" s="4">
        <v>3832241897</v>
      </c>
      <c r="H4761" s="6" t="e">
        <f t="shared" ca="1" si="96"/>
        <v>#VALUE!</v>
      </c>
      <c r="I4761" s="7" t="str">
        <f ca="1">IFERROR(__xludf.DUMMYFUNCTION("IMPORTXML(E4761,""/html/body/main/div[3]/div[3]/div[2]/ul/li[5]/span[2]/span"")"),"Loading...")</f>
        <v>Loading...</v>
      </c>
      <c r="J4761" s="7" t="str">
        <f ca="1">IFERROR(__xludf.DUMMYFUNCTION("GOOGLEFINANCE(""NSE:""&amp;D4761,""marketcap"")"),"#N/A")</f>
        <v>#N/A</v>
      </c>
      <c r="K4761" s="7">
        <v>992.8</v>
      </c>
      <c r="L4761" s="8" t="str">
        <f ca="1">IFERROR(__xludf.DUMMYFUNCTION("GOOGLEFINANCE(""NSE:""&amp;D4761,""price"")"),"#N/A")</f>
        <v>#N/A</v>
      </c>
      <c r="M4761" s="9" t="e">
        <f t="shared" ca="1" si="97"/>
        <v>#VALUE!</v>
      </c>
      <c r="N4761" s="10" t="e">
        <f t="shared" ca="1" si="98"/>
        <v>#VALUE!</v>
      </c>
      <c r="O4761" s="7" t="str">
        <f ca="1">IFERROR(__xludf.DUMMYFUNCTION("GOOGLEFINANCE(""NSE:""&amp;D4761,""pe"")"),"#N/A")</f>
        <v>#N/A</v>
      </c>
      <c r="P4761" s="7" t="str">
        <f ca="1">IFERROR(__xludf.DUMMYFUNCTION("GOOGLEFINANCE(""NSE:""&amp;D4761,""EPS"")"),"#N/A")</f>
        <v>#N/A</v>
      </c>
      <c r="Q4761" s="7">
        <v>13.5</v>
      </c>
      <c r="R4761" s="7" t="str">
        <f ca="1">IFERROR(__xludf.DUMMYFUNCTION("IMPORTXML(E4761,""/html/body/main/div[3]/div[3]/div[2]/ul/li[7]/span[2]/span"")"),"Loading...")</f>
        <v>Loading...</v>
      </c>
      <c r="S4761" s="7" t="str">
        <f ca="1">IFERROR(__xludf.DUMMYFUNCTION("IMPORTXML(E4761,""/html/body/main/div[3]/div[3]/div[2]/ul/li[8]/span[2]/span"")"),"Loading...")</f>
        <v>Loading...</v>
      </c>
      <c r="T4761" s="4">
        <v>34.6</v>
      </c>
      <c r="U4761" s="4">
        <v>22.7</v>
      </c>
      <c r="V4761" s="4">
        <v>2.6</v>
      </c>
      <c r="W4761" s="4">
        <v>5.7</v>
      </c>
      <c r="X4761" s="4">
        <v>519.92999999999995</v>
      </c>
      <c r="Y4761" s="7" t="e">
        <f t="shared" ca="1" si="99"/>
        <v>#VALUE!</v>
      </c>
    </row>
    <row r="4762" spans="1:25" ht="15" x14ac:dyDescent="0.25">
      <c r="A4762" s="4">
        <v>4761</v>
      </c>
      <c r="C4762" s="41" t="s">
        <v>7139</v>
      </c>
      <c r="D4762" s="42"/>
      <c r="E4762" s="5" t="str">
        <f t="shared" si="95"/>
        <v>https://www.screener.in/company//consolidated/</v>
      </c>
      <c r="F4762" s="4">
        <v>443059</v>
      </c>
      <c r="G4762" s="4">
        <v>3832241897</v>
      </c>
      <c r="H4762" s="6" t="e">
        <f t="shared" ca="1" si="96"/>
        <v>#VALUE!</v>
      </c>
      <c r="I4762" s="7" t="str">
        <f ca="1">IFERROR(__xludf.DUMMYFUNCTION("IMPORTXML(E4762,""/html/body/main/div[3]/div[3]/div[2]/ul/li[5]/span[2]/span"")"),"Loading...")</f>
        <v>Loading...</v>
      </c>
      <c r="J4762" s="7" t="str">
        <f ca="1">IFERROR(__xludf.DUMMYFUNCTION("GOOGLEFINANCE(""NSE:""&amp;D4762,""marketcap"")"),"#N/A")</f>
        <v>#N/A</v>
      </c>
      <c r="K4762" s="7">
        <v>992.8</v>
      </c>
      <c r="L4762" s="8" t="str">
        <f ca="1">IFERROR(__xludf.DUMMYFUNCTION("GOOGLEFINANCE(""NSE:""&amp;D4762,""price"")"),"#N/A")</f>
        <v>#N/A</v>
      </c>
      <c r="M4762" s="9" t="e">
        <f t="shared" ca="1" si="97"/>
        <v>#VALUE!</v>
      </c>
      <c r="N4762" s="10" t="e">
        <f t="shared" ca="1" si="98"/>
        <v>#VALUE!</v>
      </c>
      <c r="O4762" s="7" t="str">
        <f ca="1">IFERROR(__xludf.DUMMYFUNCTION("GOOGLEFINANCE(""NSE:""&amp;D4762,""pe"")"),"#N/A")</f>
        <v>#N/A</v>
      </c>
      <c r="P4762" s="7" t="str">
        <f ca="1">IFERROR(__xludf.DUMMYFUNCTION("GOOGLEFINANCE(""NSE:""&amp;D4762,""EPS"")"),"#N/A")</f>
        <v>#N/A</v>
      </c>
      <c r="Q4762" s="7">
        <v>13.5</v>
      </c>
      <c r="R4762" s="7" t="str">
        <f ca="1">IFERROR(__xludf.DUMMYFUNCTION("IMPORTXML(E4762,""/html/body/main/div[3]/div[3]/div[2]/ul/li[7]/span[2]/span"")"),"Loading...")</f>
        <v>Loading...</v>
      </c>
      <c r="S4762" s="7" t="str">
        <f ca="1">IFERROR(__xludf.DUMMYFUNCTION("IMPORTXML(E4762,""/html/body/main/div[3]/div[3]/div[2]/ul/li[8]/span[2]/span"")"),"Loading...")</f>
        <v>Loading...</v>
      </c>
      <c r="T4762" s="4">
        <v>34.6</v>
      </c>
      <c r="U4762" s="4">
        <v>22.7</v>
      </c>
      <c r="V4762" s="4">
        <v>2.6</v>
      </c>
      <c r="W4762" s="4">
        <v>5.7</v>
      </c>
      <c r="X4762" s="4">
        <v>519.92999999999995</v>
      </c>
      <c r="Y4762" s="7" t="e">
        <f t="shared" ca="1" si="99"/>
        <v>#VALUE!</v>
      </c>
    </row>
    <row r="4763" spans="1:25" ht="15" x14ac:dyDescent="0.25">
      <c r="A4763" s="4">
        <v>4762</v>
      </c>
      <c r="C4763" s="41" t="s">
        <v>7140</v>
      </c>
      <c r="D4763" s="42"/>
      <c r="E4763" s="5" t="str">
        <f t="shared" si="95"/>
        <v>https://www.screener.in/company//consolidated/</v>
      </c>
      <c r="F4763" s="4">
        <v>443059</v>
      </c>
      <c r="G4763" s="4">
        <v>3832241897</v>
      </c>
      <c r="H4763" s="6" t="e">
        <f t="shared" ca="1" si="96"/>
        <v>#VALUE!</v>
      </c>
      <c r="I4763" s="7" t="str">
        <f ca="1">IFERROR(__xludf.DUMMYFUNCTION("IMPORTXML(E4763,""/html/body/main/div[3]/div[3]/div[2]/ul/li[5]/span[2]/span"")"),"Loading...")</f>
        <v>Loading...</v>
      </c>
      <c r="J4763" s="7" t="str">
        <f ca="1">IFERROR(__xludf.DUMMYFUNCTION("GOOGLEFINANCE(""NSE:""&amp;D4763,""marketcap"")"),"#N/A")</f>
        <v>#N/A</v>
      </c>
      <c r="K4763" s="7">
        <v>992.8</v>
      </c>
      <c r="L4763" s="8" t="str">
        <f ca="1">IFERROR(__xludf.DUMMYFUNCTION("GOOGLEFINANCE(""NSE:""&amp;D4763,""price"")"),"#N/A")</f>
        <v>#N/A</v>
      </c>
      <c r="M4763" s="9" t="e">
        <f t="shared" ca="1" si="97"/>
        <v>#VALUE!</v>
      </c>
      <c r="N4763" s="10" t="e">
        <f t="shared" ca="1" si="98"/>
        <v>#VALUE!</v>
      </c>
      <c r="O4763" s="7" t="str">
        <f ca="1">IFERROR(__xludf.DUMMYFUNCTION("GOOGLEFINANCE(""NSE:""&amp;D4763,""pe"")"),"#N/A")</f>
        <v>#N/A</v>
      </c>
      <c r="P4763" s="7" t="str">
        <f ca="1">IFERROR(__xludf.DUMMYFUNCTION("GOOGLEFINANCE(""NSE:""&amp;D4763,""EPS"")"),"#N/A")</f>
        <v>#N/A</v>
      </c>
      <c r="Q4763" s="7">
        <v>13.5</v>
      </c>
      <c r="R4763" s="7" t="str">
        <f ca="1">IFERROR(__xludf.DUMMYFUNCTION("IMPORTXML(E4763,""/html/body/main/div[3]/div[3]/div[2]/ul/li[7]/span[2]/span"")"),"Loading...")</f>
        <v>Loading...</v>
      </c>
      <c r="S4763" s="7" t="str">
        <f ca="1">IFERROR(__xludf.DUMMYFUNCTION("IMPORTXML(E4763,""/html/body/main/div[3]/div[3]/div[2]/ul/li[8]/span[2]/span"")"),"Loading...")</f>
        <v>Loading...</v>
      </c>
      <c r="T4763" s="4">
        <v>34.6</v>
      </c>
      <c r="U4763" s="4">
        <v>22.7</v>
      </c>
      <c r="V4763" s="4">
        <v>2.6</v>
      </c>
      <c r="W4763" s="4">
        <v>5.7</v>
      </c>
      <c r="X4763" s="4">
        <v>519.92999999999995</v>
      </c>
      <c r="Y4763" s="7" t="e">
        <f t="shared" ca="1" si="99"/>
        <v>#VALUE!</v>
      </c>
    </row>
    <row r="4764" spans="1:25" ht="15" x14ac:dyDescent="0.25">
      <c r="A4764" s="4">
        <v>4763</v>
      </c>
      <c r="C4764" s="41" t="s">
        <v>7141</v>
      </c>
      <c r="D4764" s="42"/>
      <c r="E4764" s="5" t="str">
        <f t="shared" si="95"/>
        <v>https://www.screener.in/company//consolidated/</v>
      </c>
      <c r="F4764" s="4">
        <v>443059</v>
      </c>
      <c r="G4764" s="4">
        <v>3832241897</v>
      </c>
      <c r="H4764" s="6" t="e">
        <f t="shared" ca="1" si="96"/>
        <v>#VALUE!</v>
      </c>
      <c r="I4764" s="7" t="str">
        <f ca="1">IFERROR(__xludf.DUMMYFUNCTION("IMPORTXML(E4764,""/html/body/main/div[3]/div[3]/div[2]/ul/li[5]/span[2]/span"")"),"Loading...")</f>
        <v>Loading...</v>
      </c>
      <c r="J4764" s="7" t="str">
        <f ca="1">IFERROR(__xludf.DUMMYFUNCTION("GOOGLEFINANCE(""NSE:""&amp;D4764,""marketcap"")"),"#N/A")</f>
        <v>#N/A</v>
      </c>
      <c r="K4764" s="7">
        <v>992.8</v>
      </c>
      <c r="L4764" s="8" t="str">
        <f ca="1">IFERROR(__xludf.DUMMYFUNCTION("GOOGLEFINANCE(""NSE:""&amp;D4764,""price"")"),"#N/A")</f>
        <v>#N/A</v>
      </c>
      <c r="M4764" s="9" t="e">
        <f t="shared" ca="1" si="97"/>
        <v>#VALUE!</v>
      </c>
      <c r="N4764" s="10" t="e">
        <f t="shared" ca="1" si="98"/>
        <v>#VALUE!</v>
      </c>
      <c r="O4764" s="7" t="str">
        <f ca="1">IFERROR(__xludf.DUMMYFUNCTION("GOOGLEFINANCE(""NSE:""&amp;D4764,""pe"")"),"#N/A")</f>
        <v>#N/A</v>
      </c>
      <c r="P4764" s="7" t="str">
        <f ca="1">IFERROR(__xludf.DUMMYFUNCTION("GOOGLEFINANCE(""NSE:""&amp;D4764,""EPS"")"),"#N/A")</f>
        <v>#N/A</v>
      </c>
      <c r="Q4764" s="7">
        <v>13.5</v>
      </c>
      <c r="R4764" s="7" t="str">
        <f ca="1">IFERROR(__xludf.DUMMYFUNCTION("IMPORTXML(E4764,""/html/body/main/div[3]/div[3]/div[2]/ul/li[7]/span[2]/span"")"),"Loading...")</f>
        <v>Loading...</v>
      </c>
      <c r="S4764" s="7" t="str">
        <f ca="1">IFERROR(__xludf.DUMMYFUNCTION("IMPORTXML(E4764,""/html/body/main/div[3]/div[3]/div[2]/ul/li[8]/span[2]/span"")"),"Loading...")</f>
        <v>Loading...</v>
      </c>
      <c r="T4764" s="4">
        <v>34.6</v>
      </c>
      <c r="U4764" s="4">
        <v>22.7</v>
      </c>
      <c r="V4764" s="4">
        <v>2.6</v>
      </c>
      <c r="W4764" s="4">
        <v>5.7</v>
      </c>
      <c r="X4764" s="4">
        <v>519.92999999999995</v>
      </c>
      <c r="Y4764" s="7" t="e">
        <f t="shared" ca="1" si="99"/>
        <v>#VALUE!</v>
      </c>
    </row>
    <row r="4765" spans="1:25" ht="15" x14ac:dyDescent="0.25">
      <c r="A4765" s="4">
        <v>4764</v>
      </c>
      <c r="C4765" s="41" t="s">
        <v>7142</v>
      </c>
      <c r="D4765" s="42"/>
      <c r="E4765" s="5" t="str">
        <f t="shared" si="95"/>
        <v>https://www.screener.in/company//consolidated/</v>
      </c>
      <c r="F4765" s="4">
        <v>443059</v>
      </c>
      <c r="G4765" s="4">
        <v>3832241897</v>
      </c>
      <c r="H4765" s="6" t="e">
        <f t="shared" ca="1" si="96"/>
        <v>#VALUE!</v>
      </c>
      <c r="I4765" s="7" t="str">
        <f ca="1">IFERROR(__xludf.DUMMYFUNCTION("IMPORTXML(E4765,""/html/body/main/div[3]/div[3]/div[2]/ul/li[5]/span[2]/span"")"),"Loading...")</f>
        <v>Loading...</v>
      </c>
      <c r="J4765" s="7" t="str">
        <f ca="1">IFERROR(__xludf.DUMMYFUNCTION("GOOGLEFINANCE(""NSE:""&amp;D4765,""marketcap"")"),"#N/A")</f>
        <v>#N/A</v>
      </c>
      <c r="K4765" s="7">
        <v>992.8</v>
      </c>
      <c r="L4765" s="8" t="str">
        <f ca="1">IFERROR(__xludf.DUMMYFUNCTION("GOOGLEFINANCE(""NSE:""&amp;D4765,""price"")"),"#N/A")</f>
        <v>#N/A</v>
      </c>
      <c r="M4765" s="9" t="e">
        <f t="shared" ca="1" si="97"/>
        <v>#VALUE!</v>
      </c>
      <c r="N4765" s="10" t="e">
        <f t="shared" ca="1" si="98"/>
        <v>#VALUE!</v>
      </c>
      <c r="O4765" s="7" t="str">
        <f ca="1">IFERROR(__xludf.DUMMYFUNCTION("GOOGLEFINANCE(""NSE:""&amp;D4765,""pe"")"),"#N/A")</f>
        <v>#N/A</v>
      </c>
      <c r="P4765" s="7" t="str">
        <f ca="1">IFERROR(__xludf.DUMMYFUNCTION("GOOGLEFINANCE(""NSE:""&amp;D4765,""EPS"")"),"#N/A")</f>
        <v>#N/A</v>
      </c>
      <c r="Q4765" s="7">
        <v>13.5</v>
      </c>
      <c r="R4765" s="7" t="str">
        <f ca="1">IFERROR(__xludf.DUMMYFUNCTION("IMPORTXML(E4765,""/html/body/main/div[3]/div[3]/div[2]/ul/li[7]/span[2]/span"")"),"Loading...")</f>
        <v>Loading...</v>
      </c>
      <c r="S4765" s="7" t="str">
        <f ca="1">IFERROR(__xludf.DUMMYFUNCTION("IMPORTXML(E4765,""/html/body/main/div[3]/div[3]/div[2]/ul/li[8]/span[2]/span"")"),"Loading...")</f>
        <v>Loading...</v>
      </c>
      <c r="T4765" s="4">
        <v>34.6</v>
      </c>
      <c r="U4765" s="4">
        <v>22.7</v>
      </c>
      <c r="V4765" s="4">
        <v>2.6</v>
      </c>
      <c r="W4765" s="4">
        <v>5.7</v>
      </c>
      <c r="X4765" s="4">
        <v>519.92999999999995</v>
      </c>
      <c r="Y4765" s="7" t="e">
        <f t="shared" ca="1" si="99"/>
        <v>#VALUE!</v>
      </c>
    </row>
    <row r="4766" spans="1:25" ht="15" x14ac:dyDescent="0.25">
      <c r="A4766" s="4">
        <v>4765</v>
      </c>
      <c r="C4766" s="41" t="s">
        <v>7143</v>
      </c>
      <c r="D4766" s="42"/>
      <c r="E4766" s="5" t="str">
        <f t="shared" si="95"/>
        <v>https://www.screener.in/company//consolidated/</v>
      </c>
      <c r="F4766" s="4">
        <v>443059</v>
      </c>
      <c r="G4766" s="4">
        <v>3832241897</v>
      </c>
      <c r="H4766" s="6" t="e">
        <f t="shared" ca="1" si="96"/>
        <v>#VALUE!</v>
      </c>
      <c r="I4766" s="7" t="str">
        <f ca="1">IFERROR(__xludf.DUMMYFUNCTION("IMPORTXML(E4766,""/html/body/main/div[3]/div[3]/div[2]/ul/li[5]/span[2]/span"")"),"Loading...")</f>
        <v>Loading...</v>
      </c>
      <c r="J4766" s="7" t="str">
        <f ca="1">IFERROR(__xludf.DUMMYFUNCTION("GOOGLEFINANCE(""NSE:""&amp;D4766,""marketcap"")"),"#N/A")</f>
        <v>#N/A</v>
      </c>
      <c r="K4766" s="7">
        <v>992.8</v>
      </c>
      <c r="L4766" s="8" t="str">
        <f ca="1">IFERROR(__xludf.DUMMYFUNCTION("GOOGLEFINANCE(""NSE:""&amp;D4766,""price"")"),"#N/A")</f>
        <v>#N/A</v>
      </c>
      <c r="M4766" s="9" t="e">
        <f t="shared" ca="1" si="97"/>
        <v>#VALUE!</v>
      </c>
      <c r="N4766" s="10" t="e">
        <f t="shared" ca="1" si="98"/>
        <v>#VALUE!</v>
      </c>
      <c r="O4766" s="7" t="str">
        <f ca="1">IFERROR(__xludf.DUMMYFUNCTION("GOOGLEFINANCE(""NSE:""&amp;D4766,""pe"")"),"#N/A")</f>
        <v>#N/A</v>
      </c>
      <c r="P4766" s="7" t="str">
        <f ca="1">IFERROR(__xludf.DUMMYFUNCTION("GOOGLEFINANCE(""NSE:""&amp;D4766,""EPS"")"),"#N/A")</f>
        <v>#N/A</v>
      </c>
      <c r="Q4766" s="7">
        <v>13.5</v>
      </c>
      <c r="R4766" s="7" t="str">
        <f ca="1">IFERROR(__xludf.DUMMYFUNCTION("IMPORTXML(E4766,""/html/body/main/div[3]/div[3]/div[2]/ul/li[7]/span[2]/span"")"),"Loading...")</f>
        <v>Loading...</v>
      </c>
      <c r="S4766" s="7" t="str">
        <f ca="1">IFERROR(__xludf.DUMMYFUNCTION("IMPORTXML(E4766,""/html/body/main/div[3]/div[3]/div[2]/ul/li[8]/span[2]/span"")"),"Loading...")</f>
        <v>Loading...</v>
      </c>
      <c r="T4766" s="4">
        <v>34.6</v>
      </c>
      <c r="U4766" s="4">
        <v>22.7</v>
      </c>
      <c r="V4766" s="4">
        <v>2.6</v>
      </c>
      <c r="W4766" s="4">
        <v>5.7</v>
      </c>
      <c r="X4766" s="4">
        <v>519.92999999999995</v>
      </c>
      <c r="Y4766" s="7" t="e">
        <f t="shared" ca="1" si="99"/>
        <v>#VALUE!</v>
      </c>
    </row>
    <row r="4767" spans="1:25" ht="15" x14ac:dyDescent="0.25">
      <c r="A4767" s="4">
        <v>4766</v>
      </c>
      <c r="C4767" s="41" t="s">
        <v>7144</v>
      </c>
      <c r="D4767" s="42"/>
      <c r="E4767" s="5" t="str">
        <f t="shared" si="95"/>
        <v>https://www.screener.in/company//consolidated/</v>
      </c>
      <c r="F4767" s="4">
        <v>443059</v>
      </c>
      <c r="G4767" s="4">
        <v>3832241897</v>
      </c>
      <c r="H4767" s="6" t="e">
        <f t="shared" ca="1" si="96"/>
        <v>#VALUE!</v>
      </c>
      <c r="I4767" s="7" t="str">
        <f ca="1">IFERROR(__xludf.DUMMYFUNCTION("IMPORTXML(E4767,""/html/body/main/div[3]/div[3]/div[2]/ul/li[5]/span[2]/span"")"),"Loading...")</f>
        <v>Loading...</v>
      </c>
      <c r="J4767" s="7" t="str">
        <f ca="1">IFERROR(__xludf.DUMMYFUNCTION("GOOGLEFINANCE(""NSE:""&amp;D4767,""marketcap"")"),"#N/A")</f>
        <v>#N/A</v>
      </c>
      <c r="K4767" s="7">
        <v>992.8</v>
      </c>
      <c r="L4767" s="8" t="str">
        <f ca="1">IFERROR(__xludf.DUMMYFUNCTION("GOOGLEFINANCE(""NSE:""&amp;D4767,""price"")"),"#N/A")</f>
        <v>#N/A</v>
      </c>
      <c r="M4767" s="9" t="e">
        <f t="shared" ca="1" si="97"/>
        <v>#VALUE!</v>
      </c>
      <c r="N4767" s="10" t="e">
        <f t="shared" ca="1" si="98"/>
        <v>#VALUE!</v>
      </c>
      <c r="O4767" s="7" t="str">
        <f ca="1">IFERROR(__xludf.DUMMYFUNCTION("GOOGLEFINANCE(""NSE:""&amp;D4767,""pe"")"),"#N/A")</f>
        <v>#N/A</v>
      </c>
      <c r="P4767" s="7" t="str">
        <f ca="1">IFERROR(__xludf.DUMMYFUNCTION("GOOGLEFINANCE(""NSE:""&amp;D4767,""EPS"")"),"#N/A")</f>
        <v>#N/A</v>
      </c>
      <c r="Q4767" s="7">
        <v>13.5</v>
      </c>
      <c r="R4767" s="7" t="str">
        <f ca="1">IFERROR(__xludf.DUMMYFUNCTION("IMPORTXML(E4767,""/html/body/main/div[3]/div[3]/div[2]/ul/li[7]/span[2]/span"")"),"Loading...")</f>
        <v>Loading...</v>
      </c>
      <c r="S4767" s="7" t="str">
        <f ca="1">IFERROR(__xludf.DUMMYFUNCTION("IMPORTXML(E4767,""/html/body/main/div[3]/div[3]/div[2]/ul/li[8]/span[2]/span"")"),"Loading...")</f>
        <v>Loading...</v>
      </c>
      <c r="T4767" s="4">
        <v>34.6</v>
      </c>
      <c r="U4767" s="4">
        <v>22.7</v>
      </c>
      <c r="V4767" s="4">
        <v>2.6</v>
      </c>
      <c r="W4767" s="4">
        <v>5.7</v>
      </c>
      <c r="X4767" s="4">
        <v>519.92999999999995</v>
      </c>
      <c r="Y4767" s="7" t="e">
        <f t="shared" ca="1" si="99"/>
        <v>#VALUE!</v>
      </c>
    </row>
    <row r="4768" spans="1:25" ht="15" x14ac:dyDescent="0.25">
      <c r="A4768" s="4">
        <v>4767</v>
      </c>
      <c r="C4768" s="41" t="s">
        <v>7145</v>
      </c>
      <c r="D4768" s="42"/>
      <c r="E4768" s="5" t="str">
        <f t="shared" si="95"/>
        <v>https://www.screener.in/company//consolidated/</v>
      </c>
      <c r="F4768" s="4">
        <v>443059</v>
      </c>
      <c r="G4768" s="4">
        <v>3832241897</v>
      </c>
      <c r="H4768" s="6" t="e">
        <f t="shared" ca="1" si="96"/>
        <v>#VALUE!</v>
      </c>
      <c r="I4768" s="7" t="str">
        <f ca="1">IFERROR(__xludf.DUMMYFUNCTION("IMPORTXML(E4768,""/html/body/main/div[3]/div[3]/div[2]/ul/li[5]/span[2]/span"")"),"Loading...")</f>
        <v>Loading...</v>
      </c>
      <c r="J4768" s="7" t="str">
        <f ca="1">IFERROR(__xludf.DUMMYFUNCTION("GOOGLEFINANCE(""NSE:""&amp;D4768,""marketcap"")"),"#N/A")</f>
        <v>#N/A</v>
      </c>
      <c r="K4768" s="7">
        <v>992.8</v>
      </c>
      <c r="L4768" s="8" t="str">
        <f ca="1">IFERROR(__xludf.DUMMYFUNCTION("GOOGLEFINANCE(""NSE:""&amp;D4768,""price"")"),"#N/A")</f>
        <v>#N/A</v>
      </c>
      <c r="M4768" s="9" t="e">
        <f t="shared" ca="1" si="97"/>
        <v>#VALUE!</v>
      </c>
      <c r="N4768" s="10" t="e">
        <f t="shared" ca="1" si="98"/>
        <v>#VALUE!</v>
      </c>
      <c r="O4768" s="7" t="str">
        <f ca="1">IFERROR(__xludf.DUMMYFUNCTION("GOOGLEFINANCE(""NSE:""&amp;D4768,""pe"")"),"#N/A")</f>
        <v>#N/A</v>
      </c>
      <c r="P4768" s="7" t="str">
        <f ca="1">IFERROR(__xludf.DUMMYFUNCTION("GOOGLEFINANCE(""NSE:""&amp;D4768,""EPS"")"),"#N/A")</f>
        <v>#N/A</v>
      </c>
      <c r="Q4768" s="7">
        <v>13.5</v>
      </c>
      <c r="R4768" s="7" t="str">
        <f ca="1">IFERROR(__xludf.DUMMYFUNCTION("IMPORTXML(E4768,""/html/body/main/div[3]/div[3]/div[2]/ul/li[7]/span[2]/span"")"),"Loading...")</f>
        <v>Loading...</v>
      </c>
      <c r="S4768" s="7" t="str">
        <f ca="1">IFERROR(__xludf.DUMMYFUNCTION("IMPORTXML(E4768,""/html/body/main/div[3]/div[3]/div[2]/ul/li[8]/span[2]/span"")"),"Loading...")</f>
        <v>Loading...</v>
      </c>
      <c r="T4768" s="4">
        <v>34.6</v>
      </c>
      <c r="U4768" s="4">
        <v>22.7</v>
      </c>
      <c r="V4768" s="4">
        <v>2.6</v>
      </c>
      <c r="W4768" s="4">
        <v>5.7</v>
      </c>
      <c r="X4768" s="4">
        <v>519.92999999999995</v>
      </c>
      <c r="Y4768" s="7" t="e">
        <f t="shared" ca="1" si="99"/>
        <v>#VALUE!</v>
      </c>
    </row>
    <row r="4769" spans="1:25" ht="15" x14ac:dyDescent="0.25">
      <c r="A4769" s="4">
        <v>4768</v>
      </c>
      <c r="C4769" s="41" t="s">
        <v>7146</v>
      </c>
      <c r="D4769" s="42"/>
      <c r="E4769" s="5" t="str">
        <f t="shared" si="95"/>
        <v>https://www.screener.in/company//consolidated/</v>
      </c>
      <c r="F4769" s="4">
        <v>443059</v>
      </c>
      <c r="G4769" s="4">
        <v>3832241897</v>
      </c>
      <c r="H4769" s="6" t="e">
        <f t="shared" ca="1" si="96"/>
        <v>#VALUE!</v>
      </c>
      <c r="I4769" s="7" t="str">
        <f ca="1">IFERROR(__xludf.DUMMYFUNCTION("IMPORTXML(E4769,""/html/body/main/div[3]/div[3]/div[2]/ul/li[5]/span[2]/span"")"),"Loading...")</f>
        <v>Loading...</v>
      </c>
      <c r="J4769" s="7" t="str">
        <f ca="1">IFERROR(__xludf.DUMMYFUNCTION("GOOGLEFINANCE(""NSE:""&amp;D4769,""marketcap"")"),"#N/A")</f>
        <v>#N/A</v>
      </c>
      <c r="K4769" s="7">
        <v>992.8</v>
      </c>
      <c r="L4769" s="8" t="str">
        <f ca="1">IFERROR(__xludf.DUMMYFUNCTION("GOOGLEFINANCE(""NSE:""&amp;D4769,""price"")"),"#N/A")</f>
        <v>#N/A</v>
      </c>
      <c r="M4769" s="9" t="e">
        <f t="shared" ca="1" si="97"/>
        <v>#VALUE!</v>
      </c>
      <c r="N4769" s="10" t="e">
        <f t="shared" ca="1" si="98"/>
        <v>#VALUE!</v>
      </c>
      <c r="O4769" s="7" t="str">
        <f ca="1">IFERROR(__xludf.DUMMYFUNCTION("GOOGLEFINANCE(""NSE:""&amp;D4769,""pe"")"),"#N/A")</f>
        <v>#N/A</v>
      </c>
      <c r="P4769" s="7" t="str">
        <f ca="1">IFERROR(__xludf.DUMMYFUNCTION("GOOGLEFINANCE(""NSE:""&amp;D4769,""EPS"")"),"#N/A")</f>
        <v>#N/A</v>
      </c>
      <c r="Q4769" s="7">
        <v>13.5</v>
      </c>
      <c r="R4769" s="7" t="str">
        <f ca="1">IFERROR(__xludf.DUMMYFUNCTION("IMPORTXML(E4769,""/html/body/main/div[3]/div[3]/div[2]/ul/li[7]/span[2]/span"")"),"Loading...")</f>
        <v>Loading...</v>
      </c>
      <c r="S4769" s="7" t="str">
        <f ca="1">IFERROR(__xludf.DUMMYFUNCTION("IMPORTXML(E4769,""/html/body/main/div[3]/div[3]/div[2]/ul/li[8]/span[2]/span"")"),"Loading...")</f>
        <v>Loading...</v>
      </c>
      <c r="T4769" s="4">
        <v>34.6</v>
      </c>
      <c r="U4769" s="4">
        <v>22.7</v>
      </c>
      <c r="V4769" s="4">
        <v>2.6</v>
      </c>
      <c r="W4769" s="4">
        <v>5.7</v>
      </c>
      <c r="X4769" s="4">
        <v>519.92999999999995</v>
      </c>
      <c r="Y4769" s="7" t="e">
        <f t="shared" ca="1" si="99"/>
        <v>#VALUE!</v>
      </c>
    </row>
    <row r="4770" spans="1:25" ht="15" x14ac:dyDescent="0.25">
      <c r="A4770" s="4">
        <v>4769</v>
      </c>
      <c r="C4770" s="41" t="s">
        <v>7147</v>
      </c>
      <c r="D4770" s="42"/>
      <c r="E4770" s="5" t="str">
        <f t="shared" si="95"/>
        <v>https://www.screener.in/company//consolidated/</v>
      </c>
      <c r="F4770" s="4">
        <v>443059</v>
      </c>
      <c r="G4770" s="4">
        <v>3832241897</v>
      </c>
      <c r="H4770" s="6" t="e">
        <f t="shared" ca="1" si="96"/>
        <v>#VALUE!</v>
      </c>
      <c r="I4770" s="7" t="str">
        <f ca="1">IFERROR(__xludf.DUMMYFUNCTION("IMPORTXML(E4770,""/html/body/main/div[3]/div[3]/div[2]/ul/li[5]/span[2]/span"")"),"Loading...")</f>
        <v>Loading...</v>
      </c>
      <c r="J4770" s="7" t="str">
        <f ca="1">IFERROR(__xludf.DUMMYFUNCTION("GOOGLEFINANCE(""NSE:""&amp;D4770,""marketcap"")"),"#N/A")</f>
        <v>#N/A</v>
      </c>
      <c r="K4770" s="7">
        <v>992.8</v>
      </c>
      <c r="L4770" s="8" t="str">
        <f ca="1">IFERROR(__xludf.DUMMYFUNCTION("GOOGLEFINANCE(""NSE:""&amp;D4770,""price"")"),"#N/A")</f>
        <v>#N/A</v>
      </c>
      <c r="M4770" s="9" t="e">
        <f t="shared" ca="1" si="97"/>
        <v>#VALUE!</v>
      </c>
      <c r="N4770" s="10" t="e">
        <f t="shared" ca="1" si="98"/>
        <v>#VALUE!</v>
      </c>
      <c r="O4770" s="7" t="str">
        <f ca="1">IFERROR(__xludf.DUMMYFUNCTION("GOOGLEFINANCE(""NSE:""&amp;D4770,""pe"")"),"#N/A")</f>
        <v>#N/A</v>
      </c>
      <c r="P4770" s="7" t="str">
        <f ca="1">IFERROR(__xludf.DUMMYFUNCTION("GOOGLEFINANCE(""NSE:""&amp;D4770,""EPS"")"),"#N/A")</f>
        <v>#N/A</v>
      </c>
      <c r="Q4770" s="7">
        <v>13.5</v>
      </c>
      <c r="R4770" s="7" t="str">
        <f ca="1">IFERROR(__xludf.DUMMYFUNCTION("IMPORTXML(E4770,""/html/body/main/div[3]/div[3]/div[2]/ul/li[7]/span[2]/span"")"),"Loading...")</f>
        <v>Loading...</v>
      </c>
      <c r="S4770" s="7" t="str">
        <f ca="1">IFERROR(__xludf.DUMMYFUNCTION("IMPORTXML(E4770,""/html/body/main/div[3]/div[3]/div[2]/ul/li[8]/span[2]/span"")"),"Loading...")</f>
        <v>Loading...</v>
      </c>
      <c r="T4770" s="4">
        <v>34.6</v>
      </c>
      <c r="U4770" s="4">
        <v>22.7</v>
      </c>
      <c r="V4770" s="4">
        <v>2.6</v>
      </c>
      <c r="W4770" s="4">
        <v>5.7</v>
      </c>
      <c r="X4770" s="4">
        <v>519.92999999999995</v>
      </c>
      <c r="Y4770" s="7" t="e">
        <f t="shared" ca="1" si="99"/>
        <v>#VALUE!</v>
      </c>
    </row>
    <row r="4771" spans="1:25" ht="15" x14ac:dyDescent="0.25">
      <c r="A4771" s="4">
        <v>4770</v>
      </c>
      <c r="C4771" s="41" t="s">
        <v>7148</v>
      </c>
      <c r="D4771" s="42"/>
      <c r="E4771" s="5" t="str">
        <f t="shared" si="95"/>
        <v>https://www.screener.in/company//consolidated/</v>
      </c>
      <c r="F4771" s="4">
        <v>443059</v>
      </c>
      <c r="G4771" s="4">
        <v>3832241897</v>
      </c>
      <c r="H4771" s="6" t="e">
        <f t="shared" ca="1" si="96"/>
        <v>#VALUE!</v>
      </c>
      <c r="I4771" s="7" t="str">
        <f ca="1">IFERROR(__xludf.DUMMYFUNCTION("IMPORTXML(E4771,""/html/body/main/div[3]/div[3]/div[2]/ul/li[5]/span[2]/span"")"),"Loading...")</f>
        <v>Loading...</v>
      </c>
      <c r="J4771" s="7" t="str">
        <f ca="1">IFERROR(__xludf.DUMMYFUNCTION("GOOGLEFINANCE(""NSE:""&amp;D4771,""marketcap"")"),"#N/A")</f>
        <v>#N/A</v>
      </c>
      <c r="K4771" s="7">
        <v>992.8</v>
      </c>
      <c r="L4771" s="8" t="str">
        <f ca="1">IFERROR(__xludf.DUMMYFUNCTION("GOOGLEFINANCE(""NSE:""&amp;D4771,""price"")"),"#N/A")</f>
        <v>#N/A</v>
      </c>
      <c r="M4771" s="9" t="e">
        <f t="shared" ca="1" si="97"/>
        <v>#VALUE!</v>
      </c>
      <c r="N4771" s="10" t="e">
        <f t="shared" ca="1" si="98"/>
        <v>#VALUE!</v>
      </c>
      <c r="O4771" s="7" t="str">
        <f ca="1">IFERROR(__xludf.DUMMYFUNCTION("GOOGLEFINANCE(""NSE:""&amp;D4771,""pe"")"),"#N/A")</f>
        <v>#N/A</v>
      </c>
      <c r="P4771" s="7" t="str">
        <f ca="1">IFERROR(__xludf.DUMMYFUNCTION("GOOGLEFINANCE(""NSE:""&amp;D4771,""EPS"")"),"#N/A")</f>
        <v>#N/A</v>
      </c>
      <c r="Q4771" s="7">
        <v>13.5</v>
      </c>
      <c r="R4771" s="7" t="str">
        <f ca="1">IFERROR(__xludf.DUMMYFUNCTION("IMPORTXML(E4771,""/html/body/main/div[3]/div[3]/div[2]/ul/li[7]/span[2]/span"")"),"Loading...")</f>
        <v>Loading...</v>
      </c>
      <c r="S4771" s="7" t="str">
        <f ca="1">IFERROR(__xludf.DUMMYFUNCTION("IMPORTXML(E4771,""/html/body/main/div[3]/div[3]/div[2]/ul/li[8]/span[2]/span"")"),"Loading...")</f>
        <v>Loading...</v>
      </c>
      <c r="T4771" s="4">
        <v>34.6</v>
      </c>
      <c r="U4771" s="4">
        <v>22.7</v>
      </c>
      <c r="V4771" s="4">
        <v>2.6</v>
      </c>
      <c r="W4771" s="4">
        <v>5.7</v>
      </c>
      <c r="X4771" s="4">
        <v>519.92999999999995</v>
      </c>
      <c r="Y4771" s="7" t="e">
        <f t="shared" ca="1" si="99"/>
        <v>#VALUE!</v>
      </c>
    </row>
    <row r="4772" spans="1:25" ht="15" x14ac:dyDescent="0.25">
      <c r="A4772" s="4">
        <v>4771</v>
      </c>
      <c r="C4772" s="41" t="s">
        <v>7149</v>
      </c>
      <c r="D4772" s="42"/>
      <c r="E4772" s="5" t="str">
        <f t="shared" si="95"/>
        <v>https://www.screener.in/company//consolidated/</v>
      </c>
      <c r="F4772" s="4">
        <v>443059</v>
      </c>
      <c r="G4772" s="4">
        <v>3832241897</v>
      </c>
      <c r="H4772" s="6" t="e">
        <f t="shared" ca="1" si="96"/>
        <v>#VALUE!</v>
      </c>
      <c r="I4772" s="7" t="str">
        <f ca="1">IFERROR(__xludf.DUMMYFUNCTION("IMPORTXML(E4772,""/html/body/main/div[3]/div[3]/div[2]/ul/li[5]/span[2]/span"")"),"Loading...")</f>
        <v>Loading...</v>
      </c>
      <c r="J4772" s="7" t="str">
        <f ca="1">IFERROR(__xludf.DUMMYFUNCTION("GOOGLEFINANCE(""NSE:""&amp;D4772,""marketcap"")"),"#N/A")</f>
        <v>#N/A</v>
      </c>
      <c r="K4772" s="7">
        <v>992.8</v>
      </c>
      <c r="L4772" s="8" t="str">
        <f ca="1">IFERROR(__xludf.DUMMYFUNCTION("GOOGLEFINANCE(""NSE:""&amp;D4772,""price"")"),"#N/A")</f>
        <v>#N/A</v>
      </c>
      <c r="M4772" s="9" t="e">
        <f t="shared" ca="1" si="97"/>
        <v>#VALUE!</v>
      </c>
      <c r="N4772" s="10" t="e">
        <f t="shared" ca="1" si="98"/>
        <v>#VALUE!</v>
      </c>
      <c r="O4772" s="7" t="str">
        <f ca="1">IFERROR(__xludf.DUMMYFUNCTION("GOOGLEFINANCE(""NSE:""&amp;D4772,""pe"")"),"#N/A")</f>
        <v>#N/A</v>
      </c>
      <c r="P4772" s="7" t="str">
        <f ca="1">IFERROR(__xludf.DUMMYFUNCTION("GOOGLEFINANCE(""NSE:""&amp;D4772,""EPS"")"),"#N/A")</f>
        <v>#N/A</v>
      </c>
      <c r="Q4772" s="7">
        <v>13.5</v>
      </c>
      <c r="R4772" s="7" t="str">
        <f ca="1">IFERROR(__xludf.DUMMYFUNCTION("IMPORTXML(E4772,""/html/body/main/div[3]/div[3]/div[2]/ul/li[7]/span[2]/span"")"),"Loading...")</f>
        <v>Loading...</v>
      </c>
      <c r="S4772" s="7" t="str">
        <f ca="1">IFERROR(__xludf.DUMMYFUNCTION("IMPORTXML(E4772,""/html/body/main/div[3]/div[3]/div[2]/ul/li[8]/span[2]/span"")"),"Loading...")</f>
        <v>Loading...</v>
      </c>
      <c r="T4772" s="4">
        <v>34.6</v>
      </c>
      <c r="U4772" s="4">
        <v>22.7</v>
      </c>
      <c r="V4772" s="4">
        <v>2.6</v>
      </c>
      <c r="W4772" s="4">
        <v>5.7</v>
      </c>
      <c r="X4772" s="4">
        <v>519.92999999999995</v>
      </c>
      <c r="Y4772" s="7" t="e">
        <f t="shared" ca="1" si="99"/>
        <v>#VALUE!</v>
      </c>
    </row>
    <row r="4773" spans="1:25" ht="15" x14ac:dyDescent="0.25">
      <c r="A4773" s="4">
        <v>4772</v>
      </c>
      <c r="C4773" s="41" t="s">
        <v>7150</v>
      </c>
      <c r="D4773" s="42"/>
      <c r="E4773" s="5" t="str">
        <f t="shared" si="95"/>
        <v>https://www.screener.in/company//consolidated/</v>
      </c>
      <c r="F4773" s="4">
        <v>443059</v>
      </c>
      <c r="G4773" s="4">
        <v>3832241897</v>
      </c>
      <c r="H4773" s="6" t="e">
        <f t="shared" ca="1" si="96"/>
        <v>#VALUE!</v>
      </c>
      <c r="I4773" s="7" t="str">
        <f ca="1">IFERROR(__xludf.DUMMYFUNCTION("IMPORTXML(E4773,""/html/body/main/div[3]/div[3]/div[2]/ul/li[5]/span[2]/span"")"),"Loading...")</f>
        <v>Loading...</v>
      </c>
      <c r="J4773" s="7" t="str">
        <f ca="1">IFERROR(__xludf.DUMMYFUNCTION("GOOGLEFINANCE(""NSE:""&amp;D4773,""marketcap"")"),"#N/A")</f>
        <v>#N/A</v>
      </c>
      <c r="K4773" s="7">
        <v>992.8</v>
      </c>
      <c r="L4773" s="8" t="str">
        <f ca="1">IFERROR(__xludf.DUMMYFUNCTION("GOOGLEFINANCE(""NSE:""&amp;D4773,""price"")"),"#N/A")</f>
        <v>#N/A</v>
      </c>
      <c r="M4773" s="9" t="e">
        <f t="shared" ca="1" si="97"/>
        <v>#VALUE!</v>
      </c>
      <c r="N4773" s="10" t="e">
        <f t="shared" ca="1" si="98"/>
        <v>#VALUE!</v>
      </c>
      <c r="O4773" s="7" t="str">
        <f ca="1">IFERROR(__xludf.DUMMYFUNCTION("GOOGLEFINANCE(""NSE:""&amp;D4773,""pe"")"),"#N/A")</f>
        <v>#N/A</v>
      </c>
      <c r="P4773" s="7" t="str">
        <f ca="1">IFERROR(__xludf.DUMMYFUNCTION("GOOGLEFINANCE(""NSE:""&amp;D4773,""EPS"")"),"#N/A")</f>
        <v>#N/A</v>
      </c>
      <c r="Q4773" s="7">
        <v>13.5</v>
      </c>
      <c r="R4773" s="7" t="str">
        <f ca="1">IFERROR(__xludf.DUMMYFUNCTION("IMPORTXML(E4773,""/html/body/main/div[3]/div[3]/div[2]/ul/li[7]/span[2]/span"")"),"Loading...")</f>
        <v>Loading...</v>
      </c>
      <c r="S4773" s="7" t="str">
        <f ca="1">IFERROR(__xludf.DUMMYFUNCTION("IMPORTXML(E4773,""/html/body/main/div[3]/div[3]/div[2]/ul/li[8]/span[2]/span"")"),"Loading...")</f>
        <v>Loading...</v>
      </c>
      <c r="T4773" s="4">
        <v>34.6</v>
      </c>
      <c r="U4773" s="4">
        <v>22.7</v>
      </c>
      <c r="V4773" s="4">
        <v>2.6</v>
      </c>
      <c r="W4773" s="4">
        <v>5.7</v>
      </c>
      <c r="X4773" s="4">
        <v>519.92999999999995</v>
      </c>
      <c r="Y4773" s="7" t="e">
        <f t="shared" ca="1" si="99"/>
        <v>#VALUE!</v>
      </c>
    </row>
    <row r="4774" spans="1:25" ht="15" x14ac:dyDescent="0.25">
      <c r="A4774" s="4">
        <v>4773</v>
      </c>
      <c r="C4774" s="41" t="s">
        <v>7151</v>
      </c>
      <c r="D4774" s="42"/>
      <c r="E4774" s="5" t="str">
        <f t="shared" si="95"/>
        <v>https://www.screener.in/company//consolidated/</v>
      </c>
      <c r="F4774" s="4">
        <v>443059</v>
      </c>
      <c r="G4774" s="4">
        <v>3832241897</v>
      </c>
      <c r="H4774" s="6" t="e">
        <f t="shared" ca="1" si="96"/>
        <v>#VALUE!</v>
      </c>
      <c r="I4774" s="7" t="str">
        <f ca="1">IFERROR(__xludf.DUMMYFUNCTION("IMPORTXML(E4774,""/html/body/main/div[3]/div[3]/div[2]/ul/li[5]/span[2]/span"")"),"Loading...")</f>
        <v>Loading...</v>
      </c>
      <c r="J4774" s="7" t="str">
        <f ca="1">IFERROR(__xludf.DUMMYFUNCTION("GOOGLEFINANCE(""NSE:""&amp;D4774,""marketcap"")"),"#N/A")</f>
        <v>#N/A</v>
      </c>
      <c r="K4774" s="7">
        <v>992.8</v>
      </c>
      <c r="L4774" s="8" t="str">
        <f ca="1">IFERROR(__xludf.DUMMYFUNCTION("GOOGLEFINANCE(""NSE:""&amp;D4774,""price"")"),"#N/A")</f>
        <v>#N/A</v>
      </c>
      <c r="M4774" s="9" t="e">
        <f t="shared" ca="1" si="97"/>
        <v>#VALUE!</v>
      </c>
      <c r="N4774" s="10" t="e">
        <f t="shared" ca="1" si="98"/>
        <v>#VALUE!</v>
      </c>
      <c r="O4774" s="7" t="str">
        <f ca="1">IFERROR(__xludf.DUMMYFUNCTION("GOOGLEFINANCE(""NSE:""&amp;D4774,""pe"")"),"#N/A")</f>
        <v>#N/A</v>
      </c>
      <c r="P4774" s="7" t="str">
        <f ca="1">IFERROR(__xludf.DUMMYFUNCTION("GOOGLEFINANCE(""NSE:""&amp;D4774,""EPS"")"),"#N/A")</f>
        <v>#N/A</v>
      </c>
      <c r="Q4774" s="7">
        <v>13.5</v>
      </c>
      <c r="R4774" s="7" t="str">
        <f ca="1">IFERROR(__xludf.DUMMYFUNCTION("IMPORTXML(E4774,""/html/body/main/div[3]/div[3]/div[2]/ul/li[7]/span[2]/span"")"),"Loading...")</f>
        <v>Loading...</v>
      </c>
      <c r="S4774" s="7" t="str">
        <f ca="1">IFERROR(__xludf.DUMMYFUNCTION("IMPORTXML(E4774,""/html/body/main/div[3]/div[3]/div[2]/ul/li[8]/span[2]/span"")"),"Loading...")</f>
        <v>Loading...</v>
      </c>
      <c r="T4774" s="4">
        <v>34.6</v>
      </c>
      <c r="U4774" s="4">
        <v>22.7</v>
      </c>
      <c r="V4774" s="4">
        <v>2.6</v>
      </c>
      <c r="W4774" s="4">
        <v>5.7</v>
      </c>
      <c r="X4774" s="4">
        <v>519.92999999999995</v>
      </c>
      <c r="Y4774" s="7" t="e">
        <f t="shared" ca="1" si="99"/>
        <v>#VALUE!</v>
      </c>
    </row>
    <row r="4775" spans="1:25" ht="15" x14ac:dyDescent="0.25">
      <c r="A4775" s="4">
        <v>4774</v>
      </c>
      <c r="C4775" s="41" t="s">
        <v>7152</v>
      </c>
      <c r="D4775" s="42"/>
      <c r="E4775" s="5" t="str">
        <f t="shared" si="95"/>
        <v>https://www.screener.in/company//consolidated/</v>
      </c>
      <c r="F4775" s="4">
        <v>443059</v>
      </c>
      <c r="G4775" s="4">
        <v>3832241897</v>
      </c>
      <c r="H4775" s="6" t="e">
        <f t="shared" ca="1" si="96"/>
        <v>#VALUE!</v>
      </c>
      <c r="I4775" s="7" t="str">
        <f ca="1">IFERROR(__xludf.DUMMYFUNCTION("IMPORTXML(E4775,""/html/body/main/div[3]/div[3]/div[2]/ul/li[5]/span[2]/span"")"),"Loading...")</f>
        <v>Loading...</v>
      </c>
      <c r="J4775" s="7" t="str">
        <f ca="1">IFERROR(__xludf.DUMMYFUNCTION("GOOGLEFINANCE(""NSE:""&amp;D4775,""marketcap"")"),"#N/A")</f>
        <v>#N/A</v>
      </c>
      <c r="K4775" s="7">
        <v>992.8</v>
      </c>
      <c r="L4775" s="8" t="str">
        <f ca="1">IFERROR(__xludf.DUMMYFUNCTION("GOOGLEFINANCE(""NSE:""&amp;D4775,""price"")"),"#N/A")</f>
        <v>#N/A</v>
      </c>
      <c r="M4775" s="9" t="e">
        <f t="shared" ca="1" si="97"/>
        <v>#VALUE!</v>
      </c>
      <c r="N4775" s="10" t="e">
        <f t="shared" ca="1" si="98"/>
        <v>#VALUE!</v>
      </c>
      <c r="O4775" s="7" t="str">
        <f ca="1">IFERROR(__xludf.DUMMYFUNCTION("GOOGLEFINANCE(""NSE:""&amp;D4775,""pe"")"),"#N/A")</f>
        <v>#N/A</v>
      </c>
      <c r="P4775" s="7" t="str">
        <f ca="1">IFERROR(__xludf.DUMMYFUNCTION("GOOGLEFINANCE(""NSE:""&amp;D4775,""EPS"")"),"#N/A")</f>
        <v>#N/A</v>
      </c>
      <c r="Q4775" s="7">
        <v>13.5</v>
      </c>
      <c r="R4775" s="7" t="str">
        <f ca="1">IFERROR(__xludf.DUMMYFUNCTION("IMPORTXML(E4775,""/html/body/main/div[3]/div[3]/div[2]/ul/li[7]/span[2]/span"")"),"Loading...")</f>
        <v>Loading...</v>
      </c>
      <c r="S4775" s="7" t="str">
        <f ca="1">IFERROR(__xludf.DUMMYFUNCTION("IMPORTXML(E4775,""/html/body/main/div[3]/div[3]/div[2]/ul/li[8]/span[2]/span"")"),"Loading...")</f>
        <v>Loading...</v>
      </c>
      <c r="T4775" s="4">
        <v>34.6</v>
      </c>
      <c r="U4775" s="4">
        <v>22.7</v>
      </c>
      <c r="V4775" s="4">
        <v>2.6</v>
      </c>
      <c r="W4775" s="4">
        <v>5.7</v>
      </c>
      <c r="X4775" s="4">
        <v>519.92999999999995</v>
      </c>
      <c r="Y4775" s="7" t="e">
        <f t="shared" ca="1" si="99"/>
        <v>#VALUE!</v>
      </c>
    </row>
    <row r="4776" spans="1:25" ht="15" x14ac:dyDescent="0.25">
      <c r="A4776" s="4">
        <v>4775</v>
      </c>
      <c r="C4776" s="41" t="s">
        <v>7153</v>
      </c>
      <c r="D4776" s="42"/>
      <c r="E4776" s="5" t="str">
        <f t="shared" si="95"/>
        <v>https://www.screener.in/company//consolidated/</v>
      </c>
      <c r="F4776" s="4">
        <v>443059</v>
      </c>
      <c r="G4776" s="4">
        <v>3832241897</v>
      </c>
      <c r="H4776" s="6" t="e">
        <f t="shared" ca="1" si="96"/>
        <v>#VALUE!</v>
      </c>
      <c r="I4776" s="7" t="str">
        <f ca="1">IFERROR(__xludf.DUMMYFUNCTION("IMPORTXML(E4776,""/html/body/main/div[3]/div[3]/div[2]/ul/li[5]/span[2]/span"")"),"Loading...")</f>
        <v>Loading...</v>
      </c>
      <c r="J4776" s="7" t="str">
        <f ca="1">IFERROR(__xludf.DUMMYFUNCTION("GOOGLEFINANCE(""NSE:""&amp;D4776,""marketcap"")"),"#N/A")</f>
        <v>#N/A</v>
      </c>
      <c r="K4776" s="7">
        <v>992.8</v>
      </c>
      <c r="L4776" s="8" t="str">
        <f ca="1">IFERROR(__xludf.DUMMYFUNCTION("GOOGLEFINANCE(""NSE:""&amp;D4776,""price"")"),"#N/A")</f>
        <v>#N/A</v>
      </c>
      <c r="M4776" s="9" t="e">
        <f t="shared" ca="1" si="97"/>
        <v>#VALUE!</v>
      </c>
      <c r="N4776" s="10" t="e">
        <f t="shared" ca="1" si="98"/>
        <v>#VALUE!</v>
      </c>
      <c r="O4776" s="7" t="str">
        <f ca="1">IFERROR(__xludf.DUMMYFUNCTION("GOOGLEFINANCE(""NSE:""&amp;D4776,""pe"")"),"#N/A")</f>
        <v>#N/A</v>
      </c>
      <c r="P4776" s="7" t="str">
        <f ca="1">IFERROR(__xludf.DUMMYFUNCTION("GOOGLEFINANCE(""NSE:""&amp;D4776,""EPS"")"),"#N/A")</f>
        <v>#N/A</v>
      </c>
      <c r="Q4776" s="7">
        <v>13.5</v>
      </c>
      <c r="R4776" s="7" t="str">
        <f ca="1">IFERROR(__xludf.DUMMYFUNCTION("IMPORTXML(E4776,""/html/body/main/div[3]/div[3]/div[2]/ul/li[7]/span[2]/span"")"),"Loading...")</f>
        <v>Loading...</v>
      </c>
      <c r="S4776" s="7" t="str">
        <f ca="1">IFERROR(__xludf.DUMMYFUNCTION("IMPORTXML(E4776,""/html/body/main/div[3]/div[3]/div[2]/ul/li[8]/span[2]/span"")"),"Loading...")</f>
        <v>Loading...</v>
      </c>
      <c r="T4776" s="4">
        <v>34.6</v>
      </c>
      <c r="U4776" s="4">
        <v>22.7</v>
      </c>
      <c r="V4776" s="4">
        <v>2.6</v>
      </c>
      <c r="W4776" s="4">
        <v>5.7</v>
      </c>
      <c r="X4776" s="4">
        <v>519.92999999999995</v>
      </c>
      <c r="Y4776" s="7" t="e">
        <f t="shared" ca="1" si="99"/>
        <v>#VALUE!</v>
      </c>
    </row>
    <row r="4777" spans="1:25" ht="15" x14ac:dyDescent="0.25">
      <c r="A4777" s="4">
        <v>4776</v>
      </c>
      <c r="C4777" s="41" t="s">
        <v>7154</v>
      </c>
      <c r="D4777" s="42"/>
      <c r="E4777" s="5" t="str">
        <f t="shared" si="95"/>
        <v>https://www.screener.in/company//consolidated/</v>
      </c>
      <c r="F4777" s="4">
        <v>443059</v>
      </c>
      <c r="G4777" s="4">
        <v>3832241897</v>
      </c>
      <c r="H4777" s="6" t="e">
        <f t="shared" ca="1" si="96"/>
        <v>#VALUE!</v>
      </c>
      <c r="I4777" s="7" t="str">
        <f ca="1">IFERROR(__xludf.DUMMYFUNCTION("IMPORTXML(E4777,""/html/body/main/div[3]/div[3]/div[2]/ul/li[5]/span[2]/span"")"),"Loading...")</f>
        <v>Loading...</v>
      </c>
      <c r="J4777" s="7" t="str">
        <f ca="1">IFERROR(__xludf.DUMMYFUNCTION("GOOGLEFINANCE(""NSE:""&amp;D4777,""marketcap"")"),"#N/A")</f>
        <v>#N/A</v>
      </c>
      <c r="K4777" s="7">
        <v>992.8</v>
      </c>
      <c r="L4777" s="8" t="str">
        <f ca="1">IFERROR(__xludf.DUMMYFUNCTION("GOOGLEFINANCE(""NSE:""&amp;D4777,""price"")"),"#N/A")</f>
        <v>#N/A</v>
      </c>
      <c r="M4777" s="9" t="e">
        <f t="shared" ca="1" si="97"/>
        <v>#VALUE!</v>
      </c>
      <c r="N4777" s="10" t="e">
        <f t="shared" ca="1" si="98"/>
        <v>#VALUE!</v>
      </c>
      <c r="O4777" s="7" t="str">
        <f ca="1">IFERROR(__xludf.DUMMYFUNCTION("GOOGLEFINANCE(""NSE:""&amp;D4777,""pe"")"),"#N/A")</f>
        <v>#N/A</v>
      </c>
      <c r="P4777" s="7" t="str">
        <f ca="1">IFERROR(__xludf.DUMMYFUNCTION("GOOGLEFINANCE(""NSE:""&amp;D4777,""EPS"")"),"#N/A")</f>
        <v>#N/A</v>
      </c>
      <c r="Q4777" s="7">
        <v>13.5</v>
      </c>
      <c r="R4777" s="7" t="str">
        <f ca="1">IFERROR(__xludf.DUMMYFUNCTION("IMPORTXML(E4777,""/html/body/main/div[3]/div[3]/div[2]/ul/li[7]/span[2]/span"")"),"Loading...")</f>
        <v>Loading...</v>
      </c>
      <c r="S4777" s="7" t="str">
        <f ca="1">IFERROR(__xludf.DUMMYFUNCTION("IMPORTXML(E4777,""/html/body/main/div[3]/div[3]/div[2]/ul/li[8]/span[2]/span"")"),"Loading...")</f>
        <v>Loading...</v>
      </c>
      <c r="T4777" s="4">
        <v>34.6</v>
      </c>
      <c r="U4777" s="4">
        <v>22.7</v>
      </c>
      <c r="V4777" s="4">
        <v>2.6</v>
      </c>
      <c r="W4777" s="4">
        <v>5.7</v>
      </c>
      <c r="X4777" s="4">
        <v>519.92999999999995</v>
      </c>
      <c r="Y4777" s="7" t="e">
        <f t="shared" ca="1" si="99"/>
        <v>#VALUE!</v>
      </c>
    </row>
    <row r="4778" spans="1:25" ht="15" x14ac:dyDescent="0.25">
      <c r="A4778" s="4">
        <v>4777</v>
      </c>
      <c r="C4778" s="41" t="s">
        <v>7155</v>
      </c>
      <c r="D4778" s="42"/>
      <c r="E4778" s="5" t="str">
        <f t="shared" si="95"/>
        <v>https://www.screener.in/company//consolidated/</v>
      </c>
      <c r="F4778" s="4">
        <v>443059</v>
      </c>
      <c r="G4778" s="4">
        <v>3832241897</v>
      </c>
      <c r="H4778" s="6" t="e">
        <f t="shared" ca="1" si="96"/>
        <v>#VALUE!</v>
      </c>
      <c r="I4778" s="7" t="str">
        <f ca="1">IFERROR(__xludf.DUMMYFUNCTION("IMPORTXML(E4778,""/html/body/main/div[3]/div[3]/div[2]/ul/li[5]/span[2]/span"")"),"Loading...")</f>
        <v>Loading...</v>
      </c>
      <c r="J4778" s="7" t="str">
        <f ca="1">IFERROR(__xludf.DUMMYFUNCTION("GOOGLEFINANCE(""NSE:""&amp;D4778,""marketcap"")"),"#N/A")</f>
        <v>#N/A</v>
      </c>
      <c r="K4778" s="7">
        <v>992.8</v>
      </c>
      <c r="L4778" s="8" t="str">
        <f ca="1">IFERROR(__xludf.DUMMYFUNCTION("GOOGLEFINANCE(""NSE:""&amp;D4778,""price"")"),"#N/A")</f>
        <v>#N/A</v>
      </c>
      <c r="M4778" s="9" t="e">
        <f t="shared" ca="1" si="97"/>
        <v>#VALUE!</v>
      </c>
      <c r="N4778" s="10" t="e">
        <f t="shared" ca="1" si="98"/>
        <v>#VALUE!</v>
      </c>
      <c r="O4778" s="7" t="str">
        <f ca="1">IFERROR(__xludf.DUMMYFUNCTION("GOOGLEFINANCE(""NSE:""&amp;D4778,""pe"")"),"#N/A")</f>
        <v>#N/A</v>
      </c>
      <c r="P4778" s="7" t="str">
        <f ca="1">IFERROR(__xludf.DUMMYFUNCTION("GOOGLEFINANCE(""NSE:""&amp;D4778,""EPS"")"),"#N/A")</f>
        <v>#N/A</v>
      </c>
      <c r="Q4778" s="7">
        <v>13.5</v>
      </c>
      <c r="R4778" s="7" t="str">
        <f ca="1">IFERROR(__xludf.DUMMYFUNCTION("IMPORTXML(E4778,""/html/body/main/div[3]/div[3]/div[2]/ul/li[7]/span[2]/span"")"),"Loading...")</f>
        <v>Loading...</v>
      </c>
      <c r="S4778" s="7" t="str">
        <f ca="1">IFERROR(__xludf.DUMMYFUNCTION("IMPORTXML(E4778,""/html/body/main/div[3]/div[3]/div[2]/ul/li[8]/span[2]/span"")"),"Loading...")</f>
        <v>Loading...</v>
      </c>
      <c r="T4778" s="4">
        <v>34.6</v>
      </c>
      <c r="U4778" s="4">
        <v>22.7</v>
      </c>
      <c r="V4778" s="4">
        <v>2.6</v>
      </c>
      <c r="W4778" s="4">
        <v>5.7</v>
      </c>
      <c r="X4778" s="4">
        <v>519.92999999999995</v>
      </c>
      <c r="Y4778" s="7" t="e">
        <f t="shared" ca="1" si="99"/>
        <v>#VALUE!</v>
      </c>
    </row>
    <row r="4779" spans="1:25" ht="15" x14ac:dyDescent="0.25">
      <c r="A4779" s="4">
        <v>4778</v>
      </c>
      <c r="C4779" s="41" t="s">
        <v>7156</v>
      </c>
      <c r="D4779" s="42"/>
      <c r="E4779" s="5" t="str">
        <f t="shared" si="95"/>
        <v>https://www.screener.in/company//consolidated/</v>
      </c>
      <c r="F4779" s="4">
        <v>443059</v>
      </c>
      <c r="G4779" s="4">
        <v>3832241897</v>
      </c>
      <c r="H4779" s="6" t="e">
        <f t="shared" ca="1" si="96"/>
        <v>#VALUE!</v>
      </c>
      <c r="I4779" s="7" t="str">
        <f ca="1">IFERROR(__xludf.DUMMYFUNCTION("IMPORTXML(E4779,""/html/body/main/div[3]/div[3]/div[2]/ul/li[5]/span[2]/span"")"),"Loading...")</f>
        <v>Loading...</v>
      </c>
      <c r="J4779" s="7" t="str">
        <f ca="1">IFERROR(__xludf.DUMMYFUNCTION("GOOGLEFINANCE(""NSE:""&amp;D4779,""marketcap"")"),"#N/A")</f>
        <v>#N/A</v>
      </c>
      <c r="K4779" s="7">
        <v>992.8</v>
      </c>
      <c r="L4779" s="8" t="str">
        <f ca="1">IFERROR(__xludf.DUMMYFUNCTION("GOOGLEFINANCE(""NSE:""&amp;D4779,""price"")"),"#N/A")</f>
        <v>#N/A</v>
      </c>
      <c r="M4779" s="9" t="e">
        <f t="shared" ca="1" si="97"/>
        <v>#VALUE!</v>
      </c>
      <c r="N4779" s="10" t="e">
        <f t="shared" ca="1" si="98"/>
        <v>#VALUE!</v>
      </c>
      <c r="O4779" s="7" t="str">
        <f ca="1">IFERROR(__xludf.DUMMYFUNCTION("GOOGLEFINANCE(""NSE:""&amp;D4779,""pe"")"),"#N/A")</f>
        <v>#N/A</v>
      </c>
      <c r="P4779" s="7" t="str">
        <f ca="1">IFERROR(__xludf.DUMMYFUNCTION("GOOGLEFINANCE(""NSE:""&amp;D4779,""EPS"")"),"#N/A")</f>
        <v>#N/A</v>
      </c>
      <c r="Q4779" s="7">
        <v>13.5</v>
      </c>
      <c r="R4779" s="7" t="str">
        <f ca="1">IFERROR(__xludf.DUMMYFUNCTION("IMPORTXML(E4779,""/html/body/main/div[3]/div[3]/div[2]/ul/li[7]/span[2]/span"")"),"Loading...")</f>
        <v>Loading...</v>
      </c>
      <c r="S4779" s="7" t="str">
        <f ca="1">IFERROR(__xludf.DUMMYFUNCTION("IMPORTXML(E4779,""/html/body/main/div[3]/div[3]/div[2]/ul/li[8]/span[2]/span"")"),"Loading...")</f>
        <v>Loading...</v>
      </c>
      <c r="T4779" s="4">
        <v>34.6</v>
      </c>
      <c r="U4779" s="4">
        <v>22.7</v>
      </c>
      <c r="V4779" s="4">
        <v>2.6</v>
      </c>
      <c r="W4779" s="4">
        <v>5.7</v>
      </c>
      <c r="X4779" s="4">
        <v>519.92999999999995</v>
      </c>
      <c r="Y4779" s="7" t="e">
        <f t="shared" ca="1" si="99"/>
        <v>#VALUE!</v>
      </c>
    </row>
    <row r="4780" spans="1:25" ht="15" x14ac:dyDescent="0.25">
      <c r="A4780" s="4">
        <v>4779</v>
      </c>
      <c r="C4780" s="41" t="s">
        <v>7157</v>
      </c>
      <c r="D4780" s="42"/>
      <c r="E4780" s="5" t="str">
        <f t="shared" si="95"/>
        <v>https://www.screener.in/company//consolidated/</v>
      </c>
      <c r="F4780" s="4">
        <v>443059</v>
      </c>
      <c r="G4780" s="4">
        <v>3832241897</v>
      </c>
      <c r="H4780" s="6" t="e">
        <f t="shared" ca="1" si="96"/>
        <v>#VALUE!</v>
      </c>
      <c r="I4780" s="7" t="str">
        <f ca="1">IFERROR(__xludf.DUMMYFUNCTION("IMPORTXML(E4780,""/html/body/main/div[3]/div[3]/div[2]/ul/li[5]/span[2]/span"")"),"Loading...")</f>
        <v>Loading...</v>
      </c>
      <c r="J4780" s="7" t="str">
        <f ca="1">IFERROR(__xludf.DUMMYFUNCTION("GOOGLEFINANCE(""NSE:""&amp;D4780,""marketcap"")"),"#N/A")</f>
        <v>#N/A</v>
      </c>
      <c r="K4780" s="7">
        <v>992.8</v>
      </c>
      <c r="L4780" s="8" t="str">
        <f ca="1">IFERROR(__xludf.DUMMYFUNCTION("GOOGLEFINANCE(""NSE:""&amp;D4780,""price"")"),"#N/A")</f>
        <v>#N/A</v>
      </c>
      <c r="M4780" s="9" t="e">
        <f t="shared" ca="1" si="97"/>
        <v>#VALUE!</v>
      </c>
      <c r="N4780" s="10" t="e">
        <f t="shared" ca="1" si="98"/>
        <v>#VALUE!</v>
      </c>
      <c r="O4780" s="7" t="str">
        <f ca="1">IFERROR(__xludf.DUMMYFUNCTION("GOOGLEFINANCE(""NSE:""&amp;D4780,""pe"")"),"#N/A")</f>
        <v>#N/A</v>
      </c>
      <c r="P4780" s="7" t="str">
        <f ca="1">IFERROR(__xludf.DUMMYFUNCTION("GOOGLEFINANCE(""NSE:""&amp;D4780,""EPS"")"),"#N/A")</f>
        <v>#N/A</v>
      </c>
      <c r="Q4780" s="7">
        <v>13.5</v>
      </c>
      <c r="R4780" s="7" t="str">
        <f ca="1">IFERROR(__xludf.DUMMYFUNCTION("IMPORTXML(E4780,""/html/body/main/div[3]/div[3]/div[2]/ul/li[7]/span[2]/span"")"),"Loading...")</f>
        <v>Loading...</v>
      </c>
      <c r="S4780" s="7" t="str">
        <f ca="1">IFERROR(__xludf.DUMMYFUNCTION("IMPORTXML(E4780,""/html/body/main/div[3]/div[3]/div[2]/ul/li[8]/span[2]/span"")"),"Loading...")</f>
        <v>Loading...</v>
      </c>
      <c r="T4780" s="4">
        <v>34.6</v>
      </c>
      <c r="U4780" s="4">
        <v>22.7</v>
      </c>
      <c r="V4780" s="4">
        <v>2.6</v>
      </c>
      <c r="W4780" s="4">
        <v>5.7</v>
      </c>
      <c r="X4780" s="4">
        <v>519.92999999999995</v>
      </c>
      <c r="Y4780" s="7" t="e">
        <f t="shared" ca="1" si="99"/>
        <v>#VALUE!</v>
      </c>
    </row>
    <row r="4781" spans="1:25" ht="15" x14ac:dyDescent="0.25">
      <c r="A4781" s="4">
        <v>4780</v>
      </c>
      <c r="C4781" s="41" t="s">
        <v>7158</v>
      </c>
      <c r="D4781" s="42"/>
      <c r="E4781" s="5" t="str">
        <f t="shared" si="95"/>
        <v>https://www.screener.in/company//consolidated/</v>
      </c>
      <c r="F4781" s="4">
        <v>443059</v>
      </c>
      <c r="G4781" s="4">
        <v>3832241897</v>
      </c>
      <c r="H4781" s="6" t="e">
        <f t="shared" ca="1" si="96"/>
        <v>#VALUE!</v>
      </c>
      <c r="I4781" s="7" t="str">
        <f ca="1">IFERROR(__xludf.DUMMYFUNCTION("IMPORTXML(E4781,""/html/body/main/div[3]/div[3]/div[2]/ul/li[5]/span[2]/span"")"),"Loading...")</f>
        <v>Loading...</v>
      </c>
      <c r="J4781" s="7" t="str">
        <f ca="1">IFERROR(__xludf.DUMMYFUNCTION("GOOGLEFINANCE(""NSE:""&amp;D4781,""marketcap"")"),"#N/A")</f>
        <v>#N/A</v>
      </c>
      <c r="K4781" s="7">
        <v>992.8</v>
      </c>
      <c r="L4781" s="8" t="str">
        <f ca="1">IFERROR(__xludf.DUMMYFUNCTION("GOOGLEFINANCE(""NSE:""&amp;D4781,""price"")"),"#N/A")</f>
        <v>#N/A</v>
      </c>
      <c r="M4781" s="9" t="e">
        <f t="shared" ca="1" si="97"/>
        <v>#VALUE!</v>
      </c>
      <c r="N4781" s="10" t="e">
        <f t="shared" ca="1" si="98"/>
        <v>#VALUE!</v>
      </c>
      <c r="O4781" s="7" t="str">
        <f ca="1">IFERROR(__xludf.DUMMYFUNCTION("GOOGLEFINANCE(""NSE:""&amp;D4781,""pe"")"),"#N/A")</f>
        <v>#N/A</v>
      </c>
      <c r="P4781" s="7" t="str">
        <f ca="1">IFERROR(__xludf.DUMMYFUNCTION("GOOGLEFINANCE(""NSE:""&amp;D4781,""EPS"")"),"#N/A")</f>
        <v>#N/A</v>
      </c>
      <c r="Q4781" s="7">
        <v>13.5</v>
      </c>
      <c r="R4781" s="7" t="str">
        <f ca="1">IFERROR(__xludf.DUMMYFUNCTION("IMPORTXML(E4781,""/html/body/main/div[3]/div[3]/div[2]/ul/li[7]/span[2]/span"")"),"Loading...")</f>
        <v>Loading...</v>
      </c>
      <c r="S4781" s="7" t="str">
        <f ca="1">IFERROR(__xludf.DUMMYFUNCTION("IMPORTXML(E4781,""/html/body/main/div[3]/div[3]/div[2]/ul/li[8]/span[2]/span"")"),"Loading...")</f>
        <v>Loading...</v>
      </c>
      <c r="T4781" s="4">
        <v>34.6</v>
      </c>
      <c r="U4781" s="4">
        <v>22.7</v>
      </c>
      <c r="V4781" s="4">
        <v>2.6</v>
      </c>
      <c r="W4781" s="4">
        <v>5.7</v>
      </c>
      <c r="X4781" s="4">
        <v>519.92999999999995</v>
      </c>
      <c r="Y4781" s="7" t="e">
        <f t="shared" ca="1" si="99"/>
        <v>#VALUE!</v>
      </c>
    </row>
    <row r="4782" spans="1:25" ht="15" x14ac:dyDescent="0.25">
      <c r="A4782" s="4">
        <v>4781</v>
      </c>
      <c r="C4782" s="41" t="s">
        <v>7159</v>
      </c>
      <c r="D4782" s="42"/>
      <c r="E4782" s="5" t="str">
        <f t="shared" si="95"/>
        <v>https://www.screener.in/company//consolidated/</v>
      </c>
      <c r="F4782" s="4">
        <v>443059</v>
      </c>
      <c r="G4782" s="4">
        <v>3832241897</v>
      </c>
      <c r="H4782" s="6" t="e">
        <f t="shared" ca="1" si="96"/>
        <v>#VALUE!</v>
      </c>
      <c r="I4782" s="7" t="str">
        <f ca="1">IFERROR(__xludf.DUMMYFUNCTION("IMPORTXML(E4782,""/html/body/main/div[3]/div[3]/div[2]/ul/li[5]/span[2]/span"")"),"Loading...")</f>
        <v>Loading...</v>
      </c>
      <c r="J4782" s="7" t="str">
        <f ca="1">IFERROR(__xludf.DUMMYFUNCTION("GOOGLEFINANCE(""NSE:""&amp;D4782,""marketcap"")"),"#N/A")</f>
        <v>#N/A</v>
      </c>
      <c r="K4782" s="7">
        <v>992.8</v>
      </c>
      <c r="L4782" s="8" t="str">
        <f ca="1">IFERROR(__xludf.DUMMYFUNCTION("GOOGLEFINANCE(""NSE:""&amp;D4782,""price"")"),"#N/A")</f>
        <v>#N/A</v>
      </c>
      <c r="M4782" s="9" t="e">
        <f t="shared" ca="1" si="97"/>
        <v>#VALUE!</v>
      </c>
      <c r="N4782" s="10" t="e">
        <f t="shared" ca="1" si="98"/>
        <v>#VALUE!</v>
      </c>
      <c r="O4782" s="7" t="str">
        <f ca="1">IFERROR(__xludf.DUMMYFUNCTION("GOOGLEFINANCE(""NSE:""&amp;D4782,""pe"")"),"#N/A")</f>
        <v>#N/A</v>
      </c>
      <c r="P4782" s="7" t="str">
        <f ca="1">IFERROR(__xludf.DUMMYFUNCTION("GOOGLEFINANCE(""NSE:""&amp;D4782,""EPS"")"),"#N/A")</f>
        <v>#N/A</v>
      </c>
      <c r="Q4782" s="7">
        <v>13.5</v>
      </c>
      <c r="R4782" s="7" t="str">
        <f ca="1">IFERROR(__xludf.DUMMYFUNCTION("IMPORTXML(E4782,""/html/body/main/div[3]/div[3]/div[2]/ul/li[7]/span[2]/span"")"),"Loading...")</f>
        <v>Loading...</v>
      </c>
      <c r="S4782" s="7" t="str">
        <f ca="1">IFERROR(__xludf.DUMMYFUNCTION("IMPORTXML(E4782,""/html/body/main/div[3]/div[3]/div[2]/ul/li[8]/span[2]/span"")"),"Loading...")</f>
        <v>Loading...</v>
      </c>
      <c r="T4782" s="4">
        <v>34.6</v>
      </c>
      <c r="U4782" s="4">
        <v>22.7</v>
      </c>
      <c r="V4782" s="4">
        <v>2.6</v>
      </c>
      <c r="W4782" s="4">
        <v>5.7</v>
      </c>
      <c r="X4782" s="4">
        <v>519.92999999999995</v>
      </c>
      <c r="Y4782" s="7" t="e">
        <f t="shared" ca="1" si="99"/>
        <v>#VALUE!</v>
      </c>
    </row>
    <row r="4783" spans="1:25" ht="15" x14ac:dyDescent="0.25">
      <c r="A4783" s="4">
        <v>4782</v>
      </c>
      <c r="C4783" s="41" t="s">
        <v>7160</v>
      </c>
      <c r="D4783" s="42"/>
      <c r="E4783" s="5" t="str">
        <f t="shared" si="95"/>
        <v>https://www.screener.in/company//consolidated/</v>
      </c>
      <c r="F4783" s="4">
        <v>443059</v>
      </c>
      <c r="G4783" s="4">
        <v>3832241897</v>
      </c>
      <c r="H4783" s="6" t="e">
        <f t="shared" ca="1" si="96"/>
        <v>#VALUE!</v>
      </c>
      <c r="I4783" s="7" t="str">
        <f ca="1">IFERROR(__xludf.DUMMYFUNCTION("IMPORTXML(E4783,""/html/body/main/div[3]/div[3]/div[2]/ul/li[5]/span[2]/span"")"),"Loading...")</f>
        <v>Loading...</v>
      </c>
      <c r="J4783" s="7" t="str">
        <f ca="1">IFERROR(__xludf.DUMMYFUNCTION("GOOGLEFINANCE(""NSE:""&amp;D4783,""marketcap"")"),"#N/A")</f>
        <v>#N/A</v>
      </c>
      <c r="K4783" s="7">
        <v>992.8</v>
      </c>
      <c r="L4783" s="8" t="str">
        <f ca="1">IFERROR(__xludf.DUMMYFUNCTION("GOOGLEFINANCE(""NSE:""&amp;D4783,""price"")"),"#N/A")</f>
        <v>#N/A</v>
      </c>
      <c r="M4783" s="9" t="e">
        <f t="shared" ca="1" si="97"/>
        <v>#VALUE!</v>
      </c>
      <c r="N4783" s="10" t="e">
        <f t="shared" ca="1" si="98"/>
        <v>#VALUE!</v>
      </c>
      <c r="O4783" s="7" t="str">
        <f ca="1">IFERROR(__xludf.DUMMYFUNCTION("GOOGLEFINANCE(""NSE:""&amp;D4783,""pe"")"),"#N/A")</f>
        <v>#N/A</v>
      </c>
      <c r="P4783" s="7" t="str">
        <f ca="1">IFERROR(__xludf.DUMMYFUNCTION("GOOGLEFINANCE(""NSE:""&amp;D4783,""EPS"")"),"#N/A")</f>
        <v>#N/A</v>
      </c>
      <c r="Q4783" s="7">
        <v>13.5</v>
      </c>
      <c r="R4783" s="7" t="str">
        <f ca="1">IFERROR(__xludf.DUMMYFUNCTION("IMPORTXML(E4783,""/html/body/main/div[3]/div[3]/div[2]/ul/li[7]/span[2]/span"")"),"Loading...")</f>
        <v>Loading...</v>
      </c>
      <c r="S4783" s="7" t="str">
        <f ca="1">IFERROR(__xludf.DUMMYFUNCTION("IMPORTXML(E4783,""/html/body/main/div[3]/div[3]/div[2]/ul/li[8]/span[2]/span"")"),"Loading...")</f>
        <v>Loading...</v>
      </c>
      <c r="T4783" s="4">
        <v>34.6</v>
      </c>
      <c r="U4783" s="4">
        <v>22.7</v>
      </c>
      <c r="V4783" s="4">
        <v>2.6</v>
      </c>
      <c r="W4783" s="4">
        <v>5.7</v>
      </c>
      <c r="X4783" s="4">
        <v>519.92999999999995</v>
      </c>
      <c r="Y4783" s="7" t="e">
        <f t="shared" ca="1" si="99"/>
        <v>#VALUE!</v>
      </c>
    </row>
    <row r="4784" spans="1:25" ht="15" x14ac:dyDescent="0.25">
      <c r="A4784" s="4">
        <v>4783</v>
      </c>
      <c r="C4784" s="41" t="s">
        <v>7161</v>
      </c>
      <c r="D4784" s="42"/>
      <c r="E4784" s="5" t="str">
        <f t="shared" si="95"/>
        <v>https://www.screener.in/company//consolidated/</v>
      </c>
      <c r="F4784" s="4">
        <v>443059</v>
      </c>
      <c r="G4784" s="4">
        <v>3832241897</v>
      </c>
      <c r="H4784" s="6" t="e">
        <f t="shared" ca="1" si="96"/>
        <v>#VALUE!</v>
      </c>
      <c r="I4784" s="7" t="str">
        <f ca="1">IFERROR(__xludf.DUMMYFUNCTION("IMPORTXML(E4784,""/html/body/main/div[3]/div[3]/div[2]/ul/li[5]/span[2]/span"")"),"Loading...")</f>
        <v>Loading...</v>
      </c>
      <c r="J4784" s="7" t="str">
        <f ca="1">IFERROR(__xludf.DUMMYFUNCTION("GOOGLEFINANCE(""NSE:""&amp;D4784,""marketcap"")"),"#N/A")</f>
        <v>#N/A</v>
      </c>
      <c r="K4784" s="7">
        <v>992.8</v>
      </c>
      <c r="L4784" s="8" t="str">
        <f ca="1">IFERROR(__xludf.DUMMYFUNCTION("GOOGLEFINANCE(""NSE:""&amp;D4784,""price"")"),"#N/A")</f>
        <v>#N/A</v>
      </c>
      <c r="M4784" s="9" t="e">
        <f t="shared" ca="1" si="97"/>
        <v>#VALUE!</v>
      </c>
      <c r="N4784" s="10" t="e">
        <f t="shared" ca="1" si="98"/>
        <v>#VALUE!</v>
      </c>
      <c r="O4784" s="7" t="str">
        <f ca="1">IFERROR(__xludf.DUMMYFUNCTION("GOOGLEFINANCE(""NSE:""&amp;D4784,""pe"")"),"#N/A")</f>
        <v>#N/A</v>
      </c>
      <c r="P4784" s="7" t="str">
        <f ca="1">IFERROR(__xludf.DUMMYFUNCTION("GOOGLEFINANCE(""NSE:""&amp;D4784,""EPS"")"),"#N/A")</f>
        <v>#N/A</v>
      </c>
      <c r="Q4784" s="7">
        <v>13.5</v>
      </c>
      <c r="R4784" s="7" t="str">
        <f ca="1">IFERROR(__xludf.DUMMYFUNCTION("IMPORTXML(E4784,""/html/body/main/div[3]/div[3]/div[2]/ul/li[7]/span[2]/span"")"),"Loading...")</f>
        <v>Loading...</v>
      </c>
      <c r="S4784" s="7" t="str">
        <f ca="1">IFERROR(__xludf.DUMMYFUNCTION("IMPORTXML(E4784,""/html/body/main/div[3]/div[3]/div[2]/ul/li[8]/span[2]/span"")"),"Loading...")</f>
        <v>Loading...</v>
      </c>
      <c r="T4784" s="4">
        <v>34.6</v>
      </c>
      <c r="U4784" s="4">
        <v>22.7</v>
      </c>
      <c r="V4784" s="4">
        <v>2.6</v>
      </c>
      <c r="W4784" s="4">
        <v>5.7</v>
      </c>
      <c r="X4784" s="4">
        <v>519.92999999999995</v>
      </c>
      <c r="Y4784" s="7" t="e">
        <f t="shared" ca="1" si="99"/>
        <v>#VALUE!</v>
      </c>
    </row>
    <row r="4785" spans="1:25" ht="15" x14ac:dyDescent="0.25">
      <c r="A4785" s="4">
        <v>4784</v>
      </c>
      <c r="C4785" s="41" t="s">
        <v>7162</v>
      </c>
      <c r="D4785" s="42"/>
      <c r="E4785" s="5" t="str">
        <f t="shared" si="95"/>
        <v>https://www.screener.in/company//consolidated/</v>
      </c>
      <c r="F4785" s="4">
        <v>443059</v>
      </c>
      <c r="G4785" s="4">
        <v>3832241897</v>
      </c>
      <c r="H4785" s="6" t="e">
        <f t="shared" ca="1" si="96"/>
        <v>#VALUE!</v>
      </c>
      <c r="I4785" s="7" t="str">
        <f ca="1">IFERROR(__xludf.DUMMYFUNCTION("IMPORTXML(E4785,""/html/body/main/div[3]/div[3]/div[2]/ul/li[5]/span[2]/span"")"),"Loading...")</f>
        <v>Loading...</v>
      </c>
      <c r="J4785" s="7" t="str">
        <f ca="1">IFERROR(__xludf.DUMMYFUNCTION("GOOGLEFINANCE(""NSE:""&amp;D4785,""marketcap"")"),"#N/A")</f>
        <v>#N/A</v>
      </c>
      <c r="K4785" s="7">
        <v>992.8</v>
      </c>
      <c r="L4785" s="8" t="str">
        <f ca="1">IFERROR(__xludf.DUMMYFUNCTION("GOOGLEFINANCE(""NSE:""&amp;D4785,""price"")"),"#N/A")</f>
        <v>#N/A</v>
      </c>
      <c r="M4785" s="9" t="e">
        <f t="shared" ca="1" si="97"/>
        <v>#VALUE!</v>
      </c>
      <c r="N4785" s="10" t="e">
        <f t="shared" ca="1" si="98"/>
        <v>#VALUE!</v>
      </c>
      <c r="O4785" s="7" t="str">
        <f ca="1">IFERROR(__xludf.DUMMYFUNCTION("GOOGLEFINANCE(""NSE:""&amp;D4785,""pe"")"),"#N/A")</f>
        <v>#N/A</v>
      </c>
      <c r="P4785" s="7" t="str">
        <f ca="1">IFERROR(__xludf.DUMMYFUNCTION("GOOGLEFINANCE(""NSE:""&amp;D4785,""EPS"")"),"#N/A")</f>
        <v>#N/A</v>
      </c>
      <c r="Q4785" s="7">
        <v>13.5</v>
      </c>
      <c r="R4785" s="7" t="str">
        <f ca="1">IFERROR(__xludf.DUMMYFUNCTION("IMPORTXML(E4785,""/html/body/main/div[3]/div[3]/div[2]/ul/li[7]/span[2]/span"")"),"Loading...")</f>
        <v>Loading...</v>
      </c>
      <c r="S4785" s="7" t="str">
        <f ca="1">IFERROR(__xludf.DUMMYFUNCTION("IMPORTXML(E4785,""/html/body/main/div[3]/div[3]/div[2]/ul/li[8]/span[2]/span"")"),"Loading...")</f>
        <v>Loading...</v>
      </c>
      <c r="T4785" s="4">
        <v>34.6</v>
      </c>
      <c r="U4785" s="4">
        <v>22.7</v>
      </c>
      <c r="V4785" s="4">
        <v>2.6</v>
      </c>
      <c r="W4785" s="4">
        <v>5.7</v>
      </c>
      <c r="X4785" s="4">
        <v>519.92999999999995</v>
      </c>
      <c r="Y4785" s="7" t="e">
        <f t="shared" ca="1" si="99"/>
        <v>#VALUE!</v>
      </c>
    </row>
    <row r="4786" spans="1:25" ht="15" x14ac:dyDescent="0.25">
      <c r="A4786" s="4">
        <v>4785</v>
      </c>
      <c r="C4786" s="41" t="s">
        <v>7163</v>
      </c>
      <c r="D4786" s="42"/>
      <c r="E4786" s="5" t="str">
        <f t="shared" si="95"/>
        <v>https://www.screener.in/company//consolidated/</v>
      </c>
      <c r="F4786" s="4">
        <v>443059</v>
      </c>
      <c r="G4786" s="4">
        <v>3832241897</v>
      </c>
      <c r="H4786" s="6" t="e">
        <f t="shared" ca="1" si="96"/>
        <v>#VALUE!</v>
      </c>
      <c r="I4786" s="7" t="str">
        <f ca="1">IFERROR(__xludf.DUMMYFUNCTION("IMPORTXML(E4786,""/html/body/main/div[3]/div[3]/div[2]/ul/li[5]/span[2]/span"")"),"Loading...")</f>
        <v>Loading...</v>
      </c>
      <c r="J4786" s="7" t="str">
        <f ca="1">IFERROR(__xludf.DUMMYFUNCTION("GOOGLEFINANCE(""NSE:""&amp;D4786,""marketcap"")"),"#N/A")</f>
        <v>#N/A</v>
      </c>
      <c r="K4786" s="7">
        <v>992.8</v>
      </c>
      <c r="L4786" s="8" t="str">
        <f ca="1">IFERROR(__xludf.DUMMYFUNCTION("GOOGLEFINANCE(""NSE:""&amp;D4786,""price"")"),"#N/A")</f>
        <v>#N/A</v>
      </c>
      <c r="M4786" s="9" t="e">
        <f t="shared" ca="1" si="97"/>
        <v>#VALUE!</v>
      </c>
      <c r="N4786" s="10" t="e">
        <f t="shared" ca="1" si="98"/>
        <v>#VALUE!</v>
      </c>
      <c r="O4786" s="7" t="str">
        <f ca="1">IFERROR(__xludf.DUMMYFUNCTION("GOOGLEFINANCE(""NSE:""&amp;D4786,""pe"")"),"#N/A")</f>
        <v>#N/A</v>
      </c>
      <c r="P4786" s="7" t="str">
        <f ca="1">IFERROR(__xludf.DUMMYFUNCTION("GOOGLEFINANCE(""NSE:""&amp;D4786,""EPS"")"),"#N/A")</f>
        <v>#N/A</v>
      </c>
      <c r="Q4786" s="7">
        <v>13.5</v>
      </c>
      <c r="R4786" s="7" t="str">
        <f ca="1">IFERROR(__xludf.DUMMYFUNCTION("IMPORTXML(E4786,""/html/body/main/div[3]/div[3]/div[2]/ul/li[7]/span[2]/span"")"),"Loading...")</f>
        <v>Loading...</v>
      </c>
      <c r="S4786" s="7" t="str">
        <f ca="1">IFERROR(__xludf.DUMMYFUNCTION("IMPORTXML(E4786,""/html/body/main/div[3]/div[3]/div[2]/ul/li[8]/span[2]/span"")"),"Loading...")</f>
        <v>Loading...</v>
      </c>
      <c r="T4786" s="4">
        <v>34.6</v>
      </c>
      <c r="U4786" s="4">
        <v>22.7</v>
      </c>
      <c r="V4786" s="4">
        <v>2.6</v>
      </c>
      <c r="W4786" s="4">
        <v>5.7</v>
      </c>
      <c r="X4786" s="4">
        <v>519.92999999999995</v>
      </c>
      <c r="Y4786" s="7" t="e">
        <f t="shared" ca="1" si="99"/>
        <v>#VALUE!</v>
      </c>
    </row>
    <row r="4787" spans="1:25" ht="15" x14ac:dyDescent="0.25">
      <c r="A4787" s="4">
        <v>4786</v>
      </c>
      <c r="C4787" s="41" t="s">
        <v>7164</v>
      </c>
      <c r="D4787" s="42"/>
    </row>
    <row r="4788" spans="1:25" ht="15" x14ac:dyDescent="0.25">
      <c r="A4788" s="4">
        <v>4787</v>
      </c>
      <c r="C4788" s="41" t="s">
        <v>7165</v>
      </c>
      <c r="D4788" s="42"/>
    </row>
    <row r="4789" spans="1:25" ht="15" x14ac:dyDescent="0.25">
      <c r="A4789" s="4">
        <v>4788</v>
      </c>
      <c r="C4789" s="41" t="s">
        <v>7166</v>
      </c>
      <c r="D4789" s="42"/>
    </row>
    <row r="4790" spans="1:25" ht="15" x14ac:dyDescent="0.25">
      <c r="A4790" s="4">
        <v>4789</v>
      </c>
      <c r="C4790" s="41" t="s">
        <v>7167</v>
      </c>
      <c r="D4790" s="42"/>
    </row>
    <row r="4791" spans="1:25" ht="15" x14ac:dyDescent="0.25">
      <c r="A4791" s="4">
        <v>4790</v>
      </c>
      <c r="C4791" s="41" t="s">
        <v>7168</v>
      </c>
      <c r="D4791" s="42"/>
    </row>
    <row r="4792" spans="1:25" ht="15" x14ac:dyDescent="0.25">
      <c r="A4792" s="4">
        <v>4791</v>
      </c>
      <c r="C4792" s="41" t="s">
        <v>7169</v>
      </c>
      <c r="D4792" s="42"/>
    </row>
    <row r="4793" spans="1:25" ht="15" x14ac:dyDescent="0.25">
      <c r="A4793" s="4">
        <v>4792</v>
      </c>
      <c r="C4793" s="41" t="s">
        <v>7170</v>
      </c>
      <c r="D4793" s="42"/>
    </row>
    <row r="4794" spans="1:25" ht="15" x14ac:dyDescent="0.25">
      <c r="A4794" s="4">
        <v>4793</v>
      </c>
      <c r="C4794" s="41" t="s">
        <v>7171</v>
      </c>
      <c r="D4794" s="42"/>
    </row>
    <row r="4795" spans="1:25" ht="15" x14ac:dyDescent="0.25">
      <c r="A4795" s="4">
        <v>4794</v>
      </c>
      <c r="C4795" s="41" t="s">
        <v>7172</v>
      </c>
      <c r="D4795" s="42"/>
    </row>
    <row r="4796" spans="1:25" ht="15" x14ac:dyDescent="0.25">
      <c r="A4796" s="4">
        <v>4795</v>
      </c>
      <c r="C4796" s="41" t="s">
        <v>7173</v>
      </c>
      <c r="D4796" s="42"/>
    </row>
    <row r="4797" spans="1:25" ht="15" x14ac:dyDescent="0.25">
      <c r="A4797" s="4">
        <v>4796</v>
      </c>
      <c r="C4797" s="41" t="s">
        <v>7174</v>
      </c>
      <c r="D4797" s="42"/>
    </row>
    <row r="4798" spans="1:25" ht="15" x14ac:dyDescent="0.25">
      <c r="A4798" s="4">
        <v>4797</v>
      </c>
      <c r="C4798" s="41" t="s">
        <v>7175</v>
      </c>
      <c r="D4798" s="42"/>
    </row>
    <row r="4799" spans="1:25" ht="15" x14ac:dyDescent="0.25">
      <c r="A4799" s="4">
        <v>4798</v>
      </c>
      <c r="C4799" s="41" t="s">
        <v>7176</v>
      </c>
      <c r="D4799" s="42"/>
    </row>
    <row r="4800" spans="1:25" ht="15" x14ac:dyDescent="0.25">
      <c r="A4800" s="4">
        <v>4799</v>
      </c>
      <c r="C4800" s="41" t="s">
        <v>7177</v>
      </c>
      <c r="D4800" s="42"/>
    </row>
    <row r="4801" spans="1:4" ht="15" x14ac:dyDescent="0.25">
      <c r="A4801" s="4">
        <v>4800</v>
      </c>
      <c r="C4801" s="41" t="s">
        <v>7178</v>
      </c>
      <c r="D4801" s="42"/>
    </row>
    <row r="4802" spans="1:4" ht="15" x14ac:dyDescent="0.25">
      <c r="A4802" s="4">
        <v>4801</v>
      </c>
      <c r="C4802" s="41" t="s">
        <v>7179</v>
      </c>
      <c r="D4802" s="42"/>
    </row>
    <row r="4803" spans="1:4" ht="15" x14ac:dyDescent="0.25">
      <c r="A4803" s="4">
        <v>4802</v>
      </c>
      <c r="C4803" s="41" t="s">
        <v>7180</v>
      </c>
      <c r="D4803" s="42"/>
    </row>
    <row r="4804" spans="1:4" ht="15" x14ac:dyDescent="0.25">
      <c r="A4804" s="4">
        <v>4803</v>
      </c>
      <c r="C4804" s="41" t="s">
        <v>7181</v>
      </c>
      <c r="D4804" s="42"/>
    </row>
    <row r="4805" spans="1:4" ht="15" x14ac:dyDescent="0.25">
      <c r="A4805" s="4">
        <v>4804</v>
      </c>
      <c r="C4805" s="41" t="s">
        <v>7182</v>
      </c>
      <c r="D4805" s="42"/>
    </row>
    <row r="4806" spans="1:4" ht="15" x14ac:dyDescent="0.25">
      <c r="A4806" s="4">
        <v>4805</v>
      </c>
      <c r="C4806" s="41" t="s">
        <v>7183</v>
      </c>
      <c r="D4806" s="42"/>
    </row>
    <row r="4807" spans="1:4" ht="15" x14ac:dyDescent="0.25">
      <c r="A4807" s="4">
        <v>4806</v>
      </c>
      <c r="C4807" s="41" t="s">
        <v>7184</v>
      </c>
      <c r="D4807" s="42"/>
    </row>
    <row r="4808" spans="1:4" ht="15" x14ac:dyDescent="0.25">
      <c r="A4808" s="4">
        <v>4807</v>
      </c>
      <c r="C4808" s="41" t="s">
        <v>7185</v>
      </c>
      <c r="D4808" s="42"/>
    </row>
    <row r="4809" spans="1:4" ht="15" x14ac:dyDescent="0.25">
      <c r="A4809" s="4">
        <v>4808</v>
      </c>
      <c r="C4809" s="41" t="s">
        <v>7186</v>
      </c>
      <c r="D4809" s="42"/>
    </row>
    <row r="4810" spans="1:4" ht="15" x14ac:dyDescent="0.25">
      <c r="A4810" s="4">
        <v>4809</v>
      </c>
      <c r="C4810" s="41" t="s">
        <v>7187</v>
      </c>
      <c r="D4810" s="42"/>
    </row>
    <row r="4811" spans="1:4" ht="15" x14ac:dyDescent="0.25">
      <c r="A4811" s="4">
        <v>4810</v>
      </c>
      <c r="C4811" s="41" t="s">
        <v>7188</v>
      </c>
      <c r="D4811" s="42"/>
    </row>
    <row r="4812" spans="1:4" ht="15" x14ac:dyDescent="0.25">
      <c r="A4812" s="4">
        <v>4811</v>
      </c>
      <c r="C4812" s="41" t="s">
        <v>7189</v>
      </c>
      <c r="D4812" s="42"/>
    </row>
    <row r="4813" spans="1:4" ht="15" x14ac:dyDescent="0.25">
      <c r="A4813" s="4">
        <v>4812</v>
      </c>
      <c r="C4813" s="41" t="s">
        <v>7190</v>
      </c>
      <c r="D4813" s="42"/>
    </row>
    <row r="4814" spans="1:4" ht="15" x14ac:dyDescent="0.25">
      <c r="A4814" s="4">
        <v>4813</v>
      </c>
      <c r="C4814" s="41" t="s">
        <v>7191</v>
      </c>
      <c r="D4814" s="42"/>
    </row>
    <row r="4815" spans="1:4" ht="15" x14ac:dyDescent="0.25">
      <c r="A4815" s="4">
        <v>4814</v>
      </c>
      <c r="C4815" s="41" t="s">
        <v>7192</v>
      </c>
      <c r="D4815" s="42"/>
    </row>
    <row r="4816" spans="1:4" ht="15" x14ac:dyDescent="0.25">
      <c r="A4816" s="4">
        <v>4815</v>
      </c>
      <c r="C4816" s="41" t="s">
        <v>7193</v>
      </c>
      <c r="D4816" s="42"/>
    </row>
    <row r="4817" spans="1:4" ht="15" x14ac:dyDescent="0.25">
      <c r="A4817" s="4">
        <v>4816</v>
      </c>
      <c r="C4817" s="41" t="s">
        <v>7194</v>
      </c>
      <c r="D4817" s="42"/>
    </row>
    <row r="4818" spans="1:4" ht="15" x14ac:dyDescent="0.25">
      <c r="A4818" s="4">
        <v>4817</v>
      </c>
      <c r="C4818" s="41" t="s">
        <v>7195</v>
      </c>
      <c r="D4818" s="42"/>
    </row>
    <row r="4819" spans="1:4" ht="15" x14ac:dyDescent="0.25">
      <c r="A4819" s="4">
        <v>4818</v>
      </c>
      <c r="C4819" s="41" t="s">
        <v>7196</v>
      </c>
      <c r="D4819" s="42"/>
    </row>
    <row r="4820" spans="1:4" ht="15" x14ac:dyDescent="0.25">
      <c r="A4820" s="4">
        <v>4819</v>
      </c>
      <c r="C4820" s="41" t="s">
        <v>7197</v>
      </c>
      <c r="D4820" s="42"/>
    </row>
    <row r="4821" spans="1:4" ht="15" x14ac:dyDescent="0.25">
      <c r="A4821" s="4">
        <v>4820</v>
      </c>
      <c r="C4821" s="41" t="s">
        <v>7198</v>
      </c>
      <c r="D4821" s="42"/>
    </row>
    <row r="4822" spans="1:4" ht="15" x14ac:dyDescent="0.25">
      <c r="A4822" s="4">
        <v>4821</v>
      </c>
      <c r="C4822" s="41" t="s">
        <v>7199</v>
      </c>
      <c r="D4822" s="42"/>
    </row>
    <row r="4823" spans="1:4" ht="15" x14ac:dyDescent="0.25">
      <c r="A4823" s="4">
        <v>4822</v>
      </c>
      <c r="C4823" s="41" t="s">
        <v>7200</v>
      </c>
      <c r="D4823" s="42"/>
    </row>
    <row r="4824" spans="1:4" ht="15" x14ac:dyDescent="0.25">
      <c r="A4824" s="4">
        <v>4823</v>
      </c>
      <c r="C4824" s="41" t="s">
        <v>7201</v>
      </c>
      <c r="D4824" s="42"/>
    </row>
    <row r="4825" spans="1:4" ht="15" x14ac:dyDescent="0.25">
      <c r="A4825" s="4">
        <v>4824</v>
      </c>
      <c r="C4825" s="41" t="s">
        <v>7202</v>
      </c>
      <c r="D4825" s="42"/>
    </row>
    <row r="4826" spans="1:4" ht="15" x14ac:dyDescent="0.25">
      <c r="A4826" s="4">
        <v>4825</v>
      </c>
      <c r="C4826" s="41" t="s">
        <v>7203</v>
      </c>
      <c r="D4826" s="42"/>
    </row>
    <row r="4827" spans="1:4" ht="15" x14ac:dyDescent="0.25">
      <c r="A4827" s="4">
        <v>4826</v>
      </c>
      <c r="C4827" s="41" t="s">
        <v>7204</v>
      </c>
      <c r="D4827" s="42"/>
    </row>
    <row r="4828" spans="1:4" ht="15" x14ac:dyDescent="0.25">
      <c r="A4828" s="4">
        <v>4827</v>
      </c>
      <c r="C4828" s="41" t="s">
        <v>7205</v>
      </c>
      <c r="D4828" s="42"/>
    </row>
    <row r="4829" spans="1:4" ht="15" x14ac:dyDescent="0.25">
      <c r="A4829" s="4">
        <v>4828</v>
      </c>
      <c r="C4829" s="41" t="s">
        <v>7206</v>
      </c>
      <c r="D4829" s="42"/>
    </row>
    <row r="4830" spans="1:4" ht="15" x14ac:dyDescent="0.25">
      <c r="A4830" s="4">
        <v>4829</v>
      </c>
      <c r="C4830" s="41" t="s">
        <v>7207</v>
      </c>
      <c r="D4830" s="42"/>
    </row>
    <row r="4831" spans="1:4" ht="15" x14ac:dyDescent="0.25">
      <c r="A4831" s="4">
        <v>4830</v>
      </c>
      <c r="C4831" s="41" t="s">
        <v>7208</v>
      </c>
      <c r="D4831" s="42"/>
    </row>
    <row r="4832" spans="1:4" ht="15" x14ac:dyDescent="0.25">
      <c r="A4832" s="4">
        <v>4831</v>
      </c>
      <c r="C4832" s="41" t="s">
        <v>7209</v>
      </c>
      <c r="D4832" s="42"/>
    </row>
    <row r="4833" spans="1:4" ht="15" x14ac:dyDescent="0.25">
      <c r="A4833" s="4">
        <v>4832</v>
      </c>
      <c r="C4833" s="41" t="s">
        <v>7210</v>
      </c>
      <c r="D4833" s="42"/>
    </row>
    <row r="4834" spans="1:4" ht="15" x14ac:dyDescent="0.25">
      <c r="A4834" s="4">
        <v>4833</v>
      </c>
      <c r="C4834" s="41" t="s">
        <v>7211</v>
      </c>
      <c r="D4834" s="42"/>
    </row>
    <row r="4835" spans="1:4" ht="15" x14ac:dyDescent="0.25">
      <c r="A4835" s="4">
        <v>4834</v>
      </c>
      <c r="C4835" s="41" t="s">
        <v>7212</v>
      </c>
      <c r="D4835" s="42"/>
    </row>
    <row r="4836" spans="1:4" ht="15" x14ac:dyDescent="0.25">
      <c r="A4836" s="4">
        <v>4835</v>
      </c>
      <c r="C4836" s="41" t="s">
        <v>7213</v>
      </c>
      <c r="D4836" s="42"/>
    </row>
    <row r="4837" spans="1:4" ht="15" x14ac:dyDescent="0.25">
      <c r="A4837" s="4">
        <v>4836</v>
      </c>
      <c r="C4837" s="41" t="s">
        <v>7214</v>
      </c>
      <c r="D4837" s="42"/>
    </row>
    <row r="4838" spans="1:4" ht="15" x14ac:dyDescent="0.25">
      <c r="A4838" s="4">
        <v>4837</v>
      </c>
      <c r="C4838" s="41" t="s">
        <v>7215</v>
      </c>
      <c r="D4838" s="42"/>
    </row>
    <row r="4839" spans="1:4" ht="15" x14ac:dyDescent="0.25">
      <c r="A4839" s="4">
        <v>4838</v>
      </c>
      <c r="C4839" s="41" t="s">
        <v>7216</v>
      </c>
      <c r="D4839" s="42"/>
    </row>
    <row r="4840" spans="1:4" ht="15" x14ac:dyDescent="0.25">
      <c r="A4840" s="4">
        <v>4839</v>
      </c>
      <c r="C4840" s="41" t="s">
        <v>7217</v>
      </c>
      <c r="D4840" s="42"/>
    </row>
    <row r="4841" spans="1:4" ht="15" x14ac:dyDescent="0.25">
      <c r="A4841" s="4">
        <v>4840</v>
      </c>
      <c r="C4841" s="41" t="s">
        <v>7218</v>
      </c>
      <c r="D4841" s="42"/>
    </row>
    <row r="4842" spans="1:4" ht="15" x14ac:dyDescent="0.25">
      <c r="A4842" s="4">
        <v>4841</v>
      </c>
      <c r="C4842" s="41" t="s">
        <v>7219</v>
      </c>
      <c r="D4842" s="42"/>
    </row>
    <row r="4843" spans="1:4" ht="15" x14ac:dyDescent="0.25">
      <c r="A4843" s="4">
        <v>4842</v>
      </c>
      <c r="C4843" s="41" t="s">
        <v>7220</v>
      </c>
      <c r="D4843" s="42"/>
    </row>
    <row r="4844" spans="1:4" ht="15" x14ac:dyDescent="0.25">
      <c r="A4844" s="4">
        <v>4843</v>
      </c>
      <c r="C4844" s="41" t="s">
        <v>7221</v>
      </c>
      <c r="D4844" s="42"/>
    </row>
    <row r="4845" spans="1:4" ht="15" x14ac:dyDescent="0.25">
      <c r="A4845" s="4">
        <v>4844</v>
      </c>
      <c r="C4845" s="41" t="s">
        <v>7222</v>
      </c>
      <c r="D4845" s="42"/>
    </row>
    <row r="4846" spans="1:4" ht="15" x14ac:dyDescent="0.25">
      <c r="A4846" s="4">
        <v>4845</v>
      </c>
      <c r="C4846" s="41" t="s">
        <v>7223</v>
      </c>
      <c r="D4846" s="42"/>
    </row>
    <row r="4847" spans="1:4" ht="15" x14ac:dyDescent="0.25">
      <c r="A4847" s="4">
        <v>4846</v>
      </c>
      <c r="C4847" s="41" t="s">
        <v>7224</v>
      </c>
      <c r="D4847" s="42"/>
    </row>
    <row r="4848" spans="1:4" ht="15" x14ac:dyDescent="0.25">
      <c r="A4848" s="4">
        <v>4847</v>
      </c>
      <c r="C4848" s="41" t="s">
        <v>7225</v>
      </c>
      <c r="D4848" s="42"/>
    </row>
  </sheetData>
  <mergeCells count="2945">
    <mergeCell ref="C4047:D4047"/>
    <mergeCell ref="C4048:D4048"/>
    <mergeCell ref="C4049:D4049"/>
    <mergeCell ref="C4050:D4050"/>
    <mergeCell ref="C4051:D4051"/>
    <mergeCell ref="C4052:D4052"/>
    <mergeCell ref="C4053:D4053"/>
    <mergeCell ref="C4054:D4054"/>
    <mergeCell ref="C4055:D4055"/>
    <mergeCell ref="C4056:D4056"/>
    <mergeCell ref="C4057:D4057"/>
    <mergeCell ref="C4058:D4058"/>
    <mergeCell ref="C4059:D4059"/>
    <mergeCell ref="C4060:D4060"/>
    <mergeCell ref="C4061:D4061"/>
    <mergeCell ref="C4062:D4062"/>
    <mergeCell ref="C4063:D4063"/>
    <mergeCell ref="C4064:D4064"/>
    <mergeCell ref="C4065:D4065"/>
    <mergeCell ref="C4066:D4066"/>
    <mergeCell ref="C4067:D4067"/>
    <mergeCell ref="C4068:D4068"/>
    <mergeCell ref="C4069:D4069"/>
    <mergeCell ref="C4070:D4070"/>
    <mergeCell ref="C4071:D4071"/>
    <mergeCell ref="C4072:D4072"/>
    <mergeCell ref="C4073:D4073"/>
    <mergeCell ref="C4074:D4074"/>
    <mergeCell ref="C4075:D4075"/>
    <mergeCell ref="C4076:D4076"/>
    <mergeCell ref="C4077:D4077"/>
    <mergeCell ref="C4078:D4078"/>
    <mergeCell ref="C4079:D4079"/>
    <mergeCell ref="C4080:D4080"/>
    <mergeCell ref="C4081:D4081"/>
    <mergeCell ref="C4082:D4082"/>
    <mergeCell ref="C4083:D4083"/>
    <mergeCell ref="C4084:D4084"/>
    <mergeCell ref="C4085:D4085"/>
    <mergeCell ref="C4086:D4086"/>
    <mergeCell ref="C4087:D4087"/>
    <mergeCell ref="C4088:D4088"/>
    <mergeCell ref="C4089:D4089"/>
    <mergeCell ref="C4090:D4090"/>
    <mergeCell ref="C4091:D4091"/>
    <mergeCell ref="C4092:D4092"/>
    <mergeCell ref="C4093:D4093"/>
    <mergeCell ref="C4094:D4094"/>
    <mergeCell ref="C4095:D4095"/>
    <mergeCell ref="C4096:D4096"/>
    <mergeCell ref="C4097:D4097"/>
    <mergeCell ref="C4098:D4098"/>
    <mergeCell ref="C4099:D4099"/>
    <mergeCell ref="C4100:D4100"/>
    <mergeCell ref="C4101:D4101"/>
    <mergeCell ref="C4102:D4102"/>
    <mergeCell ref="C4103:D4103"/>
    <mergeCell ref="C4104:D4104"/>
    <mergeCell ref="C4105:D4105"/>
    <mergeCell ref="C4106:D4106"/>
    <mergeCell ref="C4107:D4107"/>
    <mergeCell ref="C4108:D4108"/>
    <mergeCell ref="C4109:D4109"/>
    <mergeCell ref="C4110:D4110"/>
    <mergeCell ref="C4111:D4111"/>
    <mergeCell ref="C4112:D4112"/>
    <mergeCell ref="C4113:D4113"/>
    <mergeCell ref="C4114:D4114"/>
    <mergeCell ref="C4115:D4115"/>
    <mergeCell ref="C4116:D4116"/>
    <mergeCell ref="C4117:D4117"/>
    <mergeCell ref="C4118:D4118"/>
    <mergeCell ref="C4119:D4119"/>
    <mergeCell ref="C4120:D4120"/>
    <mergeCell ref="C4121:D4121"/>
    <mergeCell ref="C4122:D4122"/>
    <mergeCell ref="C4123:D4123"/>
    <mergeCell ref="C4124:D4124"/>
    <mergeCell ref="C4125:D4125"/>
    <mergeCell ref="C4126:D4126"/>
    <mergeCell ref="C4127:D4127"/>
    <mergeCell ref="C4128:D4128"/>
    <mergeCell ref="C4129:D4129"/>
    <mergeCell ref="C4130:D4130"/>
    <mergeCell ref="C4131:D4131"/>
    <mergeCell ref="C4132:D4132"/>
    <mergeCell ref="C4133:D4133"/>
    <mergeCell ref="C4134:D4134"/>
    <mergeCell ref="C4135:D4135"/>
    <mergeCell ref="C4136:D4136"/>
    <mergeCell ref="C4137:D4137"/>
    <mergeCell ref="C4138:D4138"/>
    <mergeCell ref="C4139:D4139"/>
    <mergeCell ref="C4140:D4140"/>
    <mergeCell ref="C4141:D4141"/>
    <mergeCell ref="C4142:D4142"/>
    <mergeCell ref="C4143:D4143"/>
    <mergeCell ref="C4144:D4144"/>
    <mergeCell ref="C4145:D4145"/>
    <mergeCell ref="C4146:D4146"/>
    <mergeCell ref="C4148:D4148"/>
    <mergeCell ref="C4149:D4149"/>
    <mergeCell ref="C4150:D4150"/>
    <mergeCell ref="C4151:D4151"/>
    <mergeCell ref="C4152:D4152"/>
    <mergeCell ref="C4153:D4153"/>
    <mergeCell ref="C4154:D4154"/>
    <mergeCell ref="C4155:D4155"/>
    <mergeCell ref="C4156:D4156"/>
    <mergeCell ref="C4157:D4157"/>
    <mergeCell ref="C4158:D4158"/>
    <mergeCell ref="C4159:D4159"/>
    <mergeCell ref="C4160:D4160"/>
    <mergeCell ref="C4161:D4161"/>
    <mergeCell ref="C4162:D4162"/>
    <mergeCell ref="C4163:D4163"/>
    <mergeCell ref="C4164:D4164"/>
    <mergeCell ref="C4165:D4165"/>
    <mergeCell ref="C4166:D4166"/>
    <mergeCell ref="C4167:D4167"/>
    <mergeCell ref="C4168:D4168"/>
    <mergeCell ref="C4169:D4169"/>
    <mergeCell ref="C4170:D4170"/>
    <mergeCell ref="C4171:D4171"/>
    <mergeCell ref="C4172:D4172"/>
    <mergeCell ref="C4173:D4173"/>
    <mergeCell ref="C4174:D4174"/>
    <mergeCell ref="C4175:D4175"/>
    <mergeCell ref="C4176:D4176"/>
    <mergeCell ref="C4177:D4177"/>
    <mergeCell ref="C4178:D4178"/>
    <mergeCell ref="C4179:D4179"/>
    <mergeCell ref="C4180:D4180"/>
    <mergeCell ref="C4181:D4181"/>
    <mergeCell ref="C4182:D4182"/>
    <mergeCell ref="C4183:D4183"/>
    <mergeCell ref="C4184:D4184"/>
    <mergeCell ref="C4185:D4185"/>
    <mergeCell ref="C4186:D4186"/>
    <mergeCell ref="C4187:D4187"/>
    <mergeCell ref="C4188:D4188"/>
    <mergeCell ref="C4189:D4189"/>
    <mergeCell ref="C4190:D4190"/>
    <mergeCell ref="C4191:D4191"/>
    <mergeCell ref="C4192:D4192"/>
    <mergeCell ref="C4193:D4193"/>
    <mergeCell ref="C4194:D4194"/>
    <mergeCell ref="C4195:D4195"/>
    <mergeCell ref="C4196:D4196"/>
    <mergeCell ref="C4197:D4197"/>
    <mergeCell ref="C4198:D4198"/>
    <mergeCell ref="C4199:D4199"/>
    <mergeCell ref="C4200:D4200"/>
    <mergeCell ref="C4201:D4201"/>
    <mergeCell ref="C4202:D4202"/>
    <mergeCell ref="C4203:D4203"/>
    <mergeCell ref="C4204:D4204"/>
    <mergeCell ref="C4205:D4205"/>
    <mergeCell ref="C4206:D4206"/>
    <mergeCell ref="C4207:D4207"/>
    <mergeCell ref="C4208:D4208"/>
    <mergeCell ref="C4209:D4209"/>
    <mergeCell ref="C4210:D4210"/>
    <mergeCell ref="C4211:D4211"/>
    <mergeCell ref="C4212:D4212"/>
    <mergeCell ref="C4213:D4213"/>
    <mergeCell ref="C4214:D4214"/>
    <mergeCell ref="C4215:D4215"/>
    <mergeCell ref="C4216:D4216"/>
    <mergeCell ref="C4217:D4217"/>
    <mergeCell ref="C4219:D4219"/>
    <mergeCell ref="C4220:D4220"/>
    <mergeCell ref="C4221:D4221"/>
    <mergeCell ref="C4222:D4222"/>
    <mergeCell ref="C4223:D4223"/>
    <mergeCell ref="C4224:D4224"/>
    <mergeCell ref="C4225:D4225"/>
    <mergeCell ref="C4226:D4226"/>
    <mergeCell ref="C4227:D4227"/>
    <mergeCell ref="C4228:D4228"/>
    <mergeCell ref="C4229:D4229"/>
    <mergeCell ref="C4230:D4230"/>
    <mergeCell ref="C4231:D4231"/>
    <mergeCell ref="C4232:D4232"/>
    <mergeCell ref="C4233:D4233"/>
    <mergeCell ref="C4234:D4234"/>
    <mergeCell ref="C4235:D4235"/>
    <mergeCell ref="C4236:D4236"/>
    <mergeCell ref="C4237:D4237"/>
    <mergeCell ref="C4238:D4238"/>
    <mergeCell ref="C4239:D4239"/>
    <mergeCell ref="C4240:D4240"/>
    <mergeCell ref="C4241:D4241"/>
    <mergeCell ref="C4242:D4242"/>
    <mergeCell ref="C4243:D4243"/>
    <mergeCell ref="C4244:D4244"/>
    <mergeCell ref="C4245:D4245"/>
    <mergeCell ref="C4246:D4246"/>
    <mergeCell ref="C4247:D4247"/>
    <mergeCell ref="C4248:D4248"/>
    <mergeCell ref="C4249:D4249"/>
    <mergeCell ref="C4250:D4250"/>
    <mergeCell ref="C4251:D4251"/>
    <mergeCell ref="C4252:D4252"/>
    <mergeCell ref="C4253:D4253"/>
    <mergeCell ref="C4254:D4254"/>
    <mergeCell ref="C4256:D4256"/>
    <mergeCell ref="C4257:D4257"/>
    <mergeCell ref="C4258:D4258"/>
    <mergeCell ref="C4259:D4259"/>
    <mergeCell ref="C4260:D4260"/>
    <mergeCell ref="C4261:D4261"/>
    <mergeCell ref="C4262:D4262"/>
    <mergeCell ref="C4263:D4263"/>
    <mergeCell ref="C4264:D4264"/>
    <mergeCell ref="C4265:D4265"/>
    <mergeCell ref="C4266:D4266"/>
    <mergeCell ref="C4267:D4267"/>
    <mergeCell ref="C4269:D4269"/>
    <mergeCell ref="C4270:D4270"/>
    <mergeCell ref="C4271:D4271"/>
    <mergeCell ref="C4272:D4272"/>
    <mergeCell ref="C4273:D4273"/>
    <mergeCell ref="C4274:D4274"/>
    <mergeCell ref="C4275:D4275"/>
    <mergeCell ref="C4276:D4276"/>
    <mergeCell ref="C4277:D4277"/>
    <mergeCell ref="C4279:D4279"/>
    <mergeCell ref="C4280:D4280"/>
    <mergeCell ref="C4281:D4281"/>
    <mergeCell ref="C4282:D4282"/>
    <mergeCell ref="C4283:D4283"/>
    <mergeCell ref="C4284:D4284"/>
    <mergeCell ref="C4285:D4285"/>
    <mergeCell ref="C4286:D4286"/>
    <mergeCell ref="C4287:D4287"/>
    <mergeCell ref="C4288:D4288"/>
    <mergeCell ref="C4289:D4289"/>
    <mergeCell ref="C4290:D4290"/>
    <mergeCell ref="C4291:D4291"/>
    <mergeCell ref="C4292:D4292"/>
    <mergeCell ref="C4293:D4293"/>
    <mergeCell ref="C4294:D4294"/>
    <mergeCell ref="C4295:D4295"/>
    <mergeCell ref="C4296:D4296"/>
    <mergeCell ref="C4297:D4297"/>
    <mergeCell ref="C4298:D4298"/>
    <mergeCell ref="C4299:D4299"/>
    <mergeCell ref="C4300:D4300"/>
    <mergeCell ref="C4301:D4301"/>
    <mergeCell ref="C4302:D4302"/>
    <mergeCell ref="C4303:D4303"/>
    <mergeCell ref="C4304:D4304"/>
    <mergeCell ref="C4305:D4305"/>
    <mergeCell ref="C4306:D4306"/>
    <mergeCell ref="C4307:D4307"/>
    <mergeCell ref="C4308:D4308"/>
    <mergeCell ref="C4309:D4309"/>
    <mergeCell ref="C4310:D4310"/>
    <mergeCell ref="C4311:D4311"/>
    <mergeCell ref="C4312:D4312"/>
    <mergeCell ref="C4313:D4313"/>
    <mergeCell ref="C4314:D4314"/>
    <mergeCell ref="C4315:D4315"/>
    <mergeCell ref="C4316:D4316"/>
    <mergeCell ref="C4317:D4317"/>
    <mergeCell ref="C4318:D4318"/>
    <mergeCell ref="C4319:D4319"/>
    <mergeCell ref="C4320:D4320"/>
    <mergeCell ref="C4321:D4321"/>
    <mergeCell ref="C4322:D4322"/>
    <mergeCell ref="C4323:D4323"/>
    <mergeCell ref="C4324:D4324"/>
    <mergeCell ref="C4325:D4325"/>
    <mergeCell ref="C4326:D4326"/>
    <mergeCell ref="C4327:D4327"/>
    <mergeCell ref="C4328:D4328"/>
    <mergeCell ref="C4329:D4329"/>
    <mergeCell ref="C4330:D4330"/>
    <mergeCell ref="C4331:D4331"/>
    <mergeCell ref="C4332:D4332"/>
    <mergeCell ref="C4333:D4333"/>
    <mergeCell ref="C4334:D4334"/>
    <mergeCell ref="C4335:D4335"/>
    <mergeCell ref="C4336:D4336"/>
    <mergeCell ref="C4337:D4337"/>
    <mergeCell ref="C4338:D4338"/>
    <mergeCell ref="C4339:D4339"/>
    <mergeCell ref="C4340:D4340"/>
    <mergeCell ref="C4341:D4341"/>
    <mergeCell ref="C4342:D4342"/>
    <mergeCell ref="C4343:D4343"/>
    <mergeCell ref="C4344:D4344"/>
    <mergeCell ref="C4345:D4345"/>
    <mergeCell ref="C4346:D4346"/>
    <mergeCell ref="C4347:D4347"/>
    <mergeCell ref="C4348:D4348"/>
    <mergeCell ref="C4349:D4349"/>
    <mergeCell ref="C4350:D4350"/>
    <mergeCell ref="C4351:D4351"/>
    <mergeCell ref="C4352:D4352"/>
    <mergeCell ref="C4353:D4353"/>
    <mergeCell ref="C4354:D4354"/>
    <mergeCell ref="C4355:D4355"/>
    <mergeCell ref="C4356:D4356"/>
    <mergeCell ref="C4357:D4357"/>
    <mergeCell ref="C4358:D4358"/>
    <mergeCell ref="C4360:D4360"/>
    <mergeCell ref="C4361:D4361"/>
    <mergeCell ref="C4362:D4362"/>
    <mergeCell ref="C4363:D4363"/>
    <mergeCell ref="C4364:D4364"/>
    <mergeCell ref="C4365:D4365"/>
    <mergeCell ref="C4366:D4366"/>
    <mergeCell ref="C4367:D4367"/>
    <mergeCell ref="C4368:D4368"/>
    <mergeCell ref="C4369:D4369"/>
    <mergeCell ref="C4370:D4370"/>
    <mergeCell ref="C4371:D4371"/>
    <mergeCell ref="C4372:D4372"/>
    <mergeCell ref="C4373:D4373"/>
    <mergeCell ref="C4374:D4374"/>
    <mergeCell ref="C4375:D4375"/>
    <mergeCell ref="C4376:D4376"/>
    <mergeCell ref="C4377:D4377"/>
    <mergeCell ref="C4379:D4379"/>
    <mergeCell ref="C4380:D4380"/>
    <mergeCell ref="C4381:D4381"/>
    <mergeCell ref="C4382:D4382"/>
    <mergeCell ref="C4383:D4383"/>
    <mergeCell ref="C4384:D4384"/>
    <mergeCell ref="C4385:D4385"/>
    <mergeCell ref="C4386:D4386"/>
    <mergeCell ref="C4387:D4387"/>
    <mergeCell ref="C4388:D4388"/>
    <mergeCell ref="C4389:D4389"/>
    <mergeCell ref="C4390:D4390"/>
    <mergeCell ref="C4391:D4391"/>
    <mergeCell ref="C4392:D4392"/>
    <mergeCell ref="C4393:D4393"/>
    <mergeCell ref="C4394:D4394"/>
    <mergeCell ref="C4396:D4396"/>
    <mergeCell ref="C4397:D4397"/>
    <mergeCell ref="C4795:D4795"/>
    <mergeCell ref="C4796:D4796"/>
    <mergeCell ref="C4797:D4797"/>
    <mergeCell ref="C4798:D4798"/>
    <mergeCell ref="C4799:D4799"/>
    <mergeCell ref="C4800:D4800"/>
    <mergeCell ref="C4801:D4801"/>
    <mergeCell ref="C4802:D4802"/>
    <mergeCell ref="C4803:D4803"/>
    <mergeCell ref="C4804:D4804"/>
    <mergeCell ref="C4805:D4805"/>
    <mergeCell ref="C4806:D4806"/>
    <mergeCell ref="C4807:D4807"/>
    <mergeCell ref="C4808:D4808"/>
    <mergeCell ref="C4746:D4746"/>
    <mergeCell ref="C4747:D4747"/>
    <mergeCell ref="C4748:D4748"/>
    <mergeCell ref="C4749:D4749"/>
    <mergeCell ref="C4750:D4750"/>
    <mergeCell ref="C4751:D4751"/>
    <mergeCell ref="C4752:D4752"/>
    <mergeCell ref="C4753:D4753"/>
    <mergeCell ref="C4754:D4754"/>
    <mergeCell ref="C4755:D4755"/>
    <mergeCell ref="C4756:D4756"/>
    <mergeCell ref="C4757:D4757"/>
    <mergeCell ref="C4758:D4758"/>
    <mergeCell ref="C4759:D4759"/>
    <mergeCell ref="C4760:D4760"/>
    <mergeCell ref="C4809:D4809"/>
    <mergeCell ref="C4810:D4810"/>
    <mergeCell ref="C4811:D4811"/>
    <mergeCell ref="C4812:D4812"/>
    <mergeCell ref="C4813:D4813"/>
    <mergeCell ref="C4814:D4814"/>
    <mergeCell ref="C4815:D4815"/>
    <mergeCell ref="C4816:D4816"/>
    <mergeCell ref="C4817:D4817"/>
    <mergeCell ref="C4818:D4818"/>
    <mergeCell ref="C4819:D4819"/>
    <mergeCell ref="C4820:D4820"/>
    <mergeCell ref="C4821:D4821"/>
    <mergeCell ref="C4822:D4822"/>
    <mergeCell ref="C4823:D4823"/>
    <mergeCell ref="C4824:D4824"/>
    <mergeCell ref="C4825:D4825"/>
    <mergeCell ref="C4826:D4826"/>
    <mergeCell ref="C4827:D4827"/>
    <mergeCell ref="C4828:D4828"/>
    <mergeCell ref="C4829:D4829"/>
    <mergeCell ref="C4830:D4830"/>
    <mergeCell ref="C4831:D4831"/>
    <mergeCell ref="C4832:D4832"/>
    <mergeCell ref="C4833:D4833"/>
    <mergeCell ref="C4834:D4834"/>
    <mergeCell ref="C4835:D4835"/>
    <mergeCell ref="C4836:D4836"/>
    <mergeCell ref="C4844:D4844"/>
    <mergeCell ref="C4845:D4845"/>
    <mergeCell ref="C4846:D4846"/>
    <mergeCell ref="C4847:D4847"/>
    <mergeCell ref="C4848:D4848"/>
    <mergeCell ref="C4837:D4837"/>
    <mergeCell ref="C4838:D4838"/>
    <mergeCell ref="C4839:D4839"/>
    <mergeCell ref="C4840:D4840"/>
    <mergeCell ref="C4841:D4841"/>
    <mergeCell ref="C4842:D4842"/>
    <mergeCell ref="C4843:D4843"/>
    <mergeCell ref="C4761:D4761"/>
    <mergeCell ref="C4762:D4762"/>
    <mergeCell ref="C4763:D4763"/>
    <mergeCell ref="C4764:D4764"/>
    <mergeCell ref="C4765:D4765"/>
    <mergeCell ref="C4766:D4766"/>
    <mergeCell ref="C4767:D4767"/>
    <mergeCell ref="C4768:D4768"/>
    <mergeCell ref="C4769:D4769"/>
    <mergeCell ref="C4770:D4770"/>
    <mergeCell ref="C4771:D4771"/>
    <mergeCell ref="C4772:D4772"/>
    <mergeCell ref="C4773:D4773"/>
    <mergeCell ref="C4774:D4774"/>
    <mergeCell ref="C4775:D4775"/>
    <mergeCell ref="C4776:D4776"/>
    <mergeCell ref="C4777:D4777"/>
    <mergeCell ref="C4778:D4778"/>
    <mergeCell ref="C4779:D4779"/>
    <mergeCell ref="C4780:D4780"/>
    <mergeCell ref="C4781:D4781"/>
    <mergeCell ref="C4782:D4782"/>
    <mergeCell ref="C4783:D4783"/>
    <mergeCell ref="C4784:D4784"/>
    <mergeCell ref="C4785:D4785"/>
    <mergeCell ref="C4786:D4786"/>
    <mergeCell ref="C4787:D4787"/>
    <mergeCell ref="C4788:D4788"/>
    <mergeCell ref="C4789:D4789"/>
    <mergeCell ref="C4790:D4790"/>
    <mergeCell ref="C4791:D4791"/>
    <mergeCell ref="C4792:D4792"/>
    <mergeCell ref="C4793:D4793"/>
    <mergeCell ref="C4794:D4794"/>
    <mergeCell ref="C4398:D4398"/>
    <mergeCell ref="C4399:D4399"/>
    <mergeCell ref="C4400:D4400"/>
    <mergeCell ref="C4401:D4401"/>
    <mergeCell ref="C4402:D4402"/>
    <mergeCell ref="C4403:D4403"/>
    <mergeCell ref="C4404:D4404"/>
    <mergeCell ref="C4405:D4405"/>
    <mergeCell ref="C4406:D4406"/>
    <mergeCell ref="C4407:D4407"/>
    <mergeCell ref="C4408:D4408"/>
    <mergeCell ref="C4409:D4409"/>
    <mergeCell ref="C4410:D4410"/>
    <mergeCell ref="C4411:D4411"/>
    <mergeCell ref="C4412:D4412"/>
    <mergeCell ref="C4413:D4413"/>
    <mergeCell ref="C4414:D4414"/>
    <mergeCell ref="C4415:D4415"/>
    <mergeCell ref="C4416:D4416"/>
    <mergeCell ref="C4417:D4417"/>
    <mergeCell ref="C4418:D4418"/>
    <mergeCell ref="C4419:D4419"/>
    <mergeCell ref="C4420:D4420"/>
    <mergeCell ref="C4421:D4421"/>
    <mergeCell ref="C4422:D4422"/>
    <mergeCell ref="C4423:D4423"/>
    <mergeCell ref="C4424:D4424"/>
    <mergeCell ref="C4425:D4425"/>
    <mergeCell ref="C4426:D4426"/>
    <mergeCell ref="C4427:D4427"/>
    <mergeCell ref="C4428:D4428"/>
    <mergeCell ref="C4429:D4429"/>
    <mergeCell ref="C4430:D4430"/>
    <mergeCell ref="C4431:D4431"/>
    <mergeCell ref="C4432:D4432"/>
    <mergeCell ref="C4433:D4433"/>
    <mergeCell ref="C4434:D4434"/>
    <mergeCell ref="C4435:D4435"/>
    <mergeCell ref="C4436:D4436"/>
    <mergeCell ref="C4437:D4437"/>
    <mergeCell ref="C4438:D4438"/>
    <mergeCell ref="C4439:D4439"/>
    <mergeCell ref="C4440:D4440"/>
    <mergeCell ref="C4441:D4441"/>
    <mergeCell ref="C4442:D4442"/>
    <mergeCell ref="C4443:D4443"/>
    <mergeCell ref="C4444:D4444"/>
    <mergeCell ref="C4445:D4445"/>
    <mergeCell ref="C4446:D4446"/>
    <mergeCell ref="C4447:D4447"/>
    <mergeCell ref="C4448:D4448"/>
    <mergeCell ref="C4450:D4450"/>
    <mergeCell ref="C4451:D4451"/>
    <mergeCell ref="C4452:D4452"/>
    <mergeCell ref="C4453:D4453"/>
    <mergeCell ref="C4454:D4454"/>
    <mergeCell ref="C4455:D4455"/>
    <mergeCell ref="C4456:D4456"/>
    <mergeCell ref="C4457:D4457"/>
    <mergeCell ref="C4458:D4458"/>
    <mergeCell ref="C4459:D4459"/>
    <mergeCell ref="C4460:D4460"/>
    <mergeCell ref="C4461:D4461"/>
    <mergeCell ref="C4462:D4462"/>
    <mergeCell ref="C4463:D4463"/>
    <mergeCell ref="C4464:D4464"/>
    <mergeCell ref="C4465:D4465"/>
    <mergeCell ref="C4466:D4466"/>
    <mergeCell ref="C4467:D4467"/>
    <mergeCell ref="C4468:D4468"/>
    <mergeCell ref="C4469:D4469"/>
    <mergeCell ref="C4470:D4470"/>
    <mergeCell ref="C4471:D4471"/>
    <mergeCell ref="C4472:D4472"/>
    <mergeCell ref="C4473:D4473"/>
    <mergeCell ref="C4474:D4474"/>
    <mergeCell ref="C4475:D4475"/>
    <mergeCell ref="C4476:D4476"/>
    <mergeCell ref="C4477:D4477"/>
    <mergeCell ref="C4478:D4478"/>
    <mergeCell ref="C4479:D4479"/>
    <mergeCell ref="C4480:D4480"/>
    <mergeCell ref="C4481:D4481"/>
    <mergeCell ref="C4482:D4482"/>
    <mergeCell ref="C4483:D4483"/>
    <mergeCell ref="C4484:D4484"/>
    <mergeCell ref="C4485:D4485"/>
    <mergeCell ref="C4486:D4486"/>
    <mergeCell ref="C4487:D4487"/>
    <mergeCell ref="C4488:D4488"/>
    <mergeCell ref="C4489:D4489"/>
    <mergeCell ref="C4490:D4490"/>
    <mergeCell ref="C4491:D4491"/>
    <mergeCell ref="C4492:D4492"/>
    <mergeCell ref="C4493:D4493"/>
    <mergeCell ref="C4494:D4494"/>
    <mergeCell ref="C4495:D4495"/>
    <mergeCell ref="C4496:D4496"/>
    <mergeCell ref="C4497:D4497"/>
    <mergeCell ref="C4498:D4498"/>
    <mergeCell ref="C4499:D4499"/>
    <mergeCell ref="C4500:D4500"/>
    <mergeCell ref="C4501:D4501"/>
    <mergeCell ref="C4502:D4502"/>
    <mergeCell ref="C4503:D4503"/>
    <mergeCell ref="C4504:D4504"/>
    <mergeCell ref="C4505:D4505"/>
    <mergeCell ref="C4506:D4506"/>
    <mergeCell ref="C4507:D4507"/>
    <mergeCell ref="C4508:D4508"/>
    <mergeCell ref="C4509:D4509"/>
    <mergeCell ref="C4510:D4510"/>
    <mergeCell ref="C4511:D4511"/>
    <mergeCell ref="C4512:D4512"/>
    <mergeCell ref="C4513:D4513"/>
    <mergeCell ref="C4514:D4514"/>
    <mergeCell ref="C4515:D4515"/>
    <mergeCell ref="C4516:D4516"/>
    <mergeCell ref="C4517:D4517"/>
    <mergeCell ref="C4518:D4518"/>
    <mergeCell ref="C4519:D4519"/>
    <mergeCell ref="C4520:D4520"/>
    <mergeCell ref="C4521:D4521"/>
    <mergeCell ref="C4522:D4522"/>
    <mergeCell ref="C4523:D4523"/>
    <mergeCell ref="C4524:D4524"/>
    <mergeCell ref="C4525:D4525"/>
    <mergeCell ref="C4526:D4526"/>
    <mergeCell ref="C4527:D4527"/>
    <mergeCell ref="C4528:D4528"/>
    <mergeCell ref="C4529:D4529"/>
    <mergeCell ref="C4530:D4530"/>
    <mergeCell ref="C4531:D4531"/>
    <mergeCell ref="C4532:D4532"/>
    <mergeCell ref="C4533:D4533"/>
    <mergeCell ref="C4534:D4534"/>
    <mergeCell ref="C4535:D4535"/>
    <mergeCell ref="C4536:D4536"/>
    <mergeCell ref="C4537:D4537"/>
    <mergeCell ref="C4538:D4538"/>
    <mergeCell ref="C4539:D4539"/>
    <mergeCell ref="C4540:D4540"/>
    <mergeCell ref="C4541:D4541"/>
    <mergeCell ref="C4542:D4542"/>
    <mergeCell ref="C4543:D4543"/>
    <mergeCell ref="C4545:D4545"/>
    <mergeCell ref="C4546:D4546"/>
    <mergeCell ref="C4547:D4547"/>
    <mergeCell ref="C4548:D4548"/>
    <mergeCell ref="C4549:D4549"/>
    <mergeCell ref="C4550:D4550"/>
    <mergeCell ref="C4551:D4551"/>
    <mergeCell ref="C4552:D4552"/>
    <mergeCell ref="C4553:D4553"/>
    <mergeCell ref="C4554:D4554"/>
    <mergeCell ref="C4555:D4555"/>
    <mergeCell ref="C4556:D4556"/>
    <mergeCell ref="C4557:D4557"/>
    <mergeCell ref="C4558:D4558"/>
    <mergeCell ref="C4559:D4559"/>
    <mergeCell ref="C4561:D4561"/>
    <mergeCell ref="C4562:D4562"/>
    <mergeCell ref="C4563:D4563"/>
    <mergeCell ref="C4564:D4564"/>
    <mergeCell ref="C4565:D4565"/>
    <mergeCell ref="C4566:D4566"/>
    <mergeCell ref="C4567:D4567"/>
    <mergeCell ref="C4568:D4568"/>
    <mergeCell ref="C4569:D4569"/>
    <mergeCell ref="C4570:D4570"/>
    <mergeCell ref="C4571:D4571"/>
    <mergeCell ref="C4572:D4572"/>
    <mergeCell ref="C4573:D4573"/>
    <mergeCell ref="C4574:D4574"/>
    <mergeCell ref="C4575:D4575"/>
    <mergeCell ref="C4576:D4576"/>
    <mergeCell ref="C4577:D4577"/>
    <mergeCell ref="C4578:D4578"/>
    <mergeCell ref="C4579:D4579"/>
    <mergeCell ref="C4580:D4580"/>
    <mergeCell ref="C4581:D4581"/>
    <mergeCell ref="C4582:D4582"/>
    <mergeCell ref="C4583:D4583"/>
    <mergeCell ref="C4584:D4584"/>
    <mergeCell ref="C4585:D4585"/>
    <mergeCell ref="C4586:D4586"/>
    <mergeCell ref="C4587:D4587"/>
    <mergeCell ref="C4588:D4588"/>
    <mergeCell ref="C4589:D4589"/>
    <mergeCell ref="C4591:D4591"/>
    <mergeCell ref="C4592:D4592"/>
    <mergeCell ref="C4593:D4593"/>
    <mergeCell ref="C4594:D4594"/>
    <mergeCell ref="C4595:D4595"/>
    <mergeCell ref="C4596:D4596"/>
    <mergeCell ref="C4597:D4597"/>
    <mergeCell ref="C4598:D4598"/>
    <mergeCell ref="C4599:D4599"/>
    <mergeCell ref="C4600:D4600"/>
    <mergeCell ref="C4601:D4601"/>
    <mergeCell ref="C4602:D4602"/>
    <mergeCell ref="C4603:D4603"/>
    <mergeCell ref="C4604:D4604"/>
    <mergeCell ref="C4605:D4605"/>
    <mergeCell ref="C4606:D4606"/>
    <mergeCell ref="C4607:D4607"/>
    <mergeCell ref="C4608:D4608"/>
    <mergeCell ref="C4609:D4609"/>
    <mergeCell ref="C4610:D4610"/>
    <mergeCell ref="C4611:D4611"/>
    <mergeCell ref="C4612:D4612"/>
    <mergeCell ref="C4613:D4613"/>
    <mergeCell ref="C4614:D4614"/>
    <mergeCell ref="C4615:D4615"/>
    <mergeCell ref="C4616:D4616"/>
    <mergeCell ref="C4617:D4617"/>
    <mergeCell ref="C4618:D4618"/>
    <mergeCell ref="C4619:D4619"/>
    <mergeCell ref="C4620:D4620"/>
    <mergeCell ref="C4621:D4621"/>
    <mergeCell ref="C4622:D4622"/>
    <mergeCell ref="C4623:D4623"/>
    <mergeCell ref="C4624:D4624"/>
    <mergeCell ref="C4625:D4625"/>
    <mergeCell ref="C4626:D4626"/>
    <mergeCell ref="C4627:D4627"/>
    <mergeCell ref="C4628:D4628"/>
    <mergeCell ref="C4629:D4629"/>
    <mergeCell ref="C4630:D4630"/>
    <mergeCell ref="C4631:D4631"/>
    <mergeCell ref="C4632:D4632"/>
    <mergeCell ref="C4633:D4633"/>
    <mergeCell ref="C4634:D4634"/>
    <mergeCell ref="C4635:D4635"/>
    <mergeCell ref="C4636:D4636"/>
    <mergeCell ref="C4637:D4637"/>
    <mergeCell ref="C4638:D4638"/>
    <mergeCell ref="C4639:D4639"/>
    <mergeCell ref="C4640:D4640"/>
    <mergeCell ref="C4641:D4641"/>
    <mergeCell ref="C4642:D4642"/>
    <mergeCell ref="C4643:D4643"/>
    <mergeCell ref="C4644:D4644"/>
    <mergeCell ref="C4645:D4645"/>
    <mergeCell ref="C4646:D4646"/>
    <mergeCell ref="C4647:D4647"/>
    <mergeCell ref="C4648:D4648"/>
    <mergeCell ref="C4649:D4649"/>
    <mergeCell ref="C4650:D4650"/>
    <mergeCell ref="C4651:D4651"/>
    <mergeCell ref="C4652:D4652"/>
    <mergeCell ref="C4653:D4653"/>
    <mergeCell ref="C4654:D4654"/>
    <mergeCell ref="C4655:D4655"/>
    <mergeCell ref="C4656:D4656"/>
    <mergeCell ref="C4657:D4657"/>
    <mergeCell ref="C4658:D4658"/>
    <mergeCell ref="C4659:D4659"/>
    <mergeCell ref="C4660:D4660"/>
    <mergeCell ref="C4661:D4661"/>
    <mergeCell ref="C4662:D4662"/>
    <mergeCell ref="C4663:D4663"/>
    <mergeCell ref="C4664:D4664"/>
    <mergeCell ref="C4665:D4665"/>
    <mergeCell ref="C4666:D4666"/>
    <mergeCell ref="C4667:D4667"/>
    <mergeCell ref="C4668:D4668"/>
    <mergeCell ref="C4669:D4669"/>
    <mergeCell ref="C4670:D4670"/>
    <mergeCell ref="C4671:D4671"/>
    <mergeCell ref="C4672:D4672"/>
    <mergeCell ref="C4673:D4673"/>
    <mergeCell ref="C4674:D4674"/>
    <mergeCell ref="C4675:D4675"/>
    <mergeCell ref="C4677:D4677"/>
    <mergeCell ref="C4678:D4678"/>
    <mergeCell ref="C4679:D4679"/>
    <mergeCell ref="C4680:D4680"/>
    <mergeCell ref="C4681:D4681"/>
    <mergeCell ref="C4682:D4682"/>
    <mergeCell ref="C4683:D4683"/>
    <mergeCell ref="C4684:D4684"/>
    <mergeCell ref="C4685:D4685"/>
    <mergeCell ref="C4686:D4686"/>
    <mergeCell ref="C4687:D4687"/>
    <mergeCell ref="C4688:D4688"/>
    <mergeCell ref="C4689:D4689"/>
    <mergeCell ref="C4690:D4690"/>
    <mergeCell ref="C4691:D4691"/>
    <mergeCell ref="C4692:D4692"/>
    <mergeCell ref="C4693:D4693"/>
    <mergeCell ref="C4694:D4694"/>
    <mergeCell ref="C4695:D4695"/>
    <mergeCell ref="C4696:D4696"/>
    <mergeCell ref="C4697:D4697"/>
    <mergeCell ref="C4698:D4698"/>
    <mergeCell ref="C4699:D4699"/>
    <mergeCell ref="C4700:D4700"/>
    <mergeCell ref="C4701:D4701"/>
    <mergeCell ref="C4702:D4702"/>
    <mergeCell ref="C4703:D4703"/>
    <mergeCell ref="C4704:D4704"/>
    <mergeCell ref="C4705:D4705"/>
    <mergeCell ref="C4706:D4706"/>
    <mergeCell ref="C4707:D4707"/>
    <mergeCell ref="C4708:D4708"/>
    <mergeCell ref="C4709:D4709"/>
    <mergeCell ref="C4710:D4710"/>
    <mergeCell ref="C4711:D4711"/>
    <mergeCell ref="C4712:D4712"/>
    <mergeCell ref="C4713:D4713"/>
    <mergeCell ref="C4714:D4714"/>
    <mergeCell ref="C4715:D4715"/>
    <mergeCell ref="C4716:D4716"/>
    <mergeCell ref="C4717:D4717"/>
    <mergeCell ref="C4718:D4718"/>
    <mergeCell ref="C4719:D4719"/>
    <mergeCell ref="C4720:D4720"/>
    <mergeCell ref="C4721:D4721"/>
    <mergeCell ref="C4722:D4722"/>
    <mergeCell ref="C4723:D4723"/>
    <mergeCell ref="C4724:D4724"/>
    <mergeCell ref="C4725:D4725"/>
    <mergeCell ref="C4726:D4726"/>
    <mergeCell ref="C4727:D4727"/>
    <mergeCell ref="C4728:D4728"/>
    <mergeCell ref="C4729:D4729"/>
    <mergeCell ref="C4730:D4730"/>
    <mergeCell ref="C4731:D4731"/>
    <mergeCell ref="C4732:D4732"/>
    <mergeCell ref="C4733:D4733"/>
    <mergeCell ref="C4734:D4734"/>
    <mergeCell ref="C4735:D4735"/>
    <mergeCell ref="C4736:D4736"/>
    <mergeCell ref="C4737:D4737"/>
    <mergeCell ref="C4738:D4738"/>
    <mergeCell ref="C4739:D4739"/>
    <mergeCell ref="C4740:D4740"/>
    <mergeCell ref="C4741:D4741"/>
    <mergeCell ref="C4742:D4742"/>
    <mergeCell ref="C4743:D4743"/>
    <mergeCell ref="C4744:D4744"/>
    <mergeCell ref="C4745:D4745"/>
    <mergeCell ref="C1569:D1569"/>
    <mergeCell ref="C1570:D1570"/>
    <mergeCell ref="C1574:D1574"/>
    <mergeCell ref="C1577:D1577"/>
    <mergeCell ref="C1580:D1580"/>
    <mergeCell ref="C1583:D1583"/>
    <mergeCell ref="C1586:D1586"/>
    <mergeCell ref="C1588:D1588"/>
    <mergeCell ref="C1589:D1589"/>
    <mergeCell ref="C1590:D1590"/>
    <mergeCell ref="C1591:D1591"/>
    <mergeCell ref="C1594:D1594"/>
    <mergeCell ref="C1597:D1597"/>
    <mergeCell ref="C1598:D1598"/>
    <mergeCell ref="C1616:D1616"/>
    <mergeCell ref="C1618:D1618"/>
    <mergeCell ref="C1620:D1620"/>
    <mergeCell ref="C1621:D1621"/>
    <mergeCell ref="C1624:D1624"/>
    <mergeCell ref="C1625:D1625"/>
    <mergeCell ref="C1627:D1627"/>
    <mergeCell ref="C1628:D1628"/>
    <mergeCell ref="C1629:D1629"/>
    <mergeCell ref="C1631:D1631"/>
    <mergeCell ref="C1634:D1634"/>
    <mergeCell ref="C1635:D1635"/>
    <mergeCell ref="C1636:D1636"/>
    <mergeCell ref="C1637:D1637"/>
    <mergeCell ref="C1639:D1639"/>
    <mergeCell ref="C1439:D1439"/>
    <mergeCell ref="C1441:D1441"/>
    <mergeCell ref="C1456:D1456"/>
    <mergeCell ref="C1468:D1468"/>
    <mergeCell ref="C1470:D1470"/>
    <mergeCell ref="C1473:D1473"/>
    <mergeCell ref="C1479:D1479"/>
    <mergeCell ref="C1481:D1481"/>
    <mergeCell ref="C1485:D1485"/>
    <mergeCell ref="C1486:D1486"/>
    <mergeCell ref="C1487:D1487"/>
    <mergeCell ref="C1488:D1488"/>
    <mergeCell ref="C1491:D1491"/>
    <mergeCell ref="C1493:D1493"/>
    <mergeCell ref="C1497:D1497"/>
    <mergeCell ref="C1499:D1499"/>
    <mergeCell ref="C1500:D1500"/>
    <mergeCell ref="C1502:D1502"/>
    <mergeCell ref="C1504:D1504"/>
    <mergeCell ref="C1507:D1507"/>
    <mergeCell ref="C1514:D1514"/>
    <mergeCell ref="C1515:D1515"/>
    <mergeCell ref="C1516:D1516"/>
    <mergeCell ref="C1517:D1517"/>
    <mergeCell ref="C1520:D1520"/>
    <mergeCell ref="C1528:D1528"/>
    <mergeCell ref="C1529:D1529"/>
    <mergeCell ref="C1530:D1530"/>
    <mergeCell ref="C1534:D1534"/>
    <mergeCell ref="C1536:D1536"/>
    <mergeCell ref="C1537:D1537"/>
    <mergeCell ref="C1543:D1543"/>
    <mergeCell ref="C1551:D1551"/>
    <mergeCell ref="C1555:D1555"/>
    <mergeCell ref="C1556:D1556"/>
    <mergeCell ref="C1557:D1557"/>
    <mergeCell ref="C1559:D1559"/>
    <mergeCell ref="C1560:D1560"/>
    <mergeCell ref="C1562:D1562"/>
    <mergeCell ref="C1563:D1563"/>
    <mergeCell ref="C1564:D1564"/>
    <mergeCell ref="C1566:D1566"/>
    <mergeCell ref="C1601:D1601"/>
    <mergeCell ref="C1602:D1602"/>
    <mergeCell ref="C1603:D1603"/>
    <mergeCell ref="C1604:D1604"/>
    <mergeCell ref="C1605:D1605"/>
    <mergeCell ref="C1607:D1607"/>
    <mergeCell ref="C1608:D1608"/>
    <mergeCell ref="C1612:D1612"/>
    <mergeCell ref="C1614:D1614"/>
    <mergeCell ref="C1733:D1733"/>
    <mergeCell ref="C1735:D1735"/>
    <mergeCell ref="C1736:D1736"/>
    <mergeCell ref="C1737:D1737"/>
    <mergeCell ref="C1738:D1738"/>
    <mergeCell ref="C1739:D1739"/>
    <mergeCell ref="C1740:D1740"/>
    <mergeCell ref="C1741:D1741"/>
    <mergeCell ref="C1742:D1742"/>
    <mergeCell ref="C1743:D1743"/>
    <mergeCell ref="C1744:D1744"/>
    <mergeCell ref="C1745:D1745"/>
    <mergeCell ref="C1748:D1748"/>
    <mergeCell ref="C1640:D1640"/>
    <mergeCell ref="C1643:D1643"/>
    <mergeCell ref="C1645:D1645"/>
    <mergeCell ref="C1648:D1648"/>
    <mergeCell ref="C1650:D1650"/>
    <mergeCell ref="C1652:D1652"/>
    <mergeCell ref="C1653:D1653"/>
    <mergeCell ref="C1654:D1654"/>
    <mergeCell ref="C1655:D1655"/>
    <mergeCell ref="C1657:D1657"/>
    <mergeCell ref="C1658:D1658"/>
    <mergeCell ref="C1659:D1659"/>
    <mergeCell ref="C1661:D1661"/>
    <mergeCell ref="C1663:D1663"/>
    <mergeCell ref="C1664:D1664"/>
    <mergeCell ref="C1665:D1665"/>
    <mergeCell ref="C1666:D1666"/>
    <mergeCell ref="C1764:D1764"/>
    <mergeCell ref="C1766:D1766"/>
    <mergeCell ref="C1768:D1768"/>
    <mergeCell ref="C1769:D1769"/>
    <mergeCell ref="C1770:D1770"/>
    <mergeCell ref="C1771:D1771"/>
    <mergeCell ref="C1772:D1772"/>
    <mergeCell ref="C1774:D1774"/>
    <mergeCell ref="C1775:D1775"/>
    <mergeCell ref="C1749:D1749"/>
    <mergeCell ref="C1750:D1750"/>
    <mergeCell ref="C1752:D1752"/>
    <mergeCell ref="C1754:D1754"/>
    <mergeCell ref="C1667:D1667"/>
    <mergeCell ref="C1668:D1668"/>
    <mergeCell ref="C1669:D1669"/>
    <mergeCell ref="C1670:D1670"/>
    <mergeCell ref="C1671:D1671"/>
    <mergeCell ref="C1673:D1673"/>
    <mergeCell ref="C1675:D1675"/>
    <mergeCell ref="C1676:D1676"/>
    <mergeCell ref="C1677:D1677"/>
    <mergeCell ref="C1679:D1679"/>
    <mergeCell ref="C1681:D1681"/>
    <mergeCell ref="C1683:D1683"/>
    <mergeCell ref="C1684:D1684"/>
    <mergeCell ref="C1685:D1685"/>
    <mergeCell ref="C1688:D1688"/>
    <mergeCell ref="C1757:D1757"/>
    <mergeCell ref="C1759:D1759"/>
    <mergeCell ref="C1728:D1728"/>
    <mergeCell ref="C1732:D1732"/>
    <mergeCell ref="C1785:D1785"/>
    <mergeCell ref="C1786:D1786"/>
    <mergeCell ref="C1787:D1787"/>
    <mergeCell ref="C1788:D1788"/>
    <mergeCell ref="C1790:D1790"/>
    <mergeCell ref="C1791:D1791"/>
    <mergeCell ref="C1792:D1792"/>
    <mergeCell ref="C1690:D1690"/>
    <mergeCell ref="C1692:D1692"/>
    <mergeCell ref="C1694:D1694"/>
    <mergeCell ref="C1697:D1697"/>
    <mergeCell ref="C1700:D1700"/>
    <mergeCell ref="C1703:D1703"/>
    <mergeCell ref="C1706:D1706"/>
    <mergeCell ref="C1707:D1707"/>
    <mergeCell ref="C1708:D1708"/>
    <mergeCell ref="C1709:D1709"/>
    <mergeCell ref="C1710:D1710"/>
    <mergeCell ref="C1712:D1712"/>
    <mergeCell ref="C1713:D1713"/>
    <mergeCell ref="C1717:D1717"/>
    <mergeCell ref="C1718:D1718"/>
    <mergeCell ref="C1719:D1719"/>
    <mergeCell ref="C1720:D1720"/>
    <mergeCell ref="C1721:D1721"/>
    <mergeCell ref="C1722:D1722"/>
    <mergeCell ref="C1723:D1723"/>
    <mergeCell ref="C1724:D1724"/>
    <mergeCell ref="C1725:D1725"/>
    <mergeCell ref="C1726:D1726"/>
    <mergeCell ref="C1761:D1761"/>
    <mergeCell ref="C1763:D1763"/>
    <mergeCell ref="C1776:D1776"/>
    <mergeCell ref="C1778:D1778"/>
    <mergeCell ref="C1779:D1779"/>
    <mergeCell ref="C1780:D1780"/>
    <mergeCell ref="C1781:D1781"/>
    <mergeCell ref="C1782:D1782"/>
    <mergeCell ref="C1811:D1811"/>
    <mergeCell ref="C1812:D1812"/>
    <mergeCell ref="C1813:D1813"/>
    <mergeCell ref="C1814:D1814"/>
    <mergeCell ref="C1816:D1816"/>
    <mergeCell ref="C1817:D1817"/>
    <mergeCell ref="C1818:D1818"/>
    <mergeCell ref="C1819:D1819"/>
    <mergeCell ref="C1820:D1820"/>
    <mergeCell ref="C1821:D1821"/>
    <mergeCell ref="C1822:D1822"/>
    <mergeCell ref="C1794:D1794"/>
    <mergeCell ref="C1795:D1795"/>
    <mergeCell ref="C1796:D1796"/>
    <mergeCell ref="C1797:D1797"/>
    <mergeCell ref="C1799:D1799"/>
    <mergeCell ref="C1800:D1800"/>
    <mergeCell ref="C1803:D1803"/>
    <mergeCell ref="C1804:D1804"/>
    <mergeCell ref="C1805:D1805"/>
    <mergeCell ref="C1807:D1807"/>
    <mergeCell ref="C1808:D1808"/>
    <mergeCell ref="C1809:D1809"/>
    <mergeCell ref="C1810:D1810"/>
    <mergeCell ref="C1783:D1783"/>
    <mergeCell ref="C1784:D1784"/>
    <mergeCell ref="C1823:D1823"/>
    <mergeCell ref="C1824:D1824"/>
    <mergeCell ref="C1825:D1825"/>
    <mergeCell ref="C1826:D1826"/>
    <mergeCell ref="C1827:D1827"/>
    <mergeCell ref="C1828:D1828"/>
    <mergeCell ref="C1829:D1829"/>
    <mergeCell ref="C1830:D1830"/>
    <mergeCell ref="C1832:D1832"/>
    <mergeCell ref="C1834:D1834"/>
    <mergeCell ref="C1835:D1835"/>
    <mergeCell ref="C1836:D1836"/>
    <mergeCell ref="C1837:D1837"/>
    <mergeCell ref="C1839:D1839"/>
    <mergeCell ref="C1841:D1841"/>
    <mergeCell ref="C1843:D1843"/>
    <mergeCell ref="C1844:D1844"/>
    <mergeCell ref="C1845:D1845"/>
    <mergeCell ref="C1846:D1846"/>
    <mergeCell ref="C1848:D1848"/>
    <mergeCell ref="C1849:D1849"/>
    <mergeCell ref="C1851:D1851"/>
    <mergeCell ref="C1853:D1853"/>
    <mergeCell ref="C1854:D1854"/>
    <mergeCell ref="C1856:D1856"/>
    <mergeCell ref="C1858:D1858"/>
    <mergeCell ref="C1859:D1859"/>
    <mergeCell ref="C1863:D1863"/>
    <mergeCell ref="C1864:D1864"/>
    <mergeCell ref="C1865:D1865"/>
    <mergeCell ref="C1868:D1868"/>
    <mergeCell ref="C1870:D1870"/>
    <mergeCell ref="C1872:D1872"/>
    <mergeCell ref="C1873:D1873"/>
    <mergeCell ref="C1874:D1874"/>
    <mergeCell ref="C1875:D1875"/>
    <mergeCell ref="C1876:D1876"/>
    <mergeCell ref="C1877:D1877"/>
    <mergeCell ref="C1878:D1878"/>
    <mergeCell ref="C1879:D1879"/>
    <mergeCell ref="C1881:D1881"/>
    <mergeCell ref="C1882:D1882"/>
    <mergeCell ref="C1884:D1884"/>
    <mergeCell ref="C1886:D1886"/>
    <mergeCell ref="C1887:D1887"/>
    <mergeCell ref="C1888:D1888"/>
    <mergeCell ref="C1889:D1889"/>
    <mergeCell ref="C1890:D1890"/>
    <mergeCell ref="C1891:D1891"/>
    <mergeCell ref="C1892:D1892"/>
    <mergeCell ref="C1893:D1893"/>
    <mergeCell ref="C1895:D1895"/>
    <mergeCell ref="C1896:D1896"/>
    <mergeCell ref="C1897:D1897"/>
    <mergeCell ref="C1898:D1898"/>
    <mergeCell ref="C1899:D1899"/>
    <mergeCell ref="C1900:D1900"/>
    <mergeCell ref="C1901:D1901"/>
    <mergeCell ref="C1902:D1902"/>
    <mergeCell ref="C1905:D1905"/>
    <mergeCell ref="C1907:D1907"/>
    <mergeCell ref="C1908:D1908"/>
    <mergeCell ref="C1909:D1909"/>
    <mergeCell ref="C1910:D1910"/>
    <mergeCell ref="C1911:D1911"/>
    <mergeCell ref="C1912:D1912"/>
    <mergeCell ref="C1913:D1913"/>
    <mergeCell ref="C1914:D1914"/>
    <mergeCell ref="C1915:D1915"/>
    <mergeCell ref="C1916:D1916"/>
    <mergeCell ref="C1917:D1917"/>
    <mergeCell ref="C1918:D1918"/>
    <mergeCell ref="C1919:D1919"/>
    <mergeCell ref="C1920:D1920"/>
    <mergeCell ref="C1921:D1921"/>
    <mergeCell ref="C1922:D1922"/>
    <mergeCell ref="C1924:D1924"/>
    <mergeCell ref="C1925:D1925"/>
    <mergeCell ref="C1927:D1927"/>
    <mergeCell ref="C1928:D1928"/>
    <mergeCell ref="C1930:D1930"/>
    <mergeCell ref="C1931:D1931"/>
    <mergeCell ref="C1933:D1933"/>
    <mergeCell ref="C1934:D1934"/>
    <mergeCell ref="C1935:D1935"/>
    <mergeCell ref="C1940:D1940"/>
    <mergeCell ref="C1941:D1941"/>
    <mergeCell ref="C1942:D1942"/>
    <mergeCell ref="C1943:D1943"/>
    <mergeCell ref="C1945:D1945"/>
    <mergeCell ref="C1946:D1946"/>
    <mergeCell ref="C1947:D1947"/>
    <mergeCell ref="C1948:D1948"/>
    <mergeCell ref="C1949:D1949"/>
    <mergeCell ref="C1951:D1951"/>
    <mergeCell ref="C1952:D1952"/>
    <mergeCell ref="C1953:D1953"/>
    <mergeCell ref="C1954:D1954"/>
    <mergeCell ref="C1955:D1955"/>
    <mergeCell ref="C1956:D1956"/>
    <mergeCell ref="C1957:D1957"/>
    <mergeCell ref="C1959:D1959"/>
    <mergeCell ref="C1960:D1960"/>
    <mergeCell ref="C1961:D1961"/>
    <mergeCell ref="C1962:D1962"/>
    <mergeCell ref="C1963:D1963"/>
    <mergeCell ref="C1964:D1964"/>
    <mergeCell ref="C1968:D1968"/>
    <mergeCell ref="C1969:D1969"/>
    <mergeCell ref="C1970:D1970"/>
    <mergeCell ref="C1972:D1972"/>
    <mergeCell ref="C1973:D1973"/>
    <mergeCell ref="C1974:D1974"/>
    <mergeCell ref="C1976:D1976"/>
    <mergeCell ref="C1979:D1979"/>
    <mergeCell ref="C1980:D1980"/>
    <mergeCell ref="C1982:D1982"/>
    <mergeCell ref="C1983:D1983"/>
    <mergeCell ref="C1984:D1984"/>
    <mergeCell ref="C1985:D1985"/>
    <mergeCell ref="C1987:D1987"/>
    <mergeCell ref="C1989:D1989"/>
    <mergeCell ref="C1990:D1990"/>
    <mergeCell ref="C1991:D1991"/>
    <mergeCell ref="C1992:D1992"/>
    <mergeCell ref="C1993:D1993"/>
    <mergeCell ref="C1994:D1994"/>
    <mergeCell ref="C1998:D1998"/>
    <mergeCell ref="C1999:D1999"/>
    <mergeCell ref="C2000:D2000"/>
    <mergeCell ref="C2002:D2002"/>
    <mergeCell ref="C2004:D2004"/>
    <mergeCell ref="C2005:D2005"/>
    <mergeCell ref="C2008:D2008"/>
    <mergeCell ref="C2009:D2009"/>
    <mergeCell ref="C2010:D2010"/>
    <mergeCell ref="C2011:D2011"/>
    <mergeCell ref="C2012:D2012"/>
    <mergeCell ref="C2013:D2013"/>
    <mergeCell ref="C2014:D2014"/>
    <mergeCell ref="C2015:D2015"/>
    <mergeCell ref="C2016:D2016"/>
    <mergeCell ref="C2017:D2017"/>
    <mergeCell ref="C2018:D2018"/>
    <mergeCell ref="C2019:D2019"/>
    <mergeCell ref="C2020:D2020"/>
    <mergeCell ref="C2022:D2022"/>
    <mergeCell ref="C2024:D2024"/>
    <mergeCell ref="C2025:D2025"/>
    <mergeCell ref="C2026:D2026"/>
    <mergeCell ref="C2028:D2028"/>
    <mergeCell ref="C2029:D2029"/>
    <mergeCell ref="C2030:D2030"/>
    <mergeCell ref="C2096:D2096"/>
    <mergeCell ref="C2097:D2097"/>
    <mergeCell ref="C2098:D2098"/>
    <mergeCell ref="C2099:D2099"/>
    <mergeCell ref="C2100:D2100"/>
    <mergeCell ref="C2101:D2101"/>
    <mergeCell ref="C2103:D2103"/>
    <mergeCell ref="C2104:D2104"/>
    <mergeCell ref="C2106:D2106"/>
    <mergeCell ref="C2107:D2107"/>
    <mergeCell ref="C2108:D2108"/>
    <mergeCell ref="C2109:D2109"/>
    <mergeCell ref="C2110:D2110"/>
    <mergeCell ref="C2111:D2111"/>
    <mergeCell ref="C2113:D2113"/>
    <mergeCell ref="C2032:D2032"/>
    <mergeCell ref="C2033:D2033"/>
    <mergeCell ref="C2034:D2034"/>
    <mergeCell ref="C2035:D2035"/>
    <mergeCell ref="C2036:D2036"/>
    <mergeCell ref="C2037:D2037"/>
    <mergeCell ref="C2039:D2039"/>
    <mergeCell ref="C2040:D2040"/>
    <mergeCell ref="C2041:D2041"/>
    <mergeCell ref="C2042:D2042"/>
    <mergeCell ref="C2043:D2043"/>
    <mergeCell ref="C2044:D2044"/>
    <mergeCell ref="C2045:D2045"/>
    <mergeCell ref="C2046:D2046"/>
    <mergeCell ref="C2047:D2047"/>
    <mergeCell ref="C2048:D2048"/>
    <mergeCell ref="C2049:D2049"/>
    <mergeCell ref="C2086:D2086"/>
    <mergeCell ref="C2088:D2088"/>
    <mergeCell ref="C2089:D2089"/>
    <mergeCell ref="C2090:D2090"/>
    <mergeCell ref="C2091:D2091"/>
    <mergeCell ref="C2092:D2092"/>
    <mergeCell ref="C2093:D2093"/>
    <mergeCell ref="C2094:D2094"/>
    <mergeCell ref="C2095:D2095"/>
    <mergeCell ref="C2050:D2050"/>
    <mergeCell ref="C2051:D2051"/>
    <mergeCell ref="C2052:D2052"/>
    <mergeCell ref="C2054:D2054"/>
    <mergeCell ref="C2055:D2055"/>
    <mergeCell ref="C2056:D2056"/>
    <mergeCell ref="C2059:D2059"/>
    <mergeCell ref="C2060:D2060"/>
    <mergeCell ref="C2061:D2061"/>
    <mergeCell ref="C2062:D2062"/>
    <mergeCell ref="C2063:D2063"/>
    <mergeCell ref="C2065:D2065"/>
    <mergeCell ref="C2066:D2066"/>
    <mergeCell ref="C2067:D2067"/>
    <mergeCell ref="C2070:D2070"/>
    <mergeCell ref="C2071:D2071"/>
    <mergeCell ref="C2072:D2072"/>
    <mergeCell ref="C2073:D2073"/>
    <mergeCell ref="C2074:D2074"/>
    <mergeCell ref="C2075:D2075"/>
    <mergeCell ref="C2076:D2076"/>
    <mergeCell ref="C2077:D2077"/>
    <mergeCell ref="C2081:D2081"/>
    <mergeCell ref="C2082:D2082"/>
    <mergeCell ref="C2083:D2083"/>
    <mergeCell ref="C2084:D2084"/>
    <mergeCell ref="C2114:D2114"/>
    <mergeCell ref="C2134:D2134"/>
    <mergeCell ref="C2135:D2135"/>
    <mergeCell ref="C2136:D2136"/>
    <mergeCell ref="C2137:D2137"/>
    <mergeCell ref="C2140:D2140"/>
    <mergeCell ref="C2141:D2141"/>
    <mergeCell ref="C2144:D2144"/>
    <mergeCell ref="C2145:D2145"/>
    <mergeCell ref="C2146:D2146"/>
    <mergeCell ref="C2147:D2147"/>
    <mergeCell ref="C2148:D2148"/>
    <mergeCell ref="C2149:D2149"/>
    <mergeCell ref="C2151:D2151"/>
    <mergeCell ref="C2153:D2153"/>
    <mergeCell ref="C2154:D2154"/>
    <mergeCell ref="C2155:D2155"/>
    <mergeCell ref="C2125:D2125"/>
    <mergeCell ref="C2126:D2126"/>
    <mergeCell ref="C2127:D2127"/>
    <mergeCell ref="C2128:D2128"/>
    <mergeCell ref="C2130:D2130"/>
    <mergeCell ref="C2132:D2132"/>
    <mergeCell ref="C2115:D2115"/>
    <mergeCell ref="C2116:D2116"/>
    <mergeCell ref="C2117:D2117"/>
    <mergeCell ref="C2119:D2119"/>
    <mergeCell ref="C2120:D2120"/>
    <mergeCell ref="C2121:D2121"/>
    <mergeCell ref="C2122:D2122"/>
    <mergeCell ref="C2123:D2123"/>
    <mergeCell ref="C2156:D2156"/>
    <mergeCell ref="C2157:D2157"/>
    <mergeCell ref="C2159:D2159"/>
    <mergeCell ref="C2161:D2161"/>
    <mergeCell ref="C2162:D2162"/>
    <mergeCell ref="C2163:D2163"/>
    <mergeCell ref="C2164:D2164"/>
    <mergeCell ref="C2165:D2165"/>
    <mergeCell ref="C2166:D2166"/>
    <mergeCell ref="C2167:D2167"/>
    <mergeCell ref="C2168:D2168"/>
    <mergeCell ref="C2169:D2169"/>
    <mergeCell ref="C2170:D2170"/>
    <mergeCell ref="C2171:D2171"/>
    <mergeCell ref="C2172:D2172"/>
    <mergeCell ref="C2173:D2173"/>
    <mergeCell ref="C2174:D2174"/>
    <mergeCell ref="C2175:D2175"/>
    <mergeCell ref="C2176:D2176"/>
    <mergeCell ref="C2177:D2177"/>
    <mergeCell ref="C2178:D2178"/>
    <mergeCell ref="C2179:D2179"/>
    <mergeCell ref="C2180:D2180"/>
    <mergeCell ref="C2182:D2182"/>
    <mergeCell ref="C2183:D2183"/>
    <mergeCell ref="C2184:D2184"/>
    <mergeCell ref="C2185:D2185"/>
    <mergeCell ref="C2186:D2186"/>
    <mergeCell ref="C2187:D2187"/>
    <mergeCell ref="C2188:D2188"/>
    <mergeCell ref="C2190:D2190"/>
    <mergeCell ref="C2191:D2191"/>
    <mergeCell ref="C2192:D2192"/>
    <mergeCell ref="C2193:D2193"/>
    <mergeCell ref="C2194:D2194"/>
    <mergeCell ref="C2195:D2195"/>
    <mergeCell ref="C2196:D2196"/>
    <mergeCell ref="C2197:D2197"/>
    <mergeCell ref="C2198:D2198"/>
    <mergeCell ref="C2199:D2199"/>
    <mergeCell ref="C2200:D2200"/>
    <mergeCell ref="C2201:D2201"/>
    <mergeCell ref="C2205:D2205"/>
    <mergeCell ref="C2206:D2206"/>
    <mergeCell ref="C2207:D2207"/>
    <mergeCell ref="C2208:D2208"/>
    <mergeCell ref="C2209:D2209"/>
    <mergeCell ref="C2210:D2210"/>
    <mergeCell ref="C2211:D2211"/>
    <mergeCell ref="C2212:D2212"/>
    <mergeCell ref="C2213:D2213"/>
    <mergeCell ref="C2295:D2295"/>
    <mergeCell ref="C2296:D2296"/>
    <mergeCell ref="C2297:D2297"/>
    <mergeCell ref="C2298:D2298"/>
    <mergeCell ref="C2250:D2250"/>
    <mergeCell ref="C2251:D2251"/>
    <mergeCell ref="C2253:D2253"/>
    <mergeCell ref="C2254:D2254"/>
    <mergeCell ref="C2255:D2255"/>
    <mergeCell ref="C2256:D2256"/>
    <mergeCell ref="C2257:D2257"/>
    <mergeCell ref="C2258:D2258"/>
    <mergeCell ref="C2259:D2259"/>
    <mergeCell ref="C2260:D2260"/>
    <mergeCell ref="C2261:D2261"/>
    <mergeCell ref="C2262:D2262"/>
    <mergeCell ref="C2264:D2264"/>
    <mergeCell ref="C2265:D2265"/>
    <mergeCell ref="C2266:D2266"/>
    <mergeCell ref="C2246:D2246"/>
    <mergeCell ref="C2247:D2247"/>
    <mergeCell ref="C2248:D2248"/>
    <mergeCell ref="C2249:D2249"/>
    <mergeCell ref="C2214:D2214"/>
    <mergeCell ref="C2215:D2215"/>
    <mergeCell ref="C2218:D2218"/>
    <mergeCell ref="C2219:D2219"/>
    <mergeCell ref="C2220:D2220"/>
    <mergeCell ref="C2221:D2221"/>
    <mergeCell ref="C2222:D2222"/>
    <mergeCell ref="C2224:D2224"/>
    <mergeCell ref="C2288:D2288"/>
    <mergeCell ref="C2291:D2291"/>
    <mergeCell ref="C2292:D2292"/>
    <mergeCell ref="C2293:D2293"/>
    <mergeCell ref="C2294:D2294"/>
    <mergeCell ref="C2225:D2225"/>
    <mergeCell ref="C2226:D2226"/>
    <mergeCell ref="C2228:D2228"/>
    <mergeCell ref="C2229:D2229"/>
    <mergeCell ref="C2230:D2230"/>
    <mergeCell ref="C2231:D2231"/>
    <mergeCell ref="C2233:D2233"/>
    <mergeCell ref="C2235:D2235"/>
    <mergeCell ref="C2236:D2236"/>
    <mergeCell ref="C2237:D2237"/>
    <mergeCell ref="C2238:D2238"/>
    <mergeCell ref="C2239:D2239"/>
    <mergeCell ref="C2240:D2240"/>
    <mergeCell ref="C2241:D2241"/>
    <mergeCell ref="C2242:D2242"/>
    <mergeCell ref="C2243:D2243"/>
    <mergeCell ref="C2245:D2245"/>
    <mergeCell ref="C2268:D2268"/>
    <mergeCell ref="C2269:D2269"/>
    <mergeCell ref="C2270:D2270"/>
    <mergeCell ref="C2271:D2271"/>
    <mergeCell ref="C2272:D2272"/>
    <mergeCell ref="C2274:D2274"/>
    <mergeCell ref="C2275:D2275"/>
    <mergeCell ref="C2278:D2278"/>
    <mergeCell ref="C2279:D2279"/>
    <mergeCell ref="C2280:D2280"/>
    <mergeCell ref="C2282:D2282"/>
    <mergeCell ref="C2307:D2307"/>
    <mergeCell ref="C2308:D2308"/>
    <mergeCell ref="C2309:D2309"/>
    <mergeCell ref="C2310:D2310"/>
    <mergeCell ref="C2311:D2311"/>
    <mergeCell ref="C2329:D2329"/>
    <mergeCell ref="C2312:D2312"/>
    <mergeCell ref="C2313:D2313"/>
    <mergeCell ref="C2314:D2314"/>
    <mergeCell ref="C2315:D2315"/>
    <mergeCell ref="C2299:D2299"/>
    <mergeCell ref="C2300:D2300"/>
    <mergeCell ref="C2301:D2301"/>
    <mergeCell ref="C2302:D2302"/>
    <mergeCell ref="C2305:D2305"/>
    <mergeCell ref="C2306:D2306"/>
    <mergeCell ref="C2283:D2283"/>
    <mergeCell ref="C2284:D2284"/>
    <mergeCell ref="C2285:D2285"/>
    <mergeCell ref="C2286:D2286"/>
    <mergeCell ref="C2287:D2287"/>
    <mergeCell ref="C2330:D2330"/>
    <mergeCell ref="C2331:D2331"/>
    <mergeCell ref="C2332:D2332"/>
    <mergeCell ref="C2333:D2333"/>
    <mergeCell ref="C2334:D2334"/>
    <mergeCell ref="C2336:D2336"/>
    <mergeCell ref="C2338:D2338"/>
    <mergeCell ref="C2339:D2339"/>
    <mergeCell ref="C2340:D2340"/>
    <mergeCell ref="C2342:D2342"/>
    <mergeCell ref="C2343:D2343"/>
    <mergeCell ref="C2316:D2316"/>
    <mergeCell ref="C2317:D2317"/>
    <mergeCell ref="C2318:D2318"/>
    <mergeCell ref="C2319:D2319"/>
    <mergeCell ref="C2320:D2320"/>
    <mergeCell ref="C2321:D2321"/>
    <mergeCell ref="C2323:D2323"/>
    <mergeCell ref="C2324:D2324"/>
    <mergeCell ref="C2325:D2325"/>
    <mergeCell ref="C2327:D2327"/>
    <mergeCell ref="C2344:D2344"/>
    <mergeCell ref="C2345:D2345"/>
    <mergeCell ref="C2346:D2346"/>
    <mergeCell ref="C2347:D2347"/>
    <mergeCell ref="C2348:D2348"/>
    <mergeCell ref="C2349:D2349"/>
    <mergeCell ref="C2350:D2350"/>
    <mergeCell ref="C2351:D2351"/>
    <mergeCell ref="C2352:D2352"/>
    <mergeCell ref="C2353:D2353"/>
    <mergeCell ref="C2354:D2354"/>
    <mergeCell ref="C2355:D2355"/>
    <mergeCell ref="C2356:D2356"/>
    <mergeCell ref="C2358:D2358"/>
    <mergeCell ref="C2359:D2359"/>
    <mergeCell ref="C2360:D2360"/>
    <mergeCell ref="C2361:D2361"/>
    <mergeCell ref="C2363:D2363"/>
    <mergeCell ref="C2364:D2364"/>
    <mergeCell ref="C2365:D2365"/>
    <mergeCell ref="C2366:D2366"/>
    <mergeCell ref="C2367:D2367"/>
    <mergeCell ref="C2368:D2368"/>
    <mergeCell ref="C2369:D2369"/>
    <mergeCell ref="C2370:D2370"/>
    <mergeCell ref="C2371:D2371"/>
    <mergeCell ref="C2372:D2372"/>
    <mergeCell ref="C2373:D2373"/>
    <mergeCell ref="C2374:D2374"/>
    <mergeCell ref="C2376:D2376"/>
    <mergeCell ref="C2377:D2377"/>
    <mergeCell ref="C2378:D2378"/>
    <mergeCell ref="C2379:D2379"/>
    <mergeCell ref="C2381:D2381"/>
    <mergeCell ref="C2382:D2382"/>
    <mergeCell ref="C2384:D2384"/>
    <mergeCell ref="C2385:D2385"/>
    <mergeCell ref="C2386:D2386"/>
    <mergeCell ref="C2387:D2387"/>
    <mergeCell ref="C2388:D2388"/>
    <mergeCell ref="C2389:D2389"/>
    <mergeCell ref="C2390:D2390"/>
    <mergeCell ref="C2391:D2391"/>
    <mergeCell ref="C2392:D2392"/>
    <mergeCell ref="C2393:D2393"/>
    <mergeCell ref="C2395:D2395"/>
    <mergeCell ref="C2396:D2396"/>
    <mergeCell ref="C2397:D2397"/>
    <mergeCell ref="C2398:D2398"/>
    <mergeCell ref="C2399:D2399"/>
    <mergeCell ref="C2401:D2401"/>
    <mergeCell ref="C2402:D2402"/>
    <mergeCell ref="C2403:D2403"/>
    <mergeCell ref="C2405:D2405"/>
    <mergeCell ref="C2407:D2407"/>
    <mergeCell ref="C2408:D2408"/>
    <mergeCell ref="C2409:D2409"/>
    <mergeCell ref="C2410:D2410"/>
    <mergeCell ref="C2411:D2411"/>
    <mergeCell ref="C2412:D2412"/>
    <mergeCell ref="C2413:D2413"/>
    <mergeCell ref="C2414:D2414"/>
    <mergeCell ref="C2415:D2415"/>
    <mergeCell ref="C2416:D2416"/>
    <mergeCell ref="C2417:D2417"/>
    <mergeCell ref="C2419:D2419"/>
    <mergeCell ref="C2420:D2420"/>
    <mergeCell ref="C2421:D2421"/>
    <mergeCell ref="C2422:D2422"/>
    <mergeCell ref="C2424:D2424"/>
    <mergeCell ref="C2425:D2425"/>
    <mergeCell ref="C2427:D2427"/>
    <mergeCell ref="C2428:D2428"/>
    <mergeCell ref="C2429:D2429"/>
    <mergeCell ref="C2430:D2430"/>
    <mergeCell ref="C2431:D2431"/>
    <mergeCell ref="C2432:D2432"/>
    <mergeCell ref="C2433:D2433"/>
    <mergeCell ref="C2434:D2434"/>
    <mergeCell ref="C2435:D2435"/>
    <mergeCell ref="C2437:D2437"/>
    <mergeCell ref="C2438:D2438"/>
    <mergeCell ref="C2439:D2439"/>
    <mergeCell ref="C2440:D2440"/>
    <mergeCell ref="C2441:D2441"/>
    <mergeCell ref="C2442:D2442"/>
    <mergeCell ref="C2443:D2443"/>
    <mergeCell ref="C2444:D2444"/>
    <mergeCell ref="C2445:D2445"/>
    <mergeCell ref="C2446:D2446"/>
    <mergeCell ref="C2447:D2447"/>
    <mergeCell ref="C2448:D2448"/>
    <mergeCell ref="C2450:D2450"/>
    <mergeCell ref="C2451:D2451"/>
    <mergeCell ref="C2452:D2452"/>
    <mergeCell ref="C2453:D2453"/>
    <mergeCell ref="C2454:D2454"/>
    <mergeCell ref="C2455:D2455"/>
    <mergeCell ref="C2456:D2456"/>
    <mergeCell ref="C2457:D2457"/>
    <mergeCell ref="C2458:D2458"/>
    <mergeCell ref="C2459:D2459"/>
    <mergeCell ref="C2460:D2460"/>
    <mergeCell ref="C2461:D2461"/>
    <mergeCell ref="C2464:D2464"/>
    <mergeCell ref="C2465:D2465"/>
    <mergeCell ref="C2466:D2466"/>
    <mergeCell ref="C2467:D2467"/>
    <mergeCell ref="C2468:D2468"/>
    <mergeCell ref="C2470:D2470"/>
    <mergeCell ref="C2471:D2471"/>
    <mergeCell ref="C2472:D2472"/>
    <mergeCell ref="C2473:D2473"/>
    <mergeCell ref="C2474:D2474"/>
    <mergeCell ref="C2475:D2475"/>
    <mergeCell ref="C2476:D2476"/>
    <mergeCell ref="C2478:D2478"/>
    <mergeCell ref="C2480:D2480"/>
    <mergeCell ref="C2481:D2481"/>
    <mergeCell ref="C2482:D2482"/>
    <mergeCell ref="C2483:D2483"/>
    <mergeCell ref="C2484:D2484"/>
    <mergeCell ref="C2485:D2485"/>
    <mergeCell ref="C2486:D2486"/>
    <mergeCell ref="C2488:D2488"/>
    <mergeCell ref="C2491:D2491"/>
    <mergeCell ref="C2492:D2492"/>
    <mergeCell ref="C2493:D2493"/>
    <mergeCell ref="C2494:D2494"/>
    <mergeCell ref="C2495:D2495"/>
    <mergeCell ref="C2496:D2496"/>
    <mergeCell ref="C2497:D2497"/>
    <mergeCell ref="C2498:D2498"/>
    <mergeCell ref="C2499:D2499"/>
    <mergeCell ref="C2501:D2501"/>
    <mergeCell ref="C2502:D2502"/>
    <mergeCell ref="C2503:D2503"/>
    <mergeCell ref="C2504:D2504"/>
    <mergeCell ref="C2505:D2505"/>
    <mergeCell ref="C2506:D2506"/>
    <mergeCell ref="C2508:D2508"/>
    <mergeCell ref="C2509:D2509"/>
    <mergeCell ref="C2510:D2510"/>
    <mergeCell ref="C2512:D2512"/>
    <mergeCell ref="C2513:D2513"/>
    <mergeCell ref="C2514:D2514"/>
    <mergeCell ref="C2515:D2515"/>
    <mergeCell ref="C2516:D2516"/>
    <mergeCell ref="C2517:D2517"/>
    <mergeCell ref="C2518:D2518"/>
    <mergeCell ref="C2519:D2519"/>
    <mergeCell ref="C2520:D2520"/>
    <mergeCell ref="C2521:D2521"/>
    <mergeCell ref="C2522:D2522"/>
    <mergeCell ref="C2525:D2525"/>
    <mergeCell ref="C2526:D2526"/>
    <mergeCell ref="C2527:D2527"/>
    <mergeCell ref="C2528:D2528"/>
    <mergeCell ref="C2529:D2529"/>
    <mergeCell ref="C2530:D2530"/>
    <mergeCell ref="C2532:D2532"/>
    <mergeCell ref="C2534:D2534"/>
    <mergeCell ref="C2535:D2535"/>
    <mergeCell ref="C2536:D2536"/>
    <mergeCell ref="C2537:D2537"/>
    <mergeCell ref="C2538:D2538"/>
    <mergeCell ref="C2539:D2539"/>
    <mergeCell ref="C2540:D2540"/>
    <mergeCell ref="C2541:D2541"/>
    <mergeCell ref="C2542:D2542"/>
    <mergeCell ref="C2543:D2543"/>
    <mergeCell ref="C2545:D2545"/>
    <mergeCell ref="C2546:D2546"/>
    <mergeCell ref="C2547:D2547"/>
    <mergeCell ref="C2548:D2548"/>
    <mergeCell ref="C2549:D2549"/>
    <mergeCell ref="C2550:D2550"/>
    <mergeCell ref="C2551:D2551"/>
    <mergeCell ref="C2552:D2552"/>
    <mergeCell ref="C2553:D2553"/>
    <mergeCell ref="C2554:D2554"/>
    <mergeCell ref="C2555:D2555"/>
    <mergeCell ref="C2556:D2556"/>
    <mergeCell ref="C2558:D2558"/>
    <mergeCell ref="C2559:D2559"/>
    <mergeCell ref="C2560:D2560"/>
    <mergeCell ref="C2561:D2561"/>
    <mergeCell ref="C2562:D2562"/>
    <mergeCell ref="C2563:D2563"/>
    <mergeCell ref="C2564:D2564"/>
    <mergeCell ref="C2565:D2565"/>
    <mergeCell ref="C2567:D2567"/>
    <mergeCell ref="C2568:D2568"/>
    <mergeCell ref="C2569:D2569"/>
    <mergeCell ref="C2570:D2570"/>
    <mergeCell ref="C2571:D2571"/>
    <mergeCell ref="C2572:D2572"/>
    <mergeCell ref="C2573:D2573"/>
    <mergeCell ref="C2574:D2574"/>
    <mergeCell ref="C2575:D2575"/>
    <mergeCell ref="C2576:D2576"/>
    <mergeCell ref="C2578:D2578"/>
    <mergeCell ref="C2579:D2579"/>
    <mergeCell ref="C2581:D2581"/>
    <mergeCell ref="C2582:D2582"/>
    <mergeCell ref="C2583:D2583"/>
    <mergeCell ref="C2584:D2584"/>
    <mergeCell ref="C2585:D2585"/>
    <mergeCell ref="C2586:D2586"/>
    <mergeCell ref="C2587:D2587"/>
    <mergeCell ref="C2588:D2588"/>
    <mergeCell ref="C2589:D2589"/>
    <mergeCell ref="C2590:D2590"/>
    <mergeCell ref="C2591:D2591"/>
    <mergeCell ref="C2592:D2592"/>
    <mergeCell ref="C2594:D2594"/>
    <mergeCell ref="C2595:D2595"/>
    <mergeCell ref="C2596:D2596"/>
    <mergeCell ref="C2597:D2597"/>
    <mergeCell ref="C2598:D2598"/>
    <mergeCell ref="C2599:D2599"/>
    <mergeCell ref="C2600:D2600"/>
    <mergeCell ref="C2601:D2601"/>
    <mergeCell ref="C2602:D2602"/>
    <mergeCell ref="C2603:D2603"/>
    <mergeCell ref="C2604:D2604"/>
    <mergeCell ref="C2605:D2605"/>
    <mergeCell ref="C2606:D2606"/>
    <mergeCell ref="C2607:D2607"/>
    <mergeCell ref="C2608:D2608"/>
    <mergeCell ref="C2609:D2609"/>
    <mergeCell ref="C2611:D2611"/>
    <mergeCell ref="C2612:D2612"/>
    <mergeCell ref="C2613:D2613"/>
    <mergeCell ref="C2614:D2614"/>
    <mergeCell ref="C2615:D2615"/>
    <mergeCell ref="C2616:D2616"/>
    <mergeCell ref="C2617:D2617"/>
    <mergeCell ref="C2618:D2618"/>
    <mergeCell ref="C2619:D2619"/>
    <mergeCell ref="C2620:D2620"/>
    <mergeCell ref="C2623:D2623"/>
    <mergeCell ref="C2624:D2624"/>
    <mergeCell ref="C2625:D2625"/>
    <mergeCell ref="C2626:D2626"/>
    <mergeCell ref="C2627:D2627"/>
    <mergeCell ref="C2628:D2628"/>
    <mergeCell ref="C2629:D2629"/>
    <mergeCell ref="C2630:D2630"/>
    <mergeCell ref="C2631:D2631"/>
    <mergeCell ref="C2632:D2632"/>
    <mergeCell ref="C2633:D2633"/>
    <mergeCell ref="C2636:D2636"/>
    <mergeCell ref="C2637:D2637"/>
    <mergeCell ref="C2638:D2638"/>
    <mergeCell ref="C2679:D2679"/>
    <mergeCell ref="C2680:D2680"/>
    <mergeCell ref="C2681:D2681"/>
    <mergeCell ref="C2682:D2682"/>
    <mergeCell ref="C2683:D2683"/>
    <mergeCell ref="C2684:D2684"/>
    <mergeCell ref="C2685:D2685"/>
    <mergeCell ref="C2686:D2686"/>
    <mergeCell ref="C2687:D2687"/>
    <mergeCell ref="C2688:D2688"/>
    <mergeCell ref="C2689:D2689"/>
    <mergeCell ref="C2690:D2690"/>
    <mergeCell ref="C2693:D2693"/>
    <mergeCell ref="C2694:D2694"/>
    <mergeCell ref="C2641:D2641"/>
    <mergeCell ref="C2642:D2642"/>
    <mergeCell ref="C2643:D2643"/>
    <mergeCell ref="C2644:D2644"/>
    <mergeCell ref="C2645:D2645"/>
    <mergeCell ref="C2646:D2646"/>
    <mergeCell ref="C2647:D2647"/>
    <mergeCell ref="C2648:D2648"/>
    <mergeCell ref="C2649:D2649"/>
    <mergeCell ref="C2650:D2650"/>
    <mergeCell ref="C2651:D2651"/>
    <mergeCell ref="C2652:D2652"/>
    <mergeCell ref="C2653:D2653"/>
    <mergeCell ref="C2654:D2654"/>
    <mergeCell ref="C2655:D2655"/>
    <mergeCell ref="C2656:D2656"/>
    <mergeCell ref="C2658:D2658"/>
    <mergeCell ref="C2659:D2659"/>
    <mergeCell ref="C2660:D2660"/>
    <mergeCell ref="C2661:D2661"/>
    <mergeCell ref="C2662:D2662"/>
    <mergeCell ref="C2664:D2664"/>
    <mergeCell ref="C2665:D2665"/>
    <mergeCell ref="C2666:D2666"/>
    <mergeCell ref="C2669:D2669"/>
    <mergeCell ref="C2670:D2670"/>
    <mergeCell ref="C2671:D2671"/>
    <mergeCell ref="C2672:D2672"/>
    <mergeCell ref="C2673:D2673"/>
    <mergeCell ref="C2674:D2674"/>
    <mergeCell ref="C2675:D2675"/>
    <mergeCell ref="C2676:D2676"/>
    <mergeCell ref="C2677:D2677"/>
    <mergeCell ref="C2678:D2678"/>
    <mergeCell ref="C2695:D2695"/>
    <mergeCell ref="C2696:D2696"/>
    <mergeCell ref="C2697:D2697"/>
    <mergeCell ref="C2699:D2699"/>
    <mergeCell ref="C2700:D2700"/>
    <mergeCell ref="C2704:D2704"/>
    <mergeCell ref="C2705:D2705"/>
    <mergeCell ref="C2706:D2706"/>
    <mergeCell ref="C2707:D2707"/>
    <mergeCell ref="C2708:D2708"/>
    <mergeCell ref="C2709:D2709"/>
    <mergeCell ref="C2710:D2710"/>
    <mergeCell ref="C2711:D2711"/>
    <mergeCell ref="C2712:D2712"/>
    <mergeCell ref="C2713:D2713"/>
    <mergeCell ref="C2715:D2715"/>
    <mergeCell ref="C2716:D2716"/>
    <mergeCell ref="C2698:D2698"/>
    <mergeCell ref="C2717:D2717"/>
    <mergeCell ref="C2718:D2718"/>
    <mergeCell ref="C2719:D2719"/>
    <mergeCell ref="C2721:D2721"/>
    <mergeCell ref="C2723:D2723"/>
    <mergeCell ref="C2724:D2724"/>
    <mergeCell ref="C2725:D2725"/>
    <mergeCell ref="C2726:D2726"/>
    <mergeCell ref="C2727:D2727"/>
    <mergeCell ref="C2728:D2728"/>
    <mergeCell ref="C2748:D2748"/>
    <mergeCell ref="C2749:D2749"/>
    <mergeCell ref="C2750:D2750"/>
    <mergeCell ref="C2751:D2751"/>
    <mergeCell ref="C2752:D2752"/>
    <mergeCell ref="C2753:D2753"/>
    <mergeCell ref="C2754:D2754"/>
    <mergeCell ref="C2755:D2755"/>
    <mergeCell ref="C2756:D2756"/>
    <mergeCell ref="C2757:D2757"/>
    <mergeCell ref="C2729:D2729"/>
    <mergeCell ref="C2730:D2730"/>
    <mergeCell ref="C2731:D2731"/>
    <mergeCell ref="C2732:D2732"/>
    <mergeCell ref="C2735:D2735"/>
    <mergeCell ref="C2736:D2736"/>
    <mergeCell ref="C2737:D2737"/>
    <mergeCell ref="C2738:D2738"/>
    <mergeCell ref="C2739:D2739"/>
    <mergeCell ref="C2742:D2742"/>
    <mergeCell ref="C2743:D2743"/>
    <mergeCell ref="C2744:D2744"/>
    <mergeCell ref="C2745:D2745"/>
    <mergeCell ref="C2746:D2746"/>
    <mergeCell ref="C2759:D2759"/>
    <mergeCell ref="C2760:D2760"/>
    <mergeCell ref="C2761:D2761"/>
    <mergeCell ref="C2762:D2762"/>
    <mergeCell ref="C2763:D2763"/>
    <mergeCell ref="C2764:D2764"/>
    <mergeCell ref="C2766:D2766"/>
    <mergeCell ref="C2767:D2767"/>
    <mergeCell ref="C2768:D2768"/>
    <mergeCell ref="C2769:D2769"/>
    <mergeCell ref="C2770:D2770"/>
    <mergeCell ref="C2771:D2771"/>
    <mergeCell ref="C2772:D2772"/>
    <mergeCell ref="C2773:D2773"/>
    <mergeCell ref="C2774:D2774"/>
    <mergeCell ref="C2775:D2775"/>
    <mergeCell ref="C2776:D2776"/>
    <mergeCell ref="C2777:D2777"/>
    <mergeCell ref="C2778:D2778"/>
    <mergeCell ref="C2779:D2779"/>
    <mergeCell ref="C2780:D2780"/>
    <mergeCell ref="C2781:D2781"/>
    <mergeCell ref="C2783:D2783"/>
    <mergeCell ref="C2784:D2784"/>
    <mergeCell ref="C2785:D2785"/>
    <mergeCell ref="C2786:D2786"/>
    <mergeCell ref="C2787:D2787"/>
    <mergeCell ref="C2788:D2788"/>
    <mergeCell ref="C2791:D2791"/>
    <mergeCell ref="C2792:D2792"/>
    <mergeCell ref="C2793:D2793"/>
    <mergeCell ref="C2794:D2794"/>
    <mergeCell ref="C2796:D2796"/>
    <mergeCell ref="C2797:D2797"/>
    <mergeCell ref="C2798:D2798"/>
    <mergeCell ref="C2799:D2799"/>
    <mergeCell ref="C2800:D2800"/>
    <mergeCell ref="C2802:D2802"/>
    <mergeCell ref="C2803:D2803"/>
    <mergeCell ref="C2804:D2804"/>
    <mergeCell ref="C2805:D2805"/>
    <mergeCell ref="C2806:D2806"/>
    <mergeCell ref="C2807:D2807"/>
    <mergeCell ref="C2808:D2808"/>
    <mergeCell ref="C2809:D2809"/>
    <mergeCell ref="C2811:D2811"/>
    <mergeCell ref="C2812:D2812"/>
    <mergeCell ref="C2813:D2813"/>
    <mergeCell ref="C2815:D2815"/>
    <mergeCell ref="C2816:D2816"/>
    <mergeCell ref="C2818:D2818"/>
    <mergeCell ref="C2819:D2819"/>
    <mergeCell ref="C2820:D2820"/>
    <mergeCell ref="C2821:D2821"/>
    <mergeCell ref="C2822:D2822"/>
    <mergeCell ref="C2823:D2823"/>
    <mergeCell ref="C2824:D2824"/>
    <mergeCell ref="C2825:D2825"/>
    <mergeCell ref="C2826:D2826"/>
    <mergeCell ref="C2827:D2827"/>
    <mergeCell ref="C2828:D2828"/>
    <mergeCell ref="C2829:D2829"/>
    <mergeCell ref="C2830:D2830"/>
    <mergeCell ref="C2831:D2831"/>
    <mergeCell ref="C2832:D2832"/>
    <mergeCell ref="C2834:D2834"/>
    <mergeCell ref="C2835:D2835"/>
    <mergeCell ref="C2836:D2836"/>
    <mergeCell ref="C2837:D2837"/>
    <mergeCell ref="C2838:D2838"/>
    <mergeCell ref="C2839:D2839"/>
    <mergeCell ref="C2840:D2840"/>
    <mergeCell ref="C2841:D2841"/>
    <mergeCell ref="C2842:D2842"/>
    <mergeCell ref="C2843:D2843"/>
    <mergeCell ref="C2844:D2844"/>
    <mergeCell ref="C2845:D2845"/>
    <mergeCell ref="C2846:D2846"/>
    <mergeCell ref="C2847:D2847"/>
    <mergeCell ref="C2848:D2848"/>
    <mergeCell ref="C2849:D2849"/>
    <mergeCell ref="C2851:D2851"/>
    <mergeCell ref="C2852:D2852"/>
    <mergeCell ref="C2853:D2853"/>
    <mergeCell ref="C2854:D2854"/>
    <mergeCell ref="C2855:D2855"/>
    <mergeCell ref="C2856:D2856"/>
    <mergeCell ref="C2857:D2857"/>
    <mergeCell ref="C2858:D2858"/>
    <mergeCell ref="C2859:D2859"/>
    <mergeCell ref="C2860:D2860"/>
    <mergeCell ref="C2861:D2861"/>
    <mergeCell ref="C2862:D2862"/>
    <mergeCell ref="C2863:D2863"/>
    <mergeCell ref="C2864:D2864"/>
    <mergeCell ref="C2865:D2865"/>
    <mergeCell ref="C2866:D2866"/>
    <mergeCell ref="C2867:D2867"/>
    <mergeCell ref="C2868:D2868"/>
    <mergeCell ref="C2869:D2869"/>
    <mergeCell ref="C2870:D2870"/>
    <mergeCell ref="C2871:D2871"/>
    <mergeCell ref="C2872:D2872"/>
    <mergeCell ref="C2874:D2874"/>
    <mergeCell ref="C2875:D2875"/>
    <mergeCell ref="C2876:D2876"/>
    <mergeCell ref="C2877:D2877"/>
    <mergeCell ref="C2878:D2878"/>
    <mergeCell ref="C2879:D2879"/>
    <mergeCell ref="C2880:D2880"/>
    <mergeCell ref="C2881:D2881"/>
    <mergeCell ref="C2882:D2882"/>
    <mergeCell ref="C2883:D2883"/>
    <mergeCell ref="C2885:D2885"/>
    <mergeCell ref="C2886:D2886"/>
    <mergeCell ref="C2887:D2887"/>
    <mergeCell ref="C2888:D2888"/>
    <mergeCell ref="C2890:D2890"/>
    <mergeCell ref="C2891:D2891"/>
    <mergeCell ref="C2892:D2892"/>
    <mergeCell ref="C2893:D2893"/>
    <mergeCell ref="C2895:D2895"/>
    <mergeCell ref="C2896:D2896"/>
    <mergeCell ref="C2897:D2897"/>
    <mergeCell ref="C2898:D2898"/>
    <mergeCell ref="C2899:D2899"/>
    <mergeCell ref="C2900:D2900"/>
    <mergeCell ref="C2901:D2901"/>
    <mergeCell ref="C2902:D2902"/>
    <mergeCell ref="C2903:D2903"/>
    <mergeCell ref="C2905:D2905"/>
    <mergeCell ref="C2906:D2906"/>
    <mergeCell ref="C2907:D2907"/>
    <mergeCell ref="C2908:D2908"/>
    <mergeCell ref="C2909:D2909"/>
    <mergeCell ref="C2911:D2911"/>
    <mergeCell ref="C2912:D2912"/>
    <mergeCell ref="C2913:D2913"/>
    <mergeCell ref="C2914:D2914"/>
    <mergeCell ref="C2915:D2915"/>
    <mergeCell ref="C2916:D2916"/>
    <mergeCell ref="C2917:D2917"/>
    <mergeCell ref="C2918:D2918"/>
    <mergeCell ref="C2919:D2919"/>
    <mergeCell ref="C2920:D2920"/>
    <mergeCell ref="C2921:D2921"/>
    <mergeCell ref="C2923:D2923"/>
    <mergeCell ref="C2924:D2924"/>
    <mergeCell ref="C2925:D2925"/>
    <mergeCell ref="C2926:D2926"/>
    <mergeCell ref="C2927:D2927"/>
    <mergeCell ref="C2928:D2928"/>
    <mergeCell ref="C2930:D2930"/>
    <mergeCell ref="C2931:D2931"/>
    <mergeCell ref="C2932:D2932"/>
    <mergeCell ref="C2933:D2933"/>
    <mergeCell ref="C2934:D2934"/>
    <mergeCell ref="C2935:D2935"/>
    <mergeCell ref="C2936:D2936"/>
    <mergeCell ref="C2937:D2937"/>
    <mergeCell ref="C2938:D2938"/>
    <mergeCell ref="C2939:D2939"/>
    <mergeCell ref="C2940:D2940"/>
    <mergeCell ref="C2941:D2941"/>
    <mergeCell ref="C2943:D2943"/>
    <mergeCell ref="C2944:D2944"/>
    <mergeCell ref="C2945:D2945"/>
    <mergeCell ref="C2946:D2946"/>
    <mergeCell ref="C2947:D2947"/>
    <mergeCell ref="C2948:D2948"/>
    <mergeCell ref="C2950:D2950"/>
    <mergeCell ref="C2951:D2951"/>
    <mergeCell ref="C2952:D2952"/>
    <mergeCell ref="C2953:D2953"/>
    <mergeCell ref="C2954:D2954"/>
    <mergeCell ref="C2955:D2955"/>
    <mergeCell ref="C2956:D2956"/>
    <mergeCell ref="C2957:D2957"/>
    <mergeCell ref="C2958:D2958"/>
    <mergeCell ref="C2959:D2959"/>
    <mergeCell ref="C2960:D2960"/>
    <mergeCell ref="C2961:D2961"/>
    <mergeCell ref="C2962:D2962"/>
    <mergeCell ref="C2964:D2964"/>
    <mergeCell ref="C2965:D2965"/>
    <mergeCell ref="C2966:D2966"/>
    <mergeCell ref="C2967:D2967"/>
    <mergeCell ref="C2968:D2968"/>
    <mergeCell ref="C2969:D2969"/>
    <mergeCell ref="C2970:D2970"/>
    <mergeCell ref="C2972:D2972"/>
    <mergeCell ref="C2973:D2973"/>
    <mergeCell ref="C2974:D2974"/>
    <mergeCell ref="C2975:D2975"/>
    <mergeCell ref="C2976:D2976"/>
    <mergeCell ref="C2977:D2977"/>
    <mergeCell ref="C2978:D2978"/>
    <mergeCell ref="C2979:D2979"/>
    <mergeCell ref="C2980:D2980"/>
    <mergeCell ref="C2982:D2982"/>
    <mergeCell ref="C2983:D2983"/>
    <mergeCell ref="C2984:D2984"/>
    <mergeCell ref="C2986:D2986"/>
    <mergeCell ref="C2988:D2988"/>
    <mergeCell ref="C2989:D2989"/>
    <mergeCell ref="C2990:D2990"/>
    <mergeCell ref="C2991:D2991"/>
    <mergeCell ref="C2992:D2992"/>
    <mergeCell ref="C2993:D2993"/>
    <mergeCell ref="C2994:D2994"/>
    <mergeCell ref="C2996:D2996"/>
    <mergeCell ref="C2997:D2997"/>
    <mergeCell ref="C2998:D2998"/>
    <mergeCell ref="C2999:D2999"/>
    <mergeCell ref="C3000:D3000"/>
    <mergeCell ref="C3001:D3001"/>
    <mergeCell ref="C3002:D3002"/>
    <mergeCell ref="C3003:D3003"/>
    <mergeCell ref="C3004:D3004"/>
    <mergeCell ref="C3005:D3005"/>
    <mergeCell ref="C3006:D3006"/>
    <mergeCell ref="C3007:D3007"/>
    <mergeCell ref="C3008:D3008"/>
    <mergeCell ref="C3010:D3010"/>
    <mergeCell ref="C3011:D3011"/>
    <mergeCell ref="C3012:D3012"/>
    <mergeCell ref="C3013:D3013"/>
    <mergeCell ref="C3014:D3014"/>
    <mergeCell ref="C3015:D3015"/>
    <mergeCell ref="C3016:D3016"/>
    <mergeCell ref="C3017:D3017"/>
    <mergeCell ref="C3019:D3019"/>
    <mergeCell ref="C3021:D3021"/>
    <mergeCell ref="C3022:D3022"/>
    <mergeCell ref="C3023:D3023"/>
    <mergeCell ref="C3024:D3024"/>
    <mergeCell ref="C3025:D3025"/>
    <mergeCell ref="C3026:D3026"/>
    <mergeCell ref="C3027:D3027"/>
    <mergeCell ref="C3028:D3028"/>
    <mergeCell ref="C3029:D3029"/>
    <mergeCell ref="C3030:D3030"/>
    <mergeCell ref="C3077:D3077"/>
    <mergeCell ref="C3078:D3078"/>
    <mergeCell ref="C3079:D3079"/>
    <mergeCell ref="C3080:D3080"/>
    <mergeCell ref="C3081:D3081"/>
    <mergeCell ref="C3082:D3082"/>
    <mergeCell ref="C3083:D3083"/>
    <mergeCell ref="C3084:D3084"/>
    <mergeCell ref="C3085:D3085"/>
    <mergeCell ref="C3086:D3086"/>
    <mergeCell ref="C3087:D3087"/>
    <mergeCell ref="C3088:D3088"/>
    <mergeCell ref="C3089:D3089"/>
    <mergeCell ref="C3064:D3064"/>
    <mergeCell ref="C3065:D3065"/>
    <mergeCell ref="C3066:D3066"/>
    <mergeCell ref="C3067:D3067"/>
    <mergeCell ref="C3068:D3068"/>
    <mergeCell ref="C3069:D3069"/>
    <mergeCell ref="C3070:D3070"/>
    <mergeCell ref="C3071:D3071"/>
    <mergeCell ref="C3072:D3072"/>
    <mergeCell ref="C3074:D3074"/>
    <mergeCell ref="C3075:D3075"/>
    <mergeCell ref="C3090:D3090"/>
    <mergeCell ref="C3031:D3031"/>
    <mergeCell ref="C3032:D3032"/>
    <mergeCell ref="C3033:D3033"/>
    <mergeCell ref="C3034:D3034"/>
    <mergeCell ref="C3035:D3035"/>
    <mergeCell ref="C3036:D3036"/>
    <mergeCell ref="C3037:D3037"/>
    <mergeCell ref="C3038:D3038"/>
    <mergeCell ref="C3039:D3039"/>
    <mergeCell ref="C3040:D3040"/>
    <mergeCell ref="C3041:D3041"/>
    <mergeCell ref="C3042:D3042"/>
    <mergeCell ref="C3043:D3043"/>
    <mergeCell ref="C3044:D3044"/>
    <mergeCell ref="C3045:D3045"/>
    <mergeCell ref="C3046:D3046"/>
    <mergeCell ref="C3047:D3047"/>
    <mergeCell ref="C3048:D3048"/>
    <mergeCell ref="C3050:D3050"/>
    <mergeCell ref="C3051:D3051"/>
    <mergeCell ref="C3052:D3052"/>
    <mergeCell ref="C3053:D3053"/>
    <mergeCell ref="C3054:D3054"/>
    <mergeCell ref="C3055:D3055"/>
    <mergeCell ref="C3057:D3057"/>
    <mergeCell ref="C3058:D3058"/>
    <mergeCell ref="C3059:D3059"/>
    <mergeCell ref="C3060:D3060"/>
    <mergeCell ref="C3061:D3061"/>
    <mergeCell ref="C3062:D3062"/>
    <mergeCell ref="C3063:D3063"/>
    <mergeCell ref="C3092:D3092"/>
    <mergeCell ref="C3093:D3093"/>
    <mergeCell ref="C3094:D3094"/>
    <mergeCell ref="C3095:D3095"/>
    <mergeCell ref="C3096:D3096"/>
    <mergeCell ref="C3097:D3097"/>
    <mergeCell ref="C3098:D3098"/>
    <mergeCell ref="C3099:D3099"/>
    <mergeCell ref="C3100:D3100"/>
    <mergeCell ref="C3102:D3102"/>
    <mergeCell ref="C3104:D3104"/>
    <mergeCell ref="C3105:D3105"/>
    <mergeCell ref="C3106:D3106"/>
    <mergeCell ref="C3107:D3107"/>
    <mergeCell ref="C3108:D3108"/>
    <mergeCell ref="C3109:D3109"/>
    <mergeCell ref="C3111:D3111"/>
    <mergeCell ref="C3112:D3112"/>
    <mergeCell ref="C3113:D3113"/>
    <mergeCell ref="C3114:D3114"/>
    <mergeCell ref="C3115:D3115"/>
    <mergeCell ref="C3116:D3116"/>
    <mergeCell ref="C3117:D3117"/>
    <mergeCell ref="C3118:D3118"/>
    <mergeCell ref="C3119:D3119"/>
    <mergeCell ref="C3121:D3121"/>
    <mergeCell ref="C3122:D3122"/>
    <mergeCell ref="C3124:D3124"/>
    <mergeCell ref="C3125:D3125"/>
    <mergeCell ref="C3126:D3126"/>
    <mergeCell ref="C3127:D3127"/>
    <mergeCell ref="C3128:D3128"/>
    <mergeCell ref="C3129:D3129"/>
    <mergeCell ref="C3130:D3130"/>
    <mergeCell ref="C3131:D3131"/>
    <mergeCell ref="C3132:D3132"/>
    <mergeCell ref="C3133:D3133"/>
    <mergeCell ref="C3134:D3134"/>
    <mergeCell ref="C3135:D3135"/>
    <mergeCell ref="C3136:D3136"/>
    <mergeCell ref="C3137:D3137"/>
    <mergeCell ref="C3138:D3138"/>
    <mergeCell ref="C3140:D3140"/>
    <mergeCell ref="C3141:D3141"/>
    <mergeCell ref="C3143:D3143"/>
    <mergeCell ref="C3144:D3144"/>
    <mergeCell ref="C3145:D3145"/>
    <mergeCell ref="C3146:D3146"/>
    <mergeCell ref="C3147:D3147"/>
    <mergeCell ref="C3148:D3148"/>
    <mergeCell ref="C3149:D3149"/>
    <mergeCell ref="C3150:D3150"/>
    <mergeCell ref="C3151:D3151"/>
    <mergeCell ref="C3152:D3152"/>
    <mergeCell ref="C3153:D3153"/>
    <mergeCell ref="C3154:D3154"/>
    <mergeCell ref="C3155:D3155"/>
    <mergeCell ref="C3156:D3156"/>
    <mergeCell ref="C3157:D3157"/>
    <mergeCell ref="C3158:D3158"/>
    <mergeCell ref="C3160:D3160"/>
    <mergeCell ref="C3161:D3161"/>
    <mergeCell ref="C3163:D3163"/>
    <mergeCell ref="C3164:D3164"/>
    <mergeCell ref="C3165:D3165"/>
    <mergeCell ref="C3166:D3166"/>
    <mergeCell ref="C3167:D3167"/>
    <mergeCell ref="C3168:D3168"/>
    <mergeCell ref="C3169:D3169"/>
    <mergeCell ref="C3171:D3171"/>
    <mergeCell ref="C3172:D3172"/>
    <mergeCell ref="C3173:D3173"/>
    <mergeCell ref="C3175:D3175"/>
    <mergeCell ref="C3176:D3176"/>
    <mergeCell ref="C3178:D3178"/>
    <mergeCell ref="C3179:D3179"/>
    <mergeCell ref="C3180:D3180"/>
    <mergeCell ref="C3181:D3181"/>
    <mergeCell ref="C3182:D3182"/>
    <mergeCell ref="C3183:D3183"/>
    <mergeCell ref="C3184:D3184"/>
    <mergeCell ref="C3185:D3185"/>
    <mergeCell ref="C3186:D3186"/>
    <mergeCell ref="C3187:D3187"/>
    <mergeCell ref="C3188:D3188"/>
    <mergeCell ref="C3189:D3189"/>
    <mergeCell ref="C3190:D3190"/>
    <mergeCell ref="C3191:D3191"/>
    <mergeCell ref="C3193:D3193"/>
    <mergeCell ref="C3194:D3194"/>
    <mergeCell ref="C3196:D3196"/>
    <mergeCell ref="C3198:D3198"/>
    <mergeCell ref="C3200:D3200"/>
    <mergeCell ref="C3201:D3201"/>
    <mergeCell ref="C3202:D3202"/>
    <mergeCell ref="C3204:D3204"/>
    <mergeCell ref="C3205:D3205"/>
    <mergeCell ref="C3206:D3206"/>
    <mergeCell ref="C3207:D3207"/>
    <mergeCell ref="C3208:D3208"/>
    <mergeCell ref="C3209:D3209"/>
    <mergeCell ref="C3210:D3210"/>
    <mergeCell ref="C3211:D3211"/>
    <mergeCell ref="C3213:D3213"/>
    <mergeCell ref="C3214:D3214"/>
    <mergeCell ref="C3215:D3215"/>
    <mergeCell ref="C3216:D3216"/>
    <mergeCell ref="C3217:D3217"/>
    <mergeCell ref="C3218:D3218"/>
    <mergeCell ref="C3219:D3219"/>
    <mergeCell ref="C3220:D3220"/>
    <mergeCell ref="C3221:D3221"/>
    <mergeCell ref="C3222:D3222"/>
    <mergeCell ref="C3223:D3223"/>
    <mergeCell ref="C3224:D3224"/>
    <mergeCell ref="C3225:D3225"/>
    <mergeCell ref="C3226:D3226"/>
    <mergeCell ref="C3227:D3227"/>
    <mergeCell ref="C3228:D3228"/>
    <mergeCell ref="C3229:D3229"/>
    <mergeCell ref="C3230:D3230"/>
    <mergeCell ref="C3231:D3231"/>
    <mergeCell ref="C3232:D3232"/>
    <mergeCell ref="C3233:D3233"/>
    <mergeCell ref="C3234:D3234"/>
    <mergeCell ref="C3235:D3235"/>
    <mergeCell ref="C3236:D3236"/>
    <mergeCell ref="C3237:D3237"/>
    <mergeCell ref="C3238:D3238"/>
    <mergeCell ref="C3239:D3239"/>
    <mergeCell ref="C3240:D3240"/>
    <mergeCell ref="C3241:D3241"/>
    <mergeCell ref="C3242:D3242"/>
    <mergeCell ref="C3243:D3243"/>
    <mergeCell ref="C3244:D3244"/>
    <mergeCell ref="C3245:D3245"/>
    <mergeCell ref="C3246:D3246"/>
    <mergeCell ref="C3247:D3247"/>
    <mergeCell ref="C3248:D3248"/>
    <mergeCell ref="C3249:D3249"/>
    <mergeCell ref="C3250:D3250"/>
    <mergeCell ref="C3251:D3251"/>
    <mergeCell ref="C3252:D3252"/>
    <mergeCell ref="C3253:D3253"/>
    <mergeCell ref="C3254:D3254"/>
    <mergeCell ref="C3255:D3255"/>
    <mergeCell ref="C3256:D3256"/>
    <mergeCell ref="C3258:D3258"/>
    <mergeCell ref="C3259:D3259"/>
    <mergeCell ref="C3260:D3260"/>
    <mergeCell ref="C3261:D3261"/>
    <mergeCell ref="C3262:D3262"/>
    <mergeCell ref="C3263:D3263"/>
    <mergeCell ref="C3264:D3264"/>
    <mergeCell ref="C3265:D3265"/>
    <mergeCell ref="C3266:D3266"/>
    <mergeCell ref="C3268:D3268"/>
    <mergeCell ref="C3270:D3270"/>
    <mergeCell ref="C3271:D3271"/>
    <mergeCell ref="C3272:D3272"/>
    <mergeCell ref="C3273:D3273"/>
    <mergeCell ref="C3274:D3274"/>
    <mergeCell ref="C3275:D3275"/>
    <mergeCell ref="C3276:D3276"/>
    <mergeCell ref="C3277:D3277"/>
    <mergeCell ref="C3278:D3278"/>
    <mergeCell ref="C3279:D3279"/>
    <mergeCell ref="C3280:D3280"/>
    <mergeCell ref="C3281:D3281"/>
    <mergeCell ref="C3282:D3282"/>
    <mergeCell ref="C3283:D3283"/>
    <mergeCell ref="C3284:D3284"/>
    <mergeCell ref="C3285:D3285"/>
    <mergeCell ref="C3286:D3286"/>
    <mergeCell ref="C3287:D3287"/>
    <mergeCell ref="C3288:D3288"/>
    <mergeCell ref="C3289:D3289"/>
    <mergeCell ref="C3290:D3290"/>
    <mergeCell ref="C3292:D3292"/>
    <mergeCell ref="C3293:D3293"/>
    <mergeCell ref="C3294:D3294"/>
    <mergeCell ref="C3295:D3295"/>
    <mergeCell ref="C3296:D3296"/>
    <mergeCell ref="C3297:D3297"/>
    <mergeCell ref="C3298:D3298"/>
    <mergeCell ref="C3299:D3299"/>
    <mergeCell ref="C3300:D3300"/>
    <mergeCell ref="C3301:D3301"/>
    <mergeCell ref="C3302:D3302"/>
    <mergeCell ref="C3303:D3303"/>
    <mergeCell ref="C3304:D3304"/>
    <mergeCell ref="C3305:D3305"/>
    <mergeCell ref="C3306:D3306"/>
    <mergeCell ref="C3307:D3307"/>
    <mergeCell ref="C3308:D3308"/>
    <mergeCell ref="C3309:D3309"/>
    <mergeCell ref="C3310:D3310"/>
    <mergeCell ref="C3311:D3311"/>
    <mergeCell ref="C3312:D3312"/>
    <mergeCell ref="C3313:D3313"/>
    <mergeCell ref="C3314:D3314"/>
    <mergeCell ref="C3315:D3315"/>
    <mergeCell ref="C3316:D3316"/>
    <mergeCell ref="C3317:D3317"/>
    <mergeCell ref="C3318:D3318"/>
    <mergeCell ref="C3319:D3319"/>
    <mergeCell ref="C3320:D3320"/>
    <mergeCell ref="C3322:D3322"/>
    <mergeCell ref="C3323:D3323"/>
    <mergeCell ref="C3324:D3324"/>
    <mergeCell ref="C3325:D3325"/>
    <mergeCell ref="C3326:D3326"/>
    <mergeCell ref="C3327:D3327"/>
    <mergeCell ref="C3328:D3328"/>
    <mergeCell ref="C3329:D3329"/>
    <mergeCell ref="C3330:D3330"/>
    <mergeCell ref="C3331:D3331"/>
    <mergeCell ref="C3332:D3332"/>
    <mergeCell ref="C3333:D3333"/>
    <mergeCell ref="C3334:D3334"/>
    <mergeCell ref="C3335:D3335"/>
    <mergeCell ref="C3336:D3336"/>
    <mergeCell ref="C3337:D3337"/>
    <mergeCell ref="C3339:D3339"/>
    <mergeCell ref="C3340:D3340"/>
    <mergeCell ref="C3341:D3341"/>
    <mergeCell ref="C3342:D3342"/>
    <mergeCell ref="C3343:D3343"/>
    <mergeCell ref="C3344:D3344"/>
    <mergeCell ref="C3345:D3345"/>
    <mergeCell ref="C3346:D3346"/>
    <mergeCell ref="C3347:D3347"/>
    <mergeCell ref="C3348:D3348"/>
    <mergeCell ref="C3349:D3349"/>
    <mergeCell ref="C3350:D3350"/>
    <mergeCell ref="C3351:D3351"/>
    <mergeCell ref="C3352:D3352"/>
    <mergeCell ref="C3353:D3353"/>
    <mergeCell ref="C3354:D3354"/>
    <mergeCell ref="C3355:D3355"/>
    <mergeCell ref="C3356:D3356"/>
    <mergeCell ref="C3357:D3357"/>
    <mergeCell ref="C3358:D3358"/>
    <mergeCell ref="C3359:D3359"/>
    <mergeCell ref="C3360:D3360"/>
    <mergeCell ref="C3361:D3361"/>
    <mergeCell ref="C3362:D3362"/>
    <mergeCell ref="C3364:D3364"/>
    <mergeCell ref="C3365:D3365"/>
    <mergeCell ref="C3366:D3366"/>
    <mergeCell ref="C3367:D3367"/>
    <mergeCell ref="C3368:D3368"/>
    <mergeCell ref="C3369:D3369"/>
    <mergeCell ref="C3370:D3370"/>
    <mergeCell ref="C3371:D3371"/>
    <mergeCell ref="C3372:D3372"/>
    <mergeCell ref="C3373:D3373"/>
    <mergeCell ref="C3374:D3374"/>
    <mergeCell ref="C3375:D3375"/>
    <mergeCell ref="C3376:D3376"/>
    <mergeCell ref="C3377:D3377"/>
    <mergeCell ref="C3378:D3378"/>
    <mergeCell ref="C3380:D3380"/>
    <mergeCell ref="C3381:D3381"/>
    <mergeCell ref="C3382:D3382"/>
    <mergeCell ref="C3383:D3383"/>
    <mergeCell ref="C3384:D3384"/>
    <mergeCell ref="C3386:D3386"/>
    <mergeCell ref="C3388:D3388"/>
    <mergeCell ref="C3389:D3389"/>
    <mergeCell ref="C3390:D3390"/>
    <mergeCell ref="C3391:D3391"/>
    <mergeCell ref="C3392:D3392"/>
    <mergeCell ref="C3393:D3393"/>
    <mergeCell ref="C3394:D3394"/>
    <mergeCell ref="C3395:D3395"/>
    <mergeCell ref="C3396:D3396"/>
    <mergeCell ref="C3397:D3397"/>
    <mergeCell ref="C3398:D3398"/>
    <mergeCell ref="C3399:D3399"/>
    <mergeCell ref="C3400:D3400"/>
    <mergeCell ref="C3402:D3402"/>
    <mergeCell ref="C3403:D3403"/>
    <mergeCell ref="C3404:D3404"/>
    <mergeCell ref="C3405:D3405"/>
    <mergeCell ref="C3406:D3406"/>
    <mergeCell ref="C3407:D3407"/>
    <mergeCell ref="C3408:D3408"/>
    <mergeCell ref="C3410:D3410"/>
    <mergeCell ref="C3411:D3411"/>
    <mergeCell ref="C3412:D3412"/>
    <mergeCell ref="C3414:D3414"/>
    <mergeCell ref="C3416:D3416"/>
    <mergeCell ref="C3417:D3417"/>
    <mergeCell ref="C3418:D3418"/>
    <mergeCell ref="C3419:D3419"/>
    <mergeCell ref="C3420:D3420"/>
    <mergeCell ref="C3421:D3421"/>
    <mergeCell ref="C3423:D3423"/>
    <mergeCell ref="C3424:D3424"/>
    <mergeCell ref="C3425:D3425"/>
    <mergeCell ref="C3426:D3426"/>
    <mergeCell ref="C3427:D3427"/>
    <mergeCell ref="C3428:D3428"/>
    <mergeCell ref="C3429:D3429"/>
    <mergeCell ref="C3430:D3430"/>
    <mergeCell ref="C3431:D3431"/>
    <mergeCell ref="C3432:D3432"/>
    <mergeCell ref="C3433:D3433"/>
    <mergeCell ref="C3434:D3434"/>
    <mergeCell ref="C3435:D3435"/>
    <mergeCell ref="C3436:D3436"/>
    <mergeCell ref="C3437:D3437"/>
    <mergeCell ref="C3438:D3438"/>
    <mergeCell ref="C3439:D3439"/>
    <mergeCell ref="C3440:D3440"/>
    <mergeCell ref="C3441:D3441"/>
    <mergeCell ref="C3442:D3442"/>
    <mergeCell ref="C3443:D3443"/>
    <mergeCell ref="C3444:D3444"/>
    <mergeCell ref="C3445:D3445"/>
    <mergeCell ref="C3446:D3446"/>
    <mergeCell ref="C3447:D3447"/>
    <mergeCell ref="C3448:D3448"/>
    <mergeCell ref="C3449:D3449"/>
    <mergeCell ref="C3450:D3450"/>
    <mergeCell ref="C3451:D3451"/>
    <mergeCell ref="C3452:D3452"/>
    <mergeCell ref="C3453:D3453"/>
    <mergeCell ref="C3454:D3454"/>
    <mergeCell ref="C3455:D3455"/>
    <mergeCell ref="C3456:D3456"/>
    <mergeCell ref="C3457:D3457"/>
    <mergeCell ref="C3458:D3458"/>
    <mergeCell ref="C3459:D3459"/>
    <mergeCell ref="C3460:D3460"/>
    <mergeCell ref="C3462:D3462"/>
    <mergeCell ref="C3463:D3463"/>
    <mergeCell ref="C3464:D3464"/>
    <mergeCell ref="C3465:D3465"/>
    <mergeCell ref="C3466:D3466"/>
    <mergeCell ref="C3467:D3467"/>
    <mergeCell ref="C3468:D3468"/>
    <mergeCell ref="C3469:D3469"/>
    <mergeCell ref="C3470:D3470"/>
    <mergeCell ref="C3471:D3471"/>
    <mergeCell ref="C3472:D3472"/>
    <mergeCell ref="C3473:D3473"/>
    <mergeCell ref="C3474:D3474"/>
    <mergeCell ref="C3475:D3475"/>
    <mergeCell ref="C3476:D3476"/>
    <mergeCell ref="C3477:D3477"/>
    <mergeCell ref="C3478:D3478"/>
    <mergeCell ref="C3479:D3479"/>
    <mergeCell ref="C3480:D3480"/>
    <mergeCell ref="C3481:D3481"/>
    <mergeCell ref="C3482:D3482"/>
    <mergeCell ref="C3483:D3483"/>
    <mergeCell ref="C3484:D3484"/>
    <mergeCell ref="C3485:D3485"/>
    <mergeCell ref="C3486:D3486"/>
    <mergeCell ref="C3487:D3487"/>
    <mergeCell ref="C3488:D3488"/>
    <mergeCell ref="C3489:D3489"/>
    <mergeCell ref="C3490:D3490"/>
    <mergeCell ref="C3491:D3491"/>
    <mergeCell ref="C3492:D3492"/>
    <mergeCell ref="C3493:D3493"/>
    <mergeCell ref="C3494:D3494"/>
    <mergeCell ref="C3495:D3495"/>
    <mergeCell ref="C3496:D3496"/>
    <mergeCell ref="C3497:D3497"/>
    <mergeCell ref="C3498:D3498"/>
    <mergeCell ref="C3499:D3499"/>
    <mergeCell ref="C3500:D3500"/>
    <mergeCell ref="C3501:D3501"/>
    <mergeCell ref="C3502:D3502"/>
    <mergeCell ref="C3503:D3503"/>
    <mergeCell ref="C3504:D3504"/>
    <mergeCell ref="C3505:D3505"/>
    <mergeCell ref="C3506:D3506"/>
    <mergeCell ref="C3507:D3507"/>
    <mergeCell ref="C3508:D3508"/>
    <mergeCell ref="C3510:D3510"/>
    <mergeCell ref="C3511:D3511"/>
    <mergeCell ref="C3512:D3512"/>
    <mergeCell ref="C3513:D3513"/>
    <mergeCell ref="C3514:D3514"/>
    <mergeCell ref="C3515:D3515"/>
    <mergeCell ref="C3516:D3516"/>
    <mergeCell ref="C3517:D3517"/>
    <mergeCell ref="C3518:D3518"/>
    <mergeCell ref="C3519:D3519"/>
    <mergeCell ref="C3520:D3520"/>
    <mergeCell ref="C3521:D3521"/>
    <mergeCell ref="C3523:D3523"/>
    <mergeCell ref="C3524:D3524"/>
    <mergeCell ref="C3525:D3525"/>
    <mergeCell ref="C3526:D3526"/>
    <mergeCell ref="C3527:D3527"/>
    <mergeCell ref="C3528:D3528"/>
    <mergeCell ref="C3529:D3529"/>
    <mergeCell ref="C3530:D3530"/>
    <mergeCell ref="C3531:D3531"/>
    <mergeCell ref="C3532:D3532"/>
    <mergeCell ref="C3533:D3533"/>
    <mergeCell ref="C3534:D3534"/>
    <mergeCell ref="C3535:D3535"/>
    <mergeCell ref="C3536:D3536"/>
    <mergeCell ref="C3537:D3537"/>
    <mergeCell ref="C3538:D3538"/>
    <mergeCell ref="C3539:D3539"/>
    <mergeCell ref="C3540:D3540"/>
    <mergeCell ref="C3541:D3541"/>
    <mergeCell ref="C3542:D3542"/>
    <mergeCell ref="C3544:D3544"/>
    <mergeCell ref="C3545:D3545"/>
    <mergeCell ref="C3546:D3546"/>
    <mergeCell ref="C3547:D3547"/>
    <mergeCell ref="C3548:D3548"/>
    <mergeCell ref="C3549:D3549"/>
    <mergeCell ref="C3550:D3550"/>
    <mergeCell ref="C3551:D3551"/>
    <mergeCell ref="C3552:D3552"/>
    <mergeCell ref="C3553:D3553"/>
    <mergeCell ref="C3554:D3554"/>
    <mergeCell ref="C3555:D3555"/>
    <mergeCell ref="C3556:D3556"/>
    <mergeCell ref="C3557:D3557"/>
    <mergeCell ref="C3558:D3558"/>
    <mergeCell ref="C3559:D3559"/>
    <mergeCell ref="C3560:D3560"/>
    <mergeCell ref="C3561:D3561"/>
    <mergeCell ref="C3562:D3562"/>
    <mergeCell ref="C3563:D3563"/>
    <mergeCell ref="C3564:D3564"/>
    <mergeCell ref="C3565:D3565"/>
    <mergeCell ref="C3568:D3568"/>
    <mergeCell ref="C3569:D3569"/>
    <mergeCell ref="C3570:D3570"/>
    <mergeCell ref="C3571:D3571"/>
    <mergeCell ref="C3572:D3572"/>
    <mergeCell ref="C3573:D3573"/>
    <mergeCell ref="C3574:D3574"/>
    <mergeCell ref="C3575:D3575"/>
    <mergeCell ref="C3576:D3576"/>
    <mergeCell ref="C3578:D3578"/>
    <mergeCell ref="C3579:D3579"/>
    <mergeCell ref="C3580:D3580"/>
    <mergeCell ref="C3581:D3581"/>
    <mergeCell ref="C3582:D3582"/>
    <mergeCell ref="C3583:D3583"/>
    <mergeCell ref="C3584:D3584"/>
    <mergeCell ref="C3585:D3585"/>
    <mergeCell ref="C3586:D3586"/>
    <mergeCell ref="C3587:D3587"/>
    <mergeCell ref="C3588:D3588"/>
    <mergeCell ref="C3589:D3589"/>
    <mergeCell ref="C3590:D3590"/>
    <mergeCell ref="C3591:D3591"/>
    <mergeCell ref="C3592:D3592"/>
    <mergeCell ref="C3593:D3593"/>
    <mergeCell ref="C3594:D3594"/>
    <mergeCell ref="C3595:D3595"/>
    <mergeCell ref="C3596:D3596"/>
    <mergeCell ref="C3597:D3597"/>
    <mergeCell ref="C3598:D3598"/>
    <mergeCell ref="C3599:D3599"/>
    <mergeCell ref="C3600:D3600"/>
    <mergeCell ref="C3601:D3601"/>
    <mergeCell ref="C3602:D3602"/>
    <mergeCell ref="C3603:D3603"/>
    <mergeCell ref="C3604:D3604"/>
    <mergeCell ref="C3605:D3605"/>
    <mergeCell ref="C3606:D3606"/>
    <mergeCell ref="C3607:D3607"/>
    <mergeCell ref="C3608:D3608"/>
    <mergeCell ref="C3609:D3609"/>
    <mergeCell ref="C3611:D3611"/>
    <mergeCell ref="C3612:D3612"/>
    <mergeCell ref="C3613:D3613"/>
    <mergeCell ref="C3614:D3614"/>
    <mergeCell ref="C3616:D3616"/>
    <mergeCell ref="C3617:D3617"/>
    <mergeCell ref="C3618:D3618"/>
    <mergeCell ref="C3619:D3619"/>
    <mergeCell ref="C3620:D3620"/>
    <mergeCell ref="C3621:D3621"/>
    <mergeCell ref="C3622:D3622"/>
    <mergeCell ref="C3623:D3623"/>
    <mergeCell ref="C3624:D3624"/>
    <mergeCell ref="C3625:D3625"/>
    <mergeCell ref="C3626:D3626"/>
    <mergeCell ref="C3627:D3627"/>
    <mergeCell ref="C3628:D3628"/>
    <mergeCell ref="C3629:D3629"/>
    <mergeCell ref="C3630:D3630"/>
    <mergeCell ref="C3631:D3631"/>
    <mergeCell ref="C3632:D3632"/>
    <mergeCell ref="C3633:D3633"/>
    <mergeCell ref="C3634:D3634"/>
    <mergeCell ref="C3635:D3635"/>
    <mergeCell ref="C3636:D3636"/>
    <mergeCell ref="C3637:D3637"/>
    <mergeCell ref="C3638:D3638"/>
    <mergeCell ref="C3639:D3639"/>
    <mergeCell ref="C3640:D3640"/>
    <mergeCell ref="C3641:D3641"/>
    <mergeCell ref="C3642:D3642"/>
    <mergeCell ref="C3643:D3643"/>
    <mergeCell ref="C3644:D3644"/>
    <mergeCell ref="C3645:D3645"/>
    <mergeCell ref="C3646:D3646"/>
    <mergeCell ref="C3647:D3647"/>
    <mergeCell ref="C3648:D3648"/>
    <mergeCell ref="C3649:D3649"/>
    <mergeCell ref="C3651:D3651"/>
    <mergeCell ref="C3652:D3652"/>
    <mergeCell ref="C3653:D3653"/>
    <mergeCell ref="C3654:D3654"/>
    <mergeCell ref="C3655:D3655"/>
    <mergeCell ref="C3657:D3657"/>
    <mergeCell ref="C3658:D3658"/>
    <mergeCell ref="C3659:D3659"/>
    <mergeCell ref="C3661:D3661"/>
    <mergeCell ref="C3662:D3662"/>
    <mergeCell ref="C3663:D3663"/>
    <mergeCell ref="C3664:D3664"/>
    <mergeCell ref="C3665:D3665"/>
    <mergeCell ref="C3666:D3666"/>
    <mergeCell ref="C3667:D3667"/>
    <mergeCell ref="C3668:D3668"/>
    <mergeCell ref="C3669:D3669"/>
    <mergeCell ref="C3670:D3670"/>
    <mergeCell ref="C3671:D3671"/>
    <mergeCell ref="C3673:D3673"/>
    <mergeCell ref="C3674:D3674"/>
    <mergeCell ref="C3675:D3675"/>
    <mergeCell ref="C3676:D3676"/>
    <mergeCell ref="C3677:D3677"/>
    <mergeCell ref="C3678:D3678"/>
    <mergeCell ref="C3679:D3679"/>
    <mergeCell ref="C3680:D3680"/>
    <mergeCell ref="C3681:D3681"/>
    <mergeCell ref="C3682:D3682"/>
    <mergeCell ref="C3684:D3684"/>
    <mergeCell ref="C3685:D3685"/>
    <mergeCell ref="C3687:D3687"/>
    <mergeCell ref="C3688:D3688"/>
    <mergeCell ref="C3689:D3689"/>
    <mergeCell ref="C3690:D3690"/>
    <mergeCell ref="C3691:D3691"/>
    <mergeCell ref="C3692:D3692"/>
    <mergeCell ref="C3693:D3693"/>
    <mergeCell ref="C3694:D3694"/>
    <mergeCell ref="C3695:D3695"/>
    <mergeCell ref="C3696:D3696"/>
    <mergeCell ref="C3697:D3697"/>
    <mergeCell ref="C3698:D3698"/>
    <mergeCell ref="C3699:D3699"/>
    <mergeCell ref="C3700:D3700"/>
    <mergeCell ref="C3701:D3701"/>
    <mergeCell ref="C3702:D3702"/>
    <mergeCell ref="C3703:D3703"/>
    <mergeCell ref="C3704:D3704"/>
    <mergeCell ref="C3705:D3705"/>
    <mergeCell ref="C3706:D3706"/>
    <mergeCell ref="C3707:D3707"/>
    <mergeCell ref="C3709:D3709"/>
    <mergeCell ref="C3710:D3710"/>
    <mergeCell ref="C3711:D3711"/>
    <mergeCell ref="C3712:D3712"/>
    <mergeCell ref="C3713:D3713"/>
    <mergeCell ref="C3714:D3714"/>
    <mergeCell ref="C3715:D3715"/>
    <mergeCell ref="C3716:D3716"/>
    <mergeCell ref="C3717:D3717"/>
    <mergeCell ref="C3718:D3718"/>
    <mergeCell ref="C3719:D3719"/>
    <mergeCell ref="C3720:D3720"/>
    <mergeCell ref="C3721:D3721"/>
    <mergeCell ref="C3722:D3722"/>
    <mergeCell ref="C3723:D3723"/>
    <mergeCell ref="C3724:D3724"/>
    <mergeCell ref="C3725:D3725"/>
    <mergeCell ref="C3726:D3726"/>
    <mergeCell ref="C3727:D3727"/>
    <mergeCell ref="C3728:D3728"/>
    <mergeCell ref="C3729:D3729"/>
    <mergeCell ref="C3730:D3730"/>
    <mergeCell ref="C3731:D3731"/>
    <mergeCell ref="C3732:D3732"/>
    <mergeCell ref="C3733:D3733"/>
    <mergeCell ref="C3734:D3734"/>
    <mergeCell ref="C3735:D3735"/>
    <mergeCell ref="C3736:D3736"/>
    <mergeCell ref="C3737:D3737"/>
    <mergeCell ref="C3738:D3738"/>
    <mergeCell ref="C3739:D3739"/>
    <mergeCell ref="C3740:D3740"/>
    <mergeCell ref="C3741:D3741"/>
    <mergeCell ref="C3742:D3742"/>
    <mergeCell ref="C3743:D3743"/>
    <mergeCell ref="C3744:D3744"/>
    <mergeCell ref="C3745:D3745"/>
    <mergeCell ref="C3747:D3747"/>
    <mergeCell ref="C3749:D3749"/>
    <mergeCell ref="C3750:D3750"/>
    <mergeCell ref="C3751:D3751"/>
    <mergeCell ref="C3752:D3752"/>
    <mergeCell ref="C3753:D3753"/>
    <mergeCell ref="C3754:D3754"/>
    <mergeCell ref="C3755:D3755"/>
    <mergeCell ref="C3756:D3756"/>
    <mergeCell ref="C3757:D3757"/>
    <mergeCell ref="C3758:D3758"/>
    <mergeCell ref="C3759:D3759"/>
    <mergeCell ref="C3760:D3760"/>
    <mergeCell ref="C3761:D3761"/>
    <mergeCell ref="C3762:D3762"/>
    <mergeCell ref="C3763:D3763"/>
    <mergeCell ref="C3764:D3764"/>
    <mergeCell ref="C3765:D3765"/>
    <mergeCell ref="C3766:D3766"/>
    <mergeCell ref="C3767:D3767"/>
    <mergeCell ref="C3768:D3768"/>
    <mergeCell ref="C3769:D3769"/>
    <mergeCell ref="C3770:D3770"/>
    <mergeCell ref="C3771:D3771"/>
    <mergeCell ref="C3772:D3772"/>
    <mergeCell ref="C3773:D3773"/>
    <mergeCell ref="C3774:D3774"/>
    <mergeCell ref="C3775:D3775"/>
    <mergeCell ref="C3776:D3776"/>
    <mergeCell ref="C3777:D3777"/>
    <mergeCell ref="C3778:D3778"/>
    <mergeCell ref="C3779:D3779"/>
    <mergeCell ref="C3780:D3780"/>
    <mergeCell ref="C3781:D3781"/>
    <mergeCell ref="C3782:D3782"/>
    <mergeCell ref="C3783:D3783"/>
    <mergeCell ref="C3784:D3784"/>
    <mergeCell ref="C3785:D3785"/>
    <mergeCell ref="C3786:D3786"/>
    <mergeCell ref="C3787:D3787"/>
    <mergeCell ref="C3788:D3788"/>
    <mergeCell ref="C3789:D3789"/>
    <mergeCell ref="C3790:D3790"/>
    <mergeCell ref="C3791:D3791"/>
    <mergeCell ref="C3792:D3792"/>
    <mergeCell ref="C3793:D3793"/>
    <mergeCell ref="C3794:D3794"/>
    <mergeCell ref="C3795:D3795"/>
    <mergeCell ref="C3796:D3796"/>
    <mergeCell ref="C3797:D3797"/>
    <mergeCell ref="C3798:D3798"/>
    <mergeCell ref="C3799:D3799"/>
    <mergeCell ref="C3800:D3800"/>
    <mergeCell ref="C3801:D3801"/>
    <mergeCell ref="C3802:D3802"/>
    <mergeCell ref="C3803:D3803"/>
    <mergeCell ref="C3804:D3804"/>
    <mergeCell ref="C3805:D3805"/>
    <mergeCell ref="C3806:D3806"/>
    <mergeCell ref="C3807:D3807"/>
    <mergeCell ref="C3809:D3809"/>
    <mergeCell ref="C3810:D3810"/>
    <mergeCell ref="C3811:D3811"/>
    <mergeCell ref="C3812:D3812"/>
    <mergeCell ref="C3813:D3813"/>
    <mergeCell ref="C3814:D3814"/>
    <mergeCell ref="C3815:D3815"/>
    <mergeCell ref="C3816:D3816"/>
    <mergeCell ref="C3817:D3817"/>
    <mergeCell ref="C3818:D3818"/>
    <mergeCell ref="C3819:D3819"/>
    <mergeCell ref="C3820:D3820"/>
    <mergeCell ref="C3821:D3821"/>
    <mergeCell ref="C3822:D3822"/>
    <mergeCell ref="C3823:D3823"/>
    <mergeCell ref="C3824:D3824"/>
    <mergeCell ref="C3825:D3825"/>
    <mergeCell ref="C3829:D3829"/>
    <mergeCell ref="C3830:D3830"/>
    <mergeCell ref="C3831:D3831"/>
    <mergeCell ref="C3832:D3832"/>
    <mergeCell ref="C3833:D3833"/>
    <mergeCell ref="C3834:D3834"/>
    <mergeCell ref="C3835:D3835"/>
    <mergeCell ref="C3836:D3836"/>
    <mergeCell ref="C3837:D3837"/>
    <mergeCell ref="C3838:D3838"/>
    <mergeCell ref="C3839:D3839"/>
    <mergeCell ref="C3840:D3840"/>
    <mergeCell ref="C3841:D3841"/>
    <mergeCell ref="C3842:D3842"/>
    <mergeCell ref="C3843:D3843"/>
    <mergeCell ref="C3844:D3844"/>
    <mergeCell ref="C3845:D3845"/>
    <mergeCell ref="C3846:D3846"/>
    <mergeCell ref="C3847:D3847"/>
    <mergeCell ref="C3848:D3848"/>
    <mergeCell ref="C3849:D3849"/>
    <mergeCell ref="C3850:D3850"/>
    <mergeCell ref="C3851:D3851"/>
    <mergeCell ref="C3852:D3852"/>
    <mergeCell ref="C3853:D3853"/>
    <mergeCell ref="C3854:D3854"/>
    <mergeCell ref="C3855:D3855"/>
    <mergeCell ref="C3856:D3856"/>
    <mergeCell ref="C3857:D3857"/>
    <mergeCell ref="C3858:D3858"/>
    <mergeCell ref="C3859:D3859"/>
    <mergeCell ref="C3860:D3860"/>
    <mergeCell ref="C3861:D3861"/>
    <mergeCell ref="C3862:D3862"/>
    <mergeCell ref="C3864:D3864"/>
    <mergeCell ref="C3865:D3865"/>
    <mergeCell ref="C3866:D3866"/>
    <mergeCell ref="C3867:D3867"/>
    <mergeCell ref="C3868:D3868"/>
    <mergeCell ref="C3870:D3870"/>
    <mergeCell ref="C3871:D3871"/>
    <mergeCell ref="C3872:D3872"/>
    <mergeCell ref="C3873:D3873"/>
    <mergeCell ref="C3874:D3874"/>
    <mergeCell ref="C3875:D3875"/>
    <mergeCell ref="C3876:D3876"/>
    <mergeCell ref="C3877:D3877"/>
    <mergeCell ref="C3878:D3878"/>
    <mergeCell ref="C3879:D3879"/>
    <mergeCell ref="C3880:D3880"/>
    <mergeCell ref="C3881:D3881"/>
    <mergeCell ref="C3882:D3882"/>
    <mergeCell ref="C3883:D3883"/>
    <mergeCell ref="C3884:D3884"/>
    <mergeCell ref="C3885:D3885"/>
    <mergeCell ref="C3886:D3886"/>
    <mergeCell ref="C3887:D3887"/>
    <mergeCell ref="C3888:D3888"/>
    <mergeCell ref="C3889:D3889"/>
    <mergeCell ref="C3890:D3890"/>
    <mergeCell ref="C3892:D3892"/>
    <mergeCell ref="C3893:D3893"/>
    <mergeCell ref="C3894:D3894"/>
    <mergeCell ref="C3895:D3895"/>
    <mergeCell ref="C3896:D3896"/>
    <mergeCell ref="C3897:D3897"/>
    <mergeCell ref="C3898:D3898"/>
    <mergeCell ref="C3899:D3899"/>
    <mergeCell ref="C3900:D3900"/>
    <mergeCell ref="C3901:D3901"/>
    <mergeCell ref="C3902:D3902"/>
    <mergeCell ref="C3903:D3903"/>
    <mergeCell ref="C3904:D3904"/>
    <mergeCell ref="C3905:D3905"/>
    <mergeCell ref="C3906:D3906"/>
    <mergeCell ref="C3907:D3907"/>
    <mergeCell ref="C3908:D3908"/>
    <mergeCell ref="C3909:D3909"/>
    <mergeCell ref="C3910:D3910"/>
    <mergeCell ref="C3911:D3911"/>
    <mergeCell ref="C3912:D3912"/>
    <mergeCell ref="C3913:D3913"/>
    <mergeCell ref="C3914:D3914"/>
    <mergeCell ref="C3915:D3915"/>
    <mergeCell ref="C3916:D3916"/>
    <mergeCell ref="C3917:D3917"/>
    <mergeCell ref="C3918:D3918"/>
    <mergeCell ref="C3919:D3919"/>
    <mergeCell ref="C3920:D3920"/>
    <mergeCell ref="C3921:D3921"/>
    <mergeCell ref="C3922:D3922"/>
    <mergeCell ref="C3924:D3924"/>
    <mergeCell ref="C3925:D3925"/>
    <mergeCell ref="C3926:D3926"/>
    <mergeCell ref="C3927:D3927"/>
    <mergeCell ref="C3928:D3928"/>
    <mergeCell ref="C3929:D3929"/>
    <mergeCell ref="C3930:D3930"/>
    <mergeCell ref="C3931:D3931"/>
    <mergeCell ref="C3932:D3932"/>
    <mergeCell ref="C3933:D3933"/>
    <mergeCell ref="C3934:D3934"/>
    <mergeCell ref="C3935:D3935"/>
    <mergeCell ref="C3936:D3936"/>
    <mergeCell ref="C3937:D3937"/>
    <mergeCell ref="C3938:D3938"/>
    <mergeCell ref="C3940:D3940"/>
    <mergeCell ref="C3941:D3941"/>
    <mergeCell ref="C3942:D3942"/>
    <mergeCell ref="C3943:D3943"/>
    <mergeCell ref="C3944:D3944"/>
    <mergeCell ref="C3945:D3945"/>
    <mergeCell ref="C3946:D3946"/>
    <mergeCell ref="C3948:D3948"/>
    <mergeCell ref="C3949:D3949"/>
    <mergeCell ref="C3950:D3950"/>
    <mergeCell ref="C3951:D3951"/>
    <mergeCell ref="C3952:D3952"/>
    <mergeCell ref="C3953:D3953"/>
    <mergeCell ref="C3954:D3954"/>
    <mergeCell ref="C3955:D3955"/>
    <mergeCell ref="C3956:D3956"/>
    <mergeCell ref="C3957:D3957"/>
    <mergeCell ref="C3958:D3958"/>
    <mergeCell ref="C3959:D3959"/>
    <mergeCell ref="C3960:D3960"/>
    <mergeCell ref="C3961:D3961"/>
    <mergeCell ref="C3962:D3962"/>
    <mergeCell ref="C3963:D3963"/>
    <mergeCell ref="C3964:D3964"/>
    <mergeCell ref="C3965:D3965"/>
    <mergeCell ref="C3966:D3966"/>
    <mergeCell ref="C3967:D3967"/>
    <mergeCell ref="C3968:D3968"/>
    <mergeCell ref="C3969:D3969"/>
    <mergeCell ref="C3970:D3970"/>
    <mergeCell ref="C3971:D3971"/>
    <mergeCell ref="C3972:D3972"/>
    <mergeCell ref="C3973:D3973"/>
    <mergeCell ref="C3974:D3974"/>
    <mergeCell ref="C3975:D3975"/>
    <mergeCell ref="C3976:D3976"/>
    <mergeCell ref="C3977:D3977"/>
    <mergeCell ref="C3978:D3978"/>
    <mergeCell ref="C3979:D3979"/>
    <mergeCell ref="C3980:D3980"/>
    <mergeCell ref="C3981:D3981"/>
    <mergeCell ref="C3982:D3982"/>
    <mergeCell ref="C3983:D3983"/>
    <mergeCell ref="C3985:D3985"/>
    <mergeCell ref="C3986:D3986"/>
    <mergeCell ref="C3988:D3988"/>
    <mergeCell ref="C3989:D3989"/>
    <mergeCell ref="C3990:D3990"/>
    <mergeCell ref="C3991:D3991"/>
    <mergeCell ref="C3992:D3992"/>
    <mergeCell ref="C3993:D3993"/>
    <mergeCell ref="C3994:D3994"/>
    <mergeCell ref="C3995:D3995"/>
    <mergeCell ref="C3996:D3996"/>
    <mergeCell ref="C3997:D3997"/>
    <mergeCell ref="C3998:D3998"/>
    <mergeCell ref="C3999:D3999"/>
    <mergeCell ref="C4000:D4000"/>
    <mergeCell ref="C4001:D4001"/>
    <mergeCell ref="C4002:D4002"/>
    <mergeCell ref="C4003:D4003"/>
    <mergeCell ref="C4004:D4004"/>
    <mergeCell ref="C4005:D4005"/>
    <mergeCell ref="C4006:D4006"/>
    <mergeCell ref="C4007:D4007"/>
    <mergeCell ref="C4008:D4008"/>
    <mergeCell ref="C4009:D4009"/>
    <mergeCell ref="C4010:D4010"/>
    <mergeCell ref="C4011:D4011"/>
    <mergeCell ref="C4012:D4012"/>
    <mergeCell ref="C4013:D4013"/>
    <mergeCell ref="C4014:D4014"/>
    <mergeCell ref="C4016:D4016"/>
    <mergeCell ref="C4017:D4017"/>
    <mergeCell ref="C4018:D4018"/>
    <mergeCell ref="C4019:D4019"/>
    <mergeCell ref="C4021:D4021"/>
    <mergeCell ref="C4022:D4022"/>
    <mergeCell ref="C4023:D4023"/>
    <mergeCell ref="C4042:D4042"/>
    <mergeCell ref="C4043:D4043"/>
    <mergeCell ref="C4044:D4044"/>
    <mergeCell ref="C4045:D4045"/>
    <mergeCell ref="C4046:D4046"/>
    <mergeCell ref="C4024:D4024"/>
    <mergeCell ref="C4025:D4025"/>
    <mergeCell ref="C4026:D4026"/>
    <mergeCell ref="C4027:D4027"/>
    <mergeCell ref="C4028:D4028"/>
    <mergeCell ref="C4029:D4029"/>
    <mergeCell ref="C4030:D4030"/>
    <mergeCell ref="C4031:D4031"/>
    <mergeCell ref="C4032:D4032"/>
    <mergeCell ref="C4033:D4033"/>
    <mergeCell ref="C4034:D4034"/>
    <mergeCell ref="C4035:D4035"/>
    <mergeCell ref="C4036:D4036"/>
    <mergeCell ref="C4037:D4037"/>
    <mergeCell ref="C4038:D4038"/>
    <mergeCell ref="C4039:D4039"/>
    <mergeCell ref="C4040:D404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LARGECAP</vt:lpstr>
      <vt:lpstr>MIDCAP</vt:lpstr>
      <vt:lpstr>SMALLCAP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Niti</cp:lastModifiedBy>
  <dcterms:modified xsi:type="dcterms:W3CDTF">2025-09-27T15:09:07Z</dcterms:modified>
</cp:coreProperties>
</file>